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threadedComments/threadedComment2.xml" ContentType="application/vnd.ms-excel.threaded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3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2.xml" ContentType="application/vnd.openxmlformats-officedocument.drawing+xml"/>
  <Override PartName="/xl/charts/chart2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4525" documentId="8_{7112FF11-D83E-4D47-94A4-4132B8EE6D92}" xr6:coauthVersionLast="47" xr6:coauthVersionMax="47" xr10:uidLastSave="{B5A27B53-93F6-4416-8341-D2AA3725000C}"/>
  <bookViews>
    <workbookView xWindow="-120" yWindow="-120" windowWidth="29040" windowHeight="15840" tabRatio="895" activeTab="20" xr2:uid="{00000000-000D-0000-FFFF-FFFF00000000}"/>
  </bookViews>
  <sheets>
    <sheet name="DEMAND FREQ SUMMARY" sheetId="177" r:id="rId1"/>
    <sheet name="1" sheetId="190" r:id="rId2"/>
    <sheet name="2" sheetId="191" r:id="rId3"/>
    <sheet name="3" sheetId="192" r:id="rId4"/>
    <sheet name="4" sheetId="193" r:id="rId5"/>
    <sheet name="5" sheetId="194" r:id="rId6"/>
    <sheet name="6" sheetId="195" r:id="rId7"/>
    <sheet name="7" sheetId="196" r:id="rId8"/>
    <sheet name="8" sheetId="197" r:id="rId9"/>
    <sheet name="9" sheetId="198" r:id="rId10"/>
    <sheet name="10" sheetId="199" r:id="rId11"/>
    <sheet name="11" sheetId="201" r:id="rId12"/>
    <sheet name="12" sheetId="203" r:id="rId13"/>
    <sheet name="13" sheetId="204" r:id="rId14"/>
    <sheet name="14" sheetId="205" r:id="rId15"/>
    <sheet name="15" sheetId="208" r:id="rId16"/>
    <sheet name="16" sheetId="209" r:id="rId17"/>
    <sheet name="17" sheetId="210" r:id="rId18"/>
    <sheet name="18" sheetId="212" r:id="rId19"/>
    <sheet name="19" sheetId="213" r:id="rId20"/>
    <sheet name="20" sheetId="214" r:id="rId21"/>
    <sheet name="PARAMETERS" sheetId="157" r:id="rId22"/>
    <sheet name="GEN SWITCHING LOGS" sheetId="88" r:id="rId23"/>
    <sheet name="ACTION LOGS" sheetId="89" r:id="rId24"/>
    <sheet name="Running Hours" sheetId="105" state="hidden" r:id="rId25"/>
    <sheet name="BILLING" sheetId="79" r:id="rId26"/>
    <sheet name="EOD REPORT" sheetId="102" r:id="rId27"/>
    <sheet name="PEAK" sheetId="127" state="hidden" r:id="rId28"/>
    <sheet name="AGG DEMAND" sheetId="112" state="hidden" r:id="rId29"/>
    <sheet name="DPI 4th" sheetId="137" r:id="rId30"/>
    <sheet name="Chart1" sheetId="211" r:id="rId31"/>
    <sheet name="Sheet7" sheetId="156" state="hidden" r:id="rId32"/>
  </sheets>
  <functionGroups builtInGroupCount="19"/>
  <definedNames>
    <definedName name="_9_2" localSheetId="21">PARAMETERS!#REF!</definedName>
    <definedName name="_9_2">#REF!</definedName>
    <definedName name="_xlnm._FilterDatabase" localSheetId="1" hidden="1">'1'!$A$11:$A$79</definedName>
    <definedName name="_xlnm._FilterDatabase" localSheetId="10" hidden="1">'10'!$A$11:$A$82</definedName>
    <definedName name="_xlnm._FilterDatabase" localSheetId="11" hidden="1">'11'!$A$11:$A$82</definedName>
    <definedName name="_xlnm._FilterDatabase" localSheetId="12" hidden="1">'12'!$A$11:$A$82</definedName>
    <definedName name="_xlnm._FilterDatabase" localSheetId="13" hidden="1">'13'!$A$11:$A$82</definedName>
    <definedName name="_xlnm._FilterDatabase" localSheetId="14" hidden="1">'14'!$A$11:$A$82</definedName>
    <definedName name="_xlnm._FilterDatabase" localSheetId="15" hidden="1">'15'!$A$11:$A$82</definedName>
    <definedName name="_xlnm._FilterDatabase" localSheetId="16" hidden="1">'16'!$A$11:$A$82</definedName>
    <definedName name="_xlnm._FilterDatabase" localSheetId="17" hidden="1">'17'!$A$11:$A$82</definedName>
    <definedName name="_xlnm._FilterDatabase" localSheetId="18" hidden="1">'18'!$A$11:$A$82</definedName>
    <definedName name="_xlnm._FilterDatabase" localSheetId="19" hidden="1">'19'!$A$11:$A$82</definedName>
    <definedName name="_xlnm._FilterDatabase" localSheetId="2" hidden="1">'2'!$A$11:$A$79</definedName>
    <definedName name="_xlnm._FilterDatabase" localSheetId="20" hidden="1">'20'!$A$11:$A$82</definedName>
    <definedName name="_xlnm._FilterDatabase" localSheetId="3" hidden="1">'3'!$A$11:$A$79</definedName>
    <definedName name="_xlnm._FilterDatabase" localSheetId="4" hidden="1">'4'!$A$11:$A$81</definedName>
    <definedName name="_xlnm._FilterDatabase" localSheetId="5" hidden="1">'5'!$A$11:$A$82</definedName>
    <definedName name="_xlnm._FilterDatabase" localSheetId="6" hidden="1">'6'!$A$11:$A$82</definedName>
    <definedName name="_xlnm._FilterDatabase" localSheetId="7" hidden="1">'7'!$A$11:$A$82</definedName>
    <definedName name="_xlnm._FilterDatabase" localSheetId="8" hidden="1">'8'!$A$11:$A$82</definedName>
    <definedName name="_xlnm._FilterDatabase" localSheetId="9" hidden="1">'9'!$A$11:$A$82</definedName>
    <definedName name="_xlnm._FilterDatabase" localSheetId="23" hidden="1">'ACTION LOGS'!$A$1:$I$2083</definedName>
    <definedName name="_xlnm._FilterDatabase" localSheetId="22" hidden="1">'GEN SWITCHING LOGS'!$A$1:$L$1134</definedName>
    <definedName name="_xlnm._FilterDatabase" localSheetId="21" hidden="1">PARAMETERS!$A$1:$BN$29</definedName>
    <definedName name="_xlnm.Print_Area" localSheetId="1">'1'!$A$1:$AN$151</definedName>
    <definedName name="_xlnm.Print_Area" localSheetId="10">'10'!$A$1:$AN$155</definedName>
    <definedName name="_xlnm.Print_Area" localSheetId="11">'11'!$A$1:$AN$155</definedName>
    <definedName name="_xlnm.Print_Area" localSheetId="12">'12'!$A$1:$AN$155</definedName>
    <definedName name="_xlnm.Print_Area" localSheetId="13">'13'!$A$1:$AN$155</definedName>
    <definedName name="_xlnm.Print_Area" localSheetId="14">'14'!$A$1:$AN$155</definedName>
    <definedName name="_xlnm.Print_Area" localSheetId="15">'15'!$A$1:$AN$155</definedName>
    <definedName name="_xlnm.Print_Area" localSheetId="16">'16'!$A$1:$AN$155</definedName>
    <definedName name="_xlnm.Print_Area" localSheetId="17">'17'!$A$1:$AN$155</definedName>
    <definedName name="_xlnm.Print_Area" localSheetId="18">'18'!$A$1:$AN$155</definedName>
    <definedName name="_xlnm.Print_Area" localSheetId="19">'19'!$A$1:$AN$155</definedName>
    <definedName name="_xlnm.Print_Area" localSheetId="2">'2'!$A$1:$AN$151</definedName>
    <definedName name="_xlnm.Print_Area" localSheetId="20">'20'!$A$1:$AN$155</definedName>
    <definedName name="_xlnm.Print_Area" localSheetId="3">'3'!$A$1:$AN$151</definedName>
    <definedName name="_xlnm.Print_Area" localSheetId="4">'4'!$A$1:$AN$154</definedName>
    <definedName name="_xlnm.Print_Area" localSheetId="5">'5'!$A$1:$AN$155</definedName>
    <definedName name="_xlnm.Print_Area" localSheetId="6">'6'!$A$1:$AN$155</definedName>
    <definedName name="_xlnm.Print_Area" localSheetId="7">'7'!$A$1:$AN$155</definedName>
    <definedName name="_xlnm.Print_Area" localSheetId="8">'8'!$A$1:$AN$155</definedName>
    <definedName name="_xlnm.Print_Area" localSheetId="9">'9'!$A$1:$AN$155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74" i="214" l="1"/>
  <c r="Z71" i="214"/>
  <c r="Z70" i="214"/>
  <c r="Z69" i="214"/>
  <c r="Z68" i="214"/>
  <c r="Z67" i="214"/>
  <c r="Z66" i="214"/>
  <c r="Z62" i="214"/>
  <c r="Z61" i="214"/>
  <c r="F1161" i="88"/>
  <c r="F1160" i="88"/>
  <c r="F1159" i="88"/>
  <c r="F1146" i="88"/>
  <c r="Y62" i="214"/>
  <c r="Y61" i="214"/>
  <c r="F1147" i="88"/>
  <c r="F1133" i="88"/>
  <c r="F1124" i="88"/>
  <c r="F1123" i="88"/>
  <c r="F1157" i="88"/>
  <c r="F1155" i="88"/>
  <c r="F1158" i="88"/>
  <c r="X74" i="214"/>
  <c r="X71" i="214"/>
  <c r="X70" i="214"/>
  <c r="X68" i="214"/>
  <c r="X67" i="214"/>
  <c r="X62" i="214"/>
  <c r="X61" i="214"/>
  <c r="F1156" i="88"/>
  <c r="F1148" i="88"/>
  <c r="F1144" i="88"/>
  <c r="F1129" i="88"/>
  <c r="F1143" i="88"/>
  <c r="W74" i="214"/>
  <c r="W71" i="214"/>
  <c r="W70" i="214"/>
  <c r="F1097" i="88"/>
  <c r="F1145" i="88"/>
  <c r="F1142" i="88"/>
  <c r="F1141" i="88"/>
  <c r="AH55" i="214"/>
  <c r="V74" i="214"/>
  <c r="V71" i="214"/>
  <c r="V70" i="214"/>
  <c r="V55" i="214"/>
  <c r="V54" i="214"/>
  <c r="AF54" i="214" s="1"/>
  <c r="V53" i="214"/>
  <c r="V49" i="214"/>
  <c r="V47" i="214"/>
  <c r="V46" i="214"/>
  <c r="V45" i="214"/>
  <c r="F1138" i="88"/>
  <c r="F1139" i="88"/>
  <c r="F1127" i="88"/>
  <c r="F1134" i="88"/>
  <c r="F1126" i="88"/>
  <c r="F1149" i="88"/>
  <c r="F1140" i="88"/>
  <c r="V75" i="214"/>
  <c r="V98" i="214" s="1"/>
  <c r="AH57" i="214"/>
  <c r="AG58" i="214"/>
  <c r="U74" i="214"/>
  <c r="U71" i="214"/>
  <c r="U70" i="214"/>
  <c r="U58" i="214"/>
  <c r="U57" i="214"/>
  <c r="U56" i="214"/>
  <c r="U55" i="214"/>
  <c r="U54" i="214"/>
  <c r="U53" i="214"/>
  <c r="U52" i="214"/>
  <c r="U49" i="214"/>
  <c r="U48" i="214"/>
  <c r="U47" i="214"/>
  <c r="U46" i="214"/>
  <c r="U45" i="214"/>
  <c r="U59" i="214" s="1"/>
  <c r="U96" i="214" s="1"/>
  <c r="U44" i="214"/>
  <c r="F1132" i="88"/>
  <c r="T104" i="214"/>
  <c r="U102" i="214"/>
  <c r="T74" i="214"/>
  <c r="T71" i="214"/>
  <c r="T70" i="214"/>
  <c r="T63" i="214"/>
  <c r="T61" i="214"/>
  <c r="F856" i="88"/>
  <c r="F1136" i="88"/>
  <c r="F1137" i="88"/>
  <c r="F1119" i="88"/>
  <c r="F1120" i="88"/>
  <c r="T75" i="214"/>
  <c r="T98" i="214" s="1"/>
  <c r="T52" i="214"/>
  <c r="S74" i="214"/>
  <c r="S71" i="214"/>
  <c r="S70" i="214"/>
  <c r="S63" i="214"/>
  <c r="S61" i="214"/>
  <c r="S52" i="214"/>
  <c r="S59" i="214" s="1"/>
  <c r="S96" i="214" s="1"/>
  <c r="F1131" i="88"/>
  <c r="R74" i="214"/>
  <c r="R71" i="214"/>
  <c r="R70" i="214"/>
  <c r="R61" i="214"/>
  <c r="R64" i="214" s="1"/>
  <c r="R97" i="214" s="1"/>
  <c r="F1099" i="88"/>
  <c r="F1115" i="88"/>
  <c r="F1092" i="88"/>
  <c r="F1073" i="88"/>
  <c r="F1114" i="88"/>
  <c r="F1113" i="88"/>
  <c r="F1112" i="88"/>
  <c r="F1117" i="88"/>
  <c r="F1116" i="88"/>
  <c r="Q71" i="214"/>
  <c r="Q75" i="214" s="1"/>
  <c r="Q98" i="214" s="1"/>
  <c r="Q70" i="214"/>
  <c r="Q62" i="214"/>
  <c r="F1125" i="88"/>
  <c r="F1122" i="88"/>
  <c r="F1121" i="88"/>
  <c r="AH45" i="214"/>
  <c r="Q59" i="214"/>
  <c r="AG49" i="214"/>
  <c r="AG53" i="214"/>
  <c r="P56" i="214"/>
  <c r="P55" i="214"/>
  <c r="P54" i="214"/>
  <c r="P53" i="214"/>
  <c r="P49" i="214"/>
  <c r="P47" i="214"/>
  <c r="P46" i="214"/>
  <c r="P45" i="214"/>
  <c r="F1110" i="88"/>
  <c r="O74" i="214"/>
  <c r="O71" i="214"/>
  <c r="O70" i="214"/>
  <c r="O68" i="214"/>
  <c r="O67" i="214"/>
  <c r="O66" i="214"/>
  <c r="F1084" i="88"/>
  <c r="F1083" i="88"/>
  <c r="F1082" i="88"/>
  <c r="F1085" i="88"/>
  <c r="F1080" i="88"/>
  <c r="F1103" i="88"/>
  <c r="P75" i="214"/>
  <c r="P98" i="214" s="1"/>
  <c r="P62" i="214"/>
  <c r="O53" i="214"/>
  <c r="O54" i="214"/>
  <c r="O52" i="214"/>
  <c r="O58" i="214"/>
  <c r="F1109" i="88"/>
  <c r="F1107" i="88"/>
  <c r="F1106" i="88"/>
  <c r="F1105" i="88"/>
  <c r="O62" i="214"/>
  <c r="O56" i="214"/>
  <c r="O55" i="214"/>
  <c r="O49" i="214"/>
  <c r="O46" i="214"/>
  <c r="O45" i="214"/>
  <c r="O44" i="214"/>
  <c r="AF44" i="214"/>
  <c r="F1104" i="88"/>
  <c r="F1065" i="88"/>
  <c r="O75" i="214"/>
  <c r="O98" i="214" s="1"/>
  <c r="AE488" i="157"/>
  <c r="N74" i="214"/>
  <c r="N71" i="214"/>
  <c r="N70" i="214"/>
  <c r="N68" i="214"/>
  <c r="N67" i="214"/>
  <c r="N66" i="214"/>
  <c r="N62" i="214"/>
  <c r="F1090" i="88"/>
  <c r="AE487" i="157"/>
  <c r="M74" i="214"/>
  <c r="M71" i="214"/>
  <c r="M70" i="214"/>
  <c r="M68" i="214"/>
  <c r="M67" i="214"/>
  <c r="M62" i="214"/>
  <c r="F1101" i="88"/>
  <c r="F1100" i="88"/>
  <c r="F1098" i="88"/>
  <c r="F1096" i="88"/>
  <c r="F1091" i="88"/>
  <c r="AE486" i="157"/>
  <c r="AE485" i="157"/>
  <c r="K74" i="214"/>
  <c r="K71" i="214"/>
  <c r="K70" i="214"/>
  <c r="K68" i="214"/>
  <c r="K67" i="214"/>
  <c r="K62" i="214"/>
  <c r="K61" i="214"/>
  <c r="L74" i="214"/>
  <c r="L71" i="214"/>
  <c r="L70" i="214"/>
  <c r="L68" i="214"/>
  <c r="L67" i="214"/>
  <c r="L62" i="214"/>
  <c r="F1093" i="88"/>
  <c r="F1094" i="88"/>
  <c r="AE484" i="157"/>
  <c r="J64" i="214"/>
  <c r="J97" i="214" s="1"/>
  <c r="AE483" i="157"/>
  <c r="I75" i="214"/>
  <c r="I98" i="214" s="1"/>
  <c r="F1081" i="88"/>
  <c r="F999" i="88"/>
  <c r="AE482" i="157"/>
  <c r="H74" i="214"/>
  <c r="H71" i="214"/>
  <c r="H70" i="214"/>
  <c r="H69" i="214"/>
  <c r="H68" i="214"/>
  <c r="H67" i="214"/>
  <c r="H62" i="214"/>
  <c r="H61" i="214"/>
  <c r="AE481" i="157"/>
  <c r="G74" i="214"/>
  <c r="G71" i="214"/>
  <c r="G70" i="214"/>
  <c r="G69" i="214"/>
  <c r="G68" i="214"/>
  <c r="G67" i="214"/>
  <c r="G62" i="214"/>
  <c r="G61" i="214"/>
  <c r="F1060" i="88"/>
  <c r="AE480" i="157"/>
  <c r="F74" i="214"/>
  <c r="F71" i="214"/>
  <c r="F70" i="214"/>
  <c r="F69" i="214"/>
  <c r="F68" i="214"/>
  <c r="F67" i="214"/>
  <c r="F62" i="214"/>
  <c r="F61" i="214"/>
  <c r="AE478" i="157"/>
  <c r="AC74" i="213"/>
  <c r="AC71" i="213"/>
  <c r="AC70" i="213"/>
  <c r="AC69" i="213"/>
  <c r="AC68" i="213"/>
  <c r="AC67" i="213"/>
  <c r="AC63" i="213"/>
  <c r="AC61" i="213"/>
  <c r="F1072" i="88"/>
  <c r="AC125" i="214"/>
  <c r="AB125" i="214"/>
  <c r="AA125" i="214"/>
  <c r="Z125" i="214"/>
  <c r="Y125" i="214"/>
  <c r="X125" i="214"/>
  <c r="W125" i="214"/>
  <c r="V125" i="214"/>
  <c r="U125" i="214"/>
  <c r="T125" i="214"/>
  <c r="S125" i="214"/>
  <c r="R125" i="214"/>
  <c r="Q125" i="214"/>
  <c r="P125" i="214"/>
  <c r="O125" i="214"/>
  <c r="N125" i="214"/>
  <c r="M125" i="214"/>
  <c r="L125" i="214"/>
  <c r="K125" i="214"/>
  <c r="J125" i="214"/>
  <c r="I125" i="214"/>
  <c r="H125" i="214"/>
  <c r="G125" i="214"/>
  <c r="F125" i="214"/>
  <c r="AC105" i="214"/>
  <c r="AB105" i="214"/>
  <c r="AA105" i="214"/>
  <c r="Z105" i="214"/>
  <c r="X105" i="214"/>
  <c r="W105" i="214"/>
  <c r="V105" i="214"/>
  <c r="U105" i="214"/>
  <c r="T105" i="214"/>
  <c r="S105" i="214"/>
  <c r="R105" i="214"/>
  <c r="P105" i="214"/>
  <c r="O105" i="214"/>
  <c r="N105" i="214"/>
  <c r="M105" i="214"/>
  <c r="L105" i="214"/>
  <c r="K105" i="214"/>
  <c r="J105" i="214"/>
  <c r="I105" i="214"/>
  <c r="H105" i="214"/>
  <c r="G105" i="214"/>
  <c r="F105" i="214"/>
  <c r="Y105" i="214"/>
  <c r="Q105" i="214"/>
  <c r="AC100" i="214"/>
  <c r="AB100" i="214"/>
  <c r="AA100" i="214"/>
  <c r="Z100" i="214"/>
  <c r="Y100" i="214"/>
  <c r="X100" i="214"/>
  <c r="W100" i="214"/>
  <c r="V100" i="214"/>
  <c r="U100" i="214"/>
  <c r="T100" i="214"/>
  <c r="S100" i="214"/>
  <c r="R100" i="214"/>
  <c r="Q100" i="214"/>
  <c r="P100" i="214"/>
  <c r="O100" i="214"/>
  <c r="N100" i="214"/>
  <c r="M100" i="214"/>
  <c r="L100" i="214"/>
  <c r="K100" i="214"/>
  <c r="J100" i="214"/>
  <c r="I100" i="214"/>
  <c r="H100" i="214"/>
  <c r="G100" i="214"/>
  <c r="F100" i="214"/>
  <c r="AC99" i="214"/>
  <c r="AB99" i="214"/>
  <c r="K99" i="214"/>
  <c r="J99" i="214"/>
  <c r="AC96" i="214"/>
  <c r="I96" i="214"/>
  <c r="AC92" i="214"/>
  <c r="AB92" i="214"/>
  <c r="AA92" i="214"/>
  <c r="AB90" i="214"/>
  <c r="AA90" i="214"/>
  <c r="S90" i="214"/>
  <c r="S107" i="214" s="1"/>
  <c r="N90" i="214"/>
  <c r="M90" i="214"/>
  <c r="L90" i="214"/>
  <c r="L107" i="214" s="1"/>
  <c r="AC79" i="214"/>
  <c r="AB79" i="214"/>
  <c r="AA79" i="214"/>
  <c r="AA99" i="214" s="1"/>
  <c r="Z79" i="214"/>
  <c r="Z99" i="214" s="1"/>
  <c r="Y79" i="214"/>
  <c r="Y99" i="214" s="1"/>
  <c r="X79" i="214"/>
  <c r="X99" i="214" s="1"/>
  <c r="W79" i="214"/>
  <c r="W99" i="214" s="1"/>
  <c r="V79" i="214"/>
  <c r="V99" i="214" s="1"/>
  <c r="U79" i="214"/>
  <c r="U99" i="214" s="1"/>
  <c r="T79" i="214"/>
  <c r="T99" i="214" s="1"/>
  <c r="S79" i="214"/>
  <c r="S99" i="214" s="1"/>
  <c r="R79" i="214"/>
  <c r="R99" i="214" s="1"/>
  <c r="Q79" i="214"/>
  <c r="Q99" i="214" s="1"/>
  <c r="P79" i="214"/>
  <c r="P99" i="214" s="1"/>
  <c r="O79" i="214"/>
  <c r="O99" i="214" s="1"/>
  <c r="N79" i="214"/>
  <c r="N99" i="214" s="1"/>
  <c r="M79" i="214"/>
  <c r="M99" i="214" s="1"/>
  <c r="L79" i="214"/>
  <c r="L99" i="214" s="1"/>
  <c r="K79" i="214"/>
  <c r="J79" i="214"/>
  <c r="I79" i="214"/>
  <c r="I99" i="214" s="1"/>
  <c r="H79" i="214"/>
  <c r="H99" i="214" s="1"/>
  <c r="G79" i="214"/>
  <c r="G99" i="214" s="1"/>
  <c r="F79" i="214"/>
  <c r="F99" i="214" s="1"/>
  <c r="C79" i="214"/>
  <c r="B79" i="214"/>
  <c r="AH78" i="214"/>
  <c r="AG78" i="214"/>
  <c r="AF78" i="214"/>
  <c r="AH77" i="214"/>
  <c r="AG77" i="214"/>
  <c r="AF77" i="214"/>
  <c r="AI76" i="214"/>
  <c r="Y75" i="214"/>
  <c r="Y98" i="214" s="1"/>
  <c r="S75" i="214"/>
  <c r="S98" i="214" s="1"/>
  <c r="R75" i="214"/>
  <c r="R98" i="214" s="1"/>
  <c r="L75" i="214"/>
  <c r="L98" i="214" s="1"/>
  <c r="K75" i="214"/>
  <c r="K98" i="214" s="1"/>
  <c r="J75" i="214"/>
  <c r="J98" i="214" s="1"/>
  <c r="C75" i="214"/>
  <c r="B75" i="214"/>
  <c r="AA75" i="214"/>
  <c r="AA98" i="214" s="1"/>
  <c r="AH73" i="214"/>
  <c r="AG73" i="214"/>
  <c r="AF73" i="214"/>
  <c r="AH72" i="214"/>
  <c r="AG72" i="214"/>
  <c r="AF72" i="214"/>
  <c r="AB75" i="214"/>
  <c r="AB98" i="214" s="1"/>
  <c r="AC75" i="214"/>
  <c r="AC98" i="214" s="1"/>
  <c r="Z64" i="214"/>
  <c r="Z97" i="214" s="1"/>
  <c r="Y64" i="214"/>
  <c r="Y97" i="214" s="1"/>
  <c r="X64" i="214"/>
  <c r="X97" i="214" s="1"/>
  <c r="W64" i="214"/>
  <c r="W97" i="214" s="1"/>
  <c r="V64" i="214"/>
  <c r="V97" i="214" s="1"/>
  <c r="U64" i="214"/>
  <c r="U97" i="214" s="1"/>
  <c r="T64" i="214"/>
  <c r="T97" i="214" s="1"/>
  <c r="L64" i="214"/>
  <c r="L97" i="214" s="1"/>
  <c r="K64" i="214"/>
  <c r="K97" i="214" s="1"/>
  <c r="I64" i="214"/>
  <c r="I97" i="214" s="1"/>
  <c r="C64" i="214"/>
  <c r="B64" i="214"/>
  <c r="AB64" i="214"/>
  <c r="AB97" i="214" s="1"/>
  <c r="AA64" i="214"/>
  <c r="AA97" i="214" s="1"/>
  <c r="S64" i="214"/>
  <c r="AC64" i="214"/>
  <c r="AC97" i="214" s="1"/>
  <c r="P64" i="214"/>
  <c r="P97" i="214" s="1"/>
  <c r="O64" i="214"/>
  <c r="O97" i="214" s="1"/>
  <c r="N64" i="214"/>
  <c r="N97" i="214" s="1"/>
  <c r="M64" i="214"/>
  <c r="M97" i="214" s="1"/>
  <c r="H64" i="214"/>
  <c r="H97" i="214" s="1"/>
  <c r="AC59" i="214"/>
  <c r="AB59" i="214"/>
  <c r="AB96" i="214" s="1"/>
  <c r="Z59" i="214"/>
  <c r="Z96" i="214" s="1"/>
  <c r="X59" i="214"/>
  <c r="X96" i="214" s="1"/>
  <c r="W59" i="214"/>
  <c r="W96" i="214" s="1"/>
  <c r="T59" i="214"/>
  <c r="T96" i="214" s="1"/>
  <c r="R59" i="214"/>
  <c r="R96" i="214" s="1"/>
  <c r="N59" i="214"/>
  <c r="N96" i="214" s="1"/>
  <c r="M59" i="214"/>
  <c r="M96" i="214" s="1"/>
  <c r="L59" i="214"/>
  <c r="L96" i="214" s="1"/>
  <c r="K59" i="214"/>
  <c r="K96" i="214" s="1"/>
  <c r="J59" i="214"/>
  <c r="J96" i="214" s="1"/>
  <c r="I59" i="214"/>
  <c r="H59" i="214"/>
  <c r="H96" i="214" s="1"/>
  <c r="G59" i="214"/>
  <c r="G96" i="214" s="1"/>
  <c r="F59" i="214"/>
  <c r="F96" i="214" s="1"/>
  <c r="C59" i="214"/>
  <c r="B59" i="214"/>
  <c r="AH58" i="214"/>
  <c r="AG57" i="214"/>
  <c r="AF57" i="214"/>
  <c r="AA59" i="214"/>
  <c r="AA96" i="214" s="1"/>
  <c r="AH51" i="214"/>
  <c r="AG51" i="214"/>
  <c r="AF51" i="214"/>
  <c r="AH50" i="214"/>
  <c r="AG50" i="214"/>
  <c r="AF50" i="214"/>
  <c r="AH48" i="214"/>
  <c r="AG48" i="214"/>
  <c r="AF48" i="214"/>
  <c r="AH44" i="214"/>
  <c r="AG44" i="214"/>
  <c r="AH43" i="214"/>
  <c r="AG43" i="214"/>
  <c r="AF43" i="214"/>
  <c r="AH42" i="214"/>
  <c r="AG42" i="214"/>
  <c r="AF42" i="214"/>
  <c r="AH41" i="214"/>
  <c r="AG41" i="214"/>
  <c r="AF41" i="214"/>
  <c r="AH40" i="214"/>
  <c r="AG40" i="214"/>
  <c r="AF40" i="214"/>
  <c r="AH39" i="214"/>
  <c r="AG39" i="214"/>
  <c r="AF39" i="214"/>
  <c r="AH38" i="214"/>
  <c r="AG38" i="214"/>
  <c r="AF38" i="214"/>
  <c r="AH37" i="214"/>
  <c r="AG37" i="214"/>
  <c r="AF37" i="214"/>
  <c r="AH36" i="214"/>
  <c r="AG36" i="214"/>
  <c r="AF36" i="214"/>
  <c r="AH35" i="214"/>
  <c r="AG35" i="214"/>
  <c r="AF35" i="214"/>
  <c r="AC33" i="214"/>
  <c r="AC94" i="214" s="1"/>
  <c r="AB33" i="214"/>
  <c r="AB94" i="214" s="1"/>
  <c r="AA33" i="214"/>
  <c r="AA94" i="214" s="1"/>
  <c r="Z33" i="214"/>
  <c r="Z94" i="214" s="1"/>
  <c r="Y33" i="214"/>
  <c r="Y94" i="214" s="1"/>
  <c r="X33" i="214"/>
  <c r="X94" i="214" s="1"/>
  <c r="W33" i="214"/>
  <c r="W94" i="214" s="1"/>
  <c r="V33" i="214"/>
  <c r="U33" i="214"/>
  <c r="T33" i="214"/>
  <c r="T94" i="214" s="1"/>
  <c r="S33" i="214"/>
  <c r="S94" i="214" s="1"/>
  <c r="R33" i="214"/>
  <c r="R94" i="214" s="1"/>
  <c r="Q33" i="214"/>
  <c r="Q94" i="214" s="1"/>
  <c r="P33" i="214"/>
  <c r="P94" i="214" s="1"/>
  <c r="O33" i="214"/>
  <c r="O94" i="214" s="1"/>
  <c r="N33" i="214"/>
  <c r="N94" i="214" s="1"/>
  <c r="M33" i="214"/>
  <c r="M94" i="214" s="1"/>
  <c r="L33" i="214"/>
  <c r="L94" i="214" s="1"/>
  <c r="K33" i="214"/>
  <c r="K94" i="214" s="1"/>
  <c r="J33" i="214"/>
  <c r="J94" i="214" s="1"/>
  <c r="I33" i="214"/>
  <c r="I94" i="214" s="1"/>
  <c r="H33" i="214"/>
  <c r="H94" i="214" s="1"/>
  <c r="G33" i="214"/>
  <c r="G94" i="214" s="1"/>
  <c r="F33" i="214"/>
  <c r="F94" i="214" s="1"/>
  <c r="C33" i="214"/>
  <c r="B33" i="214"/>
  <c r="AH32" i="214"/>
  <c r="AG32" i="214"/>
  <c r="AF32" i="214"/>
  <c r="AI31" i="214"/>
  <c r="AC30" i="214"/>
  <c r="AB30" i="214"/>
  <c r="AA30" i="214"/>
  <c r="Z30" i="214"/>
  <c r="Z92" i="214" s="1"/>
  <c r="Y30" i="214"/>
  <c r="Y92" i="214" s="1"/>
  <c r="X30" i="214"/>
  <c r="X92" i="214" s="1"/>
  <c r="W30" i="214"/>
  <c r="W92" i="214" s="1"/>
  <c r="V30" i="214"/>
  <c r="V92" i="214" s="1"/>
  <c r="U30" i="214"/>
  <c r="U92" i="214" s="1"/>
  <c r="T30" i="214"/>
  <c r="T92" i="214" s="1"/>
  <c r="S30" i="214"/>
  <c r="S92" i="214" s="1"/>
  <c r="R30" i="214"/>
  <c r="R92" i="214" s="1"/>
  <c r="Q30" i="214"/>
  <c r="Q92" i="214" s="1"/>
  <c r="P30" i="214"/>
  <c r="P92" i="214" s="1"/>
  <c r="O30" i="214"/>
  <c r="N30" i="214"/>
  <c r="N92" i="214" s="1"/>
  <c r="M30" i="214"/>
  <c r="M92" i="214" s="1"/>
  <c r="L30" i="214"/>
  <c r="L92" i="214" s="1"/>
  <c r="K30" i="214"/>
  <c r="K92" i="214" s="1"/>
  <c r="J30" i="214"/>
  <c r="J92" i="214" s="1"/>
  <c r="I30" i="214"/>
  <c r="I92" i="214" s="1"/>
  <c r="H30" i="214"/>
  <c r="H92" i="214" s="1"/>
  <c r="G30" i="214"/>
  <c r="G92" i="214" s="1"/>
  <c r="F30" i="214"/>
  <c r="F92" i="214" s="1"/>
  <c r="C30" i="214"/>
  <c r="B30" i="214"/>
  <c r="AH28" i="214"/>
  <c r="AG28" i="214"/>
  <c r="AF28" i="214"/>
  <c r="AH27" i="214"/>
  <c r="AG27" i="214"/>
  <c r="AF27" i="214"/>
  <c r="AI26" i="214"/>
  <c r="AC25" i="214"/>
  <c r="AB25" i="214"/>
  <c r="AA25" i="214"/>
  <c r="Z25" i="214"/>
  <c r="Y25" i="214"/>
  <c r="X25" i="214"/>
  <c r="W25" i="214"/>
  <c r="V25" i="214"/>
  <c r="U25" i="214"/>
  <c r="T25" i="214"/>
  <c r="S25" i="214"/>
  <c r="R25" i="214"/>
  <c r="Q25" i="214"/>
  <c r="P25" i="214"/>
  <c r="O25" i="214"/>
  <c r="N25" i="214"/>
  <c r="M25" i="214"/>
  <c r="L25" i="214"/>
  <c r="K25" i="214"/>
  <c r="J25" i="214"/>
  <c r="I25" i="214"/>
  <c r="H25" i="214"/>
  <c r="G25" i="214"/>
  <c r="F25" i="214"/>
  <c r="C25" i="214"/>
  <c r="B25" i="214"/>
  <c r="AH24" i="214"/>
  <c r="AG24" i="214"/>
  <c r="AF24" i="214"/>
  <c r="AI23" i="214"/>
  <c r="AC22" i="214"/>
  <c r="AC88" i="214" s="1"/>
  <c r="AB22" i="214"/>
  <c r="AB88" i="214" s="1"/>
  <c r="AA22" i="214"/>
  <c r="Z22" i="214"/>
  <c r="Y22" i="214"/>
  <c r="X22" i="214"/>
  <c r="W22" i="214"/>
  <c r="V22" i="214"/>
  <c r="U22" i="214"/>
  <c r="T22" i="214"/>
  <c r="S22" i="214"/>
  <c r="R22" i="214"/>
  <c r="Q22" i="214"/>
  <c r="P22" i="214"/>
  <c r="P88" i="214" s="1"/>
  <c r="O22" i="214"/>
  <c r="N22" i="214"/>
  <c r="M22" i="214"/>
  <c r="M88" i="214" s="1"/>
  <c r="L22" i="214"/>
  <c r="L88" i="214" s="1"/>
  <c r="K22" i="214"/>
  <c r="K88" i="214" s="1"/>
  <c r="J22" i="214"/>
  <c r="J88" i="214" s="1"/>
  <c r="I22" i="214"/>
  <c r="H22" i="214"/>
  <c r="H88" i="214" s="1"/>
  <c r="G22" i="214"/>
  <c r="F22" i="214"/>
  <c r="C22" i="214"/>
  <c r="B22" i="214"/>
  <c r="AH21" i="214"/>
  <c r="AG21" i="214"/>
  <c r="AF21" i="214"/>
  <c r="AH20" i="214"/>
  <c r="AG20" i="214"/>
  <c r="AF20" i="214"/>
  <c r="AH19" i="214"/>
  <c r="AG19" i="214"/>
  <c r="AF19" i="214"/>
  <c r="AI18" i="214"/>
  <c r="AC17" i="214"/>
  <c r="AB17" i="214"/>
  <c r="AA17" i="214"/>
  <c r="Z17" i="214"/>
  <c r="Z90" i="214" s="1"/>
  <c r="Y17" i="214"/>
  <c r="Y90" i="214" s="1"/>
  <c r="X17" i="214"/>
  <c r="X90" i="214" s="1"/>
  <c r="W17" i="214"/>
  <c r="W90" i="214" s="1"/>
  <c r="V17" i="214"/>
  <c r="V90" i="214" s="1"/>
  <c r="U17" i="214"/>
  <c r="T17" i="214"/>
  <c r="T90" i="214" s="1"/>
  <c r="S17" i="214"/>
  <c r="R17" i="214"/>
  <c r="R90" i="214" s="1"/>
  <c r="Q17" i="214"/>
  <c r="Q90" i="214" s="1"/>
  <c r="P17" i="214"/>
  <c r="P90" i="214" s="1"/>
  <c r="O17" i="214"/>
  <c r="O90" i="214" s="1"/>
  <c r="N17" i="214"/>
  <c r="M17" i="214"/>
  <c r="L17" i="214"/>
  <c r="K17" i="214"/>
  <c r="K90" i="214" s="1"/>
  <c r="J17" i="214"/>
  <c r="J90" i="214" s="1"/>
  <c r="I17" i="214"/>
  <c r="I90" i="214" s="1"/>
  <c r="H17" i="214"/>
  <c r="H90" i="214" s="1"/>
  <c r="G17" i="214"/>
  <c r="G90" i="214" s="1"/>
  <c r="F17" i="214"/>
  <c r="F90" i="214" s="1"/>
  <c r="C17" i="214"/>
  <c r="C82" i="214" s="1"/>
  <c r="B17" i="214"/>
  <c r="AH16" i="214"/>
  <c r="AG16" i="214"/>
  <c r="AF16" i="214"/>
  <c r="AH15" i="214"/>
  <c r="AG15" i="214"/>
  <c r="AF15" i="214"/>
  <c r="AH14" i="214"/>
  <c r="AG14" i="214"/>
  <c r="AF14" i="214"/>
  <c r="AH13" i="214"/>
  <c r="AG13" i="214"/>
  <c r="AF13" i="214"/>
  <c r="AI12" i="214"/>
  <c r="M9" i="214" a="1"/>
  <c r="M9" i="214" s="1"/>
  <c r="F1051" i="88"/>
  <c r="AE477" i="157"/>
  <c r="AB63" i="213"/>
  <c r="AB61" i="213"/>
  <c r="F1086" i="88"/>
  <c r="F1089" i="88"/>
  <c r="F1047" i="88"/>
  <c r="F1088" i="88"/>
  <c r="F1087" i="88"/>
  <c r="AE476" i="157"/>
  <c r="AB67" i="213"/>
  <c r="AB68" i="213"/>
  <c r="AB69" i="213"/>
  <c r="AB70" i="213"/>
  <c r="AB71" i="213"/>
  <c r="AB74" i="213"/>
  <c r="AA63" i="213"/>
  <c r="AA61" i="213"/>
  <c r="AA58" i="213"/>
  <c r="AA56" i="213"/>
  <c r="AA52" i="213"/>
  <c r="AA44" i="213"/>
  <c r="F1032" i="88"/>
  <c r="AE475" i="157"/>
  <c r="AA67" i="213"/>
  <c r="AA68" i="213"/>
  <c r="AA69" i="213"/>
  <c r="AA70" i="213"/>
  <c r="AA71" i="213"/>
  <c r="AA74" i="213"/>
  <c r="Z74" i="213"/>
  <c r="Z71" i="213"/>
  <c r="Z70" i="213"/>
  <c r="Z69" i="213"/>
  <c r="Z68" i="213"/>
  <c r="Z67" i="213"/>
  <c r="Z63" i="213"/>
  <c r="Z61" i="213"/>
  <c r="F1078" i="88"/>
  <c r="F1077" i="88"/>
  <c r="F1075" i="88"/>
  <c r="AE474" i="157"/>
  <c r="Y55" i="213"/>
  <c r="Y54" i="213"/>
  <c r="Y53" i="213"/>
  <c r="Y104" i="213"/>
  <c r="F979" i="88"/>
  <c r="F980" i="88"/>
  <c r="F981" i="88"/>
  <c r="F1079" i="88"/>
  <c r="F1076" i="88"/>
  <c r="F983" i="88"/>
  <c r="F1071" i="88"/>
  <c r="F1074" i="88"/>
  <c r="Q103" i="213"/>
  <c r="R103" i="213"/>
  <c r="S103" i="213"/>
  <c r="P103" i="213"/>
  <c r="AE473" i="157"/>
  <c r="X74" i="213"/>
  <c r="X71" i="213"/>
  <c r="X70" i="213"/>
  <c r="X67" i="213"/>
  <c r="X66" i="213"/>
  <c r="X63" i="213"/>
  <c r="X61" i="213"/>
  <c r="F1046" i="88"/>
  <c r="F1042" i="88"/>
  <c r="F1041" i="88"/>
  <c r="W63" i="213"/>
  <c r="V63" i="213"/>
  <c r="U63" i="213"/>
  <c r="T63" i="213"/>
  <c r="S63" i="213"/>
  <c r="AE472" i="157"/>
  <c r="W74" i="213"/>
  <c r="W71" i="213"/>
  <c r="W70" i="213"/>
  <c r="W69" i="213"/>
  <c r="W67" i="213"/>
  <c r="W66" i="213"/>
  <c r="W62" i="213"/>
  <c r="F1070" i="88"/>
  <c r="F1069" i="88"/>
  <c r="F968" i="88"/>
  <c r="F1068" i="88"/>
  <c r="AE471" i="157"/>
  <c r="V74" i="213"/>
  <c r="V71" i="213"/>
  <c r="V70" i="213"/>
  <c r="V69" i="213"/>
  <c r="V68" i="213"/>
  <c r="V67" i="213"/>
  <c r="F1066" i="88"/>
  <c r="V62" i="213"/>
  <c r="AE470" i="157"/>
  <c r="AE469" i="157"/>
  <c r="U74" i="213"/>
  <c r="U71" i="213"/>
  <c r="U70" i="213"/>
  <c r="U69" i="213"/>
  <c r="U68" i="213"/>
  <c r="U67" i="213"/>
  <c r="U62" i="213"/>
  <c r="F1063" i="88"/>
  <c r="F1064" i="88"/>
  <c r="T74" i="213"/>
  <c r="T71" i="213"/>
  <c r="T70" i="213"/>
  <c r="T69" i="213"/>
  <c r="T68" i="213"/>
  <c r="T67" i="213"/>
  <c r="T62" i="213"/>
  <c r="F1059" i="88"/>
  <c r="F1062" i="88"/>
  <c r="S74" i="213"/>
  <c r="S71" i="213"/>
  <c r="S70" i="213"/>
  <c r="S69" i="213"/>
  <c r="S68" i="213"/>
  <c r="S67" i="213"/>
  <c r="S62" i="213"/>
  <c r="F935" i="88"/>
  <c r="AE467" i="157"/>
  <c r="R74" i="213"/>
  <c r="R71" i="213"/>
  <c r="R70" i="213"/>
  <c r="R69" i="213"/>
  <c r="R68" i="213"/>
  <c r="R67" i="213"/>
  <c r="R62" i="213"/>
  <c r="AE466" i="157"/>
  <c r="Q74" i="213"/>
  <c r="Q71" i="213"/>
  <c r="Q70" i="213"/>
  <c r="Q69" i="213"/>
  <c r="Q68" i="213"/>
  <c r="Q67" i="213"/>
  <c r="Q62" i="213"/>
  <c r="Q61" i="213"/>
  <c r="AE465" i="157"/>
  <c r="P74" i="213"/>
  <c r="P68" i="213"/>
  <c r="P69" i="213"/>
  <c r="P70" i="213"/>
  <c r="P71" i="213"/>
  <c r="P67" i="213"/>
  <c r="P62" i="213"/>
  <c r="P61" i="213"/>
  <c r="AE464" i="157"/>
  <c r="F1056" i="88"/>
  <c r="F1061" i="88"/>
  <c r="F1058" i="88"/>
  <c r="F1057" i="88"/>
  <c r="O74" i="213"/>
  <c r="O67" i="213"/>
  <c r="O68" i="213"/>
  <c r="O69" i="213"/>
  <c r="O70" i="213"/>
  <c r="O71" i="213"/>
  <c r="O66" i="213"/>
  <c r="O62" i="213"/>
  <c r="O61" i="213"/>
  <c r="O58" i="213"/>
  <c r="O53" i="213"/>
  <c r="O52" i="213"/>
  <c r="F1055" i="88"/>
  <c r="F1053" i="88"/>
  <c r="F1054" i="88"/>
  <c r="F1052" i="88"/>
  <c r="AE463" i="157"/>
  <c r="N68" i="213"/>
  <c r="N69" i="213"/>
  <c r="N70" i="213"/>
  <c r="N71" i="213"/>
  <c r="N67" i="213"/>
  <c r="N62" i="213"/>
  <c r="N61" i="213"/>
  <c r="S97" i="192"/>
  <c r="T102" i="192"/>
  <c r="F1048" i="88"/>
  <c r="F1049" i="88"/>
  <c r="AE462" i="157"/>
  <c r="M74" i="213"/>
  <c r="M68" i="213"/>
  <c r="M69" i="213"/>
  <c r="M70" i="213"/>
  <c r="M71" i="213"/>
  <c r="M67" i="213"/>
  <c r="M62" i="213"/>
  <c r="M61" i="213"/>
  <c r="F1050" i="88"/>
  <c r="F1045" i="88"/>
  <c r="F1044" i="88"/>
  <c r="F1036" i="88"/>
  <c r="F1043" i="88"/>
  <c r="AE461" i="157"/>
  <c r="AE460" i="157"/>
  <c r="F1039" i="88"/>
  <c r="F1040" i="88"/>
  <c r="AE459" i="157"/>
  <c r="AE458" i="157"/>
  <c r="Z75" i="214" l="1"/>
  <c r="Z98" i="214" s="1"/>
  <c r="AF74" i="214"/>
  <c r="V59" i="214"/>
  <c r="V96" i="214" s="1"/>
  <c r="AG55" i="214"/>
  <c r="V107" i="214"/>
  <c r="AG45" i="214"/>
  <c r="T107" i="214"/>
  <c r="AI65" i="214"/>
  <c r="AH47" i="214"/>
  <c r="AF46" i="214"/>
  <c r="AG46" i="214"/>
  <c r="AH46" i="214"/>
  <c r="AH49" i="214"/>
  <c r="AF49" i="214"/>
  <c r="AF47" i="214"/>
  <c r="P59" i="214"/>
  <c r="P96" i="214" s="1"/>
  <c r="AG47" i="214"/>
  <c r="AF45" i="214"/>
  <c r="O88" i="214"/>
  <c r="AH53" i="214"/>
  <c r="AI34" i="214"/>
  <c r="AH56" i="214"/>
  <c r="AG56" i="214"/>
  <c r="N75" i="214"/>
  <c r="N98" i="214" s="1"/>
  <c r="AG66" i="214"/>
  <c r="N107" i="214"/>
  <c r="N88" i="214"/>
  <c r="M107" i="214"/>
  <c r="K107" i="214"/>
  <c r="I88" i="214"/>
  <c r="AH70" i="214"/>
  <c r="AH71" i="214"/>
  <c r="AH68" i="214"/>
  <c r="AF71" i="214"/>
  <c r="AG71" i="214"/>
  <c r="P101" i="214"/>
  <c r="P106" i="214" s="1"/>
  <c r="N101" i="214"/>
  <c r="N106" i="214" s="1"/>
  <c r="Y107" i="214"/>
  <c r="Z107" i="214"/>
  <c r="H107" i="214"/>
  <c r="X107" i="214"/>
  <c r="G107" i="214"/>
  <c r="I107" i="214"/>
  <c r="Z108" i="214"/>
  <c r="R107" i="214"/>
  <c r="F108" i="214"/>
  <c r="F107" i="214"/>
  <c r="Q88" i="214"/>
  <c r="R88" i="214"/>
  <c r="R101" i="214" s="1"/>
  <c r="R106" i="214" s="1"/>
  <c r="S88" i="214"/>
  <c r="T88" i="214"/>
  <c r="U88" i="214"/>
  <c r="V88" i="214"/>
  <c r="G108" i="214"/>
  <c r="AA108" i="214"/>
  <c r="O108" i="214"/>
  <c r="W107" i="214"/>
  <c r="I101" i="214"/>
  <c r="I106" i="214" s="1"/>
  <c r="T101" i="214"/>
  <c r="T106" i="214" s="1"/>
  <c r="S97" i="214"/>
  <c r="S82" i="214"/>
  <c r="M101" i="214"/>
  <c r="M106" i="214" s="1"/>
  <c r="AB101" i="214"/>
  <c r="AB106" i="214" s="1"/>
  <c r="AC82" i="214"/>
  <c r="AC108" i="214"/>
  <c r="AG70" i="214"/>
  <c r="AF70" i="214"/>
  <c r="R82" i="214"/>
  <c r="X88" i="214"/>
  <c r="T82" i="214"/>
  <c r="AF52" i="214"/>
  <c r="AB82" i="214"/>
  <c r="AB108" i="214"/>
  <c r="AH67" i="214"/>
  <c r="AA107" i="214"/>
  <c r="AI60" i="214"/>
  <c r="AF61" i="214"/>
  <c r="AH61" i="214"/>
  <c r="F64" i="214"/>
  <c r="F97" i="214" s="1"/>
  <c r="AF68" i="214"/>
  <c r="AB107" i="214"/>
  <c r="U94" i="214"/>
  <c r="AG68" i="214"/>
  <c r="AH74" i="214"/>
  <c r="L101" i="214"/>
  <c r="L106" i="214" s="1"/>
  <c r="AC90" i="214"/>
  <c r="AC107" i="214" s="1"/>
  <c r="V94" i="214"/>
  <c r="Q108" i="214"/>
  <c r="Q107" i="214"/>
  <c r="H75" i="214"/>
  <c r="H98" i="214" s="1"/>
  <c r="H101" i="214" s="1"/>
  <c r="H106" i="214" s="1"/>
  <c r="F75" i="214"/>
  <c r="F98" i="214" s="1"/>
  <c r="R108" i="214"/>
  <c r="M75" i="214"/>
  <c r="M98" i="214" s="1"/>
  <c r="S108" i="214"/>
  <c r="P82" i="214"/>
  <c r="Q96" i="214"/>
  <c r="L108" i="214"/>
  <c r="L82" i="214"/>
  <c r="AH52" i="214"/>
  <c r="J107" i="214"/>
  <c r="I108" i="214"/>
  <c r="I82" i="214"/>
  <c r="U75" i="214"/>
  <c r="U98" i="214" s="1"/>
  <c r="J108" i="214"/>
  <c r="J82" i="214"/>
  <c r="K108" i="214"/>
  <c r="K82" i="214"/>
  <c r="J101" i="214"/>
  <c r="J106" i="214" s="1"/>
  <c r="AG63" i="214"/>
  <c r="P107" i="214"/>
  <c r="AH62" i="214"/>
  <c r="AG62" i="214"/>
  <c r="AF63" i="214"/>
  <c r="H108" i="214"/>
  <c r="X75" i="214"/>
  <c r="X98" i="214" s="1"/>
  <c r="AG67" i="214"/>
  <c r="AF67" i="214"/>
  <c r="G75" i="214"/>
  <c r="G98" i="214" s="1"/>
  <c r="Y88" i="214"/>
  <c r="AF56" i="214"/>
  <c r="O59" i="214"/>
  <c r="Q64" i="214"/>
  <c r="Q97" i="214" s="1"/>
  <c r="O92" i="214"/>
  <c r="O107" i="214" s="1"/>
  <c r="M108" i="214"/>
  <c r="AG52" i="214"/>
  <c r="W75" i="214"/>
  <c r="W98" i="214" s="1"/>
  <c r="AH69" i="214"/>
  <c r="AG69" i="214"/>
  <c r="AF69" i="214"/>
  <c r="N108" i="214"/>
  <c r="N82" i="214"/>
  <c r="AA82" i="214"/>
  <c r="AH63" i="214"/>
  <c r="K101" i="214"/>
  <c r="K106" i="214" s="1"/>
  <c r="P108" i="214"/>
  <c r="AG61" i="214"/>
  <c r="G64" i="214"/>
  <c r="AF62" i="214"/>
  <c r="AG74" i="214"/>
  <c r="T108" i="214"/>
  <c r="U90" i="214"/>
  <c r="U108" i="214"/>
  <c r="F88" i="214"/>
  <c r="Z88" i="214"/>
  <c r="G88" i="214"/>
  <c r="AA88" i="214"/>
  <c r="AA101" i="214" s="1"/>
  <c r="AA106" i="214" s="1"/>
  <c r="B82" i="214"/>
  <c r="W88" i="214"/>
  <c r="V108" i="214"/>
  <c r="W108" i="214"/>
  <c r="AF53" i="214"/>
  <c r="AF58" i="214"/>
  <c r="X108" i="214"/>
  <c r="Y108" i="214"/>
  <c r="AG54" i="214"/>
  <c r="AH54" i="214"/>
  <c r="AF66" i="214"/>
  <c r="Y59" i="214"/>
  <c r="Y96" i="214" s="1"/>
  <c r="AH66" i="214"/>
  <c r="AF55" i="214"/>
  <c r="AE457" i="157"/>
  <c r="AE456" i="157"/>
  <c r="F63" i="213"/>
  <c r="F61" i="213"/>
  <c r="AH61" i="213" s="1"/>
  <c r="AE455" i="157"/>
  <c r="H74" i="213"/>
  <c r="H71" i="213"/>
  <c r="H70" i="213"/>
  <c r="H68" i="213"/>
  <c r="H67" i="213"/>
  <c r="AF67" i="213" s="1"/>
  <c r="H63" i="213"/>
  <c r="H61" i="213"/>
  <c r="H64" i="213" s="1"/>
  <c r="H97" i="213" s="1"/>
  <c r="G63" i="213"/>
  <c r="G61" i="213"/>
  <c r="AG61" i="213" s="1"/>
  <c r="G74" i="213"/>
  <c r="AF74" i="213" s="1"/>
  <c r="G71" i="213"/>
  <c r="AG71" i="213" s="1"/>
  <c r="G70" i="213"/>
  <c r="AF70" i="213" s="1"/>
  <c r="G68" i="213"/>
  <c r="AG68" i="213" s="1"/>
  <c r="G67" i="213"/>
  <c r="F74" i="213"/>
  <c r="F71" i="213"/>
  <c r="F70" i="213"/>
  <c r="AH70" i="213" s="1"/>
  <c r="F68" i="213"/>
  <c r="F67" i="213"/>
  <c r="F1035" i="88"/>
  <c r="F1016" i="88"/>
  <c r="F1020" i="88"/>
  <c r="AE453" i="157"/>
  <c r="F1023" i="88"/>
  <c r="AC63" i="212"/>
  <c r="AB63" i="212"/>
  <c r="AA63" i="212"/>
  <c r="Z63" i="212"/>
  <c r="Y63" i="212"/>
  <c r="F998" i="88"/>
  <c r="X63" i="212"/>
  <c r="AC74" i="212"/>
  <c r="AC71" i="212"/>
  <c r="AC70" i="212"/>
  <c r="AC68" i="212"/>
  <c r="AC67" i="212"/>
  <c r="AC66" i="212"/>
  <c r="AC62" i="212"/>
  <c r="F1038" i="88"/>
  <c r="F1027" i="88"/>
  <c r="AC125" i="213"/>
  <c r="AB125" i="213"/>
  <c r="AA125" i="213"/>
  <c r="Z125" i="213"/>
  <c r="Y125" i="213"/>
  <c r="X125" i="213"/>
  <c r="W125" i="213"/>
  <c r="V125" i="213"/>
  <c r="U125" i="213"/>
  <c r="T125" i="213"/>
  <c r="S125" i="213"/>
  <c r="R125" i="213"/>
  <c r="Q125" i="213"/>
  <c r="P125" i="213"/>
  <c r="O125" i="213"/>
  <c r="N125" i="213"/>
  <c r="M125" i="213"/>
  <c r="L125" i="213"/>
  <c r="K125" i="213"/>
  <c r="J125" i="213"/>
  <c r="I125" i="213"/>
  <c r="H125" i="213"/>
  <c r="G125" i="213"/>
  <c r="F125" i="213"/>
  <c r="AC105" i="213"/>
  <c r="AB105" i="213"/>
  <c r="AA105" i="213"/>
  <c r="Z105" i="213"/>
  <c r="Y105" i="213"/>
  <c r="X105" i="213"/>
  <c r="W105" i="213"/>
  <c r="T105" i="213"/>
  <c r="S105" i="213"/>
  <c r="P105" i="213"/>
  <c r="O105" i="213"/>
  <c r="N105" i="213"/>
  <c r="M105" i="213"/>
  <c r="L105" i="213"/>
  <c r="K105" i="213"/>
  <c r="J105" i="213"/>
  <c r="I105" i="213"/>
  <c r="H105" i="213"/>
  <c r="G105" i="213"/>
  <c r="F105" i="213"/>
  <c r="V105" i="213"/>
  <c r="U105" i="213"/>
  <c r="R105" i="213"/>
  <c r="Q105" i="213"/>
  <c r="AC100" i="213"/>
  <c r="AB100" i="213"/>
  <c r="AA100" i="213"/>
  <c r="Z100" i="213"/>
  <c r="Y100" i="213"/>
  <c r="X100" i="213"/>
  <c r="W100" i="213"/>
  <c r="V100" i="213"/>
  <c r="U100" i="213"/>
  <c r="T100" i="213"/>
  <c r="S100" i="213"/>
  <c r="R100" i="213"/>
  <c r="Q100" i="213"/>
  <c r="P100" i="213"/>
  <c r="O100" i="213"/>
  <c r="N100" i="213"/>
  <c r="M100" i="213"/>
  <c r="L100" i="213"/>
  <c r="K100" i="213"/>
  <c r="J100" i="213"/>
  <c r="I100" i="213"/>
  <c r="H100" i="213"/>
  <c r="G100" i="213"/>
  <c r="F100" i="213"/>
  <c r="T97" i="213"/>
  <c r="F94" i="213"/>
  <c r="AC79" i="213"/>
  <c r="AC99" i="213" s="1"/>
  <c r="AB79" i="213"/>
  <c r="AB99" i="213" s="1"/>
  <c r="AA79" i="213"/>
  <c r="AA99" i="213" s="1"/>
  <c r="Z79" i="213"/>
  <c r="Z99" i="213" s="1"/>
  <c r="Y79" i="213"/>
  <c r="Y99" i="213" s="1"/>
  <c r="X79" i="213"/>
  <c r="X99" i="213" s="1"/>
  <c r="W79" i="213"/>
  <c r="W99" i="213" s="1"/>
  <c r="V79" i="213"/>
  <c r="V99" i="213" s="1"/>
  <c r="U79" i="213"/>
  <c r="U99" i="213" s="1"/>
  <c r="T79" i="213"/>
  <c r="T99" i="213" s="1"/>
  <c r="S79" i="213"/>
  <c r="S99" i="213" s="1"/>
  <c r="R79" i="213"/>
  <c r="R99" i="213" s="1"/>
  <c r="Q79" i="213"/>
  <c r="Q99" i="213" s="1"/>
  <c r="P79" i="213"/>
  <c r="P99" i="213" s="1"/>
  <c r="O79" i="213"/>
  <c r="O99" i="213" s="1"/>
  <c r="N79" i="213"/>
  <c r="N99" i="213" s="1"/>
  <c r="M79" i="213"/>
  <c r="M99" i="213" s="1"/>
  <c r="L79" i="213"/>
  <c r="L99" i="213" s="1"/>
  <c r="K79" i="213"/>
  <c r="K99" i="213" s="1"/>
  <c r="J79" i="213"/>
  <c r="J99" i="213" s="1"/>
  <c r="I79" i="213"/>
  <c r="I99" i="213" s="1"/>
  <c r="H79" i="213"/>
  <c r="H99" i="213" s="1"/>
  <c r="G79" i="213"/>
  <c r="G99" i="213" s="1"/>
  <c r="F79" i="213"/>
  <c r="F99" i="213" s="1"/>
  <c r="C79" i="213"/>
  <c r="AH78" i="213"/>
  <c r="AG78" i="213"/>
  <c r="AF78" i="213"/>
  <c r="AH77" i="213"/>
  <c r="AG77" i="213"/>
  <c r="AF77" i="213"/>
  <c r="AI76" i="213"/>
  <c r="Q75" i="213"/>
  <c r="Q98" i="213" s="1"/>
  <c r="P75" i="213"/>
  <c r="P98" i="213" s="1"/>
  <c r="L75" i="213"/>
  <c r="L98" i="213" s="1"/>
  <c r="K75" i="213"/>
  <c r="K98" i="213" s="1"/>
  <c r="J75" i="213"/>
  <c r="J98" i="213" s="1"/>
  <c r="C75" i="213"/>
  <c r="B75" i="213"/>
  <c r="B79" i="213" s="1"/>
  <c r="B25" i="213" s="1"/>
  <c r="AH73" i="213"/>
  <c r="AG73" i="213"/>
  <c r="AF73" i="213"/>
  <c r="AH72" i="213"/>
  <c r="AG72" i="213"/>
  <c r="AF72" i="213"/>
  <c r="AG69" i="213"/>
  <c r="AH69" i="213"/>
  <c r="T75" i="213"/>
  <c r="T98" i="213" s="1"/>
  <c r="S75" i="213"/>
  <c r="S98" i="213" s="1"/>
  <c r="R75" i="213"/>
  <c r="X75" i="213"/>
  <c r="X98" i="213" s="1"/>
  <c r="W75" i="213"/>
  <c r="W98" i="213" s="1"/>
  <c r="V75" i="213"/>
  <c r="V98" i="213" s="1"/>
  <c r="AG67" i="213"/>
  <c r="O75" i="213"/>
  <c r="O98" i="213" s="1"/>
  <c r="N75" i="213"/>
  <c r="N98" i="213" s="1"/>
  <c r="H75" i="213"/>
  <c r="H98" i="213" s="1"/>
  <c r="AC75" i="213"/>
  <c r="AC98" i="213" s="1"/>
  <c r="AB75" i="213"/>
  <c r="AB98" i="213" s="1"/>
  <c r="AA75" i="213"/>
  <c r="AA98" i="213" s="1"/>
  <c r="Z75" i="213"/>
  <c r="Z98" i="213" s="1"/>
  <c r="Y75" i="213"/>
  <c r="Y98" i="213" s="1"/>
  <c r="W64" i="213"/>
  <c r="W97" i="213" s="1"/>
  <c r="V64" i="213"/>
  <c r="V97" i="213" s="1"/>
  <c r="U64" i="213"/>
  <c r="U97" i="213" s="1"/>
  <c r="T64" i="213"/>
  <c r="S64" i="213"/>
  <c r="S97" i="213" s="1"/>
  <c r="R64" i="213"/>
  <c r="R97" i="213" s="1"/>
  <c r="Q64" i="213"/>
  <c r="Q97" i="213" s="1"/>
  <c r="P64" i="213"/>
  <c r="P97" i="213" s="1"/>
  <c r="O64" i="213"/>
  <c r="O97" i="213" s="1"/>
  <c r="N64" i="213"/>
  <c r="N97" i="213" s="1"/>
  <c r="M64" i="213"/>
  <c r="M97" i="213" s="1"/>
  <c r="L64" i="213"/>
  <c r="L97" i="213" s="1"/>
  <c r="J64" i="213"/>
  <c r="J97" i="213" s="1"/>
  <c r="I64" i="213"/>
  <c r="I97" i="213" s="1"/>
  <c r="C64" i="213"/>
  <c r="AH62" i="213"/>
  <c r="AC64" i="213"/>
  <c r="AC97" i="213" s="1"/>
  <c r="Y64" i="213"/>
  <c r="Y97" i="213" s="1"/>
  <c r="K64" i="213"/>
  <c r="K97" i="213" s="1"/>
  <c r="AG62" i="213"/>
  <c r="AF62" i="213"/>
  <c r="AB64" i="213"/>
  <c r="AB97" i="213" s="1"/>
  <c r="AA64" i="213"/>
  <c r="AA97" i="213" s="1"/>
  <c r="Z64" i="213"/>
  <c r="Z97" i="213" s="1"/>
  <c r="X64" i="213"/>
  <c r="X97" i="213" s="1"/>
  <c r="F64" i="213"/>
  <c r="F97" i="213" s="1"/>
  <c r="AC59" i="213"/>
  <c r="AC96" i="213" s="1"/>
  <c r="AB59" i="213"/>
  <c r="AB96" i="213" s="1"/>
  <c r="AA59" i="213"/>
  <c r="AA96" i="213" s="1"/>
  <c r="Z59" i="213"/>
  <c r="Z96" i="213" s="1"/>
  <c r="Y59" i="213"/>
  <c r="Y96" i="213" s="1"/>
  <c r="X59" i="213"/>
  <c r="X96" i="213" s="1"/>
  <c r="W59" i="213"/>
  <c r="W96" i="213" s="1"/>
  <c r="T59" i="213"/>
  <c r="T96" i="213" s="1"/>
  <c r="S59" i="213"/>
  <c r="S96" i="213" s="1"/>
  <c r="R59" i="213"/>
  <c r="R96" i="213" s="1"/>
  <c r="Q59" i="213"/>
  <c r="Q96" i="213" s="1"/>
  <c r="P59" i="213"/>
  <c r="P96" i="213" s="1"/>
  <c r="O59" i="213"/>
  <c r="O96" i="213" s="1"/>
  <c r="N59" i="213"/>
  <c r="N96" i="213" s="1"/>
  <c r="M59" i="213"/>
  <c r="M96" i="213" s="1"/>
  <c r="L59" i="213"/>
  <c r="L96" i="213" s="1"/>
  <c r="K59" i="213"/>
  <c r="K96" i="213" s="1"/>
  <c r="J59" i="213"/>
  <c r="J96" i="213" s="1"/>
  <c r="I59" i="213"/>
  <c r="I96" i="213" s="1"/>
  <c r="H59" i="213"/>
  <c r="H96" i="213" s="1"/>
  <c r="G59" i="213"/>
  <c r="G96" i="213" s="1"/>
  <c r="F59" i="213"/>
  <c r="F96" i="213" s="1"/>
  <c r="C59" i="213"/>
  <c r="B59" i="213"/>
  <c r="B64" i="213" s="1"/>
  <c r="AH58" i="213"/>
  <c r="AG58" i="213"/>
  <c r="AF58" i="213"/>
  <c r="AH57" i="213"/>
  <c r="AG57" i="213"/>
  <c r="AF57" i="213"/>
  <c r="AH56" i="213"/>
  <c r="AG56" i="213"/>
  <c r="AF56" i="213"/>
  <c r="AF55" i="213"/>
  <c r="AH54" i="213"/>
  <c r="AG54" i="213"/>
  <c r="AF54" i="213"/>
  <c r="AH53" i="213"/>
  <c r="AG53" i="213"/>
  <c r="AF53" i="213"/>
  <c r="AH52" i="213"/>
  <c r="AG52" i="213"/>
  <c r="AF52" i="213"/>
  <c r="AH51" i="213"/>
  <c r="AG51" i="213"/>
  <c r="AF51" i="213"/>
  <c r="AH50" i="213"/>
  <c r="AG50" i="213"/>
  <c r="AF50" i="213"/>
  <c r="AH49" i="213"/>
  <c r="AG49" i="213"/>
  <c r="AF49" i="213"/>
  <c r="AH48" i="213"/>
  <c r="AG48" i="213"/>
  <c r="AF48" i="213"/>
  <c r="AH47" i="213"/>
  <c r="V59" i="213"/>
  <c r="V96" i="213" s="1"/>
  <c r="AG47" i="213"/>
  <c r="AH46" i="213"/>
  <c r="AG45" i="213"/>
  <c r="AH44" i="213"/>
  <c r="AG44" i="213"/>
  <c r="AF44" i="213"/>
  <c r="AH43" i="213"/>
  <c r="AG43" i="213"/>
  <c r="AF43" i="213"/>
  <c r="AH42" i="213"/>
  <c r="AG42" i="213"/>
  <c r="AF42" i="213"/>
  <c r="AH41" i="213"/>
  <c r="AG41" i="213"/>
  <c r="AF41" i="213"/>
  <c r="AH40" i="213"/>
  <c r="AG40" i="213"/>
  <c r="AF40" i="213"/>
  <c r="AH39" i="213"/>
  <c r="AG39" i="213"/>
  <c r="AF39" i="213"/>
  <c r="AH38" i="213"/>
  <c r="AG38" i="213"/>
  <c r="AF38" i="213"/>
  <c r="AH37" i="213"/>
  <c r="AG37" i="213"/>
  <c r="AF37" i="213"/>
  <c r="AH36" i="213"/>
  <c r="AG36" i="213"/>
  <c r="AF36" i="213"/>
  <c r="AH35" i="213"/>
  <c r="AG35" i="213"/>
  <c r="AF35" i="213"/>
  <c r="AC33" i="213"/>
  <c r="AC94" i="213" s="1"/>
  <c r="AB33" i="213"/>
  <c r="AB94" i="213" s="1"/>
  <c r="AA33" i="213"/>
  <c r="AA94" i="213" s="1"/>
  <c r="Z33" i="213"/>
  <c r="Z94" i="213" s="1"/>
  <c r="Y33" i="213"/>
  <c r="Y94" i="213" s="1"/>
  <c r="X33" i="213"/>
  <c r="X94" i="213" s="1"/>
  <c r="W33" i="213"/>
  <c r="W94" i="213" s="1"/>
  <c r="V33" i="213"/>
  <c r="V94" i="213" s="1"/>
  <c r="U33" i="213"/>
  <c r="U94" i="213" s="1"/>
  <c r="T33" i="213"/>
  <c r="T94" i="213" s="1"/>
  <c r="S33" i="213"/>
  <c r="S94" i="213" s="1"/>
  <c r="R33" i="213"/>
  <c r="R94" i="213" s="1"/>
  <c r="Q33" i="213"/>
  <c r="Q94" i="213" s="1"/>
  <c r="P33" i="213"/>
  <c r="P94" i="213" s="1"/>
  <c r="O33" i="213"/>
  <c r="O94" i="213" s="1"/>
  <c r="N33" i="213"/>
  <c r="N94" i="213" s="1"/>
  <c r="M33" i="213"/>
  <c r="M94" i="213" s="1"/>
  <c r="L33" i="213"/>
  <c r="L94" i="213" s="1"/>
  <c r="K33" i="213"/>
  <c r="K94" i="213" s="1"/>
  <c r="J33" i="213"/>
  <c r="J94" i="213" s="1"/>
  <c r="I33" i="213"/>
  <c r="I94" i="213" s="1"/>
  <c r="H33" i="213"/>
  <c r="H94" i="213" s="1"/>
  <c r="G33" i="213"/>
  <c r="G94" i="213" s="1"/>
  <c r="F33" i="213"/>
  <c r="C33" i="213"/>
  <c r="B33" i="213"/>
  <c r="AH32" i="213"/>
  <c r="AG32" i="213"/>
  <c r="AF32" i="213"/>
  <c r="AI31" i="213"/>
  <c r="AC30" i="213"/>
  <c r="AC92" i="213" s="1"/>
  <c r="AB30" i="213"/>
  <c r="AB92" i="213" s="1"/>
  <c r="AA30" i="213"/>
  <c r="AA92" i="213" s="1"/>
  <c r="Z30" i="213"/>
  <c r="Z92" i="213" s="1"/>
  <c r="Y30" i="213"/>
  <c r="Y92" i="213" s="1"/>
  <c r="X30" i="213"/>
  <c r="X92" i="213" s="1"/>
  <c r="W30" i="213"/>
  <c r="W92" i="213" s="1"/>
  <c r="V30" i="213"/>
  <c r="V92" i="213" s="1"/>
  <c r="U30" i="213"/>
  <c r="U92" i="213" s="1"/>
  <c r="T30" i="213"/>
  <c r="T92" i="213" s="1"/>
  <c r="S30" i="213"/>
  <c r="S92" i="213" s="1"/>
  <c r="R30" i="213"/>
  <c r="R92" i="213" s="1"/>
  <c r="Q30" i="213"/>
  <c r="Q92" i="213" s="1"/>
  <c r="P30" i="213"/>
  <c r="P92" i="213" s="1"/>
  <c r="O30" i="213"/>
  <c r="O92" i="213" s="1"/>
  <c r="N30" i="213"/>
  <c r="N92" i="213" s="1"/>
  <c r="M30" i="213"/>
  <c r="M92" i="213" s="1"/>
  <c r="L30" i="213"/>
  <c r="L92" i="213" s="1"/>
  <c r="K30" i="213"/>
  <c r="K92" i="213" s="1"/>
  <c r="J30" i="213"/>
  <c r="J92" i="213" s="1"/>
  <c r="I30" i="213"/>
  <c r="I92" i="213" s="1"/>
  <c r="H30" i="213"/>
  <c r="H92" i="213" s="1"/>
  <c r="G30" i="213"/>
  <c r="G92" i="213" s="1"/>
  <c r="F30" i="213"/>
  <c r="F92" i="213" s="1"/>
  <c r="C30" i="213"/>
  <c r="B30" i="213"/>
  <c r="AH28" i="213"/>
  <c r="AG28" i="213"/>
  <c r="AF28" i="213"/>
  <c r="AH27" i="213"/>
  <c r="AG27" i="213"/>
  <c r="AF27" i="213"/>
  <c r="AI26" i="213"/>
  <c r="AC25" i="213"/>
  <c r="AB25" i="213"/>
  <c r="AA25" i="213"/>
  <c r="Z25" i="213"/>
  <c r="Y25" i="213"/>
  <c r="X25" i="213"/>
  <c r="W25" i="213"/>
  <c r="V25" i="213"/>
  <c r="U25" i="213"/>
  <c r="U88" i="213" s="1"/>
  <c r="T25" i="213"/>
  <c r="S25" i="213"/>
  <c r="S88" i="213" s="1"/>
  <c r="R25" i="213"/>
  <c r="R88" i="213" s="1"/>
  <c r="Q25" i="213"/>
  <c r="Q88" i="213" s="1"/>
  <c r="P25" i="213"/>
  <c r="O25" i="213"/>
  <c r="N25" i="213"/>
  <c r="M25" i="213"/>
  <c r="L25" i="213"/>
  <c r="K25" i="213"/>
  <c r="J25" i="213"/>
  <c r="I25" i="213"/>
  <c r="H25" i="213"/>
  <c r="G25" i="213"/>
  <c r="F25" i="213"/>
  <c r="C25" i="213"/>
  <c r="AH24" i="213"/>
  <c r="AG24" i="213"/>
  <c r="AF24" i="213"/>
  <c r="AI23" i="213"/>
  <c r="AC22" i="213"/>
  <c r="AC88" i="213" s="1"/>
  <c r="AB22" i="213"/>
  <c r="AB88" i="213" s="1"/>
  <c r="AA22" i="213"/>
  <c r="AA88" i="213" s="1"/>
  <c r="Z22" i="213"/>
  <c r="Z88" i="213" s="1"/>
  <c r="Y22" i="213"/>
  <c r="Y88" i="213" s="1"/>
  <c r="X22" i="213"/>
  <c r="X88" i="213" s="1"/>
  <c r="W22" i="213"/>
  <c r="V22" i="213"/>
  <c r="U22" i="213"/>
  <c r="T22" i="213"/>
  <c r="S22" i="213"/>
  <c r="R22" i="213"/>
  <c r="Q22" i="213"/>
  <c r="P22" i="213"/>
  <c r="O22" i="213"/>
  <c r="N22" i="213"/>
  <c r="M22" i="213"/>
  <c r="L22" i="213"/>
  <c r="K22" i="213"/>
  <c r="J22" i="213"/>
  <c r="I22" i="213"/>
  <c r="H22" i="213"/>
  <c r="H88" i="213" s="1"/>
  <c r="G22" i="213"/>
  <c r="F22" i="213"/>
  <c r="F88" i="213" s="1"/>
  <c r="C22" i="213"/>
  <c r="B22" i="213"/>
  <c r="AH21" i="213"/>
  <c r="AG21" i="213"/>
  <c r="AF21" i="213"/>
  <c r="AH20" i="213"/>
  <c r="AG20" i="213"/>
  <c r="AF20" i="213"/>
  <c r="AH19" i="213"/>
  <c r="AG19" i="213"/>
  <c r="AF19" i="213"/>
  <c r="AI18" i="213"/>
  <c r="AC17" i="213"/>
  <c r="AC90" i="213" s="1"/>
  <c r="AB17" i="213"/>
  <c r="AB90" i="213" s="1"/>
  <c r="AA17" i="213"/>
  <c r="AA90" i="213" s="1"/>
  <c r="Z17" i="213"/>
  <c r="Z90" i="213" s="1"/>
  <c r="Y17" i="213"/>
  <c r="Y90" i="213" s="1"/>
  <c r="X17" i="213"/>
  <c r="X90" i="213" s="1"/>
  <c r="W17" i="213"/>
  <c r="W90" i="213" s="1"/>
  <c r="V17" i="213"/>
  <c r="V90" i="213" s="1"/>
  <c r="U17" i="213"/>
  <c r="U90" i="213" s="1"/>
  <c r="T17" i="213"/>
  <c r="T90" i="213" s="1"/>
  <c r="S17" i="213"/>
  <c r="S90" i="213" s="1"/>
  <c r="R17" i="213"/>
  <c r="R90" i="213" s="1"/>
  <c r="Q17" i="213"/>
  <c r="Q90" i="213" s="1"/>
  <c r="P17" i="213"/>
  <c r="P90" i="213" s="1"/>
  <c r="O17" i="213"/>
  <c r="O90" i="213" s="1"/>
  <c r="N17" i="213"/>
  <c r="N90" i="213" s="1"/>
  <c r="M17" i="213"/>
  <c r="M90" i="213" s="1"/>
  <c r="L17" i="213"/>
  <c r="L90" i="213" s="1"/>
  <c r="K17" i="213"/>
  <c r="K90" i="213" s="1"/>
  <c r="J17" i="213"/>
  <c r="J90" i="213" s="1"/>
  <c r="I17" i="213"/>
  <c r="I90" i="213" s="1"/>
  <c r="H17" i="213"/>
  <c r="H90" i="213" s="1"/>
  <c r="G17" i="213"/>
  <c r="G90" i="213" s="1"/>
  <c r="F17" i="213"/>
  <c r="F90" i="213" s="1"/>
  <c r="C17" i="213"/>
  <c r="B17" i="213"/>
  <c r="AH16" i="213"/>
  <c r="AG16" i="213"/>
  <c r="AF16" i="213"/>
  <c r="AH15" i="213"/>
  <c r="AG15" i="213"/>
  <c r="AF15" i="213"/>
  <c r="AH14" i="213"/>
  <c r="AG14" i="213"/>
  <c r="AF14" i="213"/>
  <c r="AH13" i="213"/>
  <c r="AG13" i="213"/>
  <c r="AF13" i="213"/>
  <c r="AI12" i="213"/>
  <c r="M9" i="213" a="1"/>
  <c r="M9" i="213" s="1"/>
  <c r="F982" i="88"/>
  <c r="AE452" i="157"/>
  <c r="AB74" i="212"/>
  <c r="AB71" i="212"/>
  <c r="AB70" i="212"/>
  <c r="AB69" i="212"/>
  <c r="AB68" i="212"/>
  <c r="AB67" i="212"/>
  <c r="AB66" i="212"/>
  <c r="AB62" i="212"/>
  <c r="F1012" i="88"/>
  <c r="AE451" i="157"/>
  <c r="Z74" i="212"/>
  <c r="Z71" i="212"/>
  <c r="Z70" i="212"/>
  <c r="Z69" i="212"/>
  <c r="Z68" i="212"/>
  <c r="Z67" i="212"/>
  <c r="Z66" i="212"/>
  <c r="Z62" i="212"/>
  <c r="AA66" i="212"/>
  <c r="AA67" i="212"/>
  <c r="AA68" i="212"/>
  <c r="AA69" i="212"/>
  <c r="AA70" i="212"/>
  <c r="AA71" i="212"/>
  <c r="AA74" i="212"/>
  <c r="AA62" i="212"/>
  <c r="AE450" i="157"/>
  <c r="F1037" i="88"/>
  <c r="AE449" i="157"/>
  <c r="Y74" i="212"/>
  <c r="Y71" i="212"/>
  <c r="Y70" i="212"/>
  <c r="Y69" i="212"/>
  <c r="Y68" i="212"/>
  <c r="Y67" i="212"/>
  <c r="Y66" i="212"/>
  <c r="Y62" i="212"/>
  <c r="N456" i="157" a="1"/>
  <c r="Z82" i="214" l="1"/>
  <c r="Z101" i="214"/>
  <c r="Z106" i="214" s="1"/>
  <c r="X101" i="214"/>
  <c r="X106" i="214" s="1"/>
  <c r="X82" i="214"/>
  <c r="V82" i="214"/>
  <c r="V101" i="214"/>
  <c r="V106" i="214" s="1"/>
  <c r="S101" i="214"/>
  <c r="S106" i="214" s="1"/>
  <c r="M82" i="214"/>
  <c r="AC107" i="213"/>
  <c r="W82" i="214"/>
  <c r="Q101" i="214"/>
  <c r="Q106" i="214" s="1"/>
  <c r="Y101" i="214"/>
  <c r="Y106" i="214" s="1"/>
  <c r="Y82" i="214"/>
  <c r="AC101" i="214"/>
  <c r="AC106" i="214" s="1"/>
  <c r="G97" i="214"/>
  <c r="G82" i="214"/>
  <c r="G101" i="214"/>
  <c r="G106" i="214" s="1"/>
  <c r="F101" i="214"/>
  <c r="F106" i="214" s="1"/>
  <c r="U101" i="214"/>
  <c r="U106" i="214" s="1"/>
  <c r="U107" i="214"/>
  <c r="Q82" i="214"/>
  <c r="U82" i="214"/>
  <c r="O96" i="214"/>
  <c r="O101" i="214" s="1"/>
  <c r="O106" i="214" s="1"/>
  <c r="O82" i="214"/>
  <c r="F82" i="214"/>
  <c r="H82" i="214"/>
  <c r="W101" i="214"/>
  <c r="W106" i="214" s="1"/>
  <c r="P88" i="213"/>
  <c r="P101" i="213" s="1"/>
  <c r="P106" i="213" s="1"/>
  <c r="W107" i="213"/>
  <c r="V108" i="213"/>
  <c r="AF61" i="213"/>
  <c r="F75" i="213"/>
  <c r="F98" i="213" s="1"/>
  <c r="AI60" i="213"/>
  <c r="X107" i="213"/>
  <c r="R107" i="213"/>
  <c r="C82" i="213"/>
  <c r="B82" i="213"/>
  <c r="O88" i="213"/>
  <c r="O101" i="213" s="1"/>
  <c r="O106" i="213" s="1"/>
  <c r="I75" i="213"/>
  <c r="I98" i="213" s="1"/>
  <c r="I88" i="213"/>
  <c r="I101" i="213" s="1"/>
  <c r="I106" i="213" s="1"/>
  <c r="N456" i="157"/>
  <c r="AH71" i="213"/>
  <c r="AI65" i="213"/>
  <c r="G88" i="213"/>
  <c r="G75" i="213"/>
  <c r="G98" i="213" s="1"/>
  <c r="AF68" i="213"/>
  <c r="AH68" i="213"/>
  <c r="AG70" i="213"/>
  <c r="S107" i="213"/>
  <c r="AA101" i="213"/>
  <c r="AA106" i="213" s="1"/>
  <c r="W82" i="213"/>
  <c r="U107" i="213"/>
  <c r="V107" i="213"/>
  <c r="H101" i="213"/>
  <c r="H106" i="213" s="1"/>
  <c r="AB101" i="213"/>
  <c r="AB106" i="213" s="1"/>
  <c r="S101" i="213"/>
  <c r="S106" i="213" s="1"/>
  <c r="Y107" i="213"/>
  <c r="AC101" i="213"/>
  <c r="AC106" i="213" s="1"/>
  <c r="T82" i="213"/>
  <c r="L88" i="213"/>
  <c r="L101" i="213" s="1"/>
  <c r="L106" i="213" s="1"/>
  <c r="M88" i="213"/>
  <c r="N88" i="213"/>
  <c r="N101" i="213" s="1"/>
  <c r="N106" i="213" s="1"/>
  <c r="K88" i="213"/>
  <c r="K101" i="213" s="1"/>
  <c r="K106" i="213" s="1"/>
  <c r="Q108" i="213"/>
  <c r="J88" i="213"/>
  <c r="J101" i="213" s="1"/>
  <c r="J106" i="213" s="1"/>
  <c r="O108" i="213"/>
  <c r="P108" i="213"/>
  <c r="R108" i="213"/>
  <c r="AC108" i="213"/>
  <c r="K108" i="213"/>
  <c r="M108" i="213"/>
  <c r="P82" i="213"/>
  <c r="J108" i="213"/>
  <c r="N108" i="213"/>
  <c r="Q82" i="213"/>
  <c r="I108" i="213"/>
  <c r="L108" i="213"/>
  <c r="F107" i="213"/>
  <c r="AB107" i="213"/>
  <c r="N82" i="213"/>
  <c r="P107" i="213"/>
  <c r="Z107" i="213"/>
  <c r="I107" i="213"/>
  <c r="X82" i="213"/>
  <c r="K107" i="213"/>
  <c r="O82" i="213"/>
  <c r="Q101" i="213"/>
  <c r="Q106" i="213" s="1"/>
  <c r="Q107" i="213"/>
  <c r="R98" i="213"/>
  <c r="R101" i="213" s="1"/>
  <c r="R106" i="213" s="1"/>
  <c r="R82" i="213"/>
  <c r="G107" i="213"/>
  <c r="AA107" i="213"/>
  <c r="H107" i="213"/>
  <c r="J107" i="213"/>
  <c r="L107" i="213"/>
  <c r="M107" i="213"/>
  <c r="N107" i="213"/>
  <c r="O107" i="213"/>
  <c r="X101" i="213"/>
  <c r="X106" i="213" s="1"/>
  <c r="T107" i="213"/>
  <c r="Y101" i="213"/>
  <c r="Y106" i="213" s="1"/>
  <c r="F101" i="213"/>
  <c r="F106" i="213" s="1"/>
  <c r="Z101" i="213"/>
  <c r="Z106" i="213" s="1"/>
  <c r="S108" i="213"/>
  <c r="AG74" i="213"/>
  <c r="T108" i="213"/>
  <c r="AG66" i="213"/>
  <c r="AH74" i="213"/>
  <c r="T88" i="213"/>
  <c r="T101" i="213" s="1"/>
  <c r="T106" i="213" s="1"/>
  <c r="Y82" i="213"/>
  <c r="F82" i="213"/>
  <c r="V88" i="213"/>
  <c r="V101" i="213" s="1"/>
  <c r="V106" i="213" s="1"/>
  <c r="AF46" i="213"/>
  <c r="AG63" i="213"/>
  <c r="W88" i="213"/>
  <c r="W101" i="213" s="1"/>
  <c r="W106" i="213" s="1"/>
  <c r="X108" i="213"/>
  <c r="AG46" i="213"/>
  <c r="AH63" i="213"/>
  <c r="AH67" i="213"/>
  <c r="H82" i="213"/>
  <c r="AB82" i="213"/>
  <c r="Y108" i="213"/>
  <c r="AG55" i="213"/>
  <c r="U75" i="213"/>
  <c r="U98" i="213" s="1"/>
  <c r="AH55" i="213"/>
  <c r="U108" i="213"/>
  <c r="AH45" i="213"/>
  <c r="AF63" i="213"/>
  <c r="W108" i="213"/>
  <c r="AA82" i="213"/>
  <c r="AC82" i="213"/>
  <c r="F108" i="213"/>
  <c r="Z108" i="213"/>
  <c r="AA108" i="213"/>
  <c r="AF71" i="213"/>
  <c r="S82" i="213"/>
  <c r="V82" i="213"/>
  <c r="AF45" i="213"/>
  <c r="AF66" i="213"/>
  <c r="AH66" i="213"/>
  <c r="Z82" i="213"/>
  <c r="U59" i="213"/>
  <c r="U96" i="213" s="1"/>
  <c r="J82" i="213"/>
  <c r="G108" i="213"/>
  <c r="AI34" i="213"/>
  <c r="AF69" i="213"/>
  <c r="K82" i="213"/>
  <c r="H108" i="213"/>
  <c r="AB108" i="213"/>
  <c r="AF47" i="213"/>
  <c r="G64" i="213"/>
  <c r="G97" i="213" s="1"/>
  <c r="G101" i="213" s="1"/>
  <c r="G106" i="213" s="1"/>
  <c r="L82" i="213"/>
  <c r="M75" i="213"/>
  <c r="M98" i="213" s="1"/>
  <c r="U101" i="213" l="1"/>
  <c r="U106" i="213" s="1"/>
  <c r="I82" i="213"/>
  <c r="M101" i="213"/>
  <c r="M106" i="213" s="1"/>
  <c r="U82" i="213"/>
  <c r="M82" i="213"/>
  <c r="G82" i="213"/>
  <c r="F1003" i="88" l="1"/>
  <c r="AE448" i="157"/>
  <c r="X74" i="212"/>
  <c r="X71" i="212"/>
  <c r="X70" i="212"/>
  <c r="X69" i="212"/>
  <c r="X68" i="212"/>
  <c r="X67" i="212"/>
  <c r="X62" i="212"/>
  <c r="AE447" i="157"/>
  <c r="W74" i="212"/>
  <c r="W71" i="212"/>
  <c r="W70" i="212"/>
  <c r="W69" i="212"/>
  <c r="W68" i="212"/>
  <c r="W67" i="212"/>
  <c r="W103" i="212"/>
  <c r="F1033" i="88" l="1"/>
  <c r="F1034" i="88"/>
  <c r="F1029" i="88"/>
  <c r="F1028" i="88"/>
  <c r="AE446" i="157"/>
  <c r="V74" i="212"/>
  <c r="V71" i="212"/>
  <c r="V70" i="212"/>
  <c r="V69" i="212"/>
  <c r="V68" i="212"/>
  <c r="V67" i="212"/>
  <c r="V62" i="212"/>
  <c r="V61" i="212"/>
  <c r="V103" i="212"/>
  <c r="V54" i="212"/>
  <c r="V53" i="212"/>
  <c r="F1031" i="88"/>
  <c r="AQ6" i="212"/>
  <c r="F1030" i="88"/>
  <c r="F1025" i="88"/>
  <c r="F1024" i="88"/>
  <c r="AE445" i="157"/>
  <c r="V75" i="212"/>
  <c r="V98" i="212" s="1"/>
  <c r="V47" i="212"/>
  <c r="V55" i="212"/>
  <c r="U74" i="212"/>
  <c r="U71" i="212"/>
  <c r="U70" i="212"/>
  <c r="U69" i="212"/>
  <c r="U68" i="212"/>
  <c r="U67" i="212"/>
  <c r="U66" i="212"/>
  <c r="U62" i="212"/>
  <c r="U61" i="212"/>
  <c r="U55" i="212"/>
  <c r="U47" i="212"/>
  <c r="U46" i="212"/>
  <c r="AI34" i="212" s="1"/>
  <c r="U45" i="212"/>
  <c r="U103" i="212"/>
  <c r="T103" i="212"/>
  <c r="F1017" i="88"/>
  <c r="AE444" i="157"/>
  <c r="U75" i="212"/>
  <c r="U98" i="212" s="1"/>
  <c r="T68" i="212"/>
  <c r="T69" i="212"/>
  <c r="T70" i="212"/>
  <c r="T71" i="212"/>
  <c r="T67" i="212"/>
  <c r="T62" i="212"/>
  <c r="T61" i="212"/>
  <c r="S103" i="212"/>
  <c r="F1026" i="88"/>
  <c r="R103" i="212"/>
  <c r="Q103" i="212"/>
  <c r="AE443" i="157"/>
  <c r="F1022" i="88"/>
  <c r="T75" i="212"/>
  <c r="T98" i="212" s="1"/>
  <c r="S62" i="212"/>
  <c r="S61" i="212"/>
  <c r="S64" i="212" s="1"/>
  <c r="S97" i="212" s="1"/>
  <c r="R105" i="212"/>
  <c r="Q105" i="212"/>
  <c r="R61" i="212"/>
  <c r="R64" i="212" s="1"/>
  <c r="R97" i="212" s="1"/>
  <c r="AE442" i="157"/>
  <c r="S67" i="212"/>
  <c r="S68" i="212"/>
  <c r="S69" i="212"/>
  <c r="S70" i="212"/>
  <c r="S71" i="212"/>
  <c r="AH71" i="212" s="1"/>
  <c r="R68" i="212"/>
  <c r="R69" i="212"/>
  <c r="R70" i="212"/>
  <c r="R71" i="212"/>
  <c r="R67" i="212"/>
  <c r="R62" i="212"/>
  <c r="F993" i="88"/>
  <c r="F1021" i="88"/>
  <c r="AE441" i="157"/>
  <c r="F1019" i="88"/>
  <c r="F992" i="88"/>
  <c r="Q68" i="212"/>
  <c r="Q69" i="212"/>
  <c r="Q70" i="212"/>
  <c r="Q71" i="212"/>
  <c r="Q67" i="212"/>
  <c r="Q75" i="212" s="1"/>
  <c r="Q98" i="212" s="1"/>
  <c r="Q63" i="212"/>
  <c r="Q61" i="212"/>
  <c r="Q64" i="212" s="1"/>
  <c r="Q97" i="212" s="1"/>
  <c r="F1018" i="88"/>
  <c r="P74" i="212"/>
  <c r="P71" i="212"/>
  <c r="P70" i="212"/>
  <c r="P69" i="212"/>
  <c r="P68" i="212"/>
  <c r="P67" i="212"/>
  <c r="P66" i="212"/>
  <c r="AG66" i="212" s="1"/>
  <c r="AE440" i="157"/>
  <c r="P63" i="212"/>
  <c r="P61" i="212"/>
  <c r="P64" i="212" s="1"/>
  <c r="P97" i="212" s="1"/>
  <c r="F1015" i="88"/>
  <c r="O74" i="212"/>
  <c r="O71" i="212"/>
  <c r="O70" i="212"/>
  <c r="O69" i="212"/>
  <c r="O68" i="212"/>
  <c r="O67" i="212"/>
  <c r="AE439" i="157"/>
  <c r="O63" i="212"/>
  <c r="O61" i="212"/>
  <c r="F1014" i="88"/>
  <c r="F1013" i="88"/>
  <c r="F1011" i="88"/>
  <c r="F1010" i="88"/>
  <c r="F1009" i="88"/>
  <c r="F1008" i="88"/>
  <c r="F1007" i="88"/>
  <c r="F1006" i="88"/>
  <c r="F1005" i="88"/>
  <c r="F1004" i="88"/>
  <c r="AE438" i="157"/>
  <c r="N74" i="212"/>
  <c r="N71" i="212"/>
  <c r="N70" i="212"/>
  <c r="N69" i="212"/>
  <c r="N68" i="212"/>
  <c r="N67" i="212"/>
  <c r="N63" i="212"/>
  <c r="AF63" i="212" s="1"/>
  <c r="N61" i="212"/>
  <c r="F1002" i="88"/>
  <c r="F988" i="88"/>
  <c r="AE437" i="157"/>
  <c r="M74" i="212"/>
  <c r="M71" i="212"/>
  <c r="M70" i="212"/>
  <c r="M69" i="212"/>
  <c r="M68" i="212"/>
  <c r="M67" i="212"/>
  <c r="M63" i="212"/>
  <c r="M61" i="212"/>
  <c r="F1001" i="88"/>
  <c r="F1000" i="88"/>
  <c r="AE436" i="157"/>
  <c r="F997" i="88"/>
  <c r="F995" i="88"/>
  <c r="F996" i="88"/>
  <c r="AE435" i="157"/>
  <c r="AE434" i="157"/>
  <c r="F984" i="88"/>
  <c r="K62" i="212"/>
  <c r="K63" i="212"/>
  <c r="K75" i="212"/>
  <c r="K98" i="212" s="1"/>
  <c r="AE433" i="157"/>
  <c r="F953" i="88"/>
  <c r="F994" i="88"/>
  <c r="AE432" i="157"/>
  <c r="H67" i="212"/>
  <c r="H63" i="212"/>
  <c r="H62" i="212"/>
  <c r="AE431" i="157"/>
  <c r="G74" i="212"/>
  <c r="G71" i="212"/>
  <c r="G70" i="212"/>
  <c r="G69" i="212"/>
  <c r="G68" i="212"/>
  <c r="G67" i="212"/>
  <c r="G63" i="212"/>
  <c r="AH63" i="212" s="1"/>
  <c r="G62" i="212"/>
  <c r="G64" i="212" s="1"/>
  <c r="G97" i="212" s="1"/>
  <c r="F964" i="88"/>
  <c r="H68" i="212"/>
  <c r="H69" i="212"/>
  <c r="H70" i="212"/>
  <c r="H71" i="212"/>
  <c r="H74" i="212"/>
  <c r="F971" i="88"/>
  <c r="A434" i="79"/>
  <c r="A433" i="79"/>
  <c r="A431" i="79"/>
  <c r="A430" i="79"/>
  <c r="A428" i="79"/>
  <c r="A427" i="79"/>
  <c r="AE430" i="157"/>
  <c r="F67" i="212"/>
  <c r="F62" i="212"/>
  <c r="AH62" i="212" s="1"/>
  <c r="F61" i="212"/>
  <c r="F64" i="212" s="1"/>
  <c r="F97" i="212" s="1"/>
  <c r="F978" i="88"/>
  <c r="F959" i="88"/>
  <c r="AC74" i="210"/>
  <c r="AC71" i="210"/>
  <c r="AC70" i="210"/>
  <c r="AC69" i="210"/>
  <c r="AC68" i="210"/>
  <c r="AC67" i="210"/>
  <c r="AE428" i="157"/>
  <c r="AC62" i="210"/>
  <c r="AC61" i="210"/>
  <c r="F74" i="212"/>
  <c r="F71" i="212"/>
  <c r="F70" i="212"/>
  <c r="F69" i="212"/>
  <c r="F68" i="212"/>
  <c r="AC125" i="212"/>
  <c r="AB125" i="212"/>
  <c r="AA125" i="212"/>
  <c r="Z125" i="212"/>
  <c r="Y125" i="212"/>
  <c r="X125" i="212"/>
  <c r="W125" i="212"/>
  <c r="V125" i="212"/>
  <c r="U125" i="212"/>
  <c r="T125" i="212"/>
  <c r="S125" i="212"/>
  <c r="R125" i="212"/>
  <c r="Q125" i="212"/>
  <c r="P125" i="212"/>
  <c r="O125" i="212"/>
  <c r="N125" i="212"/>
  <c r="M125" i="212"/>
  <c r="L125" i="212"/>
  <c r="K125" i="212"/>
  <c r="J125" i="212"/>
  <c r="I125" i="212"/>
  <c r="H125" i="212"/>
  <c r="G125" i="212"/>
  <c r="F125" i="212"/>
  <c r="AC105" i="212"/>
  <c r="AB105" i="212"/>
  <c r="AA105" i="212"/>
  <c r="Z105" i="212"/>
  <c r="Y105" i="212"/>
  <c r="X105" i="212"/>
  <c r="W105" i="212"/>
  <c r="V105" i="212"/>
  <c r="U105" i="212"/>
  <c r="T105" i="212"/>
  <c r="S105" i="212"/>
  <c r="P105" i="212"/>
  <c r="O105" i="212"/>
  <c r="N105" i="212"/>
  <c r="M105" i="212"/>
  <c r="L105" i="212"/>
  <c r="K105" i="212"/>
  <c r="J105" i="212"/>
  <c r="I105" i="212"/>
  <c r="H105" i="212"/>
  <c r="G105" i="212"/>
  <c r="F105" i="212"/>
  <c r="AC100" i="212"/>
  <c r="AB100" i="212"/>
  <c r="AA100" i="212"/>
  <c r="Z100" i="212"/>
  <c r="Y100" i="212"/>
  <c r="X100" i="212"/>
  <c r="W100" i="212"/>
  <c r="V100" i="212"/>
  <c r="U100" i="212"/>
  <c r="T100" i="212"/>
  <c r="S100" i="212"/>
  <c r="R100" i="212"/>
  <c r="Q100" i="212"/>
  <c r="P100" i="212"/>
  <c r="O100" i="212"/>
  <c r="N100" i="212"/>
  <c r="M100" i="212"/>
  <c r="L100" i="212"/>
  <c r="K100" i="212"/>
  <c r="J100" i="212"/>
  <c r="I100" i="212"/>
  <c r="H100" i="212"/>
  <c r="G100" i="212"/>
  <c r="F100" i="212"/>
  <c r="S90" i="212"/>
  <c r="R90" i="212"/>
  <c r="AC79" i="212"/>
  <c r="AC99" i="212" s="1"/>
  <c r="AB79" i="212"/>
  <c r="AB99" i="212" s="1"/>
  <c r="AA79" i="212"/>
  <c r="AA99" i="212" s="1"/>
  <c r="Z79" i="212"/>
  <c r="Z99" i="212" s="1"/>
  <c r="Y79" i="212"/>
  <c r="Y99" i="212" s="1"/>
  <c r="X79" i="212"/>
  <c r="X99" i="212" s="1"/>
  <c r="W79" i="212"/>
  <c r="W99" i="212" s="1"/>
  <c r="V79" i="212"/>
  <c r="V99" i="212" s="1"/>
  <c r="U79" i="212"/>
  <c r="U99" i="212" s="1"/>
  <c r="T79" i="212"/>
  <c r="T99" i="212" s="1"/>
  <c r="S79" i="212"/>
  <c r="S99" i="212" s="1"/>
  <c r="R79" i="212"/>
  <c r="R99" i="212" s="1"/>
  <c r="Q79" i="212"/>
  <c r="Q99" i="212" s="1"/>
  <c r="P79" i="212"/>
  <c r="P99" i="212" s="1"/>
  <c r="O79" i="212"/>
  <c r="O99" i="212" s="1"/>
  <c r="N79" i="212"/>
  <c r="N99" i="212" s="1"/>
  <c r="M79" i="212"/>
  <c r="M99" i="212" s="1"/>
  <c r="L79" i="212"/>
  <c r="L99" i="212" s="1"/>
  <c r="K79" i="212"/>
  <c r="K99" i="212" s="1"/>
  <c r="J79" i="212"/>
  <c r="J99" i="212" s="1"/>
  <c r="I79" i="212"/>
  <c r="I99" i="212" s="1"/>
  <c r="H79" i="212"/>
  <c r="H99" i="212" s="1"/>
  <c r="G79" i="212"/>
  <c r="G99" i="212" s="1"/>
  <c r="F79" i="212"/>
  <c r="F99" i="212" s="1"/>
  <c r="C79" i="212"/>
  <c r="AH78" i="212"/>
  <c r="AG78" i="212"/>
  <c r="AF78" i="212"/>
  <c r="AH77" i="212"/>
  <c r="AG77" i="212"/>
  <c r="AF77" i="212"/>
  <c r="AI76" i="212"/>
  <c r="R75" i="212"/>
  <c r="R98" i="212" s="1"/>
  <c r="L75" i="212"/>
  <c r="L98" i="212" s="1"/>
  <c r="J75" i="212"/>
  <c r="J98" i="212" s="1"/>
  <c r="I75" i="212"/>
  <c r="I98" i="212" s="1"/>
  <c r="H75" i="212"/>
  <c r="H98" i="212" s="1"/>
  <c r="C75" i="212"/>
  <c r="B75" i="212"/>
  <c r="B79" i="212" s="1"/>
  <c r="B25" i="212" s="1"/>
  <c r="AH73" i="212"/>
  <c r="AG73" i="212"/>
  <c r="AF73" i="212"/>
  <c r="AH72" i="212"/>
  <c r="AG72" i="212"/>
  <c r="AF72" i="212"/>
  <c r="X75" i="212"/>
  <c r="X98" i="212" s="1"/>
  <c r="W75" i="212"/>
  <c r="W98" i="212" s="1"/>
  <c r="AC64" i="212"/>
  <c r="AC97" i="212" s="1"/>
  <c r="X64" i="212"/>
  <c r="X97" i="212" s="1"/>
  <c r="W64" i="212"/>
  <c r="W97" i="212" s="1"/>
  <c r="V64" i="212"/>
  <c r="V97" i="212" s="1"/>
  <c r="U64" i="212"/>
  <c r="U97" i="212" s="1"/>
  <c r="L64" i="212"/>
  <c r="L97" i="212" s="1"/>
  <c r="K64" i="212"/>
  <c r="K97" i="212" s="1"/>
  <c r="J64" i="212"/>
  <c r="J97" i="212" s="1"/>
  <c r="I64" i="212"/>
  <c r="I97" i="212" s="1"/>
  <c r="C64" i="212"/>
  <c r="H64" i="212"/>
  <c r="H97" i="212" s="1"/>
  <c r="O64" i="212"/>
  <c r="O97" i="212" s="1"/>
  <c r="AB64" i="212"/>
  <c r="AB97" i="212" s="1"/>
  <c r="AA64" i="212"/>
  <c r="AA97" i="212" s="1"/>
  <c r="Z64" i="212"/>
  <c r="Z97" i="212" s="1"/>
  <c r="T64" i="212"/>
  <c r="T97" i="212" s="1"/>
  <c r="AC59" i="212"/>
  <c r="AC96" i="212" s="1"/>
  <c r="AB59" i="212"/>
  <c r="AB96" i="212" s="1"/>
  <c r="AA59" i="212"/>
  <c r="AA96" i="212" s="1"/>
  <c r="Z59" i="212"/>
  <c r="Z96" i="212" s="1"/>
  <c r="Y59" i="212"/>
  <c r="Y96" i="212" s="1"/>
  <c r="X59" i="212"/>
  <c r="X96" i="212" s="1"/>
  <c r="W59" i="212"/>
  <c r="W96" i="212" s="1"/>
  <c r="V59" i="212"/>
  <c r="V96" i="212" s="1"/>
  <c r="U59" i="212"/>
  <c r="U96" i="212" s="1"/>
  <c r="T59" i="212"/>
  <c r="T96" i="212" s="1"/>
  <c r="S59" i="212"/>
  <c r="S96" i="212" s="1"/>
  <c r="R59" i="212"/>
  <c r="R96" i="212" s="1"/>
  <c r="Q59" i="212"/>
  <c r="Q96" i="212" s="1"/>
  <c r="P59" i="212"/>
  <c r="P96" i="212" s="1"/>
  <c r="O59" i="212"/>
  <c r="O96" i="212" s="1"/>
  <c r="N59" i="212"/>
  <c r="N96" i="212" s="1"/>
  <c r="M59" i="212"/>
  <c r="M96" i="212" s="1"/>
  <c r="L59" i="212"/>
  <c r="L96" i="212" s="1"/>
  <c r="K59" i="212"/>
  <c r="K96" i="212" s="1"/>
  <c r="J59" i="212"/>
  <c r="J96" i="212" s="1"/>
  <c r="I59" i="212"/>
  <c r="I96" i="212" s="1"/>
  <c r="H59" i="212"/>
  <c r="H96" i="212" s="1"/>
  <c r="G59" i="212"/>
  <c r="G96" i="212" s="1"/>
  <c r="F59" i="212"/>
  <c r="F96" i="212" s="1"/>
  <c r="C59" i="212"/>
  <c r="B59" i="212"/>
  <c r="B64" i="212" s="1"/>
  <c r="AH58" i="212"/>
  <c r="AG58" i="212"/>
  <c r="AF58" i="212"/>
  <c r="AH57" i="212"/>
  <c r="AG57" i="212"/>
  <c r="AF57" i="212"/>
  <c r="AH56" i="212"/>
  <c r="AG56" i="212"/>
  <c r="AF56" i="212"/>
  <c r="AH55" i="212"/>
  <c r="AG55" i="212"/>
  <c r="AF55" i="212"/>
  <c r="AH54" i="212"/>
  <c r="AG54" i="212"/>
  <c r="AF54" i="212"/>
  <c r="AH53" i="212"/>
  <c r="AG53" i="212"/>
  <c r="AF53" i="212"/>
  <c r="AH52" i="212"/>
  <c r="AG52" i="212"/>
  <c r="AF52" i="212"/>
  <c r="AN51" i="212"/>
  <c r="AH51" i="212"/>
  <c r="AG51" i="212"/>
  <c r="AF51" i="212"/>
  <c r="AH50" i="212"/>
  <c r="AG50" i="212"/>
  <c r="AF50" i="212"/>
  <c r="AH49" i="212"/>
  <c r="AG49" i="212"/>
  <c r="AF49" i="212"/>
  <c r="AH48" i="212"/>
  <c r="AG48" i="212"/>
  <c r="AF48" i="212"/>
  <c r="AH47" i="212"/>
  <c r="AG47" i="212"/>
  <c r="AF47" i="212"/>
  <c r="AH46" i="212"/>
  <c r="AG46" i="212"/>
  <c r="AF46" i="212"/>
  <c r="AH45" i="212"/>
  <c r="AG45" i="212"/>
  <c r="AF45" i="212"/>
  <c r="AH44" i="212"/>
  <c r="AG44" i="212"/>
  <c r="AF44" i="212"/>
  <c r="AH43" i="212"/>
  <c r="AG43" i="212"/>
  <c r="AF43" i="212"/>
  <c r="AH42" i="212"/>
  <c r="AG42" i="212"/>
  <c r="AF42" i="212"/>
  <c r="AH41" i="212"/>
  <c r="AG41" i="212"/>
  <c r="AF41" i="212"/>
  <c r="AH40" i="212"/>
  <c r="AG40" i="212"/>
  <c r="AF40" i="212"/>
  <c r="AH39" i="212"/>
  <c r="AG39" i="212"/>
  <c r="AF39" i="212"/>
  <c r="AH38" i="212"/>
  <c r="AG38" i="212"/>
  <c r="AF38" i="212"/>
  <c r="AH37" i="212"/>
  <c r="AG37" i="212"/>
  <c r="AF37" i="212"/>
  <c r="AH36" i="212"/>
  <c r="AG36" i="212"/>
  <c r="AF36" i="212"/>
  <c r="AH35" i="212"/>
  <c r="AG35" i="212"/>
  <c r="AF35" i="212"/>
  <c r="AC33" i="212"/>
  <c r="AC94" i="212" s="1"/>
  <c r="AB33" i="212"/>
  <c r="AB94" i="212" s="1"/>
  <c r="AA33" i="212"/>
  <c r="AA94" i="212" s="1"/>
  <c r="Z33" i="212"/>
  <c r="Z94" i="212" s="1"/>
  <c r="Y33" i="212"/>
  <c r="Y94" i="212" s="1"/>
  <c r="X33" i="212"/>
  <c r="X94" i="212" s="1"/>
  <c r="W33" i="212"/>
  <c r="W94" i="212" s="1"/>
  <c r="V33" i="212"/>
  <c r="V94" i="212" s="1"/>
  <c r="U33" i="212"/>
  <c r="U94" i="212" s="1"/>
  <c r="T33" i="212"/>
  <c r="T94" i="212" s="1"/>
  <c r="S33" i="212"/>
  <c r="S94" i="212" s="1"/>
  <c r="R33" i="212"/>
  <c r="R94" i="212" s="1"/>
  <c r="Q33" i="212"/>
  <c r="Q94" i="212" s="1"/>
  <c r="P33" i="212"/>
  <c r="P94" i="212" s="1"/>
  <c r="O33" i="212"/>
  <c r="O94" i="212" s="1"/>
  <c r="N33" i="212"/>
  <c r="N94" i="212" s="1"/>
  <c r="M33" i="212"/>
  <c r="M94" i="212" s="1"/>
  <c r="L33" i="212"/>
  <c r="L94" i="212" s="1"/>
  <c r="K33" i="212"/>
  <c r="K94" i="212" s="1"/>
  <c r="J33" i="212"/>
  <c r="J94" i="212" s="1"/>
  <c r="I33" i="212"/>
  <c r="I94" i="212" s="1"/>
  <c r="H33" i="212"/>
  <c r="H94" i="212" s="1"/>
  <c r="G33" i="212"/>
  <c r="G94" i="212" s="1"/>
  <c r="F33" i="212"/>
  <c r="F94" i="212" s="1"/>
  <c r="C33" i="212"/>
  <c r="C82" i="212" s="1"/>
  <c r="B33" i="212"/>
  <c r="AH32" i="212"/>
  <c r="AG32" i="212"/>
  <c r="AF32" i="212"/>
  <c r="AI31" i="212"/>
  <c r="AC30" i="212"/>
  <c r="AC92" i="212" s="1"/>
  <c r="AB30" i="212"/>
  <c r="AB92" i="212" s="1"/>
  <c r="AA30" i="212"/>
  <c r="AA92" i="212" s="1"/>
  <c r="Z30" i="212"/>
  <c r="Z92" i="212" s="1"/>
  <c r="Y30" i="212"/>
  <c r="Y92" i="212" s="1"/>
  <c r="X30" i="212"/>
  <c r="X92" i="212" s="1"/>
  <c r="W30" i="212"/>
  <c r="W92" i="212" s="1"/>
  <c r="V30" i="212"/>
  <c r="V92" i="212" s="1"/>
  <c r="U30" i="212"/>
  <c r="U92" i="212" s="1"/>
  <c r="T30" i="212"/>
  <c r="T92" i="212" s="1"/>
  <c r="S30" i="212"/>
  <c r="S92" i="212" s="1"/>
  <c r="R30" i="212"/>
  <c r="R92" i="212" s="1"/>
  <c r="Q30" i="212"/>
  <c r="Q92" i="212" s="1"/>
  <c r="P30" i="212"/>
  <c r="P92" i="212" s="1"/>
  <c r="O30" i="212"/>
  <c r="O92" i="212" s="1"/>
  <c r="N30" i="212"/>
  <c r="N92" i="212" s="1"/>
  <c r="M30" i="212"/>
  <c r="M92" i="212" s="1"/>
  <c r="L30" i="212"/>
  <c r="L92" i="212" s="1"/>
  <c r="K30" i="212"/>
  <c r="K92" i="212" s="1"/>
  <c r="J30" i="212"/>
  <c r="J92" i="212" s="1"/>
  <c r="I30" i="212"/>
  <c r="I92" i="212" s="1"/>
  <c r="H30" i="212"/>
  <c r="H92" i="212" s="1"/>
  <c r="G30" i="212"/>
  <c r="G92" i="212" s="1"/>
  <c r="F30" i="212"/>
  <c r="F92" i="212" s="1"/>
  <c r="C30" i="212"/>
  <c r="B30" i="212"/>
  <c r="AH28" i="212"/>
  <c r="AG28" i="212"/>
  <c r="AF28" i="212"/>
  <c r="AH27" i="212"/>
  <c r="AG27" i="212"/>
  <c r="AF27" i="212"/>
  <c r="AI26" i="212"/>
  <c r="AC25" i="212"/>
  <c r="AB25" i="212"/>
  <c r="AA25" i="212"/>
  <c r="Z25" i="212"/>
  <c r="Y25" i="212"/>
  <c r="X25" i="212"/>
  <c r="W25" i="212"/>
  <c r="V25" i="212"/>
  <c r="U25" i="212"/>
  <c r="T25" i="212"/>
  <c r="S25" i="212"/>
  <c r="R25" i="212"/>
  <c r="Q25" i="212"/>
  <c r="P25" i="212"/>
  <c r="O25" i="212"/>
  <c r="N25" i="212"/>
  <c r="M25" i="212"/>
  <c r="L25" i="212"/>
  <c r="K25" i="212"/>
  <c r="J25" i="212"/>
  <c r="I25" i="212"/>
  <c r="H25" i="212"/>
  <c r="G25" i="212"/>
  <c r="F25" i="212"/>
  <c r="C25" i="212"/>
  <c r="AH24" i="212"/>
  <c r="AG24" i="212"/>
  <c r="AF24" i="212"/>
  <c r="AI23" i="212"/>
  <c r="AC22" i="212"/>
  <c r="AB22" i="212"/>
  <c r="AA22" i="212"/>
  <c r="Z22" i="212"/>
  <c r="Y22" i="212"/>
  <c r="X22" i="212"/>
  <c r="W22" i="212"/>
  <c r="V22" i="212"/>
  <c r="U22" i="212"/>
  <c r="U88" i="212" s="1"/>
  <c r="T22" i="212"/>
  <c r="S22" i="212"/>
  <c r="S88" i="212" s="1"/>
  <c r="R22" i="212"/>
  <c r="R88" i="212" s="1"/>
  <c r="Q22" i="212"/>
  <c r="P22" i="212"/>
  <c r="O22" i="212"/>
  <c r="N22" i="212"/>
  <c r="M22" i="212"/>
  <c r="L22" i="212"/>
  <c r="K22" i="212"/>
  <c r="J22" i="212"/>
  <c r="I22" i="212"/>
  <c r="H22" i="212"/>
  <c r="G22" i="212"/>
  <c r="F22" i="212"/>
  <c r="C22" i="212"/>
  <c r="B22" i="212"/>
  <c r="AH21" i="212"/>
  <c r="AG21" i="212"/>
  <c r="AF21" i="212"/>
  <c r="AH20" i="212"/>
  <c r="AG20" i="212"/>
  <c r="AF20" i="212"/>
  <c r="AH19" i="212"/>
  <c r="AG19" i="212"/>
  <c r="AF19" i="212"/>
  <c r="AI18" i="212"/>
  <c r="AC17" i="212"/>
  <c r="AB17" i="212"/>
  <c r="AA17" i="212"/>
  <c r="AA90" i="212" s="1"/>
  <c r="Z17" i="212"/>
  <c r="Z90" i="212" s="1"/>
  <c r="Y17" i="212"/>
  <c r="Y90" i="212" s="1"/>
  <c r="X17" i="212"/>
  <c r="X90" i="212" s="1"/>
  <c r="W17" i="212"/>
  <c r="W90" i="212" s="1"/>
  <c r="V17" i="212"/>
  <c r="V90" i="212" s="1"/>
  <c r="U17" i="212"/>
  <c r="T17" i="212"/>
  <c r="T90" i="212" s="1"/>
  <c r="S17" i="212"/>
  <c r="R17" i="212"/>
  <c r="Q17" i="212"/>
  <c r="Q90" i="212" s="1"/>
  <c r="P17" i="212"/>
  <c r="O17" i="212"/>
  <c r="N17" i="212"/>
  <c r="N90" i="212" s="1"/>
  <c r="M17" i="212"/>
  <c r="M90" i="212" s="1"/>
  <c r="L17" i="212"/>
  <c r="L90" i="212" s="1"/>
  <c r="K17" i="212"/>
  <c r="K90" i="212" s="1"/>
  <c r="J17" i="212"/>
  <c r="J90" i="212" s="1"/>
  <c r="I17" i="212"/>
  <c r="H17" i="212"/>
  <c r="G17" i="212"/>
  <c r="G90" i="212" s="1"/>
  <c r="F17" i="212"/>
  <c r="F90" i="212" s="1"/>
  <c r="C17" i="212"/>
  <c r="B17" i="212"/>
  <c r="AH16" i="212"/>
  <c r="AG16" i="212"/>
  <c r="AF16" i="212"/>
  <c r="AH15" i="212"/>
  <c r="AG15" i="212"/>
  <c r="AF15" i="212"/>
  <c r="AH14" i="212"/>
  <c r="AG14" i="212"/>
  <c r="AF14" i="212"/>
  <c r="AH13" i="212"/>
  <c r="AG13" i="212"/>
  <c r="AF13" i="212"/>
  <c r="AI12" i="212"/>
  <c r="M9" i="212" a="1"/>
  <c r="M9" i="212" s="1"/>
  <c r="F990" i="88"/>
  <c r="F985" i="88"/>
  <c r="F991" i="88"/>
  <c r="AE427" i="157"/>
  <c r="AB74" i="210"/>
  <c r="AB71" i="210"/>
  <c r="AB70" i="210"/>
  <c r="AB69" i="210"/>
  <c r="AB68" i="210"/>
  <c r="AB67" i="210"/>
  <c r="AB75" i="210" s="1"/>
  <c r="AB98" i="210" s="1"/>
  <c r="AB66" i="210"/>
  <c r="AB62" i="210"/>
  <c r="AB61" i="210"/>
  <c r="F989" i="88"/>
  <c r="F947" i="88"/>
  <c r="AE426" i="157"/>
  <c r="AA62" i="210"/>
  <c r="AA61" i="210"/>
  <c r="F987" i="88"/>
  <c r="F957" i="88"/>
  <c r="F986" i="88"/>
  <c r="F972" i="88"/>
  <c r="AE425" i="157"/>
  <c r="AA66" i="210"/>
  <c r="AA67" i="210"/>
  <c r="AA68" i="210"/>
  <c r="AA69" i="210"/>
  <c r="AA70" i="210"/>
  <c r="AA71" i="210"/>
  <c r="AA74" i="210"/>
  <c r="Z63" i="210"/>
  <c r="Z62" i="210"/>
  <c r="Z61" i="210"/>
  <c r="Y63" i="210"/>
  <c r="Y62" i="210"/>
  <c r="Y61" i="210"/>
  <c r="AE424" i="157"/>
  <c r="Z66" i="210"/>
  <c r="Z67" i="210"/>
  <c r="Z68" i="210"/>
  <c r="Z69" i="210"/>
  <c r="Z70" i="210"/>
  <c r="Z71" i="210"/>
  <c r="Z74" i="210"/>
  <c r="Y74" i="210"/>
  <c r="Y71" i="210"/>
  <c r="Y70" i="210"/>
  <c r="Y69" i="210"/>
  <c r="Y68" i="210"/>
  <c r="Y67" i="210"/>
  <c r="Y66" i="210"/>
  <c r="X74" i="210"/>
  <c r="X71" i="210"/>
  <c r="X70" i="210"/>
  <c r="X69" i="210"/>
  <c r="X68" i="210"/>
  <c r="X67" i="210"/>
  <c r="W74" i="210"/>
  <c r="W70" i="210"/>
  <c r="W71" i="210"/>
  <c r="W69" i="210"/>
  <c r="W67" i="210"/>
  <c r="V104" i="210"/>
  <c r="U104" i="210"/>
  <c r="U105" i="210" s="1"/>
  <c r="T104" i="210"/>
  <c r="T105" i="210" s="1"/>
  <c r="S104" i="210"/>
  <c r="R104" i="210"/>
  <c r="Q104" i="210"/>
  <c r="Q105" i="210"/>
  <c r="P104" i="210"/>
  <c r="AE423" i="157"/>
  <c r="X62" i="210"/>
  <c r="X61" i="210"/>
  <c r="F921" i="88"/>
  <c r="F950" i="88"/>
  <c r="AE422" i="157"/>
  <c r="W63" i="210"/>
  <c r="W61" i="210"/>
  <c r="AE421" i="157"/>
  <c r="V63" i="210"/>
  <c r="V61" i="210"/>
  <c r="AE420" i="157"/>
  <c r="U63" i="210"/>
  <c r="U61" i="210"/>
  <c r="F977" i="88"/>
  <c r="F976" i="88"/>
  <c r="AE419" i="157"/>
  <c r="F974" i="88"/>
  <c r="F975" i="88"/>
  <c r="U64" i="210"/>
  <c r="U97" i="210" s="1"/>
  <c r="T63" i="210"/>
  <c r="T61" i="210"/>
  <c r="F973" i="88"/>
  <c r="F970" i="88"/>
  <c r="AE418" i="157"/>
  <c r="S63" i="210"/>
  <c r="S61" i="210"/>
  <c r="B36" i="177"/>
  <c r="B37" i="177"/>
  <c r="B38" i="177"/>
  <c r="B39" i="177"/>
  <c r="B40" i="177"/>
  <c r="B41" i="177"/>
  <c r="B42" i="177"/>
  <c r="B43" i="177"/>
  <c r="B44" i="177"/>
  <c r="B45" i="177"/>
  <c r="B46" i="177"/>
  <c r="B47" i="177"/>
  <c r="B48" i="177"/>
  <c r="B49" i="177"/>
  <c r="B50" i="177"/>
  <c r="B51" i="177"/>
  <c r="B52" i="177"/>
  <c r="B53" i="177"/>
  <c r="B54" i="177"/>
  <c r="B55" i="177"/>
  <c r="B56" i="177"/>
  <c r="B57" i="177"/>
  <c r="B58" i="177"/>
  <c r="B59" i="177"/>
  <c r="B60" i="177"/>
  <c r="B61" i="177"/>
  <c r="B62" i="177"/>
  <c r="B63" i="177"/>
  <c r="B64" i="177"/>
  <c r="B65" i="177"/>
  <c r="B35" i="177"/>
  <c r="AE416" i="157"/>
  <c r="AE417" i="157"/>
  <c r="F969" i="88"/>
  <c r="R63" i="210"/>
  <c r="R61" i="210"/>
  <c r="F967" i="88"/>
  <c r="F928" i="88"/>
  <c r="Q63" i="210"/>
  <c r="Q62" i="210"/>
  <c r="Q64" i="210" s="1"/>
  <c r="Q97" i="210" s="1"/>
  <c r="AE415" i="157"/>
  <c r="P63" i="210"/>
  <c r="P62" i="210"/>
  <c r="P64" i="210" s="1"/>
  <c r="P97" i="210" s="1"/>
  <c r="F965" i="88"/>
  <c r="F930" i="88"/>
  <c r="F920" i="88"/>
  <c r="F919" i="88"/>
  <c r="F954" i="88"/>
  <c r="F917" i="88"/>
  <c r="F963" i="88"/>
  <c r="AE414" i="157"/>
  <c r="O74" i="210"/>
  <c r="O71" i="210"/>
  <c r="O70" i="210"/>
  <c r="O69" i="210"/>
  <c r="O68" i="210"/>
  <c r="O67" i="210"/>
  <c r="O63" i="210"/>
  <c r="O62" i="210"/>
  <c r="O64" i="210" s="1"/>
  <c r="O97" i="210" s="1"/>
  <c r="F966" i="88"/>
  <c r="F962" i="88"/>
  <c r="F951" i="88"/>
  <c r="F961" i="88"/>
  <c r="F958" i="88"/>
  <c r="F960" i="88"/>
  <c r="AE413" i="157"/>
  <c r="N74" i="210"/>
  <c r="N71" i="210"/>
  <c r="N70" i="210"/>
  <c r="N69" i="210"/>
  <c r="N67" i="210"/>
  <c r="N63" i="210"/>
  <c r="N62" i="210"/>
  <c r="N64" i="210" s="1"/>
  <c r="N97" i="210" s="1"/>
  <c r="F944" i="88"/>
  <c r="AE412" i="157"/>
  <c r="M63" i="210"/>
  <c r="M62" i="210"/>
  <c r="F956" i="88"/>
  <c r="F955" i="88"/>
  <c r="AE411" i="157"/>
  <c r="AE409" i="157"/>
  <c r="K75" i="210"/>
  <c r="K98" i="210" s="1"/>
  <c r="J75" i="210"/>
  <c r="J98" i="210" s="1"/>
  <c r="F952" i="88"/>
  <c r="AE408" i="157"/>
  <c r="AE407" i="157"/>
  <c r="H74" i="210"/>
  <c r="H71" i="210"/>
  <c r="H70" i="210"/>
  <c r="H68" i="210"/>
  <c r="H67" i="210"/>
  <c r="H63" i="210"/>
  <c r="H62" i="210"/>
  <c r="H64" i="210" s="1"/>
  <c r="H97" i="210" s="1"/>
  <c r="F808" i="88"/>
  <c r="AE406" i="157"/>
  <c r="G74" i="210"/>
  <c r="G71" i="210"/>
  <c r="G70" i="210"/>
  <c r="G68" i="210"/>
  <c r="G67" i="210"/>
  <c r="G63" i="210"/>
  <c r="G62" i="210"/>
  <c r="G64" i="210" s="1"/>
  <c r="G97" i="210" s="1"/>
  <c r="F907" i="88"/>
  <c r="AE405" i="157"/>
  <c r="F949" i="88"/>
  <c r="F61" i="210"/>
  <c r="AC61" i="209"/>
  <c r="AB61" i="209"/>
  <c r="F904" i="88"/>
  <c r="AA61" i="209"/>
  <c r="F74" i="210"/>
  <c r="F71" i="210"/>
  <c r="F70" i="210"/>
  <c r="F68" i="210"/>
  <c r="F75" i="210" s="1"/>
  <c r="F98" i="210" s="1"/>
  <c r="F67" i="210"/>
  <c r="F62" i="210"/>
  <c r="F948" i="88"/>
  <c r="F883" i="88"/>
  <c r="AE403" i="157"/>
  <c r="C405" i="157"/>
  <c r="C406" i="157" s="1"/>
  <c r="C407" i="157" s="1"/>
  <c r="C408" i="157" s="1"/>
  <c r="C409" i="157" s="1"/>
  <c r="C410" i="157" s="1"/>
  <c r="C411" i="157" s="1"/>
  <c r="C412" i="157" s="1"/>
  <c r="C413" i="157" s="1"/>
  <c r="C414" i="157" s="1"/>
  <c r="C415" i="157" s="1"/>
  <c r="C416" i="157" s="1"/>
  <c r="C417" i="157" s="1"/>
  <c r="C418" i="157" s="1"/>
  <c r="C419" i="157" s="1"/>
  <c r="C420" i="157" s="1"/>
  <c r="C421" i="157" s="1"/>
  <c r="C422" i="157" s="1"/>
  <c r="C423" i="157" s="1"/>
  <c r="C424" i="157" s="1"/>
  <c r="C425" i="157" s="1"/>
  <c r="C426" i="157" s="1"/>
  <c r="C427" i="157" s="1"/>
  <c r="C428" i="157" s="1"/>
  <c r="C430" i="157" s="1"/>
  <c r="C431" i="157" s="1"/>
  <c r="AC74" i="209"/>
  <c r="AC71" i="209"/>
  <c r="AC70" i="209"/>
  <c r="AC68" i="209"/>
  <c r="AC67" i="209"/>
  <c r="AC62" i="209"/>
  <c r="A425" i="79"/>
  <c r="A424" i="79"/>
  <c r="F941" i="88"/>
  <c r="F945" i="88"/>
  <c r="AC125" i="210"/>
  <c r="AB125" i="210"/>
  <c r="AA125" i="210"/>
  <c r="Z125" i="210"/>
  <c r="Y125" i="210"/>
  <c r="X125" i="210"/>
  <c r="W125" i="210"/>
  <c r="V125" i="210"/>
  <c r="U125" i="210"/>
  <c r="T125" i="210"/>
  <c r="S125" i="210"/>
  <c r="R125" i="210"/>
  <c r="Q125" i="210"/>
  <c r="P125" i="210"/>
  <c r="O125" i="210"/>
  <c r="N125" i="210"/>
  <c r="M125" i="210"/>
  <c r="L125" i="210"/>
  <c r="K125" i="210"/>
  <c r="J125" i="210"/>
  <c r="I125" i="210"/>
  <c r="H125" i="210"/>
  <c r="G125" i="210"/>
  <c r="F125" i="210"/>
  <c r="AC105" i="210"/>
  <c r="AB105" i="210"/>
  <c r="AA105" i="210"/>
  <c r="Z105" i="210"/>
  <c r="Y105" i="210"/>
  <c r="X105" i="210"/>
  <c r="W105" i="210"/>
  <c r="V105" i="210"/>
  <c r="S105" i="210"/>
  <c r="R105" i="210"/>
  <c r="P105" i="210"/>
  <c r="O105" i="210"/>
  <c r="N105" i="210"/>
  <c r="M105" i="210"/>
  <c r="L105" i="210"/>
  <c r="K105" i="210"/>
  <c r="J105" i="210"/>
  <c r="I105" i="210"/>
  <c r="H105" i="210"/>
  <c r="G105" i="210"/>
  <c r="F105" i="210"/>
  <c r="AC100" i="210"/>
  <c r="AB100" i="210"/>
  <c r="AA100" i="210"/>
  <c r="Z100" i="210"/>
  <c r="Y100" i="210"/>
  <c r="X100" i="210"/>
  <c r="W100" i="210"/>
  <c r="V100" i="210"/>
  <c r="U100" i="210"/>
  <c r="T100" i="210"/>
  <c r="S100" i="210"/>
  <c r="R100" i="210"/>
  <c r="Q100" i="210"/>
  <c r="P100" i="210"/>
  <c r="O100" i="210"/>
  <c r="N100" i="210"/>
  <c r="M100" i="210"/>
  <c r="L100" i="210"/>
  <c r="K100" i="210"/>
  <c r="J100" i="210"/>
  <c r="I100" i="210"/>
  <c r="H100" i="210"/>
  <c r="G100" i="210"/>
  <c r="F100" i="210"/>
  <c r="F99" i="210"/>
  <c r="F94" i="210"/>
  <c r="AC79" i="210"/>
  <c r="AC99" i="210" s="1"/>
  <c r="AB79" i="210"/>
  <c r="AB99" i="210" s="1"/>
  <c r="AA79" i="210"/>
  <c r="AA99" i="210" s="1"/>
  <c r="Z79" i="210"/>
  <c r="Z99" i="210" s="1"/>
  <c r="Y79" i="210"/>
  <c r="Y99" i="210" s="1"/>
  <c r="X79" i="210"/>
  <c r="X99" i="210" s="1"/>
  <c r="W79" i="210"/>
  <c r="W99" i="210" s="1"/>
  <c r="V79" i="210"/>
  <c r="V99" i="210" s="1"/>
  <c r="U79" i="210"/>
  <c r="U99" i="210" s="1"/>
  <c r="T79" i="210"/>
  <c r="T99" i="210" s="1"/>
  <c r="S79" i="210"/>
  <c r="S99" i="210" s="1"/>
  <c r="R79" i="210"/>
  <c r="R99" i="210" s="1"/>
  <c r="Q79" i="210"/>
  <c r="Q99" i="210" s="1"/>
  <c r="P79" i="210"/>
  <c r="P99" i="210" s="1"/>
  <c r="O79" i="210"/>
  <c r="O99" i="210" s="1"/>
  <c r="N79" i="210"/>
  <c r="N99" i="210" s="1"/>
  <c r="M79" i="210"/>
  <c r="M99" i="210" s="1"/>
  <c r="L79" i="210"/>
  <c r="L99" i="210" s="1"/>
  <c r="K79" i="210"/>
  <c r="K99" i="210" s="1"/>
  <c r="J79" i="210"/>
  <c r="J99" i="210" s="1"/>
  <c r="I79" i="210"/>
  <c r="I99" i="210" s="1"/>
  <c r="H79" i="210"/>
  <c r="H99" i="210" s="1"/>
  <c r="G79" i="210"/>
  <c r="G99" i="210" s="1"/>
  <c r="F79" i="210"/>
  <c r="C79" i="210"/>
  <c r="AH78" i="210"/>
  <c r="AG78" i="210"/>
  <c r="AF78" i="210"/>
  <c r="AH77" i="210"/>
  <c r="AG77" i="210"/>
  <c r="AF77" i="210"/>
  <c r="AI76" i="210"/>
  <c r="P75" i="210"/>
  <c r="P98" i="210" s="1"/>
  <c r="L75" i="210"/>
  <c r="L98" i="210" s="1"/>
  <c r="C75" i="210"/>
  <c r="B75" i="210"/>
  <c r="B79" i="210" s="1"/>
  <c r="B25" i="210" s="1"/>
  <c r="V75" i="210"/>
  <c r="V98" i="210" s="1"/>
  <c r="U75" i="210"/>
  <c r="U98" i="210" s="1"/>
  <c r="AH73" i="210"/>
  <c r="AG73" i="210"/>
  <c r="AF73" i="210"/>
  <c r="AH72" i="210"/>
  <c r="AG72" i="210"/>
  <c r="AF72" i="210"/>
  <c r="S75" i="210"/>
  <c r="S98" i="210" s="1"/>
  <c r="M75" i="210"/>
  <c r="M98" i="210" s="1"/>
  <c r="R75" i="210"/>
  <c r="R98" i="210" s="1"/>
  <c r="Q75" i="210"/>
  <c r="Q98" i="210" s="1"/>
  <c r="T75" i="210"/>
  <c r="T98" i="210" s="1"/>
  <c r="AF66" i="210"/>
  <c r="AC64" i="210"/>
  <c r="AC97" i="210" s="1"/>
  <c r="AB64" i="210"/>
  <c r="AB97" i="210" s="1"/>
  <c r="AA64" i="210"/>
  <c r="AA97" i="210" s="1"/>
  <c r="T64" i="210"/>
  <c r="T97" i="210" s="1"/>
  <c r="M64" i="210"/>
  <c r="M97" i="210" s="1"/>
  <c r="L64" i="210"/>
  <c r="L97" i="210" s="1"/>
  <c r="K64" i="210"/>
  <c r="K97" i="210" s="1"/>
  <c r="J64" i="210"/>
  <c r="J97" i="210" s="1"/>
  <c r="I64" i="210"/>
  <c r="I97" i="210" s="1"/>
  <c r="C64" i="210"/>
  <c r="Z64" i="210"/>
  <c r="Z97" i="210" s="1"/>
  <c r="Y64" i="210"/>
  <c r="Y97" i="210" s="1"/>
  <c r="X64" i="210"/>
  <c r="X97" i="210" s="1"/>
  <c r="W64" i="210"/>
  <c r="W97" i="210" s="1"/>
  <c r="V64" i="210"/>
  <c r="V97" i="210" s="1"/>
  <c r="S64" i="210"/>
  <c r="S97" i="210" s="1"/>
  <c r="AC59" i="210"/>
  <c r="AC96" i="210" s="1"/>
  <c r="AB59" i="210"/>
  <c r="AB96" i="210" s="1"/>
  <c r="W59" i="210"/>
  <c r="W96" i="210" s="1"/>
  <c r="V59" i="210"/>
  <c r="V96" i="210" s="1"/>
  <c r="U59" i="210"/>
  <c r="U96" i="210" s="1"/>
  <c r="T59" i="210"/>
  <c r="T96" i="210" s="1"/>
  <c r="S59" i="210"/>
  <c r="S96" i="210" s="1"/>
  <c r="R59" i="210"/>
  <c r="R96" i="210" s="1"/>
  <c r="M59" i="210"/>
  <c r="M96" i="210" s="1"/>
  <c r="L59" i="210"/>
  <c r="L96" i="210" s="1"/>
  <c r="K59" i="210"/>
  <c r="K96" i="210" s="1"/>
  <c r="J59" i="210"/>
  <c r="J96" i="210" s="1"/>
  <c r="I59" i="210"/>
  <c r="I96" i="210" s="1"/>
  <c r="H59" i="210"/>
  <c r="H96" i="210" s="1"/>
  <c r="G59" i="210"/>
  <c r="G96" i="210" s="1"/>
  <c r="F59" i="210"/>
  <c r="F96" i="210" s="1"/>
  <c r="C59" i="210"/>
  <c r="B59" i="210"/>
  <c r="B64" i="210" s="1"/>
  <c r="AH58" i="210"/>
  <c r="AF58" i="210"/>
  <c r="AG58" i="210"/>
  <c r="AH57" i="210"/>
  <c r="AH56" i="210"/>
  <c r="AG55" i="210"/>
  <c r="AH54" i="210"/>
  <c r="AA59" i="210"/>
  <c r="AA96" i="210" s="1"/>
  <c r="Z59" i="210"/>
  <c r="Z96" i="210" s="1"/>
  <c r="O59" i="210"/>
  <c r="O96" i="210" s="1"/>
  <c r="AH52" i="210"/>
  <c r="AG52" i="210"/>
  <c r="AF52" i="210"/>
  <c r="AN51" i="210"/>
  <c r="AH51" i="210"/>
  <c r="AG51" i="210"/>
  <c r="AF51" i="210"/>
  <c r="AH50" i="210"/>
  <c r="AG50" i="210"/>
  <c r="AF50" i="210"/>
  <c r="Y59" i="210"/>
  <c r="Y96" i="210" s="1"/>
  <c r="AH49" i="210"/>
  <c r="AH48" i="210"/>
  <c r="AG48" i="210"/>
  <c r="AH47" i="210"/>
  <c r="AH46" i="210"/>
  <c r="AG46" i="210"/>
  <c r="AF46" i="210"/>
  <c r="AH45" i="210"/>
  <c r="AG45" i="210"/>
  <c r="AF45" i="210"/>
  <c r="Q59" i="210"/>
  <c r="Q96" i="210" s="1"/>
  <c r="AH43" i="210"/>
  <c r="AG43" i="210"/>
  <c r="AF43" i="210"/>
  <c r="AH42" i="210"/>
  <c r="AG42" i="210"/>
  <c r="AF42" i="210"/>
  <c r="AH41" i="210"/>
  <c r="AG41" i="210"/>
  <c r="AF41" i="210"/>
  <c r="AH40" i="210"/>
  <c r="AG40" i="210"/>
  <c r="AF40" i="210"/>
  <c r="AH39" i="210"/>
  <c r="AG39" i="210"/>
  <c r="AF39" i="210"/>
  <c r="AH38" i="210"/>
  <c r="AG38" i="210"/>
  <c r="AF38" i="210"/>
  <c r="AH37" i="210"/>
  <c r="AG37" i="210"/>
  <c r="AF37" i="210"/>
  <c r="AH36" i="210"/>
  <c r="AG36" i="210"/>
  <c r="AF36" i="210"/>
  <c r="AH35" i="210"/>
  <c r="AG35" i="210"/>
  <c r="AF35" i="210"/>
  <c r="AC33" i="210"/>
  <c r="AC94" i="210" s="1"/>
  <c r="AB33" i="210"/>
  <c r="AB94" i="210" s="1"/>
  <c r="AA33" i="210"/>
  <c r="AA94" i="210" s="1"/>
  <c r="Z33" i="210"/>
  <c r="Z94" i="210" s="1"/>
  <c r="Y33" i="210"/>
  <c r="Y94" i="210" s="1"/>
  <c r="X33" i="210"/>
  <c r="X94" i="210" s="1"/>
  <c r="W33" i="210"/>
  <c r="W94" i="210" s="1"/>
  <c r="V33" i="210"/>
  <c r="V94" i="210" s="1"/>
  <c r="U33" i="210"/>
  <c r="U94" i="210" s="1"/>
  <c r="T33" i="210"/>
  <c r="T94" i="210" s="1"/>
  <c r="S33" i="210"/>
  <c r="S94" i="210" s="1"/>
  <c r="R33" i="210"/>
  <c r="R94" i="210" s="1"/>
  <c r="Q33" i="210"/>
  <c r="Q94" i="210" s="1"/>
  <c r="P33" i="210"/>
  <c r="P94" i="210" s="1"/>
  <c r="O33" i="210"/>
  <c r="O94" i="210" s="1"/>
  <c r="N33" i="210"/>
  <c r="N94" i="210" s="1"/>
  <c r="M33" i="210"/>
  <c r="M94" i="210" s="1"/>
  <c r="L33" i="210"/>
  <c r="L94" i="210" s="1"/>
  <c r="K33" i="210"/>
  <c r="K94" i="210" s="1"/>
  <c r="J33" i="210"/>
  <c r="J94" i="210" s="1"/>
  <c r="I33" i="210"/>
  <c r="I94" i="210" s="1"/>
  <c r="H33" i="210"/>
  <c r="H94" i="210" s="1"/>
  <c r="G33" i="210"/>
  <c r="G94" i="210" s="1"/>
  <c r="F33" i="210"/>
  <c r="C33" i="210"/>
  <c r="B33" i="210"/>
  <c r="AH32" i="210"/>
  <c r="AG32" i="210"/>
  <c r="AF32" i="210"/>
  <c r="AI31" i="210"/>
  <c r="AC30" i="210"/>
  <c r="AC92" i="210" s="1"/>
  <c r="AB30" i="210"/>
  <c r="AB92" i="210" s="1"/>
  <c r="AA30" i="210"/>
  <c r="AA92" i="210" s="1"/>
  <c r="Z30" i="210"/>
  <c r="Z92" i="210" s="1"/>
  <c r="Y30" i="210"/>
  <c r="Y92" i="210" s="1"/>
  <c r="X30" i="210"/>
  <c r="X92" i="210" s="1"/>
  <c r="W30" i="210"/>
  <c r="W92" i="210" s="1"/>
  <c r="V30" i="210"/>
  <c r="V92" i="210" s="1"/>
  <c r="U30" i="210"/>
  <c r="U92" i="210" s="1"/>
  <c r="T30" i="210"/>
  <c r="T92" i="210" s="1"/>
  <c r="S30" i="210"/>
  <c r="R30" i="210"/>
  <c r="R92" i="210" s="1"/>
  <c r="Q30" i="210"/>
  <c r="Q92" i="210" s="1"/>
  <c r="P30" i="210"/>
  <c r="P92" i="210" s="1"/>
  <c r="O30" i="210"/>
  <c r="O92" i="210" s="1"/>
  <c r="N30" i="210"/>
  <c r="N92" i="210" s="1"/>
  <c r="M30" i="210"/>
  <c r="M92" i="210" s="1"/>
  <c r="L30" i="210"/>
  <c r="L92" i="210" s="1"/>
  <c r="K30" i="210"/>
  <c r="K92" i="210" s="1"/>
  <c r="J30" i="210"/>
  <c r="J92" i="210" s="1"/>
  <c r="I30" i="210"/>
  <c r="I92" i="210" s="1"/>
  <c r="H30" i="210"/>
  <c r="H92" i="210" s="1"/>
  <c r="G30" i="210"/>
  <c r="G92" i="210" s="1"/>
  <c r="F30" i="210"/>
  <c r="F92" i="210" s="1"/>
  <c r="C30" i="210"/>
  <c r="B30" i="210"/>
  <c r="AH28" i="210"/>
  <c r="AG28" i="210"/>
  <c r="AF28" i="210"/>
  <c r="AH27" i="210"/>
  <c r="AG27" i="210"/>
  <c r="AF27" i="210"/>
  <c r="AI26" i="210"/>
  <c r="AC25" i="210"/>
  <c r="AB25" i="210"/>
  <c r="AA25" i="210"/>
  <c r="Z25" i="210"/>
  <c r="Y25" i="210"/>
  <c r="X25" i="210"/>
  <c r="W25" i="210"/>
  <c r="V25" i="210"/>
  <c r="U25" i="210"/>
  <c r="T25" i="210"/>
  <c r="S25" i="210"/>
  <c r="R25" i="210"/>
  <c r="Q25" i="210"/>
  <c r="P25" i="210"/>
  <c r="O25" i="210"/>
  <c r="N25" i="210"/>
  <c r="M25" i="210"/>
  <c r="L25" i="210"/>
  <c r="K25" i="210"/>
  <c r="J25" i="210"/>
  <c r="I25" i="210"/>
  <c r="H25" i="210"/>
  <c r="G25" i="210"/>
  <c r="F25" i="210"/>
  <c r="C25" i="210"/>
  <c r="AH24" i="210"/>
  <c r="AG24" i="210"/>
  <c r="AF24" i="210"/>
  <c r="AI23" i="210"/>
  <c r="AC22" i="210"/>
  <c r="AB22" i="210"/>
  <c r="AA22" i="210"/>
  <c r="Z22" i="210"/>
  <c r="Y22" i="210"/>
  <c r="X22" i="210"/>
  <c r="W22" i="210"/>
  <c r="V22" i="210"/>
  <c r="U22" i="210"/>
  <c r="T22" i="210"/>
  <c r="S22" i="210"/>
  <c r="R22" i="210"/>
  <c r="Q22" i="210"/>
  <c r="P22" i="210"/>
  <c r="O22" i="210"/>
  <c r="N22" i="210"/>
  <c r="M22" i="210"/>
  <c r="L22" i="210"/>
  <c r="K22" i="210"/>
  <c r="J22" i="210"/>
  <c r="I22" i="210"/>
  <c r="H22" i="210"/>
  <c r="G22" i="210"/>
  <c r="F22" i="210"/>
  <c r="C22" i="210"/>
  <c r="B22" i="210"/>
  <c r="AH21" i="210"/>
  <c r="AG21" i="210"/>
  <c r="AF21" i="210"/>
  <c r="AH20" i="210"/>
  <c r="AG20" i="210"/>
  <c r="AF20" i="210"/>
  <c r="AH19" i="210"/>
  <c r="AG19" i="210"/>
  <c r="AF19" i="210"/>
  <c r="AI18" i="210"/>
  <c r="AC17" i="210"/>
  <c r="AB17" i="210"/>
  <c r="AB90" i="210" s="1"/>
  <c r="AA17" i="210"/>
  <c r="Z17" i="210"/>
  <c r="Y17" i="210"/>
  <c r="X17" i="210"/>
  <c r="X90" i="210" s="1"/>
  <c r="W17" i="210"/>
  <c r="W90" i="210" s="1"/>
  <c r="V17" i="210"/>
  <c r="V90" i="210" s="1"/>
  <c r="U17" i="210"/>
  <c r="U90" i="210" s="1"/>
  <c r="T17" i="210"/>
  <c r="T90" i="210" s="1"/>
  <c r="S17" i="210"/>
  <c r="S90" i="210" s="1"/>
  <c r="R17" i="210"/>
  <c r="R90" i="210" s="1"/>
  <c r="Q17" i="210"/>
  <c r="Q90" i="210" s="1"/>
  <c r="P17" i="210"/>
  <c r="P90" i="210" s="1"/>
  <c r="O17" i="210"/>
  <c r="O90" i="210" s="1"/>
  <c r="N17" i="210"/>
  <c r="N90" i="210" s="1"/>
  <c r="M17" i="210"/>
  <c r="L17" i="210"/>
  <c r="K17" i="210"/>
  <c r="J17" i="210"/>
  <c r="I17" i="210"/>
  <c r="H17" i="210"/>
  <c r="G17" i="210"/>
  <c r="G90" i="210" s="1"/>
  <c r="F17" i="210"/>
  <c r="C17" i="210"/>
  <c r="B17" i="210"/>
  <c r="AH16" i="210"/>
  <c r="AG16" i="210"/>
  <c r="AF16" i="210"/>
  <c r="AH15" i="210"/>
  <c r="AG15" i="210"/>
  <c r="AF15" i="210"/>
  <c r="AH14" i="210"/>
  <c r="AG14" i="210"/>
  <c r="AF14" i="210"/>
  <c r="AH13" i="210"/>
  <c r="AG13" i="210"/>
  <c r="AF13" i="210"/>
  <c r="AI12" i="210"/>
  <c r="M9" i="210" a="1"/>
  <c r="M9" i="210" s="1"/>
  <c r="F946" i="88"/>
  <c r="AE402" i="157"/>
  <c r="AB67" i="209"/>
  <c r="AB62" i="209"/>
  <c r="F943" i="88"/>
  <c r="AE401" i="157"/>
  <c r="F942" i="88"/>
  <c r="F940" i="88"/>
  <c r="AB68" i="209"/>
  <c r="AB69" i="209"/>
  <c r="AB70" i="209"/>
  <c r="AB71" i="209"/>
  <c r="AB74" i="209"/>
  <c r="AA74" i="209"/>
  <c r="AA71" i="209"/>
  <c r="AA70" i="209"/>
  <c r="AA69" i="209"/>
  <c r="AA68" i="209"/>
  <c r="AA67" i="209"/>
  <c r="AA62" i="209"/>
  <c r="AA57" i="209"/>
  <c r="AA53" i="209"/>
  <c r="AA44" i="209"/>
  <c r="F939" i="88"/>
  <c r="AE400" i="157"/>
  <c r="Z74" i="209"/>
  <c r="Z71" i="209"/>
  <c r="Z70" i="209"/>
  <c r="Z69" i="209"/>
  <c r="Z68" i="209"/>
  <c r="Z67" i="209"/>
  <c r="Z57" i="209"/>
  <c r="Z54" i="209"/>
  <c r="Z53" i="209"/>
  <c r="Z44" i="209"/>
  <c r="F913" i="88"/>
  <c r="F925" i="88"/>
  <c r="F937" i="88"/>
  <c r="F936" i="88"/>
  <c r="Z62" i="209"/>
  <c r="Z63" i="209"/>
  <c r="AE399" i="157"/>
  <c r="Y74" i="209"/>
  <c r="Y71" i="209"/>
  <c r="Y70" i="209"/>
  <c r="Y69" i="209"/>
  <c r="Y68" i="209"/>
  <c r="Y67" i="209"/>
  <c r="Y63" i="209"/>
  <c r="Y62" i="209"/>
  <c r="Y57" i="209"/>
  <c r="Y55" i="209"/>
  <c r="Y54" i="209"/>
  <c r="Y53" i="209"/>
  <c r="Y49" i="209"/>
  <c r="Y47" i="209"/>
  <c r="Y44" i="209"/>
  <c r="F938" i="88"/>
  <c r="AE397" i="157"/>
  <c r="AE398" i="157"/>
  <c r="X74" i="209"/>
  <c r="X71" i="209"/>
  <c r="X70" i="209"/>
  <c r="X68" i="209"/>
  <c r="X67" i="209"/>
  <c r="X63" i="209"/>
  <c r="X62" i="209"/>
  <c r="X47" i="209"/>
  <c r="X49" i="209"/>
  <c r="X55" i="209"/>
  <c r="F924" i="88"/>
  <c r="W74" i="209"/>
  <c r="W71" i="209"/>
  <c r="W70" i="209"/>
  <c r="W68" i="209"/>
  <c r="W67" i="209"/>
  <c r="W63" i="209"/>
  <c r="W62" i="209"/>
  <c r="F903" i="88"/>
  <c r="F908" i="88"/>
  <c r="Z423" i="157" a="1"/>
  <c r="E9" i="177" a="1"/>
  <c r="D13" i="177" a="1"/>
  <c r="K17" i="177" a="1"/>
  <c r="Z420" i="157" a="1"/>
  <c r="Y31" i="177" a="1"/>
  <c r="F8" i="177" a="1"/>
  <c r="BC419" i="157" a="1"/>
  <c r="W32" i="177" a="1"/>
  <c r="AN419" i="157" a="1"/>
  <c r="X29" i="177" a="1"/>
  <c r="R8" i="177" a="1"/>
  <c r="G30" i="177" a="1"/>
  <c r="S17" i="177" a="1"/>
  <c r="AZ407" i="157" a="1"/>
  <c r="J415" i="157" a="1"/>
  <c r="N430" i="157" a="1"/>
  <c r="R409" i="157" a="1"/>
  <c r="P12" i="177" a="1"/>
  <c r="P16" i="177" a="1"/>
  <c r="K5" i="177" a="1"/>
  <c r="AV431" i="157" a="1"/>
  <c r="G4" i="177" a="1"/>
  <c r="AN430" i="157" a="1"/>
  <c r="AZ425" i="157" a="1"/>
  <c r="D15" i="177" a="1"/>
  <c r="AD415" i="157" a="1"/>
  <c r="S11" i="177" a="1"/>
  <c r="G28" i="177" a="1"/>
  <c r="I7" i="177" a="1"/>
  <c r="J10" i="177" a="1"/>
  <c r="R415" i="157" a="1"/>
  <c r="AV408" i="157" a="1"/>
  <c r="U39" i="102" a="1"/>
  <c r="Y22" i="177" a="1"/>
  <c r="N425" i="157" a="1"/>
  <c r="H31" i="177" a="1"/>
  <c r="S25" i="177" a="1"/>
  <c r="M27" i="177" a="1"/>
  <c r="Q22" i="177" a="1"/>
  <c r="BC416" i="157" a="1"/>
  <c r="V14" i="177" a="1"/>
  <c r="X3" i="177" a="1"/>
  <c r="X18" i="177" a="1"/>
  <c r="BK409" i="157" a="1"/>
  <c r="N4" i="177" a="1"/>
  <c r="J21" i="177" a="1"/>
  <c r="N18" i="177" a="1"/>
  <c r="C24" i="177" a="1"/>
  <c r="D16" i="177" a="1"/>
  <c r="Y33" i="177" a="1"/>
  <c r="O32" i="177" a="1"/>
  <c r="J420" i="157" a="1"/>
  <c r="W16" i="177" a="1"/>
  <c r="R10" i="177" a="1"/>
  <c r="L9" i="177" a="1"/>
  <c r="AD424" i="157" a="1"/>
  <c r="AD418" i="157" a="1"/>
  <c r="V408" i="157" a="1"/>
  <c r="AD405" i="157" a="1"/>
  <c r="R426" i="157" a="1"/>
  <c r="AQ406" i="157" a="1"/>
  <c r="U15" i="177" a="1"/>
  <c r="C31" i="177" a="1"/>
  <c r="X27" i="177" a="1"/>
  <c r="G409" i="157" a="1"/>
  <c r="R417" i="157" a="1"/>
  <c r="AV421" i="157" a="1"/>
  <c r="W30" i="177" a="1"/>
  <c r="I31" i="177" a="1"/>
  <c r="P11" i="177" a="1"/>
  <c r="M18" i="177" a="1"/>
  <c r="E13" i="177" a="1"/>
  <c r="AZ418" i="157" a="1"/>
  <c r="J13" i="177" a="1"/>
  <c r="Z3" i="177" a="1"/>
  <c r="F33" i="177" a="1"/>
  <c r="W33" i="177" a="1"/>
  <c r="D10" i="177" a="1"/>
  <c r="S21" i="177" a="1"/>
  <c r="M8" i="177" a="1"/>
  <c r="E14" i="177" a="1"/>
  <c r="Q3" i="177" a="1"/>
  <c r="AN414" i="157" a="1"/>
  <c r="AN424" i="157" a="1"/>
  <c r="M4" i="177" a="1"/>
  <c r="V430" i="157" a="1"/>
  <c r="AH426" i="157" a="1"/>
  <c r="D27" i="177" a="1"/>
  <c r="T11" i="177" a="1"/>
  <c r="C27" i="177" a="1"/>
  <c r="V428" i="157" a="1"/>
  <c r="G426" i="157" a="1"/>
  <c r="BG405" i="157" a="1"/>
  <c r="AH431" i="157" a="1"/>
  <c r="H18" i="177" a="1"/>
  <c r="T24" i="177" a="1"/>
  <c r="AQ428" i="157" a="1"/>
  <c r="F28" i="177" a="1"/>
  <c r="AN405" i="157" a="1"/>
  <c r="BC425" i="157" a="1"/>
  <c r="Q30" i="177" a="1"/>
  <c r="AQ415" i="157" a="1"/>
  <c r="AV426" i="157" a="1"/>
  <c r="G411" i="157" a="1"/>
  <c r="I27" i="177" a="1"/>
  <c r="I12" i="177" a="1"/>
  <c r="Q23" i="177" a="1"/>
  <c r="AZ417" i="157" a="1"/>
  <c r="Y25" i="177" a="1"/>
  <c r="J417" i="157" a="1"/>
  <c r="AH423" i="157" a="1"/>
  <c r="P7" i="177" a="1"/>
  <c r="T16" i="177" a="1"/>
  <c r="AD427" i="157" a="1"/>
  <c r="C14" i="177" a="1"/>
  <c r="V31" i="177" a="1"/>
  <c r="R423" i="157" a="1"/>
  <c r="X24" i="177" a="1"/>
  <c r="G23" i="177" a="1"/>
  <c r="E8" i="177" a="1"/>
  <c r="D6" i="177" a="1"/>
  <c r="G29" i="177" a="1"/>
  <c r="H16" i="177" a="1"/>
  <c r="N424" i="157" a="1"/>
  <c r="H14" i="177" a="1"/>
  <c r="V4" i="177" a="1"/>
  <c r="S9" i="177" a="1"/>
  <c r="K6" i="177" a="1"/>
  <c r="K28" i="177" a="1"/>
  <c r="H26" i="177" a="1"/>
  <c r="BC431" i="157" a="1"/>
  <c r="R422" i="157" a="1"/>
  <c r="L23" i="177" a="1"/>
  <c r="K18" i="177" a="1"/>
  <c r="AV418" i="157" a="1"/>
  <c r="Q6" i="177" a="1"/>
  <c r="F30" i="177" a="1"/>
  <c r="L15" i="177" a="1"/>
  <c r="Z13" i="177" a="1"/>
  <c r="X12" i="177" a="1"/>
  <c r="BK415" i="157" a="1"/>
  <c r="K27" i="177" a="1"/>
  <c r="J30" i="177" a="1"/>
  <c r="U25" i="177" a="1"/>
  <c r="BG406" i="157" a="1"/>
  <c r="J5" i="177" a="1"/>
  <c r="AQ412" i="157" a="1"/>
  <c r="H27" i="177" a="1"/>
  <c r="BK410" i="157" a="1"/>
  <c r="AQ426" i="157" a="1"/>
  <c r="X11" i="177" a="1"/>
  <c r="BC413" i="157" a="1"/>
  <c r="S31" i="177" a="1"/>
  <c r="AQ418" i="157" a="1"/>
  <c r="R425" i="157" a="1"/>
  <c r="R412" i="157" a="1"/>
  <c r="J12" i="177" a="1"/>
  <c r="I11" i="177" a="1"/>
  <c r="J23" i="177" a="1"/>
  <c r="X31" i="177" a="1"/>
  <c r="L12" i="177" a="1"/>
  <c r="O18" i="177" a="1"/>
  <c r="V415" i="157" a="1"/>
  <c r="F29" i="177" a="1"/>
  <c r="R430" i="157" a="1"/>
  <c r="V426" i="157" a="1"/>
  <c r="L28" i="177" a="1"/>
  <c r="Y27" i="177" a="1"/>
  <c r="BG408" i="157" a="1"/>
  <c r="E24" i="177" a="1"/>
  <c r="O6" i="177" a="1"/>
  <c r="D12" i="177" a="1"/>
  <c r="R420" i="157" a="1"/>
  <c r="F3" i="177" a="1"/>
  <c r="AN410" i="157" a="1"/>
  <c r="M26" i="177" a="1"/>
  <c r="V411" i="157" a="1"/>
  <c r="W26" i="177" a="1"/>
  <c r="N422" i="157" a="1"/>
  <c r="BG419" i="157" a="1"/>
  <c r="U5" i="177" a="1"/>
  <c r="K16" i="177" a="1"/>
  <c r="G414" i="157" a="1"/>
  <c r="G24" i="177" a="1"/>
  <c r="W17" i="177" a="1"/>
  <c r="H11" i="177" a="1"/>
  <c r="G13" i="177" a="1"/>
  <c r="AD417" i="157" a="1"/>
  <c r="Y21" i="177" a="1"/>
  <c r="N423" i="157" a="1"/>
  <c r="AD419" i="157" a="1"/>
  <c r="M28" i="177" a="1"/>
  <c r="O10" i="177" a="1"/>
  <c r="Y9" i="177" a="1"/>
  <c r="U9" i="177" a="1"/>
  <c r="D11" i="177" a="1"/>
  <c r="Y6" i="177" a="1"/>
  <c r="R33" i="177" a="1"/>
  <c r="H25" i="177" a="1"/>
  <c r="N21" i="177" a="1"/>
  <c r="J423" i="157" a="1"/>
  <c r="V13" i="177" a="1"/>
  <c r="AH408" i="157" a="1"/>
  <c r="AN427" i="157" a="1"/>
  <c r="AH430" i="157" a="1"/>
  <c r="I15" i="177" a="1"/>
  <c r="Z7" i="177" a="1"/>
  <c r="S6" i="177" a="1"/>
  <c r="V406" i="157" a="1"/>
  <c r="O25" i="177" a="1"/>
  <c r="Z28" i="177" a="1"/>
  <c r="V28" i="177" a="1"/>
  <c r="T8" i="177" a="1"/>
  <c r="Z14" i="177" a="1"/>
  <c r="J33" i="177" a="1"/>
  <c r="L25" i="177" a="1"/>
  <c r="BC418" i="157" a="1"/>
  <c r="U28" i="177" a="1"/>
  <c r="G26" i="177" a="1"/>
  <c r="AD410" i="157" a="1"/>
  <c r="X17" i="177" a="1"/>
  <c r="I25" i="177" a="1"/>
  <c r="L5" i="177" a="1"/>
  <c r="J426" i="157" a="1"/>
  <c r="AQ420" i="157" a="1"/>
  <c r="L3" i="177" a="1"/>
  <c r="X16" i="177" a="1"/>
  <c r="Z408" i="157" a="1"/>
  <c r="AV414" i="157" a="1"/>
  <c r="Z8" i="177" a="1"/>
  <c r="I13" i="177" a="1"/>
  <c r="H29" i="177" a="1"/>
  <c r="N416" i="157" a="1"/>
  <c r="U32" i="177" a="1"/>
  <c r="T10" i="177" a="1"/>
  <c r="S14" i="177" a="1"/>
  <c r="E25" i="177" a="1"/>
  <c r="K8" i="177" a="1"/>
  <c r="K26" i="177" a="1"/>
  <c r="Y7" i="177" a="1"/>
  <c r="U27" i="177" a="1"/>
  <c r="BK420" i="157" a="1"/>
  <c r="V3" i="177" a="1"/>
  <c r="J15" i="177" a="1"/>
  <c r="K33" i="177" a="1"/>
  <c r="Q11" i="177" a="1"/>
  <c r="T32" i="177" a="1"/>
  <c r="C5" i="177" a="1"/>
  <c r="BG427" i="157" a="1"/>
  <c r="N28" i="177" a="1"/>
  <c r="S32" i="177" a="1"/>
  <c r="R16" i="177" a="1"/>
  <c r="AV407" i="157" a="1"/>
  <c r="X9" i="177" a="1"/>
  <c r="V25" i="177" a="1"/>
  <c r="R406" i="157" a="1"/>
  <c r="AD426" i="157" a="1"/>
  <c r="BC420" i="157" a="1"/>
  <c r="U29" i="177" a="1"/>
  <c r="J413" i="157" a="1"/>
  <c r="AH427" i="157" a="1"/>
  <c r="T5" i="177" a="1"/>
  <c r="J427" i="157" a="1"/>
  <c r="E15" i="177" a="1"/>
  <c r="BG418" i="157" a="1"/>
  <c r="V422" i="157" a="1"/>
  <c r="P24" i="177" a="1"/>
  <c r="H10" i="177" a="1"/>
  <c r="BC430" i="157" a="1"/>
  <c r="K12" i="177" a="1"/>
  <c r="I29" i="177" a="1"/>
  <c r="O11" i="177" a="1"/>
  <c r="H23" i="177" a="1"/>
  <c r="AN412" i="157" a="1"/>
  <c r="H9" i="177" a="1"/>
  <c r="G416" i="157" a="1"/>
  <c r="C18" i="177" a="1"/>
  <c r="Z23" i="177" a="1"/>
  <c r="C11" i="177" a="1"/>
  <c r="AD407" i="157" a="1"/>
  <c r="AN431" i="157" a="1"/>
  <c r="AN420" i="157" a="1"/>
  <c r="G18" i="177" a="1"/>
  <c r="K32" i="177" a="1"/>
  <c r="X4" i="177" a="1"/>
  <c r="J425" i="157" a="1"/>
  <c r="AZ408" i="157" a="1"/>
  <c r="AN408" i="157" a="1"/>
  <c r="Z12" i="177" a="1"/>
  <c r="BK427" i="157" a="1"/>
  <c r="R416" i="157" a="1"/>
  <c r="F22" i="177" a="1"/>
  <c r="V32" i="177" a="1"/>
  <c r="BG415" i="157" a="1"/>
  <c r="E28" i="177" a="1"/>
  <c r="U6" i="177" a="1"/>
  <c r="AV411" i="157" a="1"/>
  <c r="G10" i="177" a="1"/>
  <c r="N417" i="157" a="1"/>
  <c r="G17" i="177" a="1"/>
  <c r="Q7" i="177" a="1"/>
  <c r="C30" i="177" a="1"/>
  <c r="BK421" i="157" a="1"/>
  <c r="G445" i="157" a="1"/>
  <c r="Z18" i="177" a="1"/>
  <c r="BC414" i="157" a="1"/>
  <c r="X28" i="177" a="1"/>
  <c r="E11" i="177" a="1"/>
  <c r="N14" i="177" a="1"/>
  <c r="P23" i="177" a="1"/>
  <c r="R12" i="177" a="1"/>
  <c r="Z29" i="177" a="1"/>
  <c r="AV413" i="157" a="1"/>
  <c r="X32" i="177" a="1"/>
  <c r="O7" i="177" a="1"/>
  <c r="G396" i="157" a="1"/>
  <c r="W22" i="177" a="1"/>
  <c r="AD428" i="157" a="1"/>
  <c r="Z407" i="157" a="1"/>
  <c r="I18" i="177" a="1"/>
  <c r="N410" i="157" a="1"/>
  <c r="M15" i="177" a="1"/>
  <c r="AZ419" i="157" a="1"/>
  <c r="N406" i="157" a="1"/>
  <c r="M5" i="177" a="1"/>
  <c r="E30" i="177" a="1"/>
  <c r="Z33" i="177" a="1"/>
  <c r="M13" i="177" a="1"/>
  <c r="M16" i="177" a="1"/>
  <c r="S12" i="177" a="1"/>
  <c r="Q24" i="177" a="1"/>
  <c r="Z6" i="177" a="1"/>
  <c r="AD416" i="157" a="1"/>
  <c r="F18" i="177" a="1"/>
  <c r="X21" i="177" a="1"/>
  <c r="R413" i="157" a="1"/>
  <c r="J414" i="157" a="1"/>
  <c r="J410" i="157" a="1"/>
  <c r="BC412" i="157" a="1"/>
  <c r="AD425" i="157" a="1"/>
  <c r="BG424" i="157" a="1"/>
  <c r="AZ405" i="157" a="1"/>
  <c r="Q12" i="177" a="1"/>
  <c r="AQ424" i="157" a="1"/>
  <c r="D33" i="177" a="1"/>
  <c r="BG417" i="157" a="1"/>
  <c r="G6" i="177" a="1"/>
  <c r="N421" i="157" a="1"/>
  <c r="R28" i="177" a="1"/>
  <c r="T12" i="177" a="1"/>
  <c r="W7" i="177" a="1"/>
  <c r="N7" i="177" a="1"/>
  <c r="Z428" i="157" a="1"/>
  <c r="BC422" i="157" a="1"/>
  <c r="V407" i="157" a="1"/>
  <c r="N13" i="177" a="1"/>
  <c r="Z410" i="157" a="1"/>
  <c r="U24" i="177" a="1"/>
  <c r="AV423" i="157" a="1"/>
  <c r="F13" i="177" a="1"/>
  <c r="C16" i="177" a="1"/>
  <c r="H33" i="177" a="1"/>
  <c r="Z21" i="177" a="1"/>
  <c r="N420" i="157" a="1"/>
  <c r="R407" i="157" a="1"/>
  <c r="J7" i="177" a="1"/>
  <c r="BK418" i="157" a="1"/>
  <c r="G417" i="157" a="1"/>
  <c r="L6" i="177" a="1"/>
  <c r="R29" i="177" a="1"/>
  <c r="X13" i="177" a="1"/>
  <c r="L11" i="177" a="1"/>
  <c r="W14" i="177" a="1"/>
  <c r="M9" i="177" a="1"/>
  <c r="H6" i="177" a="1"/>
  <c r="AZ414" i="157" a="1"/>
  <c r="L4" i="177" a="1"/>
  <c r="AN416" i="157" a="1"/>
  <c r="Z422" i="157" a="1"/>
  <c r="T13" i="177" a="1"/>
  <c r="G413" i="157" a="1"/>
  <c r="AQ408" i="157" a="1"/>
  <c r="BC409" i="157" a="1"/>
  <c r="G9" i="177" a="1"/>
  <c r="S15" i="177" a="1"/>
  <c r="F27" i="177" a="1"/>
  <c r="R14" i="177" a="1"/>
  <c r="R3" i="177" a="1"/>
  <c r="M25" i="177" a="1"/>
  <c r="P21" i="177" a="1"/>
  <c r="AZ411" i="157" a="1"/>
  <c r="AH410" i="157" a="1"/>
  <c r="P4" i="177" a="1"/>
  <c r="E12" i="177" a="1"/>
  <c r="N5" i="177" a="1"/>
  <c r="P31" i="177" a="1"/>
  <c r="P6" i="177" a="1"/>
  <c r="I6" i="177" a="1"/>
  <c r="N405" i="157" a="1"/>
  <c r="S3" i="177" a="1"/>
  <c r="F21" i="177" a="1"/>
  <c r="Z4" i="177" a="1"/>
  <c r="Q27" i="177" a="1"/>
  <c r="Y15" i="177" a="1"/>
  <c r="V30" i="177" a="1"/>
  <c r="D24" i="177" a="1"/>
  <c r="I14" i="177" a="1"/>
  <c r="T7" i="177" a="1"/>
  <c r="Z5" i="177" a="1"/>
  <c r="F5" i="177" a="1"/>
  <c r="L14" i="177" a="1"/>
  <c r="S5" i="177" a="1"/>
  <c r="AH425" i="157" a="1"/>
  <c r="D21" i="177" a="1"/>
  <c r="Y3" i="177" a="1"/>
  <c r="T30" i="177" a="1"/>
  <c r="N3" i="177" a="1"/>
  <c r="F14" i="177" a="1"/>
  <c r="O16" i="177" a="1"/>
  <c r="AD411" i="157" a="1"/>
  <c r="AD414" i="157" a="1"/>
  <c r="G418" i="157" a="1"/>
  <c r="Z16" i="177" a="1"/>
  <c r="F12" i="177" a="1"/>
  <c r="L31" i="177" a="1"/>
  <c r="I9" i="177" a="1"/>
  <c r="Q21" i="177" a="1"/>
  <c r="C4" i="177" a="1"/>
  <c r="AV409" i="157" a="1"/>
  <c r="Z412" i="157" a="1"/>
  <c r="T29" i="177" a="1"/>
  <c r="T17" i="177" a="1"/>
  <c r="U17" i="177" a="1"/>
  <c r="D17" i="177" a="1"/>
  <c r="AH420" i="157" a="1"/>
  <c r="Q18" i="177" a="1"/>
  <c r="N412" i="157" a="1"/>
  <c r="F10" i="177" a="1"/>
  <c r="Z411" i="157" a="1"/>
  <c r="Y16" i="177" a="1"/>
  <c r="M7" i="177" a="1"/>
  <c r="K30" i="177" a="1"/>
  <c r="C9" i="177" a="1"/>
  <c r="Z419" i="157" a="1"/>
  <c r="J25" i="177" a="1"/>
  <c r="T14" i="177" a="1"/>
  <c r="N10" i="177" a="1"/>
  <c r="Z415" i="157" a="1"/>
  <c r="K10" i="177" a="1"/>
  <c r="BG420" i="157" a="1"/>
  <c r="N24" i="177" a="1"/>
  <c r="X25" i="177" a="1"/>
  <c r="W13" i="177" a="1"/>
  <c r="AV427" i="157" a="1"/>
  <c r="AN418" i="157" a="1"/>
  <c r="Y12" i="177" a="1"/>
  <c r="O29" i="177" a="1"/>
  <c r="O9" i="177" a="1"/>
  <c r="E21" i="177" a="1"/>
  <c r="W21" i="177" a="1"/>
  <c r="R27" i="177" a="1"/>
  <c r="AQ413" i="157" a="1"/>
  <c r="D29" i="177" a="1"/>
  <c r="R421" i="157" a="1"/>
  <c r="AH422" i="157" a="1"/>
  <c r="X26" i="177" a="1"/>
  <c r="BC411" i="157" a="1"/>
  <c r="Y29" i="177" a="1"/>
  <c r="V409" i="157" a="1"/>
  <c r="AH421" i="157" a="1"/>
  <c r="R414" i="157" a="1"/>
  <c r="V9" i="177" a="1"/>
  <c r="AV417" i="157" a="1"/>
  <c r="K7" i="177" a="1"/>
  <c r="C12" i="177" a="1"/>
  <c r="Z425" i="157" a="1"/>
  <c r="U33" i="177" a="1"/>
  <c r="W25" i="177" a="1"/>
  <c r="AH417" i="157" a="1"/>
  <c r="AQ425" i="157" a="1"/>
  <c r="C13" i="177" a="1"/>
  <c r="C33" i="177" a="1"/>
  <c r="AN426" i="157" a="1"/>
  <c r="Z409" i="157" a="1"/>
  <c r="J9" i="177" a="1"/>
  <c r="X7" i="177" a="1"/>
  <c r="C21" i="177" a="1"/>
  <c r="C25" i="177" a="1"/>
  <c r="V15" i="177" a="1"/>
  <c r="BK417" i="157" a="1"/>
  <c r="Y17" i="177" a="1"/>
  <c r="F32" i="177" a="1"/>
  <c r="C35" i="177" a="1"/>
  <c r="G5" i="177" a="1"/>
  <c r="M21" i="177" a="1"/>
  <c r="J424" i="157" a="1"/>
  <c r="W23" i="177" a="1"/>
  <c r="Z31" i="177" a="1"/>
  <c r="G7" i="177" a="1"/>
  <c r="O5" i="177" a="1"/>
  <c r="V427" i="157" a="1"/>
  <c r="H15" i="177" a="1"/>
  <c r="AZ406" i="157" a="1"/>
  <c r="Q10" i="177" a="1"/>
  <c r="H22" i="177" a="1"/>
  <c r="AN415" i="157" a="1"/>
  <c r="I16" i="177" a="1"/>
  <c r="D18" i="177" a="1"/>
  <c r="G12" i="177" a="1"/>
  <c r="H24" i="177" a="1"/>
  <c r="Q16" i="177" a="1"/>
  <c r="AN428" i="157" a="1"/>
  <c r="D31" i="177" a="1"/>
  <c r="Z426" i="157" a="1"/>
  <c r="R11" i="177" a="1"/>
  <c r="N418" i="157" a="1"/>
  <c r="J421" i="157" a="1"/>
  <c r="T26" i="177" a="1"/>
  <c r="G22" i="177" a="1"/>
  <c r="G15" i="177" a="1"/>
  <c r="N12" i="177" a="1"/>
  <c r="Y23" i="177" a="1"/>
  <c r="L8" i="177" a="1"/>
  <c r="BG423" i="157" a="1"/>
  <c r="P22" i="177" a="1"/>
  <c r="AQ414" i="157" a="1"/>
  <c r="P26" i="177" a="1"/>
  <c r="AD420" i="157" a="1"/>
  <c r="X30" i="177" a="1"/>
  <c r="N33" i="177" a="1"/>
  <c r="S33" i="177" a="1"/>
  <c r="R418" i="157" a="1"/>
  <c r="O17" i="177" a="1"/>
  <c r="J16" i="177" a="1"/>
  <c r="N413" i="157" a="1"/>
  <c r="F26" i="177" a="1"/>
  <c r="W27" i="177" a="1"/>
  <c r="T22" i="177" a="1"/>
  <c r="O26" i="177" a="1"/>
  <c r="H28" i="177" a="1"/>
  <c r="W29" i="177" a="1"/>
  <c r="L22" i="177" a="1"/>
  <c r="Z25" i="177" a="1"/>
  <c r="L32" i="177" a="1"/>
  <c r="P33" i="177" a="1"/>
  <c r="E23" i="177" a="1"/>
  <c r="S23" i="177" a="1"/>
  <c r="Y24" i="177" a="1"/>
  <c r="J418" i="157" a="1"/>
  <c r="K22" i="177" a="1"/>
  <c r="K14" i="177" a="1"/>
  <c r="AN409" i="157" a="1"/>
  <c r="AZ420" i="157" a="1"/>
  <c r="G31" i="177" a="1"/>
  <c r="G423" i="157" a="1"/>
  <c r="BC424" i="157" a="1"/>
  <c r="W9" i="177" a="1"/>
  <c r="Z26" i="177" a="1"/>
  <c r="G3" i="177" a="1"/>
  <c r="G424" i="157" a="1"/>
  <c r="E31" i="177" a="1"/>
  <c r="E7" i="177" a="1"/>
  <c r="H5" i="177" a="1"/>
  <c r="BG412" i="157" a="1"/>
  <c r="E33" i="177" a="1"/>
  <c r="Q14" i="177" a="1"/>
  <c r="W11" i="177" a="1"/>
  <c r="AV420" i="157" a="1"/>
  <c r="BC407" i="157" a="1"/>
  <c r="C28" i="177" a="1"/>
  <c r="L18" i="177" a="1"/>
  <c r="N29" i="177" a="1"/>
  <c r="BC408" i="157" a="1"/>
  <c r="AZ409" i="157" a="1"/>
  <c r="AD430" i="157" a="1"/>
  <c r="S13" i="177" a="1"/>
  <c r="N408" i="157" a="1"/>
  <c r="Z11" i="177" a="1"/>
  <c r="AH411" i="157" a="1"/>
  <c r="R15" i="177" a="1"/>
  <c r="C26" i="177" a="1"/>
  <c r="O28" i="177" a="1"/>
  <c r="F11" i="177" a="1"/>
  <c r="R428" i="157" a="1"/>
  <c r="P15" i="177" a="1"/>
  <c r="J408" i="157" a="1"/>
  <c r="K13" i="177" a="1"/>
  <c r="M11" i="177" a="1"/>
  <c r="S27" i="177" a="1"/>
  <c r="AQ422" i="157" a="1"/>
  <c r="AH405" i="157" a="1"/>
  <c r="AQ431" i="157" a="1"/>
  <c r="V8" i="177" a="1"/>
  <c r="D5" i="177" a="1"/>
  <c r="J412" i="157" a="1"/>
  <c r="K21" i="177" a="1"/>
  <c r="T33" i="177" a="1"/>
  <c r="BK411" i="157" a="1"/>
  <c r="AN421" i="157" a="1"/>
  <c r="AN413" i="157" a="1"/>
  <c r="G27" i="177" a="1"/>
  <c r="R411" i="157" a="1"/>
  <c r="S18" i="177" a="1"/>
  <c r="R21" i="177" a="1"/>
  <c r="N17" i="177" a="1"/>
  <c r="N411" i="157" a="1"/>
  <c r="E29" i="177" a="1"/>
  <c r="AN422" i="157" a="1"/>
  <c r="C32" i="177" a="1"/>
  <c r="Q32" i="177" a="1"/>
  <c r="D30" i="177" a="1"/>
  <c r="D9" i="177" a="1"/>
  <c r="P28" i="177" a="1"/>
  <c r="AV415" i="157" a="1"/>
  <c r="E17" i="177" a="1"/>
  <c r="BK416" i="157" a="1"/>
  <c r="BC410" i="157" a="1"/>
  <c r="AV422" i="157" a="1"/>
  <c r="R23" i="177" a="1"/>
  <c r="BG426" i="157" a="1"/>
  <c r="I4" i="177" a="1"/>
  <c r="M23" i="177" a="1"/>
  <c r="AH414" i="157" a="1"/>
  <c r="M31" i="177" a="1"/>
  <c r="Z9" i="177" a="1"/>
  <c r="G420" i="157" a="1"/>
  <c r="C8" i="177" a="1"/>
  <c r="V410" i="157" a="1"/>
  <c r="Z421" i="157" a="1"/>
  <c r="O33" i="177" a="1"/>
  <c r="Y8" i="177" a="1"/>
  <c r="G8" i="177" a="1"/>
  <c r="AD406" i="157" a="1"/>
  <c r="AH416" i="157" a="1"/>
  <c r="U13" i="177" a="1"/>
  <c r="AZ427" i="157" a="1"/>
  <c r="X10" i="177" a="1"/>
  <c r="I30" i="177" a="1"/>
  <c r="Y32" i="177" a="1"/>
  <c r="H3" i="177" a="1"/>
  <c r="BG416" i="157" a="1"/>
  <c r="H32" i="177" a="1"/>
  <c r="R9" i="177" a="1"/>
  <c r="P29" i="177" a="1"/>
  <c r="U30" i="177" a="1"/>
  <c r="V26" i="177" a="1"/>
  <c r="V18" i="177" a="1"/>
  <c r="Y30" i="177" a="1"/>
  <c r="J27" i="177" a="1"/>
  <c r="W6" i="177" a="1"/>
  <c r="I26" i="177" a="1"/>
  <c r="Z424" i="157" a="1"/>
  <c r="V11" i="177" a="1"/>
  <c r="Y4" i="177" a="1"/>
  <c r="AZ431" i="157" a="1"/>
  <c r="I17" i="177" a="1"/>
  <c r="S24" i="177" a="1"/>
  <c r="AN407" i="157" a="1"/>
  <c r="P18" i="177" a="1"/>
  <c r="Z430" i="157" a="1"/>
  <c r="Z406" i="157" a="1"/>
  <c r="G33" i="177" a="1"/>
  <c r="N419" i="157" a="1"/>
  <c r="V33" i="177" a="1"/>
  <c r="V421" i="157" a="1"/>
  <c r="C7" i="177" a="1"/>
  <c r="Q15" i="177" a="1"/>
  <c r="W5" i="177" a="1"/>
  <c r="N428" i="157" a="1"/>
  <c r="G11" i="177" a="1"/>
  <c r="Z32" i="177" a="1"/>
  <c r="AH406" i="157" a="1"/>
  <c r="P17" i="177" a="1"/>
  <c r="AZ428" i="157" a="1"/>
  <c r="BK412" i="157" a="1"/>
  <c r="AD408" i="157" a="1"/>
  <c r="K29" i="177" a="1"/>
  <c r="C10" i="177" a="1"/>
  <c r="U18" i="177" a="1"/>
  <c r="Z22" i="177" a="1"/>
  <c r="D8" i="177" a="1"/>
  <c r="D23" i="177" a="1"/>
  <c r="T21" i="177" a="1"/>
  <c r="BG410" i="157" a="1"/>
  <c r="R26" i="177" a="1"/>
  <c r="R31" i="177" a="1"/>
  <c r="C38" i="177" a="1"/>
  <c r="V416" i="157" a="1"/>
  <c r="R419" i="157" a="1"/>
  <c r="U10" i="177" a="1"/>
  <c r="M3" i="177" a="1"/>
  <c r="Q26" i="177" a="1"/>
  <c r="AD413" i="157" a="1"/>
  <c r="Q31" i="177" a="1"/>
  <c r="K4" i="177" a="1"/>
  <c r="J419" i="157" a="1"/>
  <c r="I24" i="177" a="1"/>
  <c r="O23" i="177" a="1"/>
  <c r="S16" i="177" a="1"/>
  <c r="BC428" i="157" a="1"/>
  <c r="E26" i="177" a="1"/>
  <c r="Y5" i="177" a="1"/>
  <c r="L30" i="177" a="1"/>
  <c r="W3" i="177" a="1"/>
  <c r="M30" i="177" a="1"/>
  <c r="S7" i="177" a="1"/>
  <c r="G410" i="157" a="1"/>
  <c r="K24" i="177" a="1"/>
  <c r="G16" i="177" a="1"/>
  <c r="Z17" i="177" a="1"/>
  <c r="AH428" i="157" a="1"/>
  <c r="G415" i="157" a="1"/>
  <c r="AZ422" i="157" a="1"/>
  <c r="V23" i="177" a="1"/>
  <c r="L7" i="177" a="1"/>
  <c r="U22" i="177" a="1"/>
  <c r="V412" i="157" a="1"/>
  <c r="D4" i="177" a="1"/>
  <c r="AN417" i="157" a="1"/>
  <c r="R24" i="177" a="1"/>
  <c r="R427" i="157" a="1"/>
  <c r="Y14" i="177" a="1"/>
  <c r="C3" i="177" a="1"/>
  <c r="P3" i="177" a="1"/>
  <c r="U12" i="177" a="1"/>
  <c r="R22" i="177" a="1"/>
  <c r="BC415" i="157" a="1"/>
  <c r="Q28" i="177" a="1"/>
  <c r="N427" i="157" a="1"/>
  <c r="Y11" i="177" a="1"/>
  <c r="E3" i="177" a="1"/>
  <c r="AH409" i="157" a="1"/>
  <c r="J411" i="157" a="1"/>
  <c r="T31" i="177" a="1"/>
  <c r="Z30" i="177" a="1"/>
  <c r="C17" i="177" a="1"/>
  <c r="Z417" i="157" a="1"/>
  <c r="Q13" i="177" a="1"/>
  <c r="O30" i="177" a="1"/>
  <c r="AH419" i="157" a="1"/>
  <c r="C23" i="177" a="1"/>
  <c r="R25" i="177" a="1"/>
  <c r="G21" i="177" a="1"/>
  <c r="Y13" i="177" a="1"/>
  <c r="O8" i="177" a="1"/>
  <c r="AQ419" i="157" a="1"/>
  <c r="AQ409" i="157" a="1"/>
  <c r="AV428" i="157" a="1"/>
  <c r="H21" i="177" a="1"/>
  <c r="S4" i="177" a="1"/>
  <c r="M22" i="177" a="1"/>
  <c r="L33" i="177" a="1"/>
  <c r="N16" i="177" a="1"/>
  <c r="G427" i="157" a="1"/>
  <c r="W31" i="177" a="1"/>
  <c r="H13" i="177" a="1"/>
  <c r="Z427" i="157" a="1"/>
  <c r="D28" i="177" a="1"/>
  <c r="AV410" i="157" a="1"/>
  <c r="P9" i="177" a="1"/>
  <c r="N414" i="157" a="1"/>
  <c r="D3" i="177" a="1"/>
  <c r="D32" i="177" a="1"/>
  <c r="X23" i="177" a="1"/>
  <c r="N9" i="177" a="1"/>
  <c r="BC423" i="157" a="1"/>
  <c r="T4" i="177" a="1"/>
  <c r="AQ417" i="157" a="1"/>
  <c r="G14" i="177" a="1"/>
  <c r="P8" i="177" a="1"/>
  <c r="G419" i="157" a="1"/>
  <c r="U31" i="177" a="1"/>
  <c r="G422" i="157" a="1"/>
  <c r="V21" i="177" a="1"/>
  <c r="P32" i="177" a="1"/>
  <c r="L21" i="177" a="1"/>
  <c r="U3" i="177" a="1"/>
  <c r="K23" i="177" a="1"/>
  <c r="BG425" i="157" a="1"/>
  <c r="V424" i="157" a="1"/>
  <c r="V27" i="177" a="1"/>
  <c r="J416" i="157" a="1"/>
  <c r="AZ416" i="157" a="1"/>
  <c r="S26" i="177" a="1"/>
  <c r="X14" i="177" a="1"/>
  <c r="Z414" i="157" a="1"/>
  <c r="AQ427" i="157" a="1"/>
  <c r="S29" i="177" a="1"/>
  <c r="O4" i="177" a="1"/>
  <c r="J8" i="177" a="1"/>
  <c r="J26" i="177" a="1"/>
  <c r="AD412" i="157" a="1"/>
  <c r="BK419" i="157" a="1"/>
  <c r="J28" i="177" a="1"/>
  <c r="N15" i="177" a="1"/>
  <c r="G428" i="157" a="1"/>
  <c r="E16" i="177" a="1"/>
  <c r="J29" i="177" a="1"/>
  <c r="J409" i="157" a="1"/>
  <c r="AN423" i="157" a="1"/>
  <c r="I8" i="177" a="1"/>
  <c r="T23" i="177" a="1"/>
  <c r="R17" i="177" a="1"/>
  <c r="P25" i="177" a="1"/>
  <c r="V24" i="177" a="1"/>
  <c r="G405" i="157" a="1"/>
  <c r="L27" i="177" a="1"/>
  <c r="J405" i="157" a="1"/>
  <c r="D26" i="177" a="1"/>
  <c r="R424" i="157" a="1"/>
  <c r="Q33" i="177" a="1"/>
  <c r="AQ421" i="157" a="1"/>
  <c r="Z15" i="177" a="1"/>
  <c r="V6" i="177" a="1"/>
  <c r="L24" i="177" a="1"/>
  <c r="AN425" i="157" a="1"/>
  <c r="W4" i="177" a="1"/>
  <c r="U7" i="177" a="1"/>
  <c r="G406" i="157" a="1"/>
  <c r="J17" i="177" a="1"/>
  <c r="O31" i="177" a="1"/>
  <c r="J14" i="177" a="1"/>
  <c r="S30" i="177" a="1"/>
  <c r="E22" i="177" a="1"/>
  <c r="N30" i="177" a="1"/>
  <c r="AZ410" i="157" a="1"/>
  <c r="I3" i="177" a="1"/>
  <c r="AH412" i="157" a="1"/>
  <c r="V413" i="157" a="1"/>
  <c r="BG407" i="157" a="1"/>
  <c r="BG411" i="157" a="1"/>
  <c r="BG421" i="157" a="1"/>
  <c r="Z416" i="157" a="1"/>
  <c r="AV425" i="157" a="1"/>
  <c r="AD421" i="157" a="1"/>
  <c r="Q8" i="177" a="1"/>
  <c r="J31" i="177" a="1"/>
  <c r="BG428" i="157" a="1"/>
  <c r="P14" i="177" a="1"/>
  <c r="N8" i="177" a="1"/>
  <c r="R410" i="157" a="1"/>
  <c r="Q29" i="177" a="1"/>
  <c r="T9" i="177" a="1"/>
  <c r="N415" i="157" a="1"/>
  <c r="V5" i="177" a="1"/>
  <c r="N11" i="177" a="1"/>
  <c r="C22" i="177" a="1"/>
  <c r="E32" i="177" a="1"/>
  <c r="G25" i="177" a="1"/>
  <c r="J18" i="177" a="1"/>
  <c r="V414" i="157" a="1"/>
  <c r="BC421" i="157" a="1"/>
  <c r="J24" i="177" a="1"/>
  <c r="G407" i="157" a="1"/>
  <c r="K3" i="177" a="1"/>
  <c r="T3" i="177" a="1"/>
  <c r="O27" i="177" a="1"/>
  <c r="W28" i="177" a="1"/>
  <c r="W18" i="177" a="1"/>
  <c r="S28" i="177" a="1"/>
  <c r="V17" i="177" a="1"/>
  <c r="AD409" i="157" a="1"/>
  <c r="Z10" i="177" a="1"/>
  <c r="Q4" i="177" a="1"/>
  <c r="O12" i="177" a="1"/>
  <c r="M10" i="177" a="1"/>
  <c r="Z405" i="157" a="1"/>
  <c r="AV412" i="157" a="1"/>
  <c r="E10" i="177" a="1"/>
  <c r="Q9" i="177" a="1"/>
  <c r="Q17" i="177" a="1"/>
  <c r="O15" i="177" a="1"/>
  <c r="O24" i="177" a="1"/>
  <c r="D7" i="177" a="1"/>
  <c r="S22" i="177" a="1"/>
  <c r="C29" i="177" a="1"/>
  <c r="AQ405" i="157" a="1"/>
  <c r="J22" i="177" a="1"/>
  <c r="AV424" i="157" a="1"/>
  <c r="K9" i="177" a="1"/>
  <c r="F31" i="177" a="1"/>
  <c r="I22" i="177" a="1"/>
  <c r="AV406" i="157" a="1"/>
  <c r="H17" i="177" a="1"/>
  <c r="AN406" i="157" a="1"/>
  <c r="O3" i="177" a="1"/>
  <c r="R408" i="157" a="1"/>
  <c r="X22" i="177" a="1"/>
  <c r="R13" i="177" a="1"/>
  <c r="U11" i="177" a="1"/>
  <c r="W24" i="177" a="1"/>
  <c r="S10" i="177" a="1"/>
  <c r="BG422" i="157" a="1"/>
  <c r="T6" i="177" a="1"/>
  <c r="N407" i="157" a="1"/>
  <c r="N409" i="157" a="1"/>
  <c r="I28" i="177" a="1"/>
  <c r="M17" i="177" a="1"/>
  <c r="Z24" i="177" a="1"/>
  <c r="K15" i="177" a="1"/>
  <c r="Z27" i="177" a="1"/>
  <c r="J422" i="157" a="1"/>
  <c r="AZ426" i="157" a="1"/>
  <c r="R405" i="157" a="1"/>
  <c r="J4" i="177" a="1"/>
  <c r="P10" i="177" a="1"/>
  <c r="R30" i="177" a="1"/>
  <c r="T28" i="177" a="1"/>
  <c r="M33" i="177" a="1"/>
  <c r="W15" i="177" a="1"/>
  <c r="F24" i="177" a="1"/>
  <c r="AV419" i="157" a="1"/>
  <c r="J32" i="177" a="1"/>
  <c r="F15" i="177" a="1"/>
  <c r="L13" i="177" a="1"/>
  <c r="F16" i="177" a="1"/>
  <c r="V10" i="177" a="1"/>
  <c r="Y18" i="177" a="1"/>
  <c r="G425" i="157" a="1"/>
  <c r="I21" i="177" a="1"/>
  <c r="AH413" i="157" a="1"/>
  <c r="E5" i="177" a="1"/>
  <c r="Q25" i="177" a="1"/>
  <c r="M12" i="177" a="1"/>
  <c r="V425" i="157" a="1"/>
  <c r="X15" i="177" a="1"/>
  <c r="V22" i="177" a="1"/>
  <c r="AD422" i="157" a="1"/>
  <c r="I33" i="177" a="1"/>
  <c r="N6" i="177" a="1"/>
  <c r="BG414" i="157" a="1"/>
  <c r="M14" i="177" a="1"/>
  <c r="AQ423" i="157" a="1"/>
  <c r="L26" i="177" a="1"/>
  <c r="V7" i="177" a="1"/>
  <c r="G32" i="177" a="1"/>
  <c r="D22" i="177" a="1"/>
  <c r="V418" i="157" a="1"/>
  <c r="R32" i="177" a="1"/>
  <c r="O21" i="177" a="1"/>
  <c r="D25" i="177" a="1"/>
  <c r="H12" i="177" a="1"/>
  <c r="AH415" i="157" a="1"/>
  <c r="Y26" i="177" a="1"/>
  <c r="E4" i="177" a="1"/>
  <c r="F9" i="177" a="1"/>
  <c r="X8" i="177" a="1"/>
  <c r="V29" i="177" a="1"/>
  <c r="K31" i="177" a="1"/>
  <c r="AZ430" i="157" a="1"/>
  <c r="Z413" i="157" a="1"/>
  <c r="M32" i="177" a="1"/>
  <c r="E27" i="177" a="1"/>
  <c r="N23" i="177" a="1"/>
  <c r="J6" i="177" a="1"/>
  <c r="R6" i="177" a="1"/>
  <c r="J406" i="157" a="1"/>
  <c r="P13" i="177" a="1"/>
  <c r="X5" i="177" a="1"/>
  <c r="V405" i="157" a="1"/>
  <c r="J3" i="177" a="1"/>
  <c r="O22" i="177" a="1"/>
  <c r="I32" i="177" a="1"/>
  <c r="BK405" i="157" a="1"/>
  <c r="R4" i="177" a="1"/>
  <c r="U26" i="177" a="1"/>
  <c r="N22" i="177" a="1"/>
  <c r="AD423" i="157" a="1"/>
  <c r="W10" i="177" a="1"/>
  <c r="L17" i="177" a="1"/>
  <c r="T18" i="177" a="1"/>
  <c r="L16" i="177" a="1"/>
  <c r="U14" i="177" a="1"/>
  <c r="U23" i="177" a="1"/>
  <c r="R7" i="177" a="1"/>
  <c r="AH407" i="157" a="1"/>
  <c r="G412" i="157" a="1"/>
  <c r="F4" i="177" a="1"/>
  <c r="U4" i="177" a="1"/>
  <c r="F7" i="177" a="1"/>
  <c r="Y10" i="177" a="1"/>
  <c r="V420" i="157" a="1"/>
  <c r="H7" i="177" a="1"/>
  <c r="N32" i="177" a="1"/>
  <c r="V419" i="157" a="1"/>
  <c r="AH424" i="157" a="1"/>
  <c r="BC426" i="157" a="1"/>
  <c r="AQ411" i="157" a="1"/>
  <c r="V423" i="157" a="1"/>
  <c r="V417" i="157" a="1"/>
  <c r="AZ421" i="157" a="1"/>
  <c r="O14" i="177" a="1"/>
  <c r="L29" i="177" a="1"/>
  <c r="T15" i="177" a="1"/>
  <c r="C6" i="177" a="1"/>
  <c r="M6" i="177" a="1"/>
  <c r="N25" i="177" a="1"/>
  <c r="S8" i="177" a="1"/>
  <c r="Q5" i="177" a="1"/>
  <c r="H30" i="177" a="1"/>
  <c r="H4" i="177" a="1"/>
  <c r="AN411" i="157" a="1"/>
  <c r="F6" i="177" a="1"/>
  <c r="U8" i="177" a="1"/>
  <c r="BG409" i="157" a="1"/>
  <c r="K11" i="177" a="1"/>
  <c r="BG413" i="157" a="1"/>
  <c r="N426" i="157" a="1"/>
  <c r="H8" i="177" a="1"/>
  <c r="I5" i="177" a="1"/>
  <c r="R18" i="177" a="1"/>
  <c r="N26" i="177" a="1"/>
  <c r="BC406" i="157" a="1"/>
  <c r="J11" i="177" a="1"/>
  <c r="V16" i="177" a="1"/>
  <c r="X33" i="177" a="1"/>
  <c r="T27" i="177" a="1"/>
  <c r="G408" i="157" a="1"/>
  <c r="C15" i="177" a="1"/>
  <c r="E18" i="177" a="1"/>
  <c r="F23" i="177" a="1"/>
  <c r="P30" i="177" a="1"/>
  <c r="F25" i="177" a="1"/>
  <c r="P27" i="177" a="1"/>
  <c r="M24" i="177" a="1"/>
  <c r="AQ410" i="157" a="1"/>
  <c r="AV405" i="157" a="1"/>
  <c r="AQ416" i="157" a="1"/>
  <c r="J428" i="157" a="1"/>
  <c r="AZ424" i="157" a="1"/>
  <c r="BG430" i="157" a="1"/>
  <c r="U16" i="177" a="1"/>
  <c r="Y28" i="177" a="1"/>
  <c r="N27" i="177" a="1"/>
  <c r="G421" i="157" a="1"/>
  <c r="W12" i="177" a="1"/>
  <c r="Z418" i="157" a="1"/>
  <c r="AZ412" i="157" a="1"/>
  <c r="D14" i="177" a="1"/>
  <c r="F17" i="177" a="1"/>
  <c r="M29" i="177" a="1"/>
  <c r="K25" i="177" a="1"/>
  <c r="AH418" i="157" a="1"/>
  <c r="I10" i="177" a="1"/>
  <c r="O13" i="177" a="1"/>
  <c r="R5" i="177" a="1"/>
  <c r="E6" i="177" a="1"/>
  <c r="AQ407" i="157" a="1"/>
  <c r="AV416" i="157" a="1"/>
  <c r="L10" i="177" a="1"/>
  <c r="T25" i="177" a="1"/>
  <c r="N31" i="177" a="1"/>
  <c r="X6" i="177" a="1"/>
  <c r="J407" i="157" a="1"/>
  <c r="U21" i="177" a="1"/>
  <c r="V12" i="177" a="1"/>
  <c r="I23" i="177" a="1"/>
  <c r="W8" i="177" a="1"/>
  <c r="BC427" i="157" a="1"/>
  <c r="G445" i="157" l="1"/>
  <c r="AG63" i="212"/>
  <c r="S75" i="212"/>
  <c r="S98" i="212" s="1"/>
  <c r="B82" i="212"/>
  <c r="G75" i="212"/>
  <c r="G98" i="212" s="1"/>
  <c r="P75" i="212"/>
  <c r="P98" i="212" s="1"/>
  <c r="T88" i="212"/>
  <c r="AI60" i="212"/>
  <c r="S107" i="212"/>
  <c r="Q82" i="212"/>
  <c r="AH68" i="212"/>
  <c r="AH74" i="212"/>
  <c r="M75" i="212"/>
  <c r="M98" i="212" s="1"/>
  <c r="L107" i="212"/>
  <c r="F75" i="212"/>
  <c r="AC75" i="210"/>
  <c r="R82" i="212"/>
  <c r="T107" i="212"/>
  <c r="M107" i="212"/>
  <c r="N107" i="212"/>
  <c r="O108" i="212"/>
  <c r="P108" i="212"/>
  <c r="Q107" i="212"/>
  <c r="V107" i="212"/>
  <c r="J107" i="212"/>
  <c r="W107" i="212"/>
  <c r="K107" i="212"/>
  <c r="X107" i="212"/>
  <c r="G107" i="212"/>
  <c r="AA107" i="212"/>
  <c r="F107" i="212"/>
  <c r="K88" i="212"/>
  <c r="K101" i="212" s="1"/>
  <c r="K106" i="212" s="1"/>
  <c r="L88" i="212"/>
  <c r="L101" i="212" s="1"/>
  <c r="L106" i="212" s="1"/>
  <c r="M88" i="212"/>
  <c r="N88" i="212"/>
  <c r="O88" i="212"/>
  <c r="P88" i="212"/>
  <c r="P101" i="212" s="1"/>
  <c r="P106" i="212" s="1"/>
  <c r="Q88" i="212"/>
  <c r="Q101" i="212" s="1"/>
  <c r="Q106" i="212" s="1"/>
  <c r="U108" i="212"/>
  <c r="H88" i="212"/>
  <c r="AB88" i="212"/>
  <c r="I88" i="212"/>
  <c r="AC88" i="212"/>
  <c r="R101" i="212"/>
  <c r="R106" i="212" s="1"/>
  <c r="S101" i="212"/>
  <c r="S106" i="212" s="1"/>
  <c r="T101" i="212"/>
  <c r="T106" i="212" s="1"/>
  <c r="R107" i="212"/>
  <c r="U90" i="212"/>
  <c r="U107" i="212" s="1"/>
  <c r="U101" i="212"/>
  <c r="U106" i="212" s="1"/>
  <c r="V82" i="212"/>
  <c r="U82" i="212"/>
  <c r="O90" i="212"/>
  <c r="O107" i="212" s="1"/>
  <c r="Z107" i="212"/>
  <c r="Y107" i="212"/>
  <c r="P90" i="212"/>
  <c r="P107" i="212" s="1"/>
  <c r="AF62" i="212"/>
  <c r="AG62" i="212"/>
  <c r="AG69" i="212"/>
  <c r="AH69" i="212"/>
  <c r="AF69" i="212"/>
  <c r="R108" i="212"/>
  <c r="Z75" i="212"/>
  <c r="Z98" i="212" s="1"/>
  <c r="S108" i="212"/>
  <c r="AC108" i="212"/>
  <c r="W88" i="212"/>
  <c r="W101" i="212" s="1"/>
  <c r="W106" i="212" s="1"/>
  <c r="W108" i="212"/>
  <c r="AH70" i="212"/>
  <c r="AG70" i="212"/>
  <c r="AF70" i="212"/>
  <c r="J82" i="212"/>
  <c r="J108" i="212"/>
  <c r="X88" i="212"/>
  <c r="X101" i="212" s="1"/>
  <c r="X106" i="212" s="1"/>
  <c r="X108" i="212"/>
  <c r="AF71" i="212"/>
  <c r="S82" i="212"/>
  <c r="AF74" i="212"/>
  <c r="F108" i="212"/>
  <c r="F88" i="212"/>
  <c r="F82" i="212"/>
  <c r="Z88" i="212"/>
  <c r="Z108" i="212"/>
  <c r="Z82" i="212"/>
  <c r="AF61" i="212"/>
  <c r="AG74" i="212"/>
  <c r="M108" i="212"/>
  <c r="G88" i="212"/>
  <c r="G108" i="212"/>
  <c r="AA82" i="212"/>
  <c r="AA88" i="212"/>
  <c r="AA101" i="212" s="1"/>
  <c r="AA106" i="212" s="1"/>
  <c r="AA108" i="212"/>
  <c r="AG61" i="212"/>
  <c r="AH61" i="212"/>
  <c r="AG68" i="212"/>
  <c r="N108" i="212"/>
  <c r="O75" i="212"/>
  <c r="O98" i="212" s="1"/>
  <c r="M64" i="212"/>
  <c r="M97" i="212" s="1"/>
  <c r="N64" i="212"/>
  <c r="N97" i="212" s="1"/>
  <c r="Y75" i="212"/>
  <c r="Y98" i="212" s="1"/>
  <c r="AA75" i="212"/>
  <c r="AA98" i="212" s="1"/>
  <c r="T108" i="212"/>
  <c r="H90" i="212"/>
  <c r="H107" i="212" s="1"/>
  <c r="H82" i="212"/>
  <c r="H108" i="212"/>
  <c r="V88" i="212"/>
  <c r="V101" i="212" s="1"/>
  <c r="V106" i="212" s="1"/>
  <c r="V108" i="212"/>
  <c r="I108" i="212"/>
  <c r="I82" i="212"/>
  <c r="K108" i="212"/>
  <c r="K82" i="212"/>
  <c r="Y88" i="212"/>
  <c r="Y108" i="212"/>
  <c r="AG71" i="212"/>
  <c r="T82" i="212"/>
  <c r="L108" i="212"/>
  <c r="L82" i="212"/>
  <c r="AF68" i="212"/>
  <c r="W82" i="212"/>
  <c r="N75" i="212"/>
  <c r="N98" i="212" s="1"/>
  <c r="AH67" i="212"/>
  <c r="AG67" i="212"/>
  <c r="AF67" i="212"/>
  <c r="AI65" i="212"/>
  <c r="X82" i="212"/>
  <c r="AB75" i="212"/>
  <c r="AB98" i="212" s="1"/>
  <c r="Q108" i="212"/>
  <c r="Y64" i="212"/>
  <c r="Y97" i="212" s="1"/>
  <c r="AC75" i="212"/>
  <c r="AC98" i="212" s="1"/>
  <c r="AC90" i="212"/>
  <c r="AC107" i="212" s="1"/>
  <c r="AB90" i="212"/>
  <c r="AB107" i="212" s="1"/>
  <c r="AB108" i="212"/>
  <c r="J88" i="212"/>
  <c r="J101" i="212" s="1"/>
  <c r="J106" i="212" s="1"/>
  <c r="I90" i="212"/>
  <c r="I107" i="212" s="1"/>
  <c r="AH66" i="212"/>
  <c r="AF66" i="212"/>
  <c r="AG69" i="210"/>
  <c r="AG70" i="210"/>
  <c r="AH61" i="210"/>
  <c r="U107" i="210"/>
  <c r="AF70" i="210"/>
  <c r="AF71" i="210"/>
  <c r="AB88" i="210"/>
  <c r="H75" i="210"/>
  <c r="N75" i="210"/>
  <c r="AC88" i="210"/>
  <c r="T107" i="210"/>
  <c r="AH69" i="210"/>
  <c r="F64" i="210"/>
  <c r="F82" i="210" s="1"/>
  <c r="F88" i="210"/>
  <c r="G75" i="210"/>
  <c r="O75" i="210"/>
  <c r="O82" i="210" s="1"/>
  <c r="C35" i="177"/>
  <c r="G13" i="177"/>
  <c r="O11" i="177"/>
  <c r="R16" i="177"/>
  <c r="E25" i="177"/>
  <c r="M5" i="177"/>
  <c r="M23" i="177"/>
  <c r="I15" i="177"/>
  <c r="I30" i="177"/>
  <c r="Y6" i="177"/>
  <c r="M32" i="177"/>
  <c r="J27" i="177"/>
  <c r="K27" i="177"/>
  <c r="O17" i="177"/>
  <c r="G24" i="177"/>
  <c r="E6" i="177"/>
  <c r="H9" i="177"/>
  <c r="T22" i="177"/>
  <c r="F6" i="177"/>
  <c r="U12" i="177"/>
  <c r="K24" i="177"/>
  <c r="W25" i="177"/>
  <c r="H33" i="177"/>
  <c r="T4" i="177"/>
  <c r="S7" i="177"/>
  <c r="I9" i="177"/>
  <c r="L14" i="177"/>
  <c r="S17" i="177"/>
  <c r="G21" i="177"/>
  <c r="U22" i="177"/>
  <c r="K6" i="177"/>
  <c r="L11" i="177"/>
  <c r="E16" i="177"/>
  <c r="G18" i="177"/>
  <c r="L26" i="177"/>
  <c r="Q29" i="177"/>
  <c r="I33" i="177"/>
  <c r="U4" i="177"/>
  <c r="T7" i="177"/>
  <c r="T9" i="177"/>
  <c r="Y12" i="177"/>
  <c r="O14" i="177"/>
  <c r="H21" i="177"/>
  <c r="V22" i="177"/>
  <c r="Y27" i="177"/>
  <c r="J8" i="177"/>
  <c r="E15" i="177"/>
  <c r="Q26" i="177"/>
  <c r="M8" i="177"/>
  <c r="J18" i="177"/>
  <c r="W31" i="177"/>
  <c r="Y9" i="177"/>
  <c r="R28" i="177"/>
  <c r="Z11" i="177"/>
  <c r="W21" i="177"/>
  <c r="X31" i="177"/>
  <c r="J15" i="177"/>
  <c r="Q25" i="177"/>
  <c r="O5" i="177"/>
  <c r="Q8" i="177"/>
  <c r="E22" i="177"/>
  <c r="F12" i="177"/>
  <c r="K17" i="177"/>
  <c r="R25" i="177"/>
  <c r="H4" i="177"/>
  <c r="F9" i="177"/>
  <c r="F22" i="177"/>
  <c r="X28" i="177"/>
  <c r="G9" i="177"/>
  <c r="S22" i="177"/>
  <c r="P7" i="177"/>
  <c r="T25" i="177"/>
  <c r="W27" i="177"/>
  <c r="X27" i="177"/>
  <c r="L24" i="177"/>
  <c r="L6" i="177"/>
  <c r="W7" i="177"/>
  <c r="M11" i="177"/>
  <c r="P16" i="177"/>
  <c r="H18" i="177"/>
  <c r="M26" i="177"/>
  <c r="R29" i="177"/>
  <c r="U31" i="177"/>
  <c r="W6" i="177"/>
  <c r="L23" i="177"/>
  <c r="Y4" i="177"/>
  <c r="V21" i="177"/>
  <c r="H30" i="177"/>
  <c r="R13" i="177"/>
  <c r="R26" i="177"/>
  <c r="N8" i="177"/>
  <c r="U16" i="177"/>
  <c r="F25" i="177"/>
  <c r="S13" i="177"/>
  <c r="N23" i="177"/>
  <c r="I27" i="177"/>
  <c r="J30" i="177"/>
  <c r="Z6" i="177"/>
  <c r="T13" i="177"/>
  <c r="Q23" i="177"/>
  <c r="M15" i="177"/>
  <c r="M30" i="177"/>
  <c r="E7" i="177"/>
  <c r="U13" i="177"/>
  <c r="F24" i="177"/>
  <c r="O7" i="177"/>
  <c r="S10" i="177"/>
  <c r="X18" i="177"/>
  <c r="S25" i="177"/>
  <c r="L27" i="177"/>
  <c r="Y15" i="177"/>
  <c r="Y30" i="177"/>
  <c r="P17" i="177"/>
  <c r="P29" i="177"/>
  <c r="G31" i="177"/>
  <c r="Y24" i="177"/>
  <c r="V4" i="177"/>
  <c r="I8" i="177"/>
  <c r="U9" i="177"/>
  <c r="Z12" i="177"/>
  <c r="K21" i="177"/>
  <c r="K23" i="177"/>
  <c r="Z27" i="177"/>
  <c r="M33" i="177"/>
  <c r="V9" i="177"/>
  <c r="G28" i="177"/>
  <c r="X6" i="177"/>
  <c r="K18" i="177"/>
  <c r="N5" i="177"/>
  <c r="S28" i="177"/>
  <c r="E12" i="177"/>
  <c r="V18" i="177"/>
  <c r="G4" i="177"/>
  <c r="O10" i="177"/>
  <c r="N32" i="177"/>
  <c r="W18" i="177"/>
  <c r="W28" i="177"/>
  <c r="O32" i="177"/>
  <c r="I12" i="177"/>
  <c r="X15" i="177"/>
  <c r="X30" i="177"/>
  <c r="I4" i="177"/>
  <c r="J14" i="177"/>
  <c r="P32" i="177"/>
  <c r="T10" i="177"/>
  <c r="O29" i="177"/>
  <c r="J4" i="177"/>
  <c r="K14" i="177"/>
  <c r="F21" i="177"/>
  <c r="W10" i="177"/>
  <c r="Z15" i="177"/>
  <c r="M6" i="177"/>
  <c r="N11" i="177"/>
  <c r="Q16" i="177"/>
  <c r="I18" i="177"/>
  <c r="Z24" i="177"/>
  <c r="G30" i="177"/>
  <c r="V31" i="177"/>
  <c r="N33" i="177"/>
  <c r="M12" i="177"/>
  <c r="Y16" i="177"/>
  <c r="L21" i="177"/>
  <c r="G25" i="177"/>
  <c r="N6" i="177"/>
  <c r="X10" i="177"/>
  <c r="N15" i="177"/>
  <c r="L18" i="177"/>
  <c r="U26" i="177"/>
  <c r="K31" i="177"/>
  <c r="N12" i="177"/>
  <c r="G16" i="177"/>
  <c r="U23" i="177"/>
  <c r="E26" i="177"/>
  <c r="Q30" i="177"/>
  <c r="W5" i="177"/>
  <c r="Y7" i="177"/>
  <c r="U17" i="177"/>
  <c r="P24" i="177"/>
  <c r="F29" i="177"/>
  <c r="E17" i="177"/>
  <c r="F26" i="177"/>
  <c r="L28" i="177"/>
  <c r="U29" i="177"/>
  <c r="R30" i="177"/>
  <c r="X5" i="177"/>
  <c r="L7" i="177"/>
  <c r="Z7" i="177"/>
  <c r="Q9" i="177"/>
  <c r="Z10" i="177"/>
  <c r="W11" i="177"/>
  <c r="J13" i="177"/>
  <c r="G14" i="177"/>
  <c r="P15" i="177"/>
  <c r="M16" i="177"/>
  <c r="V17" i="177"/>
  <c r="K22" i="177"/>
  <c r="Q24" i="177"/>
  <c r="W26" i="177"/>
  <c r="G29" i="177"/>
  <c r="S33" i="177"/>
  <c r="J10" i="177"/>
  <c r="P12" i="177"/>
  <c r="V14" i="177"/>
  <c r="F17" i="177"/>
  <c r="S18" i="177"/>
  <c r="Q21" i="177"/>
  <c r="W23" i="177"/>
  <c r="G26" i="177"/>
  <c r="M28" i="177"/>
  <c r="S30" i="177"/>
  <c r="Y32" i="177"/>
  <c r="Y5" i="177"/>
  <c r="Q6" i="177"/>
  <c r="M7" i="177"/>
  <c r="G8" i="177"/>
  <c r="U8" i="177"/>
  <c r="R9" i="177"/>
  <c r="E11" i="177"/>
  <c r="X11" i="177"/>
  <c r="K13" i="177"/>
  <c r="H14" i="177"/>
  <c r="Q15" i="177"/>
  <c r="N16" i="177"/>
  <c r="W17" i="177"/>
  <c r="L22" i="177"/>
  <c r="I23" i="177"/>
  <c r="R24" i="177"/>
  <c r="O25" i="177"/>
  <c r="X26" i="177"/>
  <c r="U27" i="177"/>
  <c r="H29" i="177"/>
  <c r="E30" i="177"/>
  <c r="N31" i="177"/>
  <c r="K32" i="177"/>
  <c r="T33" i="177"/>
  <c r="H31" i="177"/>
  <c r="T5" i="177"/>
  <c r="P11" i="177"/>
  <c r="S14" i="177"/>
  <c r="Y31" i="177"/>
  <c r="K4" i="177"/>
  <c r="R8" i="177"/>
  <c r="T17" i="177"/>
  <c r="E29" i="177"/>
  <c r="Q33" i="177"/>
  <c r="K9" i="177"/>
  <c r="W13" i="177"/>
  <c r="X22" i="177"/>
  <c r="N27" i="177"/>
  <c r="Z31" i="177"/>
  <c r="O6" i="177"/>
  <c r="L31" i="177"/>
  <c r="H5" i="177"/>
  <c r="O12" i="177"/>
  <c r="Y22" i="177"/>
  <c r="O27" i="177"/>
  <c r="X32" i="177"/>
  <c r="T8" i="177"/>
  <c r="P4" i="177"/>
  <c r="J5" i="177"/>
  <c r="M10" i="177"/>
  <c r="S12" i="177"/>
  <c r="Y14" i="177"/>
  <c r="I17" i="177"/>
  <c r="T18" i="177"/>
  <c r="R21" i="177"/>
  <c r="X23" i="177"/>
  <c r="H26" i="177"/>
  <c r="N28" i="177"/>
  <c r="T30" i="177"/>
  <c r="Z32" i="177"/>
  <c r="S32" i="177"/>
  <c r="J9" i="177"/>
  <c r="V13" i="177"/>
  <c r="S29" i="177"/>
  <c r="Z4" i="177"/>
  <c r="X7" i="177"/>
  <c r="O24" i="177"/>
  <c r="H10" i="177"/>
  <c r="Z16" i="177"/>
  <c r="H25" i="177"/>
  <c r="T29" i="177"/>
  <c r="L4" i="177"/>
  <c r="Y10" i="177"/>
  <c r="M18" i="177"/>
  <c r="J22" i="177"/>
  <c r="V26" i="177"/>
  <c r="U14" i="177"/>
  <c r="I25" i="177"/>
  <c r="E32" i="177"/>
  <c r="P6" i="177"/>
  <c r="O4" i="177"/>
  <c r="Z5" i="177"/>
  <c r="V6" i="177"/>
  <c r="N7" i="177"/>
  <c r="H8" i="177"/>
  <c r="S9" i="177"/>
  <c r="Y11" i="177"/>
  <c r="I14" i="177"/>
  <c r="O16" i="177"/>
  <c r="X17" i="177"/>
  <c r="M22" i="177"/>
  <c r="J23" i="177"/>
  <c r="S24" i="177"/>
  <c r="P25" i="177"/>
  <c r="Y26" i="177"/>
  <c r="V27" i="177"/>
  <c r="I29" i="177"/>
  <c r="F30" i="177"/>
  <c r="O31" i="177"/>
  <c r="L32" i="177"/>
  <c r="U33" i="177"/>
  <c r="G10" i="177"/>
  <c r="F16" i="177"/>
  <c r="W22" i="177"/>
  <c r="M27" i="177"/>
  <c r="F7" i="177"/>
  <c r="H13" i="177"/>
  <c r="I22" i="177"/>
  <c r="Q11" i="177"/>
  <c r="T14" i="177"/>
  <c r="O21" i="177"/>
  <c r="K28" i="177"/>
  <c r="W32" i="177"/>
  <c r="E5" i="177"/>
  <c r="S8" i="177"/>
  <c r="I13" i="177"/>
  <c r="O15" i="177"/>
  <c r="R33" i="177"/>
  <c r="I10" i="177"/>
  <c r="P21" i="177"/>
  <c r="V23" i="177"/>
  <c r="M31" i="177"/>
  <c r="I5" i="177"/>
  <c r="S4" i="177"/>
  <c r="E9" i="177"/>
  <c r="N10" i="177"/>
  <c r="K11" i="177"/>
  <c r="T12" i="177"/>
  <c r="Q13" i="177"/>
  <c r="Z14" i="177"/>
  <c r="W15" i="177"/>
  <c r="J17" i="177"/>
  <c r="U18" i="177"/>
  <c r="E21" i="177"/>
  <c r="U21" i="177"/>
  <c r="E24" i="177"/>
  <c r="K26" i="177"/>
  <c r="Q28" i="177"/>
  <c r="W30" i="177"/>
  <c r="G33" i="177"/>
  <c r="Q5" i="177"/>
  <c r="I7" i="177"/>
  <c r="V8" i="177"/>
  <c r="L9" i="177"/>
  <c r="Z9" i="177"/>
  <c r="P10" i="177"/>
  <c r="F11" i="177"/>
  <c r="J12" i="177"/>
  <c r="V12" i="177"/>
  <c r="L13" i="177"/>
  <c r="X13" i="177"/>
  <c r="P14" i="177"/>
  <c r="F15" i="177"/>
  <c r="R15" i="177"/>
  <c r="H16" i="177"/>
  <c r="V16" i="177"/>
  <c r="L17" i="177"/>
  <c r="N18" i="177"/>
  <c r="X21" i="177"/>
  <c r="N22" i="177"/>
  <c r="Z22" i="177"/>
  <c r="R23" i="177"/>
  <c r="H24" i="177"/>
  <c r="T24" i="177"/>
  <c r="J25" i="177"/>
  <c r="X25" i="177"/>
  <c r="N26" i="177"/>
  <c r="Z26" i="177"/>
  <c r="P27" i="177"/>
  <c r="H28" i="177"/>
  <c r="T28" i="177"/>
  <c r="J29" i="177"/>
  <c r="V29" i="177"/>
  <c r="N30" i="177"/>
  <c r="Z30" i="177"/>
  <c r="P31" i="177"/>
  <c r="T32" i="177"/>
  <c r="J33" i="177"/>
  <c r="V33" i="177"/>
  <c r="E4" i="177"/>
  <c r="F5" i="177"/>
  <c r="G6" i="177"/>
  <c r="U7" i="177"/>
  <c r="K8" i="177"/>
  <c r="R6" i="177"/>
  <c r="R11" i="177"/>
  <c r="F32" i="177"/>
  <c r="Q4" i="177"/>
  <c r="R5" i="177"/>
  <c r="J7" i="177"/>
  <c r="W8" i="177"/>
  <c r="O9" i="177"/>
  <c r="E10" i="177"/>
  <c r="Q10" i="177"/>
  <c r="G11" i="177"/>
  <c r="U11" i="177"/>
  <c r="K12" i="177"/>
  <c r="W12" i="177"/>
  <c r="M13" i="177"/>
  <c r="E14" i="177"/>
  <c r="Q14" i="177"/>
  <c r="G15" i="177"/>
  <c r="S15" i="177"/>
  <c r="K16" i="177"/>
  <c r="W16" i="177"/>
  <c r="M17" i="177"/>
  <c r="Y17" i="177"/>
  <c r="Q18" i="177"/>
  <c r="M21" i="177"/>
  <c r="Y21" i="177"/>
  <c r="O22" i="177"/>
  <c r="G23" i="177"/>
  <c r="S23" i="177"/>
  <c r="I24" i="177"/>
  <c r="U24" i="177"/>
  <c r="M25" i="177"/>
  <c r="Y25" i="177"/>
  <c r="O26" i="177"/>
  <c r="E27" i="177"/>
  <c r="S27" i="177"/>
  <c r="I28" i="177"/>
  <c r="U28" i="177"/>
  <c r="K29" i="177"/>
  <c r="Y29" i="177"/>
  <c r="O30" i="177"/>
  <c r="E31" i="177"/>
  <c r="Q31" i="177"/>
  <c r="I32" i="177"/>
  <c r="U32" i="177"/>
  <c r="K33" i="177"/>
  <c r="W33" i="177"/>
  <c r="F4" i="177"/>
  <c r="G5" i="177"/>
  <c r="H6" i="177"/>
  <c r="U6" i="177"/>
  <c r="V7" i="177"/>
  <c r="L8" i="177"/>
  <c r="R4" i="177"/>
  <c r="S5" i="177"/>
  <c r="K7" i="177"/>
  <c r="X8" i="177"/>
  <c r="P9" i="177"/>
  <c r="F10" i="177"/>
  <c r="R10" i="177"/>
  <c r="H11" i="177"/>
  <c r="V11" i="177"/>
  <c r="L12" i="177"/>
  <c r="X12" i="177"/>
  <c r="N13" i="177"/>
  <c r="F14" i="177"/>
  <c r="R14" i="177"/>
  <c r="H15" i="177"/>
  <c r="T15" i="177"/>
  <c r="L16" i="177"/>
  <c r="X16" i="177"/>
  <c r="N17" i="177"/>
  <c r="Z17" i="177"/>
  <c r="R18" i="177"/>
  <c r="N21" i="177"/>
  <c r="Z21" i="177"/>
  <c r="P22" i="177"/>
  <c r="H23" i="177"/>
  <c r="T23" i="177"/>
  <c r="J24" i="177"/>
  <c r="V24" i="177"/>
  <c r="N25" i="177"/>
  <c r="Z25" i="177"/>
  <c r="P26" i="177"/>
  <c r="F27" i="177"/>
  <c r="T27" i="177"/>
  <c r="J28" i="177"/>
  <c r="V28" i="177"/>
  <c r="L29" i="177"/>
  <c r="Z29" i="177"/>
  <c r="P30" i="177"/>
  <c r="F31" i="177"/>
  <c r="R31" i="177"/>
  <c r="J32" i="177"/>
  <c r="V32" i="177"/>
  <c r="L33" i="177"/>
  <c r="X33" i="177"/>
  <c r="M4" i="177"/>
  <c r="W4" i="177"/>
  <c r="K5" i="177"/>
  <c r="U5" i="177"/>
  <c r="I6" i="177"/>
  <c r="S6" i="177"/>
  <c r="G7" i="177"/>
  <c r="Q7" i="177"/>
  <c r="E8" i="177"/>
  <c r="O8" i="177"/>
  <c r="Y8" i="177"/>
  <c r="M9" i="177"/>
  <c r="W9" i="177"/>
  <c r="K10" i="177"/>
  <c r="U10" i="177"/>
  <c r="I11" i="177"/>
  <c r="S11" i="177"/>
  <c r="G12" i="177"/>
  <c r="Q12" i="177"/>
  <c r="E13" i="177"/>
  <c r="O13" i="177"/>
  <c r="Y13" i="177"/>
  <c r="M14" i="177"/>
  <c r="W14" i="177"/>
  <c r="K15" i="177"/>
  <c r="U15" i="177"/>
  <c r="I16" i="177"/>
  <c r="S16" i="177"/>
  <c r="G17" i="177"/>
  <c r="Q17" i="177"/>
  <c r="E18" i="177"/>
  <c r="O18" i="177"/>
  <c r="Y18" i="177"/>
  <c r="I21" i="177"/>
  <c r="S21" i="177"/>
  <c r="G22" i="177"/>
  <c r="Q22" i="177"/>
  <c r="E23" i="177"/>
  <c r="O23" i="177"/>
  <c r="Y23" i="177"/>
  <c r="M24" i="177"/>
  <c r="W24" i="177"/>
  <c r="K25" i="177"/>
  <c r="U25" i="177"/>
  <c r="I26" i="177"/>
  <c r="S26" i="177"/>
  <c r="G27" i="177"/>
  <c r="Q27" i="177"/>
  <c r="E28" i="177"/>
  <c r="O28" i="177"/>
  <c r="Y28" i="177"/>
  <c r="M29" i="177"/>
  <c r="W29" i="177"/>
  <c r="K30" i="177"/>
  <c r="U30" i="177"/>
  <c r="I31" i="177"/>
  <c r="S31" i="177"/>
  <c r="G32" i="177"/>
  <c r="Q32" i="177"/>
  <c r="E33" i="177"/>
  <c r="O33" i="177"/>
  <c r="Y33" i="177"/>
  <c r="N4" i="177"/>
  <c r="X4" i="177"/>
  <c r="L5" i="177"/>
  <c r="V5" i="177"/>
  <c r="J6" i="177"/>
  <c r="T6" i="177"/>
  <c r="H7" i="177"/>
  <c r="R7" i="177"/>
  <c r="F8" i="177"/>
  <c r="P8" i="177"/>
  <c r="Z8" i="177"/>
  <c r="N9" i="177"/>
  <c r="X9" i="177"/>
  <c r="L10" i="177"/>
  <c r="V10" i="177"/>
  <c r="J11" i="177"/>
  <c r="T11" i="177"/>
  <c r="H12" i="177"/>
  <c r="R12" i="177"/>
  <c r="F13" i="177"/>
  <c r="P13" i="177"/>
  <c r="Z13" i="177"/>
  <c r="N14" i="177"/>
  <c r="X14" i="177"/>
  <c r="L15" i="177"/>
  <c r="V15" i="177"/>
  <c r="J16" i="177"/>
  <c r="T16" i="177"/>
  <c r="H17" i="177"/>
  <c r="R17" i="177"/>
  <c r="F18" i="177"/>
  <c r="P18" i="177"/>
  <c r="Z18" i="177"/>
  <c r="J21" i="177"/>
  <c r="T21" i="177"/>
  <c r="H22" i="177"/>
  <c r="R22" i="177"/>
  <c r="F23" i="177"/>
  <c r="P23" i="177"/>
  <c r="Z23" i="177"/>
  <c r="N24" i="177"/>
  <c r="X24" i="177"/>
  <c r="L25" i="177"/>
  <c r="V25" i="177"/>
  <c r="J26" i="177"/>
  <c r="T26" i="177"/>
  <c r="H27" i="177"/>
  <c r="R27" i="177"/>
  <c r="F28" i="177"/>
  <c r="P28" i="177"/>
  <c r="Z28" i="177"/>
  <c r="N29" i="177"/>
  <c r="X29" i="177"/>
  <c r="L30" i="177"/>
  <c r="V30" i="177"/>
  <c r="J31" i="177"/>
  <c r="T31" i="177"/>
  <c r="H32" i="177"/>
  <c r="R32" i="177"/>
  <c r="F33" i="177"/>
  <c r="P33" i="177"/>
  <c r="Z33" i="177"/>
  <c r="Z3" i="177"/>
  <c r="Y3" i="177"/>
  <c r="X3" i="177"/>
  <c r="W3" i="177"/>
  <c r="V3" i="177"/>
  <c r="U3" i="177"/>
  <c r="T3" i="177"/>
  <c r="S3" i="177"/>
  <c r="R3" i="177"/>
  <c r="Q3" i="177"/>
  <c r="P3" i="177"/>
  <c r="O3" i="177"/>
  <c r="N3" i="177"/>
  <c r="M3" i="177"/>
  <c r="L3" i="177"/>
  <c r="K3" i="177"/>
  <c r="J3" i="177"/>
  <c r="I3" i="177"/>
  <c r="H3" i="177"/>
  <c r="G3" i="177"/>
  <c r="F3" i="177"/>
  <c r="E3" i="177"/>
  <c r="D17" i="177"/>
  <c r="D8" i="177"/>
  <c r="D18" i="177"/>
  <c r="D28" i="177"/>
  <c r="D9" i="177"/>
  <c r="D29" i="177"/>
  <c r="D14" i="177"/>
  <c r="D25" i="177"/>
  <c r="D16" i="177"/>
  <c r="D7" i="177"/>
  <c r="D10" i="177"/>
  <c r="D30" i="177"/>
  <c r="D21" i="177"/>
  <c r="D27" i="177"/>
  <c r="D11" i="177"/>
  <c r="D12" i="177"/>
  <c r="D22" i="177"/>
  <c r="D32" i="177"/>
  <c r="D24" i="177"/>
  <c r="D15" i="177"/>
  <c r="D26" i="177"/>
  <c r="D31" i="177"/>
  <c r="D13" i="177"/>
  <c r="D23" i="177"/>
  <c r="D33" i="177"/>
  <c r="D6" i="177"/>
  <c r="D5" i="177"/>
  <c r="D4" i="177"/>
  <c r="D3" i="177"/>
  <c r="C14" i="177"/>
  <c r="C25" i="177"/>
  <c r="C26" i="177"/>
  <c r="C8" i="177"/>
  <c r="C18" i="177"/>
  <c r="C9" i="177"/>
  <c r="C29" i="177"/>
  <c r="C10" i="177"/>
  <c r="C30" i="177"/>
  <c r="C15" i="177"/>
  <c r="C16" i="177"/>
  <c r="C17" i="177"/>
  <c r="C28" i="177"/>
  <c r="C31" i="177"/>
  <c r="C24" i="177"/>
  <c r="C11" i="177"/>
  <c r="C12" i="177"/>
  <c r="C22" i="177"/>
  <c r="C32" i="177"/>
  <c r="C21" i="177"/>
  <c r="C27" i="177"/>
  <c r="C13" i="177"/>
  <c r="C23" i="177"/>
  <c r="C33" i="177"/>
  <c r="C4" i="177"/>
  <c r="C5" i="177"/>
  <c r="C7" i="177"/>
  <c r="C6" i="177"/>
  <c r="C3" i="177"/>
  <c r="S108" i="210"/>
  <c r="R107" i="210"/>
  <c r="C38" i="177"/>
  <c r="U39" i="102"/>
  <c r="AG68" i="210"/>
  <c r="J88" i="210"/>
  <c r="G88" i="210"/>
  <c r="BC430" i="157"/>
  <c r="AQ431" i="157"/>
  <c r="AV431" i="157"/>
  <c r="AD430" i="157"/>
  <c r="AH430" i="157"/>
  <c r="AH431" i="157"/>
  <c r="AN431" i="157"/>
  <c r="BG430" i="157"/>
  <c r="AZ431" i="157"/>
  <c r="BC431" i="157"/>
  <c r="AZ430" i="157"/>
  <c r="N430" i="157"/>
  <c r="V430" i="157"/>
  <c r="R430" i="157"/>
  <c r="Z430" i="157"/>
  <c r="AN430" i="157"/>
  <c r="C432" i="157"/>
  <c r="R427" i="157"/>
  <c r="Z421" i="157"/>
  <c r="AV427" i="157"/>
  <c r="AD411" i="157"/>
  <c r="AD419" i="157"/>
  <c r="AV414" i="157"/>
  <c r="V421" i="157"/>
  <c r="J410" i="157"/>
  <c r="BG419" i="157"/>
  <c r="V413" i="157"/>
  <c r="AH424" i="157"/>
  <c r="AZ408" i="157"/>
  <c r="BK419" i="157"/>
  <c r="AN410" i="157"/>
  <c r="R423" i="157"/>
  <c r="G406" i="157"/>
  <c r="R415" i="157"/>
  <c r="R409" i="157"/>
  <c r="AZ427" i="157"/>
  <c r="J406" i="157"/>
  <c r="J420" i="157"/>
  <c r="AV410" i="157"/>
  <c r="Z423" i="157"/>
  <c r="N406" i="157"/>
  <c r="R417" i="157"/>
  <c r="N420" i="157"/>
  <c r="AN406" i="157"/>
  <c r="N412" i="157"/>
  <c r="AN420" i="157"/>
  <c r="BG427" i="157"/>
  <c r="AD415" i="157"/>
  <c r="AQ406" i="157"/>
  <c r="G408" i="157"/>
  <c r="AD409" i="157"/>
  <c r="BC410" i="157"/>
  <c r="G414" i="157"/>
  <c r="AQ420" i="157"/>
  <c r="J422" i="157"/>
  <c r="BC423" i="157"/>
  <c r="R425" i="157"/>
  <c r="AN426" i="157"/>
  <c r="Z428" i="157"/>
  <c r="G410" i="157"/>
  <c r="R413" i="157"/>
  <c r="BC425" i="157"/>
  <c r="BG405" i="157"/>
  <c r="AN416" i="157"/>
  <c r="BG411" i="157"/>
  <c r="V427" i="157"/>
  <c r="N410" i="157"/>
  <c r="BK411" i="157"/>
  <c r="AN418" i="157"/>
  <c r="AQ410" i="157"/>
  <c r="BG421" i="157"/>
  <c r="AQ424" i="157"/>
  <c r="AQ418" i="157"/>
  <c r="J412" i="157"/>
  <c r="AV424" i="157"/>
  <c r="AZ410" i="157"/>
  <c r="G422" i="157"/>
  <c r="AH426" i="157"/>
  <c r="AZ418" i="157"/>
  <c r="V405" i="157"/>
  <c r="R411" i="157"/>
  <c r="AQ412" i="157"/>
  <c r="BG415" i="157"/>
  <c r="Z417" i="157"/>
  <c r="R419" i="157"/>
  <c r="AQ408" i="157"/>
  <c r="J416" i="157"/>
  <c r="AV422" i="157"/>
  <c r="AH411" i="157"/>
  <c r="AZ414" i="157"/>
  <c r="AZ422" i="157"/>
  <c r="Z407" i="157"/>
  <c r="AQ416" i="157"/>
  <c r="Z413" i="157"/>
  <c r="AN424" i="157"/>
  <c r="AD407" i="157"/>
  <c r="G412" i="157"/>
  <c r="G426" i="157"/>
  <c r="AZ416" i="157"/>
  <c r="AD426" i="157"/>
  <c r="V409" i="157"/>
  <c r="BK421" i="157"/>
  <c r="Z415" i="157"/>
  <c r="AV418" i="157"/>
  <c r="Z409" i="157"/>
  <c r="N425" i="157"/>
  <c r="AN412" i="157"/>
  <c r="V417" i="157"/>
  <c r="AV406" i="157"/>
  <c r="J408" i="157"/>
  <c r="AH409" i="157"/>
  <c r="J414" i="157"/>
  <c r="AV420" i="157"/>
  <c r="BG423" i="157"/>
  <c r="V425" i="157"/>
  <c r="AQ426" i="157"/>
  <c r="AD428" i="157"/>
  <c r="G420" i="157"/>
  <c r="Z405" i="157"/>
  <c r="BG409" i="157"/>
  <c r="V411" i="157"/>
  <c r="AV412" i="157"/>
  <c r="BK415" i="157"/>
  <c r="AD417" i="157"/>
  <c r="V419" i="157"/>
  <c r="V407" i="157"/>
  <c r="V415" i="157"/>
  <c r="AZ406" i="157"/>
  <c r="N408" i="157"/>
  <c r="AN414" i="157"/>
  <c r="AZ420" i="157"/>
  <c r="AN422" i="157"/>
  <c r="Z425" i="157"/>
  <c r="J427" i="157"/>
  <c r="AH428" i="157"/>
  <c r="AD405" i="157"/>
  <c r="AN408" i="157"/>
  <c r="BK409" i="157"/>
  <c r="Z411" i="157"/>
  <c r="AZ412" i="157"/>
  <c r="G416" i="157"/>
  <c r="BG417" i="157"/>
  <c r="Z419" i="157"/>
  <c r="R407" i="157"/>
  <c r="BC412" i="157"/>
  <c r="BK417" i="157"/>
  <c r="AH405" i="157"/>
  <c r="J424" i="157"/>
  <c r="AV408" i="157"/>
  <c r="G418" i="157"/>
  <c r="BG425" i="157"/>
  <c r="BK405" i="157"/>
  <c r="J418" i="157"/>
  <c r="BC414" i="157"/>
  <c r="AD421" i="157"/>
  <c r="BC408" i="157"/>
  <c r="AV416" i="157"/>
  <c r="AD413" i="157"/>
  <c r="V423" i="157"/>
  <c r="AH407" i="157"/>
  <c r="BG407" i="157"/>
  <c r="BG413" i="157"/>
  <c r="BC427" i="157"/>
  <c r="AD423" i="157"/>
  <c r="BC406" i="157"/>
  <c r="AQ414" i="157"/>
  <c r="R421" i="157"/>
  <c r="AQ422" i="157"/>
  <c r="G424" i="157"/>
  <c r="AZ425" i="157"/>
  <c r="N427" i="157"/>
  <c r="AN428" i="157"/>
  <c r="AH417" i="157"/>
  <c r="BC420" i="157"/>
  <c r="BK427" i="157"/>
  <c r="AZ424" i="157"/>
  <c r="Z427" i="157"/>
  <c r="BG406" i="157"/>
  <c r="AN409" i="157"/>
  <c r="R412" i="157"/>
  <c r="BG414" i="157"/>
  <c r="BG416" i="157"/>
  <c r="R418" i="157"/>
  <c r="BG418" i="157"/>
  <c r="R420" i="157"/>
  <c r="AN421" i="157"/>
  <c r="AH423" i="157"/>
  <c r="BG422" i="157"/>
  <c r="BC424" i="157"/>
  <c r="AZ426" i="157"/>
  <c r="AD427" i="157"/>
  <c r="AQ405" i="157"/>
  <c r="V406" i="157"/>
  <c r="AQ407" i="157"/>
  <c r="V408" i="157"/>
  <c r="AQ409" i="157"/>
  <c r="V410" i="157"/>
  <c r="BK410" i="157"/>
  <c r="AQ411" i="157"/>
  <c r="V412" i="157"/>
  <c r="BK412" i="157"/>
  <c r="AQ413" i="157"/>
  <c r="V414" i="157"/>
  <c r="AQ415" i="157"/>
  <c r="V416" i="157"/>
  <c r="BK416" i="157"/>
  <c r="AQ417" i="157"/>
  <c r="V418" i="157"/>
  <c r="BK418" i="157"/>
  <c r="AQ419" i="157"/>
  <c r="V420" i="157"/>
  <c r="BK420" i="157"/>
  <c r="AQ421" i="157"/>
  <c r="V422" i="157"/>
  <c r="AN423" i="157"/>
  <c r="R424" i="157"/>
  <c r="AH425" i="157"/>
  <c r="N426" i="157"/>
  <c r="J428" i="157"/>
  <c r="AZ428" i="157"/>
  <c r="G405" i="157"/>
  <c r="BG424" i="157"/>
  <c r="BC426" i="157"/>
  <c r="Z406" i="157"/>
  <c r="Z412" i="157"/>
  <c r="G415" i="157"/>
  <c r="Z416" i="157"/>
  <c r="G417" i="157"/>
  <c r="AV417" i="157"/>
  <c r="Z418" i="157"/>
  <c r="G419" i="157"/>
  <c r="AV419" i="157"/>
  <c r="Z420" i="157"/>
  <c r="G421" i="157"/>
  <c r="AV421" i="157"/>
  <c r="AN425" i="157"/>
  <c r="R426" i="157"/>
  <c r="AH427" i="157"/>
  <c r="N428" i="157"/>
  <c r="BC428" i="157"/>
  <c r="J426" i="157"/>
  <c r="J405" i="157"/>
  <c r="G423" i="157"/>
  <c r="BG426" i="157"/>
  <c r="V424" i="157"/>
  <c r="AZ405" i="157"/>
  <c r="AD406" i="157"/>
  <c r="J407" i="157"/>
  <c r="AZ407" i="157"/>
  <c r="AD408" i="157"/>
  <c r="J409" i="157"/>
  <c r="AZ409" i="157"/>
  <c r="AD410" i="157"/>
  <c r="J411" i="157"/>
  <c r="AZ411" i="157"/>
  <c r="AD412" i="157"/>
  <c r="J413" i="157"/>
  <c r="AD414" i="157"/>
  <c r="J415" i="157"/>
  <c r="AD416" i="157"/>
  <c r="J417" i="157"/>
  <c r="AZ417" i="157"/>
  <c r="AD418" i="157"/>
  <c r="J419" i="157"/>
  <c r="AZ419" i="157"/>
  <c r="AD420" i="157"/>
  <c r="J421" i="157"/>
  <c r="AZ421" i="157"/>
  <c r="AD422" i="157"/>
  <c r="AV423" i="157"/>
  <c r="Z424" i="157"/>
  <c r="AQ425" i="157"/>
  <c r="V426" i="157"/>
  <c r="AN427" i="157"/>
  <c r="R428" i="157"/>
  <c r="BG428" i="157"/>
  <c r="AH413" i="157"/>
  <c r="N416" i="157"/>
  <c r="N418" i="157"/>
  <c r="N422" i="157"/>
  <c r="AD425" i="157"/>
  <c r="R406" i="157"/>
  <c r="BG408" i="157"/>
  <c r="AN411" i="157"/>
  <c r="R414" i="157"/>
  <c r="AN417" i="157"/>
  <c r="R422" i="157"/>
  <c r="G428" i="157"/>
  <c r="AV407" i="157"/>
  <c r="AV411" i="157"/>
  <c r="Z422" i="157"/>
  <c r="N405" i="157"/>
  <c r="J423" i="157"/>
  <c r="G425" i="157"/>
  <c r="N414" i="157"/>
  <c r="BC416" i="157"/>
  <c r="BC418" i="157"/>
  <c r="AH421" i="157"/>
  <c r="AQ428" i="157"/>
  <c r="BC422" i="157"/>
  <c r="AV426" i="157"/>
  <c r="AN405" i="157"/>
  <c r="AN407" i="157"/>
  <c r="R410" i="157"/>
  <c r="AN413" i="157"/>
  <c r="R416" i="157"/>
  <c r="AN419" i="157"/>
  <c r="N424" i="157"/>
  <c r="AV405" i="157"/>
  <c r="Z408" i="157"/>
  <c r="AV409" i="157"/>
  <c r="Z410" i="157"/>
  <c r="G413" i="157"/>
  <c r="AV413" i="157"/>
  <c r="AV415" i="157"/>
  <c r="AH406" i="157"/>
  <c r="N407" i="157"/>
  <c r="BC407" i="157"/>
  <c r="AH408" i="157"/>
  <c r="N409" i="157"/>
  <c r="BC409" i="157"/>
  <c r="AH410" i="157"/>
  <c r="N411" i="157"/>
  <c r="BC411" i="157"/>
  <c r="AH412" i="157"/>
  <c r="N413" i="157"/>
  <c r="BC413" i="157"/>
  <c r="AH414" i="157"/>
  <c r="N415" i="157"/>
  <c r="BC415" i="157"/>
  <c r="AH416" i="157"/>
  <c r="N417" i="157"/>
  <c r="AH418" i="157"/>
  <c r="N419" i="157"/>
  <c r="BC419" i="157"/>
  <c r="AH420" i="157"/>
  <c r="N421" i="157"/>
  <c r="BC421" i="157"/>
  <c r="AD424" i="157"/>
  <c r="AV425" i="157"/>
  <c r="Z426" i="157"/>
  <c r="AQ427" i="157"/>
  <c r="V428" i="157"/>
  <c r="AH415" i="157"/>
  <c r="AH419" i="157"/>
  <c r="R408" i="157"/>
  <c r="BG410" i="157"/>
  <c r="BG412" i="157"/>
  <c r="AN415" i="157"/>
  <c r="BG420" i="157"/>
  <c r="AV428" i="157"/>
  <c r="G407" i="157"/>
  <c r="G409" i="157"/>
  <c r="G411" i="157"/>
  <c r="Z414" i="157"/>
  <c r="AQ423" i="157"/>
  <c r="R405" i="157"/>
  <c r="AH422" i="157"/>
  <c r="N423" i="157"/>
  <c r="J425" i="157"/>
  <c r="G427" i="157"/>
  <c r="AF68" i="210"/>
  <c r="AH68" i="210"/>
  <c r="G107" i="210"/>
  <c r="I88" i="210"/>
  <c r="H88" i="210"/>
  <c r="Q82" i="210"/>
  <c r="X107" i="210"/>
  <c r="T108" i="210"/>
  <c r="AB107" i="210"/>
  <c r="V108" i="210"/>
  <c r="V107" i="210"/>
  <c r="W107" i="210"/>
  <c r="S92" i="210"/>
  <c r="S107" i="210" s="1"/>
  <c r="K88" i="210"/>
  <c r="L88" i="210"/>
  <c r="M88" i="210"/>
  <c r="N88" i="210"/>
  <c r="O88" i="210"/>
  <c r="R88" i="210"/>
  <c r="P88" i="210"/>
  <c r="S88" i="210"/>
  <c r="Q88" i="210"/>
  <c r="Q101" i="210" s="1"/>
  <c r="Q106" i="210" s="1"/>
  <c r="Y108" i="210"/>
  <c r="W108" i="210"/>
  <c r="L82" i="210"/>
  <c r="Z88" i="210"/>
  <c r="M82" i="210"/>
  <c r="AA88" i="210"/>
  <c r="Y90" i="210"/>
  <c r="Y107" i="210" s="1"/>
  <c r="R108" i="210"/>
  <c r="Z108" i="210"/>
  <c r="AF67" i="210"/>
  <c r="AG67" i="210"/>
  <c r="I108" i="210"/>
  <c r="AC108" i="210"/>
  <c r="AC90" i="210"/>
  <c r="AC107" i="210" s="1"/>
  <c r="J108" i="210"/>
  <c r="J90" i="210"/>
  <c r="J107" i="210" s="1"/>
  <c r="F108" i="210"/>
  <c r="P59" i="210"/>
  <c r="AI34" i="210"/>
  <c r="AH44" i="210"/>
  <c r="AI65" i="210"/>
  <c r="AA108" i="210"/>
  <c r="U88" i="210"/>
  <c r="U101" i="210" s="1"/>
  <c r="U106" i="210" s="1"/>
  <c r="U108" i="210"/>
  <c r="AF49" i="210"/>
  <c r="AH66" i="210"/>
  <c r="AG66" i="210"/>
  <c r="AH70" i="210"/>
  <c r="Z90" i="210"/>
  <c r="Z107" i="210" s="1"/>
  <c r="H82" i="210"/>
  <c r="H108" i="210"/>
  <c r="AB82" i="210"/>
  <c r="AB108" i="210"/>
  <c r="AI60" i="210"/>
  <c r="AG44" i="210"/>
  <c r="AH63" i="210"/>
  <c r="AG63" i="210"/>
  <c r="N107" i="210"/>
  <c r="AF55" i="210"/>
  <c r="O107" i="210"/>
  <c r="AH55" i="210"/>
  <c r="W75" i="210"/>
  <c r="W82" i="210" s="1"/>
  <c r="AH74" i="210"/>
  <c r="I75" i="210"/>
  <c r="AB101" i="210"/>
  <c r="AB106" i="210" s="1"/>
  <c r="V88" i="210"/>
  <c r="V101" i="210" s="1"/>
  <c r="V106" i="210" s="1"/>
  <c r="AF56" i="210"/>
  <c r="J82" i="210"/>
  <c r="F90" i="210"/>
  <c r="F107" i="210" s="1"/>
  <c r="K108" i="210"/>
  <c r="K90" i="210"/>
  <c r="K107" i="210" s="1"/>
  <c r="Q108" i="210"/>
  <c r="W88" i="210"/>
  <c r="AG56" i="210"/>
  <c r="AF62" i="210"/>
  <c r="AG74" i="210"/>
  <c r="AF74" i="210"/>
  <c r="K82" i="210"/>
  <c r="O108" i="210"/>
  <c r="B82" i="210"/>
  <c r="X88" i="210"/>
  <c r="H90" i="210"/>
  <c r="H107" i="210" s="1"/>
  <c r="G82" i="210"/>
  <c r="G108" i="210"/>
  <c r="C82" i="210"/>
  <c r="Y88" i="210"/>
  <c r="AH53" i="210"/>
  <c r="AG53" i="210"/>
  <c r="AF53" i="210"/>
  <c r="AH62" i="210"/>
  <c r="AG62" i="210"/>
  <c r="R64" i="210"/>
  <c r="Y75" i="210"/>
  <c r="I90" i="210"/>
  <c r="I107" i="210" s="1"/>
  <c r="X59" i="210"/>
  <c r="AG49" i="210"/>
  <c r="AH67" i="210"/>
  <c r="AH71" i="210"/>
  <c r="AG71" i="210"/>
  <c r="AA90" i="210"/>
  <c r="AA107" i="210" s="1"/>
  <c r="AF44" i="210"/>
  <c r="L108" i="210"/>
  <c r="L90" i="210"/>
  <c r="L107" i="210" s="1"/>
  <c r="M108" i="210"/>
  <c r="M90" i="210"/>
  <c r="M107" i="210" s="1"/>
  <c r="N108" i="210"/>
  <c r="P108" i="210"/>
  <c r="P107" i="210"/>
  <c r="T88" i="210"/>
  <c r="T101" i="210" s="1"/>
  <c r="T106" i="210" s="1"/>
  <c r="AF48" i="210"/>
  <c r="Z75" i="210"/>
  <c r="AF69" i="210"/>
  <c r="X75" i="210"/>
  <c r="Q107" i="210"/>
  <c r="X108" i="210"/>
  <c r="AA75" i="210"/>
  <c r="S82" i="210"/>
  <c r="T82" i="210"/>
  <c r="N59" i="210"/>
  <c r="N82" i="210" s="1"/>
  <c r="U82" i="210"/>
  <c r="V82" i="210"/>
  <c r="AF57" i="210"/>
  <c r="AG57" i="210"/>
  <c r="AF63" i="210"/>
  <c r="AF61" i="210"/>
  <c r="AF54" i="210"/>
  <c r="AG61" i="210"/>
  <c r="AG54" i="210"/>
  <c r="AG47" i="210"/>
  <c r="AF47" i="210"/>
  <c r="G396" i="157"/>
  <c r="V74" i="209"/>
  <c r="V71" i="209"/>
  <c r="V70" i="209"/>
  <c r="V68" i="209"/>
  <c r="V67" i="209"/>
  <c r="V63" i="209"/>
  <c r="V62" i="209"/>
  <c r="F699" i="88"/>
  <c r="U74" i="209"/>
  <c r="U71" i="209"/>
  <c r="U70" i="209"/>
  <c r="U68" i="209"/>
  <c r="U67" i="209"/>
  <c r="U62" i="209"/>
  <c r="U63" i="209"/>
  <c r="F918" i="88"/>
  <c r="T68" i="209"/>
  <c r="T69" i="209"/>
  <c r="T70" i="209"/>
  <c r="T71" i="209"/>
  <c r="T67" i="209"/>
  <c r="S68" i="209"/>
  <c r="S69" i="209"/>
  <c r="S70" i="209"/>
  <c r="S71" i="209"/>
  <c r="S67" i="209"/>
  <c r="S63" i="209"/>
  <c r="S62" i="209"/>
  <c r="S74" i="209"/>
  <c r="F934" i="88"/>
  <c r="F933" i="88"/>
  <c r="F932" i="88"/>
  <c r="F745" i="88"/>
  <c r="F772" i="88"/>
  <c r="F840" i="88"/>
  <c r="F931" i="88"/>
  <c r="F701" i="88"/>
  <c r="F634" i="88"/>
  <c r="F588" i="88"/>
  <c r="F589" i="88"/>
  <c r="F647" i="88"/>
  <c r="R69" i="209"/>
  <c r="R70" i="209"/>
  <c r="R71" i="209"/>
  <c r="R74" i="209"/>
  <c r="R62" i="209"/>
  <c r="R63" i="209"/>
  <c r="F926" i="88"/>
  <c r="F927" i="88"/>
  <c r="F916" i="88"/>
  <c r="F923" i="88"/>
  <c r="F922" i="88"/>
  <c r="F902" i="88"/>
  <c r="Q48" i="209"/>
  <c r="Q56" i="209"/>
  <c r="Q69" i="209"/>
  <c r="Q70" i="209"/>
  <c r="Q71" i="209"/>
  <c r="Q74" i="209"/>
  <c r="Q62" i="209"/>
  <c r="Q63" i="209"/>
  <c r="Q44" i="209"/>
  <c r="P74" i="209"/>
  <c r="P71" i="209"/>
  <c r="P70" i="209"/>
  <c r="P69" i="209"/>
  <c r="P68" i="209"/>
  <c r="P67" i="209"/>
  <c r="P63" i="209"/>
  <c r="P62" i="209"/>
  <c r="P58" i="209"/>
  <c r="P57" i="209"/>
  <c r="P54" i="209"/>
  <c r="P53" i="209"/>
  <c r="P52" i="209"/>
  <c r="P44" i="209"/>
  <c r="F929" i="88"/>
  <c r="F881" i="88"/>
  <c r="F864" i="88"/>
  <c r="F854" i="88"/>
  <c r="O71" i="209"/>
  <c r="O70" i="209"/>
  <c r="O69" i="209"/>
  <c r="O68" i="209"/>
  <c r="O67" i="209"/>
  <c r="O63" i="209"/>
  <c r="O61" i="209"/>
  <c r="O58" i="209"/>
  <c r="O57" i="209"/>
  <c r="O54" i="209"/>
  <c r="O53" i="209"/>
  <c r="O52" i="209"/>
  <c r="F886" i="88"/>
  <c r="F865" i="88"/>
  <c r="N71" i="209"/>
  <c r="N70" i="209"/>
  <c r="N69" i="209"/>
  <c r="N68" i="209"/>
  <c r="N67" i="209"/>
  <c r="N63" i="209"/>
  <c r="N61" i="209"/>
  <c r="N54" i="209"/>
  <c r="N53" i="209"/>
  <c r="N52" i="209"/>
  <c r="M63" i="209"/>
  <c r="M61" i="209"/>
  <c r="M71" i="209"/>
  <c r="M70" i="209"/>
  <c r="M69" i="209"/>
  <c r="M67" i="209"/>
  <c r="F620" i="88"/>
  <c r="F750" i="88"/>
  <c r="F915" i="88"/>
  <c r="F593" i="88"/>
  <c r="F774" i="88"/>
  <c r="F906" i="88"/>
  <c r="F826" i="88"/>
  <c r="F914" i="88"/>
  <c r="L63" i="209"/>
  <c r="L61" i="209"/>
  <c r="F901" i="88"/>
  <c r="K74" i="209"/>
  <c r="K71" i="209"/>
  <c r="K70" i="209"/>
  <c r="K69" i="209"/>
  <c r="K66" i="209"/>
  <c r="K63" i="209"/>
  <c r="K61" i="209"/>
  <c r="J61" i="209"/>
  <c r="J63" i="209"/>
  <c r="J66" i="209"/>
  <c r="J69" i="209"/>
  <c r="J70" i="209"/>
  <c r="J71" i="209"/>
  <c r="J74" i="209"/>
  <c r="I74" i="209"/>
  <c r="I71" i="209"/>
  <c r="I70" i="209"/>
  <c r="I69" i="209"/>
  <c r="I66" i="209"/>
  <c r="I79" i="209"/>
  <c r="I63" i="209"/>
  <c r="I61" i="209"/>
  <c r="F912" i="88"/>
  <c r="F910" i="88"/>
  <c r="F911" i="88"/>
  <c r="AE380" i="157"/>
  <c r="AE378" i="157"/>
  <c r="AQ430" i="157" a="1"/>
  <c r="BK425" i="157" a="1"/>
  <c r="R20" i="177" a="1"/>
  <c r="V431" i="157" a="1"/>
  <c r="BK430" i="157" a="1"/>
  <c r="AV430" i="157" a="1"/>
  <c r="H20" i="177" a="1"/>
  <c r="BK422" i="157" a="1"/>
  <c r="N19" i="177" a="1"/>
  <c r="O20" i="177" a="1"/>
  <c r="AZ413" i="157" a="1"/>
  <c r="G431" i="157" a="1"/>
  <c r="T20" i="177" a="1"/>
  <c r="R19" i="177" a="1"/>
  <c r="BK423" i="157" a="1"/>
  <c r="I20" i="177" a="1"/>
  <c r="BK413" i="157" a="1"/>
  <c r="AZ423" i="157" a="1"/>
  <c r="Y19" i="177" a="1"/>
  <c r="AD431" i="157" a="1"/>
  <c r="BK424" i="157" a="1"/>
  <c r="N431" i="157" a="1"/>
  <c r="BK431" i="157" a="1"/>
  <c r="M20" i="177" a="1"/>
  <c r="G430" i="157" a="1"/>
  <c r="J430" i="157" a="1"/>
  <c r="AZ415" i="157" a="1"/>
  <c r="BK428" i="157" a="1"/>
  <c r="S20" i="177" a="1"/>
  <c r="Q20" i="177" a="1"/>
  <c r="BC405" i="157" a="1"/>
  <c r="N20" i="177" a="1"/>
  <c r="X20" i="177" a="1"/>
  <c r="Q19" i="177" a="1"/>
  <c r="BK426" i="157" a="1"/>
  <c r="BK414" i="157" a="1"/>
  <c r="BK406" i="157" a="1"/>
  <c r="J431" i="157" a="1"/>
  <c r="P20" i="177" a="1"/>
  <c r="BK407" i="157" a="1"/>
  <c r="BC417" i="157" a="1"/>
  <c r="U20" i="177" a="1"/>
  <c r="Z431" i="157" a="1"/>
  <c r="BK408" i="157" a="1"/>
  <c r="BG431" i="157" a="1"/>
  <c r="S19" i="177" a="1"/>
  <c r="G380" i="157" a="1"/>
  <c r="G20" i="177" a="1"/>
  <c r="AZ380" i="157" a="1"/>
  <c r="R431" i="157" a="1"/>
  <c r="AB82" i="212" l="1"/>
  <c r="G82" i="212"/>
  <c r="AB101" i="212"/>
  <c r="AB106" i="212" s="1"/>
  <c r="G101" i="212"/>
  <c r="G106" i="212" s="1"/>
  <c r="Y82" i="212"/>
  <c r="P82" i="212"/>
  <c r="O101" i="212"/>
  <c r="O106" i="212" s="1"/>
  <c r="N101" i="212"/>
  <c r="N106" i="212" s="1"/>
  <c r="M101" i="212"/>
  <c r="M106" i="212" s="1"/>
  <c r="BK430" i="157"/>
  <c r="F98" i="212"/>
  <c r="F101" i="212" s="1"/>
  <c r="F106" i="212" s="1"/>
  <c r="BK428" i="157"/>
  <c r="AC82" i="212"/>
  <c r="M20" i="177"/>
  <c r="I20" i="177"/>
  <c r="X20" i="177"/>
  <c r="T20" i="177"/>
  <c r="R20" i="177"/>
  <c r="G20" i="177"/>
  <c r="U20" i="177"/>
  <c r="H20" i="177"/>
  <c r="Q20" i="177"/>
  <c r="S20" i="177"/>
  <c r="P20" i="177"/>
  <c r="O20" i="177"/>
  <c r="N20" i="177"/>
  <c r="I101" i="212"/>
  <c r="I106" i="212" s="1"/>
  <c r="M82" i="212"/>
  <c r="Z101" i="212"/>
  <c r="Z106" i="212" s="1"/>
  <c r="AC101" i="212"/>
  <c r="AC106" i="212" s="1"/>
  <c r="Y101" i="212"/>
  <c r="Y106" i="212" s="1"/>
  <c r="O82" i="212"/>
  <c r="H101" i="212"/>
  <c r="H106" i="212" s="1"/>
  <c r="N82" i="212"/>
  <c r="BK413" i="157"/>
  <c r="BK407" i="157"/>
  <c r="N98" i="210"/>
  <c r="H98" i="210"/>
  <c r="BK426" i="157"/>
  <c r="BK423" i="157"/>
  <c r="BK424" i="157"/>
  <c r="BK422" i="157"/>
  <c r="BK425" i="157"/>
  <c r="BK406" i="157"/>
  <c r="BK414" i="157"/>
  <c r="BC405" i="157"/>
  <c r="AA98" i="210"/>
  <c r="X98" i="210"/>
  <c r="Y98" i="210"/>
  <c r="Y101" i="210" s="1"/>
  <c r="Y106" i="210" s="1"/>
  <c r="AC98" i="210"/>
  <c r="AC101" i="210" s="1"/>
  <c r="AC106" i="210" s="1"/>
  <c r="O101" i="210"/>
  <c r="O106" i="210" s="1"/>
  <c r="W98" i="210"/>
  <c r="W101" i="210" s="1"/>
  <c r="W106" i="210" s="1"/>
  <c r="Z98" i="210"/>
  <c r="AC82" i="210"/>
  <c r="G98" i="210"/>
  <c r="G101" i="210" s="1"/>
  <c r="G106" i="210" s="1"/>
  <c r="O98" i="210"/>
  <c r="F97" i="210"/>
  <c r="S19" i="177"/>
  <c r="Y19" i="177"/>
  <c r="R19" i="177"/>
  <c r="N19" i="177"/>
  <c r="AZ423" i="157"/>
  <c r="X96" i="210"/>
  <c r="Q19" i="177"/>
  <c r="S101" i="210"/>
  <c r="S106" i="210" s="1"/>
  <c r="BC417" i="157"/>
  <c r="R97" i="210"/>
  <c r="R101" i="210" s="1"/>
  <c r="R106" i="210" s="1"/>
  <c r="AZ415" i="157"/>
  <c r="AZ413" i="157"/>
  <c r="N96" i="210"/>
  <c r="N101" i="210"/>
  <c r="N106" i="210" s="1"/>
  <c r="BK408" i="157"/>
  <c r="I98" i="210"/>
  <c r="I101" i="210" s="1"/>
  <c r="I106" i="210" s="1"/>
  <c r="H101" i="210"/>
  <c r="H106" i="210" s="1"/>
  <c r="Z431" i="157"/>
  <c r="AQ430" i="157"/>
  <c r="J431" i="157"/>
  <c r="BK431" i="157"/>
  <c r="J430" i="157"/>
  <c r="AV430" i="157"/>
  <c r="G430" i="157"/>
  <c r="AD431" i="157"/>
  <c r="BG431" i="157"/>
  <c r="N431" i="157"/>
  <c r="G431" i="157"/>
  <c r="R431" i="157"/>
  <c r="V431" i="157"/>
  <c r="C433" i="157"/>
  <c r="F101" i="210"/>
  <c r="F106" i="210" s="1"/>
  <c r="R82" i="210"/>
  <c r="AA101" i="210"/>
  <c r="AA106" i="210" s="1"/>
  <c r="Z101" i="210"/>
  <c r="Z106" i="210" s="1"/>
  <c r="K101" i="210"/>
  <c r="K106" i="210" s="1"/>
  <c r="J101" i="210"/>
  <c r="J106" i="210" s="1"/>
  <c r="L101" i="210"/>
  <c r="L106" i="210" s="1"/>
  <c r="I82" i="210"/>
  <c r="Z82" i="210"/>
  <c r="AA82" i="210"/>
  <c r="Y82" i="210"/>
  <c r="P96" i="210"/>
  <c r="P101" i="210" s="1"/>
  <c r="P106" i="210" s="1"/>
  <c r="P82" i="210"/>
  <c r="X82" i="210"/>
  <c r="M101" i="210"/>
  <c r="M106" i="210" s="1"/>
  <c r="G380" i="157"/>
  <c r="AZ380" i="157"/>
  <c r="E19" i="177" a="1"/>
  <c r="J380" i="157" a="1"/>
  <c r="Z20" i="177" a="1"/>
  <c r="M19" i="177" a="1"/>
  <c r="V20" i="177" a="1"/>
  <c r="R432" i="157" a="1"/>
  <c r="AN432" i="157" a="1"/>
  <c r="AZ432" i="157" a="1"/>
  <c r="AV432" i="157" a="1"/>
  <c r="T19" i="177" a="1"/>
  <c r="X19" i="177" a="1"/>
  <c r="Z432" i="157" a="1"/>
  <c r="N432" i="157" a="1"/>
  <c r="E20" i="177" a="1"/>
  <c r="I19" i="177" a="1"/>
  <c r="C19" i="177" a="1"/>
  <c r="D20" i="177" a="1"/>
  <c r="BC432" i="157" a="1"/>
  <c r="P19" i="177" a="1"/>
  <c r="C20" i="177" a="1"/>
  <c r="J20" i="177" a="1"/>
  <c r="O19" i="177" a="1"/>
  <c r="W19" i="177" a="1"/>
  <c r="AD432" i="157" a="1"/>
  <c r="D19" i="177" a="1"/>
  <c r="L20" i="177" a="1"/>
  <c r="AH432" i="157" a="1"/>
  <c r="V432" i="157" a="1"/>
  <c r="G432" i="157" a="1"/>
  <c r="V19" i="177" a="1"/>
  <c r="L19" i="177" a="1"/>
  <c r="F20" i="177" a="1"/>
  <c r="J432" i="157" a="1"/>
  <c r="J19" i="177" a="1"/>
  <c r="Y20" i="177" a="1"/>
  <c r="F19" i="177" a="1"/>
  <c r="H19" i="177" a="1"/>
  <c r="G19" i="177" a="1"/>
  <c r="K19" i="177" a="1"/>
  <c r="K20" i="177" a="1"/>
  <c r="BG432" i="157" a="1"/>
  <c r="AQ432" i="157" a="1"/>
  <c r="W20" i="177" a="1"/>
  <c r="BK432" i="157" a="1"/>
  <c r="Z19" i="177" a="1"/>
  <c r="D20" i="177" l="1"/>
  <c r="Y20" i="177"/>
  <c r="L20" i="177"/>
  <c r="K20" i="177"/>
  <c r="J20" i="177"/>
  <c r="C20" i="177"/>
  <c r="F20" i="177"/>
  <c r="V20" i="177"/>
  <c r="Z20" i="177"/>
  <c r="E20" i="177"/>
  <c r="W20" i="177"/>
  <c r="T19" i="177"/>
  <c r="D19" i="177"/>
  <c r="L19" i="177"/>
  <c r="V19" i="177"/>
  <c r="X101" i="210"/>
  <c r="X106" i="210" s="1"/>
  <c r="I19" i="177"/>
  <c r="M19" i="177"/>
  <c r="J19" i="177"/>
  <c r="G19" i="177"/>
  <c r="C19" i="177"/>
  <c r="H19" i="177"/>
  <c r="X19" i="177"/>
  <c r="O19" i="177"/>
  <c r="E19" i="177"/>
  <c r="K19" i="177"/>
  <c r="W19" i="177"/>
  <c r="Z19" i="177"/>
  <c r="F19" i="177"/>
  <c r="P19" i="177"/>
  <c r="AH432" i="157"/>
  <c r="AN432" i="157"/>
  <c r="AV432" i="157"/>
  <c r="AD432" i="157"/>
  <c r="AZ432" i="157"/>
  <c r="BC432" i="157"/>
  <c r="R432" i="157"/>
  <c r="G432" i="157"/>
  <c r="BK432" i="157"/>
  <c r="V432" i="157"/>
  <c r="AQ432" i="157"/>
  <c r="Z432" i="157"/>
  <c r="BG432" i="157"/>
  <c r="J432" i="157"/>
  <c r="N432" i="157"/>
  <c r="C434" i="157"/>
  <c r="J380" i="157"/>
  <c r="BC433" i="157" a="1"/>
  <c r="G433" i="157" a="1"/>
  <c r="AH433" i="157" a="1"/>
  <c r="Z433" i="157" a="1"/>
  <c r="BG433" i="157" a="1"/>
  <c r="R433" i="157" a="1"/>
  <c r="AN433" i="157" a="1"/>
  <c r="AD433" i="157" a="1"/>
  <c r="J433" i="157" a="1"/>
  <c r="AQ433" i="157" a="1"/>
  <c r="AZ433" i="157" a="1"/>
  <c r="V433" i="157" a="1"/>
  <c r="U19" i="177" a="1"/>
  <c r="AV433" i="157" a="1"/>
  <c r="BK433" i="157" a="1"/>
  <c r="N380" i="157" a="1"/>
  <c r="N433" i="157" a="1"/>
  <c r="U19" i="177" l="1"/>
  <c r="J433" i="157"/>
  <c r="BG433" i="157"/>
  <c r="BC433" i="157"/>
  <c r="R433" i="157"/>
  <c r="V433" i="157"/>
  <c r="BK433" i="157"/>
  <c r="AH433" i="157"/>
  <c r="AN433" i="157"/>
  <c r="AQ433" i="157"/>
  <c r="AV433" i="157"/>
  <c r="AZ433" i="157"/>
  <c r="G433" i="157"/>
  <c r="Z433" i="157"/>
  <c r="AD433" i="157"/>
  <c r="N433" i="157"/>
  <c r="C435" i="157"/>
  <c r="N380" i="157"/>
  <c r="J434" i="157" a="1"/>
  <c r="R380" i="157" a="1"/>
  <c r="R434" i="157" a="1"/>
  <c r="AV434" i="157" a="1"/>
  <c r="BC434" i="157" a="1"/>
  <c r="BK434" i="157" a="1"/>
  <c r="V434" i="157" a="1"/>
  <c r="AQ434" i="157" a="1"/>
  <c r="AH434" i="157" a="1"/>
  <c r="G434" i="157" a="1"/>
  <c r="AN434" i="157" a="1"/>
  <c r="AD434" i="157" a="1"/>
  <c r="AZ434" i="157" a="1"/>
  <c r="BG434" i="157" a="1"/>
  <c r="Z434" i="157" a="1"/>
  <c r="N434" i="157" a="1"/>
  <c r="V434" i="157" l="1"/>
  <c r="AH434" i="157"/>
  <c r="AN434" i="157"/>
  <c r="AQ434" i="157"/>
  <c r="Z434" i="157"/>
  <c r="AV434" i="157"/>
  <c r="AZ434" i="157"/>
  <c r="BC434" i="157"/>
  <c r="BG434" i="157"/>
  <c r="G434" i="157"/>
  <c r="AD434" i="157"/>
  <c r="J434" i="157"/>
  <c r="N434" i="157"/>
  <c r="BK434" i="157"/>
  <c r="R434" i="157"/>
  <c r="C436" i="157"/>
  <c r="R380" i="157"/>
  <c r="R435" i="157" a="1"/>
  <c r="AH435" i="157" a="1"/>
  <c r="AQ435" i="157" a="1"/>
  <c r="Z435" i="157" a="1"/>
  <c r="V435" i="157" a="1"/>
  <c r="AV435" i="157" a="1"/>
  <c r="BG435" i="157" a="1"/>
  <c r="AN435" i="157" a="1"/>
  <c r="BC435" i="157" a="1"/>
  <c r="AZ435" i="157" a="1"/>
  <c r="J435" i="157" a="1"/>
  <c r="G435" i="157" a="1"/>
  <c r="AD435" i="157" a="1"/>
  <c r="V380" i="157" a="1"/>
  <c r="N435" i="157" a="1"/>
  <c r="BK435" i="157" a="1"/>
  <c r="BC435" i="157" l="1"/>
  <c r="AZ435" i="157"/>
  <c r="N435" i="157"/>
  <c r="R435" i="157"/>
  <c r="BG435" i="157"/>
  <c r="AD435" i="157"/>
  <c r="AH435" i="157"/>
  <c r="AN435" i="157"/>
  <c r="AQ435" i="157"/>
  <c r="AV435" i="157"/>
  <c r="BK435" i="157"/>
  <c r="V435" i="157"/>
  <c r="Z435" i="157"/>
  <c r="G435" i="157"/>
  <c r="J435" i="157"/>
  <c r="C437" i="157"/>
  <c r="V380" i="157"/>
  <c r="N436" i="157" a="1"/>
  <c r="AH436" i="157" a="1"/>
  <c r="BC436" i="157" a="1"/>
  <c r="BG436" i="157" a="1"/>
  <c r="BK436" i="157" a="1"/>
  <c r="G436" i="157" a="1"/>
  <c r="AV436" i="157" a="1"/>
  <c r="AZ436" i="157" a="1"/>
  <c r="J436" i="157" a="1"/>
  <c r="AQ436" i="157" a="1"/>
  <c r="V436" i="157" a="1"/>
  <c r="Z436" i="157" a="1"/>
  <c r="AD436" i="157" a="1"/>
  <c r="Z380" i="157" a="1"/>
  <c r="R436" i="157" a="1"/>
  <c r="AN436" i="157" a="1"/>
  <c r="AN436" i="157" l="1"/>
  <c r="AV436" i="157"/>
  <c r="V436" i="157"/>
  <c r="AQ436" i="157"/>
  <c r="BC436" i="157"/>
  <c r="BG436" i="157"/>
  <c r="Z436" i="157"/>
  <c r="AH436" i="157"/>
  <c r="G436" i="157"/>
  <c r="N436" i="157"/>
  <c r="AD436" i="157"/>
  <c r="AZ436" i="157"/>
  <c r="BK436" i="157"/>
  <c r="J436" i="157"/>
  <c r="R436" i="157"/>
  <c r="C438" i="157"/>
  <c r="Z380" i="157"/>
  <c r="AD380" i="157" a="1"/>
  <c r="AN437" i="157" a="1"/>
  <c r="G437" i="157" a="1"/>
  <c r="AV437" i="157" a="1"/>
  <c r="AH437" i="157" a="1"/>
  <c r="AD437" i="157" a="1"/>
  <c r="J437" i="157" a="1"/>
  <c r="AZ437" i="157" a="1"/>
  <c r="BC437" i="157" a="1"/>
  <c r="R437" i="157" a="1"/>
  <c r="BG437" i="157" a="1"/>
  <c r="BK437" i="157" a="1"/>
  <c r="N437" i="157" a="1"/>
  <c r="AQ437" i="157" a="1"/>
  <c r="Z437" i="157" a="1"/>
  <c r="V437" i="157" a="1"/>
  <c r="J437" i="157" l="1"/>
  <c r="AZ437" i="157"/>
  <c r="N437" i="157"/>
  <c r="AD437" i="157"/>
  <c r="AH437" i="157"/>
  <c r="AN437" i="157"/>
  <c r="AQ437" i="157"/>
  <c r="BG437" i="157"/>
  <c r="BK437" i="157"/>
  <c r="AV437" i="157"/>
  <c r="BC437" i="157"/>
  <c r="R437" i="157"/>
  <c r="V437" i="157"/>
  <c r="Z437" i="157"/>
  <c r="G437" i="157"/>
  <c r="C439" i="157"/>
  <c r="AD380" i="157"/>
  <c r="BC438" i="157" a="1"/>
  <c r="AH438" i="157" a="1"/>
  <c r="J438" i="157" a="1"/>
  <c r="G438" i="157" a="1"/>
  <c r="R438" i="157" a="1"/>
  <c r="AQ438" i="157" a="1"/>
  <c r="N438" i="157" a="1"/>
  <c r="AZ438" i="157" a="1"/>
  <c r="AN438" i="157" a="1"/>
  <c r="AD438" i="157" a="1"/>
  <c r="V438" i="157" a="1"/>
  <c r="AV438" i="157" a="1"/>
  <c r="BG438" i="157" a="1"/>
  <c r="AH380" i="157" a="1"/>
  <c r="Z438" i="157" a="1"/>
  <c r="BK438" i="157" a="1"/>
  <c r="BK438" i="157" l="1"/>
  <c r="AD438" i="157"/>
  <c r="AQ438" i="157"/>
  <c r="AV438" i="157"/>
  <c r="AZ438" i="157"/>
  <c r="BC438" i="157"/>
  <c r="BG438" i="157"/>
  <c r="AN438" i="157"/>
  <c r="J438" i="157"/>
  <c r="Z438" i="157"/>
  <c r="N438" i="157"/>
  <c r="G438" i="157"/>
  <c r="R438" i="157"/>
  <c r="AH438" i="157"/>
  <c r="V438" i="157"/>
  <c r="C440" i="157"/>
  <c r="AH380" i="157"/>
  <c r="BC439" i="157" a="1"/>
  <c r="BK439" i="157" a="1"/>
  <c r="Z439" i="157" a="1"/>
  <c r="N439" i="157" a="1"/>
  <c r="AQ439" i="157" a="1"/>
  <c r="R439" i="157" a="1"/>
  <c r="J439" i="157" a="1"/>
  <c r="AD439" i="157" a="1"/>
  <c r="G439" i="157" a="1"/>
  <c r="AV439" i="157" a="1"/>
  <c r="AH439" i="157" a="1"/>
  <c r="AN439" i="157" a="1"/>
  <c r="AN380" i="157" a="1"/>
  <c r="BG439" i="157" a="1"/>
  <c r="V439" i="157" a="1"/>
  <c r="AZ439" i="157" a="1"/>
  <c r="G439" i="157" l="1"/>
  <c r="J439" i="157"/>
  <c r="AD439" i="157"/>
  <c r="AN439" i="157"/>
  <c r="BC439" i="157"/>
  <c r="BG439" i="157"/>
  <c r="AH439" i="157"/>
  <c r="AZ439" i="157"/>
  <c r="N439" i="157"/>
  <c r="AV439" i="157"/>
  <c r="R439" i="157"/>
  <c r="AQ439" i="157"/>
  <c r="Z439" i="157"/>
  <c r="BK439" i="157"/>
  <c r="V439" i="157"/>
  <c r="C441" i="157"/>
  <c r="AN380" i="157"/>
  <c r="BK440" i="157" a="1"/>
  <c r="J440" i="157" a="1"/>
  <c r="AV440" i="157" a="1"/>
  <c r="R440" i="157" a="1"/>
  <c r="AD440" i="157" a="1"/>
  <c r="AN440" i="157" a="1"/>
  <c r="BC440" i="157" a="1"/>
  <c r="N440" i="157" a="1"/>
  <c r="G440" i="157" a="1"/>
  <c r="AH440" i="157" a="1"/>
  <c r="AZ440" i="157" a="1"/>
  <c r="BG440" i="157" a="1"/>
  <c r="AQ380" i="157" a="1"/>
  <c r="AQ440" i="157" a="1"/>
  <c r="Z440" i="157" a="1"/>
  <c r="V440" i="157" a="1"/>
  <c r="V440" i="157" l="1"/>
  <c r="AQ440" i="157"/>
  <c r="AH440" i="157"/>
  <c r="AV440" i="157"/>
  <c r="AZ440" i="157"/>
  <c r="G440" i="157"/>
  <c r="Z440" i="157"/>
  <c r="AN440" i="157"/>
  <c r="N440" i="157"/>
  <c r="AD440" i="157"/>
  <c r="J440" i="157"/>
  <c r="R440" i="157"/>
  <c r="BK440" i="157"/>
  <c r="BC440" i="157"/>
  <c r="BG440" i="157"/>
  <c r="C442" i="157"/>
  <c r="AQ380" i="157"/>
  <c r="BC441" i="157" a="1"/>
  <c r="AV441" i="157" a="1"/>
  <c r="AQ441" i="157" a="1"/>
  <c r="R441" i="157" a="1"/>
  <c r="AN441" i="157" a="1"/>
  <c r="AV380" i="157" a="1"/>
  <c r="V441" i="157" a="1"/>
  <c r="BK441" i="157" a="1"/>
  <c r="G441" i="157" a="1"/>
  <c r="BG441" i="157" a="1"/>
  <c r="Z441" i="157" a="1"/>
  <c r="AD441" i="157" a="1"/>
  <c r="AH441" i="157" a="1"/>
  <c r="J441" i="157" a="1"/>
  <c r="N441" i="157" a="1"/>
  <c r="AZ441" i="157" a="1"/>
  <c r="V441" i="157" l="1"/>
  <c r="AQ441" i="157"/>
  <c r="AH441" i="157"/>
  <c r="AZ441" i="157"/>
  <c r="BG441" i="157"/>
  <c r="AN441" i="157"/>
  <c r="AV441" i="157"/>
  <c r="AD441" i="157"/>
  <c r="BK441" i="157"/>
  <c r="N441" i="157"/>
  <c r="G441" i="157"/>
  <c r="Z441" i="157"/>
  <c r="BC441" i="157"/>
  <c r="J441" i="157"/>
  <c r="R441" i="157"/>
  <c r="C443" i="157"/>
  <c r="AV380" i="157"/>
  <c r="AV442" i="157" a="1"/>
  <c r="BC442" i="157" a="1"/>
  <c r="R442" i="157" a="1"/>
  <c r="AH442" i="157" a="1"/>
  <c r="BG442" i="157" a="1"/>
  <c r="AZ442" i="157" a="1"/>
  <c r="Z442" i="157" a="1"/>
  <c r="G442" i="157" a="1"/>
  <c r="N442" i="157" a="1"/>
  <c r="AD442" i="157" a="1"/>
  <c r="V442" i="157" a="1"/>
  <c r="AN442" i="157" a="1"/>
  <c r="AQ442" i="157" a="1"/>
  <c r="J442" i="157" a="1"/>
  <c r="BC380" i="157" a="1"/>
  <c r="BK442" i="157" a="1"/>
  <c r="BG442" i="157" l="1"/>
  <c r="BK442" i="157"/>
  <c r="AD442" i="157"/>
  <c r="AV442" i="157"/>
  <c r="AZ442" i="157"/>
  <c r="Z442" i="157"/>
  <c r="AQ442" i="157"/>
  <c r="N442" i="157"/>
  <c r="V442" i="157"/>
  <c r="AH442" i="157"/>
  <c r="J442" i="157"/>
  <c r="BC442" i="157"/>
  <c r="AN442" i="157"/>
  <c r="G442" i="157"/>
  <c r="R442" i="157"/>
  <c r="C444" i="157"/>
  <c r="BC380" i="157"/>
  <c r="AV443" i="157" a="1"/>
  <c r="BG380" i="157" a="1"/>
  <c r="R443" i="157" a="1"/>
  <c r="J443" i="157" a="1"/>
  <c r="BC443" i="157" a="1"/>
  <c r="V443" i="157" a="1"/>
  <c r="BG443" i="157" a="1"/>
  <c r="BK443" i="157" a="1"/>
  <c r="AN443" i="157" a="1"/>
  <c r="N443" i="157" a="1"/>
  <c r="AH443" i="157" a="1"/>
  <c r="AQ443" i="157" a="1"/>
  <c r="AD443" i="157" a="1"/>
  <c r="Z443" i="157" a="1"/>
  <c r="G443" i="157" a="1"/>
  <c r="AZ443" i="157" a="1"/>
  <c r="AH443" i="157" l="1"/>
  <c r="AD443" i="157"/>
  <c r="AV443" i="157"/>
  <c r="BC443" i="157"/>
  <c r="BK443" i="157"/>
  <c r="AQ443" i="157"/>
  <c r="V443" i="157"/>
  <c r="BG443" i="157"/>
  <c r="J443" i="157"/>
  <c r="R443" i="157"/>
  <c r="AN443" i="157"/>
  <c r="Z443" i="157"/>
  <c r="AZ443" i="157"/>
  <c r="G443" i="157"/>
  <c r="N443" i="157"/>
  <c r="C445" i="157"/>
  <c r="BG380" i="157"/>
  <c r="N444" i="157" a="1"/>
  <c r="BC444" i="157" a="1"/>
  <c r="BK380" i="157" a="1"/>
  <c r="AD444" i="157" a="1"/>
  <c r="AZ444" i="157" a="1"/>
  <c r="BG444" i="157" a="1"/>
  <c r="AV444" i="157" a="1"/>
  <c r="G444" i="157" a="1"/>
  <c r="BK444" i="157" a="1"/>
  <c r="AN444" i="157" a="1"/>
  <c r="J444" i="157" a="1"/>
  <c r="V444" i="157" a="1"/>
  <c r="R444" i="157" a="1"/>
  <c r="AQ444" i="157" a="1"/>
  <c r="Z444" i="157" a="1"/>
  <c r="AH444" i="157" a="1"/>
  <c r="BC444" i="157" l="1"/>
  <c r="V444" i="157"/>
  <c r="AN444" i="157"/>
  <c r="BG444" i="157"/>
  <c r="BK444" i="157"/>
  <c r="AQ444" i="157"/>
  <c r="AD444" i="157"/>
  <c r="AH444" i="157"/>
  <c r="AV444" i="157"/>
  <c r="G444" i="157"/>
  <c r="J444" i="157"/>
  <c r="AZ444" i="157"/>
  <c r="R444" i="157"/>
  <c r="Z444" i="157"/>
  <c r="N444" i="157"/>
  <c r="C446" i="157"/>
  <c r="BK380" i="157"/>
  <c r="BK445" i="157" a="1"/>
  <c r="AV445" i="157" a="1"/>
  <c r="N445" i="157" a="1"/>
  <c r="G381" i="157" a="1"/>
  <c r="J445" i="157" a="1"/>
  <c r="AD445" i="157" a="1"/>
  <c r="AN445" i="157" a="1"/>
  <c r="AH445" i="157" a="1"/>
  <c r="AQ445" i="157" a="1"/>
  <c r="R445" i="157" a="1"/>
  <c r="BG445" i="157" a="1"/>
  <c r="BC445" i="157" a="1"/>
  <c r="V445" i="157" a="1"/>
  <c r="Z445" i="157" a="1"/>
  <c r="AZ445" i="157" a="1"/>
  <c r="BK445" i="157" l="1"/>
  <c r="AQ445" i="157"/>
  <c r="Z445" i="157"/>
  <c r="AD445" i="157"/>
  <c r="AH445" i="157"/>
  <c r="AN445" i="157"/>
  <c r="V445" i="157"/>
  <c r="AZ445" i="157"/>
  <c r="AV445" i="157"/>
  <c r="BC445" i="157"/>
  <c r="BG445" i="157"/>
  <c r="J445" i="157"/>
  <c r="N445" i="157"/>
  <c r="R445" i="157"/>
  <c r="C447" i="157"/>
  <c r="G381" i="157"/>
  <c r="AD446" i="157" a="1"/>
  <c r="AN446" i="157" a="1"/>
  <c r="N446" i="157" a="1"/>
  <c r="J446" i="157" a="1"/>
  <c r="AV446" i="157" a="1"/>
  <c r="AZ446" i="157" a="1"/>
  <c r="V446" i="157" a="1"/>
  <c r="AQ446" i="157" a="1"/>
  <c r="Z446" i="157" a="1"/>
  <c r="G446" i="157" a="1"/>
  <c r="BK446" i="157" a="1"/>
  <c r="BG446" i="157" a="1"/>
  <c r="R446" i="157" a="1"/>
  <c r="BC446" i="157" a="1"/>
  <c r="AH446" i="157" a="1"/>
  <c r="J381" i="157" a="1"/>
  <c r="AZ446" i="157" l="1"/>
  <c r="BG446" i="157"/>
  <c r="AQ446" i="157"/>
  <c r="Z446" i="157"/>
  <c r="R446" i="157"/>
  <c r="AD446" i="157"/>
  <c r="BC446" i="157"/>
  <c r="BK446" i="157"/>
  <c r="V446" i="157"/>
  <c r="G446" i="157"/>
  <c r="N446" i="157"/>
  <c r="AN446" i="157"/>
  <c r="AV446" i="157"/>
  <c r="AH446" i="157"/>
  <c r="J446" i="157"/>
  <c r="C448" i="157"/>
  <c r="J381" i="157"/>
  <c r="AD447" i="157" a="1"/>
  <c r="AV447" i="157" a="1"/>
  <c r="BC447" i="157" a="1"/>
  <c r="AQ447" i="157" a="1"/>
  <c r="AN447" i="157" a="1"/>
  <c r="BK447" i="157" a="1"/>
  <c r="N447" i="157" a="1"/>
  <c r="J447" i="157" a="1"/>
  <c r="Z447" i="157" a="1"/>
  <c r="V447" i="157" a="1"/>
  <c r="BG447" i="157" a="1"/>
  <c r="G447" i="157" a="1"/>
  <c r="AZ447" i="157" a="1"/>
  <c r="N381" i="157" a="1"/>
  <c r="AH447" i="157" a="1"/>
  <c r="R447" i="157" a="1"/>
  <c r="BC447" i="157" l="1"/>
  <c r="N447" i="157"/>
  <c r="AH447" i="157"/>
  <c r="AV447" i="157"/>
  <c r="R447" i="157"/>
  <c r="Z447" i="157"/>
  <c r="AZ447" i="157"/>
  <c r="BG447" i="157"/>
  <c r="J447" i="157"/>
  <c r="AN447" i="157"/>
  <c r="BK447" i="157"/>
  <c r="AD447" i="157"/>
  <c r="AQ447" i="157"/>
  <c r="G447" i="157"/>
  <c r="V447" i="157"/>
  <c r="C449" i="157"/>
  <c r="N381" i="157"/>
  <c r="AV448" i="157" a="1"/>
  <c r="BG448" i="157" a="1"/>
  <c r="G448" i="157" a="1"/>
  <c r="AD448" i="157" a="1"/>
  <c r="BC448" i="157" a="1"/>
  <c r="J448" i="157" a="1"/>
  <c r="AZ448" i="157" a="1"/>
  <c r="AQ448" i="157" a="1"/>
  <c r="V448" i="157" a="1"/>
  <c r="AH448" i="157" a="1"/>
  <c r="Z448" i="157" a="1"/>
  <c r="R381" i="157" a="1"/>
  <c r="R448" i="157" a="1"/>
  <c r="N448" i="157" a="1"/>
  <c r="BK448" i="157" a="1"/>
  <c r="AN448" i="157" a="1"/>
  <c r="AV448" i="157" l="1"/>
  <c r="BC448" i="157"/>
  <c r="BK448" i="157"/>
  <c r="V448" i="157"/>
  <c r="J448" i="157"/>
  <c r="AH448" i="157"/>
  <c r="N448" i="157"/>
  <c r="AN448" i="157"/>
  <c r="R448" i="157"/>
  <c r="AQ448" i="157"/>
  <c r="AZ448" i="157"/>
  <c r="BG448" i="157"/>
  <c r="Z448" i="157"/>
  <c r="AD448" i="157"/>
  <c r="G448" i="157"/>
  <c r="C450" i="157"/>
  <c r="R381" i="157"/>
  <c r="G449" i="157" a="1"/>
  <c r="BC449" i="157" a="1"/>
  <c r="AD449" i="157" a="1"/>
  <c r="AQ449" i="157" a="1"/>
  <c r="BK449" i="157" a="1"/>
  <c r="AH449" i="157" a="1"/>
  <c r="V449" i="157" a="1"/>
  <c r="BG449" i="157" a="1"/>
  <c r="N449" i="157" a="1"/>
  <c r="AV449" i="157" a="1"/>
  <c r="R449" i="157" a="1"/>
  <c r="Z449" i="157" a="1"/>
  <c r="AZ449" i="157" a="1"/>
  <c r="AN449" i="157" a="1"/>
  <c r="J449" i="157" a="1"/>
  <c r="V381" i="157" a="1"/>
  <c r="BK449" i="157" l="1"/>
  <c r="AD449" i="157"/>
  <c r="AV449" i="157"/>
  <c r="G449" i="157"/>
  <c r="N449" i="157"/>
  <c r="V449" i="157"/>
  <c r="AZ449" i="157"/>
  <c r="J449" i="157"/>
  <c r="AQ449" i="157"/>
  <c r="Z449" i="157"/>
  <c r="AH449" i="157"/>
  <c r="R449" i="157"/>
  <c r="BC449" i="157"/>
  <c r="AN449" i="157"/>
  <c r="BG449" i="157"/>
  <c r="C451" i="157"/>
  <c r="V381" i="157"/>
  <c r="AZ450" i="157" a="1"/>
  <c r="Z450" i="157" a="1"/>
  <c r="BC450" i="157" a="1"/>
  <c r="AQ450" i="157" a="1"/>
  <c r="AV450" i="157" a="1"/>
  <c r="N450" i="157" a="1"/>
  <c r="Z381" i="157" a="1"/>
  <c r="BG450" i="157" a="1"/>
  <c r="BK450" i="157" a="1"/>
  <c r="AD450" i="157" a="1"/>
  <c r="AH450" i="157" a="1"/>
  <c r="G450" i="157" a="1"/>
  <c r="V450" i="157" a="1"/>
  <c r="AN450" i="157" a="1"/>
  <c r="J450" i="157" a="1"/>
  <c r="R450" i="157" a="1"/>
  <c r="G450" i="157" l="1"/>
  <c r="AQ450" i="157"/>
  <c r="AV450" i="157"/>
  <c r="BK450" i="157"/>
  <c r="N450" i="157"/>
  <c r="V450" i="157"/>
  <c r="AZ450" i="157"/>
  <c r="BG450" i="157"/>
  <c r="Z450" i="157"/>
  <c r="AH450" i="157"/>
  <c r="BC450" i="157"/>
  <c r="J450" i="157"/>
  <c r="R450" i="157"/>
  <c r="AD450" i="157"/>
  <c r="AN450" i="157"/>
  <c r="C452" i="157"/>
  <c r="Z381" i="157"/>
  <c r="J451" i="157" a="1"/>
  <c r="AH451" i="157" a="1"/>
  <c r="V451" i="157" a="1"/>
  <c r="AD451" i="157" a="1"/>
  <c r="BK451" i="157" a="1"/>
  <c r="BG451" i="157" a="1"/>
  <c r="AN451" i="157" a="1"/>
  <c r="AD381" i="157" a="1"/>
  <c r="N451" i="157" a="1"/>
  <c r="AQ451" i="157" a="1"/>
  <c r="Z451" i="157" a="1"/>
  <c r="BC451" i="157" a="1"/>
  <c r="AV451" i="157" a="1"/>
  <c r="R451" i="157" a="1"/>
  <c r="G451" i="157" a="1"/>
  <c r="AZ451" i="157" a="1"/>
  <c r="G451" i="157" l="1"/>
  <c r="AZ451" i="157"/>
  <c r="J451" i="157"/>
  <c r="AD451" i="157"/>
  <c r="AH451" i="157"/>
  <c r="BG451" i="157"/>
  <c r="AQ451" i="157"/>
  <c r="Z451" i="157"/>
  <c r="AV451" i="157"/>
  <c r="V451" i="157"/>
  <c r="BC451" i="157"/>
  <c r="N451" i="157"/>
  <c r="BK451" i="157"/>
  <c r="AN451" i="157"/>
  <c r="R451" i="157"/>
  <c r="C453" i="157"/>
  <c r="C455" i="157" s="1"/>
  <c r="AD381" i="157"/>
  <c r="BG455" i="157" a="1"/>
  <c r="AZ455" i="157" a="1"/>
  <c r="BG452" i="157" a="1"/>
  <c r="Z455" i="157" a="1"/>
  <c r="G452" i="157" a="1"/>
  <c r="J455" i="157" a="1"/>
  <c r="V452" i="157" a="1"/>
  <c r="BC452" i="157" a="1"/>
  <c r="AV455" i="157" a="1"/>
  <c r="AH452" i="157" a="1"/>
  <c r="AZ452" i="157" a="1"/>
  <c r="AH455" i="157" a="1"/>
  <c r="AN455" i="157" a="1"/>
  <c r="R452" i="157" a="1"/>
  <c r="J452" i="157" a="1"/>
  <c r="AQ452" i="157" a="1"/>
  <c r="AV452" i="157" a="1"/>
  <c r="BK455" i="157" a="1"/>
  <c r="Z452" i="157" a="1"/>
  <c r="BK452" i="157" a="1"/>
  <c r="BC455" i="157" a="1"/>
  <c r="R455" i="157" a="1"/>
  <c r="N455" i="157" a="1"/>
  <c r="AQ455" i="157" a="1"/>
  <c r="G455" i="157" a="1"/>
  <c r="V455" i="157" a="1"/>
  <c r="AD452" i="157" a="1"/>
  <c r="AH381" i="157" a="1"/>
  <c r="AN452" i="157" a="1"/>
  <c r="N452" i="157" a="1"/>
  <c r="AD455" i="157" a="1"/>
  <c r="BK455" i="157" l="1"/>
  <c r="N455" i="157"/>
  <c r="AZ455" i="157"/>
  <c r="AN455" i="157"/>
  <c r="V455" i="157"/>
  <c r="J455" i="157"/>
  <c r="AQ455" i="157"/>
  <c r="AV455" i="157"/>
  <c r="G455" i="157"/>
  <c r="Z455" i="157"/>
  <c r="AD455" i="157"/>
  <c r="AH455" i="157"/>
  <c r="BG455" i="157"/>
  <c r="R455" i="157"/>
  <c r="BC455" i="157"/>
  <c r="C456" i="157"/>
  <c r="AH452" i="157"/>
  <c r="AV452" i="157"/>
  <c r="J452" i="157"/>
  <c r="BK452" i="157"/>
  <c r="V452" i="157"/>
  <c r="AQ452" i="157"/>
  <c r="R452" i="157"/>
  <c r="G452" i="157"/>
  <c r="BG452" i="157"/>
  <c r="Z452" i="157"/>
  <c r="AZ452" i="157"/>
  <c r="AN452" i="157"/>
  <c r="N452" i="157"/>
  <c r="AD452" i="157"/>
  <c r="BC452" i="157"/>
  <c r="AH381" i="157"/>
  <c r="AZ456" i="157" a="1"/>
  <c r="AV456" i="157" a="1"/>
  <c r="BK456" i="157" a="1"/>
  <c r="V456" i="157" a="1"/>
  <c r="AH453" i="157" a="1"/>
  <c r="Z453" i="157" a="1"/>
  <c r="AH456" i="157" a="1"/>
  <c r="BC456" i="157" a="1"/>
  <c r="AN381" i="157" a="1"/>
  <c r="R453" i="157" a="1"/>
  <c r="AD456" i="157" a="1"/>
  <c r="G453" i="157" a="1"/>
  <c r="AQ456" i="157" a="1"/>
  <c r="R456" i="157" a="1"/>
  <c r="AV453" i="157" a="1"/>
  <c r="BK453" i="157" a="1"/>
  <c r="AN453" i="157" a="1"/>
  <c r="V453" i="157" a="1"/>
  <c r="AZ453" i="157" a="1"/>
  <c r="BG456" i="157" a="1"/>
  <c r="AN456" i="157" a="1"/>
  <c r="N453" i="157" a="1"/>
  <c r="G456" i="157" a="1"/>
  <c r="AD453" i="157" a="1"/>
  <c r="BG453" i="157" a="1"/>
  <c r="J453" i="157" a="1"/>
  <c r="AQ453" i="157" a="1"/>
  <c r="J456" i="157" a="1"/>
  <c r="Z456" i="157" a="1"/>
  <c r="BC453" i="157" a="1"/>
  <c r="AQ456" i="157" l="1"/>
  <c r="AH456" i="157"/>
  <c r="AD456" i="157"/>
  <c r="AN456" i="157"/>
  <c r="Z456" i="157"/>
  <c r="AV456" i="157"/>
  <c r="BK456" i="157"/>
  <c r="R456" i="157"/>
  <c r="BG456" i="157"/>
  <c r="BC456" i="157"/>
  <c r="AZ456" i="157"/>
  <c r="V456" i="157"/>
  <c r="G456" i="157"/>
  <c r="J456" i="157"/>
  <c r="C457" i="157"/>
  <c r="BK453" i="157"/>
  <c r="J453" i="157"/>
  <c r="G453" i="157"/>
  <c r="AD453" i="157"/>
  <c r="AH453" i="157"/>
  <c r="AN453" i="157"/>
  <c r="BG453" i="157"/>
  <c r="AZ453" i="157"/>
  <c r="R453" i="157"/>
  <c r="Z453" i="157"/>
  <c r="AV453" i="157"/>
  <c r="N453" i="157"/>
  <c r="V453" i="157"/>
  <c r="AQ453" i="157"/>
  <c r="BC453" i="157"/>
  <c r="AN381" i="157"/>
  <c r="N457" i="157" a="1"/>
  <c r="R457" i="157" a="1"/>
  <c r="AH457" i="157" a="1"/>
  <c r="BG457" i="157" a="1"/>
  <c r="V457" i="157" a="1"/>
  <c r="Z457" i="157" a="1"/>
  <c r="AV457" i="157" a="1"/>
  <c r="BC457" i="157" a="1"/>
  <c r="AQ457" i="157" a="1"/>
  <c r="AD457" i="157" a="1"/>
  <c r="J457" i="157" a="1"/>
  <c r="AN457" i="157" a="1"/>
  <c r="BK457" i="157" a="1"/>
  <c r="AQ381" i="157" a="1"/>
  <c r="G457" i="157" a="1"/>
  <c r="AZ457" i="157" a="1"/>
  <c r="BK457" i="157" l="1"/>
  <c r="R457" i="157"/>
  <c r="BC457" i="157"/>
  <c r="AV457" i="157"/>
  <c r="AD457" i="157"/>
  <c r="V457" i="157"/>
  <c r="AQ457" i="157"/>
  <c r="N457" i="157"/>
  <c r="J457" i="157"/>
  <c r="AH457" i="157"/>
  <c r="BG457" i="157"/>
  <c r="AN457" i="157"/>
  <c r="AZ457" i="157"/>
  <c r="G457" i="157"/>
  <c r="Z457" i="157"/>
  <c r="C458" i="157"/>
  <c r="AQ381" i="157"/>
  <c r="J458" i="157" a="1"/>
  <c r="AV381" i="157" a="1"/>
  <c r="G458" i="157" a="1"/>
  <c r="V458" i="157" a="1"/>
  <c r="AN458" i="157" a="1"/>
  <c r="AH458" i="157" a="1"/>
  <c r="R458" i="157" a="1"/>
  <c r="BG458" i="157" a="1"/>
  <c r="N458" i="157" a="1"/>
  <c r="AQ458" i="157" a="1"/>
  <c r="BC458" i="157" a="1"/>
  <c r="Z458" i="157" a="1"/>
  <c r="AD458" i="157" a="1"/>
  <c r="BK458" i="157" a="1"/>
  <c r="AZ458" i="157" a="1"/>
  <c r="AV458" i="157" a="1"/>
  <c r="AD458" i="157" l="1"/>
  <c r="AZ458" i="157"/>
  <c r="G458" i="157"/>
  <c r="Z458" i="157"/>
  <c r="R458" i="157"/>
  <c r="AV458" i="157"/>
  <c r="AH458" i="157"/>
  <c r="N458" i="157"/>
  <c r="BG458" i="157"/>
  <c r="V458" i="157"/>
  <c r="J458" i="157"/>
  <c r="BC458" i="157"/>
  <c r="BK458" i="157"/>
  <c r="AQ458" i="157"/>
  <c r="AN458" i="157"/>
  <c r="C459" i="157"/>
  <c r="AV381" i="157"/>
  <c r="V459" i="157" a="1"/>
  <c r="BG459" i="157" a="1"/>
  <c r="Z459" i="157" a="1"/>
  <c r="AN459" i="157" a="1"/>
  <c r="AQ459" i="157" a="1"/>
  <c r="AH459" i="157" a="1"/>
  <c r="BK459" i="157" a="1"/>
  <c r="AZ459" i="157" a="1"/>
  <c r="N459" i="157" a="1"/>
  <c r="G459" i="157" a="1"/>
  <c r="BC459" i="157" a="1"/>
  <c r="G382" i="157" a="1"/>
  <c r="AV459" i="157" a="1"/>
  <c r="R459" i="157" a="1"/>
  <c r="J459" i="157" a="1"/>
  <c r="AD459" i="157" a="1"/>
  <c r="V459" i="157" l="1"/>
  <c r="AH459" i="157"/>
  <c r="R459" i="157"/>
  <c r="BC459" i="157"/>
  <c r="BK459" i="157"/>
  <c r="N459" i="157"/>
  <c r="BG459" i="157"/>
  <c r="Z459" i="157"/>
  <c r="G459" i="157"/>
  <c r="J459" i="157"/>
  <c r="AD459" i="157"/>
  <c r="AN459" i="157"/>
  <c r="AV459" i="157"/>
  <c r="AZ459" i="157"/>
  <c r="AQ459" i="157"/>
  <c r="C460" i="157"/>
  <c r="G382" i="157"/>
  <c r="G460" i="157" a="1"/>
  <c r="AQ460" i="157" a="1"/>
  <c r="V460" i="157" a="1"/>
  <c r="AZ460" i="157" a="1"/>
  <c r="AD460" i="157" a="1"/>
  <c r="AN460" i="157" a="1"/>
  <c r="BG460" i="157" a="1"/>
  <c r="Z460" i="157" a="1"/>
  <c r="J382" i="157" a="1"/>
  <c r="BC460" i="157" a="1"/>
  <c r="BK460" i="157" a="1"/>
  <c r="AH460" i="157" a="1"/>
  <c r="R460" i="157" a="1"/>
  <c r="J460" i="157" a="1"/>
  <c r="AV460" i="157" a="1"/>
  <c r="N460" i="157" a="1"/>
  <c r="AH460" i="157" l="1"/>
  <c r="G460" i="157"/>
  <c r="AV460" i="157"/>
  <c r="Z460" i="157"/>
  <c r="R460" i="157"/>
  <c r="BC460" i="157"/>
  <c r="AD460" i="157"/>
  <c r="V460" i="157"/>
  <c r="AZ460" i="157"/>
  <c r="BG460" i="157"/>
  <c r="J460" i="157"/>
  <c r="N460" i="157"/>
  <c r="AQ460" i="157"/>
  <c r="AN460" i="157"/>
  <c r="BK460" i="157"/>
  <c r="C461" i="157"/>
  <c r="J382" i="157"/>
  <c r="G461" i="157" a="1"/>
  <c r="V461" i="157" a="1"/>
  <c r="AN461" i="157" a="1"/>
  <c r="AH461" i="157" a="1"/>
  <c r="BG461" i="157" a="1"/>
  <c r="AQ461" i="157" a="1"/>
  <c r="J461" i="157" a="1"/>
  <c r="R461" i="157" a="1"/>
  <c r="AD461" i="157" a="1"/>
  <c r="BC461" i="157" a="1"/>
  <c r="N382" i="157" a="1"/>
  <c r="BK461" i="157" a="1"/>
  <c r="Z461" i="157" a="1"/>
  <c r="AV461" i="157" a="1"/>
  <c r="N461" i="157" a="1"/>
  <c r="AZ461" i="157" a="1"/>
  <c r="BC461" i="157" l="1"/>
  <c r="BG461" i="157"/>
  <c r="AZ461" i="157"/>
  <c r="Z461" i="157"/>
  <c r="AH461" i="157"/>
  <c r="N461" i="157"/>
  <c r="AN461" i="157"/>
  <c r="V461" i="157"/>
  <c r="AD461" i="157"/>
  <c r="G461" i="157"/>
  <c r="BK461" i="157"/>
  <c r="AQ461" i="157"/>
  <c r="J461" i="157"/>
  <c r="R461" i="157"/>
  <c r="AV461" i="157"/>
  <c r="C462" i="157"/>
  <c r="N382" i="157"/>
  <c r="AZ462" i="157" a="1"/>
  <c r="AH462" i="157" a="1"/>
  <c r="J462" i="157" a="1"/>
  <c r="N462" i="157" a="1"/>
  <c r="BK462" i="157" a="1"/>
  <c r="AV462" i="157" a="1"/>
  <c r="R382" i="157" a="1"/>
  <c r="BG462" i="157" a="1"/>
  <c r="V462" i="157" a="1"/>
  <c r="BC462" i="157" a="1"/>
  <c r="G462" i="157" a="1"/>
  <c r="Z462" i="157" a="1"/>
  <c r="R462" i="157" a="1"/>
  <c r="AN462" i="157" a="1"/>
  <c r="AD462" i="157" a="1"/>
  <c r="AQ462" i="157" a="1"/>
  <c r="AQ462" i="157" l="1"/>
  <c r="AH462" i="157"/>
  <c r="J462" i="157"/>
  <c r="AZ462" i="157"/>
  <c r="BK462" i="157"/>
  <c r="V462" i="157"/>
  <c r="R462" i="157"/>
  <c r="AV462" i="157"/>
  <c r="AN462" i="157"/>
  <c r="G462" i="157"/>
  <c r="BG462" i="157"/>
  <c r="BC462" i="157"/>
  <c r="AD462" i="157"/>
  <c r="N462" i="157"/>
  <c r="Z462" i="157"/>
  <c r="C463" i="157"/>
  <c r="R382" i="157"/>
  <c r="BG463" i="157" a="1"/>
  <c r="AQ463" i="157" a="1"/>
  <c r="BC463" i="157" a="1"/>
  <c r="BK463" i="157" a="1"/>
  <c r="V463" i="157" a="1"/>
  <c r="AN463" i="157" a="1"/>
  <c r="AD463" i="157" a="1"/>
  <c r="G463" i="157" a="1"/>
  <c r="N463" i="157" a="1"/>
  <c r="V382" i="157" a="1"/>
  <c r="AH463" i="157" a="1"/>
  <c r="AZ463" i="157" a="1"/>
  <c r="J463" i="157" a="1"/>
  <c r="AV463" i="157" a="1"/>
  <c r="R463" i="157" a="1"/>
  <c r="Z463" i="157" a="1"/>
  <c r="V463" i="157" l="1"/>
  <c r="BK463" i="157"/>
  <c r="AH463" i="157"/>
  <c r="BG463" i="157"/>
  <c r="R463" i="157"/>
  <c r="AZ463" i="157"/>
  <c r="Z463" i="157"/>
  <c r="AV463" i="157"/>
  <c r="AQ463" i="157"/>
  <c r="J463" i="157"/>
  <c r="AD463" i="157"/>
  <c r="N463" i="157"/>
  <c r="G463" i="157"/>
  <c r="BC463" i="157"/>
  <c r="AN463" i="157"/>
  <c r="C464" i="157"/>
  <c r="V382" i="157"/>
  <c r="V464" i="157" a="1"/>
  <c r="BC464" i="157" a="1"/>
  <c r="AH464" i="157" a="1"/>
  <c r="N464" i="157" a="1"/>
  <c r="AV464" i="157" a="1"/>
  <c r="AZ464" i="157" a="1"/>
  <c r="R464" i="157" a="1"/>
  <c r="Z382" i="157" a="1"/>
  <c r="BK464" i="157" a="1"/>
  <c r="BG464" i="157" a="1"/>
  <c r="G464" i="157" a="1"/>
  <c r="Z464" i="157" a="1"/>
  <c r="AQ464" i="157" a="1"/>
  <c r="J464" i="157" a="1"/>
  <c r="AN464" i="157" a="1"/>
  <c r="AD464" i="157" a="1"/>
  <c r="Z464" i="157" l="1"/>
  <c r="BK464" i="157"/>
  <c r="G464" i="157"/>
  <c r="J464" i="157"/>
  <c r="V464" i="157"/>
  <c r="AD464" i="157"/>
  <c r="R464" i="157"/>
  <c r="AH464" i="157"/>
  <c r="AZ464" i="157"/>
  <c r="AV464" i="157"/>
  <c r="BC464" i="157"/>
  <c r="BG464" i="157"/>
  <c r="AQ464" i="157"/>
  <c r="AN464" i="157"/>
  <c r="N464" i="157"/>
  <c r="C465" i="157"/>
  <c r="Z382" i="157"/>
  <c r="R465" i="157" a="1"/>
  <c r="AD465" i="157" a="1"/>
  <c r="AZ465" i="157" a="1"/>
  <c r="BK465" i="157" a="1"/>
  <c r="AV465" i="157" a="1"/>
  <c r="V465" i="157" a="1"/>
  <c r="Z465" i="157" a="1"/>
  <c r="AD382" i="157" a="1"/>
  <c r="BC465" i="157" a="1"/>
  <c r="J465" i="157" a="1"/>
  <c r="N465" i="157" a="1"/>
  <c r="BG465" i="157" a="1"/>
  <c r="AN465" i="157" a="1"/>
  <c r="AH465" i="157" a="1"/>
  <c r="G465" i="157" a="1"/>
  <c r="AQ465" i="157" a="1"/>
  <c r="N465" i="157" l="1"/>
  <c r="BK465" i="157"/>
  <c r="G465" i="157"/>
  <c r="AQ465" i="157"/>
  <c r="Z465" i="157"/>
  <c r="AD465" i="157"/>
  <c r="J465" i="157"/>
  <c r="AV465" i="157"/>
  <c r="AH465" i="157"/>
  <c r="BG465" i="157"/>
  <c r="BC465" i="157"/>
  <c r="AN465" i="157"/>
  <c r="V465" i="157"/>
  <c r="AZ465" i="157"/>
  <c r="R465" i="157"/>
  <c r="C466" i="157"/>
  <c r="AD382" i="157"/>
  <c r="AZ466" i="157" a="1"/>
  <c r="AN466" i="157" a="1"/>
  <c r="V466" i="157" a="1"/>
  <c r="G466" i="157" a="1"/>
  <c r="AQ466" i="157" a="1"/>
  <c r="J466" i="157" a="1"/>
  <c r="Z466" i="157" a="1"/>
  <c r="N466" i="157" a="1"/>
  <c r="BK466" i="157" a="1"/>
  <c r="AV466" i="157" a="1"/>
  <c r="BG466" i="157" a="1"/>
  <c r="AH382" i="157" a="1"/>
  <c r="AD466" i="157" a="1"/>
  <c r="AH466" i="157" a="1"/>
  <c r="R466" i="157" a="1"/>
  <c r="BC466" i="157" a="1"/>
  <c r="N466" i="157" l="1"/>
  <c r="Z466" i="157"/>
  <c r="AQ466" i="157"/>
  <c r="AN466" i="157"/>
  <c r="J466" i="157"/>
  <c r="BC466" i="157"/>
  <c r="BK466" i="157"/>
  <c r="R466" i="157"/>
  <c r="BG466" i="157"/>
  <c r="G466" i="157"/>
  <c r="V466" i="157"/>
  <c r="AH466" i="157"/>
  <c r="AZ466" i="157"/>
  <c r="AD466" i="157"/>
  <c r="AV466" i="157"/>
  <c r="C467" i="157"/>
  <c r="AH382" i="157"/>
  <c r="BC467" i="157" a="1"/>
  <c r="BK467" i="157" a="1"/>
  <c r="AH467" i="157" a="1"/>
  <c r="V467" i="157" a="1"/>
  <c r="Z467" i="157" a="1"/>
  <c r="G467" i="157" a="1"/>
  <c r="AD467" i="157" a="1"/>
  <c r="N467" i="157" a="1"/>
  <c r="J467" i="157" a="1"/>
  <c r="BG467" i="157" a="1"/>
  <c r="AZ467" i="157" a="1"/>
  <c r="R467" i="157" a="1"/>
  <c r="AV467" i="157" a="1"/>
  <c r="AN382" i="157" a="1"/>
  <c r="AQ467" i="157" a="1"/>
  <c r="AN467" i="157" a="1"/>
  <c r="V467" i="157" l="1"/>
  <c r="BG467" i="157"/>
  <c r="G467" i="157"/>
  <c r="BC467" i="157"/>
  <c r="AQ467" i="157"/>
  <c r="AD467" i="157"/>
  <c r="N467" i="157"/>
  <c r="BK467" i="157"/>
  <c r="AZ467" i="157"/>
  <c r="AH467" i="157"/>
  <c r="AN467" i="157"/>
  <c r="AV467" i="157"/>
  <c r="R467" i="157"/>
  <c r="Z467" i="157"/>
  <c r="J467" i="157"/>
  <c r="C468" i="157"/>
  <c r="AN382" i="157"/>
  <c r="G468" i="157" a="1"/>
  <c r="AQ382" i="157" a="1"/>
  <c r="BC468" i="157" a="1"/>
  <c r="J468" i="157" a="1"/>
  <c r="BG468" i="157" a="1"/>
  <c r="AD468" i="157" a="1"/>
  <c r="R468" i="157" a="1"/>
  <c r="Z468" i="157" a="1"/>
  <c r="AH468" i="157" a="1"/>
  <c r="N468" i="157" a="1"/>
  <c r="V468" i="157" a="1"/>
  <c r="AZ468" i="157" a="1"/>
  <c r="AV468" i="157" a="1"/>
  <c r="AQ468" i="157" a="1"/>
  <c r="AN468" i="157" a="1"/>
  <c r="BK468" i="157" a="1"/>
  <c r="BC468" i="157" l="1"/>
  <c r="AD468" i="157"/>
  <c r="BG468" i="157"/>
  <c r="AZ468" i="157"/>
  <c r="AN468" i="157"/>
  <c r="G468" i="157"/>
  <c r="V468" i="157"/>
  <c r="R468" i="157"/>
  <c r="AV468" i="157"/>
  <c r="N468" i="157"/>
  <c r="AH468" i="157"/>
  <c r="AQ468" i="157"/>
  <c r="J468" i="157"/>
  <c r="Z468" i="157"/>
  <c r="BK468" i="157"/>
  <c r="C469" i="157"/>
  <c r="AQ382" i="157"/>
  <c r="Z469" i="157" a="1"/>
  <c r="BK469" i="157" a="1"/>
  <c r="BG469" i="157" a="1"/>
  <c r="J469" i="157" a="1"/>
  <c r="R469" i="157" a="1"/>
  <c r="N469" i="157" a="1"/>
  <c r="AV469" i="157" a="1"/>
  <c r="AQ469" i="157" a="1"/>
  <c r="AH469" i="157" a="1"/>
  <c r="AZ469" i="157" a="1"/>
  <c r="G469" i="157" a="1"/>
  <c r="V469" i="157" a="1"/>
  <c r="AD469" i="157" a="1"/>
  <c r="BC469" i="157" a="1"/>
  <c r="AV382" i="157" a="1"/>
  <c r="AN469" i="157" a="1"/>
  <c r="BG469" i="157" l="1"/>
  <c r="G469" i="157"/>
  <c r="BK469" i="157"/>
  <c r="R469" i="157"/>
  <c r="AV469" i="157"/>
  <c r="AZ469" i="157"/>
  <c r="AD469" i="157"/>
  <c r="J469" i="157"/>
  <c r="AQ469" i="157"/>
  <c r="V469" i="157"/>
  <c r="AN469" i="157"/>
  <c r="BC469" i="157"/>
  <c r="Z469" i="157"/>
  <c r="N469" i="157"/>
  <c r="AH469" i="157"/>
  <c r="C470" i="157"/>
  <c r="AV382" i="157"/>
  <c r="J470" i="157" a="1"/>
  <c r="N470" i="157" a="1"/>
  <c r="AZ470" i="157" a="1"/>
  <c r="R470" i="157" a="1"/>
  <c r="AN470" i="157" a="1"/>
  <c r="G470" i="157" a="1"/>
  <c r="AH470" i="157" a="1"/>
  <c r="AQ470" i="157" a="1"/>
  <c r="V470" i="157" a="1"/>
  <c r="AD470" i="157" a="1"/>
  <c r="BG470" i="157" a="1"/>
  <c r="G383" i="157" a="1"/>
  <c r="BC470" i="157" a="1"/>
  <c r="AV470" i="157" a="1"/>
  <c r="BK470" i="157" a="1"/>
  <c r="Z470" i="157" a="1"/>
  <c r="AV470" i="157" l="1"/>
  <c r="R470" i="157"/>
  <c r="AN470" i="157"/>
  <c r="AD470" i="157"/>
  <c r="AZ470" i="157"/>
  <c r="J470" i="157"/>
  <c r="BG470" i="157"/>
  <c r="AH470" i="157"/>
  <c r="G470" i="157"/>
  <c r="Z470" i="157"/>
  <c r="BK470" i="157"/>
  <c r="V470" i="157"/>
  <c r="AQ470" i="157"/>
  <c r="N470" i="157"/>
  <c r="BC470" i="157"/>
  <c r="C471" i="157"/>
  <c r="G383" i="157"/>
  <c r="AN471" i="157" a="1"/>
  <c r="AH471" i="157" a="1"/>
  <c r="AD471" i="157" a="1"/>
  <c r="V471" i="157" a="1"/>
  <c r="J471" i="157" a="1"/>
  <c r="BG471" i="157" a="1"/>
  <c r="G471" i="157" a="1"/>
  <c r="Z471" i="157" a="1"/>
  <c r="AQ471" i="157" a="1"/>
  <c r="AV471" i="157" a="1"/>
  <c r="BC471" i="157" a="1"/>
  <c r="J383" i="157" a="1"/>
  <c r="R471" i="157" a="1"/>
  <c r="BK471" i="157" a="1"/>
  <c r="N471" i="157" a="1"/>
  <c r="AZ471" i="157" a="1"/>
  <c r="R471" i="157" l="1"/>
  <c r="J471" i="157"/>
  <c r="BK471" i="157"/>
  <c r="BC471" i="157"/>
  <c r="N471" i="157"/>
  <c r="AQ471" i="157"/>
  <c r="V471" i="157"/>
  <c r="AN471" i="157"/>
  <c r="AH471" i="157"/>
  <c r="G471" i="157"/>
  <c r="AV471" i="157"/>
  <c r="Z471" i="157"/>
  <c r="AD471" i="157"/>
  <c r="AZ471" i="157"/>
  <c r="BG471" i="157"/>
  <c r="C472" i="157"/>
  <c r="J383" i="157"/>
  <c r="AN472" i="157" a="1"/>
  <c r="AQ472" i="157" a="1"/>
  <c r="G472" i="157" a="1"/>
  <c r="J472" i="157" a="1"/>
  <c r="BG472" i="157" a="1"/>
  <c r="Z472" i="157" a="1"/>
  <c r="N472" i="157" a="1"/>
  <c r="N383" i="157" a="1"/>
  <c r="V472" i="157" a="1"/>
  <c r="AH472" i="157" a="1"/>
  <c r="R472" i="157" a="1"/>
  <c r="BK472" i="157" a="1"/>
  <c r="AD472" i="157" a="1"/>
  <c r="AV472" i="157" a="1"/>
  <c r="BC472" i="157" a="1"/>
  <c r="AZ472" i="157" a="1"/>
  <c r="V472" i="157" l="1"/>
  <c r="BG472" i="157"/>
  <c r="AV472" i="157"/>
  <c r="N472" i="157"/>
  <c r="BC472" i="157"/>
  <c r="AZ472" i="157"/>
  <c r="AD472" i="157"/>
  <c r="Z472" i="157"/>
  <c r="AH472" i="157"/>
  <c r="J472" i="157"/>
  <c r="BK472" i="157"/>
  <c r="R472" i="157"/>
  <c r="G472" i="157"/>
  <c r="AQ472" i="157"/>
  <c r="AN472" i="157"/>
  <c r="C473" i="157"/>
  <c r="N383" i="157"/>
  <c r="AQ473" i="157" a="1"/>
  <c r="AH473" i="157" a="1"/>
  <c r="R383" i="157" a="1"/>
  <c r="G473" i="157" a="1"/>
  <c r="AV473" i="157" a="1"/>
  <c r="J473" i="157" a="1"/>
  <c r="Z473" i="157" a="1"/>
  <c r="AZ473" i="157" a="1"/>
  <c r="BG473" i="157" a="1"/>
  <c r="BK473" i="157" a="1"/>
  <c r="R473" i="157" a="1"/>
  <c r="AN473" i="157" a="1"/>
  <c r="V473" i="157" a="1"/>
  <c r="BC473" i="157" a="1"/>
  <c r="AD473" i="157" a="1"/>
  <c r="N473" i="157" a="1"/>
  <c r="N473" i="157" l="1"/>
  <c r="AD473" i="157"/>
  <c r="Z473" i="157"/>
  <c r="J473" i="157"/>
  <c r="AZ473" i="157"/>
  <c r="AH473" i="157"/>
  <c r="V473" i="157"/>
  <c r="AV473" i="157"/>
  <c r="AN473" i="157"/>
  <c r="BG473" i="157"/>
  <c r="BC473" i="157"/>
  <c r="G473" i="157"/>
  <c r="BK473" i="157"/>
  <c r="AQ473" i="157"/>
  <c r="R473" i="157"/>
  <c r="C474" i="157"/>
  <c r="R383" i="157"/>
  <c r="N474" i="157" a="1"/>
  <c r="AV474" i="157" a="1"/>
  <c r="BC474" i="157" a="1"/>
  <c r="AD474" i="157" a="1"/>
  <c r="J474" i="157" a="1"/>
  <c r="R474" i="157" a="1"/>
  <c r="BK474" i="157" a="1"/>
  <c r="BG474" i="157" a="1"/>
  <c r="V383" i="157" a="1"/>
  <c r="V474" i="157" a="1"/>
  <c r="AZ474" i="157" a="1"/>
  <c r="AQ474" i="157" a="1"/>
  <c r="AH474" i="157" a="1"/>
  <c r="Z474" i="157" a="1"/>
  <c r="AN474" i="157" a="1"/>
  <c r="G474" i="157" a="1"/>
  <c r="BK474" i="157" l="1"/>
  <c r="J474" i="157"/>
  <c r="AV474" i="157"/>
  <c r="AQ474" i="157"/>
  <c r="AH474" i="157"/>
  <c r="N474" i="157"/>
  <c r="V474" i="157"/>
  <c r="BG474" i="157"/>
  <c r="G474" i="157"/>
  <c r="AN474" i="157"/>
  <c r="BC474" i="157"/>
  <c r="Z474" i="157"/>
  <c r="R474" i="157"/>
  <c r="AZ474" i="157"/>
  <c r="AD474" i="157"/>
  <c r="C475" i="157"/>
  <c r="V383" i="157"/>
  <c r="Z383" i="157" a="1"/>
  <c r="V475" i="157" a="1"/>
  <c r="AZ475" i="157" a="1"/>
  <c r="AQ475" i="157" a="1"/>
  <c r="N475" i="157" a="1"/>
  <c r="BK475" i="157" a="1"/>
  <c r="AD475" i="157" a="1"/>
  <c r="BC475" i="157" a="1"/>
  <c r="AV475" i="157" a="1"/>
  <c r="AN475" i="157" a="1"/>
  <c r="G475" i="157" a="1"/>
  <c r="BG475" i="157" a="1"/>
  <c r="J475" i="157" a="1"/>
  <c r="AH475" i="157" a="1"/>
  <c r="Z475" i="157" a="1"/>
  <c r="R475" i="157" a="1"/>
  <c r="J475" i="157" l="1"/>
  <c r="AV475" i="157"/>
  <c r="G475" i="157"/>
  <c r="AQ475" i="157"/>
  <c r="Z475" i="157"/>
  <c r="BC475" i="157"/>
  <c r="BK475" i="157"/>
  <c r="AZ475" i="157"/>
  <c r="BG475" i="157"/>
  <c r="AD475" i="157"/>
  <c r="AH475" i="157"/>
  <c r="V475" i="157"/>
  <c r="R475" i="157"/>
  <c r="AN475" i="157"/>
  <c r="N475" i="157"/>
  <c r="C476" i="157"/>
  <c r="Z383" i="157"/>
  <c r="AD383" i="157" a="1"/>
  <c r="Z476" i="157" a="1"/>
  <c r="V476" i="157" a="1"/>
  <c r="AV476" i="157" a="1"/>
  <c r="G476" i="157" a="1"/>
  <c r="AN476" i="157" a="1"/>
  <c r="J476" i="157" a="1"/>
  <c r="AD476" i="157" a="1"/>
  <c r="AQ476" i="157" a="1"/>
  <c r="BG476" i="157" a="1"/>
  <c r="BC476" i="157" a="1"/>
  <c r="R476" i="157" a="1"/>
  <c r="BK476" i="157" a="1"/>
  <c r="N476" i="157" a="1"/>
  <c r="AZ476" i="157" a="1"/>
  <c r="AH476" i="157" a="1"/>
  <c r="BG476" i="157" l="1"/>
  <c r="G476" i="157"/>
  <c r="BC476" i="157"/>
  <c r="R476" i="157"/>
  <c r="AQ476" i="157"/>
  <c r="AH476" i="157"/>
  <c r="Z476" i="157"/>
  <c r="AZ476" i="157"/>
  <c r="BK476" i="157"/>
  <c r="AN476" i="157"/>
  <c r="V476" i="157"/>
  <c r="J476" i="157"/>
  <c r="AV476" i="157"/>
  <c r="N476" i="157"/>
  <c r="AD476" i="157"/>
  <c r="C477" i="157"/>
  <c r="AD383" i="157"/>
  <c r="R477" i="157" a="1"/>
  <c r="AV477" i="157" a="1"/>
  <c r="BC477" i="157" a="1"/>
  <c r="N477" i="157" a="1"/>
  <c r="AH477" i="157" a="1"/>
  <c r="AH383" i="157" a="1"/>
  <c r="V477" i="157" a="1"/>
  <c r="BK477" i="157" a="1"/>
  <c r="AN477" i="157" a="1"/>
  <c r="J477" i="157" a="1"/>
  <c r="G477" i="157" a="1"/>
  <c r="AD477" i="157" a="1"/>
  <c r="BG477" i="157" a="1"/>
  <c r="AQ477" i="157" a="1"/>
  <c r="AZ477" i="157" a="1"/>
  <c r="Z477" i="157" a="1"/>
  <c r="G477" i="157" l="1"/>
  <c r="BC477" i="157"/>
  <c r="AQ477" i="157"/>
  <c r="AN477" i="157"/>
  <c r="AV477" i="157"/>
  <c r="BK477" i="157"/>
  <c r="R477" i="157"/>
  <c r="J477" i="157"/>
  <c r="BG477" i="157"/>
  <c r="V477" i="157"/>
  <c r="Z477" i="157"/>
  <c r="AD477" i="157"/>
  <c r="AZ477" i="157"/>
  <c r="AH477" i="157"/>
  <c r="N477" i="157"/>
  <c r="C478" i="157"/>
  <c r="AH383" i="157"/>
  <c r="BC478" i="157" a="1"/>
  <c r="AN383" i="157" a="1"/>
  <c r="N478" i="157" a="1"/>
  <c r="AH478" i="157" a="1"/>
  <c r="R478" i="157" a="1"/>
  <c r="BK478" i="157" a="1"/>
  <c r="G478" i="157" a="1"/>
  <c r="AZ478" i="157" a="1"/>
  <c r="AV478" i="157" a="1"/>
  <c r="AQ478" i="157" a="1"/>
  <c r="AD478" i="157" a="1"/>
  <c r="AN478" i="157" a="1"/>
  <c r="J478" i="157" a="1"/>
  <c r="Z478" i="157" a="1"/>
  <c r="V478" i="157" a="1"/>
  <c r="BG478" i="157" a="1"/>
  <c r="AZ478" i="157" l="1"/>
  <c r="AV478" i="157"/>
  <c r="AQ478" i="157"/>
  <c r="AD478" i="157"/>
  <c r="G478" i="157"/>
  <c r="BK478" i="157"/>
  <c r="J478" i="157"/>
  <c r="R478" i="157"/>
  <c r="BC478" i="157"/>
  <c r="N478" i="157"/>
  <c r="AN478" i="157"/>
  <c r="Z478" i="157"/>
  <c r="AH478" i="157"/>
  <c r="BG478" i="157"/>
  <c r="V478" i="157"/>
  <c r="C480" i="157"/>
  <c r="AN383" i="157"/>
  <c r="AQ480" i="157" a="1"/>
  <c r="AH480" i="157" a="1"/>
  <c r="AZ480" i="157" a="1"/>
  <c r="BG480" i="157" a="1"/>
  <c r="Z480" i="157" a="1"/>
  <c r="BK480" i="157" a="1"/>
  <c r="AN480" i="157" a="1"/>
  <c r="AQ383" i="157" a="1"/>
  <c r="AD480" i="157" a="1"/>
  <c r="R480" i="157" a="1"/>
  <c r="BC480" i="157" a="1"/>
  <c r="N480" i="157" a="1"/>
  <c r="J480" i="157" a="1"/>
  <c r="AV480" i="157" a="1"/>
  <c r="V480" i="157" a="1"/>
  <c r="G480" i="157" a="1"/>
  <c r="AN480" i="157" l="1"/>
  <c r="R480" i="157"/>
  <c r="AQ480" i="157"/>
  <c r="BC480" i="157"/>
  <c r="AD480" i="157"/>
  <c r="AH480" i="157"/>
  <c r="BG480" i="157"/>
  <c r="G480" i="157"/>
  <c r="AV480" i="157"/>
  <c r="V480" i="157"/>
  <c r="Z480" i="157"/>
  <c r="N480" i="157"/>
  <c r="AZ480" i="157"/>
  <c r="BK480" i="157"/>
  <c r="J480" i="157"/>
  <c r="C481" i="157"/>
  <c r="AQ383" i="157"/>
  <c r="AH481" i="157" a="1"/>
  <c r="V481" i="157" a="1"/>
  <c r="AN481" i="157" a="1"/>
  <c r="AZ481" i="157" a="1"/>
  <c r="AQ481" i="157" a="1"/>
  <c r="AD481" i="157" a="1"/>
  <c r="G481" i="157" a="1"/>
  <c r="J481" i="157" a="1"/>
  <c r="BG481" i="157" a="1"/>
  <c r="AV481" i="157" a="1"/>
  <c r="Z481" i="157" a="1"/>
  <c r="N481" i="157" a="1"/>
  <c r="AV383" i="157" a="1"/>
  <c r="R481" i="157" a="1"/>
  <c r="BK481" i="157" a="1"/>
  <c r="BC481" i="157" a="1"/>
  <c r="AQ481" i="157" l="1"/>
  <c r="AD481" i="157"/>
  <c r="AV481" i="157"/>
  <c r="AN481" i="157"/>
  <c r="BG481" i="157"/>
  <c r="AH481" i="157"/>
  <c r="G481" i="157"/>
  <c r="V481" i="157"/>
  <c r="Z481" i="157"/>
  <c r="J481" i="157"/>
  <c r="BC481" i="157"/>
  <c r="BK481" i="157"/>
  <c r="N481" i="157"/>
  <c r="AZ481" i="157"/>
  <c r="R481" i="157"/>
  <c r="C482" i="157"/>
  <c r="AV383" i="157"/>
  <c r="AV482" i="157" a="1"/>
  <c r="Z482" i="157" a="1"/>
  <c r="R482" i="157" a="1"/>
  <c r="BK482" i="157" a="1"/>
  <c r="BG383" i="157" a="1"/>
  <c r="AQ482" i="157" a="1"/>
  <c r="N482" i="157" a="1"/>
  <c r="AN482" i="157" a="1"/>
  <c r="AD482" i="157" a="1"/>
  <c r="AZ482" i="157" a="1"/>
  <c r="V482" i="157" a="1"/>
  <c r="G482" i="157" a="1"/>
  <c r="AH482" i="157" a="1"/>
  <c r="BC482" i="157" a="1"/>
  <c r="J482" i="157" a="1"/>
  <c r="BG482" i="157" a="1"/>
  <c r="AD482" i="157" l="1"/>
  <c r="Z482" i="157"/>
  <c r="V482" i="157"/>
  <c r="R482" i="157"/>
  <c r="BC482" i="157"/>
  <c r="AV482" i="157"/>
  <c r="AH482" i="157"/>
  <c r="AZ482" i="157"/>
  <c r="BK482" i="157"/>
  <c r="AQ482" i="157"/>
  <c r="BG482" i="157"/>
  <c r="J482" i="157"/>
  <c r="N482" i="157"/>
  <c r="AN482" i="157"/>
  <c r="G482" i="157"/>
  <c r="C483" i="157"/>
  <c r="BG383" i="157"/>
  <c r="AD483" i="157" a="1"/>
  <c r="J483" i="157" a="1"/>
  <c r="AZ483" i="157" a="1"/>
  <c r="R483" i="157" a="1"/>
  <c r="BC483" i="157" a="1"/>
  <c r="BK483" i="157" a="1"/>
  <c r="G384" i="157" a="1"/>
  <c r="AQ483" i="157" a="1"/>
  <c r="AV483" i="157" a="1"/>
  <c r="Z483" i="157" a="1"/>
  <c r="G483" i="157" a="1"/>
  <c r="BG483" i="157" a="1"/>
  <c r="N483" i="157" a="1"/>
  <c r="AH483" i="157" a="1"/>
  <c r="AN483" i="157" a="1"/>
  <c r="V483" i="157" a="1"/>
  <c r="AH483" i="157" l="1"/>
  <c r="AD483" i="157"/>
  <c r="Z483" i="157"/>
  <c r="J483" i="157"/>
  <c r="G483" i="157"/>
  <c r="AQ483" i="157"/>
  <c r="BG483" i="157"/>
  <c r="AN483" i="157"/>
  <c r="V483" i="157"/>
  <c r="N483" i="157"/>
  <c r="BK483" i="157"/>
  <c r="AV483" i="157"/>
  <c r="R483" i="157"/>
  <c r="AZ483" i="157"/>
  <c r="BC483" i="157"/>
  <c r="C484" i="157"/>
  <c r="G384" i="157"/>
  <c r="AZ484" i="157" a="1"/>
  <c r="AV484" i="157" a="1"/>
  <c r="J384" i="157" a="1"/>
  <c r="BK484" i="157" a="1"/>
  <c r="N484" i="157" a="1"/>
  <c r="AQ484" i="157" a="1"/>
  <c r="R484" i="157" a="1"/>
  <c r="V484" i="157" a="1"/>
  <c r="G484" i="157" a="1"/>
  <c r="AH484" i="157" a="1"/>
  <c r="AN484" i="157" a="1"/>
  <c r="Z484" i="157" a="1"/>
  <c r="J484" i="157" a="1"/>
  <c r="BC484" i="157" a="1"/>
  <c r="AD484" i="157" a="1"/>
  <c r="BG484" i="157" a="1"/>
  <c r="V484" i="157" l="1"/>
  <c r="R484" i="157"/>
  <c r="N484" i="157"/>
  <c r="BC484" i="157"/>
  <c r="AZ484" i="157"/>
  <c r="AV484" i="157"/>
  <c r="AQ484" i="157"/>
  <c r="Z484" i="157"/>
  <c r="BK484" i="157"/>
  <c r="AD484" i="157"/>
  <c r="G484" i="157"/>
  <c r="AH484" i="157"/>
  <c r="J484" i="157"/>
  <c r="BG484" i="157"/>
  <c r="AN484" i="157"/>
  <c r="C485" i="157"/>
  <c r="J384" i="157"/>
  <c r="V485" i="157" a="1"/>
  <c r="G485" i="157" a="1"/>
  <c r="AD485" i="157" a="1"/>
  <c r="BK485" i="157" a="1"/>
  <c r="R485" i="157" a="1"/>
  <c r="AH485" i="157" a="1"/>
  <c r="BC485" i="157" a="1"/>
  <c r="J485" i="157" a="1"/>
  <c r="N485" i="157" a="1"/>
  <c r="AQ485" i="157" a="1"/>
  <c r="BG485" i="157" a="1"/>
  <c r="AN485" i="157" a="1"/>
  <c r="AV485" i="157" a="1"/>
  <c r="N384" i="157" a="1"/>
  <c r="AZ485" i="157" a="1"/>
  <c r="Z485" i="157" a="1"/>
  <c r="Z485" i="157" l="1"/>
  <c r="AQ485" i="157"/>
  <c r="AN485" i="157"/>
  <c r="N485" i="157"/>
  <c r="V485" i="157"/>
  <c r="AD485" i="157"/>
  <c r="R485" i="157"/>
  <c r="AZ485" i="157"/>
  <c r="G485" i="157"/>
  <c r="AH485" i="157"/>
  <c r="AV485" i="157"/>
  <c r="BG485" i="157"/>
  <c r="BC485" i="157"/>
  <c r="BK485" i="157"/>
  <c r="J485" i="157"/>
  <c r="C486" i="157"/>
  <c r="N384" i="157"/>
  <c r="AH486" i="157" a="1"/>
  <c r="N486" i="157" a="1"/>
  <c r="AV486" i="157" a="1"/>
  <c r="R384" i="157" a="1"/>
  <c r="AN486" i="157" a="1"/>
  <c r="G486" i="157" a="1"/>
  <c r="J486" i="157" a="1"/>
  <c r="AZ486" i="157" a="1"/>
  <c r="BK486" i="157" a="1"/>
  <c r="V486" i="157" a="1"/>
  <c r="BG486" i="157" a="1"/>
  <c r="Z486" i="157" a="1"/>
  <c r="AQ486" i="157" a="1"/>
  <c r="AD486" i="157" a="1"/>
  <c r="R486" i="157" a="1"/>
  <c r="BC486" i="157" a="1"/>
  <c r="R486" i="157" l="1"/>
  <c r="BK486" i="157"/>
  <c r="J486" i="157"/>
  <c r="BG486" i="157"/>
  <c r="BC486" i="157"/>
  <c r="AQ486" i="157"/>
  <c r="AN486" i="157"/>
  <c r="N486" i="157"/>
  <c r="AH486" i="157"/>
  <c r="AV486" i="157"/>
  <c r="V486" i="157"/>
  <c r="Z486" i="157"/>
  <c r="G486" i="157"/>
  <c r="AD486" i="157"/>
  <c r="AZ486" i="157"/>
  <c r="C487" i="157"/>
  <c r="R384" i="157"/>
  <c r="BK487" i="157" a="1"/>
  <c r="N487" i="157" a="1"/>
  <c r="BG487" i="157" a="1"/>
  <c r="AV487" i="157" a="1"/>
  <c r="Z487" i="157" a="1"/>
  <c r="G487" i="157" a="1"/>
  <c r="AZ487" i="157" a="1"/>
  <c r="J487" i="157" a="1"/>
  <c r="AD487" i="157" a="1"/>
  <c r="AN487" i="157" a="1"/>
  <c r="R487" i="157" a="1"/>
  <c r="AQ487" i="157" a="1"/>
  <c r="AH487" i="157" a="1"/>
  <c r="V487" i="157" a="1"/>
  <c r="BC487" i="157" a="1"/>
  <c r="V384" i="157" a="1"/>
  <c r="R487" i="157" l="1"/>
  <c r="N487" i="157"/>
  <c r="BK487" i="157"/>
  <c r="BG487" i="157"/>
  <c r="J487" i="157"/>
  <c r="G487" i="157"/>
  <c r="Z487" i="157"/>
  <c r="AH487" i="157"/>
  <c r="V487" i="157"/>
  <c r="BC487" i="157"/>
  <c r="AQ487" i="157"/>
  <c r="AD487" i="157"/>
  <c r="AZ487" i="157"/>
  <c r="AN487" i="157"/>
  <c r="AV487" i="157"/>
  <c r="C488" i="157"/>
  <c r="V384" i="157"/>
  <c r="BG488" i="157" a="1"/>
  <c r="J488" i="157" a="1"/>
  <c r="AZ488" i="157" a="1"/>
  <c r="G488" i="157" a="1"/>
  <c r="V488" i="157" a="1"/>
  <c r="AQ488" i="157" a="1"/>
  <c r="Z488" i="157" a="1"/>
  <c r="AV488" i="157" a="1"/>
  <c r="Z384" i="157" a="1"/>
  <c r="AD488" i="157" a="1"/>
  <c r="BK488" i="157" a="1"/>
  <c r="BC488" i="157" a="1"/>
  <c r="N488" i="157" a="1"/>
  <c r="AN488" i="157" a="1"/>
  <c r="R488" i="157" a="1"/>
  <c r="AH488" i="157" a="1"/>
  <c r="V488" i="157" l="1"/>
  <c r="J488" i="157"/>
  <c r="BG488" i="157"/>
  <c r="BC488" i="157"/>
  <c r="AV488" i="157"/>
  <c r="N488" i="157"/>
  <c r="AD488" i="157"/>
  <c r="G488" i="157"/>
  <c r="AZ488" i="157"/>
  <c r="AQ488" i="157"/>
  <c r="AH488" i="157"/>
  <c r="R488" i="157"/>
  <c r="BK488" i="157"/>
  <c r="AN488" i="157"/>
  <c r="Z488" i="157"/>
  <c r="C489" i="157"/>
  <c r="Z384" i="157"/>
  <c r="AD489" i="157" a="1"/>
  <c r="V489" i="157" a="1"/>
  <c r="AD384" i="157" a="1"/>
  <c r="BK489" i="157" a="1"/>
  <c r="AN489" i="157" a="1"/>
  <c r="G489" i="157" a="1"/>
  <c r="N489" i="157" a="1"/>
  <c r="J489" i="157" a="1"/>
  <c r="R489" i="157" a="1"/>
  <c r="AV489" i="157" a="1"/>
  <c r="AQ489" i="157" a="1"/>
  <c r="AH489" i="157" a="1"/>
  <c r="BG489" i="157" a="1"/>
  <c r="Z489" i="157" a="1"/>
  <c r="AZ489" i="157" a="1"/>
  <c r="BC489" i="157" a="1"/>
  <c r="J489" i="157" l="1"/>
  <c r="BK489" i="157"/>
  <c r="BG489" i="157"/>
  <c r="BC489" i="157"/>
  <c r="AN489" i="157"/>
  <c r="AQ489" i="157"/>
  <c r="AD489" i="157"/>
  <c r="AZ489" i="157"/>
  <c r="N489" i="157"/>
  <c r="V489" i="157"/>
  <c r="R489" i="157"/>
  <c r="Z489" i="157"/>
  <c r="G489" i="157"/>
  <c r="AH489" i="157"/>
  <c r="AV489" i="157"/>
  <c r="C490" i="157"/>
  <c r="AD384" i="157"/>
  <c r="AH490" i="157" a="1"/>
  <c r="BG490" i="157" a="1"/>
  <c r="AQ490" i="157" a="1"/>
  <c r="AZ490" i="157" a="1"/>
  <c r="G490" i="157" a="1"/>
  <c r="BK490" i="157" a="1"/>
  <c r="J490" i="157" a="1"/>
  <c r="N490" i="157" a="1"/>
  <c r="AH384" i="157" a="1"/>
  <c r="Z490" i="157" a="1"/>
  <c r="AV490" i="157" a="1"/>
  <c r="V490" i="157" a="1"/>
  <c r="BC490" i="157" a="1"/>
  <c r="AN490" i="157" a="1"/>
  <c r="R490" i="157" a="1"/>
  <c r="AD490" i="157" a="1"/>
  <c r="BG490" i="157" l="1"/>
  <c r="AV490" i="157"/>
  <c r="J490" i="157"/>
  <c r="Z490" i="157"/>
  <c r="R490" i="157"/>
  <c r="BK490" i="157"/>
  <c r="BC490" i="157"/>
  <c r="AZ490" i="157"/>
  <c r="V490" i="157"/>
  <c r="AH490" i="157"/>
  <c r="AQ490" i="157"/>
  <c r="N490" i="157"/>
  <c r="G490" i="157"/>
  <c r="AD490" i="157"/>
  <c r="AN490" i="157"/>
  <c r="C491" i="157"/>
  <c r="AH384" i="157"/>
  <c r="V491" i="157" a="1"/>
  <c r="N491" i="157" a="1"/>
  <c r="G491" i="157" a="1"/>
  <c r="J491" i="157" a="1"/>
  <c r="BK491" i="157" a="1"/>
  <c r="BG491" i="157" a="1"/>
  <c r="AN384" i="157" a="1"/>
  <c r="R491" i="157" a="1"/>
  <c r="BC491" i="157" a="1"/>
  <c r="AH491" i="157" a="1"/>
  <c r="AD491" i="157" a="1"/>
  <c r="Z491" i="157" a="1"/>
  <c r="AN491" i="157" a="1"/>
  <c r="AZ491" i="157" a="1"/>
  <c r="AV491" i="157" a="1"/>
  <c r="AQ491" i="157" a="1"/>
  <c r="AV491" i="157" l="1"/>
  <c r="AH491" i="157"/>
  <c r="R491" i="157"/>
  <c r="N491" i="157"/>
  <c r="AQ491" i="157"/>
  <c r="AZ491" i="157"/>
  <c r="BG491" i="157"/>
  <c r="AD491" i="157"/>
  <c r="G491" i="157"/>
  <c r="Z491" i="157"/>
  <c r="BK491" i="157"/>
  <c r="BC491" i="157"/>
  <c r="V491" i="157"/>
  <c r="J491" i="157"/>
  <c r="AN491" i="157"/>
  <c r="C492" i="157"/>
  <c r="AN384" i="157"/>
  <c r="AQ492" i="157" a="1"/>
  <c r="Z492" i="157" a="1"/>
  <c r="AZ492" i="157" a="1"/>
  <c r="BG492" i="157" a="1"/>
  <c r="R492" i="157" a="1"/>
  <c r="AV492" i="157" a="1"/>
  <c r="BC492" i="157" a="1"/>
  <c r="N492" i="157" a="1"/>
  <c r="AQ384" i="157" a="1"/>
  <c r="V492" i="157" a="1"/>
  <c r="J492" i="157" a="1"/>
  <c r="AD492" i="157" a="1"/>
  <c r="BK492" i="157" a="1"/>
  <c r="G492" i="157" a="1"/>
  <c r="AH492" i="157" a="1"/>
  <c r="AN492" i="157" a="1"/>
  <c r="R492" i="157" l="1"/>
  <c r="N492" i="157"/>
  <c r="AQ492" i="157"/>
  <c r="AD492" i="157"/>
  <c r="BK492" i="157"/>
  <c r="BC492" i="157"/>
  <c r="BG492" i="157"/>
  <c r="AV492" i="157"/>
  <c r="G492" i="157"/>
  <c r="AN492" i="157"/>
  <c r="AZ492" i="157"/>
  <c r="Z492" i="157"/>
  <c r="AH492" i="157"/>
  <c r="J492" i="157"/>
  <c r="V492" i="157"/>
  <c r="C493" i="157"/>
  <c r="AQ384" i="157"/>
  <c r="AD493" i="157" a="1"/>
  <c r="G493" i="157" a="1"/>
  <c r="AZ493" i="157" a="1"/>
  <c r="BC493" i="157" a="1"/>
  <c r="V493" i="157" a="1"/>
  <c r="J493" i="157" a="1"/>
  <c r="AN493" i="157" a="1"/>
  <c r="N493" i="157" a="1"/>
  <c r="BK493" i="157" a="1"/>
  <c r="AH493" i="157" a="1"/>
  <c r="R493" i="157" a="1"/>
  <c r="AQ493" i="157" a="1"/>
  <c r="Z493" i="157" a="1"/>
  <c r="AV493" i="157" a="1"/>
  <c r="BG493" i="157" a="1"/>
  <c r="AV384" i="157" a="1"/>
  <c r="AQ493" i="157" l="1"/>
  <c r="V493" i="157"/>
  <c r="G493" i="157"/>
  <c r="Z493" i="157"/>
  <c r="N493" i="157"/>
  <c r="BK493" i="157"/>
  <c r="AN493" i="157"/>
  <c r="J493" i="157"/>
  <c r="AV493" i="157"/>
  <c r="AD493" i="157"/>
  <c r="BG493" i="157"/>
  <c r="AZ493" i="157"/>
  <c r="R493" i="157"/>
  <c r="BC493" i="157"/>
  <c r="AH493" i="157"/>
  <c r="C494" i="157"/>
  <c r="AV384" i="157"/>
  <c r="R494" i="157" a="1"/>
  <c r="J494" i="157" a="1"/>
  <c r="N494" i="157" a="1"/>
  <c r="BK494" i="157" a="1"/>
  <c r="G385" i="157" a="1"/>
  <c r="AD494" i="157" a="1"/>
  <c r="BC494" i="157" a="1"/>
  <c r="G494" i="157" a="1"/>
  <c r="BG494" i="157" a="1"/>
  <c r="AQ494" i="157" a="1"/>
  <c r="AH494" i="157" a="1"/>
  <c r="AV494" i="157" a="1"/>
  <c r="AZ494" i="157" a="1"/>
  <c r="V494" i="157" a="1"/>
  <c r="Z494" i="157" a="1"/>
  <c r="AN494" i="157" a="1"/>
  <c r="N494" i="157" l="1"/>
  <c r="AZ494" i="157"/>
  <c r="AQ494" i="157"/>
  <c r="V494" i="157"/>
  <c r="AN494" i="157"/>
  <c r="R494" i="157"/>
  <c r="J494" i="157"/>
  <c r="BG494" i="157"/>
  <c r="AV494" i="157"/>
  <c r="AH494" i="157"/>
  <c r="AD494" i="157"/>
  <c r="BK494" i="157"/>
  <c r="Z494" i="157"/>
  <c r="G494" i="157"/>
  <c r="BC494" i="157"/>
  <c r="C495" i="157"/>
  <c r="G385" i="157"/>
  <c r="AZ495" i="157" a="1"/>
  <c r="AH495" i="157" a="1"/>
  <c r="G495" i="157" a="1"/>
  <c r="BK495" i="157" a="1"/>
  <c r="AD495" i="157" a="1"/>
  <c r="R495" i="157" a="1"/>
  <c r="AV495" i="157" a="1"/>
  <c r="AQ495" i="157" a="1"/>
  <c r="BG495" i="157" a="1"/>
  <c r="AN495" i="157" a="1"/>
  <c r="BC495" i="157" a="1"/>
  <c r="N495" i="157" a="1"/>
  <c r="V495" i="157" a="1"/>
  <c r="J495" i="157" a="1"/>
  <c r="Z495" i="157" a="1"/>
  <c r="J385" i="157" a="1"/>
  <c r="V495" i="157" l="1"/>
  <c r="BC495" i="157"/>
  <c r="J495" i="157"/>
  <c r="AV495" i="157"/>
  <c r="Z495" i="157"/>
  <c r="R495" i="157"/>
  <c r="AD495" i="157"/>
  <c r="AN495" i="157"/>
  <c r="BK495" i="157"/>
  <c r="AZ495" i="157"/>
  <c r="AH495" i="157"/>
  <c r="N495" i="157"/>
  <c r="BG495" i="157"/>
  <c r="G495" i="157"/>
  <c r="AQ495" i="157"/>
  <c r="C496" i="157"/>
  <c r="J385" i="157"/>
  <c r="AH496" i="157" a="1"/>
  <c r="BC496" i="157" a="1"/>
  <c r="N385" i="157" a="1"/>
  <c r="AV496" i="157" a="1"/>
  <c r="G496" i="157" a="1"/>
  <c r="BG496" i="157" a="1"/>
  <c r="N496" i="157" a="1"/>
  <c r="AD496" i="157" a="1"/>
  <c r="AQ496" i="157" a="1"/>
  <c r="AN496" i="157" a="1"/>
  <c r="V496" i="157" a="1"/>
  <c r="R496" i="157" a="1"/>
  <c r="BK496" i="157" a="1"/>
  <c r="Z496" i="157" a="1"/>
  <c r="AZ496" i="157" a="1"/>
  <c r="J496" i="157" a="1"/>
  <c r="J496" i="157" l="1"/>
  <c r="AV496" i="157"/>
  <c r="G496" i="157"/>
  <c r="AD496" i="157"/>
  <c r="AH496" i="157"/>
  <c r="R496" i="157"/>
  <c r="N496" i="157"/>
  <c r="BK496" i="157"/>
  <c r="Z496" i="157"/>
  <c r="AQ496" i="157"/>
  <c r="AN496" i="157"/>
  <c r="V496" i="157"/>
  <c r="BC496" i="157"/>
  <c r="AZ496" i="157"/>
  <c r="BG496" i="157"/>
  <c r="C497" i="157"/>
  <c r="N385" i="157"/>
  <c r="AH497" i="157" a="1"/>
  <c r="J497" i="157" a="1"/>
  <c r="V497" i="157" a="1"/>
  <c r="BG497" i="157" a="1"/>
  <c r="N497" i="157" a="1"/>
  <c r="AN497" i="157" a="1"/>
  <c r="AQ497" i="157" a="1"/>
  <c r="BK497" i="157" a="1"/>
  <c r="BC497" i="157" a="1"/>
  <c r="R385" i="157" a="1"/>
  <c r="R497" i="157" a="1"/>
  <c r="AZ497" i="157" a="1"/>
  <c r="G497" i="157" a="1"/>
  <c r="AV497" i="157" a="1"/>
  <c r="AD497" i="157" a="1"/>
  <c r="Z497" i="157" a="1"/>
  <c r="N497" i="157" l="1"/>
  <c r="AH497" i="157"/>
  <c r="BK497" i="157"/>
  <c r="AZ497" i="157"/>
  <c r="J497" i="157"/>
  <c r="BG497" i="157"/>
  <c r="Z497" i="157"/>
  <c r="AV497" i="157"/>
  <c r="R497" i="157"/>
  <c r="AQ497" i="157"/>
  <c r="BC497" i="157"/>
  <c r="AN497" i="157"/>
  <c r="AD497" i="157"/>
  <c r="G497" i="157"/>
  <c r="V497" i="157"/>
  <c r="C498" i="157"/>
  <c r="R385" i="157"/>
  <c r="V498" i="157" a="1"/>
  <c r="AN498" i="157" a="1"/>
  <c r="R498" i="157" a="1"/>
  <c r="N498" i="157" a="1"/>
  <c r="AV498" i="157" a="1"/>
  <c r="AH498" i="157" a="1"/>
  <c r="AZ498" i="157" a="1"/>
  <c r="Z498" i="157" a="1"/>
  <c r="J498" i="157" a="1"/>
  <c r="AQ498" i="157" a="1"/>
  <c r="G498" i="157" a="1"/>
  <c r="BK498" i="157" a="1"/>
  <c r="V385" i="157" a="1"/>
  <c r="BC498" i="157" a="1"/>
  <c r="AD498" i="157" a="1"/>
  <c r="BG498" i="157" a="1"/>
  <c r="G498" i="157" l="1"/>
  <c r="AQ498" i="157"/>
  <c r="V498" i="157"/>
  <c r="AN498" i="157"/>
  <c r="AH498" i="157"/>
  <c r="N498" i="157"/>
  <c r="J498" i="157"/>
  <c r="R498" i="157"/>
  <c r="AZ498" i="157"/>
  <c r="AD498" i="157"/>
  <c r="BG498" i="157"/>
  <c r="Z498" i="157"/>
  <c r="BK498" i="157"/>
  <c r="BC498" i="157"/>
  <c r="AV498" i="157"/>
  <c r="C499" i="157"/>
  <c r="V385" i="157"/>
  <c r="BG499" i="157" a="1"/>
  <c r="R499" i="157" a="1"/>
  <c r="G499" i="157" a="1"/>
  <c r="N499" i="157" a="1"/>
  <c r="BK499" i="157" a="1"/>
  <c r="AV499" i="157" a="1"/>
  <c r="AH499" i="157" a="1"/>
  <c r="AQ499" i="157" a="1"/>
  <c r="BC499" i="157" a="1"/>
  <c r="Z385" i="157" a="1"/>
  <c r="AD499" i="157" a="1"/>
  <c r="V499" i="157" a="1"/>
  <c r="AZ499" i="157" a="1"/>
  <c r="AN499" i="157" a="1"/>
  <c r="J499" i="157" a="1"/>
  <c r="Z499" i="157" a="1"/>
  <c r="J499" i="157" l="1"/>
  <c r="G499" i="157"/>
  <c r="AN499" i="157"/>
  <c r="AD499" i="157"/>
  <c r="Z499" i="157"/>
  <c r="BG499" i="157"/>
  <c r="BK499" i="157"/>
  <c r="BC499" i="157"/>
  <c r="AH499" i="157"/>
  <c r="AZ499" i="157"/>
  <c r="AQ499" i="157"/>
  <c r="V499" i="157"/>
  <c r="AV499" i="157"/>
  <c r="R499" i="157"/>
  <c r="N499" i="157"/>
  <c r="C500" i="157"/>
  <c r="Z385" i="157"/>
  <c r="AV500" i="157" a="1"/>
  <c r="BK500" i="157" a="1"/>
  <c r="AZ500" i="157" a="1"/>
  <c r="AQ500" i="157" a="1"/>
  <c r="BG500" i="157" a="1"/>
  <c r="BC500" i="157" a="1"/>
  <c r="Z500" i="157" a="1"/>
  <c r="R500" i="157" a="1"/>
  <c r="V500" i="157" a="1"/>
  <c r="AD385" i="157" a="1"/>
  <c r="J500" i="157" a="1"/>
  <c r="G500" i="157" a="1"/>
  <c r="N500" i="157" a="1"/>
  <c r="AN500" i="157" a="1"/>
  <c r="AH500" i="157" a="1"/>
  <c r="AD500" i="157" a="1"/>
  <c r="AN500" i="157" l="1"/>
  <c r="N500" i="157"/>
  <c r="AH500" i="157"/>
  <c r="AV500" i="157"/>
  <c r="V500" i="157"/>
  <c r="BK500" i="157"/>
  <c r="AQ500" i="157"/>
  <c r="BG500" i="157"/>
  <c r="G500" i="157"/>
  <c r="BC500" i="157"/>
  <c r="AD500" i="157"/>
  <c r="R500" i="157"/>
  <c r="J500" i="157"/>
  <c r="Z500" i="157"/>
  <c r="AZ500" i="157"/>
  <c r="C501" i="157"/>
  <c r="AD385" i="157"/>
  <c r="J501" i="157" a="1"/>
  <c r="G501" i="157" a="1"/>
  <c r="BK501" i="157" a="1"/>
  <c r="AH385" i="157" a="1"/>
  <c r="N501" i="157" a="1"/>
  <c r="AD501" i="157" a="1"/>
  <c r="AH501" i="157" a="1"/>
  <c r="R501" i="157" a="1"/>
  <c r="BC501" i="157" a="1"/>
  <c r="AQ501" i="157" a="1"/>
  <c r="BG501" i="157" a="1"/>
  <c r="AN501" i="157" a="1"/>
  <c r="Z501" i="157" a="1"/>
  <c r="V501" i="157" a="1"/>
  <c r="AV501" i="157" a="1"/>
  <c r="AZ501" i="157" a="1"/>
  <c r="BC501" i="157" l="1"/>
  <c r="AD501" i="157"/>
  <c r="J501" i="157"/>
  <c r="BK501" i="157"/>
  <c r="AH501" i="157"/>
  <c r="AZ501" i="157"/>
  <c r="G501" i="157"/>
  <c r="AV501" i="157"/>
  <c r="R501" i="157"/>
  <c r="AQ501" i="157"/>
  <c r="AN501" i="157"/>
  <c r="Z501" i="157"/>
  <c r="V501" i="157"/>
  <c r="N501" i="157"/>
  <c r="BG501" i="157"/>
  <c r="C502" i="157"/>
  <c r="AH385" i="157"/>
  <c r="AN502" i="157" a="1"/>
  <c r="G502" i="157" a="1"/>
  <c r="J502" i="157" a="1"/>
  <c r="AD502" i="157" a="1"/>
  <c r="AQ502" i="157" a="1"/>
  <c r="AZ502" i="157" a="1"/>
  <c r="BC502" i="157" a="1"/>
  <c r="V502" i="157" a="1"/>
  <c r="AV502" i="157" a="1"/>
  <c r="BG502" i="157" a="1"/>
  <c r="BK502" i="157" a="1"/>
  <c r="Z502" i="157" a="1"/>
  <c r="AH502" i="157" a="1"/>
  <c r="N502" i="157" a="1"/>
  <c r="R502" i="157" a="1"/>
  <c r="AN385" i="157" a="1"/>
  <c r="BG502" i="157" l="1"/>
  <c r="BC502" i="157"/>
  <c r="Z502" i="157"/>
  <c r="N502" i="157"/>
  <c r="G502" i="157"/>
  <c r="R502" i="157"/>
  <c r="AZ502" i="157"/>
  <c r="AQ502" i="157"/>
  <c r="V502" i="157"/>
  <c r="AV502" i="157"/>
  <c r="BK502" i="157"/>
  <c r="J502" i="157"/>
  <c r="AH502" i="157"/>
  <c r="AD502" i="157"/>
  <c r="AN502" i="157"/>
  <c r="C503" i="157"/>
  <c r="AN385" i="157"/>
  <c r="AZ503" i="157" a="1"/>
  <c r="AD503" i="157" a="1"/>
  <c r="AQ385" i="157" a="1"/>
  <c r="G503" i="157" a="1"/>
  <c r="AH503" i="157" a="1"/>
  <c r="J503" i="157" a="1"/>
  <c r="BK503" i="157" a="1"/>
  <c r="AQ503" i="157" a="1"/>
  <c r="V503" i="157" a="1"/>
  <c r="Z503" i="157" a="1"/>
  <c r="AV503" i="157" a="1"/>
  <c r="BC503" i="157" a="1"/>
  <c r="R503" i="157" a="1"/>
  <c r="BG503" i="157" a="1"/>
  <c r="AN503" i="157" a="1"/>
  <c r="N503" i="157" a="1"/>
  <c r="AZ503" i="157" l="1"/>
  <c r="AV503" i="157"/>
  <c r="AN503" i="157"/>
  <c r="Z503" i="157"/>
  <c r="R503" i="157"/>
  <c r="AQ503" i="157"/>
  <c r="G503" i="157"/>
  <c r="V503" i="157"/>
  <c r="BC503" i="157"/>
  <c r="J503" i="157"/>
  <c r="AD503" i="157"/>
  <c r="BG503" i="157"/>
  <c r="N503" i="157"/>
  <c r="AH503" i="157"/>
  <c r="BK503" i="157"/>
  <c r="AQ385" i="157"/>
  <c r="F909" i="88"/>
  <c r="F896" i="88"/>
  <c r="F64" i="209"/>
  <c r="F97" i="209" s="1"/>
  <c r="F75" i="209"/>
  <c r="F98" i="209" s="1"/>
  <c r="F59" i="209"/>
  <c r="F33" i="209"/>
  <c r="F30" i="209"/>
  <c r="F25" i="209"/>
  <c r="F22" i="209"/>
  <c r="F17" i="209"/>
  <c r="F90" i="209" s="1"/>
  <c r="AC125" i="209"/>
  <c r="AB125" i="209"/>
  <c r="AA125" i="209"/>
  <c r="Z125" i="209"/>
  <c r="Y125" i="209"/>
  <c r="X125" i="209"/>
  <c r="W125" i="209"/>
  <c r="V125" i="209"/>
  <c r="U125" i="209"/>
  <c r="T125" i="209"/>
  <c r="S125" i="209"/>
  <c r="R125" i="209"/>
  <c r="Q125" i="209"/>
  <c r="P125" i="209"/>
  <c r="O125" i="209"/>
  <c r="N125" i="209"/>
  <c r="M125" i="209"/>
  <c r="L125" i="209"/>
  <c r="K125" i="209"/>
  <c r="J125" i="209"/>
  <c r="I125" i="209"/>
  <c r="H125" i="209"/>
  <c r="G125" i="209"/>
  <c r="F125" i="209"/>
  <c r="AC105" i="209"/>
  <c r="AB105" i="209"/>
  <c r="AA105" i="209"/>
  <c r="Z105" i="209"/>
  <c r="Y105" i="209"/>
  <c r="X105" i="209"/>
  <c r="W105" i="209"/>
  <c r="V105" i="209"/>
  <c r="U105" i="209"/>
  <c r="T105" i="209"/>
  <c r="S105" i="209"/>
  <c r="R105" i="209"/>
  <c r="Q105" i="209"/>
  <c r="P105" i="209"/>
  <c r="O105" i="209"/>
  <c r="N105" i="209"/>
  <c r="M105" i="209"/>
  <c r="L105" i="209"/>
  <c r="K105" i="209"/>
  <c r="J105" i="209"/>
  <c r="I105" i="209"/>
  <c r="H105" i="209"/>
  <c r="G105" i="209"/>
  <c r="F105" i="209"/>
  <c r="AC100" i="209"/>
  <c r="AB100" i="209"/>
  <c r="AA100" i="209"/>
  <c r="Z100" i="209"/>
  <c r="Y100" i="209"/>
  <c r="X100" i="209"/>
  <c r="W100" i="209"/>
  <c r="V100" i="209"/>
  <c r="U100" i="209"/>
  <c r="T100" i="209"/>
  <c r="S100" i="209"/>
  <c r="R100" i="209"/>
  <c r="Q100" i="209"/>
  <c r="P100" i="209"/>
  <c r="O100" i="209"/>
  <c r="N100" i="209"/>
  <c r="M100" i="209"/>
  <c r="L100" i="209"/>
  <c r="K100" i="209"/>
  <c r="J100" i="209"/>
  <c r="I100" i="209"/>
  <c r="H100" i="209"/>
  <c r="G100" i="209"/>
  <c r="F100" i="209"/>
  <c r="I99" i="209"/>
  <c r="W97" i="209"/>
  <c r="I96" i="209"/>
  <c r="H96" i="209"/>
  <c r="F96" i="209"/>
  <c r="W92" i="209"/>
  <c r="T92" i="209"/>
  <c r="P92" i="209"/>
  <c r="AB90" i="209"/>
  <c r="Y90" i="209"/>
  <c r="AC79" i="209"/>
  <c r="AB79" i="209"/>
  <c r="AA79" i="209"/>
  <c r="AA99" i="209" s="1"/>
  <c r="Z79" i="209"/>
  <c r="Y79" i="209"/>
  <c r="X79" i="209"/>
  <c r="W79" i="209"/>
  <c r="V79" i="209"/>
  <c r="U79" i="209"/>
  <c r="T79" i="209"/>
  <c r="S79" i="209"/>
  <c r="R79" i="209"/>
  <c r="Q79" i="209"/>
  <c r="P79" i="209"/>
  <c r="O79" i="209"/>
  <c r="N79" i="209"/>
  <c r="M79" i="209"/>
  <c r="L79" i="209"/>
  <c r="K79" i="209"/>
  <c r="J79" i="209"/>
  <c r="H79" i="209"/>
  <c r="G79" i="209"/>
  <c r="F79" i="209"/>
  <c r="F99" i="209" s="1"/>
  <c r="C79" i="209"/>
  <c r="AH78" i="209"/>
  <c r="AG78" i="209"/>
  <c r="AF78" i="209"/>
  <c r="AH77" i="209"/>
  <c r="AG77" i="209"/>
  <c r="AF77" i="209"/>
  <c r="AI76" i="209"/>
  <c r="H75" i="209"/>
  <c r="H98" i="209" s="1"/>
  <c r="G75" i="209"/>
  <c r="C75" i="209"/>
  <c r="B75" i="209"/>
  <c r="B79" i="209" s="1"/>
  <c r="AH73" i="209"/>
  <c r="AG73" i="209"/>
  <c r="AF73" i="209"/>
  <c r="AH72" i="209"/>
  <c r="AG72" i="209"/>
  <c r="AF72" i="209"/>
  <c r="AC75" i="209"/>
  <c r="AG69" i="209"/>
  <c r="Z75" i="209"/>
  <c r="X75" i="209"/>
  <c r="I75" i="209"/>
  <c r="AB75" i="209"/>
  <c r="AA75" i="209"/>
  <c r="T75" i="209"/>
  <c r="S75" i="209"/>
  <c r="R75" i="209"/>
  <c r="Q75" i="209"/>
  <c r="P75" i="209"/>
  <c r="O75" i="209"/>
  <c r="N75" i="209"/>
  <c r="M75" i="209"/>
  <c r="L75" i="209"/>
  <c r="K75" i="209"/>
  <c r="AH66" i="209"/>
  <c r="AG66" i="209"/>
  <c r="AF66" i="209"/>
  <c r="AC64" i="209"/>
  <c r="AB64" i="209"/>
  <c r="AB97" i="209" s="1"/>
  <c r="Y64" i="209"/>
  <c r="X64" i="209"/>
  <c r="W64" i="209"/>
  <c r="V64" i="209"/>
  <c r="U64" i="209"/>
  <c r="T64" i="209"/>
  <c r="N64" i="209"/>
  <c r="L64" i="209"/>
  <c r="I64" i="209"/>
  <c r="H64" i="209"/>
  <c r="G64" i="209"/>
  <c r="C64" i="209"/>
  <c r="B64" i="209"/>
  <c r="AG63" i="209"/>
  <c r="O64" i="209"/>
  <c r="M64" i="209"/>
  <c r="K64" i="209"/>
  <c r="Q64" i="209"/>
  <c r="P64" i="209"/>
  <c r="AA64" i="209"/>
  <c r="Z64" i="209"/>
  <c r="AC59" i="209"/>
  <c r="AB59" i="209"/>
  <c r="AA59" i="209"/>
  <c r="AA96" i="209" s="1"/>
  <c r="Z59" i="209"/>
  <c r="Y59" i="209"/>
  <c r="X59" i="209"/>
  <c r="W59" i="209"/>
  <c r="V59" i="209"/>
  <c r="U59" i="209"/>
  <c r="S59" i="209"/>
  <c r="R59" i="209"/>
  <c r="Q59" i="209"/>
  <c r="O59" i="209"/>
  <c r="N59" i="209"/>
  <c r="M59" i="209"/>
  <c r="L59" i="209"/>
  <c r="K59" i="209"/>
  <c r="J59" i="209"/>
  <c r="I59" i="209"/>
  <c r="H59" i="209"/>
  <c r="G59" i="209"/>
  <c r="C59" i="209"/>
  <c r="B59" i="209"/>
  <c r="AH57" i="209"/>
  <c r="AG57" i="209"/>
  <c r="AH56" i="209"/>
  <c r="AH55" i="209"/>
  <c r="AG55" i="209"/>
  <c r="AF55" i="209"/>
  <c r="AH54" i="209"/>
  <c r="AH53" i="209"/>
  <c r="AG53" i="209"/>
  <c r="AN51" i="209"/>
  <c r="AH51" i="209"/>
  <c r="AG51" i="209"/>
  <c r="AF51" i="209"/>
  <c r="AH50" i="209"/>
  <c r="AG50" i="209"/>
  <c r="AF50" i="209"/>
  <c r="AH49" i="209"/>
  <c r="AG49" i="209"/>
  <c r="AF49" i="209"/>
  <c r="AH48" i="209"/>
  <c r="AG48" i="209"/>
  <c r="AF48" i="209"/>
  <c r="AH47" i="209"/>
  <c r="AG47" i="209"/>
  <c r="AF47" i="209"/>
  <c r="AH46" i="209"/>
  <c r="AG46" i="209"/>
  <c r="AF46" i="209"/>
  <c r="AF45" i="209"/>
  <c r="AG44" i="209"/>
  <c r="AF44" i="209"/>
  <c r="AH43" i="209"/>
  <c r="AG43" i="209"/>
  <c r="AF43" i="209"/>
  <c r="AH42" i="209"/>
  <c r="AG42" i="209"/>
  <c r="AF42" i="209"/>
  <c r="AH41" i="209"/>
  <c r="AG41" i="209"/>
  <c r="AF41" i="209"/>
  <c r="AH40" i="209"/>
  <c r="AG40" i="209"/>
  <c r="AF40" i="209"/>
  <c r="AH39" i="209"/>
  <c r="AG39" i="209"/>
  <c r="AF39" i="209"/>
  <c r="AH38" i="209"/>
  <c r="AG38" i="209"/>
  <c r="AF38" i="209"/>
  <c r="AH37" i="209"/>
  <c r="AG37" i="209"/>
  <c r="AF37" i="209"/>
  <c r="AH36" i="209"/>
  <c r="AG36" i="209"/>
  <c r="AF36" i="209"/>
  <c r="AH35" i="209"/>
  <c r="AG35" i="209"/>
  <c r="AF35" i="209"/>
  <c r="AC33" i="209"/>
  <c r="AC94" i="209" s="1"/>
  <c r="AB33" i="209"/>
  <c r="AB94" i="209" s="1"/>
  <c r="AA33" i="209"/>
  <c r="AA94" i="209" s="1"/>
  <c r="Z33" i="209"/>
  <c r="Z94" i="209" s="1"/>
  <c r="Y33" i="209"/>
  <c r="Y94" i="209" s="1"/>
  <c r="X33" i="209"/>
  <c r="X94" i="209" s="1"/>
  <c r="W33" i="209"/>
  <c r="W94" i="209" s="1"/>
  <c r="V33" i="209"/>
  <c r="V94" i="209" s="1"/>
  <c r="U33" i="209"/>
  <c r="U94" i="209" s="1"/>
  <c r="T33" i="209"/>
  <c r="T94" i="209" s="1"/>
  <c r="S33" i="209"/>
  <c r="S94" i="209" s="1"/>
  <c r="R33" i="209"/>
  <c r="R94" i="209" s="1"/>
  <c r="Q33" i="209"/>
  <c r="Q94" i="209" s="1"/>
  <c r="P33" i="209"/>
  <c r="P94" i="209" s="1"/>
  <c r="O33" i="209"/>
  <c r="O94" i="209" s="1"/>
  <c r="N33" i="209"/>
  <c r="N94" i="209" s="1"/>
  <c r="M33" i="209"/>
  <c r="M94" i="209" s="1"/>
  <c r="L33" i="209"/>
  <c r="L94" i="209" s="1"/>
  <c r="K33" i="209"/>
  <c r="K94" i="209" s="1"/>
  <c r="J33" i="209"/>
  <c r="J94" i="209" s="1"/>
  <c r="I33" i="209"/>
  <c r="I94" i="209" s="1"/>
  <c r="H33" i="209"/>
  <c r="H94" i="209" s="1"/>
  <c r="G33" i="209"/>
  <c r="G94" i="209" s="1"/>
  <c r="F94" i="209"/>
  <c r="C33" i="209"/>
  <c r="B33" i="209"/>
  <c r="AH32" i="209"/>
  <c r="AG32" i="209"/>
  <c r="AF32" i="209"/>
  <c r="AI31" i="209"/>
  <c r="AC30" i="209"/>
  <c r="AC92" i="209" s="1"/>
  <c r="AB30" i="209"/>
  <c r="AB92" i="209" s="1"/>
  <c r="AA30" i="209"/>
  <c r="AA92" i="209" s="1"/>
  <c r="Z30" i="209"/>
  <c r="Z108" i="209" s="1"/>
  <c r="Y30" i="209"/>
  <c r="Y92" i="209" s="1"/>
  <c r="X30" i="209"/>
  <c r="X92" i="209" s="1"/>
  <c r="W30" i="209"/>
  <c r="V30" i="209"/>
  <c r="V92" i="209" s="1"/>
  <c r="U30" i="209"/>
  <c r="U92" i="209" s="1"/>
  <c r="T30" i="209"/>
  <c r="S30" i="209"/>
  <c r="R30" i="209"/>
  <c r="R92" i="209" s="1"/>
  <c r="Q30" i="209"/>
  <c r="Q92" i="209" s="1"/>
  <c r="P30" i="209"/>
  <c r="O30" i="209"/>
  <c r="O92" i="209" s="1"/>
  <c r="N30" i="209"/>
  <c r="N92" i="209" s="1"/>
  <c r="M30" i="209"/>
  <c r="M92" i="209" s="1"/>
  <c r="L30" i="209"/>
  <c r="L92" i="209" s="1"/>
  <c r="K30" i="209"/>
  <c r="K92" i="209" s="1"/>
  <c r="J30" i="209"/>
  <c r="J92" i="209" s="1"/>
  <c r="I30" i="209"/>
  <c r="I92" i="209" s="1"/>
  <c r="H30" i="209"/>
  <c r="H92" i="209" s="1"/>
  <c r="G30" i="209"/>
  <c r="G92" i="209" s="1"/>
  <c r="C30" i="209"/>
  <c r="B30" i="209"/>
  <c r="AH28" i="209"/>
  <c r="AG28" i="209"/>
  <c r="AF28" i="209"/>
  <c r="AH27" i="209"/>
  <c r="AG27" i="209"/>
  <c r="AF27" i="209"/>
  <c r="AI26" i="209"/>
  <c r="AC25" i="209"/>
  <c r="AB25" i="209"/>
  <c r="AA25" i="209"/>
  <c r="Z25" i="209"/>
  <c r="Y25" i="209"/>
  <c r="Y88" i="209" s="1"/>
  <c r="X25" i="209"/>
  <c r="X88" i="209" s="1"/>
  <c r="W25" i="209"/>
  <c r="W88" i="209" s="1"/>
  <c r="V25" i="209"/>
  <c r="U25" i="209"/>
  <c r="T25" i="209"/>
  <c r="S25" i="209"/>
  <c r="R25" i="209"/>
  <c r="Q25" i="209"/>
  <c r="P25" i="209"/>
  <c r="O25" i="209"/>
  <c r="N25" i="209"/>
  <c r="M25" i="209"/>
  <c r="L25" i="209"/>
  <c r="K25" i="209"/>
  <c r="J25" i="209"/>
  <c r="I25" i="209"/>
  <c r="H25" i="209"/>
  <c r="G25" i="209"/>
  <c r="C25" i="209"/>
  <c r="B25" i="209"/>
  <c r="AH24" i="209"/>
  <c r="AG24" i="209"/>
  <c r="AF24" i="209"/>
  <c r="AI23" i="209"/>
  <c r="AC22" i="209"/>
  <c r="AC88" i="209" s="1"/>
  <c r="AB22" i="209"/>
  <c r="AB88" i="209" s="1"/>
  <c r="AA22" i="209"/>
  <c r="Z22" i="209"/>
  <c r="Y22" i="209"/>
  <c r="X22" i="209"/>
  <c r="W22" i="209"/>
  <c r="V22" i="209"/>
  <c r="U22" i="209"/>
  <c r="T22" i="209"/>
  <c r="S22" i="209"/>
  <c r="R22" i="209"/>
  <c r="Q22" i="209"/>
  <c r="P22" i="209"/>
  <c r="P88" i="209" s="1"/>
  <c r="O22" i="209"/>
  <c r="O88" i="209" s="1"/>
  <c r="N22" i="209"/>
  <c r="N88" i="209" s="1"/>
  <c r="M22" i="209"/>
  <c r="M88" i="209" s="1"/>
  <c r="L22" i="209"/>
  <c r="L88" i="209" s="1"/>
  <c r="K22" i="209"/>
  <c r="K88" i="209" s="1"/>
  <c r="J22" i="209"/>
  <c r="I22" i="209"/>
  <c r="H22" i="209"/>
  <c r="H88" i="209" s="1"/>
  <c r="G22" i="209"/>
  <c r="C22" i="209"/>
  <c r="B22" i="209"/>
  <c r="AH21" i="209"/>
  <c r="AG21" i="209"/>
  <c r="AF21" i="209"/>
  <c r="AH20" i="209"/>
  <c r="AG20" i="209"/>
  <c r="AF20" i="209"/>
  <c r="AH19" i="209"/>
  <c r="AG19" i="209"/>
  <c r="AF19" i="209"/>
  <c r="AI18" i="209"/>
  <c r="AC17" i="209"/>
  <c r="AB17" i="209"/>
  <c r="AA17" i="209"/>
  <c r="AA90" i="209" s="1"/>
  <c r="Z17" i="209"/>
  <c r="Z90" i="209" s="1"/>
  <c r="Y17" i="209"/>
  <c r="X17" i="209"/>
  <c r="X90" i="209" s="1"/>
  <c r="W17" i="209"/>
  <c r="W90" i="209" s="1"/>
  <c r="V17" i="209"/>
  <c r="V90" i="209" s="1"/>
  <c r="U17" i="209"/>
  <c r="U90" i="209" s="1"/>
  <c r="T17" i="209"/>
  <c r="T90" i="209" s="1"/>
  <c r="S17" i="209"/>
  <c r="S90" i="209" s="1"/>
  <c r="R17" i="209"/>
  <c r="Q17" i="209"/>
  <c r="P17" i="209"/>
  <c r="P90" i="209" s="1"/>
  <c r="O17" i="209"/>
  <c r="O90" i="209" s="1"/>
  <c r="N17" i="209"/>
  <c r="N90" i="209" s="1"/>
  <c r="M17" i="209"/>
  <c r="L17" i="209"/>
  <c r="K17" i="209"/>
  <c r="J17" i="209"/>
  <c r="I17" i="209"/>
  <c r="H17" i="209"/>
  <c r="H90" i="209" s="1"/>
  <c r="G17" i="209"/>
  <c r="C17" i="209"/>
  <c r="C82" i="209" s="1"/>
  <c r="B17" i="209"/>
  <c r="AH16" i="209"/>
  <c r="AG16" i="209"/>
  <c r="AF16" i="209"/>
  <c r="AH15" i="209"/>
  <c r="AG15" i="209"/>
  <c r="AF15" i="209"/>
  <c r="AH14" i="209"/>
  <c r="AG14" i="209"/>
  <c r="AF14" i="209"/>
  <c r="AH13" i="209"/>
  <c r="AG13" i="209"/>
  <c r="AF13" i="209"/>
  <c r="AI12" i="209"/>
  <c r="M9" i="209" a="1"/>
  <c r="M9" i="209" s="1"/>
  <c r="AE377" i="157"/>
  <c r="AB74" i="208"/>
  <c r="AB71" i="208"/>
  <c r="AB70" i="208"/>
  <c r="AB69" i="208"/>
  <c r="AB68" i="208"/>
  <c r="AB67" i="208"/>
  <c r="AB66" i="208"/>
  <c r="AB63" i="208"/>
  <c r="AB61" i="208"/>
  <c r="AE376" i="157"/>
  <c r="AA74" i="208"/>
  <c r="AA71" i="208"/>
  <c r="AA70" i="208"/>
  <c r="AA69" i="208"/>
  <c r="AA68" i="208"/>
  <c r="AA67" i="208"/>
  <c r="AA66" i="208"/>
  <c r="AA63" i="208"/>
  <c r="AA61" i="208"/>
  <c r="AE375" i="157"/>
  <c r="Z74" i="208"/>
  <c r="Z71" i="208"/>
  <c r="Z70" i="208"/>
  <c r="Z69" i="208"/>
  <c r="Z68" i="208"/>
  <c r="Z67" i="208"/>
  <c r="Z66" i="208"/>
  <c r="Z63" i="208"/>
  <c r="Z61" i="208"/>
  <c r="AE374" i="157"/>
  <c r="Y74" i="208"/>
  <c r="Y71" i="208"/>
  <c r="Y70" i="208"/>
  <c r="Y69" i="208"/>
  <c r="Y68" i="208"/>
  <c r="Y67" i="208"/>
  <c r="Y66" i="208"/>
  <c r="Y63" i="208"/>
  <c r="Y61" i="208"/>
  <c r="F885" i="88"/>
  <c r="AE373" i="157"/>
  <c r="X74" i="208"/>
  <c r="X71" i="208"/>
  <c r="X70" i="208"/>
  <c r="X69" i="208"/>
  <c r="X68" i="208"/>
  <c r="X67" i="208"/>
  <c r="X66" i="208"/>
  <c r="X63" i="208"/>
  <c r="X61" i="208"/>
  <c r="F880" i="88"/>
  <c r="V61" i="208"/>
  <c r="U61" i="208"/>
  <c r="T61" i="208"/>
  <c r="S61" i="208"/>
  <c r="R61" i="208"/>
  <c r="AE372" i="157"/>
  <c r="W74" i="208"/>
  <c r="W71" i="208"/>
  <c r="W70" i="208"/>
  <c r="W69" i="208"/>
  <c r="W68" i="208"/>
  <c r="W67" i="208"/>
  <c r="W66" i="208"/>
  <c r="BC382" i="157" a="1"/>
  <c r="AV388" i="157" a="1"/>
  <c r="AQ394" i="157" a="1"/>
  <c r="BK394" i="157" a="1"/>
  <c r="BK382" i="157" a="1"/>
  <c r="BK390" i="157" a="1"/>
  <c r="AN398" i="157" a="1"/>
  <c r="BG394" i="157" a="1"/>
  <c r="J394" i="157" a="1"/>
  <c r="AN401" i="157" a="1"/>
  <c r="V390" i="157" a="1"/>
  <c r="AQ399" i="157" a="1"/>
  <c r="J398" i="157" a="1"/>
  <c r="BC395" i="157" a="1"/>
  <c r="BG395" i="157" a="1"/>
  <c r="R391" i="157" a="1"/>
  <c r="AH387" i="157" a="1"/>
  <c r="AN400" i="157" a="1"/>
  <c r="G402" i="157" a="1"/>
  <c r="G392" i="157" a="1"/>
  <c r="BK385" i="157" a="1"/>
  <c r="V401" i="157" a="1"/>
  <c r="BC397" i="157" a="1"/>
  <c r="AN397" i="157" a="1"/>
  <c r="Z402" i="157" a="1"/>
  <c r="AD397" i="157" a="1"/>
  <c r="AN402" i="157" a="1"/>
  <c r="AQ395" i="157" a="1"/>
  <c r="AH397" i="157" a="1"/>
  <c r="BG385" i="157" a="1"/>
  <c r="AH393" i="157" a="1"/>
  <c r="AZ386" i="157" a="1"/>
  <c r="AV393" i="157" a="1"/>
  <c r="AV387" i="157" a="1"/>
  <c r="G388" i="157" a="1"/>
  <c r="BG403" i="157" a="1"/>
  <c r="R400" i="157" a="1"/>
  <c r="BG382" i="157" a="1"/>
  <c r="AD402" i="157" a="1"/>
  <c r="AV402" i="157" a="1"/>
  <c r="Z403" i="157" a="1"/>
  <c r="G393" i="157" a="1"/>
  <c r="G398" i="157" a="1"/>
  <c r="Z396" i="157" a="1"/>
  <c r="AD388" i="157" a="1"/>
  <c r="AV390" i="157" a="1"/>
  <c r="G389" i="157" a="1"/>
  <c r="G397" i="157" a="1"/>
  <c r="Z400" i="157" a="1"/>
  <c r="V402" i="157" a="1"/>
  <c r="AZ392" i="157" a="1"/>
  <c r="AN371" i="157" a="1"/>
  <c r="N400" i="157" a="1"/>
  <c r="BC390" i="157" a="1"/>
  <c r="AD399" i="157" a="1"/>
  <c r="AD391" i="157" a="1"/>
  <c r="AH401" i="157" a="1"/>
  <c r="AV386" i="157" a="1"/>
  <c r="BK398" i="157" a="1"/>
  <c r="BK387" i="157" a="1"/>
  <c r="BC403" i="157" a="1"/>
  <c r="AV391" i="157" a="1"/>
  <c r="J390" i="157" a="1"/>
  <c r="J388" i="157" a="1"/>
  <c r="J402" i="157" a="1"/>
  <c r="BG389" i="157" a="1"/>
  <c r="Z387" i="157" a="1"/>
  <c r="AZ382" i="157" a="1"/>
  <c r="BK381" i="157" a="1"/>
  <c r="J393" i="157" a="1"/>
  <c r="N389" i="157" a="1"/>
  <c r="V397" i="157" a="1"/>
  <c r="AH395" i="157" a="1"/>
  <c r="J387" i="157" a="1"/>
  <c r="Z401" i="157" a="1"/>
  <c r="Z391" i="157" a="1"/>
  <c r="AV399" i="157" a="1"/>
  <c r="AN390" i="157" a="1"/>
  <c r="AZ399" i="157" a="1"/>
  <c r="AH391" i="157" a="1"/>
  <c r="J386" i="157" a="1"/>
  <c r="J391" i="157" a="1"/>
  <c r="AQ396" i="157" a="1"/>
  <c r="AD394" i="157" a="1"/>
  <c r="V398" i="157" a="1"/>
  <c r="BG398" i="157" a="1"/>
  <c r="Z392" i="157" a="1"/>
  <c r="BC389" i="157" a="1"/>
  <c r="V393" i="157" a="1"/>
  <c r="AZ389" i="157" a="1"/>
  <c r="AN389" i="157" a="1"/>
  <c r="BG388" i="157" a="1"/>
  <c r="AD390" i="157" a="1"/>
  <c r="BC391" i="157" a="1"/>
  <c r="BC402" i="157" a="1"/>
  <c r="AQ389" i="157" a="1"/>
  <c r="R393" i="157" a="1"/>
  <c r="G400" i="157" a="1"/>
  <c r="AV394" i="157" a="1"/>
  <c r="BK402" i="157" a="1"/>
  <c r="BK403" i="157" a="1"/>
  <c r="AZ385" i="157" a="1"/>
  <c r="AV389" i="157" a="1"/>
  <c r="AQ403" i="157" a="1"/>
  <c r="V389" i="157" a="1"/>
  <c r="N399" i="157" a="1"/>
  <c r="BK400" i="157" a="1"/>
  <c r="AH390" i="157" a="1"/>
  <c r="Z395" i="157" a="1"/>
  <c r="BC398" i="157" a="1"/>
  <c r="AH398" i="157" a="1"/>
  <c r="AH402" i="157" a="1"/>
  <c r="N391" i="157" a="1"/>
  <c r="AV400" i="157" a="1"/>
  <c r="BC381" i="157" a="1"/>
  <c r="J403" i="157" a="1"/>
  <c r="AZ391" i="157" a="1"/>
  <c r="N387" i="157" a="1"/>
  <c r="BK389" i="157" a="1"/>
  <c r="AH389" i="157" a="1"/>
  <c r="AD387" i="157" a="1"/>
  <c r="AZ398" i="157" a="1"/>
  <c r="G387" i="157" a="1"/>
  <c r="J400" i="157" a="1"/>
  <c r="BG386" i="157" a="1"/>
  <c r="Z398" i="157" a="1"/>
  <c r="BG402" i="157" a="1"/>
  <c r="BC396" i="157" a="1"/>
  <c r="BC386" i="157" a="1"/>
  <c r="AQ400" i="157" a="1"/>
  <c r="BC401" i="157" a="1"/>
  <c r="Z389" i="157" a="1"/>
  <c r="Z388" i="157" a="1"/>
  <c r="BG399" i="157" a="1"/>
  <c r="N397" i="157" a="1"/>
  <c r="BC400" i="157" a="1"/>
  <c r="BG400" i="157" a="1"/>
  <c r="AZ400" i="157" a="1"/>
  <c r="BC385" i="157" a="1"/>
  <c r="AZ397" i="157" a="1"/>
  <c r="N395" i="157" a="1"/>
  <c r="V395" i="157" a="1"/>
  <c r="Z390" i="157" a="1"/>
  <c r="V396" i="157" a="1"/>
  <c r="AD392" i="157" a="1"/>
  <c r="AD386" i="157" a="1"/>
  <c r="J396" i="157" a="1"/>
  <c r="BK393" i="157" a="1"/>
  <c r="AZ396" i="157" a="1"/>
  <c r="AN395" i="157" a="1"/>
  <c r="Z394" i="157" a="1"/>
  <c r="V391" i="157" a="1"/>
  <c r="V386" i="157" a="1"/>
  <c r="AN399" i="157" a="1"/>
  <c r="R387" i="157" a="1"/>
  <c r="AN403" i="157" a="1"/>
  <c r="BK391" i="157" a="1"/>
  <c r="G391" i="157" a="1"/>
  <c r="BK401" i="157" a="1"/>
  <c r="N386" i="157" a="1"/>
  <c r="R399" i="157" a="1"/>
  <c r="AZ393" i="157" a="1"/>
  <c r="N394" i="157" a="1"/>
  <c r="AQ398" i="157" a="1"/>
  <c r="Z399" i="157" a="1"/>
  <c r="G395" i="157" a="1"/>
  <c r="AD400" i="157" a="1"/>
  <c r="AN396" i="157" a="1"/>
  <c r="Z393" i="157" a="1"/>
  <c r="AD393" i="157" a="1"/>
  <c r="N402" i="157" a="1"/>
  <c r="AN388" i="157" a="1"/>
  <c r="AH388" i="157" a="1"/>
  <c r="AZ381" i="157" a="1"/>
  <c r="AZ383" i="157" a="1"/>
  <c r="R390" i="157" a="1"/>
  <c r="AN393" i="157" a="1"/>
  <c r="AD403" i="157" a="1"/>
  <c r="AH394" i="157" a="1"/>
  <c r="R397" i="157" a="1"/>
  <c r="N396" i="157" a="1"/>
  <c r="BG396" i="157" a="1"/>
  <c r="AQ392" i="157" a="1"/>
  <c r="BK388" i="157" a="1"/>
  <c r="V399" i="157" a="1"/>
  <c r="R388" i="157" a="1"/>
  <c r="G403" i="157" a="1"/>
  <c r="N388" i="157" a="1"/>
  <c r="R401" i="157" a="1"/>
  <c r="BG391" i="157" a="1"/>
  <c r="AN391" i="157" a="1"/>
  <c r="R392" i="157" a="1"/>
  <c r="R396" i="157" a="1"/>
  <c r="Z386" i="157" a="1"/>
  <c r="AZ384" i="157" a="1"/>
  <c r="BC399" i="157" a="1"/>
  <c r="G390" i="157" a="1"/>
  <c r="R394" i="157" a="1"/>
  <c r="Z397" i="157" a="1"/>
  <c r="BK383" i="157" a="1"/>
  <c r="BC387" i="157" a="1"/>
  <c r="AQ393" i="157" a="1"/>
  <c r="AZ403" i="157" a="1"/>
  <c r="BG393" i="157" a="1"/>
  <c r="J395" i="157" a="1"/>
  <c r="N398" i="157" a="1"/>
  <c r="AQ401" i="157" a="1"/>
  <c r="AH392" i="157" a="1"/>
  <c r="R403" i="157" a="1"/>
  <c r="V400" i="157" a="1"/>
  <c r="AD398" i="157" a="1"/>
  <c r="AN392" i="157" a="1"/>
  <c r="BK392" i="157" a="1"/>
  <c r="AV396" i="157" a="1"/>
  <c r="AV385" i="157" a="1"/>
  <c r="AH396" i="157" a="1"/>
  <c r="R395" i="157" a="1"/>
  <c r="AN386" i="157" a="1"/>
  <c r="AV392" i="157" a="1"/>
  <c r="AQ390" i="157" a="1"/>
  <c r="AV397" i="157" a="1"/>
  <c r="V392" i="157" a="1"/>
  <c r="G399" i="157" a="1"/>
  <c r="AD395" i="157" a="1"/>
  <c r="J389" i="157" a="1"/>
  <c r="V394" i="157" a="1"/>
  <c r="AH403" i="157" a="1"/>
  <c r="V403" i="157" a="1"/>
  <c r="BG381" i="157" a="1"/>
  <c r="R398" i="157" a="1"/>
  <c r="J401" i="157" a="1"/>
  <c r="AH386" i="157" a="1"/>
  <c r="J397" i="157" a="1"/>
  <c r="G394" i="157" a="1"/>
  <c r="AQ402" i="157" a="1"/>
  <c r="AZ388" i="157" a="1"/>
  <c r="BG392" i="157" a="1"/>
  <c r="AQ397" i="157" a="1"/>
  <c r="N403" i="157" a="1"/>
  <c r="AV398" i="157" a="1"/>
  <c r="AZ401" i="157" a="1"/>
  <c r="AZ395" i="157" a="1"/>
  <c r="BG401" i="157" a="1"/>
  <c r="G386" i="157" a="1"/>
  <c r="BG390" i="157" a="1"/>
  <c r="AQ386" i="157" a="1"/>
  <c r="BG387" i="157" a="1"/>
  <c r="N390" i="157" a="1"/>
  <c r="R402" i="157" a="1"/>
  <c r="BG397" i="157" a="1"/>
  <c r="AZ387" i="157" a="1"/>
  <c r="G401" i="157" a="1"/>
  <c r="N393" i="157" a="1"/>
  <c r="N392" i="157" a="1"/>
  <c r="AD396" i="157" a="1"/>
  <c r="BC388" i="157" a="1"/>
  <c r="AQ388" i="157" a="1"/>
  <c r="BC394" i="157" a="1"/>
  <c r="AQ391" i="157" a="1"/>
  <c r="V388" i="157" a="1"/>
  <c r="AD389" i="157" a="1"/>
  <c r="R389" i="157" a="1"/>
  <c r="AH400" i="157" a="1"/>
  <c r="J392" i="157" a="1"/>
  <c r="AD401" i="157" a="1"/>
  <c r="AQ387" i="157" a="1"/>
  <c r="AN394" i="157" a="1"/>
  <c r="AH399" i="157" a="1"/>
  <c r="AN387" i="157" a="1"/>
  <c r="AV403" i="157" a="1"/>
  <c r="BC383" i="157" a="1"/>
  <c r="J399" i="157" a="1"/>
  <c r="BK386" i="157" a="1"/>
  <c r="R386" i="157" a="1"/>
  <c r="BG384" i="157" a="1"/>
  <c r="AV401" i="157" a="1"/>
  <c r="N401" i="157" a="1"/>
  <c r="AV395" i="157" a="1"/>
  <c r="AZ402" i="157" a="1"/>
  <c r="V387" i="157" a="1"/>
  <c r="AD401" i="157" l="1"/>
  <c r="G386" i="157"/>
  <c r="Z401" i="157"/>
  <c r="AH399" i="157"/>
  <c r="AQ397" i="157"/>
  <c r="AV396" i="157"/>
  <c r="G395" i="157"/>
  <c r="Z390" i="157"/>
  <c r="AN387" i="157"/>
  <c r="AQ386" i="157"/>
  <c r="AV385" i="157"/>
  <c r="N403" i="157"/>
  <c r="R402" i="157"/>
  <c r="V401" i="157"/>
  <c r="Z400" i="157"/>
  <c r="AD399" i="157"/>
  <c r="AH398" i="157"/>
  <c r="AN397" i="157"/>
  <c r="AQ396" i="157"/>
  <c r="AQ395" i="157"/>
  <c r="AV394" i="157"/>
  <c r="G394" i="157"/>
  <c r="J393" i="157"/>
  <c r="N392" i="157"/>
  <c r="R391" i="157"/>
  <c r="V390" i="157"/>
  <c r="Z389" i="157"/>
  <c r="AD388" i="157"/>
  <c r="AH387" i="157"/>
  <c r="AN386" i="157"/>
  <c r="AV397" i="157"/>
  <c r="AH400" i="157"/>
  <c r="AQ387" i="157"/>
  <c r="AH388" i="157"/>
  <c r="N402" i="157"/>
  <c r="R390" i="157"/>
  <c r="AV403" i="157"/>
  <c r="J402" i="157"/>
  <c r="N401" i="157"/>
  <c r="R400" i="157"/>
  <c r="Z398" i="157"/>
  <c r="AD397" i="157"/>
  <c r="AH396" i="157"/>
  <c r="AH395" i="157"/>
  <c r="AN394" i="157"/>
  <c r="AQ393" i="157"/>
  <c r="AV392" i="157"/>
  <c r="G392" i="157"/>
  <c r="J391" i="157"/>
  <c r="N390" i="157"/>
  <c r="R389" i="157"/>
  <c r="V388" i="157"/>
  <c r="Z387" i="157"/>
  <c r="AD386" i="157"/>
  <c r="Z402" i="157"/>
  <c r="AV386" i="157"/>
  <c r="R403" i="157"/>
  <c r="AD389" i="157"/>
  <c r="J403" i="157"/>
  <c r="V389" i="157"/>
  <c r="G403" i="157"/>
  <c r="V399" i="157"/>
  <c r="V392" i="157"/>
  <c r="V391" i="157"/>
  <c r="N391" i="157"/>
  <c r="AQ403" i="157"/>
  <c r="AV402" i="157"/>
  <c r="G402" i="157"/>
  <c r="N400" i="157"/>
  <c r="R399" i="157"/>
  <c r="V398" i="157"/>
  <c r="Z397" i="157"/>
  <c r="AD396" i="157"/>
  <c r="AD395" i="157"/>
  <c r="AH394" i="157"/>
  <c r="AN393" i="157"/>
  <c r="AQ392" i="157"/>
  <c r="AV391" i="157"/>
  <c r="G391" i="157"/>
  <c r="J390" i="157"/>
  <c r="N389" i="157"/>
  <c r="R388" i="157"/>
  <c r="V387" i="157"/>
  <c r="Z386" i="157"/>
  <c r="R393" i="157"/>
  <c r="J392" i="157"/>
  <c r="J401" i="157"/>
  <c r="J395" i="157"/>
  <c r="AD400" i="157"/>
  <c r="Z399" i="157"/>
  <c r="AQ402" i="157"/>
  <c r="G401" i="157"/>
  <c r="J400" i="157"/>
  <c r="N399" i="157"/>
  <c r="R398" i="157"/>
  <c r="V397" i="157"/>
  <c r="Z396" i="157"/>
  <c r="Z395" i="157"/>
  <c r="AD394" i="157"/>
  <c r="AH393" i="157"/>
  <c r="AN392" i="157"/>
  <c r="AQ391" i="157"/>
  <c r="AV390" i="157"/>
  <c r="G390" i="157"/>
  <c r="J389" i="157"/>
  <c r="N388" i="157"/>
  <c r="R387" i="157"/>
  <c r="V386" i="157"/>
  <c r="N394" i="157"/>
  <c r="G393" i="157"/>
  <c r="AV401" i="157"/>
  <c r="J396" i="157"/>
  <c r="AN398" i="157"/>
  <c r="AQ394" i="157"/>
  <c r="AN402" i="157"/>
  <c r="J399" i="157"/>
  <c r="N398" i="157"/>
  <c r="R397" i="157"/>
  <c r="V396" i="157"/>
  <c r="V395" i="157"/>
  <c r="Z394" i="157"/>
  <c r="AD393" i="157"/>
  <c r="AH392" i="157"/>
  <c r="AN391" i="157"/>
  <c r="AQ390" i="157"/>
  <c r="AV389" i="157"/>
  <c r="G389" i="157"/>
  <c r="J388" i="157"/>
  <c r="N387" i="157"/>
  <c r="R386" i="157"/>
  <c r="V403" i="157"/>
  <c r="G397" i="157"/>
  <c r="AN388" i="157"/>
  <c r="J394" i="157"/>
  <c r="R401" i="157"/>
  <c r="AN396" i="157"/>
  <c r="AD387" i="157"/>
  <c r="AH403" i="157"/>
  <c r="AQ398" i="157"/>
  <c r="AH389" i="157"/>
  <c r="V402" i="157"/>
  <c r="R392" i="157"/>
  <c r="V400" i="157"/>
  <c r="AN395" i="157"/>
  <c r="AH386" i="157"/>
  <c r="AN403" i="157"/>
  <c r="G400" i="157"/>
  <c r="AD403" i="157"/>
  <c r="AH402" i="157"/>
  <c r="AN401" i="157"/>
  <c r="AQ400" i="157"/>
  <c r="AV399" i="157"/>
  <c r="G399" i="157"/>
  <c r="J398" i="157"/>
  <c r="N397" i="157"/>
  <c r="R396" i="157"/>
  <c r="R395" i="157"/>
  <c r="V394" i="157"/>
  <c r="Z393" i="157"/>
  <c r="AD392" i="157"/>
  <c r="AH391" i="157"/>
  <c r="AN390" i="157"/>
  <c r="AQ389" i="157"/>
  <c r="AV388" i="157"/>
  <c r="G388" i="157"/>
  <c r="J387" i="157"/>
  <c r="N386" i="157"/>
  <c r="AN399" i="157"/>
  <c r="AD390" i="157"/>
  <c r="N393" i="157"/>
  <c r="AH397" i="157"/>
  <c r="Z388" i="157"/>
  <c r="AQ401" i="157"/>
  <c r="Z391" i="157"/>
  <c r="AV395" i="157"/>
  <c r="AD398" i="157"/>
  <c r="AV393" i="157"/>
  <c r="AV400" i="157"/>
  <c r="Z403" i="157"/>
  <c r="AD402" i="157"/>
  <c r="AH401" i="157"/>
  <c r="AN400" i="157"/>
  <c r="AQ399" i="157"/>
  <c r="AV398" i="157"/>
  <c r="G398" i="157"/>
  <c r="J397" i="157"/>
  <c r="N396" i="157"/>
  <c r="N395" i="157"/>
  <c r="R394" i="157"/>
  <c r="V393" i="157"/>
  <c r="Z392" i="157"/>
  <c r="AD391" i="157"/>
  <c r="AH390" i="157"/>
  <c r="AN389" i="157"/>
  <c r="AQ388" i="157"/>
  <c r="AV387" i="157"/>
  <c r="G387" i="157"/>
  <c r="J386" i="157"/>
  <c r="BG403" i="157"/>
  <c r="AC99" i="209"/>
  <c r="BK403" i="157"/>
  <c r="AC98" i="209"/>
  <c r="BC403" i="157"/>
  <c r="AC97" i="209"/>
  <c r="AZ403" i="157"/>
  <c r="AC96" i="209"/>
  <c r="BG402" i="157"/>
  <c r="AB99" i="209"/>
  <c r="BK402" i="157"/>
  <c r="AB98" i="209"/>
  <c r="BC402" i="157"/>
  <c r="AZ402" i="157"/>
  <c r="AB96" i="209"/>
  <c r="BG401" i="157"/>
  <c r="BK401" i="157"/>
  <c r="AA98" i="209"/>
  <c r="BC401" i="157"/>
  <c r="AA97" i="209"/>
  <c r="AZ401" i="157"/>
  <c r="BG400" i="157"/>
  <c r="Z99" i="209"/>
  <c r="BK400" i="157"/>
  <c r="Z98" i="209"/>
  <c r="BC400" i="157"/>
  <c r="Z97" i="209"/>
  <c r="AZ400" i="157"/>
  <c r="Z96" i="209"/>
  <c r="BG399" i="157"/>
  <c r="Y99" i="209"/>
  <c r="BC399" i="157"/>
  <c r="Y97" i="209"/>
  <c r="AZ399" i="157"/>
  <c r="Y96" i="209"/>
  <c r="BG398" i="157"/>
  <c r="X99" i="209"/>
  <c r="BK398" i="157"/>
  <c r="X98" i="209"/>
  <c r="BC398" i="157"/>
  <c r="X97" i="209"/>
  <c r="AZ398" i="157"/>
  <c r="X96" i="209"/>
  <c r="BG397" i="157"/>
  <c r="W99" i="209"/>
  <c r="BC397" i="157"/>
  <c r="AZ397" i="157"/>
  <c r="W96" i="209"/>
  <c r="BG396" i="157"/>
  <c r="V99" i="209"/>
  <c r="BC396" i="157"/>
  <c r="V97" i="209"/>
  <c r="AZ396" i="157"/>
  <c r="V96" i="209"/>
  <c r="BG395" i="157"/>
  <c r="U99" i="209"/>
  <c r="BC395" i="157"/>
  <c r="U97" i="209"/>
  <c r="AZ395" i="157"/>
  <c r="U96" i="209"/>
  <c r="BG394" i="157"/>
  <c r="T99" i="209"/>
  <c r="BK394" i="157"/>
  <c r="T98" i="209"/>
  <c r="BC394" i="157"/>
  <c r="T97" i="209"/>
  <c r="T107" i="209"/>
  <c r="BG393" i="157"/>
  <c r="S99" i="209"/>
  <c r="BK393" i="157"/>
  <c r="S98" i="209"/>
  <c r="AZ393" i="157"/>
  <c r="S96" i="209"/>
  <c r="BG392" i="157"/>
  <c r="R99" i="209"/>
  <c r="BK392" i="157"/>
  <c r="R98" i="209"/>
  <c r="AZ392" i="157"/>
  <c r="R96" i="209"/>
  <c r="BG391" i="157"/>
  <c r="Q99" i="209"/>
  <c r="BK391" i="157"/>
  <c r="Q98" i="209"/>
  <c r="BC391" i="157"/>
  <c r="Q97" i="209"/>
  <c r="AZ391" i="157"/>
  <c r="Q96" i="209"/>
  <c r="BG390" i="157"/>
  <c r="P99" i="209"/>
  <c r="BK390" i="157"/>
  <c r="P98" i="209"/>
  <c r="BC390" i="157"/>
  <c r="P97" i="209"/>
  <c r="BG389" i="157"/>
  <c r="O99" i="209"/>
  <c r="BK389" i="157"/>
  <c r="O98" i="209"/>
  <c r="BC389" i="157"/>
  <c r="O97" i="209"/>
  <c r="AZ389" i="157"/>
  <c r="O96" i="209"/>
  <c r="O107" i="209"/>
  <c r="BG388" i="157"/>
  <c r="N99" i="209"/>
  <c r="BK388" i="157"/>
  <c r="N98" i="209"/>
  <c r="BC388" i="157"/>
  <c r="N97" i="209"/>
  <c r="AZ388" i="157"/>
  <c r="N96" i="209"/>
  <c r="N107" i="209"/>
  <c r="BG387" i="157"/>
  <c r="M99" i="209"/>
  <c r="BK387" i="157"/>
  <c r="M98" i="209"/>
  <c r="BC387" i="157"/>
  <c r="M97" i="209"/>
  <c r="AZ387" i="157"/>
  <c r="M96" i="209"/>
  <c r="BG386" i="157"/>
  <c r="L99" i="209"/>
  <c r="BC386" i="157"/>
  <c r="BK386" i="157"/>
  <c r="L97" i="209"/>
  <c r="L98" i="209"/>
  <c r="AZ386" i="157"/>
  <c r="L96" i="209"/>
  <c r="BG385" i="157"/>
  <c r="K99" i="209"/>
  <c r="BK385" i="157"/>
  <c r="K98" i="209"/>
  <c r="BC385" i="157"/>
  <c r="K97" i="209"/>
  <c r="AZ385" i="157"/>
  <c r="K96" i="209"/>
  <c r="BG384" i="157"/>
  <c r="J99" i="209"/>
  <c r="AZ384" i="157"/>
  <c r="J96" i="209"/>
  <c r="J88" i="209"/>
  <c r="BK383" i="157"/>
  <c r="I98" i="209"/>
  <c r="BC383" i="157"/>
  <c r="I97" i="209"/>
  <c r="AZ383" i="157"/>
  <c r="I88" i="209"/>
  <c r="BG382" i="157"/>
  <c r="H99" i="209"/>
  <c r="BK382" i="157"/>
  <c r="BC382" i="157"/>
  <c r="H97" i="209"/>
  <c r="H101" i="209" s="1"/>
  <c r="H106" i="209" s="1"/>
  <c r="AZ382" i="157"/>
  <c r="BG381" i="157"/>
  <c r="G99" i="209"/>
  <c r="BK381" i="157"/>
  <c r="G98" i="209"/>
  <c r="BC381" i="157"/>
  <c r="G97" i="209"/>
  <c r="AZ381" i="157"/>
  <c r="G96" i="209"/>
  <c r="F108" i="209"/>
  <c r="Y107" i="209"/>
  <c r="AC82" i="209"/>
  <c r="F92" i="209"/>
  <c r="F107" i="209" s="1"/>
  <c r="Q108" i="209"/>
  <c r="Z92" i="209"/>
  <c r="Z107" i="209" s="1"/>
  <c r="AB107" i="209"/>
  <c r="V107" i="209"/>
  <c r="I82" i="209"/>
  <c r="W107" i="209"/>
  <c r="O108" i="209"/>
  <c r="V108" i="209"/>
  <c r="O101" i="209"/>
  <c r="O106" i="209" s="1"/>
  <c r="Q88" i="209"/>
  <c r="G88" i="209"/>
  <c r="AA88" i="209"/>
  <c r="U107" i="209"/>
  <c r="R88" i="209"/>
  <c r="S88" i="209"/>
  <c r="T88" i="209"/>
  <c r="W108" i="209"/>
  <c r="AA107" i="209"/>
  <c r="X108" i="209"/>
  <c r="H107" i="209"/>
  <c r="L82" i="209"/>
  <c r="AF67" i="209"/>
  <c r="AI65" i="209"/>
  <c r="AH71" i="209"/>
  <c r="J108" i="209"/>
  <c r="J90" i="209"/>
  <c r="J107" i="209" s="1"/>
  <c r="AF54" i="209"/>
  <c r="K82" i="209"/>
  <c r="K108" i="209"/>
  <c r="K90" i="209"/>
  <c r="K107" i="209" s="1"/>
  <c r="AH44" i="209"/>
  <c r="Z88" i="209"/>
  <c r="Z82" i="209"/>
  <c r="N108" i="209"/>
  <c r="M108" i="209"/>
  <c r="M90" i="209"/>
  <c r="AI60" i="209"/>
  <c r="W75" i="209"/>
  <c r="AG45" i="209"/>
  <c r="R64" i="209"/>
  <c r="AH61" i="209"/>
  <c r="AG61" i="209"/>
  <c r="AF61" i="209"/>
  <c r="P108" i="209"/>
  <c r="AH45" i="209"/>
  <c r="AG52" i="209"/>
  <c r="AF52" i="209"/>
  <c r="AH52" i="209"/>
  <c r="S64" i="209"/>
  <c r="J75" i="209"/>
  <c r="AF69" i="209"/>
  <c r="I108" i="209"/>
  <c r="I90" i="209"/>
  <c r="U75" i="209"/>
  <c r="F88" i="209"/>
  <c r="F82" i="209"/>
  <c r="U88" i="209"/>
  <c r="AF57" i="209"/>
  <c r="AG62" i="209"/>
  <c r="N82" i="209"/>
  <c r="AH67" i="209"/>
  <c r="AH69" i="209"/>
  <c r="AH70" i="209"/>
  <c r="AG70" i="209"/>
  <c r="AF63" i="209"/>
  <c r="R90" i="209"/>
  <c r="R107" i="209" s="1"/>
  <c r="AG67" i="209"/>
  <c r="AF68" i="209"/>
  <c r="G82" i="209"/>
  <c r="G108" i="209"/>
  <c r="H108" i="209"/>
  <c r="AB108" i="209"/>
  <c r="AH68" i="209"/>
  <c r="AF70" i="209"/>
  <c r="T59" i="209"/>
  <c r="AG54" i="209"/>
  <c r="L108" i="209"/>
  <c r="L90" i="209"/>
  <c r="G90" i="209"/>
  <c r="G107" i="209" s="1"/>
  <c r="H82" i="209"/>
  <c r="M82" i="209"/>
  <c r="R108" i="209"/>
  <c r="V88" i="209"/>
  <c r="S92" i="209"/>
  <c r="S107" i="209" s="1"/>
  <c r="S108" i="209"/>
  <c r="O82" i="209"/>
  <c r="T108" i="209"/>
  <c r="AH63" i="209"/>
  <c r="J64" i="209"/>
  <c r="Y75" i="209"/>
  <c r="X107" i="209"/>
  <c r="AF58" i="209"/>
  <c r="AH58" i="209"/>
  <c r="AG58" i="209"/>
  <c r="AF53" i="209"/>
  <c r="AA82" i="209"/>
  <c r="AA108" i="209"/>
  <c r="AG68" i="209"/>
  <c r="AC108" i="209"/>
  <c r="AC90" i="209"/>
  <c r="AC107" i="209" s="1"/>
  <c r="V75" i="209"/>
  <c r="P107" i="209"/>
  <c r="AF62" i="209"/>
  <c r="AH74" i="209"/>
  <c r="AG74" i="209"/>
  <c r="AF74" i="209"/>
  <c r="Q90" i="209"/>
  <c r="Q107" i="209" s="1"/>
  <c r="Q82" i="209"/>
  <c r="AH62" i="209"/>
  <c r="B82" i="209"/>
  <c r="X82" i="209"/>
  <c r="U108" i="209"/>
  <c r="P59" i="209"/>
  <c r="AB82" i="209"/>
  <c r="AI34" i="209"/>
  <c r="AF71" i="209"/>
  <c r="AG71" i="209"/>
  <c r="AF56" i="209"/>
  <c r="AG56" i="209"/>
  <c r="Y108" i="209"/>
  <c r="AN371" i="157"/>
  <c r="AE371" i="157"/>
  <c r="W75" i="208"/>
  <c r="W98" i="208" s="1"/>
  <c r="V74" i="208"/>
  <c r="V71" i="208"/>
  <c r="V70" i="208"/>
  <c r="V69" i="208"/>
  <c r="V68" i="208"/>
  <c r="V67" i="208"/>
  <c r="V75" i="208" s="1"/>
  <c r="V98" i="208" s="1"/>
  <c r="V66" i="208"/>
  <c r="V62" i="208"/>
  <c r="F874" i="88"/>
  <c r="AE370" i="157"/>
  <c r="U74" i="208"/>
  <c r="U71" i="208"/>
  <c r="U70" i="208"/>
  <c r="U69" i="208"/>
  <c r="U68" i="208"/>
  <c r="U67" i="208"/>
  <c r="U66" i="208"/>
  <c r="U62" i="208"/>
  <c r="F899" i="88"/>
  <c r="F894" i="88"/>
  <c r="F897" i="88"/>
  <c r="F893" i="88"/>
  <c r="F892" i="88"/>
  <c r="F898" i="88"/>
  <c r="F891" i="88"/>
  <c r="F884" i="88"/>
  <c r="AH74" i="208"/>
  <c r="AG53" i="208"/>
  <c r="AE369" i="157"/>
  <c r="T74" i="208"/>
  <c r="T71" i="208"/>
  <c r="T70" i="208"/>
  <c r="T69" i="208"/>
  <c r="T68" i="208"/>
  <c r="T67" i="208"/>
  <c r="T62" i="208"/>
  <c r="T58" i="208"/>
  <c r="T57" i="208"/>
  <c r="T56" i="208"/>
  <c r="T54" i="208"/>
  <c r="T53" i="208"/>
  <c r="T52" i="208"/>
  <c r="T45" i="208"/>
  <c r="T44" i="208"/>
  <c r="F900" i="88"/>
  <c r="AE368" i="157"/>
  <c r="S74" i="208"/>
  <c r="S71" i="208"/>
  <c r="S70" i="208"/>
  <c r="S69" i="208"/>
  <c r="S68" i="208"/>
  <c r="S67" i="208"/>
  <c r="S62" i="208"/>
  <c r="S44" i="208"/>
  <c r="S52" i="208"/>
  <c r="S53" i="208"/>
  <c r="S57" i="208"/>
  <c r="AG57" i="208" s="1"/>
  <c r="S58" i="208"/>
  <c r="AE367" i="157"/>
  <c r="R74" i="208"/>
  <c r="R71" i="208"/>
  <c r="R70" i="208"/>
  <c r="R69" i="208"/>
  <c r="R68" i="208"/>
  <c r="R67" i="208"/>
  <c r="R62" i="208"/>
  <c r="F890" i="88"/>
  <c r="R64" i="208"/>
  <c r="R44" i="208"/>
  <c r="R52" i="208"/>
  <c r="R53" i="208"/>
  <c r="AH53" i="208" s="1"/>
  <c r="R57" i="208"/>
  <c r="R58" i="208"/>
  <c r="AE366" i="157"/>
  <c r="Q74" i="208"/>
  <c r="Q71" i="208"/>
  <c r="Q70" i="208"/>
  <c r="Q69" i="208"/>
  <c r="Q68" i="208"/>
  <c r="Q67" i="208"/>
  <c r="Q63" i="208"/>
  <c r="Q62" i="208"/>
  <c r="Q44" i="208"/>
  <c r="AF44" i="208" s="1"/>
  <c r="Q75" i="208"/>
  <c r="Q98" i="208" s="1"/>
  <c r="Q52" i="208"/>
  <c r="Q53" i="208"/>
  <c r="Q54" i="208"/>
  <c r="Q57" i="208"/>
  <c r="Q58" i="208"/>
  <c r="AE365" i="157"/>
  <c r="P74" i="208"/>
  <c r="P71" i="208"/>
  <c r="P70" i="208"/>
  <c r="P69" i="208"/>
  <c r="P68" i="208"/>
  <c r="P67" i="208"/>
  <c r="P63" i="208"/>
  <c r="P62" i="208"/>
  <c r="P58" i="208"/>
  <c r="P57" i="208"/>
  <c r="AH57" i="208" s="1"/>
  <c r="P54" i="208"/>
  <c r="P53" i="208"/>
  <c r="P52" i="208"/>
  <c r="F877" i="88"/>
  <c r="F895" i="88"/>
  <c r="F878" i="88"/>
  <c r="P75" i="208"/>
  <c r="P98" i="208" s="1"/>
  <c r="P64" i="208"/>
  <c r="P97" i="208" s="1"/>
  <c r="AE364" i="157"/>
  <c r="O71" i="208"/>
  <c r="O70" i="208"/>
  <c r="O69" i="208"/>
  <c r="AG69" i="208" s="1"/>
  <c r="O68" i="208"/>
  <c r="O67" i="208"/>
  <c r="O75" i="208" s="1"/>
  <c r="O98" i="208" s="1"/>
  <c r="O63" i="208"/>
  <c r="O62" i="208"/>
  <c r="F888" i="88"/>
  <c r="F882" i="88"/>
  <c r="F887" i="88"/>
  <c r="F889" i="88"/>
  <c r="F879" i="88"/>
  <c r="N71" i="208"/>
  <c r="N70" i="208"/>
  <c r="N68" i="208"/>
  <c r="N67" i="208"/>
  <c r="F876" i="88"/>
  <c r="N64" i="208"/>
  <c r="N97" i="208" s="1"/>
  <c r="M71" i="208"/>
  <c r="M70" i="208"/>
  <c r="M68" i="208"/>
  <c r="M67" i="208"/>
  <c r="M75" i="208" s="1"/>
  <c r="M98" i="208" s="1"/>
  <c r="M63" i="208"/>
  <c r="M62" i="208"/>
  <c r="L71" i="208"/>
  <c r="L70" i="208"/>
  <c r="L68" i="208"/>
  <c r="L67" i="208"/>
  <c r="K62" i="208"/>
  <c r="J62" i="208"/>
  <c r="AH62" i="208" s="1"/>
  <c r="K71" i="208"/>
  <c r="K70" i="208"/>
  <c r="K68" i="208"/>
  <c r="K67" i="208"/>
  <c r="K63" i="208"/>
  <c r="J71" i="208"/>
  <c r="J70" i="208"/>
  <c r="J68" i="208"/>
  <c r="J67" i="208"/>
  <c r="J75" i="208" s="1"/>
  <c r="J98" i="208" s="1"/>
  <c r="J63" i="208"/>
  <c r="K75" i="208"/>
  <c r="K98" i="208" s="1"/>
  <c r="I71" i="208"/>
  <c r="I70" i="208"/>
  <c r="I68" i="208"/>
  <c r="I67" i="208"/>
  <c r="G104" i="208"/>
  <c r="G105" i="208" s="1"/>
  <c r="F104" i="208"/>
  <c r="F105" i="208" s="1"/>
  <c r="AE355" i="157"/>
  <c r="AE353" i="157"/>
  <c r="F75" i="208"/>
  <c r="F98" i="208" s="1"/>
  <c r="F64" i="208"/>
  <c r="F97" i="208" s="1"/>
  <c r="F59" i="208"/>
  <c r="F33" i="208"/>
  <c r="F30" i="208"/>
  <c r="F25" i="208"/>
  <c r="F22" i="208"/>
  <c r="F17" i="208"/>
  <c r="F90" i="208" s="1"/>
  <c r="AC125" i="208"/>
  <c r="AB125" i="208"/>
  <c r="AA125" i="208"/>
  <c r="Z125" i="208"/>
  <c r="Y125" i="208"/>
  <c r="X125" i="208"/>
  <c r="W125" i="208"/>
  <c r="V125" i="208"/>
  <c r="U125" i="208"/>
  <c r="T125" i="208"/>
  <c r="S125" i="208"/>
  <c r="R125" i="208"/>
  <c r="Q125" i="208"/>
  <c r="P125" i="208"/>
  <c r="O125" i="208"/>
  <c r="N125" i="208"/>
  <c r="M125" i="208"/>
  <c r="L125" i="208"/>
  <c r="K125" i="208"/>
  <c r="J125" i="208"/>
  <c r="I125" i="208"/>
  <c r="H125" i="208"/>
  <c r="G125" i="208"/>
  <c r="F125" i="208"/>
  <c r="AB105" i="208"/>
  <c r="AA105" i="208"/>
  <c r="Z105" i="208"/>
  <c r="Y105" i="208"/>
  <c r="X105" i="208"/>
  <c r="W105" i="208"/>
  <c r="V105" i="208"/>
  <c r="U105" i="208"/>
  <c r="T105" i="208"/>
  <c r="S105" i="208"/>
  <c r="R105" i="208"/>
  <c r="Q105" i="208"/>
  <c r="P105" i="208"/>
  <c r="O105" i="208"/>
  <c r="N105" i="208"/>
  <c r="M105" i="208"/>
  <c r="L105" i="208"/>
  <c r="K105" i="208"/>
  <c r="J105" i="208"/>
  <c r="I105" i="208"/>
  <c r="H105" i="208"/>
  <c r="AC105" i="208"/>
  <c r="AC100" i="208"/>
  <c r="AB100" i="208"/>
  <c r="AA100" i="208"/>
  <c r="Z100" i="208"/>
  <c r="Y100" i="208"/>
  <c r="X100" i="208"/>
  <c r="W100" i="208"/>
  <c r="V100" i="208"/>
  <c r="U100" i="208"/>
  <c r="T100" i="208"/>
  <c r="S100" i="208"/>
  <c r="R100" i="208"/>
  <c r="Q100" i="208"/>
  <c r="P100" i="208"/>
  <c r="O100" i="208"/>
  <c r="N100" i="208"/>
  <c r="M100" i="208"/>
  <c r="L100" i="208"/>
  <c r="K100" i="208"/>
  <c r="J100" i="208"/>
  <c r="I100" i="208"/>
  <c r="H100" i="208"/>
  <c r="G100" i="208"/>
  <c r="F100" i="208"/>
  <c r="I99" i="208"/>
  <c r="F96" i="208"/>
  <c r="V94" i="208"/>
  <c r="F94" i="208"/>
  <c r="K90" i="208"/>
  <c r="AC79" i="208"/>
  <c r="AC99" i="208" s="1"/>
  <c r="AB79" i="208"/>
  <c r="AB99" i="208" s="1"/>
  <c r="AA79" i="208"/>
  <c r="AA99" i="208" s="1"/>
  <c r="Z79" i="208"/>
  <c r="Z99" i="208" s="1"/>
  <c r="Y79" i="208"/>
  <c r="Y99" i="208" s="1"/>
  <c r="X79" i="208"/>
  <c r="X99" i="208" s="1"/>
  <c r="W79" i="208"/>
  <c r="W99" i="208" s="1"/>
  <c r="V79" i="208"/>
  <c r="V99" i="208" s="1"/>
  <c r="U79" i="208"/>
  <c r="U99" i="208" s="1"/>
  <c r="T79" i="208"/>
  <c r="T99" i="208" s="1"/>
  <c r="S79" i="208"/>
  <c r="S99" i="208" s="1"/>
  <c r="R79" i="208"/>
  <c r="R99" i="208" s="1"/>
  <c r="Q79" i="208"/>
  <c r="Q99" i="208" s="1"/>
  <c r="P79" i="208"/>
  <c r="P99" i="208" s="1"/>
  <c r="O79" i="208"/>
  <c r="O99" i="208" s="1"/>
  <c r="N79" i="208"/>
  <c r="N99" i="208" s="1"/>
  <c r="M79" i="208"/>
  <c r="M99" i="208" s="1"/>
  <c r="L79" i="208"/>
  <c r="L99" i="208" s="1"/>
  <c r="K79" i="208"/>
  <c r="K99" i="208" s="1"/>
  <c r="J79" i="208"/>
  <c r="J99" i="208" s="1"/>
  <c r="H79" i="208"/>
  <c r="H99" i="208" s="1"/>
  <c r="G79" i="208"/>
  <c r="G99" i="208" s="1"/>
  <c r="F79" i="208"/>
  <c r="F99" i="208" s="1"/>
  <c r="C79" i="208"/>
  <c r="AH78" i="208"/>
  <c r="AG78" i="208"/>
  <c r="AF78" i="208"/>
  <c r="AH77" i="208"/>
  <c r="AG77" i="208"/>
  <c r="AF77" i="208"/>
  <c r="AI76" i="208"/>
  <c r="AC75" i="208"/>
  <c r="AC98" i="208" s="1"/>
  <c r="T75" i="208"/>
  <c r="T98" i="208" s="1"/>
  <c r="S75" i="208"/>
  <c r="S98" i="208" s="1"/>
  <c r="R75" i="208"/>
  <c r="R98" i="208" s="1"/>
  <c r="N75" i="208"/>
  <c r="N98" i="208" s="1"/>
  <c r="H75" i="208"/>
  <c r="H98" i="208" s="1"/>
  <c r="G75" i="208"/>
  <c r="G98" i="208" s="1"/>
  <c r="C75" i="208"/>
  <c r="B75" i="208"/>
  <c r="B79" i="208" s="1"/>
  <c r="B25" i="208" s="1"/>
  <c r="AF74" i="208"/>
  <c r="AH73" i="208"/>
  <c r="AG73" i="208"/>
  <c r="AF73" i="208"/>
  <c r="AH72" i="208"/>
  <c r="AG72" i="208"/>
  <c r="AF72" i="208"/>
  <c r="AB75" i="208"/>
  <c r="AB98" i="208" s="1"/>
  <c r="AA75" i="208"/>
  <c r="AA98" i="208" s="1"/>
  <c r="Z75" i="208"/>
  <c r="Z98" i="208" s="1"/>
  <c r="Y75" i="208"/>
  <c r="Y98" i="208" s="1"/>
  <c r="X75" i="208"/>
  <c r="X98" i="208" s="1"/>
  <c r="AH66" i="208"/>
  <c r="AG66" i="208"/>
  <c r="AF66" i="208"/>
  <c r="AC64" i="208"/>
  <c r="AC97" i="208" s="1"/>
  <c r="Q64" i="208"/>
  <c r="I64" i="208"/>
  <c r="I97" i="208" s="1"/>
  <c r="H64" i="208"/>
  <c r="H97" i="208" s="1"/>
  <c r="G64" i="208"/>
  <c r="G97" i="208" s="1"/>
  <c r="C64" i="208"/>
  <c r="AA64" i="208"/>
  <c r="AA97" i="208" s="1"/>
  <c r="Z64" i="208"/>
  <c r="Z97" i="208" s="1"/>
  <c r="Y64" i="208"/>
  <c r="Y97" i="208" s="1"/>
  <c r="X64" i="208"/>
  <c r="X97" i="208" s="1"/>
  <c r="W64" i="208"/>
  <c r="W97" i="208" s="1"/>
  <c r="V64" i="208"/>
  <c r="V97" i="208" s="1"/>
  <c r="U64" i="208"/>
  <c r="U97" i="208" s="1"/>
  <c r="T64" i="208"/>
  <c r="T97" i="208" s="1"/>
  <c r="AB64" i="208"/>
  <c r="AB97" i="208" s="1"/>
  <c r="O64" i="208"/>
  <c r="M64" i="208"/>
  <c r="M97" i="208" s="1"/>
  <c r="L64" i="208"/>
  <c r="L97" i="208" s="1"/>
  <c r="AH61" i="208"/>
  <c r="AC59" i="208"/>
  <c r="AC96" i="208" s="1"/>
  <c r="AB59" i="208"/>
  <c r="AB96" i="208" s="1"/>
  <c r="AA59" i="208"/>
  <c r="AA96" i="208" s="1"/>
  <c r="Z59" i="208"/>
  <c r="Z96" i="208" s="1"/>
  <c r="Y59" i="208"/>
  <c r="Y96" i="208" s="1"/>
  <c r="X59" i="208"/>
  <c r="X96" i="208" s="1"/>
  <c r="W59" i="208"/>
  <c r="W96" i="208" s="1"/>
  <c r="U59" i="208"/>
  <c r="U96" i="208" s="1"/>
  <c r="S59" i="208"/>
  <c r="S96" i="208" s="1"/>
  <c r="R59" i="208"/>
  <c r="R96" i="208" s="1"/>
  <c r="P59" i="208"/>
  <c r="P96" i="208" s="1"/>
  <c r="O59" i="208"/>
  <c r="O96" i="208" s="1"/>
  <c r="N59" i="208"/>
  <c r="N96" i="208" s="1"/>
  <c r="M59" i="208"/>
  <c r="M96" i="208" s="1"/>
  <c r="L59" i="208"/>
  <c r="L96" i="208" s="1"/>
  <c r="K59" i="208"/>
  <c r="K96" i="208" s="1"/>
  <c r="J59" i="208"/>
  <c r="J96" i="208" s="1"/>
  <c r="I59" i="208"/>
  <c r="I96" i="208" s="1"/>
  <c r="H59" i="208"/>
  <c r="H96" i="208" s="1"/>
  <c r="G59" i="208"/>
  <c r="G96" i="208" s="1"/>
  <c r="C59" i="208"/>
  <c r="B59" i="208"/>
  <c r="B64" i="208" s="1"/>
  <c r="AG58" i="208"/>
  <c r="AF58" i="208"/>
  <c r="AF57" i="208"/>
  <c r="AH56" i="208"/>
  <c r="AG56" i="208"/>
  <c r="AF56" i="208"/>
  <c r="AH55" i="208"/>
  <c r="AG55" i="208"/>
  <c r="AF55" i="208"/>
  <c r="AH54" i="208"/>
  <c r="AG54" i="208"/>
  <c r="AF54" i="208"/>
  <c r="AH52" i="208"/>
  <c r="AG52" i="208"/>
  <c r="AF52" i="208"/>
  <c r="AN51" i="208"/>
  <c r="AH51" i="208"/>
  <c r="AG51" i="208"/>
  <c r="AF51" i="208"/>
  <c r="AH50" i="208"/>
  <c r="AG50" i="208"/>
  <c r="AF50" i="208"/>
  <c r="AH49" i="208"/>
  <c r="AG49" i="208"/>
  <c r="AF49" i="208"/>
  <c r="AH48" i="208"/>
  <c r="AG48" i="208"/>
  <c r="AF48" i="208"/>
  <c r="AH47" i="208"/>
  <c r="AG47" i="208"/>
  <c r="AF47" i="208"/>
  <c r="AH46" i="208"/>
  <c r="AG46" i="208"/>
  <c r="AF46" i="208"/>
  <c r="AH45" i="208"/>
  <c r="AG45" i="208"/>
  <c r="AF45" i="208"/>
  <c r="AH44" i="208"/>
  <c r="AG44" i="208"/>
  <c r="AF43" i="208"/>
  <c r="AH42" i="208"/>
  <c r="AG42" i="208"/>
  <c r="AF42" i="208"/>
  <c r="AH41" i="208"/>
  <c r="AG41" i="208"/>
  <c r="AF41" i="208"/>
  <c r="V59" i="208"/>
  <c r="V96" i="208" s="1"/>
  <c r="AH40" i="208"/>
  <c r="AG40" i="208"/>
  <c r="AF40" i="208"/>
  <c r="AH39" i="208"/>
  <c r="AG39" i="208"/>
  <c r="AF39" i="208"/>
  <c r="AH38" i="208"/>
  <c r="AG38" i="208"/>
  <c r="AF38" i="208"/>
  <c r="AH37" i="208"/>
  <c r="AG37" i="208"/>
  <c r="AF37" i="208"/>
  <c r="AH36" i="208"/>
  <c r="AG36" i="208"/>
  <c r="AF36" i="208"/>
  <c r="AH35" i="208"/>
  <c r="AG35" i="208"/>
  <c r="AF35" i="208"/>
  <c r="AC33" i="208"/>
  <c r="AC94" i="208" s="1"/>
  <c r="AB33" i="208"/>
  <c r="AB94" i="208" s="1"/>
  <c r="AA33" i="208"/>
  <c r="AA94" i="208" s="1"/>
  <c r="Z33" i="208"/>
  <c r="Z94" i="208" s="1"/>
  <c r="Y33" i="208"/>
  <c r="Y94" i="208" s="1"/>
  <c r="X33" i="208"/>
  <c r="X94" i="208" s="1"/>
  <c r="W33" i="208"/>
  <c r="W94" i="208" s="1"/>
  <c r="V33" i="208"/>
  <c r="U33" i="208"/>
  <c r="U94" i="208" s="1"/>
  <c r="T33" i="208"/>
  <c r="T94" i="208" s="1"/>
  <c r="S33" i="208"/>
  <c r="S94" i="208" s="1"/>
  <c r="R33" i="208"/>
  <c r="R94" i="208" s="1"/>
  <c r="Q33" i="208"/>
  <c r="Q94" i="208" s="1"/>
  <c r="P33" i="208"/>
  <c r="P94" i="208" s="1"/>
  <c r="O33" i="208"/>
  <c r="O94" i="208" s="1"/>
  <c r="N33" i="208"/>
  <c r="N94" i="208" s="1"/>
  <c r="M33" i="208"/>
  <c r="M94" i="208" s="1"/>
  <c r="L33" i="208"/>
  <c r="L94" i="208" s="1"/>
  <c r="K33" i="208"/>
  <c r="K94" i="208" s="1"/>
  <c r="J33" i="208"/>
  <c r="J94" i="208" s="1"/>
  <c r="I33" i="208"/>
  <c r="I94" i="208" s="1"/>
  <c r="H33" i="208"/>
  <c r="H94" i="208" s="1"/>
  <c r="G33" i="208"/>
  <c r="G94" i="208" s="1"/>
  <c r="C33" i="208"/>
  <c r="B33" i="208"/>
  <c r="AH32" i="208"/>
  <c r="AG32" i="208"/>
  <c r="AF32" i="208"/>
  <c r="AI31" i="208"/>
  <c r="AC30" i="208"/>
  <c r="AC92" i="208" s="1"/>
  <c r="AB30" i="208"/>
  <c r="AB92" i="208" s="1"/>
  <c r="AA30" i="208"/>
  <c r="AA92" i="208" s="1"/>
  <c r="Z30" i="208"/>
  <c r="Z92" i="208" s="1"/>
  <c r="Y30" i="208"/>
  <c r="Y92" i="208" s="1"/>
  <c r="X30" i="208"/>
  <c r="X92" i="208" s="1"/>
  <c r="W30" i="208"/>
  <c r="W92" i="208" s="1"/>
  <c r="V30" i="208"/>
  <c r="V92" i="208" s="1"/>
  <c r="U30" i="208"/>
  <c r="U92" i="208" s="1"/>
  <c r="T30" i="208"/>
  <c r="T92" i="208" s="1"/>
  <c r="S30" i="208"/>
  <c r="S92" i="208" s="1"/>
  <c r="R30" i="208"/>
  <c r="R92" i="208" s="1"/>
  <c r="Q30" i="208"/>
  <c r="Q92" i="208" s="1"/>
  <c r="P30" i="208"/>
  <c r="P92" i="208" s="1"/>
  <c r="O30" i="208"/>
  <c r="O92" i="208" s="1"/>
  <c r="N30" i="208"/>
  <c r="N92" i="208" s="1"/>
  <c r="M30" i="208"/>
  <c r="M92" i="208" s="1"/>
  <c r="L30" i="208"/>
  <c r="L92" i="208" s="1"/>
  <c r="K30" i="208"/>
  <c r="K92" i="208" s="1"/>
  <c r="J30" i="208"/>
  <c r="J92" i="208" s="1"/>
  <c r="I30" i="208"/>
  <c r="I92" i="208" s="1"/>
  <c r="H30" i="208"/>
  <c r="H92" i="208" s="1"/>
  <c r="G30" i="208"/>
  <c r="G92" i="208" s="1"/>
  <c r="F92" i="208"/>
  <c r="C30" i="208"/>
  <c r="B30" i="208"/>
  <c r="AH28" i="208"/>
  <c r="AG28" i="208"/>
  <c r="AF28" i="208"/>
  <c r="AH27" i="208"/>
  <c r="AG27" i="208"/>
  <c r="AF27" i="208"/>
  <c r="AI26" i="208"/>
  <c r="AC25" i="208"/>
  <c r="AB25" i="208"/>
  <c r="AA25" i="208"/>
  <c r="Z25" i="208"/>
  <c r="Y25" i="208"/>
  <c r="X25" i="208"/>
  <c r="W25" i="208"/>
  <c r="V25" i="208"/>
  <c r="U25" i="208"/>
  <c r="T25" i="208"/>
  <c r="S25" i="208"/>
  <c r="R25" i="208"/>
  <c r="Q25" i="208"/>
  <c r="P25" i="208"/>
  <c r="P88" i="208" s="1"/>
  <c r="O25" i="208"/>
  <c r="N25" i="208"/>
  <c r="M25" i="208"/>
  <c r="L25" i="208"/>
  <c r="K25" i="208"/>
  <c r="K88" i="208" s="1"/>
  <c r="J25" i="208"/>
  <c r="I25" i="208"/>
  <c r="H25" i="208"/>
  <c r="G25" i="208"/>
  <c r="C25" i="208"/>
  <c r="AH24" i="208"/>
  <c r="AG24" i="208"/>
  <c r="AF24" i="208"/>
  <c r="AI23" i="208"/>
  <c r="AC22" i="208"/>
  <c r="AB22" i="208"/>
  <c r="AB88" i="208" s="1"/>
  <c r="AA22" i="208"/>
  <c r="AA88" i="208" s="1"/>
  <c r="Z22" i="208"/>
  <c r="Y22" i="208"/>
  <c r="X22" i="208"/>
  <c r="X88" i="208" s="1"/>
  <c r="W22" i="208"/>
  <c r="V22" i="208"/>
  <c r="U22" i="208"/>
  <c r="T22" i="208"/>
  <c r="S22" i="208"/>
  <c r="R22" i="208"/>
  <c r="Q22" i="208"/>
  <c r="P22" i="208"/>
  <c r="O22" i="208"/>
  <c r="N22" i="208"/>
  <c r="M22" i="208"/>
  <c r="L22" i="208"/>
  <c r="K22" i="208"/>
  <c r="J22" i="208"/>
  <c r="I22" i="208"/>
  <c r="H22" i="208"/>
  <c r="H88" i="208" s="1"/>
  <c r="G22" i="208"/>
  <c r="F88" i="208"/>
  <c r="C22" i="208"/>
  <c r="B22" i="208"/>
  <c r="AH21" i="208"/>
  <c r="AG21" i="208"/>
  <c r="AF21" i="208"/>
  <c r="AH20" i="208"/>
  <c r="AG20" i="208"/>
  <c r="AF20" i="208"/>
  <c r="AH19" i="208"/>
  <c r="AG19" i="208"/>
  <c r="AF19" i="208"/>
  <c r="AI18" i="208"/>
  <c r="AC17" i="208"/>
  <c r="AB17" i="208"/>
  <c r="AB90" i="208" s="1"/>
  <c r="AA17" i="208"/>
  <c r="Z17" i="208"/>
  <c r="Z90" i="208" s="1"/>
  <c r="Y17" i="208"/>
  <c r="Y90" i="208" s="1"/>
  <c r="X17" i="208"/>
  <c r="X90" i="208" s="1"/>
  <c r="W17" i="208"/>
  <c r="W90" i="208" s="1"/>
  <c r="V17" i="208"/>
  <c r="V90" i="208" s="1"/>
  <c r="U17" i="208"/>
  <c r="T17" i="208"/>
  <c r="S17" i="208"/>
  <c r="R17" i="208"/>
  <c r="R90" i="208" s="1"/>
  <c r="Q17" i="208"/>
  <c r="Q90" i="208" s="1"/>
  <c r="P17" i="208"/>
  <c r="P90" i="208" s="1"/>
  <c r="O17" i="208"/>
  <c r="O90" i="208" s="1"/>
  <c r="N17" i="208"/>
  <c r="N90" i="208" s="1"/>
  <c r="M17" i="208"/>
  <c r="M90" i="208" s="1"/>
  <c r="L17" i="208"/>
  <c r="L90" i="208" s="1"/>
  <c r="K17" i="208"/>
  <c r="J17" i="208"/>
  <c r="J90" i="208" s="1"/>
  <c r="I17" i="208"/>
  <c r="I90" i="208" s="1"/>
  <c r="H17" i="208"/>
  <c r="H90" i="208" s="1"/>
  <c r="G17" i="208"/>
  <c r="G90" i="208" s="1"/>
  <c r="C17" i="208"/>
  <c r="B17" i="208"/>
  <c r="AH16" i="208"/>
  <c r="AG16" i="208"/>
  <c r="AF16" i="208"/>
  <c r="AH15" i="208"/>
  <c r="AG15" i="208"/>
  <c r="AF15" i="208"/>
  <c r="AH14" i="208"/>
  <c r="AG14" i="208"/>
  <c r="AF14" i="208"/>
  <c r="AH13" i="208"/>
  <c r="AG13" i="208"/>
  <c r="AF13" i="208"/>
  <c r="AI12" i="208"/>
  <c r="M9" i="208" a="1"/>
  <c r="M9" i="208" s="1"/>
  <c r="AC104" i="205"/>
  <c r="F875" i="88"/>
  <c r="AE352" i="157"/>
  <c r="AB74" i="205"/>
  <c r="AB71" i="205"/>
  <c r="AB70" i="205"/>
  <c r="AB69" i="205"/>
  <c r="AB68" i="205"/>
  <c r="AB67" i="205"/>
  <c r="AB62" i="205"/>
  <c r="AB61" i="205"/>
  <c r="AB104" i="205"/>
  <c r="F873" i="88"/>
  <c r="F863" i="88"/>
  <c r="F872" i="88"/>
  <c r="AE351" i="157"/>
  <c r="AA74" i="205"/>
  <c r="AA71" i="205"/>
  <c r="AA70" i="205"/>
  <c r="AA69" i="205"/>
  <c r="AA68" i="205"/>
  <c r="AA67" i="205"/>
  <c r="AA62" i="205"/>
  <c r="AA61" i="205"/>
  <c r="F869" i="88"/>
  <c r="F870" i="88"/>
  <c r="F871" i="88"/>
  <c r="F768" i="88"/>
  <c r="AE350" i="157"/>
  <c r="Z74" i="205"/>
  <c r="Z71" i="205"/>
  <c r="Z70" i="205"/>
  <c r="Z69" i="205"/>
  <c r="Z68" i="205"/>
  <c r="Z67" i="205"/>
  <c r="Z62" i="205"/>
  <c r="Z61" i="205"/>
  <c r="AE349" i="157"/>
  <c r="Y74" i="205"/>
  <c r="Y71" i="205"/>
  <c r="Y70" i="205"/>
  <c r="Y69" i="205"/>
  <c r="Y68" i="205"/>
  <c r="Y67" i="205"/>
  <c r="Y62" i="205"/>
  <c r="Y61" i="205"/>
  <c r="F868" i="88"/>
  <c r="F866" i="88"/>
  <c r="F867" i="88"/>
  <c r="X74" i="205"/>
  <c r="X71" i="205"/>
  <c r="X70" i="205"/>
  <c r="X69" i="205"/>
  <c r="X68" i="205"/>
  <c r="X67" i="205"/>
  <c r="AE348" i="157"/>
  <c r="X62" i="205"/>
  <c r="X61" i="205"/>
  <c r="F831" i="88"/>
  <c r="F825" i="88"/>
  <c r="AE347" i="157"/>
  <c r="W74" i="205"/>
  <c r="W71" i="205"/>
  <c r="W70" i="205"/>
  <c r="W69" i="205"/>
  <c r="W68" i="205"/>
  <c r="W67" i="205"/>
  <c r="W63" i="205"/>
  <c r="W62" i="205"/>
  <c r="F855" i="88"/>
  <c r="F828" i="88"/>
  <c r="V43" i="205"/>
  <c r="V41" i="205"/>
  <c r="AE346" i="157"/>
  <c r="V74" i="205"/>
  <c r="V71" i="205"/>
  <c r="V70" i="205"/>
  <c r="V69" i="205"/>
  <c r="V68" i="205"/>
  <c r="V67" i="205"/>
  <c r="V66" i="205"/>
  <c r="V63" i="205"/>
  <c r="V62" i="205"/>
  <c r="F829" i="88"/>
  <c r="AE345" i="157"/>
  <c r="U74" i="205"/>
  <c r="U71" i="205"/>
  <c r="U70" i="205"/>
  <c r="U69" i="205"/>
  <c r="U68" i="205"/>
  <c r="U67" i="205"/>
  <c r="U66" i="205"/>
  <c r="U63" i="205"/>
  <c r="U62" i="205"/>
  <c r="F832" i="88"/>
  <c r="F861" i="88"/>
  <c r="F862" i="88"/>
  <c r="F860" i="88"/>
  <c r="F859" i="88"/>
  <c r="F858" i="88"/>
  <c r="F851" i="88"/>
  <c r="AE344" i="157"/>
  <c r="T74" i="205"/>
  <c r="T69" i="205"/>
  <c r="T70" i="205"/>
  <c r="T71" i="205"/>
  <c r="T68" i="205"/>
  <c r="T67" i="205"/>
  <c r="T66" i="205"/>
  <c r="T63" i="205"/>
  <c r="T62" i="205"/>
  <c r="AE343" i="157"/>
  <c r="AE342" i="157"/>
  <c r="S74" i="205"/>
  <c r="S71" i="205"/>
  <c r="S70" i="205"/>
  <c r="S69" i="205"/>
  <c r="S68" i="205"/>
  <c r="S67" i="205"/>
  <c r="S66" i="205"/>
  <c r="F846" i="88"/>
  <c r="F850" i="88"/>
  <c r="F852" i="88"/>
  <c r="F853" i="88"/>
  <c r="F847" i="88"/>
  <c r="F849" i="88"/>
  <c r="F857" i="88"/>
  <c r="S62" i="205"/>
  <c r="S63" i="205"/>
  <c r="R63" i="205"/>
  <c r="R62" i="205"/>
  <c r="R74" i="205"/>
  <c r="R71" i="205"/>
  <c r="R70" i="205"/>
  <c r="R69" i="205"/>
  <c r="R68" i="205"/>
  <c r="R67" i="205"/>
  <c r="R66" i="205"/>
  <c r="F845" i="88"/>
  <c r="F8" i="88"/>
  <c r="F844" i="88"/>
  <c r="F848" i="88"/>
  <c r="F821" i="88"/>
  <c r="AE341" i="157"/>
  <c r="F843" i="88"/>
  <c r="Q63" i="205"/>
  <c r="Q61" i="205"/>
  <c r="F842" i="88"/>
  <c r="F841" i="88"/>
  <c r="F839" i="88"/>
  <c r="F838" i="88"/>
  <c r="F837" i="88"/>
  <c r="F822" i="88"/>
  <c r="Q67" i="205"/>
  <c r="Q68" i="205"/>
  <c r="Q69" i="205"/>
  <c r="Q70" i="205"/>
  <c r="Q71" i="205"/>
  <c r="Q74" i="205"/>
  <c r="AE340" i="157"/>
  <c r="P74" i="205"/>
  <c r="P71" i="205"/>
  <c r="P70" i="205"/>
  <c r="P69" i="205"/>
  <c r="P68" i="205"/>
  <c r="P67" i="205"/>
  <c r="P63" i="205"/>
  <c r="P61" i="205"/>
  <c r="F816" i="88"/>
  <c r="AE339" i="157"/>
  <c r="O74" i="205"/>
  <c r="O71" i="205"/>
  <c r="O70" i="205"/>
  <c r="O69" i="205"/>
  <c r="O68" i="205"/>
  <c r="O67" i="205"/>
  <c r="O63" i="205"/>
  <c r="O61" i="205"/>
  <c r="F811" i="88"/>
  <c r="F835" i="88"/>
  <c r="F836" i="88"/>
  <c r="F834" i="88"/>
  <c r="F833" i="88"/>
  <c r="F820" i="88"/>
  <c r="AE338" i="157"/>
  <c r="N74" i="205"/>
  <c r="N71" i="205"/>
  <c r="N69" i="205"/>
  <c r="N70" i="205"/>
  <c r="N67" i="205"/>
  <c r="N63" i="205"/>
  <c r="N61" i="205"/>
  <c r="F765" i="88"/>
  <c r="AE337" i="157"/>
  <c r="F827" i="88"/>
  <c r="M74" i="205"/>
  <c r="M71" i="205"/>
  <c r="M70" i="205"/>
  <c r="M69" i="205"/>
  <c r="M67" i="205"/>
  <c r="M63" i="205"/>
  <c r="M61" i="205"/>
  <c r="F830" i="88"/>
  <c r="F819" i="88"/>
  <c r="AE336" i="157"/>
  <c r="L74" i="205"/>
  <c r="L71" i="205"/>
  <c r="L70" i="205"/>
  <c r="L69" i="205"/>
  <c r="L67" i="205"/>
  <c r="L63" i="205"/>
  <c r="L61" i="205"/>
  <c r="F798" i="88"/>
  <c r="AE335" i="157"/>
  <c r="K69" i="205"/>
  <c r="K62" i="205"/>
  <c r="K61" i="205"/>
  <c r="I69" i="205"/>
  <c r="I70" i="205"/>
  <c r="I71" i="205"/>
  <c r="I74" i="205"/>
  <c r="AZ390" i="157" a="1"/>
  <c r="BC384" i="157" a="1"/>
  <c r="BK396" i="157" a="1"/>
  <c r="AZ394" i="157" a="1"/>
  <c r="BC393" i="157" a="1"/>
  <c r="BK397" i="157" a="1"/>
  <c r="BC392" i="157" a="1"/>
  <c r="BK399" i="157" a="1"/>
  <c r="BK395" i="157" a="1"/>
  <c r="BK384" i="157" a="1"/>
  <c r="AB101" i="209" l="1"/>
  <c r="AB106" i="209" s="1"/>
  <c r="AA101" i="209"/>
  <c r="AA106" i="209" s="1"/>
  <c r="BK399" i="157"/>
  <c r="Y98" i="209"/>
  <c r="Y101" i="209" s="1"/>
  <c r="Y106" i="209" s="1"/>
  <c r="X101" i="209"/>
  <c r="X106" i="209" s="1"/>
  <c r="BK397" i="157"/>
  <c r="W98" i="209"/>
  <c r="W101" i="209" s="1"/>
  <c r="W106" i="209" s="1"/>
  <c r="W82" i="209"/>
  <c r="BK396" i="157"/>
  <c r="V98" i="209"/>
  <c r="BK395" i="157"/>
  <c r="U98" i="209"/>
  <c r="U101" i="209" s="1"/>
  <c r="U106" i="209" s="1"/>
  <c r="AZ394" i="157"/>
  <c r="T96" i="209"/>
  <c r="T101" i="209" s="1"/>
  <c r="T106" i="209" s="1"/>
  <c r="BC393" i="157"/>
  <c r="S97" i="209"/>
  <c r="BC392" i="157"/>
  <c r="R97" i="209"/>
  <c r="AZ390" i="157"/>
  <c r="P96" i="209"/>
  <c r="P101" i="209" s="1"/>
  <c r="P106" i="209" s="1"/>
  <c r="N101" i="209"/>
  <c r="N106" i="209" s="1"/>
  <c r="BK384" i="157"/>
  <c r="J98" i="209"/>
  <c r="BC384" i="157"/>
  <c r="J97" i="209"/>
  <c r="F101" i="209"/>
  <c r="F106" i="209" s="1"/>
  <c r="S101" i="209"/>
  <c r="S106" i="209" s="1"/>
  <c r="J101" i="209"/>
  <c r="J106" i="209" s="1"/>
  <c r="AC101" i="209"/>
  <c r="AC106" i="209" s="1"/>
  <c r="P82" i="209"/>
  <c r="Z101" i="209"/>
  <c r="Z106" i="209" s="1"/>
  <c r="K101" i="209"/>
  <c r="K106" i="209" s="1"/>
  <c r="T82" i="209"/>
  <c r="L107" i="209"/>
  <c r="L101" i="209"/>
  <c r="L106" i="209" s="1"/>
  <c r="J82" i="209"/>
  <c r="R101" i="209"/>
  <c r="R106" i="209" s="1"/>
  <c r="S82" i="209"/>
  <c r="G101" i="209"/>
  <c r="G106" i="209" s="1"/>
  <c r="Q101" i="209"/>
  <c r="Q106" i="209" s="1"/>
  <c r="Y82" i="209"/>
  <c r="M107" i="209"/>
  <c r="M101" i="209"/>
  <c r="M106" i="209" s="1"/>
  <c r="U82" i="209"/>
  <c r="I107" i="209"/>
  <c r="I101" i="209"/>
  <c r="I106" i="209" s="1"/>
  <c r="V101" i="209"/>
  <c r="V106" i="209" s="1"/>
  <c r="R82" i="209"/>
  <c r="V82" i="209"/>
  <c r="Z88" i="208"/>
  <c r="Y88" i="208"/>
  <c r="AH67" i="208"/>
  <c r="AF53" i="208"/>
  <c r="T59" i="208"/>
  <c r="T96" i="208" s="1"/>
  <c r="AF63" i="208"/>
  <c r="AH70" i="208"/>
  <c r="AH58" i="208"/>
  <c r="AI34" i="208"/>
  <c r="Q59" i="208"/>
  <c r="Q96" i="208" s="1"/>
  <c r="AH68" i="208"/>
  <c r="J64" i="208"/>
  <c r="J97" i="208" s="1"/>
  <c r="AI60" i="208"/>
  <c r="T108" i="208"/>
  <c r="Q88" i="208"/>
  <c r="R108" i="208"/>
  <c r="S88" i="208"/>
  <c r="T88" i="208"/>
  <c r="U88" i="208"/>
  <c r="C82" i="208"/>
  <c r="V88" i="208"/>
  <c r="AF69" i="208"/>
  <c r="R107" i="208"/>
  <c r="AG67" i="208"/>
  <c r="AF70" i="208"/>
  <c r="AI65" i="208"/>
  <c r="B82" i="208"/>
  <c r="AC88" i="208"/>
  <c r="AC101" i="208" s="1"/>
  <c r="AC106" i="208" s="1"/>
  <c r="AF67" i="208"/>
  <c r="L88" i="208"/>
  <c r="L101" i="208" s="1"/>
  <c r="L106" i="208" s="1"/>
  <c r="AG70" i="208"/>
  <c r="R82" i="208"/>
  <c r="Q82" i="208"/>
  <c r="O107" i="208"/>
  <c r="O88" i="208"/>
  <c r="L75" i="208"/>
  <c r="L98" i="208" s="1"/>
  <c r="J88" i="208"/>
  <c r="I88" i="208"/>
  <c r="G88" i="208"/>
  <c r="G101" i="208" s="1"/>
  <c r="G106" i="208" s="1"/>
  <c r="AB107" i="208"/>
  <c r="H107" i="208"/>
  <c r="Y107" i="208"/>
  <c r="F107" i="208"/>
  <c r="Z107" i="208"/>
  <c r="J107" i="208"/>
  <c r="X107" i="208"/>
  <c r="I107" i="208"/>
  <c r="AA108" i="208"/>
  <c r="K107" i="208"/>
  <c r="H108" i="208"/>
  <c r="L107" i="208"/>
  <c r="AC108" i="208"/>
  <c r="J108" i="208"/>
  <c r="N107" i="208"/>
  <c r="M108" i="208"/>
  <c r="N82" i="208"/>
  <c r="K108" i="208"/>
  <c r="L108" i="208"/>
  <c r="AA90" i="208"/>
  <c r="AA107" i="208" s="1"/>
  <c r="G108" i="208"/>
  <c r="M107" i="208"/>
  <c r="Q107" i="208"/>
  <c r="AC90" i="208"/>
  <c r="AC107" i="208" s="1"/>
  <c r="G107" i="208"/>
  <c r="M88" i="208"/>
  <c r="M101" i="208" s="1"/>
  <c r="M106" i="208" s="1"/>
  <c r="W107" i="208"/>
  <c r="AB108" i="208"/>
  <c r="I108" i="208"/>
  <c r="S108" i="208"/>
  <c r="W88" i="208"/>
  <c r="W101" i="208" s="1"/>
  <c r="W106" i="208" s="1"/>
  <c r="N88" i="208"/>
  <c r="N101" i="208" s="1"/>
  <c r="N106" i="208" s="1"/>
  <c r="Y101" i="208"/>
  <c r="Y106" i="208" s="1"/>
  <c r="AB101" i="208"/>
  <c r="AB106" i="208" s="1"/>
  <c r="O82" i="208"/>
  <c r="O97" i="208"/>
  <c r="H101" i="208"/>
  <c r="H106" i="208" s="1"/>
  <c r="J101" i="208"/>
  <c r="J106" i="208" s="1"/>
  <c r="P107" i="208"/>
  <c r="M82" i="208"/>
  <c r="Z101" i="208"/>
  <c r="Z106" i="208" s="1"/>
  <c r="F101" i="208"/>
  <c r="F106" i="208" s="1"/>
  <c r="V101" i="208"/>
  <c r="V106" i="208" s="1"/>
  <c r="X101" i="208"/>
  <c r="X106" i="208" s="1"/>
  <c r="P101" i="208"/>
  <c r="P106" i="208" s="1"/>
  <c r="V107" i="208"/>
  <c r="L82" i="208"/>
  <c r="AF71" i="208"/>
  <c r="P82" i="208"/>
  <c r="AG71" i="208"/>
  <c r="O108" i="208"/>
  <c r="P108" i="208"/>
  <c r="Q108" i="208"/>
  <c r="AG63" i="208"/>
  <c r="Y82" i="208"/>
  <c r="Q97" i="208"/>
  <c r="Q101" i="208" s="1"/>
  <c r="Q106" i="208" s="1"/>
  <c r="AG62" i="208"/>
  <c r="G82" i="208"/>
  <c r="AA82" i="208"/>
  <c r="S90" i="208"/>
  <c r="S107" i="208" s="1"/>
  <c r="Y108" i="208"/>
  <c r="AH69" i="208"/>
  <c r="N108" i="208"/>
  <c r="S64" i="208"/>
  <c r="S97" i="208" s="1"/>
  <c r="AH63" i="208"/>
  <c r="AG43" i="208"/>
  <c r="U75" i="208"/>
  <c r="U98" i="208" s="1"/>
  <c r="W82" i="208"/>
  <c r="U108" i="208"/>
  <c r="AH43" i="208"/>
  <c r="AG74" i="208"/>
  <c r="AF62" i="208"/>
  <c r="W108" i="208"/>
  <c r="F82" i="208"/>
  <c r="R97" i="208"/>
  <c r="H82" i="208"/>
  <c r="AB82" i="208"/>
  <c r="T90" i="208"/>
  <c r="T107" i="208" s="1"/>
  <c r="F108" i="208"/>
  <c r="Z108" i="208"/>
  <c r="AH71" i="208"/>
  <c r="R88" i="208"/>
  <c r="X82" i="208"/>
  <c r="V108" i="208"/>
  <c r="Z82" i="208"/>
  <c r="X108" i="208"/>
  <c r="AC82" i="208"/>
  <c r="U90" i="208"/>
  <c r="U107" i="208" s="1"/>
  <c r="AF61" i="208"/>
  <c r="AG61" i="208"/>
  <c r="K64" i="208"/>
  <c r="K97" i="208" s="1"/>
  <c r="K101" i="208" s="1"/>
  <c r="K106" i="208" s="1"/>
  <c r="J82" i="208"/>
  <c r="T82" i="208"/>
  <c r="V82" i="208"/>
  <c r="I75" i="208"/>
  <c r="I98" i="208" s="1"/>
  <c r="I101" i="208" s="1"/>
  <c r="I106" i="208" s="1"/>
  <c r="AF68" i="208"/>
  <c r="AG68" i="208"/>
  <c r="AE333" i="157"/>
  <c r="AE334" i="157"/>
  <c r="AE332" i="157"/>
  <c r="F708" i="88"/>
  <c r="AE331" i="157"/>
  <c r="F818" i="88"/>
  <c r="AE330" i="157"/>
  <c r="F824" i="88"/>
  <c r="F823" i="88"/>
  <c r="F807" i="88"/>
  <c r="F775" i="88"/>
  <c r="AE328" i="157"/>
  <c r="F789" i="88"/>
  <c r="F813" i="88"/>
  <c r="F75" i="205"/>
  <c r="F98" i="205" s="1"/>
  <c r="F64" i="205"/>
  <c r="F97" i="205" s="1"/>
  <c r="F59" i="205"/>
  <c r="F96" i="205" s="1"/>
  <c r="F33" i="205"/>
  <c r="F94" i="205" s="1"/>
  <c r="F30" i="205"/>
  <c r="F92" i="205" s="1"/>
  <c r="F25" i="205"/>
  <c r="F22" i="205"/>
  <c r="F17" i="205"/>
  <c r="F817" i="88"/>
  <c r="F814" i="88"/>
  <c r="F761" i="88"/>
  <c r="F812" i="88"/>
  <c r="F806" i="88"/>
  <c r="F700" i="88"/>
  <c r="AE327" i="157"/>
  <c r="AE325" i="157"/>
  <c r="F810" i="88"/>
  <c r="I95" i="205"/>
  <c r="J95" i="205"/>
  <c r="K95" i="205"/>
  <c r="L95" i="205"/>
  <c r="AC125" i="205"/>
  <c r="AB125" i="205"/>
  <c r="AA125" i="205"/>
  <c r="Z125" i="205"/>
  <c r="Y125" i="205"/>
  <c r="X125" i="205"/>
  <c r="W125" i="205"/>
  <c r="V125" i="205"/>
  <c r="U125" i="205"/>
  <c r="T125" i="205"/>
  <c r="S125" i="205"/>
  <c r="R125" i="205"/>
  <c r="Q125" i="205"/>
  <c r="P125" i="205"/>
  <c r="O125" i="205"/>
  <c r="N125" i="205"/>
  <c r="M125" i="205"/>
  <c r="L125" i="205"/>
  <c r="K125" i="205"/>
  <c r="J125" i="205"/>
  <c r="I125" i="205"/>
  <c r="H125" i="205"/>
  <c r="G125" i="205"/>
  <c r="F125" i="205"/>
  <c r="AC105" i="205"/>
  <c r="AB105" i="205"/>
  <c r="AA105" i="205"/>
  <c r="Z105" i="205"/>
  <c r="Y105" i="205"/>
  <c r="X105" i="205"/>
  <c r="W105" i="205"/>
  <c r="V105" i="205"/>
  <c r="U105" i="205"/>
  <c r="T105" i="205"/>
  <c r="S105" i="205"/>
  <c r="R105" i="205"/>
  <c r="Q105" i="205"/>
  <c r="P105" i="205"/>
  <c r="O105" i="205"/>
  <c r="N105" i="205"/>
  <c r="M105" i="205"/>
  <c r="L105" i="205"/>
  <c r="K105" i="205"/>
  <c r="J105" i="205"/>
  <c r="I105" i="205"/>
  <c r="H105" i="205"/>
  <c r="G105" i="205"/>
  <c r="F105" i="205"/>
  <c r="AC100" i="205"/>
  <c r="AB100" i="205"/>
  <c r="AA100" i="205"/>
  <c r="Z100" i="205"/>
  <c r="Y100" i="205"/>
  <c r="X100" i="205"/>
  <c r="W100" i="205"/>
  <c r="V100" i="205"/>
  <c r="U100" i="205"/>
  <c r="T100" i="205"/>
  <c r="S100" i="205"/>
  <c r="R100" i="205"/>
  <c r="Q100" i="205"/>
  <c r="P100" i="205"/>
  <c r="O100" i="205"/>
  <c r="N100" i="205"/>
  <c r="M100" i="205"/>
  <c r="L100" i="205"/>
  <c r="K100" i="205"/>
  <c r="J100" i="205"/>
  <c r="I100" i="205"/>
  <c r="H100" i="205"/>
  <c r="G100" i="205"/>
  <c r="F100" i="205"/>
  <c r="Z99" i="205"/>
  <c r="T99" i="205"/>
  <c r="S99" i="205"/>
  <c r="R99" i="205"/>
  <c r="AA92" i="205"/>
  <c r="O90" i="205"/>
  <c r="S88" i="205"/>
  <c r="R88" i="205"/>
  <c r="AC79" i="205"/>
  <c r="AC99" i="205" s="1"/>
  <c r="AB79" i="205"/>
  <c r="AB99" i="205" s="1"/>
  <c r="AA79" i="205"/>
  <c r="AA99" i="205" s="1"/>
  <c r="Z79" i="205"/>
  <c r="Y79" i="205"/>
  <c r="Y99" i="205" s="1"/>
  <c r="X79" i="205"/>
  <c r="X99" i="205" s="1"/>
  <c r="W79" i="205"/>
  <c r="W99" i="205" s="1"/>
  <c r="V79" i="205"/>
  <c r="V99" i="205" s="1"/>
  <c r="U79" i="205"/>
  <c r="U99" i="205" s="1"/>
  <c r="T79" i="205"/>
  <c r="S79" i="205"/>
  <c r="R79" i="205"/>
  <c r="Q79" i="205"/>
  <c r="Q99" i="205" s="1"/>
  <c r="P79" i="205"/>
  <c r="P99" i="205" s="1"/>
  <c r="O79" i="205"/>
  <c r="O99" i="205" s="1"/>
  <c r="N79" i="205"/>
  <c r="N99" i="205" s="1"/>
  <c r="M79" i="205"/>
  <c r="M99" i="205" s="1"/>
  <c r="L79" i="205"/>
  <c r="L99" i="205" s="1"/>
  <c r="K79" i="205"/>
  <c r="K99" i="205" s="1"/>
  <c r="J79" i="205"/>
  <c r="J99" i="205" s="1"/>
  <c r="I99" i="205"/>
  <c r="H79" i="205"/>
  <c r="H99" i="205" s="1"/>
  <c r="G79" i="205"/>
  <c r="G99" i="205" s="1"/>
  <c r="F79" i="205"/>
  <c r="F99" i="205" s="1"/>
  <c r="C79" i="205"/>
  <c r="B79" i="205"/>
  <c r="B25" i="205" s="1"/>
  <c r="AH78" i="205"/>
  <c r="AG78" i="205"/>
  <c r="AF78" i="205"/>
  <c r="AH77" i="205"/>
  <c r="AG77" i="205"/>
  <c r="AF77" i="205"/>
  <c r="AI76" i="205"/>
  <c r="AC75" i="205"/>
  <c r="AC98" i="205" s="1"/>
  <c r="AB75" i="205"/>
  <c r="AB98" i="205" s="1"/>
  <c r="AA75" i="205"/>
  <c r="AA98" i="205" s="1"/>
  <c r="Z75" i="205"/>
  <c r="Z98" i="205" s="1"/>
  <c r="S75" i="205"/>
  <c r="S98" i="205" s="1"/>
  <c r="M75" i="205"/>
  <c r="M98" i="205" s="1"/>
  <c r="L75" i="205"/>
  <c r="L98" i="205" s="1"/>
  <c r="H75" i="205"/>
  <c r="H98" i="205" s="1"/>
  <c r="G75" i="205"/>
  <c r="G98" i="205" s="1"/>
  <c r="C75" i="205"/>
  <c r="B75" i="205"/>
  <c r="U75" i="205"/>
  <c r="U98" i="205" s="1"/>
  <c r="AF74" i="205"/>
  <c r="AH73" i="205"/>
  <c r="AG73" i="205"/>
  <c r="AF73" i="205"/>
  <c r="AH72" i="205"/>
  <c r="AG72" i="205"/>
  <c r="AF72" i="205"/>
  <c r="AG71" i="205"/>
  <c r="AF71" i="205"/>
  <c r="AH71" i="205"/>
  <c r="J75" i="205"/>
  <c r="J98" i="205" s="1"/>
  <c r="AH70" i="205"/>
  <c r="AG70" i="205"/>
  <c r="AF70" i="205"/>
  <c r="AG69" i="205"/>
  <c r="AF69" i="205"/>
  <c r="N75" i="205"/>
  <c r="N98" i="205" s="1"/>
  <c r="Y75" i="205"/>
  <c r="Y98" i="205" s="1"/>
  <c r="X75" i="205"/>
  <c r="X98" i="205" s="1"/>
  <c r="W75" i="205"/>
  <c r="W98" i="205" s="1"/>
  <c r="R75" i="205"/>
  <c r="R98" i="205" s="1"/>
  <c r="Q75" i="205"/>
  <c r="Q98" i="205" s="1"/>
  <c r="P75" i="205"/>
  <c r="P98" i="205" s="1"/>
  <c r="O75" i="205"/>
  <c r="O98" i="205" s="1"/>
  <c r="K75" i="205"/>
  <c r="K98" i="205" s="1"/>
  <c r="AH66" i="205"/>
  <c r="AG66" i="205"/>
  <c r="AF66" i="205"/>
  <c r="AC64" i="205"/>
  <c r="AC97" i="205" s="1"/>
  <c r="AB64" i="205"/>
  <c r="AB97" i="205" s="1"/>
  <c r="AA64" i="205"/>
  <c r="AA97" i="205" s="1"/>
  <c r="Z64" i="205"/>
  <c r="Z97" i="205" s="1"/>
  <c r="Y64" i="205"/>
  <c r="Y97" i="205" s="1"/>
  <c r="T64" i="205"/>
  <c r="T97" i="205" s="1"/>
  <c r="S64" i="205"/>
  <c r="S97" i="205" s="1"/>
  <c r="R64" i="205"/>
  <c r="R97" i="205" s="1"/>
  <c r="K64" i="205"/>
  <c r="K97" i="205" s="1"/>
  <c r="J64" i="205"/>
  <c r="J97" i="205" s="1"/>
  <c r="I64" i="205"/>
  <c r="I97" i="205" s="1"/>
  <c r="H64" i="205"/>
  <c r="H97" i="205" s="1"/>
  <c r="G64" i="205"/>
  <c r="G97" i="205" s="1"/>
  <c r="C64" i="205"/>
  <c r="AH63" i="205"/>
  <c r="AG63" i="205"/>
  <c r="AF63" i="205"/>
  <c r="X64" i="205"/>
  <c r="X97" i="205" s="1"/>
  <c r="P64" i="205"/>
  <c r="P97" i="205" s="1"/>
  <c r="N64" i="205"/>
  <c r="N97" i="205" s="1"/>
  <c r="W64" i="205"/>
  <c r="W97" i="205" s="1"/>
  <c r="V64" i="205"/>
  <c r="V97" i="205" s="1"/>
  <c r="AI60" i="205"/>
  <c r="Q64" i="205"/>
  <c r="Q97" i="205" s="1"/>
  <c r="L64" i="205"/>
  <c r="L97" i="205" s="1"/>
  <c r="AC59" i="205"/>
  <c r="AC96" i="205" s="1"/>
  <c r="AB59" i="205"/>
  <c r="AB96" i="205" s="1"/>
  <c r="AA59" i="205"/>
  <c r="AA96" i="205" s="1"/>
  <c r="Z59" i="205"/>
  <c r="Z96" i="205" s="1"/>
  <c r="R59" i="205"/>
  <c r="R96" i="205" s="1"/>
  <c r="Q59" i="205"/>
  <c r="Q96" i="205" s="1"/>
  <c r="P59" i="205"/>
  <c r="P96" i="205" s="1"/>
  <c r="O59" i="205"/>
  <c r="O96" i="205" s="1"/>
  <c r="N59" i="205"/>
  <c r="N96" i="205" s="1"/>
  <c r="M59" i="205"/>
  <c r="M96" i="205" s="1"/>
  <c r="L59" i="205"/>
  <c r="L96" i="205" s="1"/>
  <c r="K59" i="205"/>
  <c r="K96" i="205" s="1"/>
  <c r="J59" i="205"/>
  <c r="J96" i="205" s="1"/>
  <c r="I59" i="205"/>
  <c r="I96" i="205" s="1"/>
  <c r="H59" i="205"/>
  <c r="H96" i="205" s="1"/>
  <c r="G59" i="205"/>
  <c r="G96" i="205" s="1"/>
  <c r="C59" i="205"/>
  <c r="B59" i="205"/>
  <c r="B64" i="205" s="1"/>
  <c r="AH58" i="205"/>
  <c r="X59" i="205"/>
  <c r="X96" i="205" s="1"/>
  <c r="V59" i="205"/>
  <c r="V96" i="205" s="1"/>
  <c r="AH56" i="205"/>
  <c r="AG55" i="205"/>
  <c r="AH55" i="205"/>
  <c r="W59" i="205"/>
  <c r="W96" i="205" s="1"/>
  <c r="AG53" i="205"/>
  <c r="AG52" i="205"/>
  <c r="AH52" i="205"/>
  <c r="AN51" i="205"/>
  <c r="AH51" i="205"/>
  <c r="AG51" i="205"/>
  <c r="AF51" i="205"/>
  <c r="AH50" i="205"/>
  <c r="AG50" i="205"/>
  <c r="AF50" i="205"/>
  <c r="U59" i="205"/>
  <c r="U96" i="205" s="1"/>
  <c r="AF49" i="205"/>
  <c r="AH49" i="205"/>
  <c r="AH48" i="205"/>
  <c r="AG48" i="205"/>
  <c r="AF48" i="205"/>
  <c r="AF46" i="205"/>
  <c r="AH45" i="205"/>
  <c r="AG45" i="205"/>
  <c r="AF45" i="205"/>
  <c r="AI34" i="205"/>
  <c r="AH43" i="205"/>
  <c r="AG43" i="205"/>
  <c r="AF43" i="205"/>
  <c r="AH42" i="205"/>
  <c r="AG42" i="205"/>
  <c r="AF42" i="205"/>
  <c r="AH41" i="205"/>
  <c r="AG41" i="205"/>
  <c r="AF41" i="205"/>
  <c r="AH40" i="205"/>
  <c r="AG40" i="205"/>
  <c r="AF40" i="205"/>
  <c r="AH39" i="205"/>
  <c r="AG39" i="205"/>
  <c r="AF39" i="205"/>
  <c r="AH38" i="205"/>
  <c r="AG38" i="205"/>
  <c r="AF38" i="205"/>
  <c r="AH37" i="205"/>
  <c r="AG37" i="205"/>
  <c r="AF37" i="205"/>
  <c r="AH36" i="205"/>
  <c r="AG36" i="205"/>
  <c r="AF36" i="205"/>
  <c r="AH35" i="205"/>
  <c r="AG35" i="205"/>
  <c r="AF35" i="205"/>
  <c r="AC33" i="205"/>
  <c r="AC94" i="205" s="1"/>
  <c r="AB33" i="205"/>
  <c r="AB94" i="205" s="1"/>
  <c r="AA33" i="205"/>
  <c r="AA94" i="205" s="1"/>
  <c r="Z33" i="205"/>
  <c r="Z94" i="205" s="1"/>
  <c r="Y33" i="205"/>
  <c r="Y94" i="205" s="1"/>
  <c r="X33" i="205"/>
  <c r="X94" i="205" s="1"/>
  <c r="W33" i="205"/>
  <c r="W94" i="205" s="1"/>
  <c r="V33" i="205"/>
  <c r="V94" i="205" s="1"/>
  <c r="U33" i="205"/>
  <c r="U94" i="205" s="1"/>
  <c r="T33" i="205"/>
  <c r="T94" i="205" s="1"/>
  <c r="S33" i="205"/>
  <c r="S94" i="205" s="1"/>
  <c r="R33" i="205"/>
  <c r="R94" i="205" s="1"/>
  <c r="Q33" i="205"/>
  <c r="Q94" i="205" s="1"/>
  <c r="P33" i="205"/>
  <c r="P94" i="205" s="1"/>
  <c r="O33" i="205"/>
  <c r="O94" i="205" s="1"/>
  <c r="N33" i="205"/>
  <c r="N94" i="205" s="1"/>
  <c r="M33" i="205"/>
  <c r="M94" i="205" s="1"/>
  <c r="L33" i="205"/>
  <c r="L94" i="205" s="1"/>
  <c r="K33" i="205"/>
  <c r="K94" i="205" s="1"/>
  <c r="J33" i="205"/>
  <c r="J94" i="205" s="1"/>
  <c r="I33" i="205"/>
  <c r="I94" i="205" s="1"/>
  <c r="H33" i="205"/>
  <c r="H94" i="205" s="1"/>
  <c r="G33" i="205"/>
  <c r="G94" i="205" s="1"/>
  <c r="C33" i="205"/>
  <c r="B33" i="205"/>
  <c r="AH32" i="205"/>
  <c r="AG32" i="205"/>
  <c r="AF32" i="205"/>
  <c r="AI31" i="205"/>
  <c r="AC30" i="205"/>
  <c r="AC92" i="205" s="1"/>
  <c r="AB30" i="205"/>
  <c r="AB92" i="205" s="1"/>
  <c r="AA30" i="205"/>
  <c r="Z30" i="205"/>
  <c r="Z92" i="205" s="1"/>
  <c r="Y30" i="205"/>
  <c r="Y92" i="205" s="1"/>
  <c r="X30" i="205"/>
  <c r="X92" i="205" s="1"/>
  <c r="W30" i="205"/>
  <c r="W92" i="205" s="1"/>
  <c r="V30" i="205"/>
  <c r="V92" i="205" s="1"/>
  <c r="U30" i="205"/>
  <c r="U92" i="205" s="1"/>
  <c r="T30" i="205"/>
  <c r="T92" i="205" s="1"/>
  <c r="S30" i="205"/>
  <c r="S92" i="205" s="1"/>
  <c r="R30" i="205"/>
  <c r="R92" i="205" s="1"/>
  <c r="Q30" i="205"/>
  <c r="Q92" i="205" s="1"/>
  <c r="P30" i="205"/>
  <c r="P92" i="205" s="1"/>
  <c r="O30" i="205"/>
  <c r="O92" i="205" s="1"/>
  <c r="N30" i="205"/>
  <c r="N92" i="205" s="1"/>
  <c r="M30" i="205"/>
  <c r="M92" i="205" s="1"/>
  <c r="L30" i="205"/>
  <c r="L92" i="205" s="1"/>
  <c r="K30" i="205"/>
  <c r="K92" i="205" s="1"/>
  <c r="J30" i="205"/>
  <c r="J92" i="205" s="1"/>
  <c r="I30" i="205"/>
  <c r="I92" i="205" s="1"/>
  <c r="H30" i="205"/>
  <c r="H92" i="205" s="1"/>
  <c r="G30" i="205"/>
  <c r="G92" i="205" s="1"/>
  <c r="C30" i="205"/>
  <c r="B30" i="205"/>
  <c r="AH28" i="205"/>
  <c r="AG28" i="205"/>
  <c r="AF28" i="205"/>
  <c r="AH27" i="205"/>
  <c r="AG27" i="205"/>
  <c r="AF27" i="205"/>
  <c r="AI26" i="205"/>
  <c r="AC25" i="205"/>
  <c r="AB25" i="205"/>
  <c r="AA25" i="205"/>
  <c r="Z25" i="205"/>
  <c r="Y25" i="205"/>
  <c r="X25" i="205"/>
  <c r="W25" i="205"/>
  <c r="V25" i="205"/>
  <c r="U25" i="205"/>
  <c r="T25" i="205"/>
  <c r="S25" i="205"/>
  <c r="R25" i="205"/>
  <c r="Q25" i="205"/>
  <c r="P25" i="205"/>
  <c r="O25" i="205"/>
  <c r="N25" i="205"/>
  <c r="M25" i="205"/>
  <c r="L25" i="205"/>
  <c r="K25" i="205"/>
  <c r="J25" i="205"/>
  <c r="I25" i="205"/>
  <c r="H25" i="205"/>
  <c r="G25" i="205"/>
  <c r="C25" i="205"/>
  <c r="AH24" i="205"/>
  <c r="AG24" i="205"/>
  <c r="AF24" i="205"/>
  <c r="AI23" i="205"/>
  <c r="AC22" i="205"/>
  <c r="AC88" i="205" s="1"/>
  <c r="AB22" i="205"/>
  <c r="AA22" i="205"/>
  <c r="Z22" i="205"/>
  <c r="Y22" i="205"/>
  <c r="X22" i="205"/>
  <c r="W22" i="205"/>
  <c r="V22" i="205"/>
  <c r="U22" i="205"/>
  <c r="T22" i="205"/>
  <c r="S22" i="205"/>
  <c r="R22" i="205"/>
  <c r="Q22" i="205"/>
  <c r="P22" i="205"/>
  <c r="O22" i="205"/>
  <c r="N22" i="205"/>
  <c r="N88" i="205" s="1"/>
  <c r="M22" i="205"/>
  <c r="L22" i="205"/>
  <c r="K22" i="205"/>
  <c r="J22" i="205"/>
  <c r="J88" i="205" s="1"/>
  <c r="I22" i="205"/>
  <c r="H22" i="205"/>
  <c r="G22" i="205"/>
  <c r="C22" i="205"/>
  <c r="B22" i="205"/>
  <c r="AH21" i="205"/>
  <c r="AG21" i="205"/>
  <c r="AF21" i="205"/>
  <c r="AH20" i="205"/>
  <c r="AG20" i="205"/>
  <c r="AF20" i="205"/>
  <c r="AH19" i="205"/>
  <c r="AG19" i="205"/>
  <c r="AF19" i="205"/>
  <c r="AI18" i="205"/>
  <c r="AC17" i="205"/>
  <c r="AC90" i="205" s="1"/>
  <c r="AB17" i="205"/>
  <c r="AB90" i="205" s="1"/>
  <c r="AA17" i="205"/>
  <c r="AA90" i="205" s="1"/>
  <c r="Z17" i="205"/>
  <c r="Z90" i="205" s="1"/>
  <c r="Y17" i="205"/>
  <c r="Y90" i="205" s="1"/>
  <c r="X17" i="205"/>
  <c r="W17" i="205"/>
  <c r="V17" i="205"/>
  <c r="V90" i="205" s="1"/>
  <c r="U17" i="205"/>
  <c r="U90" i="205" s="1"/>
  <c r="U107" i="205" s="1"/>
  <c r="T17" i="205"/>
  <c r="T90" i="205" s="1"/>
  <c r="S17" i="205"/>
  <c r="S90" i="205" s="1"/>
  <c r="R17" i="205"/>
  <c r="R90" i="205" s="1"/>
  <c r="Q17" i="205"/>
  <c r="Q90" i="205" s="1"/>
  <c r="P17" i="205"/>
  <c r="P90" i="205" s="1"/>
  <c r="O17" i="205"/>
  <c r="N17" i="205"/>
  <c r="N90" i="205" s="1"/>
  <c r="M17" i="205"/>
  <c r="M90" i="205" s="1"/>
  <c r="L17" i="205"/>
  <c r="L90" i="205" s="1"/>
  <c r="K17" i="205"/>
  <c r="K90" i="205" s="1"/>
  <c r="J17" i="205"/>
  <c r="I17" i="205"/>
  <c r="I90" i="205" s="1"/>
  <c r="H17" i="205"/>
  <c r="H90" i="205" s="1"/>
  <c r="G17" i="205"/>
  <c r="C17" i="205"/>
  <c r="B17" i="205"/>
  <c r="AH16" i="205"/>
  <c r="AG16" i="205"/>
  <c r="AF16" i="205"/>
  <c r="AH15" i="205"/>
  <c r="AG15" i="205"/>
  <c r="AF15" i="205"/>
  <c r="AH14" i="205"/>
  <c r="AG14" i="205"/>
  <c r="AF14" i="205"/>
  <c r="AH13" i="205"/>
  <c r="AG13" i="205"/>
  <c r="AF13" i="205"/>
  <c r="AI12" i="205"/>
  <c r="M9" i="205" a="1"/>
  <c r="M9" i="205" s="1"/>
  <c r="F809" i="88"/>
  <c r="F815" i="88"/>
  <c r="AE326" i="157"/>
  <c r="F804" i="88"/>
  <c r="F803" i="88"/>
  <c r="F802" i="88"/>
  <c r="F732" i="88"/>
  <c r="F787" i="88"/>
  <c r="F762" i="88"/>
  <c r="F805" i="88"/>
  <c r="F801" i="88"/>
  <c r="F800" i="88"/>
  <c r="F799" i="88"/>
  <c r="Y63" i="204"/>
  <c r="AE324" i="157"/>
  <c r="Y74" i="204"/>
  <c r="Y71" i="204"/>
  <c r="Y70" i="204"/>
  <c r="Y69" i="204"/>
  <c r="Y68" i="204"/>
  <c r="Y67" i="204"/>
  <c r="Y62" i="204"/>
  <c r="Y56" i="204"/>
  <c r="Y55" i="204"/>
  <c r="Y54" i="204"/>
  <c r="Y53" i="204"/>
  <c r="Y49" i="204"/>
  <c r="Y47" i="204"/>
  <c r="Y46" i="204"/>
  <c r="F797" i="88"/>
  <c r="O101" i="208" l="1"/>
  <c r="O106" i="208" s="1"/>
  <c r="K82" i="208"/>
  <c r="U82" i="208"/>
  <c r="U101" i="208"/>
  <c r="U106" i="208" s="1"/>
  <c r="T101" i="208"/>
  <c r="T106" i="208" s="1"/>
  <c r="AA101" i="208"/>
  <c r="AA106" i="208" s="1"/>
  <c r="R101" i="208"/>
  <c r="R106" i="208" s="1"/>
  <c r="S101" i="208"/>
  <c r="S106" i="208" s="1"/>
  <c r="S82" i="208"/>
  <c r="I82" i="208"/>
  <c r="W88" i="205"/>
  <c r="Q88" i="205"/>
  <c r="P107" i="205"/>
  <c r="N108" i="205"/>
  <c r="M88" i="205"/>
  <c r="K88" i="205"/>
  <c r="J108" i="205"/>
  <c r="I88" i="205"/>
  <c r="Y107" i="205"/>
  <c r="Z107" i="205"/>
  <c r="K101" i="205"/>
  <c r="K106" i="205" s="1"/>
  <c r="M108" i="205"/>
  <c r="Q107" i="205"/>
  <c r="R101" i="205"/>
  <c r="R106" i="205" s="1"/>
  <c r="R107" i="205"/>
  <c r="S107" i="205"/>
  <c r="J90" i="205"/>
  <c r="J101" i="205" s="1"/>
  <c r="J106" i="205" s="1"/>
  <c r="T107" i="205"/>
  <c r="X88" i="205"/>
  <c r="X101" i="205" s="1"/>
  <c r="X106" i="205" s="1"/>
  <c r="P82" i="205"/>
  <c r="F88" i="205"/>
  <c r="AA88" i="205"/>
  <c r="AA101" i="205" s="1"/>
  <c r="AA106" i="205" s="1"/>
  <c r="H88" i="205"/>
  <c r="H101" i="205" s="1"/>
  <c r="H106" i="205" s="1"/>
  <c r="S108" i="205"/>
  <c r="M107" i="205"/>
  <c r="G88" i="205"/>
  <c r="O107" i="205"/>
  <c r="T88" i="205"/>
  <c r="U88" i="205"/>
  <c r="Y88" i="205"/>
  <c r="Z88" i="205"/>
  <c r="Z101" i="205" s="1"/>
  <c r="Z106" i="205" s="1"/>
  <c r="R82" i="205"/>
  <c r="AB88" i="205"/>
  <c r="AB101" i="205" s="1"/>
  <c r="AB106" i="205" s="1"/>
  <c r="AA107" i="205"/>
  <c r="L107" i="205"/>
  <c r="Q101" i="205"/>
  <c r="Q106" i="205" s="1"/>
  <c r="N107" i="205"/>
  <c r="H107" i="205"/>
  <c r="AB107" i="205"/>
  <c r="L88" i="205"/>
  <c r="L101" i="205" s="1"/>
  <c r="L106" i="205" s="1"/>
  <c r="AC101" i="205"/>
  <c r="AC106" i="205" s="1"/>
  <c r="N101" i="205"/>
  <c r="N106" i="205" s="1"/>
  <c r="V107" i="205"/>
  <c r="AG46" i="205"/>
  <c r="S59" i="205"/>
  <c r="W108" i="205"/>
  <c r="W90" i="205"/>
  <c r="W107" i="205" s="1"/>
  <c r="AH46" i="205"/>
  <c r="T59" i="205"/>
  <c r="T96" i="205" s="1"/>
  <c r="AF61" i="205"/>
  <c r="AH68" i="205"/>
  <c r="B82" i="205"/>
  <c r="X90" i="205"/>
  <c r="X107" i="205" s="1"/>
  <c r="X108" i="205"/>
  <c r="X82" i="205"/>
  <c r="AH47" i="205"/>
  <c r="AG47" i="205"/>
  <c r="AF47" i="205"/>
  <c r="AF58" i="205"/>
  <c r="AG61" i="205"/>
  <c r="AH74" i="205"/>
  <c r="C82" i="205"/>
  <c r="Y108" i="205"/>
  <c r="AG58" i="205"/>
  <c r="AH61" i="205"/>
  <c r="AF68" i="205"/>
  <c r="O88" i="205"/>
  <c r="F108" i="205"/>
  <c r="F82" i="205"/>
  <c r="Z108" i="205"/>
  <c r="Z82" i="205"/>
  <c r="AH44" i="205"/>
  <c r="AG44" i="205"/>
  <c r="AF44" i="205"/>
  <c r="AH62" i="205"/>
  <c r="AG62" i="205"/>
  <c r="AF62" i="205"/>
  <c r="I75" i="205"/>
  <c r="I98" i="205" s="1"/>
  <c r="I101" i="205" s="1"/>
  <c r="I106" i="205" s="1"/>
  <c r="P88" i="205"/>
  <c r="P101" i="205" s="1"/>
  <c r="P106" i="205" s="1"/>
  <c r="G108" i="205"/>
  <c r="G82" i="205"/>
  <c r="Y59" i="205"/>
  <c r="Y96" i="205" s="1"/>
  <c r="T75" i="205"/>
  <c r="T98" i="205" s="1"/>
  <c r="O108" i="205"/>
  <c r="I108" i="205"/>
  <c r="AC108" i="205"/>
  <c r="AF56" i="205"/>
  <c r="N82" i="205"/>
  <c r="P108" i="205"/>
  <c r="AG56" i="205"/>
  <c r="AI65" i="205"/>
  <c r="V75" i="205"/>
  <c r="V98" i="205" s="1"/>
  <c r="Q108" i="205"/>
  <c r="K108" i="205"/>
  <c r="F90" i="205"/>
  <c r="F107" i="205" s="1"/>
  <c r="R108" i="205"/>
  <c r="AC107" i="205"/>
  <c r="AH69" i="205"/>
  <c r="AG74" i="205"/>
  <c r="J107" i="205"/>
  <c r="AG49" i="205"/>
  <c r="AH53" i="205"/>
  <c r="O64" i="205"/>
  <c r="O97" i="205" s="1"/>
  <c r="K107" i="205"/>
  <c r="L108" i="205"/>
  <c r="AH57" i="205"/>
  <c r="AG57" i="205"/>
  <c r="AF57" i="205"/>
  <c r="Q82" i="205"/>
  <c r="AF53" i="205"/>
  <c r="M64" i="205"/>
  <c r="M97" i="205" s="1"/>
  <c r="M101" i="205" s="1"/>
  <c r="M106" i="205" s="1"/>
  <c r="I107" i="205"/>
  <c r="V108" i="205"/>
  <c r="AF54" i="205"/>
  <c r="AH54" i="205"/>
  <c r="AG54" i="205"/>
  <c r="V82" i="205"/>
  <c r="AA108" i="205"/>
  <c r="AA82" i="205"/>
  <c r="AB108" i="205"/>
  <c r="AB82" i="205"/>
  <c r="G90" i="205"/>
  <c r="G107" i="205" s="1"/>
  <c r="T108" i="205"/>
  <c r="U108" i="205"/>
  <c r="W82" i="205"/>
  <c r="H108" i="205"/>
  <c r="H82" i="205"/>
  <c r="U64" i="205"/>
  <c r="U97" i="205" s="1"/>
  <c r="U101" i="205" s="1"/>
  <c r="U106" i="205" s="1"/>
  <c r="V88" i="205"/>
  <c r="AF67" i="205"/>
  <c r="AG67" i="205"/>
  <c r="AG68" i="205"/>
  <c r="AH67" i="205"/>
  <c r="AC82" i="205"/>
  <c r="AF52" i="205"/>
  <c r="AF55" i="205"/>
  <c r="J82" i="205"/>
  <c r="K82" i="205"/>
  <c r="L82" i="205"/>
  <c r="AE323" i="157"/>
  <c r="X74" i="204"/>
  <c r="X71" i="204"/>
  <c r="X70" i="204"/>
  <c r="X69" i="204"/>
  <c r="X68" i="204"/>
  <c r="X67" i="204"/>
  <c r="X63" i="204"/>
  <c r="X62" i="204"/>
  <c r="X56" i="204"/>
  <c r="X46" i="204"/>
  <c r="F786" i="88"/>
  <c r="F758" i="88"/>
  <c r="F785" i="88"/>
  <c r="AE322" i="157"/>
  <c r="F784" i="88"/>
  <c r="W74" i="204"/>
  <c r="W71" i="204"/>
  <c r="W70" i="204"/>
  <c r="W69" i="204"/>
  <c r="W68" i="204"/>
  <c r="W67" i="204"/>
  <c r="W63" i="204"/>
  <c r="W61" i="204"/>
  <c r="W58" i="204"/>
  <c r="W57" i="204"/>
  <c r="W56" i="204"/>
  <c r="W53" i="204"/>
  <c r="W44" i="204"/>
  <c r="F795" i="88"/>
  <c r="F796" i="88"/>
  <c r="F794" i="88"/>
  <c r="AE321" i="157"/>
  <c r="V63" i="204"/>
  <c r="V61" i="204"/>
  <c r="V58" i="204"/>
  <c r="V57" i="204"/>
  <c r="V56" i="204"/>
  <c r="V54" i="204"/>
  <c r="V53" i="204"/>
  <c r="V47" i="204"/>
  <c r="V44" i="204"/>
  <c r="F793" i="88"/>
  <c r="F792" i="88"/>
  <c r="F790" i="88"/>
  <c r="AE320" i="157"/>
  <c r="U74" i="204"/>
  <c r="U71" i="204"/>
  <c r="U70" i="204"/>
  <c r="U69" i="204"/>
  <c r="U68" i="204"/>
  <c r="U67" i="204"/>
  <c r="U61" i="204"/>
  <c r="U58" i="204"/>
  <c r="U57" i="204"/>
  <c r="U55" i="204"/>
  <c r="U54" i="204"/>
  <c r="U53" i="204"/>
  <c r="U49" i="204"/>
  <c r="U47" i="204"/>
  <c r="U46" i="204"/>
  <c r="U44" i="204"/>
  <c r="V67" i="204"/>
  <c r="V68" i="204"/>
  <c r="V69" i="204"/>
  <c r="V70" i="204"/>
  <c r="V71" i="204"/>
  <c r="V74" i="204"/>
  <c r="F783" i="88"/>
  <c r="U63" i="204"/>
  <c r="AE319" i="157"/>
  <c r="T74" i="204"/>
  <c r="T71" i="204"/>
  <c r="T70" i="204"/>
  <c r="T69" i="204"/>
  <c r="T68" i="204"/>
  <c r="T67" i="204"/>
  <c r="T75" i="204" s="1"/>
  <c r="T63" i="204"/>
  <c r="T61" i="204"/>
  <c r="T53" i="204"/>
  <c r="T47" i="204"/>
  <c r="T59" i="204" s="1"/>
  <c r="T55" i="204"/>
  <c r="AE318" i="157"/>
  <c r="T44" i="204"/>
  <c r="T46" i="204"/>
  <c r="T49" i="204"/>
  <c r="T52" i="204"/>
  <c r="T57" i="204"/>
  <c r="T58" i="204"/>
  <c r="S74" i="204"/>
  <c r="S71" i="204"/>
  <c r="S70" i="204"/>
  <c r="S69" i="204"/>
  <c r="S68" i="204"/>
  <c r="S67" i="204"/>
  <c r="S49" i="204"/>
  <c r="F791" i="88"/>
  <c r="F788" i="88"/>
  <c r="T79" i="204"/>
  <c r="T33" i="204"/>
  <c r="T30" i="204"/>
  <c r="T25" i="204"/>
  <c r="T22" i="204"/>
  <c r="T17" i="204"/>
  <c r="AE317" i="157"/>
  <c r="S44" i="204"/>
  <c r="S46" i="204"/>
  <c r="S52" i="204"/>
  <c r="S57" i="204"/>
  <c r="S58" i="204"/>
  <c r="R58" i="204"/>
  <c r="R57" i="204"/>
  <c r="R56" i="204"/>
  <c r="R52" i="204"/>
  <c r="R46" i="204"/>
  <c r="R44" i="204"/>
  <c r="T104" i="203"/>
  <c r="Y101" i="205" l="1"/>
  <c r="Y106" i="205" s="1"/>
  <c r="U82" i="205"/>
  <c r="V101" i="205"/>
  <c r="V106" i="205" s="1"/>
  <c r="I82" i="205"/>
  <c r="O101" i="205"/>
  <c r="O106" i="205" s="1"/>
  <c r="T101" i="205"/>
  <c r="T106" i="205" s="1"/>
  <c r="M82" i="205"/>
  <c r="Y82" i="205"/>
  <c r="G101" i="205"/>
  <c r="G106" i="205" s="1"/>
  <c r="F101" i="205"/>
  <c r="F106" i="205" s="1"/>
  <c r="O82" i="205"/>
  <c r="S96" i="205"/>
  <c r="S101" i="205" s="1"/>
  <c r="S106" i="205" s="1"/>
  <c r="S82" i="205"/>
  <c r="W101" i="205"/>
  <c r="W106" i="205" s="1"/>
  <c r="T82" i="205"/>
  <c r="T64" i="204"/>
  <c r="T82" i="204"/>
  <c r="F781" i="88"/>
  <c r="F752" i="88"/>
  <c r="R67" i="204"/>
  <c r="R68" i="204"/>
  <c r="R69" i="204"/>
  <c r="R70" i="204"/>
  <c r="R71" i="204"/>
  <c r="R74" i="204"/>
  <c r="AE316" i="157"/>
  <c r="Q74" i="204"/>
  <c r="Q71" i="204"/>
  <c r="Q70" i="204"/>
  <c r="Q69" i="204"/>
  <c r="Q68" i="204"/>
  <c r="Q67" i="204"/>
  <c r="Q62" i="204"/>
  <c r="Q61" i="204"/>
  <c r="F782" i="88"/>
  <c r="F777" i="88"/>
  <c r="F779" i="88"/>
  <c r="F780" i="88"/>
  <c r="F776" i="88"/>
  <c r="F778" i="88"/>
  <c r="AE315" i="157"/>
  <c r="P74" i="204"/>
  <c r="P71" i="204"/>
  <c r="P70" i="204"/>
  <c r="P69" i="204"/>
  <c r="P68" i="204"/>
  <c r="P67" i="204"/>
  <c r="P62" i="204"/>
  <c r="P61" i="204"/>
  <c r="F738" i="88"/>
  <c r="AE314" i="157"/>
  <c r="F771" i="88"/>
  <c r="O74" i="204"/>
  <c r="O71" i="204"/>
  <c r="O70" i="204"/>
  <c r="O69" i="204"/>
  <c r="O68" i="204"/>
  <c r="O67" i="204"/>
  <c r="O62" i="204"/>
  <c r="O61" i="204"/>
  <c r="F769" i="88"/>
  <c r="F773" i="88"/>
  <c r="F770" i="88"/>
  <c r="AE313" i="157" l="1"/>
  <c r="N74" i="204"/>
  <c r="N71" i="204"/>
  <c r="N70" i="204"/>
  <c r="N68" i="204"/>
  <c r="N67" i="204"/>
  <c r="N62" i="204"/>
  <c r="N61" i="204"/>
  <c r="F760" i="88"/>
  <c r="F764" i="88"/>
  <c r="F766" i="88"/>
  <c r="M62" i="204"/>
  <c r="M61" i="204"/>
  <c r="AE312" i="157"/>
  <c r="M74" i="204"/>
  <c r="M70" i="204"/>
  <c r="M71" i="204"/>
  <c r="M68" i="204"/>
  <c r="M67" i="204"/>
  <c r="F751" i="88"/>
  <c r="F763" i="88"/>
  <c r="F743" i="88"/>
  <c r="AE311" i="157"/>
  <c r="L95" i="204"/>
  <c r="L74" i="204"/>
  <c r="L71" i="204"/>
  <c r="L68" i="204"/>
  <c r="L67" i="204"/>
  <c r="L62" i="204"/>
  <c r="L61" i="204"/>
  <c r="AE310" i="157"/>
  <c r="K95" i="204"/>
  <c r="K74" i="204"/>
  <c r="K71" i="204"/>
  <c r="K68" i="204"/>
  <c r="K67" i="204"/>
  <c r="F759" i="88"/>
  <c r="AE309" i="157" l="1"/>
  <c r="J95" i="204"/>
  <c r="J74" i="204"/>
  <c r="J71" i="204"/>
  <c r="J68" i="204"/>
  <c r="J67" i="204"/>
  <c r="I67" i="204"/>
  <c r="I68" i="204"/>
  <c r="I71" i="204"/>
  <c r="I74" i="204"/>
  <c r="AE308" i="157"/>
  <c r="I95" i="204"/>
  <c r="AE307" i="157" l="1"/>
  <c r="F739" i="88"/>
  <c r="F757" i="88"/>
  <c r="F755" i="88"/>
  <c r="AE306" i="157"/>
  <c r="F753" i="88"/>
  <c r="F754" i="88"/>
  <c r="F756" i="88"/>
  <c r="AE305" i="157"/>
  <c r="F550" i="88"/>
  <c r="F722" i="88"/>
  <c r="F725" i="88"/>
  <c r="AC125" i="204"/>
  <c r="AB125" i="204"/>
  <c r="AA125" i="204"/>
  <c r="Z125" i="204"/>
  <c r="Y125" i="204"/>
  <c r="X125" i="204"/>
  <c r="W125" i="204"/>
  <c r="V125" i="204"/>
  <c r="U125" i="204"/>
  <c r="T125" i="204"/>
  <c r="S125" i="204"/>
  <c r="R125" i="204"/>
  <c r="Q125" i="204"/>
  <c r="P125" i="204"/>
  <c r="O125" i="204"/>
  <c r="N125" i="204"/>
  <c r="M125" i="204"/>
  <c r="L125" i="204"/>
  <c r="K125" i="204"/>
  <c r="J125" i="204"/>
  <c r="I125" i="204"/>
  <c r="H125" i="204"/>
  <c r="G125" i="204"/>
  <c r="F125" i="204"/>
  <c r="AC105" i="204"/>
  <c r="AB105" i="204"/>
  <c r="AA105" i="204"/>
  <c r="Z105" i="204"/>
  <c r="Y105" i="204"/>
  <c r="X105" i="204"/>
  <c r="W105" i="204"/>
  <c r="V105" i="204"/>
  <c r="U105" i="204"/>
  <c r="T105" i="204"/>
  <c r="S105" i="204"/>
  <c r="R105" i="204"/>
  <c r="Q105" i="204"/>
  <c r="P105" i="204"/>
  <c r="O105" i="204"/>
  <c r="N105" i="204"/>
  <c r="M105" i="204"/>
  <c r="L105" i="204"/>
  <c r="K105" i="204"/>
  <c r="J105" i="204"/>
  <c r="I105" i="204"/>
  <c r="H105" i="204"/>
  <c r="G105" i="204"/>
  <c r="F105" i="204"/>
  <c r="AC100" i="204"/>
  <c r="AB100" i="204"/>
  <c r="AA100" i="204"/>
  <c r="Z100" i="204"/>
  <c r="Y100" i="204"/>
  <c r="X100" i="204"/>
  <c r="W100" i="204"/>
  <c r="V100" i="204"/>
  <c r="U100" i="204"/>
  <c r="T100" i="204"/>
  <c r="S100" i="204"/>
  <c r="R100" i="204"/>
  <c r="Q100" i="204"/>
  <c r="P100" i="204"/>
  <c r="O100" i="204"/>
  <c r="N100" i="204"/>
  <c r="M100" i="204"/>
  <c r="L100" i="204"/>
  <c r="K100" i="204"/>
  <c r="J100" i="204"/>
  <c r="I100" i="204"/>
  <c r="H100" i="204"/>
  <c r="G100" i="204"/>
  <c r="F100" i="204"/>
  <c r="X99" i="204"/>
  <c r="N92" i="204"/>
  <c r="J90" i="204"/>
  <c r="B82" i="204"/>
  <c r="AC79" i="204"/>
  <c r="AC99" i="204" s="1"/>
  <c r="AB79" i="204"/>
  <c r="AB99" i="204" s="1"/>
  <c r="AA79" i="204"/>
  <c r="AA99" i="204" s="1"/>
  <c r="Z79" i="204"/>
  <c r="Z99" i="204" s="1"/>
  <c r="Y79" i="204"/>
  <c r="Y99" i="204" s="1"/>
  <c r="X79" i="204"/>
  <c r="W79" i="204"/>
  <c r="W99" i="204" s="1"/>
  <c r="V79" i="204"/>
  <c r="V99" i="204" s="1"/>
  <c r="U79" i="204"/>
  <c r="U99" i="204" s="1"/>
  <c r="T99" i="204"/>
  <c r="S79" i="204"/>
  <c r="S99" i="204" s="1"/>
  <c r="R79" i="204"/>
  <c r="R99" i="204" s="1"/>
  <c r="Q79" i="204"/>
  <c r="Q99" i="204" s="1"/>
  <c r="P79" i="204"/>
  <c r="P99" i="204" s="1"/>
  <c r="O79" i="204"/>
  <c r="O99" i="204" s="1"/>
  <c r="N79" i="204"/>
  <c r="N99" i="204" s="1"/>
  <c r="M79" i="204"/>
  <c r="M99" i="204" s="1"/>
  <c r="L79" i="204"/>
  <c r="L99" i="204" s="1"/>
  <c r="K79" i="204"/>
  <c r="K99" i="204" s="1"/>
  <c r="J79" i="204"/>
  <c r="J99" i="204" s="1"/>
  <c r="I79" i="204"/>
  <c r="I99" i="204" s="1"/>
  <c r="H79" i="204"/>
  <c r="H99" i="204" s="1"/>
  <c r="G79" i="204"/>
  <c r="G99" i="204" s="1"/>
  <c r="F79" i="204"/>
  <c r="F99" i="204" s="1"/>
  <c r="C79" i="204"/>
  <c r="AH78" i="204"/>
  <c r="AG78" i="204"/>
  <c r="AF78" i="204"/>
  <c r="AH77" i="204"/>
  <c r="AG77" i="204"/>
  <c r="AF77" i="204"/>
  <c r="AI76" i="204"/>
  <c r="X75" i="204"/>
  <c r="X98" i="204" s="1"/>
  <c r="W75" i="204"/>
  <c r="W98" i="204" s="1"/>
  <c r="V75" i="204"/>
  <c r="V98" i="204" s="1"/>
  <c r="U75" i="204"/>
  <c r="U98" i="204" s="1"/>
  <c r="N75" i="204"/>
  <c r="N98" i="204" s="1"/>
  <c r="K75" i="204"/>
  <c r="K98" i="204" s="1"/>
  <c r="J75" i="204"/>
  <c r="J98" i="204" s="1"/>
  <c r="C75" i="204"/>
  <c r="B75" i="204"/>
  <c r="B79" i="204" s="1"/>
  <c r="B25" i="204" s="1"/>
  <c r="AH74" i="204"/>
  <c r="AG74" i="204"/>
  <c r="AF74" i="204"/>
  <c r="AH73" i="204"/>
  <c r="AG73" i="204"/>
  <c r="AF73" i="204"/>
  <c r="AH72" i="204"/>
  <c r="AG72" i="204"/>
  <c r="AF72" i="204"/>
  <c r="AG71" i="204"/>
  <c r="P75" i="204"/>
  <c r="P98" i="204" s="1"/>
  <c r="M75" i="204"/>
  <c r="M98" i="204" s="1"/>
  <c r="L75" i="204"/>
  <c r="L98" i="204" s="1"/>
  <c r="I75" i="204"/>
  <c r="I98" i="204" s="1"/>
  <c r="H75" i="204"/>
  <c r="H98" i="204" s="1"/>
  <c r="AG70" i="204"/>
  <c r="AH70" i="204"/>
  <c r="AH69" i="204"/>
  <c r="AG69" i="204"/>
  <c r="AF69" i="204"/>
  <c r="AA75" i="204"/>
  <c r="AA98" i="204" s="1"/>
  <c r="Z75" i="204"/>
  <c r="Z98" i="204" s="1"/>
  <c r="AC75" i="204"/>
  <c r="AC98" i="204" s="1"/>
  <c r="AB75" i="204"/>
  <c r="AB98" i="204" s="1"/>
  <c r="R75" i="204"/>
  <c r="R98" i="204" s="1"/>
  <c r="AH66" i="204"/>
  <c r="AG66" i="204"/>
  <c r="AF66" i="204"/>
  <c r="O75" i="204"/>
  <c r="O98" i="204" s="1"/>
  <c r="AC64" i="204"/>
  <c r="AC97" i="204" s="1"/>
  <c r="X64" i="204"/>
  <c r="X97" i="204" s="1"/>
  <c r="W64" i="204"/>
  <c r="W97" i="204" s="1"/>
  <c r="V64" i="204"/>
  <c r="V97" i="204" s="1"/>
  <c r="U64" i="204"/>
  <c r="U97" i="204" s="1"/>
  <c r="R64" i="204"/>
  <c r="R97" i="204" s="1"/>
  <c r="Q64" i="204"/>
  <c r="Q97" i="204" s="1"/>
  <c r="P64" i="204"/>
  <c r="P97" i="204" s="1"/>
  <c r="N64" i="204"/>
  <c r="N97" i="204" s="1"/>
  <c r="M64" i="204"/>
  <c r="M97" i="204" s="1"/>
  <c r="L64" i="204"/>
  <c r="L97" i="204" s="1"/>
  <c r="K64" i="204"/>
  <c r="K97" i="204" s="1"/>
  <c r="J64" i="204"/>
  <c r="J97" i="204" s="1"/>
  <c r="I64" i="204"/>
  <c r="I97" i="204" s="1"/>
  <c r="H64" i="204"/>
  <c r="H97" i="204" s="1"/>
  <c r="G64" i="204"/>
  <c r="G97" i="204" s="1"/>
  <c r="F64" i="204"/>
  <c r="F97" i="204" s="1"/>
  <c r="C64" i="204"/>
  <c r="B64" i="204"/>
  <c r="O64" i="204"/>
  <c r="O97" i="204" s="1"/>
  <c r="AB64" i="204"/>
  <c r="AB97" i="204" s="1"/>
  <c r="AA64" i="204"/>
  <c r="AA97" i="204" s="1"/>
  <c r="Z64" i="204"/>
  <c r="Z97" i="204" s="1"/>
  <c r="Y64" i="204"/>
  <c r="Y97" i="204" s="1"/>
  <c r="T97" i="204"/>
  <c r="S64" i="204"/>
  <c r="S97" i="204" s="1"/>
  <c r="AC59" i="204"/>
  <c r="AC96" i="204" s="1"/>
  <c r="AA59" i="204"/>
  <c r="AA96" i="204" s="1"/>
  <c r="X59" i="204"/>
  <c r="X96" i="204" s="1"/>
  <c r="W59" i="204"/>
  <c r="W96" i="204" s="1"/>
  <c r="V59" i="204"/>
  <c r="V96" i="204" s="1"/>
  <c r="U59" i="204"/>
  <c r="U96" i="204" s="1"/>
  <c r="S59" i="204"/>
  <c r="S96" i="204" s="1"/>
  <c r="R59" i="204"/>
  <c r="R96" i="204" s="1"/>
  <c r="Q59" i="204"/>
  <c r="Q96" i="204" s="1"/>
  <c r="P59" i="204"/>
  <c r="P96" i="204" s="1"/>
  <c r="O59" i="204"/>
  <c r="O96" i="204" s="1"/>
  <c r="N59" i="204"/>
  <c r="N96" i="204" s="1"/>
  <c r="M59" i="204"/>
  <c r="M96" i="204" s="1"/>
  <c r="L59" i="204"/>
  <c r="L96" i="204" s="1"/>
  <c r="K59" i="204"/>
  <c r="K96" i="204" s="1"/>
  <c r="J59" i="204"/>
  <c r="J96" i="204" s="1"/>
  <c r="I59" i="204"/>
  <c r="I96" i="204" s="1"/>
  <c r="H59" i="204"/>
  <c r="H96" i="204" s="1"/>
  <c r="G59" i="204"/>
  <c r="G96" i="204" s="1"/>
  <c r="F59" i="204"/>
  <c r="F96" i="204" s="1"/>
  <c r="C59" i="204"/>
  <c r="B59" i="204"/>
  <c r="AH58" i="204"/>
  <c r="AG58" i="204"/>
  <c r="AF58" i="204"/>
  <c r="AG57" i="204"/>
  <c r="AH55" i="204"/>
  <c r="AH54" i="204"/>
  <c r="AG54" i="204"/>
  <c r="AF54" i="204"/>
  <c r="AH53" i="204"/>
  <c r="AG53" i="204"/>
  <c r="AF53" i="204"/>
  <c r="AH52" i="204"/>
  <c r="AG52" i="204"/>
  <c r="AF52" i="204"/>
  <c r="AN51" i="204"/>
  <c r="AH51" i="204"/>
  <c r="AG51" i="204"/>
  <c r="AF51" i="204"/>
  <c r="AH50" i="204"/>
  <c r="AG50" i="204"/>
  <c r="AF50" i="204"/>
  <c r="AH49" i="204"/>
  <c r="AG49" i="204"/>
  <c r="AF49" i="204"/>
  <c r="AH48" i="204"/>
  <c r="AG48" i="204"/>
  <c r="AF48" i="204"/>
  <c r="AG47" i="204"/>
  <c r="AH46" i="204"/>
  <c r="AG46" i="204"/>
  <c r="AF46" i="204"/>
  <c r="AH45" i="204"/>
  <c r="AG45" i="204"/>
  <c r="AF45" i="204"/>
  <c r="AH44" i="204"/>
  <c r="AG44" i="204"/>
  <c r="AF44" i="204"/>
  <c r="AH43" i="204"/>
  <c r="AG43" i="204"/>
  <c r="AH42" i="204"/>
  <c r="AG42" i="204"/>
  <c r="AF42" i="204"/>
  <c r="AH41" i="204"/>
  <c r="AF40" i="204"/>
  <c r="AH39" i="204"/>
  <c r="AG39" i="204"/>
  <c r="AF39" i="204"/>
  <c r="Z59" i="204"/>
  <c r="Z96" i="204" s="1"/>
  <c r="AH38" i="204"/>
  <c r="AH37" i="204"/>
  <c r="AG37" i="204"/>
  <c r="AF37" i="204"/>
  <c r="AH36" i="204"/>
  <c r="AG36" i="204"/>
  <c r="AF36" i="204"/>
  <c r="AH35" i="204"/>
  <c r="AG35" i="204"/>
  <c r="AF35" i="204"/>
  <c r="AC33" i="204"/>
  <c r="AC94" i="204" s="1"/>
  <c r="AB33" i="204"/>
  <c r="AB94" i="204" s="1"/>
  <c r="AA33" i="204"/>
  <c r="Z33" i="204"/>
  <c r="Y33" i="204"/>
  <c r="X33" i="204"/>
  <c r="X94" i="204" s="1"/>
  <c r="W33" i="204"/>
  <c r="W94" i="204" s="1"/>
  <c r="V33" i="204"/>
  <c r="V94" i="204" s="1"/>
  <c r="U33" i="204"/>
  <c r="U94" i="204" s="1"/>
  <c r="T94" i="204"/>
  <c r="S33" i="204"/>
  <c r="S94" i="204" s="1"/>
  <c r="R33" i="204"/>
  <c r="R94" i="204" s="1"/>
  <c r="Q33" i="204"/>
  <c r="Q94" i="204" s="1"/>
  <c r="P33" i="204"/>
  <c r="P94" i="204" s="1"/>
  <c r="O33" i="204"/>
  <c r="O94" i="204" s="1"/>
  <c r="N33" i="204"/>
  <c r="N94" i="204" s="1"/>
  <c r="M33" i="204"/>
  <c r="M94" i="204" s="1"/>
  <c r="L33" i="204"/>
  <c r="L94" i="204" s="1"/>
  <c r="K33" i="204"/>
  <c r="K94" i="204" s="1"/>
  <c r="J33" i="204"/>
  <c r="J94" i="204" s="1"/>
  <c r="I33" i="204"/>
  <c r="I94" i="204" s="1"/>
  <c r="H33" i="204"/>
  <c r="H94" i="204" s="1"/>
  <c r="G33" i="204"/>
  <c r="F33" i="204"/>
  <c r="C33" i="204"/>
  <c r="C82" i="204" s="1"/>
  <c r="B33" i="204"/>
  <c r="AH32" i="204"/>
  <c r="AG32" i="204"/>
  <c r="AF32" i="204"/>
  <c r="AI31" i="204"/>
  <c r="AC30" i="204"/>
  <c r="AC92" i="204" s="1"/>
  <c r="AB30" i="204"/>
  <c r="AB92" i="204" s="1"/>
  <c r="AA30" i="204"/>
  <c r="AA92" i="204" s="1"/>
  <c r="Z30" i="204"/>
  <c r="Z92" i="204" s="1"/>
  <c r="Y30" i="204"/>
  <c r="Y92" i="204" s="1"/>
  <c r="X30" i="204"/>
  <c r="X92" i="204" s="1"/>
  <c r="W30" i="204"/>
  <c r="W92" i="204" s="1"/>
  <c r="V30" i="204"/>
  <c r="V92" i="204" s="1"/>
  <c r="U30" i="204"/>
  <c r="U92" i="204" s="1"/>
  <c r="T92" i="204"/>
  <c r="S30" i="204"/>
  <c r="S92" i="204" s="1"/>
  <c r="R30" i="204"/>
  <c r="R92" i="204" s="1"/>
  <c r="Q30" i="204"/>
  <c r="Q92" i="204" s="1"/>
  <c r="P30" i="204"/>
  <c r="P92" i="204" s="1"/>
  <c r="O30" i="204"/>
  <c r="O92" i="204" s="1"/>
  <c r="N30" i="204"/>
  <c r="M30" i="204"/>
  <c r="M92" i="204" s="1"/>
  <c r="L30" i="204"/>
  <c r="L92" i="204" s="1"/>
  <c r="K30" i="204"/>
  <c r="K92" i="204" s="1"/>
  <c r="J30" i="204"/>
  <c r="J92" i="204" s="1"/>
  <c r="I30" i="204"/>
  <c r="I92" i="204" s="1"/>
  <c r="H30" i="204"/>
  <c r="H92" i="204" s="1"/>
  <c r="G30" i="204"/>
  <c r="G92" i="204" s="1"/>
  <c r="F30" i="204"/>
  <c r="F92" i="204" s="1"/>
  <c r="C30" i="204"/>
  <c r="B30" i="204"/>
  <c r="AH28" i="204"/>
  <c r="AG28" i="204"/>
  <c r="AF28" i="204"/>
  <c r="AH27" i="204"/>
  <c r="AG27" i="204"/>
  <c r="AF27" i="204"/>
  <c r="AI26" i="204"/>
  <c r="AC25" i="204"/>
  <c r="AB25" i="204"/>
  <c r="AA25" i="204"/>
  <c r="Z25" i="204"/>
  <c r="Y25" i="204"/>
  <c r="X25" i="204"/>
  <c r="W25" i="204"/>
  <c r="V25" i="204"/>
  <c r="U25" i="204"/>
  <c r="S25" i="204"/>
  <c r="R25" i="204"/>
  <c r="Q25" i="204"/>
  <c r="P25" i="204"/>
  <c r="O25" i="204"/>
  <c r="N25" i="204"/>
  <c r="M25" i="204"/>
  <c r="L25" i="204"/>
  <c r="K25" i="204"/>
  <c r="J25" i="204"/>
  <c r="I25" i="204"/>
  <c r="H25" i="204"/>
  <c r="G25" i="204"/>
  <c r="F25" i="204"/>
  <c r="C25" i="204"/>
  <c r="AH24" i="204"/>
  <c r="AG24" i="204"/>
  <c r="AF24" i="204"/>
  <c r="AI23" i="204"/>
  <c r="AC22" i="204"/>
  <c r="AB22" i="204"/>
  <c r="AA22" i="204"/>
  <c r="Z22" i="204"/>
  <c r="Y22" i="204"/>
  <c r="Y88" i="204" s="1"/>
  <c r="X22" i="204"/>
  <c r="W22" i="204"/>
  <c r="V22" i="204"/>
  <c r="U22" i="204"/>
  <c r="S22" i="204"/>
  <c r="R22" i="204"/>
  <c r="Q22" i="204"/>
  <c r="P22" i="204"/>
  <c r="O22" i="204"/>
  <c r="O88" i="204" s="1"/>
  <c r="N22" i="204"/>
  <c r="N88" i="204" s="1"/>
  <c r="M22" i="204"/>
  <c r="M88" i="204" s="1"/>
  <c r="L22" i="204"/>
  <c r="L88" i="204" s="1"/>
  <c r="K22" i="204"/>
  <c r="K88" i="204" s="1"/>
  <c r="J22" i="204"/>
  <c r="J88" i="204" s="1"/>
  <c r="I22" i="204"/>
  <c r="H22" i="204"/>
  <c r="G22" i="204"/>
  <c r="G88" i="204" s="1"/>
  <c r="F22" i="204"/>
  <c r="F88" i="204" s="1"/>
  <c r="C22" i="204"/>
  <c r="B22" i="204"/>
  <c r="AH21" i="204"/>
  <c r="AG21" i="204"/>
  <c r="AF21" i="204"/>
  <c r="AH20" i="204"/>
  <c r="AG20" i="204"/>
  <c r="AF20" i="204"/>
  <c r="AH19" i="204"/>
  <c r="AG19" i="204"/>
  <c r="AF19" i="204"/>
  <c r="AI18" i="204"/>
  <c r="AC17" i="204"/>
  <c r="AB17" i="204"/>
  <c r="AA17" i="204"/>
  <c r="AA90" i="204" s="1"/>
  <c r="Z17" i="204"/>
  <c r="Z90" i="204" s="1"/>
  <c r="Y17" i="204"/>
  <c r="Y90" i="204" s="1"/>
  <c r="X17" i="204"/>
  <c r="X90" i="204" s="1"/>
  <c r="W17" i="204"/>
  <c r="V17" i="204"/>
  <c r="V90" i="204" s="1"/>
  <c r="V107" i="204" s="1"/>
  <c r="U17" i="204"/>
  <c r="S17" i="204"/>
  <c r="R17" i="204"/>
  <c r="Q17" i="204"/>
  <c r="P17" i="204"/>
  <c r="O17" i="204"/>
  <c r="N17" i="204"/>
  <c r="M17" i="204"/>
  <c r="M90" i="204" s="1"/>
  <c r="L17" i="204"/>
  <c r="L90" i="204" s="1"/>
  <c r="K17" i="204"/>
  <c r="K90" i="204" s="1"/>
  <c r="J17" i="204"/>
  <c r="I17" i="204"/>
  <c r="I90" i="204" s="1"/>
  <c r="H17" i="204"/>
  <c r="H90" i="204" s="1"/>
  <c r="G17" i="204"/>
  <c r="G90" i="204" s="1"/>
  <c r="F17" i="204"/>
  <c r="F90" i="204" s="1"/>
  <c r="C17" i="204"/>
  <c r="B17" i="204"/>
  <c r="AH16" i="204"/>
  <c r="AG16" i="204"/>
  <c r="AF16" i="204"/>
  <c r="AH15" i="204"/>
  <c r="AG15" i="204"/>
  <c r="AF15" i="204"/>
  <c r="AH14" i="204"/>
  <c r="AG14" i="204"/>
  <c r="AF14" i="204"/>
  <c r="AH13" i="204"/>
  <c r="AG13" i="204"/>
  <c r="AF13" i="204"/>
  <c r="AI12" i="204"/>
  <c r="M9" i="204" a="1"/>
  <c r="M9" i="204" s="1"/>
  <c r="AB74" i="203"/>
  <c r="AB70" i="203"/>
  <c r="AB69" i="203"/>
  <c r="AB68" i="203"/>
  <c r="AB67" i="203"/>
  <c r="AE302" i="157"/>
  <c r="AC74" i="203"/>
  <c r="AC71" i="203"/>
  <c r="AC69" i="203"/>
  <c r="AC68" i="203"/>
  <c r="AC67" i="203"/>
  <c r="F748" i="88"/>
  <c r="F747" i="88"/>
  <c r="F749" i="88"/>
  <c r="AB63" i="203"/>
  <c r="AB61" i="203"/>
  <c r="AB57" i="203"/>
  <c r="AB56" i="203"/>
  <c r="AB55" i="203"/>
  <c r="F724" i="88"/>
  <c r="AE301" i="157"/>
  <c r="AA74" i="203"/>
  <c r="AA70" i="203"/>
  <c r="AA69" i="203"/>
  <c r="AA68" i="203"/>
  <c r="AA67" i="203"/>
  <c r="AA63" i="203"/>
  <c r="AA61" i="203"/>
  <c r="F703" i="88"/>
  <c r="F746" i="88"/>
  <c r="F695" i="88"/>
  <c r="F721" i="88"/>
  <c r="F702" i="88"/>
  <c r="F704" i="88"/>
  <c r="AE300" i="157"/>
  <c r="Z74" i="203"/>
  <c r="Z71" i="203"/>
  <c r="Z70" i="203"/>
  <c r="Z69" i="203"/>
  <c r="Z68" i="203"/>
  <c r="Z67" i="203"/>
  <c r="Z63" i="203"/>
  <c r="Z61" i="203"/>
  <c r="Z43" i="203"/>
  <c r="Z41" i="203"/>
  <c r="Z40" i="203"/>
  <c r="Z38" i="203"/>
  <c r="F744" i="88"/>
  <c r="F742" i="88"/>
  <c r="AE299" i="157"/>
  <c r="Y74" i="203"/>
  <c r="Y71" i="203"/>
  <c r="Y70" i="203"/>
  <c r="Y69" i="203"/>
  <c r="Y68" i="203"/>
  <c r="Y67" i="203"/>
  <c r="Y63" i="203"/>
  <c r="Y61" i="203"/>
  <c r="F741" i="88"/>
  <c r="F740" i="88"/>
  <c r="Y47" i="203"/>
  <c r="F735" i="88"/>
  <c r="F733" i="88"/>
  <c r="F734" i="88"/>
  <c r="F730" i="88"/>
  <c r="F729" i="88"/>
  <c r="F737" i="88"/>
  <c r="F696" i="88"/>
  <c r="AE298" i="157"/>
  <c r="AE297" i="157"/>
  <c r="AE296" i="157"/>
  <c r="AE295" i="157"/>
  <c r="N297" i="157" a="1"/>
  <c r="AA88" i="204" l="1"/>
  <c r="Z88" i="204"/>
  <c r="Q88" i="204"/>
  <c r="P88" i="204"/>
  <c r="K101" i="204"/>
  <c r="K106" i="204" s="1"/>
  <c r="AA107" i="204"/>
  <c r="M101" i="204"/>
  <c r="M106" i="204" s="1"/>
  <c r="L101" i="204"/>
  <c r="L106" i="204" s="1"/>
  <c r="K107" i="204"/>
  <c r="H108" i="204"/>
  <c r="L107" i="204"/>
  <c r="AC108" i="204"/>
  <c r="M107" i="204"/>
  <c r="K108" i="204"/>
  <c r="L108" i="204"/>
  <c r="AC90" i="204"/>
  <c r="AC107" i="204" s="1"/>
  <c r="M108" i="204"/>
  <c r="N108" i="204"/>
  <c r="R88" i="204"/>
  <c r="AC82" i="204"/>
  <c r="S88" i="204"/>
  <c r="J82" i="204"/>
  <c r="X82" i="204"/>
  <c r="T88" i="204"/>
  <c r="Z107" i="204"/>
  <c r="J107" i="204"/>
  <c r="AB108" i="204"/>
  <c r="I108" i="204"/>
  <c r="J108" i="204"/>
  <c r="AB90" i="204"/>
  <c r="AB107" i="204" s="1"/>
  <c r="I107" i="204"/>
  <c r="G108" i="204"/>
  <c r="K82" i="204"/>
  <c r="F107" i="204"/>
  <c r="AA108" i="204"/>
  <c r="M82" i="204"/>
  <c r="U88" i="204"/>
  <c r="W108" i="204"/>
  <c r="G107" i="204"/>
  <c r="H107" i="204"/>
  <c r="J101" i="204"/>
  <c r="J106" i="204" s="1"/>
  <c r="V88" i="204"/>
  <c r="V101" i="204" s="1"/>
  <c r="V106" i="204" s="1"/>
  <c r="W88" i="204"/>
  <c r="X88" i="204"/>
  <c r="X101" i="204" s="1"/>
  <c r="X106" i="204" s="1"/>
  <c r="O82" i="204"/>
  <c r="O90" i="204"/>
  <c r="G94" i="204"/>
  <c r="AA82" i="204"/>
  <c r="AA94" i="204"/>
  <c r="AB59" i="204"/>
  <c r="AB96" i="204" s="1"/>
  <c r="AH56" i="204"/>
  <c r="P82" i="204"/>
  <c r="P90" i="204"/>
  <c r="AF56" i="204"/>
  <c r="Q108" i="204"/>
  <c r="Q90" i="204"/>
  <c r="L82" i="204"/>
  <c r="AG56" i="204"/>
  <c r="R108" i="204"/>
  <c r="AF63" i="204"/>
  <c r="AH63" i="204"/>
  <c r="AG63" i="204"/>
  <c r="O108" i="204"/>
  <c r="AG68" i="204"/>
  <c r="AH68" i="204"/>
  <c r="AF68" i="204"/>
  <c r="Y94" i="204"/>
  <c r="T98" i="204"/>
  <c r="U82" i="204"/>
  <c r="P108" i="204"/>
  <c r="AH71" i="204"/>
  <c r="AF71" i="204"/>
  <c r="V82" i="204"/>
  <c r="S75" i="204"/>
  <c r="S98" i="204" s="1"/>
  <c r="H82" i="204"/>
  <c r="I82" i="204"/>
  <c r="F94" i="204"/>
  <c r="Z94" i="204"/>
  <c r="Z82" i="204"/>
  <c r="Y75" i="204"/>
  <c r="Y98" i="204" s="1"/>
  <c r="X107" i="204"/>
  <c r="H88" i="204"/>
  <c r="H101" i="204" s="1"/>
  <c r="H106" i="204" s="1"/>
  <c r="AB88" i="204"/>
  <c r="W82" i="204"/>
  <c r="AG61" i="204"/>
  <c r="AI60" i="204"/>
  <c r="AF61" i="204"/>
  <c r="AH61" i="204"/>
  <c r="Q75" i="204"/>
  <c r="Q98" i="204" s="1"/>
  <c r="AF67" i="204"/>
  <c r="AH67" i="204"/>
  <c r="AG67" i="204"/>
  <c r="N90" i="204"/>
  <c r="N82" i="204"/>
  <c r="Y107" i="204"/>
  <c r="I88" i="204"/>
  <c r="I101" i="204" s="1"/>
  <c r="I106" i="204" s="1"/>
  <c r="AC88" i="204"/>
  <c r="AC101" i="204" s="1"/>
  <c r="AC106" i="204" s="1"/>
  <c r="AF70" i="204"/>
  <c r="F75" i="204"/>
  <c r="F98" i="204" s="1"/>
  <c r="F101" i="204" s="1"/>
  <c r="F106" i="204" s="1"/>
  <c r="AG40" i="204"/>
  <c r="G75" i="204"/>
  <c r="G98" i="204" s="1"/>
  <c r="U108" i="204"/>
  <c r="AF41" i="204"/>
  <c r="X108" i="204"/>
  <c r="AG41" i="204"/>
  <c r="R90" i="204"/>
  <c r="R107" i="204" s="1"/>
  <c r="Y59" i="204"/>
  <c r="Y96" i="204" s="1"/>
  <c r="Y101" i="204" s="1"/>
  <c r="Y106" i="204" s="1"/>
  <c r="AH47" i="204"/>
  <c r="AF62" i="204"/>
  <c r="AI65" i="204"/>
  <c r="T90" i="204"/>
  <c r="T107" i="204" s="1"/>
  <c r="AI34" i="204"/>
  <c r="S108" i="204"/>
  <c r="T108" i="204"/>
  <c r="AH57" i="204"/>
  <c r="T96" i="204"/>
  <c r="V108" i="204"/>
  <c r="AF47" i="204"/>
  <c r="Y108" i="204"/>
  <c r="S90" i="204"/>
  <c r="S107" i="204" s="1"/>
  <c r="F108" i="204"/>
  <c r="Z108" i="204"/>
  <c r="AG62" i="204"/>
  <c r="U90" i="204"/>
  <c r="U107" i="204" s="1"/>
  <c r="AH62" i="204"/>
  <c r="R82" i="204"/>
  <c r="W90" i="204"/>
  <c r="W107" i="204" s="1"/>
  <c r="AH40" i="204"/>
  <c r="AF57" i="204"/>
  <c r="AF38" i="204"/>
  <c r="AF55" i="204"/>
  <c r="AG38" i="204"/>
  <c r="AF43" i="204"/>
  <c r="AG55" i="204"/>
  <c r="N297" i="157"/>
  <c r="F728" i="88"/>
  <c r="F727" i="88"/>
  <c r="F726" i="88"/>
  <c r="F736" i="88"/>
  <c r="F691" i="88"/>
  <c r="U104" i="203"/>
  <c r="F716" i="88"/>
  <c r="F717" i="88"/>
  <c r="V75" i="203"/>
  <c r="V64" i="203"/>
  <c r="V59" i="203"/>
  <c r="V17" i="203"/>
  <c r="F731" i="88"/>
  <c r="F715" i="88"/>
  <c r="AE294" i="157"/>
  <c r="T74" i="203"/>
  <c r="T71" i="203"/>
  <c r="T70" i="203"/>
  <c r="T69" i="203"/>
  <c r="T68" i="203"/>
  <c r="T67" i="203"/>
  <c r="T62" i="203"/>
  <c r="T61" i="203"/>
  <c r="T43" i="203"/>
  <c r="T41" i="203"/>
  <c r="T40" i="203"/>
  <c r="T38" i="203"/>
  <c r="AN51" i="203"/>
  <c r="F575" i="88"/>
  <c r="F619" i="88"/>
  <c r="F652" i="88"/>
  <c r="F713" i="88"/>
  <c r="AE293" i="157"/>
  <c r="S74" i="203"/>
  <c r="S71" i="203"/>
  <c r="S70" i="203"/>
  <c r="S69" i="203"/>
  <c r="S68" i="203"/>
  <c r="S67" i="203"/>
  <c r="S62" i="203"/>
  <c r="S61" i="203"/>
  <c r="AB82" i="204" l="1"/>
  <c r="AA101" i="204"/>
  <c r="AA106" i="204" s="1"/>
  <c r="Z101" i="204"/>
  <c r="Z106" i="204" s="1"/>
  <c r="W101" i="204"/>
  <c r="W106" i="204" s="1"/>
  <c r="S101" i="204"/>
  <c r="S106" i="204" s="1"/>
  <c r="S82" i="204"/>
  <c r="R101" i="204"/>
  <c r="R106" i="204" s="1"/>
  <c r="G82" i="204"/>
  <c r="U101" i="204"/>
  <c r="U106" i="204" s="1"/>
  <c r="T101" i="204"/>
  <c r="T106" i="204" s="1"/>
  <c r="G101" i="204"/>
  <c r="G106" i="204" s="1"/>
  <c r="AB101" i="204"/>
  <c r="AB106" i="204" s="1"/>
  <c r="Q107" i="204"/>
  <c r="Q101" i="204"/>
  <c r="Q106" i="204" s="1"/>
  <c r="Q82" i="204"/>
  <c r="F82" i="204"/>
  <c r="P107" i="204"/>
  <c r="P101" i="204"/>
  <c r="P106" i="204" s="1"/>
  <c r="Y82" i="204"/>
  <c r="N107" i="204"/>
  <c r="N101" i="204"/>
  <c r="N106" i="204" s="1"/>
  <c r="O107" i="204"/>
  <c r="O101" i="204"/>
  <c r="O106" i="204" s="1"/>
  <c r="F714" i="88"/>
  <c r="F712" i="88"/>
  <c r="F707" i="88"/>
  <c r="F705" i="88"/>
  <c r="F706" i="88"/>
  <c r="F718" i="88"/>
  <c r="F720" i="88"/>
  <c r="F719" i="88"/>
  <c r="AE292" i="157"/>
  <c r="R74" i="203"/>
  <c r="R71" i="203"/>
  <c r="R70" i="203"/>
  <c r="R69" i="203"/>
  <c r="R68" i="203"/>
  <c r="R67" i="203"/>
  <c r="F685" i="88"/>
  <c r="F723" i="88"/>
  <c r="AE291" i="157"/>
  <c r="Q74" i="203"/>
  <c r="Q71" i="203"/>
  <c r="Q70" i="203"/>
  <c r="Q69" i="203"/>
  <c r="Q68" i="203"/>
  <c r="Q67" i="203"/>
  <c r="Q63" i="203"/>
  <c r="Q62" i="203"/>
  <c r="F710" i="88"/>
  <c r="P74" i="203"/>
  <c r="P70" i="203"/>
  <c r="P67" i="203"/>
  <c r="AE290" i="157"/>
  <c r="F709" i="88"/>
  <c r="AE289" i="157"/>
  <c r="O74" i="203"/>
  <c r="O70" i="203"/>
  <c r="O67" i="203"/>
  <c r="O66" i="203"/>
  <c r="O63" i="203"/>
  <c r="O62" i="203"/>
  <c r="F711" i="88"/>
  <c r="F676" i="88"/>
  <c r="AE288" i="157"/>
  <c r="F694" i="88"/>
  <c r="F693" i="88"/>
  <c r="F697" i="88"/>
  <c r="F698" i="88"/>
  <c r="F692" i="88"/>
  <c r="AE287" i="157"/>
  <c r="M74" i="203"/>
  <c r="M70" i="203"/>
  <c r="M71" i="203"/>
  <c r="M68" i="203"/>
  <c r="F507" i="88"/>
  <c r="F673" i="88" l="1"/>
  <c r="F678" i="88"/>
  <c r="AE286" i="157"/>
  <c r="L74" i="203"/>
  <c r="L71" i="203"/>
  <c r="L70" i="203"/>
  <c r="L68" i="203"/>
  <c r="AE285" i="157"/>
  <c r="AE284" i="157"/>
  <c r="AE283" i="157"/>
  <c r="F687" i="88"/>
  <c r="I68" i="203"/>
  <c r="I70" i="203"/>
  <c r="I71" i="203"/>
  <c r="I74" i="203"/>
  <c r="AE282" i="157"/>
  <c r="H95" i="203"/>
  <c r="H74" i="203"/>
  <c r="H71" i="203"/>
  <c r="H70" i="203"/>
  <c r="H68" i="203"/>
  <c r="F671" i="88"/>
  <c r="F690" i="88"/>
  <c r="H64" i="203"/>
  <c r="H97" i="203" s="1"/>
  <c r="AE281" i="157"/>
  <c r="G95" i="203"/>
  <c r="G74" i="203"/>
  <c r="G71" i="203"/>
  <c r="G70" i="203"/>
  <c r="G68" i="203"/>
  <c r="G75" i="203" s="1"/>
  <c r="G98" i="203" s="1"/>
  <c r="G61" i="203"/>
  <c r="G63" i="203"/>
  <c r="AC74" i="201"/>
  <c r="AC71" i="201"/>
  <c r="AC70" i="201"/>
  <c r="AC68" i="201"/>
  <c r="AC67" i="201"/>
  <c r="AE278" i="157"/>
  <c r="AE280" i="157"/>
  <c r="F689" i="88"/>
  <c r="F688" i="88"/>
  <c r="F686" i="88"/>
  <c r="F655" i="88"/>
  <c r="F68" i="203"/>
  <c r="F70" i="203"/>
  <c r="F71" i="203"/>
  <c r="F74" i="203"/>
  <c r="F63" i="203"/>
  <c r="F61" i="203"/>
  <c r="F64" i="203" s="1"/>
  <c r="F97" i="203" s="1"/>
  <c r="F607" i="88"/>
  <c r="F661" i="88"/>
  <c r="F95" i="203"/>
  <c r="AH67" i="203"/>
  <c r="AC125" i="203"/>
  <c r="AB125" i="203"/>
  <c r="AA125" i="203"/>
  <c r="Z125" i="203"/>
  <c r="Y125" i="203"/>
  <c r="X125" i="203"/>
  <c r="W125" i="203"/>
  <c r="V125" i="203"/>
  <c r="U125" i="203"/>
  <c r="T125" i="203"/>
  <c r="S125" i="203"/>
  <c r="R125" i="203"/>
  <c r="Q125" i="203"/>
  <c r="P125" i="203"/>
  <c r="O125" i="203"/>
  <c r="N125" i="203"/>
  <c r="M125" i="203"/>
  <c r="L125" i="203"/>
  <c r="K125" i="203"/>
  <c r="J125" i="203"/>
  <c r="I125" i="203"/>
  <c r="H125" i="203"/>
  <c r="G125" i="203"/>
  <c r="F125" i="203"/>
  <c r="AC105" i="203"/>
  <c r="AB105" i="203"/>
  <c r="AA105" i="203"/>
  <c r="Z105" i="203"/>
  <c r="Y105" i="203"/>
  <c r="X105" i="203"/>
  <c r="W105" i="203"/>
  <c r="V105" i="203"/>
  <c r="U105" i="203"/>
  <c r="T105" i="203"/>
  <c r="S105" i="203"/>
  <c r="R105" i="203"/>
  <c r="Q105" i="203"/>
  <c r="P105" i="203"/>
  <c r="O105" i="203"/>
  <c r="N105" i="203"/>
  <c r="M105" i="203"/>
  <c r="L105" i="203"/>
  <c r="K105" i="203"/>
  <c r="J105" i="203"/>
  <c r="I105" i="203"/>
  <c r="H105" i="203"/>
  <c r="G105" i="203"/>
  <c r="F105" i="203"/>
  <c r="AC100" i="203"/>
  <c r="AB100" i="203"/>
  <c r="AA100" i="203"/>
  <c r="Z100" i="203"/>
  <c r="Y100" i="203"/>
  <c r="X100" i="203"/>
  <c r="W100" i="203"/>
  <c r="V100" i="203"/>
  <c r="U100" i="203"/>
  <c r="T100" i="203"/>
  <c r="S100" i="203"/>
  <c r="R100" i="203"/>
  <c r="Q100" i="203"/>
  <c r="P100" i="203"/>
  <c r="O100" i="203"/>
  <c r="N100" i="203"/>
  <c r="M100" i="203"/>
  <c r="L100" i="203"/>
  <c r="K100" i="203"/>
  <c r="J100" i="203"/>
  <c r="I100" i="203"/>
  <c r="H100" i="203"/>
  <c r="G100" i="203"/>
  <c r="F100" i="203"/>
  <c r="AC79" i="203"/>
  <c r="AC99" i="203" s="1"/>
  <c r="AB79" i="203"/>
  <c r="AB99" i="203" s="1"/>
  <c r="AA79" i="203"/>
  <c r="AA99" i="203" s="1"/>
  <c r="Z79" i="203"/>
  <c r="Z99" i="203" s="1"/>
  <c r="Y79" i="203"/>
  <c r="Y99" i="203" s="1"/>
  <c r="X79" i="203"/>
  <c r="X99" i="203" s="1"/>
  <c r="W79" i="203"/>
  <c r="W99" i="203" s="1"/>
  <c r="V79" i="203"/>
  <c r="V99" i="203" s="1"/>
  <c r="U79" i="203"/>
  <c r="U99" i="203" s="1"/>
  <c r="T79" i="203"/>
  <c r="T99" i="203" s="1"/>
  <c r="S79" i="203"/>
  <c r="S99" i="203" s="1"/>
  <c r="R79" i="203"/>
  <c r="R99" i="203" s="1"/>
  <c r="Q79" i="203"/>
  <c r="Q99" i="203" s="1"/>
  <c r="P79" i="203"/>
  <c r="P99" i="203" s="1"/>
  <c r="O79" i="203"/>
  <c r="O99" i="203" s="1"/>
  <c r="N79" i="203"/>
  <c r="N99" i="203" s="1"/>
  <c r="M79" i="203"/>
  <c r="M99" i="203" s="1"/>
  <c r="L79" i="203"/>
  <c r="L99" i="203" s="1"/>
  <c r="K79" i="203"/>
  <c r="K99" i="203" s="1"/>
  <c r="J79" i="203"/>
  <c r="J99" i="203" s="1"/>
  <c r="I79" i="203"/>
  <c r="I99" i="203" s="1"/>
  <c r="H79" i="203"/>
  <c r="H99" i="203" s="1"/>
  <c r="G79" i="203"/>
  <c r="G99" i="203" s="1"/>
  <c r="F79" i="203"/>
  <c r="F99" i="203" s="1"/>
  <c r="C79" i="203"/>
  <c r="AH78" i="203"/>
  <c r="AG78" i="203"/>
  <c r="AF78" i="203"/>
  <c r="AH77" i="203"/>
  <c r="AG77" i="203"/>
  <c r="AF77" i="203"/>
  <c r="AI76" i="203"/>
  <c r="Y75" i="203"/>
  <c r="Y98" i="203" s="1"/>
  <c r="X75" i="203"/>
  <c r="X98" i="203" s="1"/>
  <c r="W75" i="203"/>
  <c r="W98" i="203" s="1"/>
  <c r="V98" i="203"/>
  <c r="U75" i="203"/>
  <c r="U98" i="203" s="1"/>
  <c r="O75" i="203"/>
  <c r="O98" i="203" s="1"/>
  <c r="N75" i="203"/>
  <c r="N98" i="203" s="1"/>
  <c r="K75" i="203"/>
  <c r="K98" i="203" s="1"/>
  <c r="C75" i="203"/>
  <c r="B75" i="203"/>
  <c r="B79" i="203" s="1"/>
  <c r="B25" i="203" s="1"/>
  <c r="AH73" i="203"/>
  <c r="AG73" i="203"/>
  <c r="AF73" i="203"/>
  <c r="AH72" i="203"/>
  <c r="AG72" i="203"/>
  <c r="AF72" i="203"/>
  <c r="AB75" i="203"/>
  <c r="AB98" i="203" s="1"/>
  <c r="M75" i="203"/>
  <c r="AH66" i="203"/>
  <c r="AG66" i="203"/>
  <c r="AF66" i="203"/>
  <c r="Y64" i="203"/>
  <c r="Y97" i="203" s="1"/>
  <c r="X64" i="203"/>
  <c r="X97" i="203" s="1"/>
  <c r="W64" i="203"/>
  <c r="W97" i="203" s="1"/>
  <c r="V97" i="203"/>
  <c r="U64" i="203"/>
  <c r="U97" i="203" s="1"/>
  <c r="T64" i="203"/>
  <c r="T97" i="203" s="1"/>
  <c r="P64" i="203"/>
  <c r="P97" i="203" s="1"/>
  <c r="O64" i="203"/>
  <c r="O97" i="203" s="1"/>
  <c r="N64" i="203"/>
  <c r="N97" i="203" s="1"/>
  <c r="M64" i="203"/>
  <c r="M97" i="203" s="1"/>
  <c r="L64" i="203"/>
  <c r="L97" i="203" s="1"/>
  <c r="K64" i="203"/>
  <c r="K97" i="203" s="1"/>
  <c r="J64" i="203"/>
  <c r="J97" i="203" s="1"/>
  <c r="I64" i="203"/>
  <c r="I97" i="203" s="1"/>
  <c r="C64" i="203"/>
  <c r="S64" i="203"/>
  <c r="S97" i="203" s="1"/>
  <c r="R64" i="203"/>
  <c r="R97" i="203" s="1"/>
  <c r="AH62" i="203"/>
  <c r="AG62" i="203"/>
  <c r="AF62" i="203"/>
  <c r="AC64" i="203"/>
  <c r="AC97" i="203" s="1"/>
  <c r="AB64" i="203"/>
  <c r="AB97" i="203" s="1"/>
  <c r="AA64" i="203"/>
  <c r="AA97" i="203" s="1"/>
  <c r="Z64" i="203"/>
  <c r="Z97" i="203" s="1"/>
  <c r="Q64" i="203"/>
  <c r="Q97" i="203" s="1"/>
  <c r="AC59" i="203"/>
  <c r="AC96" i="203" s="1"/>
  <c r="Y59" i="203"/>
  <c r="Y96" i="203" s="1"/>
  <c r="X59" i="203"/>
  <c r="X96" i="203" s="1"/>
  <c r="W59" i="203"/>
  <c r="W96" i="203" s="1"/>
  <c r="V96" i="203"/>
  <c r="U59" i="203"/>
  <c r="U96" i="203" s="1"/>
  <c r="T59" i="203"/>
  <c r="T96" i="203" s="1"/>
  <c r="S59" i="203"/>
  <c r="S96" i="203" s="1"/>
  <c r="R59" i="203"/>
  <c r="R96" i="203" s="1"/>
  <c r="Q59" i="203"/>
  <c r="Q96" i="203" s="1"/>
  <c r="P59" i="203"/>
  <c r="P96" i="203" s="1"/>
  <c r="O59" i="203"/>
  <c r="O96" i="203" s="1"/>
  <c r="N59" i="203"/>
  <c r="N96" i="203" s="1"/>
  <c r="M59" i="203"/>
  <c r="M96" i="203" s="1"/>
  <c r="L59" i="203"/>
  <c r="K59" i="203"/>
  <c r="J59" i="203"/>
  <c r="I59" i="203"/>
  <c r="H59" i="203"/>
  <c r="G59" i="203"/>
  <c r="F59" i="203"/>
  <c r="C59" i="203"/>
  <c r="B59" i="203"/>
  <c r="B64" i="203" s="1"/>
  <c r="AF58" i="203"/>
  <c r="AH56" i="203"/>
  <c r="AG56" i="203"/>
  <c r="AF56" i="203"/>
  <c r="AH55" i="203"/>
  <c r="AG55" i="203"/>
  <c r="AF55" i="203"/>
  <c r="AH54" i="203"/>
  <c r="AG54" i="203"/>
  <c r="AF54" i="203"/>
  <c r="AF53" i="203"/>
  <c r="AH52" i="203"/>
  <c r="AG52" i="203"/>
  <c r="AF52" i="203"/>
  <c r="AH51" i="203"/>
  <c r="AG51" i="203"/>
  <c r="AF51" i="203"/>
  <c r="AH50" i="203"/>
  <c r="AG50" i="203"/>
  <c r="AF50" i="203"/>
  <c r="AH49" i="203"/>
  <c r="AG49" i="203"/>
  <c r="AF49" i="203"/>
  <c r="AH48" i="203"/>
  <c r="AG48" i="203"/>
  <c r="AF48" i="203"/>
  <c r="AH47" i="203"/>
  <c r="AH46" i="203"/>
  <c r="AG46" i="203"/>
  <c r="AF46" i="203"/>
  <c r="AH45" i="203"/>
  <c r="AG45" i="203"/>
  <c r="AF45" i="203"/>
  <c r="AA59" i="203"/>
  <c r="AA96" i="203" s="1"/>
  <c r="AH43" i="203"/>
  <c r="AG43" i="203"/>
  <c r="AF43" i="203"/>
  <c r="AH42" i="203"/>
  <c r="AG42" i="203"/>
  <c r="AF42" i="203"/>
  <c r="AG41" i="203"/>
  <c r="AB59" i="203"/>
  <c r="AB96" i="203" s="1"/>
  <c r="AH39" i="203"/>
  <c r="AG39" i="203"/>
  <c r="AF39" i="203"/>
  <c r="AH38" i="203"/>
  <c r="AG38" i="203"/>
  <c r="AF38" i="203"/>
  <c r="AH37" i="203"/>
  <c r="AG37" i="203"/>
  <c r="AF37" i="203"/>
  <c r="AH36" i="203"/>
  <c r="AG36" i="203"/>
  <c r="AF36" i="203"/>
  <c r="AH35" i="203"/>
  <c r="AG35" i="203"/>
  <c r="AF35" i="203"/>
  <c r="AC33" i="203"/>
  <c r="AC94" i="203" s="1"/>
  <c r="AB33" i="203"/>
  <c r="AB94" i="203" s="1"/>
  <c r="AA33" i="203"/>
  <c r="AA94" i="203" s="1"/>
  <c r="Z33" i="203"/>
  <c r="Z94" i="203" s="1"/>
  <c r="Y33" i="203"/>
  <c r="Y94" i="203" s="1"/>
  <c r="X33" i="203"/>
  <c r="X94" i="203" s="1"/>
  <c r="W33" i="203"/>
  <c r="W94" i="203" s="1"/>
  <c r="V33" i="203"/>
  <c r="V94" i="203" s="1"/>
  <c r="U33" i="203"/>
  <c r="U94" i="203" s="1"/>
  <c r="T33" i="203"/>
  <c r="T94" i="203" s="1"/>
  <c r="S33" i="203"/>
  <c r="S94" i="203" s="1"/>
  <c r="R33" i="203"/>
  <c r="R94" i="203" s="1"/>
  <c r="Q33" i="203"/>
  <c r="Q94" i="203" s="1"/>
  <c r="P33" i="203"/>
  <c r="P94" i="203" s="1"/>
  <c r="O33" i="203"/>
  <c r="O94" i="203" s="1"/>
  <c r="N33" i="203"/>
  <c r="N94" i="203" s="1"/>
  <c r="M33" i="203"/>
  <c r="M94" i="203" s="1"/>
  <c r="L33" i="203"/>
  <c r="L94" i="203" s="1"/>
  <c r="K33" i="203"/>
  <c r="K94" i="203" s="1"/>
  <c r="J33" i="203"/>
  <c r="J94" i="203" s="1"/>
  <c r="I33" i="203"/>
  <c r="I94" i="203" s="1"/>
  <c r="H33" i="203"/>
  <c r="H94" i="203" s="1"/>
  <c r="G33" i="203"/>
  <c r="G94" i="203" s="1"/>
  <c r="F33" i="203"/>
  <c r="F94" i="203" s="1"/>
  <c r="C33" i="203"/>
  <c r="B33" i="203"/>
  <c r="AH32" i="203"/>
  <c r="AG32" i="203"/>
  <c r="AF32" i="203"/>
  <c r="AI31" i="203"/>
  <c r="AC30" i="203"/>
  <c r="AC92" i="203" s="1"/>
  <c r="AB30" i="203"/>
  <c r="AB92" i="203" s="1"/>
  <c r="AA30" i="203"/>
  <c r="AA92" i="203" s="1"/>
  <c r="Z30" i="203"/>
  <c r="Z92" i="203" s="1"/>
  <c r="Y30" i="203"/>
  <c r="Y92" i="203" s="1"/>
  <c r="X30" i="203"/>
  <c r="X92" i="203" s="1"/>
  <c r="W30" i="203"/>
  <c r="W92" i="203" s="1"/>
  <c r="V30" i="203"/>
  <c r="V92" i="203" s="1"/>
  <c r="U30" i="203"/>
  <c r="U92" i="203" s="1"/>
  <c r="T30" i="203"/>
  <c r="T92" i="203" s="1"/>
  <c r="S30" i="203"/>
  <c r="S92" i="203" s="1"/>
  <c r="R30" i="203"/>
  <c r="R92" i="203" s="1"/>
  <c r="Q30" i="203"/>
  <c r="Q92" i="203" s="1"/>
  <c r="P30" i="203"/>
  <c r="P92" i="203" s="1"/>
  <c r="O30" i="203"/>
  <c r="O92" i="203" s="1"/>
  <c r="N30" i="203"/>
  <c r="N92" i="203" s="1"/>
  <c r="M30" i="203"/>
  <c r="M92" i="203" s="1"/>
  <c r="L30" i="203"/>
  <c r="L92" i="203" s="1"/>
  <c r="K30" i="203"/>
  <c r="K92" i="203" s="1"/>
  <c r="J30" i="203"/>
  <c r="J92" i="203" s="1"/>
  <c r="I30" i="203"/>
  <c r="I92" i="203" s="1"/>
  <c r="H30" i="203"/>
  <c r="H92" i="203" s="1"/>
  <c r="G30" i="203"/>
  <c r="G92" i="203" s="1"/>
  <c r="F30" i="203"/>
  <c r="F92" i="203" s="1"/>
  <c r="C30" i="203"/>
  <c r="B30" i="203"/>
  <c r="AH28" i="203"/>
  <c r="AG28" i="203"/>
  <c r="AF28" i="203"/>
  <c r="AH27" i="203"/>
  <c r="AG27" i="203"/>
  <c r="AF27" i="203"/>
  <c r="AI26" i="203"/>
  <c r="AC25" i="203"/>
  <c r="AB25" i="203"/>
  <c r="AA25" i="203"/>
  <c r="Z25" i="203"/>
  <c r="Y25" i="203"/>
  <c r="X25" i="203"/>
  <c r="W25" i="203"/>
  <c r="V25" i="203"/>
  <c r="U25" i="203"/>
  <c r="T25" i="203"/>
  <c r="S25" i="203"/>
  <c r="R25" i="203"/>
  <c r="Q25" i="203"/>
  <c r="P25" i="203"/>
  <c r="O25" i="203"/>
  <c r="N25" i="203"/>
  <c r="M25" i="203"/>
  <c r="L25" i="203"/>
  <c r="K25" i="203"/>
  <c r="J25" i="203"/>
  <c r="I25" i="203"/>
  <c r="H25" i="203"/>
  <c r="G25" i="203"/>
  <c r="F25" i="203"/>
  <c r="C25" i="203"/>
  <c r="AH24" i="203"/>
  <c r="AG24" i="203"/>
  <c r="AF24" i="203"/>
  <c r="AI23" i="203"/>
  <c r="AC22" i="203"/>
  <c r="AC88" i="203" s="1"/>
  <c r="AB22" i="203"/>
  <c r="AA22" i="203"/>
  <c r="AA88" i="203" s="1"/>
  <c r="Z22" i="203"/>
  <c r="Y22" i="203"/>
  <c r="X22" i="203"/>
  <c r="W22" i="203"/>
  <c r="W88" i="203" s="1"/>
  <c r="V22" i="203"/>
  <c r="U22" i="203"/>
  <c r="T22" i="203"/>
  <c r="S22" i="203"/>
  <c r="R22" i="203"/>
  <c r="Q22" i="203"/>
  <c r="P22" i="203"/>
  <c r="O22" i="203"/>
  <c r="N22" i="203"/>
  <c r="M22" i="203"/>
  <c r="L22" i="203"/>
  <c r="K22" i="203"/>
  <c r="J22" i="203"/>
  <c r="J88" i="203" s="1"/>
  <c r="I22" i="203"/>
  <c r="I88" i="203" s="1"/>
  <c r="H22" i="203"/>
  <c r="G22" i="203"/>
  <c r="F22" i="203"/>
  <c r="C22" i="203"/>
  <c r="B22" i="203"/>
  <c r="AH21" i="203"/>
  <c r="AG21" i="203"/>
  <c r="AF21" i="203"/>
  <c r="AH20" i="203"/>
  <c r="AG20" i="203"/>
  <c r="AF20" i="203"/>
  <c r="AH19" i="203"/>
  <c r="AG19" i="203"/>
  <c r="AF19" i="203"/>
  <c r="AI18" i="203"/>
  <c r="AC17" i="203"/>
  <c r="AB17" i="203"/>
  <c r="AB90" i="203" s="1"/>
  <c r="AA17" i="203"/>
  <c r="AA90" i="203" s="1"/>
  <c r="Z17" i="203"/>
  <c r="Z90" i="203" s="1"/>
  <c r="Y17" i="203"/>
  <c r="Y90" i="203" s="1"/>
  <c r="X17" i="203"/>
  <c r="X90" i="203" s="1"/>
  <c r="W17" i="203"/>
  <c r="W90" i="203" s="1"/>
  <c r="V90" i="203"/>
  <c r="U17" i="203"/>
  <c r="U90" i="203" s="1"/>
  <c r="T17" i="203"/>
  <c r="T90" i="203" s="1"/>
  <c r="S17" i="203"/>
  <c r="S90" i="203" s="1"/>
  <c r="R17" i="203"/>
  <c r="R90" i="203" s="1"/>
  <c r="Q17" i="203"/>
  <c r="Q90" i="203" s="1"/>
  <c r="P17" i="203"/>
  <c r="P90" i="203" s="1"/>
  <c r="O17" i="203"/>
  <c r="O90" i="203" s="1"/>
  <c r="N17" i="203"/>
  <c r="N90" i="203" s="1"/>
  <c r="M17" i="203"/>
  <c r="L17" i="203"/>
  <c r="K17" i="203"/>
  <c r="J17" i="203"/>
  <c r="I17" i="203"/>
  <c r="H17" i="203"/>
  <c r="H90" i="203" s="1"/>
  <c r="G17" i="203"/>
  <c r="G90" i="203" s="1"/>
  <c r="F17" i="203"/>
  <c r="F90" i="203" s="1"/>
  <c r="C17" i="203"/>
  <c r="B17" i="203"/>
  <c r="AH16" i="203"/>
  <c r="AG16" i="203"/>
  <c r="AF16" i="203"/>
  <c r="AH15" i="203"/>
  <c r="AG15" i="203"/>
  <c r="AF15" i="203"/>
  <c r="AH14" i="203"/>
  <c r="AG14" i="203"/>
  <c r="AF14" i="203"/>
  <c r="AH13" i="203"/>
  <c r="AG13" i="203"/>
  <c r="AF13" i="203"/>
  <c r="AI12" i="203"/>
  <c r="M9" i="203" a="1"/>
  <c r="M9" i="203" s="1"/>
  <c r="AC62" i="201"/>
  <c r="AC61" i="201"/>
  <c r="AC95" i="201"/>
  <c r="F668" i="88"/>
  <c r="F663" i="88"/>
  <c r="G355" i="157" a="1"/>
  <c r="F88" i="203" l="1"/>
  <c r="Z88" i="203"/>
  <c r="I75" i="203"/>
  <c r="I98" i="203" s="1"/>
  <c r="AH70" i="203"/>
  <c r="B82" i="203"/>
  <c r="L88" i="203"/>
  <c r="K88" i="203"/>
  <c r="H88" i="203"/>
  <c r="AB88" i="203"/>
  <c r="AB101" i="203" s="1"/>
  <c r="AB106" i="203" s="1"/>
  <c r="S107" i="203"/>
  <c r="Y88" i="203"/>
  <c r="Y101" i="203" s="1"/>
  <c r="Y106" i="203" s="1"/>
  <c r="X88" i="203"/>
  <c r="F96" i="203"/>
  <c r="F83" i="203"/>
  <c r="J96" i="203"/>
  <c r="J83" i="203"/>
  <c r="I96" i="203"/>
  <c r="I83" i="203"/>
  <c r="G96" i="203"/>
  <c r="G83" i="203"/>
  <c r="H96" i="203"/>
  <c r="H83" i="203"/>
  <c r="K96" i="203"/>
  <c r="K83" i="203"/>
  <c r="L96" i="203"/>
  <c r="L83" i="203"/>
  <c r="V107" i="203"/>
  <c r="U107" i="203"/>
  <c r="T107" i="203"/>
  <c r="R107" i="203"/>
  <c r="N107" i="203"/>
  <c r="J75" i="203"/>
  <c r="J98" i="203" s="1"/>
  <c r="H75" i="203"/>
  <c r="H98" i="203" s="1"/>
  <c r="F107" i="203"/>
  <c r="G64" i="203"/>
  <c r="G97" i="203" s="1"/>
  <c r="G88" i="203"/>
  <c r="AH74" i="203"/>
  <c r="AI60" i="203"/>
  <c r="G107" i="203"/>
  <c r="Y108" i="203"/>
  <c r="H107" i="203"/>
  <c r="W107" i="203"/>
  <c r="X107" i="203"/>
  <c r="W108" i="203"/>
  <c r="Z107" i="203"/>
  <c r="AB107" i="203"/>
  <c r="Y107" i="203"/>
  <c r="AA107" i="203"/>
  <c r="N88" i="203"/>
  <c r="N101" i="203" s="1"/>
  <c r="N106" i="203" s="1"/>
  <c r="P88" i="203"/>
  <c r="M88" i="203"/>
  <c r="R108" i="203"/>
  <c r="U82" i="203"/>
  <c r="O88" i="203"/>
  <c r="O101" i="203" s="1"/>
  <c r="O106" i="203" s="1"/>
  <c r="V82" i="203"/>
  <c r="V108" i="203"/>
  <c r="X82" i="203"/>
  <c r="Q108" i="203"/>
  <c r="P108" i="203"/>
  <c r="T108" i="203"/>
  <c r="U108" i="203"/>
  <c r="S108" i="203"/>
  <c r="X108" i="203"/>
  <c r="M98" i="203"/>
  <c r="M82" i="203"/>
  <c r="AH68" i="203"/>
  <c r="AG68" i="203"/>
  <c r="AF68" i="203"/>
  <c r="L75" i="203"/>
  <c r="Z59" i="203"/>
  <c r="Z96" i="203" s="1"/>
  <c r="O82" i="203"/>
  <c r="O108" i="203"/>
  <c r="AH71" i="203"/>
  <c r="AG71" i="203"/>
  <c r="C82" i="203"/>
  <c r="AG44" i="203"/>
  <c r="AH44" i="203"/>
  <c r="AG63" i="203"/>
  <c r="AH63" i="203"/>
  <c r="AF63" i="203"/>
  <c r="R75" i="203"/>
  <c r="R98" i="203" s="1"/>
  <c r="AG70" i="203"/>
  <c r="AF70" i="203"/>
  <c r="G82" i="203"/>
  <c r="S75" i="203"/>
  <c r="S98" i="203" s="1"/>
  <c r="AB82" i="203"/>
  <c r="AH61" i="203"/>
  <c r="AG61" i="203"/>
  <c r="AF61" i="203"/>
  <c r="Z75" i="203"/>
  <c r="Z98" i="203" s="1"/>
  <c r="P75" i="203"/>
  <c r="AG69" i="203"/>
  <c r="AH69" i="203"/>
  <c r="T75" i="203"/>
  <c r="T98" i="203" s="1"/>
  <c r="AF71" i="203"/>
  <c r="W101" i="203"/>
  <c r="W106" i="203" s="1"/>
  <c r="AG74" i="203"/>
  <c r="AF74" i="203"/>
  <c r="Y82" i="203"/>
  <c r="AA75" i="203"/>
  <c r="AA98" i="203" s="1"/>
  <c r="AA101" i="203" s="1"/>
  <c r="AA106" i="203" s="1"/>
  <c r="K82" i="203"/>
  <c r="N82" i="203"/>
  <c r="AF44" i="203"/>
  <c r="R88" i="203"/>
  <c r="AI65" i="203"/>
  <c r="F75" i="203"/>
  <c r="F98" i="203" s="1"/>
  <c r="O107" i="203"/>
  <c r="P107" i="203"/>
  <c r="Q107" i="203"/>
  <c r="X101" i="203"/>
  <c r="X106" i="203" s="1"/>
  <c r="AG57" i="203"/>
  <c r="AH57" i="203"/>
  <c r="AF57" i="203"/>
  <c r="N108" i="203"/>
  <c r="I82" i="203"/>
  <c r="I108" i="203"/>
  <c r="I90" i="203"/>
  <c r="I107" i="203" s="1"/>
  <c r="AC90" i="203"/>
  <c r="AC107" i="203" s="1"/>
  <c r="AC108" i="203"/>
  <c r="Q75" i="203"/>
  <c r="Q98" i="203" s="1"/>
  <c r="J108" i="203"/>
  <c r="J90" i="203"/>
  <c r="K90" i="203"/>
  <c r="K108" i="203"/>
  <c r="AC75" i="203"/>
  <c r="AC98" i="203" s="1"/>
  <c r="L108" i="203"/>
  <c r="L90" i="203"/>
  <c r="AF67" i="203"/>
  <c r="M108" i="203"/>
  <c r="M90" i="203"/>
  <c r="Q88" i="203"/>
  <c r="AG67" i="203"/>
  <c r="AF69" i="203"/>
  <c r="AI34" i="203"/>
  <c r="AF41" i="203"/>
  <c r="AF47" i="203"/>
  <c r="W82" i="203"/>
  <c r="S88" i="203"/>
  <c r="F108" i="203"/>
  <c r="Z108" i="203"/>
  <c r="AH41" i="203"/>
  <c r="AG47" i="203"/>
  <c r="AH53" i="203"/>
  <c r="AG58" i="203"/>
  <c r="T88" i="203"/>
  <c r="G108" i="203"/>
  <c r="AA108" i="203"/>
  <c r="AH58" i="203"/>
  <c r="U88" i="203"/>
  <c r="U101" i="203" s="1"/>
  <c r="U106" i="203" s="1"/>
  <c r="H108" i="203"/>
  <c r="AB108" i="203"/>
  <c r="AF40" i="203"/>
  <c r="AG40" i="203"/>
  <c r="V88" i="203"/>
  <c r="V101" i="203" s="1"/>
  <c r="V106" i="203" s="1"/>
  <c r="AG53" i="203"/>
  <c r="AH40" i="203"/>
  <c r="G355" i="157"/>
  <c r="J355" i="157" a="1"/>
  <c r="G101" i="203" l="1"/>
  <c r="G106" i="203" s="1"/>
  <c r="AA82" i="203"/>
  <c r="AC82" i="203"/>
  <c r="H82" i="203"/>
  <c r="J82" i="203"/>
  <c r="H101" i="203"/>
  <c r="H106" i="203" s="1"/>
  <c r="F101" i="203"/>
  <c r="F106" i="203" s="1"/>
  <c r="T82" i="203"/>
  <c r="R82" i="203"/>
  <c r="R101" i="203"/>
  <c r="R106" i="203" s="1"/>
  <c r="Z101" i="203"/>
  <c r="Z106" i="203" s="1"/>
  <c r="F82" i="203"/>
  <c r="Z82" i="203"/>
  <c r="Q82" i="203"/>
  <c r="L98" i="203"/>
  <c r="L101" i="203" s="1"/>
  <c r="L106" i="203" s="1"/>
  <c r="L82" i="203"/>
  <c r="AC101" i="203"/>
  <c r="AC106" i="203" s="1"/>
  <c r="L107" i="203"/>
  <c r="K107" i="203"/>
  <c r="K101" i="203"/>
  <c r="K106" i="203" s="1"/>
  <c r="S101" i="203"/>
  <c r="S106" i="203" s="1"/>
  <c r="J107" i="203"/>
  <c r="J101" i="203"/>
  <c r="J106" i="203" s="1"/>
  <c r="P98" i="203"/>
  <c r="P101" i="203" s="1"/>
  <c r="P106" i="203" s="1"/>
  <c r="P82" i="203"/>
  <c r="Q101" i="203"/>
  <c r="Q106" i="203" s="1"/>
  <c r="S82" i="203"/>
  <c r="I101" i="203"/>
  <c r="I106" i="203" s="1"/>
  <c r="T101" i="203"/>
  <c r="T106" i="203" s="1"/>
  <c r="M107" i="203"/>
  <c r="M101" i="203"/>
  <c r="M106" i="203" s="1"/>
  <c r="J355" i="157"/>
  <c r="AE277" i="157"/>
  <c r="F660" i="88"/>
  <c r="AB74" i="201"/>
  <c r="AB71" i="201"/>
  <c r="AB70" i="201"/>
  <c r="AB69" i="201"/>
  <c r="AB68" i="201"/>
  <c r="AB67" i="201"/>
  <c r="AB62" i="201"/>
  <c r="AB61" i="201"/>
  <c r="AB41" i="201"/>
  <c r="AB40" i="201"/>
  <c r="F672" i="88"/>
  <c r="F684" i="88"/>
  <c r="F683" i="88"/>
  <c r="AE276" i="157"/>
  <c r="AA74" i="201"/>
  <c r="AA71" i="201"/>
  <c r="AA70" i="201"/>
  <c r="AA69" i="201"/>
  <c r="AA68" i="201"/>
  <c r="AA67" i="201"/>
  <c r="AA62" i="201"/>
  <c r="AA61" i="201"/>
  <c r="AA58" i="201"/>
  <c r="AA57" i="201"/>
  <c r="AA44" i="201"/>
  <c r="F682" i="88"/>
  <c r="F680" i="88"/>
  <c r="F681" i="88"/>
  <c r="F679" i="88"/>
  <c r="AE275" i="157"/>
  <c r="Z74" i="201"/>
  <c r="Z71" i="201"/>
  <c r="Z70" i="201"/>
  <c r="Z69" i="201"/>
  <c r="Z68" i="201"/>
  <c r="Z67" i="201"/>
  <c r="Z62" i="201"/>
  <c r="Z61" i="201"/>
  <c r="Z58" i="201"/>
  <c r="Z57" i="201"/>
  <c r="Z55" i="201"/>
  <c r="Z54" i="201"/>
  <c r="Z53" i="201"/>
  <c r="Z47" i="201"/>
  <c r="Z44" i="201"/>
  <c r="F675" i="88"/>
  <c r="F551" i="88"/>
  <c r="AE274" i="157"/>
  <c r="F674" i="88"/>
  <c r="AE273" i="157"/>
  <c r="F642" i="88"/>
  <c r="F677" i="88"/>
  <c r="F670" i="88"/>
  <c r="F641" i="88"/>
  <c r="F669" i="88"/>
  <c r="AE272" i="157"/>
  <c r="F650" i="88"/>
  <c r="F667" i="88"/>
  <c r="AE271" i="157"/>
  <c r="AE270" i="157"/>
  <c r="F657" i="88"/>
  <c r="F664" i="88"/>
  <c r="F665" i="88"/>
  <c r="F666" i="88"/>
  <c r="AE269" i="157"/>
  <c r="T74" i="201"/>
  <c r="T71" i="201"/>
  <c r="T70" i="201"/>
  <c r="T68" i="201"/>
  <c r="T67" i="201"/>
  <c r="T62" i="201"/>
  <c r="T63" i="201"/>
  <c r="AE268" i="157"/>
  <c r="S67" i="201"/>
  <c r="S68" i="201"/>
  <c r="S70" i="201"/>
  <c r="S71" i="201"/>
  <c r="S74" i="201"/>
  <c r="S63" i="201"/>
  <c r="S62" i="201"/>
  <c r="F662" i="88"/>
  <c r="AE267" i="157"/>
  <c r="AE266" i="157"/>
  <c r="R74" i="201"/>
  <c r="R71" i="201"/>
  <c r="R70" i="201"/>
  <c r="R68" i="201"/>
  <c r="R67" i="201"/>
  <c r="R63" i="201"/>
  <c r="R62" i="201"/>
  <c r="F639" i="88"/>
  <c r="F640" i="88"/>
  <c r="Q74" i="201"/>
  <c r="Q71" i="201"/>
  <c r="Q70" i="201"/>
  <c r="Q69" i="201"/>
  <c r="Q68" i="201"/>
  <c r="Q67" i="201"/>
  <c r="P74" i="201"/>
  <c r="P71" i="201"/>
  <c r="P70" i="201"/>
  <c r="P69" i="201"/>
  <c r="P68" i="201"/>
  <c r="P67" i="201"/>
  <c r="F659" i="88"/>
  <c r="F658" i="88"/>
  <c r="Q63" i="201"/>
  <c r="Q61" i="201"/>
  <c r="AE265" i="157"/>
  <c r="F656" i="88"/>
  <c r="F638" i="88"/>
  <c r="F637" i="88"/>
  <c r="F651" i="88"/>
  <c r="F654" i="88"/>
  <c r="F646" i="88"/>
  <c r="AE264" i="157"/>
  <c r="O74" i="201"/>
  <c r="O71" i="201"/>
  <c r="O70" i="201"/>
  <c r="O68" i="201"/>
  <c r="O67" i="201"/>
  <c r="O63" i="201"/>
  <c r="O61" i="201"/>
  <c r="F653" i="88"/>
  <c r="F648" i="88"/>
  <c r="N74" i="201"/>
  <c r="N71" i="201"/>
  <c r="N70" i="201"/>
  <c r="N68" i="201"/>
  <c r="N67" i="201"/>
  <c r="F635" i="88"/>
  <c r="F649" i="88"/>
  <c r="F645" i="88"/>
  <c r="AE263" i="157"/>
  <c r="N63" i="201"/>
  <c r="N61" i="201"/>
  <c r="F644" i="88"/>
  <c r="F643" i="88"/>
  <c r="AE262" i="157"/>
  <c r="M74" i="201"/>
  <c r="M70" i="201"/>
  <c r="M68" i="201"/>
  <c r="M67" i="201"/>
  <c r="M63" i="201"/>
  <c r="M61" i="201"/>
  <c r="AE261" i="157"/>
  <c r="F622" i="88"/>
  <c r="L74" i="201"/>
  <c r="L70" i="201"/>
  <c r="L68" i="201"/>
  <c r="L67" i="201"/>
  <c r="F606" i="88"/>
  <c r="F618" i="88"/>
  <c r="F636" i="88"/>
  <c r="F626" i="88"/>
  <c r="K70" i="201"/>
  <c r="AE258" i="157"/>
  <c r="J67" i="201"/>
  <c r="J70" i="201"/>
  <c r="I74" i="201"/>
  <c r="I71" i="201"/>
  <c r="I70" i="201"/>
  <c r="I67" i="201"/>
  <c r="H74" i="201"/>
  <c r="H71" i="201"/>
  <c r="H70" i="201"/>
  <c r="H67" i="201"/>
  <c r="AE253" i="157"/>
  <c r="AE252" i="157"/>
  <c r="AE251" i="157"/>
  <c r="AE260" i="157"/>
  <c r="AE259" i="157"/>
  <c r="J352" i="157" a="1"/>
  <c r="AQ308" i="157" a="1"/>
  <c r="R323" i="157" a="1"/>
  <c r="N359" i="157" a="1"/>
  <c r="AQ316" i="157" a="1"/>
  <c r="J278" i="157" a="1"/>
  <c r="AQ361" i="157" a="1"/>
  <c r="AD271" i="157" a="1"/>
  <c r="N296" i="157" a="1"/>
  <c r="AQ298" i="157" a="1"/>
  <c r="BC334" i="157" a="1"/>
  <c r="AD297" i="157" a="1"/>
  <c r="AV350" i="157" a="1"/>
  <c r="AD260" i="157" a="1"/>
  <c r="AQ278" i="157" a="1"/>
  <c r="G351" i="157" a="1"/>
  <c r="BK343" i="157" a="1"/>
  <c r="BC336" i="157" a="1"/>
  <c r="AN347" i="157" a="1"/>
  <c r="AQ349" i="157" a="1"/>
  <c r="BK303" i="157" a="1"/>
  <c r="N345" i="157" a="1"/>
  <c r="AD296" i="157" a="1"/>
  <c r="AQ323" i="157" a="1"/>
  <c r="J306" i="157" a="1"/>
  <c r="J368" i="157" a="1"/>
  <c r="J311" i="157" a="1"/>
  <c r="BC280" i="157" a="1"/>
  <c r="AQ303" i="157" a="1"/>
  <c r="V343" i="157" a="1"/>
  <c r="BK364" i="157" a="1"/>
  <c r="BG357" i="157" a="1"/>
  <c r="BC293" i="157" a="1"/>
  <c r="J277" i="157" a="1"/>
  <c r="AN351" i="157" a="1"/>
  <c r="Z273" i="157" a="1"/>
  <c r="AQ297" i="157" a="1"/>
  <c r="V374" i="157" a="1"/>
  <c r="AV346" i="157" a="1"/>
  <c r="BG287" i="157" a="1"/>
  <c r="V373" i="157" a="1"/>
  <c r="V336" i="157" a="1"/>
  <c r="AH328" i="157" a="1"/>
  <c r="AZ283" i="157" a="1"/>
  <c r="AD299" i="157" a="1"/>
  <c r="AH261" i="157" a="1"/>
  <c r="G283" i="157" a="1"/>
  <c r="AH344" i="157" a="1"/>
  <c r="AZ360" i="157" a="1"/>
  <c r="V326" i="157" a="1"/>
  <c r="R299" i="157" a="1"/>
  <c r="AV332" i="157" a="1"/>
  <c r="AV286" i="157" a="1"/>
  <c r="Z358" i="157" a="1"/>
  <c r="R375" i="157" a="1"/>
  <c r="J369" i="157" a="1"/>
  <c r="BK367" i="157" a="1"/>
  <c r="AD312" i="157" a="1"/>
  <c r="AD343" i="157" a="1"/>
  <c r="R316" i="157" a="1"/>
  <c r="N335" i="157" a="1"/>
  <c r="G302" i="157" a="1"/>
  <c r="AD305" i="157" a="1"/>
  <c r="J255" i="157" a="1"/>
  <c r="Z311" i="157" a="1"/>
  <c r="AD328" i="157" a="1"/>
  <c r="J318" i="157" a="1"/>
  <c r="J298" i="157" a="1"/>
  <c r="AN350" i="157" a="1"/>
  <c r="R270" i="157" a="1"/>
  <c r="AN262" i="157" a="1"/>
  <c r="AH375" i="157" a="1"/>
  <c r="BK313" i="157" a="1"/>
  <c r="AN367" i="157" a="1"/>
  <c r="N341" i="157" a="1"/>
  <c r="R331" i="157" a="1"/>
  <c r="G347" i="157" a="1"/>
  <c r="AN318" i="157" a="1"/>
  <c r="G341" i="157" a="1"/>
  <c r="N290" i="157" a="1"/>
  <c r="R273" i="157" a="1"/>
  <c r="AQ288" i="157" a="1"/>
  <c r="Z259" i="157" a="1"/>
  <c r="AN364" i="157" a="1"/>
  <c r="BG331" i="157" a="1"/>
  <c r="V322" i="157" a="1"/>
  <c r="AN267" i="157" a="1"/>
  <c r="BK300" i="157" a="1"/>
  <c r="BC343" i="157" a="1"/>
  <c r="AH317" i="157" a="1"/>
  <c r="AN311" i="157" a="1"/>
  <c r="AQ358" i="157" a="1"/>
  <c r="R335" i="157" a="1"/>
  <c r="AZ287" i="157" a="1"/>
  <c r="AD298" i="157" a="1"/>
  <c r="AZ288" i="157" a="1"/>
  <c r="BC324" i="157" a="1"/>
  <c r="AH339" i="157" a="1"/>
  <c r="G359" i="157" a="1"/>
  <c r="BC311" i="157" a="1"/>
  <c r="BK299" i="157" a="1"/>
  <c r="Z270" i="157" a="1"/>
  <c r="N353" i="157" a="1"/>
  <c r="J292" i="157" a="1"/>
  <c r="AZ330" i="157" a="1"/>
  <c r="G375" i="157" a="1"/>
  <c r="N367" i="157" a="1"/>
  <c r="BK363" i="157" a="1"/>
  <c r="J268" i="157" a="1"/>
  <c r="V300" i="157" a="1"/>
  <c r="AQ335" i="157" a="1"/>
  <c r="BC323" i="157" a="1"/>
  <c r="AZ305" i="157" a="1"/>
  <c r="Z301" i="157" a="1"/>
  <c r="V355" i="157" a="1"/>
  <c r="R310" i="157" a="1"/>
  <c r="N315" i="157" a="1"/>
  <c r="J307" i="157" a="1"/>
  <c r="AH276" i="157" a="1"/>
  <c r="AN298" i="157" a="1"/>
  <c r="G321" i="157" a="1"/>
  <c r="V293" i="157" a="1"/>
  <c r="V342" i="157" a="1"/>
  <c r="R339" i="157" a="1"/>
  <c r="BC337" i="157" a="1"/>
  <c r="BC330" i="157" a="1"/>
  <c r="V348" i="157" a="1"/>
  <c r="V340" i="157" a="1"/>
  <c r="AN309" i="157" a="1"/>
  <c r="Z378" i="157" a="1"/>
  <c r="AH338" i="157" a="1"/>
  <c r="J334" i="157" a="1"/>
  <c r="N362" i="157" a="1"/>
  <c r="Z321" i="157" a="1"/>
  <c r="AN275" i="157" a="1"/>
  <c r="AZ356" i="157" a="1"/>
  <c r="Z335" i="157" a="1"/>
  <c r="AH308" i="157" a="1"/>
  <c r="G272" i="157" a="1"/>
  <c r="BC294" i="157" a="1"/>
  <c r="BG292" i="157" a="1"/>
  <c r="Z303" i="157" a="1"/>
  <c r="V356" i="157" a="1"/>
  <c r="AQ269" i="157" a="1"/>
  <c r="N326" i="157" a="1"/>
  <c r="AN306" i="157" a="1"/>
  <c r="AV280" i="157" a="1"/>
  <c r="N374" i="157" a="1"/>
  <c r="BC347" i="157" a="1"/>
  <c r="Z278" i="157" a="1"/>
  <c r="BK359" i="157" a="1"/>
  <c r="AZ344" i="157" a="1"/>
  <c r="AN338" i="157" a="1"/>
  <c r="V295" i="157" a="1"/>
  <c r="AD300" i="157" a="1"/>
  <c r="G312" i="157" a="1"/>
  <c r="AD270" i="157" a="1"/>
  <c r="J317" i="157" a="1"/>
  <c r="AQ267" i="157" a="1"/>
  <c r="AZ363" i="157" a="1"/>
  <c r="G311" i="157" a="1"/>
  <c r="Z367" i="157" a="1"/>
  <c r="AN360" i="157" a="1"/>
  <c r="AQ324" i="157" a="1"/>
  <c r="BK355" i="157" a="1"/>
  <c r="V376" i="157" a="1"/>
  <c r="J309" i="157" a="1"/>
  <c r="AN296" i="157" a="1"/>
  <c r="AD359" i="157" a="1"/>
  <c r="Z363" i="157" a="1"/>
  <c r="J281" i="157" a="1"/>
  <c r="N369" i="157" a="1"/>
  <c r="AV343" i="157" a="1"/>
  <c r="BC333" i="157" a="1"/>
  <c r="AQ268" i="157" a="1"/>
  <c r="BK376" i="157" a="1"/>
  <c r="AH326" i="157" a="1"/>
  <c r="AQ270" i="157" a="1"/>
  <c r="N261" i="157" a="1"/>
  <c r="G345" i="157" a="1"/>
  <c r="V341" i="157" a="1"/>
  <c r="Z302" i="157" a="1"/>
  <c r="AN376" i="157" a="1"/>
  <c r="AZ367" i="157" a="1"/>
  <c r="J312" i="157" a="1"/>
  <c r="AV284" i="157" a="1"/>
  <c r="AV378" i="157" a="1"/>
  <c r="AD268" i="157" a="1"/>
  <c r="AD322" i="157" a="1"/>
  <c r="BG334" i="157" a="1"/>
  <c r="BK290" i="157" a="1"/>
  <c r="J266" i="157" a="1"/>
  <c r="R315" i="157" a="1"/>
  <c r="J345" i="157" a="1"/>
  <c r="N352" i="157" a="1"/>
  <c r="BG361" i="157" a="1"/>
  <c r="N301" i="157" a="1"/>
  <c r="AD362" i="157" a="1"/>
  <c r="AD340" i="157" a="1"/>
  <c r="AH278" i="157" a="1"/>
  <c r="Z361" i="157" a="1"/>
  <c r="BG367" i="157" a="1"/>
  <c r="V308" i="157" a="1"/>
  <c r="G285" i="157" a="1"/>
  <c r="AH264" i="157" a="1"/>
  <c r="AV303" i="157" a="1"/>
  <c r="AD319" i="157" a="1"/>
  <c r="Z284" i="157" a="1"/>
  <c r="J357" i="157" a="1"/>
  <c r="R292" i="157" a="1"/>
  <c r="BG293" i="157" a="1"/>
  <c r="J262" i="157" a="1"/>
  <c r="J300" i="157" a="1"/>
  <c r="AH345" i="157" a="1"/>
  <c r="BK292" i="157" a="1"/>
  <c r="R280" i="157" a="1"/>
  <c r="J333" i="157" a="1"/>
  <c r="G306" i="157" a="1"/>
  <c r="AV317" i="157" a="1"/>
  <c r="AV273" i="157" a="1"/>
  <c r="V296" i="157" a="1"/>
  <c r="AD330" i="157" a="1"/>
  <c r="V371" i="157" a="1"/>
  <c r="V288" i="157" a="1"/>
  <c r="AV283" i="157" a="1"/>
  <c r="BC284" i="157" a="1"/>
  <c r="BK375" i="157" a="1"/>
  <c r="AZ323" i="157" a="1"/>
  <c r="BC327" i="157" a="1"/>
  <c r="BC344" i="157" a="1"/>
  <c r="V303" i="157" a="1"/>
  <c r="AD295" i="157" a="1"/>
  <c r="AZ328" i="157" a="1"/>
  <c r="BK321" i="157" a="1"/>
  <c r="J323" i="157" a="1"/>
  <c r="J316" i="157" a="1"/>
  <c r="AQ287" i="157" a="1"/>
  <c r="BK310" i="157" a="1"/>
  <c r="AQ285" i="157" a="1"/>
  <c r="BK295" i="157" a="1"/>
  <c r="AN375" i="157" a="1"/>
  <c r="G293" i="157" a="1"/>
  <c r="AZ378" i="157" a="1"/>
  <c r="J370" i="157" a="1"/>
  <c r="AH310" i="157" a="1"/>
  <c r="AD272" i="157" a="1"/>
  <c r="J344" i="157" a="1"/>
  <c r="N343" i="157" a="1"/>
  <c r="AH277" i="157" a="1"/>
  <c r="R342" i="157" a="1"/>
  <c r="AQ369" i="157" a="1"/>
  <c r="AN362" i="157" a="1"/>
  <c r="G324" i="157" a="1"/>
  <c r="AD361" i="157" a="1"/>
  <c r="R328" i="157" a="1"/>
  <c r="AH335" i="157" a="1"/>
  <c r="BC314" i="157" a="1"/>
  <c r="V320" i="157" a="1"/>
  <c r="Z292" i="157" a="1"/>
  <c r="AN277" i="157" a="1"/>
  <c r="AV325" i="157" a="1"/>
  <c r="J319" i="157" a="1"/>
  <c r="BK297" i="157" a="1"/>
  <c r="BG344" i="157" a="1"/>
  <c r="J314" i="157" a="1"/>
  <c r="AV341" i="157" a="1"/>
  <c r="N363" i="157" a="1"/>
  <c r="N257" i="157" a="1"/>
  <c r="N368" i="157" a="1"/>
  <c r="BC287" i="157" a="1"/>
  <c r="V292" i="157" a="1"/>
  <c r="AD368" i="157" a="1"/>
  <c r="G332" i="157" a="1"/>
  <c r="BK302" i="157" a="1"/>
  <c r="V317" i="157" a="1"/>
  <c r="AH378" i="157" a="1"/>
  <c r="N307" i="157" a="1"/>
  <c r="Z312" i="157" a="1"/>
  <c r="AQ290" i="157" a="1"/>
  <c r="V318" i="157" a="1"/>
  <c r="V358" i="157" a="1"/>
  <c r="BG285" i="157" a="1"/>
  <c r="AQ286" i="157" a="1"/>
  <c r="Z258" i="157" a="1"/>
  <c r="AN305" i="157" a="1"/>
  <c r="G340" i="157" a="1"/>
  <c r="AQ333" i="157" a="1"/>
  <c r="J320" i="157" a="1"/>
  <c r="AN334" i="157" a="1"/>
  <c r="AD281" i="157" a="1"/>
  <c r="G257" i="157" a="1"/>
  <c r="N294" i="157" a="1"/>
  <c r="G276" i="157" a="1"/>
  <c r="AH287" i="157" a="1"/>
  <c r="G373" i="157" a="1"/>
  <c r="AZ308" i="157" a="1"/>
  <c r="AN372" i="157" a="1"/>
  <c r="AH377" i="157" a="1"/>
  <c r="Z330" i="157" a="1"/>
  <c r="AD337" i="157" a="1"/>
  <c r="AV310" i="157" a="1"/>
  <c r="AV352" i="157" a="1"/>
  <c r="BG338" i="157" a="1"/>
  <c r="AH319" i="157" a="1"/>
  <c r="AN342" i="157" a="1"/>
  <c r="AV330" i="157" a="1"/>
  <c r="BG345" i="157" a="1"/>
  <c r="N328" i="157" a="1"/>
  <c r="J358" i="157" a="1"/>
  <c r="AD274" i="157" a="1"/>
  <c r="AN355" i="157" a="1"/>
  <c r="AD370" i="157" a="1"/>
  <c r="BK357" i="157" a="1"/>
  <c r="R271" i="157" a="1"/>
  <c r="AV338" i="157" a="1"/>
  <c r="AD259" i="157" a="1"/>
  <c r="V339" i="157" a="1"/>
  <c r="J274" i="157" a="1"/>
  <c r="BK365" i="157" a="1"/>
  <c r="V357" i="157" a="1"/>
  <c r="G326" i="157" a="1"/>
  <c r="J256" i="157" a="1"/>
  <c r="AD358" i="157" a="1"/>
  <c r="N361" i="157" a="1"/>
  <c r="AQ289" i="157" a="1"/>
  <c r="N310" i="157" a="1"/>
  <c r="AQ261" i="157" a="1"/>
  <c r="BK362" i="157" a="1"/>
  <c r="R355" i="157" a="1"/>
  <c r="AD280" i="157" a="1"/>
  <c r="N275" i="157" a="1"/>
  <c r="AN333" i="157" a="1"/>
  <c r="AQ300" i="157" a="1"/>
  <c r="G269" i="157" a="1"/>
  <c r="N277" i="157" a="1"/>
  <c r="AH289" i="157" a="1"/>
  <c r="AN281" i="157" a="1"/>
  <c r="G286" i="157" a="1"/>
  <c r="BK335" i="157" a="1"/>
  <c r="Z260" i="157" a="1"/>
  <c r="AD346" i="157" a="1"/>
  <c r="N273" i="157" a="1"/>
  <c r="J349" i="157" a="1"/>
  <c r="BC350" i="157" a="1"/>
  <c r="Z366" i="157" a="1"/>
  <c r="V287" i="157" a="1"/>
  <c r="AV333" i="157" a="1"/>
  <c r="BK352" i="157" a="1"/>
  <c r="G336" i="157" a="1"/>
  <c r="AD321" i="157" a="1"/>
  <c r="N284" i="157" a="1"/>
  <c r="BK366" i="157" a="1"/>
  <c r="J305" i="157" a="1"/>
  <c r="AZ353" i="157" a="1"/>
  <c r="AN313" i="157" a="1"/>
  <c r="R327" i="157" a="1"/>
  <c r="BG335" i="157" a="1"/>
  <c r="V264" i="157" a="1"/>
  <c r="J315" i="157" a="1"/>
  <c r="G297" i="157" a="1"/>
  <c r="R294" i="157" a="1"/>
  <c r="AH255" i="157" a="1"/>
  <c r="Z267" i="157" a="1"/>
  <c r="J261" i="157" a="1"/>
  <c r="AZ331" i="157" a="1"/>
  <c r="N336" i="157" a="1"/>
  <c r="Z326" i="157" a="1"/>
  <c r="BG311" i="157" a="1"/>
  <c r="AZ301" i="157" a="1"/>
  <c r="N371" i="157" a="1"/>
  <c r="Z341" i="157" a="1"/>
  <c r="BG283" i="157" a="1"/>
  <c r="AH358" i="157" a="1"/>
  <c r="Z332" i="157" a="1"/>
  <c r="AH292" i="157" a="1"/>
  <c r="V276" i="157" a="1"/>
  <c r="N271" i="157" a="1"/>
  <c r="V310" i="157" a="1"/>
  <c r="AN255" i="157" a="1"/>
  <c r="G292" i="157" a="1"/>
  <c r="AD278" i="157" a="1"/>
  <c r="AN377" i="157" a="1"/>
  <c r="AV282" i="157" a="1"/>
  <c r="AH306" i="157" a="1"/>
  <c r="BC376" i="157" a="1"/>
  <c r="G318" i="157" a="1"/>
  <c r="AD352" i="157" a="1"/>
  <c r="BK368" i="157" a="1"/>
  <c r="G364" i="157" a="1"/>
  <c r="BC342" i="157" a="1"/>
  <c r="N372" i="157" a="1"/>
  <c r="V265" i="157" a="1"/>
  <c r="Z372" i="157" a="1"/>
  <c r="AV264" i="157" a="1"/>
  <c r="AH265" i="157" a="1"/>
  <c r="R265" i="157" a="1"/>
  <c r="G265" i="157" a="1"/>
  <c r="BG343" i="157" a="1"/>
  <c r="BK306" i="157" a="1"/>
  <c r="G335" i="157" a="1"/>
  <c r="R333" i="157" a="1"/>
  <c r="BK293" i="157" a="1"/>
  <c r="Z263" i="157" a="1"/>
  <c r="BG368" i="157" a="1"/>
  <c r="AN349" i="157" a="1"/>
  <c r="AQ314" i="157" a="1"/>
  <c r="V363" i="157" a="1"/>
  <c r="AV374" i="157" a="1"/>
  <c r="N358" i="157" a="1"/>
  <c r="BC326" i="157" a="1"/>
  <c r="AN294" i="157" a="1"/>
  <c r="AN293" i="157" a="1"/>
  <c r="AN366" i="157" a="1"/>
  <c r="AH366" i="157" a="1"/>
  <c r="BG356" i="157" a="1"/>
  <c r="BC371" i="157" a="1"/>
  <c r="V367" i="157" a="1"/>
  <c r="N338" i="157" a="1"/>
  <c r="N357" i="157" a="1"/>
  <c r="V328" i="157" a="1"/>
  <c r="Z376" i="157" a="1"/>
  <c r="BG373" i="157" a="1"/>
  <c r="AZ349" i="157" a="1"/>
  <c r="BC289" i="157" a="1"/>
  <c r="AH259" i="157" a="1"/>
  <c r="J269" i="157" a="1"/>
  <c r="AZ359" i="157" a="1"/>
  <c r="N317" i="157" a="1"/>
  <c r="V335" i="157" a="1"/>
  <c r="V364" i="157" a="1"/>
  <c r="R357" i="157" a="1"/>
  <c r="Z288" i="157" a="1"/>
  <c r="AH361" i="157" a="1"/>
  <c r="V307" i="157" a="1"/>
  <c r="V297" i="157" a="1"/>
  <c r="AV269" i="157" a="1"/>
  <c r="BK327" i="157" a="1"/>
  <c r="BK337" i="157" a="1"/>
  <c r="AH271" i="157" a="1"/>
  <c r="AV328" i="157" a="1"/>
  <c r="AN295" i="157" a="1"/>
  <c r="N323" i="157" a="1"/>
  <c r="BK369" i="157" a="1"/>
  <c r="AV300" i="157" a="1"/>
  <c r="N347" i="157" a="1"/>
  <c r="AQ283" i="157" a="1"/>
  <c r="V311" i="157" a="1"/>
  <c r="AN274" i="157" a="1"/>
  <c r="N280" i="157" a="1"/>
  <c r="G352" i="157" a="1"/>
  <c r="AD265" i="157" a="1"/>
  <c r="AD289" i="157" a="1"/>
  <c r="BK356" i="157" a="1"/>
  <c r="V263" i="157" a="1"/>
  <c r="AZ320" i="157" a="1"/>
  <c r="AD291" i="157" a="1"/>
  <c r="J367" i="157" a="1"/>
  <c r="Z265" i="157" a="1"/>
  <c r="Z268" i="157" a="1"/>
  <c r="AN325" i="157" a="1"/>
  <c r="G346" i="157" a="1"/>
  <c r="AZ369" i="157" a="1"/>
  <c r="N339" i="157" a="1"/>
  <c r="AD372" i="157" a="1"/>
  <c r="AD313" i="157" a="1"/>
  <c r="BK377" i="157" a="1"/>
  <c r="G361" i="157" a="1"/>
  <c r="AD371" i="157" a="1"/>
  <c r="J340" i="157" a="1"/>
  <c r="AQ367" i="157" a="1"/>
  <c r="BG324" i="157" a="1"/>
  <c r="Z261" i="157" a="1"/>
  <c r="BC372" i="157" a="1"/>
  <c r="AV308" i="157" a="1"/>
  <c r="V302" i="157" a="1"/>
  <c r="AQ326" i="157" a="1"/>
  <c r="AV355" i="157" a="1"/>
  <c r="AV258" i="157" a="1"/>
  <c r="BG375" i="157" a="1"/>
  <c r="AN356" i="157" a="1"/>
  <c r="AD320" i="157" a="1"/>
  <c r="V258" i="157" a="1"/>
  <c r="AZ298" i="157" a="1"/>
  <c r="BK305" i="157" a="1"/>
  <c r="V334" i="157" a="1"/>
  <c r="BG294" i="157" a="1"/>
  <c r="N303" i="157" a="1"/>
  <c r="N364" i="157" a="1"/>
  <c r="AZ358" i="157" a="1"/>
  <c r="AZ334" i="157" a="1"/>
  <c r="G322" i="157" a="1"/>
  <c r="AD373" i="157" a="1"/>
  <c r="AD309" i="157" a="1"/>
  <c r="BG299" i="157" a="1"/>
  <c r="R300" i="157" a="1"/>
  <c r="AQ327" i="157" a="1"/>
  <c r="G291" i="157" a="1"/>
  <c r="AZ321" i="157" a="1"/>
  <c r="AH257" i="157" a="1"/>
  <c r="R298" i="157" a="1"/>
  <c r="V325" i="157" a="1"/>
  <c r="AQ259" i="157" a="1"/>
  <c r="V286" i="157" a="1"/>
  <c r="G308" i="157" a="1"/>
  <c r="AQ372" i="157" a="1"/>
  <c r="V323" i="157" a="1"/>
  <c r="BG360" i="157" a="1"/>
  <c r="BG348" i="157" a="1"/>
  <c r="R347" i="157" a="1"/>
  <c r="AD344" i="157" a="1"/>
  <c r="N309" i="157" a="1"/>
  <c r="BG297" i="157" a="1"/>
  <c r="BC318" i="157" a="1"/>
  <c r="AV362" i="157" a="1"/>
  <c r="AH371" i="157" a="1"/>
  <c r="J303" i="157" a="1"/>
  <c r="AV368" i="157" a="1"/>
  <c r="BG377" i="157" a="1"/>
  <c r="R259" i="157" a="1"/>
  <c r="AZ316" i="157" a="1"/>
  <c r="R370" i="157" a="1"/>
  <c r="Z331" i="157" a="1"/>
  <c r="N285" i="157" a="1"/>
  <c r="AV360" i="157" a="1"/>
  <c r="AD293" i="157" a="1"/>
  <c r="BK281" i="157" a="1"/>
  <c r="AQ347" i="157" a="1"/>
  <c r="AZ292" i="157" a="1"/>
  <c r="BG291" i="157" a="1"/>
  <c r="AH293" i="157" a="1"/>
  <c r="AZ372" i="157" a="1"/>
  <c r="R358" i="157" a="1"/>
  <c r="N373" i="157" a="1"/>
  <c r="G374" i="157" a="1"/>
  <c r="BG322" i="157" a="1"/>
  <c r="AV377" i="157" a="1"/>
  <c r="V347" i="157" a="1"/>
  <c r="AN331" i="157" a="1"/>
  <c r="BG374" i="157" a="1"/>
  <c r="N302" i="157" a="1"/>
  <c r="V377" i="157" a="1"/>
  <c r="AZ338" i="157" a="1"/>
  <c r="AH270" i="157" a="1"/>
  <c r="V351" i="157" a="1"/>
  <c r="R276" i="157" a="1"/>
  <c r="AV290" i="157" a="1"/>
  <c r="J258" i="157" a="1"/>
  <c r="AQ281" i="157" a="1"/>
  <c r="R332" i="157" a="1"/>
  <c r="AN299" i="157" a="1"/>
  <c r="N314" i="157" a="1"/>
  <c r="N311" i="157" a="1"/>
  <c r="BG351" i="157" a="1"/>
  <c r="BC351" i="157" a="1"/>
  <c r="AH323" i="157" a="1"/>
  <c r="AN297" i="157" a="1"/>
  <c r="Z287" i="157" a="1"/>
  <c r="BG349" i="157" a="1"/>
  <c r="V370" i="157" a="1"/>
  <c r="R363" i="157" a="1"/>
  <c r="BC297" i="157" a="1"/>
  <c r="BC374" i="157" a="1"/>
  <c r="AH311" i="157" a="1"/>
  <c r="AH286" i="157" a="1"/>
  <c r="N256" i="157" a="1"/>
  <c r="BK309" i="157" a="1"/>
  <c r="AH314" i="157" a="1"/>
  <c r="J293" i="157" a="1"/>
  <c r="N322" i="157" a="1"/>
  <c r="AD269" i="157" a="1"/>
  <c r="R362" i="157" a="1"/>
  <c r="G316" i="157" a="1"/>
  <c r="G314" i="157" a="1"/>
  <c r="V281" i="157" a="1"/>
  <c r="AV287" i="157" a="1"/>
  <c r="Z315" i="157" a="1"/>
  <c r="N324" i="157" a="1"/>
  <c r="G323" i="157" a="1"/>
  <c r="AN303" i="157" a="1"/>
  <c r="Z359" i="157" a="1"/>
  <c r="Z320" i="157" a="1"/>
  <c r="AH324" i="157" a="1"/>
  <c r="BC331" i="157" a="1"/>
  <c r="Z298" i="157" a="1"/>
  <c r="Z323" i="157" a="1"/>
  <c r="AH274" i="157" a="1"/>
  <c r="J285" i="157" a="1"/>
  <c r="V255" i="157" a="1"/>
  <c r="AQ318" i="157" a="1"/>
  <c r="V324" i="157" a="1"/>
  <c r="Z368" i="157" a="1"/>
  <c r="AZ346" i="157" a="1"/>
  <c r="BK282" i="157" a="1"/>
  <c r="AD374" i="157" a="1"/>
  <c r="AV327" i="157" a="1"/>
  <c r="G290" i="157" a="1"/>
  <c r="V298" i="157" a="1"/>
  <c r="BC368" i="157" a="1"/>
  <c r="AQ330" i="157" a="1"/>
  <c r="BG326" i="157" a="1"/>
  <c r="AZ343" i="157" a="1"/>
  <c r="Z340" i="157" a="1"/>
  <c r="AN308" i="157" a="1"/>
  <c r="AQ311" i="157" a="1"/>
  <c r="V268" i="157" a="1"/>
  <c r="Z307" i="157" a="1"/>
  <c r="G301" i="157" a="1"/>
  <c r="BK333" i="157" a="1"/>
  <c r="AQ292" i="157" a="1"/>
  <c r="BC356" i="157" a="1"/>
  <c r="BK316" i="157" a="1"/>
  <c r="N330" i="157" a="1"/>
  <c r="G270" i="157" a="1"/>
  <c r="BC335" i="157" a="1"/>
  <c r="R366" i="157" a="1"/>
  <c r="AQ344" i="157" a="1"/>
  <c r="R326" i="157" a="1"/>
  <c r="AN278" i="157" a="1"/>
  <c r="R296" i="157" a="1"/>
  <c r="BK350" i="157" a="1"/>
  <c r="AD264" i="157" a="1"/>
  <c r="AZ364" i="157" a="1"/>
  <c r="AZ312" i="157" a="1"/>
  <c r="BG289" i="157" a="1"/>
  <c r="AN314" i="157" a="1"/>
  <c r="V262" i="157" a="1"/>
  <c r="AZ314" i="157" a="1"/>
  <c r="AN341" i="157" a="1"/>
  <c r="Z362" i="157" a="1"/>
  <c r="Z324" i="157" a="1"/>
  <c r="G282" i="157" a="1"/>
  <c r="AN352" i="157" a="1"/>
  <c r="Z352" i="157" a="1"/>
  <c r="G331" i="157" a="1"/>
  <c r="BK317" i="157" a="1"/>
  <c r="AN273" i="157" a="1"/>
  <c r="AZ327" i="157" a="1"/>
  <c r="AH343" i="157" a="1"/>
  <c r="AQ273" i="157" a="1"/>
  <c r="N333" i="157" a="1"/>
  <c r="AD262" i="157" a="1"/>
  <c r="AV372" i="157" a="1"/>
  <c r="Z351" i="157" a="1"/>
  <c r="AH269" i="157" a="1"/>
  <c r="AQ371" i="157" a="1"/>
  <c r="N334" i="157" a="1"/>
  <c r="J295" i="157" a="1"/>
  <c r="BC292" i="157" a="1"/>
  <c r="BK324" i="157" a="1"/>
  <c r="BK287" i="157" a="1"/>
  <c r="Z294" i="157" a="1"/>
  <c r="G330" i="157" a="1"/>
  <c r="AV365" i="157" a="1"/>
  <c r="BC290" i="157" a="1"/>
  <c r="BG369" i="157" a="1"/>
  <c r="BK331" i="157" a="1"/>
  <c r="AN317" i="157" a="1"/>
  <c r="BK345" i="157" a="1"/>
  <c r="N337" i="157" a="1"/>
  <c r="V366" i="157" a="1"/>
  <c r="R359" i="157" a="1"/>
  <c r="G260" i="157" a="1"/>
  <c r="AD357" i="157" a="1"/>
  <c r="N342" i="157" a="1"/>
  <c r="N366" i="157" a="1"/>
  <c r="BG317" i="157" a="1"/>
  <c r="N308" i="157" a="1"/>
  <c r="AN368" i="157" a="1"/>
  <c r="AH367" i="157" a="1"/>
  <c r="R373" i="157" a="1"/>
  <c r="R313" i="157" a="1"/>
  <c r="R352" i="157" a="1"/>
  <c r="BC306" i="157" a="1"/>
  <c r="V306" i="157" a="1"/>
  <c r="J321" i="157" a="1"/>
  <c r="G259" i="157" a="1"/>
  <c r="AH283" i="157" a="1"/>
  <c r="BK325" i="157" a="1"/>
  <c r="J290" i="157" a="1"/>
  <c r="BC303" i="157" a="1"/>
  <c r="AQ296" i="157" a="1"/>
  <c r="V338" i="157" a="1"/>
  <c r="AN272" i="157" a="1"/>
  <c r="J326" i="157" a="1"/>
  <c r="BG295" i="157" a="1"/>
  <c r="BK280" i="157" a="1"/>
  <c r="BK319" i="157" a="1"/>
  <c r="R369" i="157" a="1"/>
  <c r="Z290" i="157" a="1"/>
  <c r="AD284" i="157" a="1"/>
  <c r="BC357" i="157" a="1"/>
  <c r="AN283" i="157" a="1"/>
  <c r="AV326" i="157" a="1"/>
  <c r="BG366" i="157" a="1"/>
  <c r="BK315" i="157" a="1"/>
  <c r="AH285" i="157" a="1"/>
  <c r="BG378" i="157" a="1"/>
  <c r="AV275" i="157" a="1"/>
  <c r="AN261" i="157" a="1"/>
  <c r="BG300" i="157" a="1"/>
  <c r="BG312" i="157" a="1"/>
  <c r="R351" i="157" a="1"/>
  <c r="BC341" i="157" a="1"/>
  <c r="AD331" i="157" a="1"/>
  <c r="Z343" i="157" a="1"/>
  <c r="R291" i="157" a="1"/>
  <c r="G370" i="157" a="1"/>
  <c r="AQ299" i="157" a="1"/>
  <c r="BC369" i="157" a="1"/>
  <c r="AV266" i="157" a="1"/>
  <c r="AH295" i="157" a="1"/>
  <c r="R353" i="157" a="1"/>
  <c r="BC296" i="157" a="1"/>
  <c r="AV261" i="157" a="1"/>
  <c r="Z272" i="157" a="1"/>
  <c r="V359" i="157" a="1"/>
  <c r="AZ355" i="157" a="1"/>
  <c r="AH351" i="157" a="1"/>
  <c r="AQ355" i="157" a="1"/>
  <c r="R368" i="157" a="1"/>
  <c r="J270" i="157" a="1"/>
  <c r="G320" i="157" a="1"/>
  <c r="AQ274" i="157" a="1"/>
  <c r="R287" i="157" a="1"/>
  <c r="BC367" i="157" a="1"/>
  <c r="BG306" i="157" a="1"/>
  <c r="V266" i="157" a="1"/>
  <c r="BC375" i="157" a="1"/>
  <c r="R337" i="157" a="1"/>
  <c r="AH291" i="157" a="1"/>
  <c r="G307" i="157" a="1"/>
  <c r="N378" i="157" a="1"/>
  <c r="AN339" i="157" a="1"/>
  <c r="AZ333" i="157" a="1"/>
  <c r="J351" i="157" a="1"/>
  <c r="V305" i="157" a="1"/>
  <c r="AH298" i="157" a="1"/>
  <c r="BG319" i="157" a="1"/>
  <c r="AZ375" i="157" a="1"/>
  <c r="V259" i="157" a="1"/>
  <c r="AV320" i="157" a="1"/>
  <c r="N255" i="157" a="1"/>
  <c r="J366" i="157" a="1"/>
  <c r="AN320" i="157" a="1"/>
  <c r="AQ294" i="157" a="1"/>
  <c r="Z262" i="157" a="1"/>
  <c r="AD255" i="157" a="1"/>
  <c r="N320" i="157" a="1"/>
  <c r="AH359" i="157" a="1"/>
  <c r="J324" i="157" a="1"/>
  <c r="AH368" i="157" a="1"/>
  <c r="BC291" i="157" a="1"/>
  <c r="R306" i="157" a="1"/>
  <c r="J267" i="157" a="1"/>
  <c r="R340" i="157" a="1"/>
  <c r="R321" i="157" a="1"/>
  <c r="AQ260" i="157" a="1"/>
  <c r="AQ272" i="157" a="1"/>
  <c r="Z342" i="157" a="1"/>
  <c r="AH294" i="157" a="1"/>
  <c r="BC300" i="157" a="1"/>
  <c r="G317" i="157" a="1"/>
  <c r="BK351" i="157" a="1"/>
  <c r="AH263" i="157" a="1"/>
  <c r="AH302" i="157" a="1"/>
  <c r="AN321" i="157" a="1"/>
  <c r="N281" i="157" a="1"/>
  <c r="AH301" i="157" a="1"/>
  <c r="J328" i="157" a="1"/>
  <c r="BK339" i="157" a="1"/>
  <c r="AN343" i="157" a="1"/>
  <c r="AD341" i="157" a="1"/>
  <c r="AZ370" i="157" a="1"/>
  <c r="N319" i="157" a="1"/>
  <c r="V333" i="157" a="1"/>
  <c r="G357" i="157" a="1"/>
  <c r="AV336" i="157" a="1"/>
  <c r="AQ328" i="157" a="1"/>
  <c r="BC316" i="157" a="1"/>
  <c r="R312" i="157" a="1"/>
  <c r="J257" i="157" a="1"/>
  <c r="V261" i="157" a="1"/>
  <c r="BG302" i="157" a="1"/>
  <c r="R301" i="157" a="1"/>
  <c r="AZ362" i="157" a="1"/>
  <c r="AH307" i="157" a="1"/>
  <c r="BG286" i="157" a="1"/>
  <c r="Z305" i="157" a="1"/>
  <c r="R278" i="157" a="1"/>
  <c r="N370" i="157" a="1"/>
  <c r="V327" i="157" a="1"/>
  <c r="AZ285" i="157" a="1"/>
  <c r="Z293" i="157" a="1"/>
  <c r="AD311" i="157" a="1"/>
  <c r="BG314" i="157" a="1"/>
  <c r="AQ262" i="157" a="1"/>
  <c r="BK336" i="157" a="1"/>
  <c r="AD273" i="157" a="1"/>
  <c r="V267" i="157" a="1"/>
  <c r="AV366" i="157" a="1"/>
  <c r="BK328" i="157" a="1"/>
  <c r="BC305" i="157" a="1"/>
  <c r="AZ306" i="157" a="1"/>
  <c r="Z274" i="157" a="1"/>
  <c r="AQ258" i="157" a="1"/>
  <c r="AH376" i="157" a="1"/>
  <c r="G280" i="157" a="1"/>
  <c r="Z353" i="157" a="1"/>
  <c r="Z264" i="157" a="1"/>
  <c r="AH321" i="157" a="1"/>
  <c r="G368" i="157" a="1"/>
  <c r="AQ338" i="157" a="1"/>
  <c r="N340" i="157" a="1"/>
  <c r="AZ335" i="157" a="1"/>
  <c r="BG332" i="157" a="1"/>
  <c r="AV324" i="157" a="1"/>
  <c r="BG328" i="157" a="1"/>
  <c r="BG372" i="157" a="1"/>
  <c r="G299" i="157" a="1"/>
  <c r="J372" i="157" a="1"/>
  <c r="AD348" i="157" a="1"/>
  <c r="G372" i="157" a="1"/>
  <c r="AD367" i="157" a="1"/>
  <c r="AZ313" i="157" a="1"/>
  <c r="N299" i="157" a="1"/>
  <c r="AH318" i="157" a="1"/>
  <c r="BC360" i="157" a="1"/>
  <c r="AQ305" i="157" a="1"/>
  <c r="AH322" i="157" a="1"/>
  <c r="V256" i="157" a="1"/>
  <c r="AD286" i="157" a="1"/>
  <c r="R318" i="157" a="1"/>
  <c r="N291" i="157" a="1"/>
  <c r="N289" i="157" a="1"/>
  <c r="BK288" i="157" a="1"/>
  <c r="R255" i="157" a="1"/>
  <c r="Z266" i="157" a="1"/>
  <c r="R302" i="157" a="1"/>
  <c r="AH327" i="157" a="1"/>
  <c r="AN288" i="157" a="1"/>
  <c r="AV263" i="157" a="1"/>
  <c r="Z350" i="157" a="1"/>
  <c r="N312" i="157" a="1"/>
  <c r="R322" i="157" a="1"/>
  <c r="Z370" i="157" a="1"/>
  <c r="V278" i="157" a="1"/>
  <c r="BC310" i="157" a="1"/>
  <c r="R268" i="157" a="1"/>
  <c r="Z280" i="157" a="1"/>
  <c r="G287" i="157" a="1"/>
  <c r="BG341" i="157" a="1"/>
  <c r="J310" i="157" a="1"/>
  <c r="AZ318" i="157" a="1"/>
  <c r="V319" i="157" a="1"/>
  <c r="BG363" i="157" a="1"/>
  <c r="AQ312" i="157" a="1"/>
  <c r="AQ257" i="157" a="1"/>
  <c r="AQ264" i="157" a="1"/>
  <c r="BG320" i="157" a="1"/>
  <c r="V349" i="157" a="1"/>
  <c r="AH362" i="157" a="1"/>
  <c r="V350" i="157" a="1"/>
  <c r="R290" i="157" a="1"/>
  <c r="BG315" i="157" a="1"/>
  <c r="BK285" i="157" a="1"/>
  <c r="AQ315" i="157" a="1"/>
  <c r="AD261" i="157" a="1"/>
  <c r="AZ377" i="157" a="1"/>
  <c r="V283" i="157" a="1"/>
  <c r="V290" i="157" a="1"/>
  <c r="AH299" i="157" a="1"/>
  <c r="AV370" i="157" a="1"/>
  <c r="BK347" i="157" a="1"/>
  <c r="BG359" i="157" a="1"/>
  <c r="R319" i="157" a="1"/>
  <c r="AV334" i="157" a="1"/>
  <c r="BK294" i="157" a="1"/>
  <c r="N266" i="157" a="1"/>
  <c r="BG371" i="157" a="1"/>
  <c r="AN323" i="157" a="1"/>
  <c r="G310" i="157" a="1"/>
  <c r="G325" i="157" a="1"/>
  <c r="AV256" i="157" a="1"/>
  <c r="AD353" i="157" a="1"/>
  <c r="BK296" i="157" a="1"/>
  <c r="R349" i="157" a="1"/>
  <c r="AV363" i="157" a="1"/>
  <c r="BG327" i="157" a="1"/>
  <c r="J286" i="157" a="1"/>
  <c r="G366" i="157" a="1"/>
  <c r="N351" i="157" a="1"/>
  <c r="BC348" i="157" a="1"/>
  <c r="R334" i="157" a="1"/>
  <c r="AH331" i="157" a="1"/>
  <c r="R374" i="157" a="1"/>
  <c r="BG298" i="157" a="1"/>
  <c r="AD375" i="157" a="1"/>
  <c r="J301" i="157" a="1"/>
  <c r="BK284" i="157" a="1"/>
  <c r="BK308" i="157" a="1"/>
  <c r="Z365" i="157" a="1"/>
  <c r="N350" i="157" a="1"/>
  <c r="AV270" i="157" a="1"/>
  <c r="AZ361" i="157" a="1"/>
  <c r="AH340" i="157" a="1"/>
  <c r="J264" i="157" a="1"/>
  <c r="R338" i="157" a="1"/>
  <c r="AV356" i="157" a="1"/>
  <c r="BG353" i="157" a="1"/>
  <c r="AQ256" i="157" a="1"/>
  <c r="AH258" i="157" a="1"/>
  <c r="BG290" i="157" a="1"/>
  <c r="BG350" i="157" a="1"/>
  <c r="AV313" i="157" a="1"/>
  <c r="BC353" i="157" a="1"/>
  <c r="AQ310" i="157" a="1"/>
  <c r="AD323" i="157" a="1"/>
  <c r="BC366" i="157" a="1"/>
  <c r="AV311" i="157" a="1"/>
  <c r="V299" i="157" a="1"/>
  <c r="G268" i="157" a="1"/>
  <c r="J296" i="157" a="1"/>
  <c r="AQ322" i="157" a="1"/>
  <c r="V313" i="157" a="1"/>
  <c r="BK361" i="157" a="1"/>
  <c r="R307" i="157" a="1"/>
  <c r="G278" i="157" a="1"/>
  <c r="AH260" i="157" a="1"/>
  <c r="V360" i="157" a="1"/>
  <c r="J365" i="157" a="1"/>
  <c r="AQ293" i="157" a="1"/>
  <c r="J350" i="157" a="1"/>
  <c r="AQ353" i="157" a="1"/>
  <c r="Z313" i="157" a="1"/>
  <c r="N300" i="157" a="1"/>
  <c r="G334" i="157" a="1"/>
  <c r="N259" i="157" a="1"/>
  <c r="V274" i="157" a="1"/>
  <c r="BK360" i="157" a="1"/>
  <c r="R262" i="157" a="1"/>
  <c r="AZ289" i="157" a="1"/>
  <c r="R275" i="157" a="1"/>
  <c r="AH330" i="157" a="1"/>
  <c r="AH349" i="157" a="1"/>
  <c r="BC321" i="157" a="1"/>
  <c r="BC317" i="157" a="1"/>
  <c r="BG346" i="157" a="1"/>
  <c r="G315" i="157" a="1"/>
  <c r="AZ294" i="157" a="1"/>
  <c r="AZ291" i="157" a="1"/>
  <c r="AV301" i="157" a="1"/>
  <c r="J374" i="157" a="1"/>
  <c r="N258" i="157" a="1"/>
  <c r="J347" i="157" a="1"/>
  <c r="Z316" i="157" a="1"/>
  <c r="J377" i="157" a="1"/>
  <c r="Z291" i="157" a="1"/>
  <c r="AQ356" i="157" a="1"/>
  <c r="BK342" i="157" a="1"/>
  <c r="N318" i="157" a="1"/>
  <c r="N321" i="157" a="1"/>
  <c r="AD316" i="157" a="1"/>
  <c r="BC283" i="157" a="1"/>
  <c r="AD335" i="157" a="1"/>
  <c r="G365" i="157" a="1"/>
  <c r="AV296" i="157" a="1"/>
  <c r="Z371" i="157" a="1"/>
  <c r="BK312" i="157" a="1"/>
  <c r="BG281" i="157" a="1"/>
  <c r="R286" i="157" a="1"/>
  <c r="BK344" i="157" a="1"/>
  <c r="R360" i="157" a="1"/>
  <c r="N375" i="157" a="1"/>
  <c r="AZ351" i="157" a="1"/>
  <c r="BC362" i="157" a="1"/>
  <c r="AN307" i="157" a="1"/>
  <c r="AN345" i="157" a="1"/>
  <c r="G298" i="157" a="1"/>
  <c r="G344" i="157" a="1"/>
  <c r="AN271" i="157" a="1"/>
  <c r="Z271" i="157" a="1"/>
  <c r="J341" i="157" a="1"/>
  <c r="AZ376" i="157" a="1"/>
  <c r="BC295" i="157" a="1"/>
  <c r="R325" i="157" a="1"/>
  <c r="AV322" i="157" a="1"/>
  <c r="AQ342" i="157" a="1"/>
  <c r="AV357" i="157" a="1"/>
  <c r="BG347" i="157" a="1"/>
  <c r="V321" i="157" a="1"/>
  <c r="BC349" i="157" a="1"/>
  <c r="AQ282" i="157" a="1"/>
  <c r="BC364" i="157" a="1"/>
  <c r="AZ311" i="157" a="1"/>
  <c r="G274" i="157" a="1"/>
  <c r="N295" i="157" a="1"/>
  <c r="BG280" i="157" a="1"/>
  <c r="N313" i="157" a="1"/>
  <c r="AH305" i="157" a="1"/>
  <c r="AD342" i="157" a="1"/>
  <c r="BG339" i="157" a="1"/>
  <c r="AN265" i="157" a="1"/>
  <c r="BG362" i="157" a="1"/>
  <c r="R297" i="157" a="1"/>
  <c r="J294" i="157" a="1"/>
  <c r="Z296" i="157" a="1"/>
  <c r="Z255" i="157" a="1"/>
  <c r="G277" i="157" a="1"/>
  <c r="Z306" i="157" a="1"/>
  <c r="AV316" i="157" a="1"/>
  <c r="R317" i="157" a="1"/>
  <c r="AD345" i="157" a="1"/>
  <c r="Z374" i="157" a="1"/>
  <c r="V365" i="157" a="1"/>
  <c r="G360" i="157" a="1"/>
  <c r="J337" i="157" a="1"/>
  <c r="AD256" i="157" a="1"/>
  <c r="BC319" i="157" a="1"/>
  <c r="AD263" i="157" a="1"/>
  <c r="J265" i="157" a="1"/>
  <c r="J335" i="157" a="1"/>
  <c r="AH273" i="157" a="1"/>
  <c r="V273" i="157" a="1"/>
  <c r="V362" i="157" a="1"/>
  <c r="V277" i="157" a="1"/>
  <c r="BC301" i="157" a="1"/>
  <c r="R314" i="157" a="1"/>
  <c r="AH332" i="157" a="1"/>
  <c r="AH296" i="157" a="1"/>
  <c r="J346" i="157" a="1"/>
  <c r="AZ350" i="157" a="1"/>
  <c r="AN310" i="157" a="1"/>
  <c r="G319" i="157" a="1"/>
  <c r="BK286" i="157" a="1"/>
  <c r="R295" i="157" a="1"/>
  <c r="BK289" i="157" a="1"/>
  <c r="AH320" i="157" a="1"/>
  <c r="BG309" i="157" a="1"/>
  <c r="AD378" i="157" a="1"/>
  <c r="AV260" i="157" a="1"/>
  <c r="BG376" i="157" a="1"/>
  <c r="AN302" i="157" a="1"/>
  <c r="N268" i="157" a="1"/>
  <c r="G294" i="157" a="1"/>
  <c r="V291" i="157" a="1"/>
  <c r="AQ373" i="157" a="1"/>
  <c r="AD333" i="157" a="1"/>
  <c r="AV302" i="157" a="1"/>
  <c r="R376" i="157" a="1"/>
  <c r="AQ301" i="157" a="1"/>
  <c r="AQ346" i="157" a="1"/>
  <c r="AQ337" i="157" a="1"/>
  <c r="N298" i="157" a="1"/>
  <c r="AD282" i="157" a="1"/>
  <c r="AV331" i="157" a="1"/>
  <c r="BC313" i="157" a="1"/>
  <c r="AN346" i="157" a="1"/>
  <c r="AZ286" i="157" a="1"/>
  <c r="BK378" i="157" a="1"/>
  <c r="BK301" i="157" a="1"/>
  <c r="BG308" i="157" a="1"/>
  <c r="G371" i="157" a="1"/>
  <c r="R267" i="157" a="1"/>
  <c r="N276" i="157" a="1"/>
  <c r="BG301" i="157" a="1"/>
  <c r="AQ321" i="157" a="1"/>
  <c r="BG303" i="157" a="1"/>
  <c r="Z373" i="157" a="1"/>
  <c r="V368" i="157" a="1"/>
  <c r="AD363" i="157" a="1"/>
  <c r="G356" i="157" a="1"/>
  <c r="AV345" i="157" a="1"/>
  <c r="AZ299" i="157" a="1"/>
  <c r="BC286" i="157" a="1"/>
  <c r="G342" i="157" a="1"/>
  <c r="AH355" i="157" a="1"/>
  <c r="V301" i="157" a="1"/>
  <c r="Z269" i="157" a="1"/>
  <c r="AH337" i="157" a="1"/>
  <c r="AV309" i="157" a="1"/>
  <c r="BG307" i="157" a="1"/>
  <c r="BK353" i="157" a="1"/>
  <c r="AD257" i="157" a="1"/>
  <c r="G338" i="157" a="1"/>
  <c r="AV298" i="157" a="1"/>
  <c r="AN335" i="157" a="1"/>
  <c r="BK358" i="157" a="1"/>
  <c r="BC312" i="157" a="1"/>
  <c r="AH309" i="157" a="1"/>
  <c r="AV281" i="157" a="1"/>
  <c r="N305" i="157" a="1"/>
  <c r="J338" i="157" a="1"/>
  <c r="V332" i="157" a="1"/>
  <c r="AQ362" i="157" a="1"/>
  <c r="AH348" i="157" a="1"/>
  <c r="G305" i="157" a="1"/>
  <c r="AZ348" i="157" a="1"/>
  <c r="AV257" i="157" a="1"/>
  <c r="R311" i="157" a="1"/>
  <c r="Z347" i="157" a="1"/>
  <c r="V353" i="157" a="1"/>
  <c r="BG330" i="157" a="1"/>
  <c r="G358" i="157" a="1"/>
  <c r="AH272" i="157" a="1"/>
  <c r="J284" i="157" a="1"/>
  <c r="AV339" i="157" a="1"/>
  <c r="AN319" i="157" a="1"/>
  <c r="AV297" i="157" a="1"/>
  <c r="J364" i="157" a="1"/>
  <c r="J275" i="157" a="1"/>
  <c r="AH312" i="157" a="1"/>
  <c r="Z349" i="157" a="1"/>
  <c r="AN312" i="157" a="1"/>
  <c r="BC298" i="157" a="1"/>
  <c r="G376" i="157" a="1"/>
  <c r="Z317" i="157" a="1"/>
  <c r="R269" i="157" a="1"/>
  <c r="AZ357" i="157" a="1"/>
  <c r="AV277" i="157" a="1"/>
  <c r="R282" i="157" a="1"/>
  <c r="BC302" i="157" a="1"/>
  <c r="BC338" i="157" a="1"/>
  <c r="AV375" i="157" a="1"/>
  <c r="AH370" i="157" a="1"/>
  <c r="AQ334" i="157" a="1"/>
  <c r="AD377" i="157" a="1"/>
  <c r="AD290" i="157" a="1"/>
  <c r="BK298" i="157" a="1"/>
  <c r="BK338" i="157" a="1"/>
  <c r="BC355" i="157" a="1"/>
  <c r="AV255" i="157" a="1"/>
  <c r="AD301" i="157" a="1"/>
  <c r="AQ265" i="157" a="1"/>
  <c r="AQ363" i="157" a="1"/>
  <c r="BG355" i="157" a="1"/>
  <c r="R305" i="157" a="1"/>
  <c r="J299" i="157" a="1"/>
  <c r="AQ309" i="157" a="1"/>
  <c r="G328" i="157" a="1"/>
  <c r="V284" i="157" a="1"/>
  <c r="AD275" i="157" a="1"/>
  <c r="J361" i="157" a="1"/>
  <c r="BK371" i="157" a="1"/>
  <c r="J356" i="157" a="1"/>
  <c r="AD349" i="157" a="1"/>
  <c r="G327" i="157" a="1"/>
  <c r="BC307" i="157" a="1"/>
  <c r="N344" i="157" a="1"/>
  <c r="G367" i="157" a="1"/>
  <c r="V280" i="157" a="1"/>
  <c r="BG282" i="157" a="1"/>
  <c r="N278" i="157" a="1"/>
  <c r="BK323" i="157" a="1"/>
  <c r="AV321" i="157" a="1"/>
  <c r="Z289" i="157" a="1"/>
  <c r="AN266" i="157" a="1"/>
  <c r="AQ339" i="157" a="1"/>
  <c r="AH334" i="157" a="1"/>
  <c r="AZ307" i="157" a="1"/>
  <c r="Z286" i="157" a="1"/>
  <c r="AN337" i="157" a="1"/>
  <c r="R264" i="157" a="1"/>
  <c r="AD336" i="157" a="1"/>
  <c r="BG340" i="157" a="1"/>
  <c r="G271" i="157" a="1"/>
  <c r="AN336" i="157" a="1"/>
  <c r="AQ374" i="157" a="1"/>
  <c r="AN330" i="157" a="1"/>
  <c r="AZ319" i="157" a="1"/>
  <c r="R346" i="157" a="1"/>
  <c r="G350" i="157" a="1"/>
  <c r="BK332" i="157" a="1"/>
  <c r="N377" i="157" a="1"/>
  <c r="N332" i="157" a="1"/>
  <c r="AQ302" i="157" a="1"/>
  <c r="Z283" i="157" a="1"/>
  <c r="R266" i="157" a="1"/>
  <c r="AV293" i="157" a="1"/>
  <c r="AH369" i="157" a="1"/>
  <c r="Z360" i="157" a="1"/>
  <c r="R277" i="157" a="1"/>
  <c r="AV348" i="157" a="1"/>
  <c r="BC282" i="157" a="1"/>
  <c r="Z345" i="157" a="1"/>
  <c r="AZ290" i="157" a="1"/>
  <c r="BK311" i="157" a="1"/>
  <c r="N269" i="157" a="1"/>
  <c r="N282" i="157" a="1"/>
  <c r="AH336" i="157" a="1"/>
  <c r="Z300" i="157" a="1"/>
  <c r="AZ332" i="157" a="1"/>
  <c r="Z322" i="157" a="1"/>
  <c r="BG284" i="157" a="1"/>
  <c r="V309" i="157" a="1"/>
  <c r="R365" i="157" a="1"/>
  <c r="N263" i="157" a="1"/>
  <c r="AV376" i="157" a="1"/>
  <c r="AZ374" i="157" a="1"/>
  <c r="BC340" i="157" a="1"/>
  <c r="AD315" i="157" a="1"/>
  <c r="AV278" i="157" a="1"/>
  <c r="AD339" i="157" a="1"/>
  <c r="AH315" i="157" a="1"/>
  <c r="AD288" i="157" a="1"/>
  <c r="V282" i="157" a="1"/>
  <c r="AV351" i="157" a="1"/>
  <c r="Z355" i="157" a="1"/>
  <c r="AD277" i="157" a="1"/>
  <c r="R283" i="157" a="1"/>
  <c r="Z295" i="157" a="1"/>
  <c r="N274" i="157" a="1"/>
  <c r="AQ352" i="157" a="1"/>
  <c r="N262" i="157" a="1"/>
  <c r="G362" i="157" a="1"/>
  <c r="AH360" i="157" a="1"/>
  <c r="AD351" i="157" a="1"/>
  <c r="R356" i="157" a="1"/>
  <c r="J371" i="157" a="1"/>
  <c r="BC361" i="157" a="1"/>
  <c r="N355" i="157" a="1"/>
  <c r="AD338" i="157" a="1"/>
  <c r="AQ280" i="157" a="1"/>
  <c r="Z339" i="157" a="1"/>
  <c r="Z297" i="157" a="1"/>
  <c r="AZ302" i="157" a="1"/>
  <c r="AN291" i="157" a="1"/>
  <c r="R285" i="157" a="1"/>
  <c r="AZ342" i="157" a="1"/>
  <c r="AV291" i="157" a="1"/>
  <c r="AN284" i="157" a="1"/>
  <c r="AQ263" i="157" a="1"/>
  <c r="AD267" i="157" a="1"/>
  <c r="V314" i="157" a="1"/>
  <c r="G377" i="157" a="1"/>
  <c r="R377" i="157" a="1"/>
  <c r="BC352" i="157" a="1"/>
  <c r="J280" i="157" a="1"/>
  <c r="BK322" i="157" a="1"/>
  <c r="BC359" i="157" a="1"/>
  <c r="R261" i="157" a="1"/>
  <c r="AN359" i="157" a="1"/>
  <c r="AH374" i="157" a="1"/>
  <c r="V345" i="157" a="1"/>
  <c r="AD369" i="157" a="1"/>
  <c r="AV318" i="157" a="1"/>
  <c r="G255" i="157" a="1"/>
  <c r="V361" i="157" a="1"/>
  <c r="BG325" i="157" a="1"/>
  <c r="BC345" i="157" a="1"/>
  <c r="G288" i="157" a="1"/>
  <c r="R371" i="157" a="1"/>
  <c r="N316" i="157" a="1"/>
  <c r="G303" i="157" a="1"/>
  <c r="AZ284" i="157" a="1"/>
  <c r="G263" i="157" a="1"/>
  <c r="J331" i="157" a="1"/>
  <c r="BC309" i="157" a="1"/>
  <c r="AN286" i="157" a="1"/>
  <c r="Z328" i="157" a="1"/>
  <c r="AV259" i="157" a="1"/>
  <c r="R350" i="157" a="1"/>
  <c r="BK349" i="157" a="1"/>
  <c r="J283" i="157" a="1"/>
  <c r="AQ284" i="157" a="1"/>
  <c r="BC308" i="157" a="1"/>
  <c r="AN280" i="157" a="1"/>
  <c r="AN263" i="157" a="1"/>
  <c r="J272" i="157" a="1"/>
  <c r="AD324" i="157" a="1"/>
  <c r="BC365" i="157" a="1"/>
  <c r="AN260" i="157" a="1"/>
  <c r="R257" i="157" a="1"/>
  <c r="R293" i="157" a="1"/>
  <c r="J330" i="157" a="1"/>
  <c r="AQ331" i="157" a="1"/>
  <c r="G348" i="157" a="1"/>
  <c r="N365" i="157" a="1"/>
  <c r="V346" i="157" a="1"/>
  <c r="Z282" i="157" a="1"/>
  <c r="AN268" i="157" a="1"/>
  <c r="AZ324" i="157" a="1"/>
  <c r="AQ366" i="157" a="1"/>
  <c r="AZ337" i="157" a="1"/>
  <c r="J362" i="157" a="1"/>
  <c r="AH290" i="157" a="1"/>
  <c r="Z356" i="157" a="1"/>
  <c r="BG342" i="157" a="1"/>
  <c r="AD306" i="157" a="1"/>
  <c r="AV267" i="157" a="1"/>
  <c r="Z309" i="157" a="1"/>
  <c r="R361" i="157" a="1"/>
  <c r="AZ340" i="157" a="1"/>
  <c r="AN315" i="157" a="1"/>
  <c r="AV371" i="157" a="1"/>
  <c r="R289" i="157" a="1"/>
  <c r="AZ352" i="157" a="1"/>
  <c r="J339" i="157" a="1"/>
  <c r="BG365" i="157" a="1"/>
  <c r="AH281" i="157" a="1"/>
  <c r="AN257" i="157" a="1"/>
  <c r="AN256" i="157" a="1"/>
  <c r="N348" i="157" a="1"/>
  <c r="AV367" i="157" a="1"/>
  <c r="AD292" i="157" a="1"/>
  <c r="BG296" i="157" a="1"/>
  <c r="G337" i="157" a="1"/>
  <c r="R344" i="157" a="1"/>
  <c r="AV314" i="157" a="1"/>
  <c r="AZ296" i="157" a="1"/>
  <c r="AD318" i="157" a="1"/>
  <c r="BC288" i="157" a="1"/>
  <c r="AV265" i="157" a="1"/>
  <c r="BK346" i="157" a="1"/>
  <c r="G313" i="157" a="1"/>
  <c r="N260" i="157" a="1"/>
  <c r="BC322" i="157" a="1"/>
  <c r="AH357" i="157" a="1"/>
  <c r="BG318" i="157" a="1"/>
  <c r="AD326" i="157" a="1"/>
  <c r="BK283" i="157" a="1"/>
  <c r="AQ266" i="157" a="1"/>
  <c r="AQ378" i="157" a="1"/>
  <c r="AN369" i="157" a="1"/>
  <c r="R336" i="157" a="1"/>
  <c r="V294" i="157" a="1"/>
  <c r="BK340" i="157" a="1"/>
  <c r="Z369" i="157" a="1"/>
  <c r="AV262" i="157" a="1"/>
  <c r="AH346" i="157" a="1"/>
  <c r="G264" i="157" a="1"/>
  <c r="V369" i="157" a="1"/>
  <c r="AV268" i="157" a="1"/>
  <c r="G284" i="157" a="1"/>
  <c r="AH297" i="157" a="1"/>
  <c r="J276" i="157" a="1"/>
  <c r="Z276" i="157" a="1"/>
  <c r="V352" i="157" a="1"/>
  <c r="AN326" i="157" a="1"/>
  <c r="BC285" i="157" a="1"/>
  <c r="V330" i="157" a="1"/>
  <c r="N288" i="157" a="1"/>
  <c r="AD334" i="157" a="1"/>
  <c r="BK326" i="157" a="1"/>
  <c r="G300" i="157" a="1"/>
  <c r="BG288" i="157" a="1"/>
  <c r="V316" i="157" a="1"/>
  <c r="BK372" i="157" a="1"/>
  <c r="BK348" i="157" a="1"/>
  <c r="AN285" i="157" a="1"/>
  <c r="Z348" i="157" a="1"/>
  <c r="AQ341" i="157" a="1"/>
  <c r="N346" i="157" a="1"/>
  <c r="BG310" i="157" a="1"/>
  <c r="V270" i="157" a="1"/>
  <c r="V337" i="157" a="1"/>
  <c r="R330" i="157" a="1"/>
  <c r="J289" i="157" a="1"/>
  <c r="BC299" i="157" a="1"/>
  <c r="AQ317" i="157" a="1"/>
  <c r="V260" i="157" a="1"/>
  <c r="AZ365" i="157" a="1"/>
  <c r="G309" i="157" a="1"/>
  <c r="AH352" i="157" a="1"/>
  <c r="BK370" i="157" a="1"/>
  <c r="J327" i="157" a="1"/>
  <c r="Z346" i="157" a="1"/>
  <c r="Z314" i="157" a="1"/>
  <c r="BK320" i="157" a="1"/>
  <c r="BK291" i="157" a="1"/>
  <c r="AN365" i="157" a="1"/>
  <c r="G261" i="157" a="1"/>
  <c r="BC328" i="157" a="1"/>
  <c r="Z281" i="157" a="1"/>
  <c r="N272" i="157" a="1"/>
  <c r="AH365" i="157" a="1"/>
  <c r="AV305" i="157" a="1"/>
  <c r="AQ276" i="157" a="1"/>
  <c r="AQ343" i="157" a="1"/>
  <c r="AV295" i="157" a="1"/>
  <c r="BC332" i="157" a="1"/>
  <c r="R284" i="157" a="1"/>
  <c r="AN282" i="157" a="1"/>
  <c r="R345" i="157" a="1"/>
  <c r="J297" i="157" a="1"/>
  <c r="Z327" i="157" a="1"/>
  <c r="AQ295" i="157" a="1"/>
  <c r="J287" i="157" a="1"/>
  <c r="AQ348" i="157" a="1"/>
  <c r="N376" i="157" a="1"/>
  <c r="N292" i="157" a="1"/>
  <c r="AZ345" i="157" a="1"/>
  <c r="AN287" i="157" a="1"/>
  <c r="AV323" i="157" a="1"/>
  <c r="G275" i="157" a="1"/>
  <c r="N287" i="157" a="1"/>
  <c r="AD285" i="157" a="1"/>
  <c r="BG336" i="157" a="1"/>
  <c r="AD266" i="157" a="1"/>
  <c r="AZ336" i="157" a="1"/>
  <c r="AV364" i="157" a="1"/>
  <c r="G281" i="157" a="1"/>
  <c r="V378" i="157" a="1"/>
  <c r="J378" i="157" a="1"/>
  <c r="N325" i="157" a="1"/>
  <c r="BC370" i="157" a="1"/>
  <c r="AH282" i="157" a="1"/>
  <c r="R367" i="157" a="1"/>
  <c r="AN374" i="157" a="1"/>
  <c r="AH284" i="157" a="1"/>
  <c r="AZ303" i="157" a="1"/>
  <c r="Z344" i="157" a="1"/>
  <c r="AN324" i="157" a="1"/>
  <c r="AH256" i="157" a="1"/>
  <c r="J308" i="157" a="1"/>
  <c r="AV292" i="157" a="1"/>
  <c r="BC358" i="157" a="1"/>
  <c r="AH313" i="157" a="1"/>
  <c r="V275" i="157" a="1"/>
  <c r="G296" i="157" a="1"/>
  <c r="AN270" i="157" a="1"/>
  <c r="J342" i="157" a="1"/>
  <c r="AH275" i="157" a="1"/>
  <c r="J359" i="157" a="1"/>
  <c r="AV349" i="157" a="1"/>
  <c r="AD287" i="157" a="1"/>
  <c r="AN340" i="157" a="1"/>
  <c r="R272" i="157" a="1"/>
  <c r="AZ341" i="157" a="1"/>
  <c r="N265" i="157" a="1"/>
  <c r="AN276" i="157" a="1"/>
  <c r="Z299" i="157" a="1"/>
  <c r="R256" i="157" a="1"/>
  <c r="G267" i="157" a="1"/>
  <c r="AD355" i="157" a="1"/>
  <c r="AQ351" i="157" a="1"/>
  <c r="BG305" i="157" a="1"/>
  <c r="G256" i="157" a="1"/>
  <c r="AV319" i="157" a="1"/>
  <c r="BC325" i="157" a="1"/>
  <c r="J313" i="157" a="1"/>
  <c r="AN327" i="157" a="1"/>
  <c r="BK341" i="157" a="1"/>
  <c r="AH325" i="157" a="1"/>
  <c r="J353" i="157" a="1"/>
  <c r="AD332" i="157" a="1"/>
  <c r="N264" i="157" a="1"/>
  <c r="AQ291" i="157" a="1"/>
  <c r="R364" i="157" a="1"/>
  <c r="AQ350" i="157" a="1"/>
  <c r="AQ319" i="157" a="1"/>
  <c r="V344" i="157" a="1"/>
  <c r="BG323" i="157" a="1"/>
  <c r="AH333" i="157" a="1"/>
  <c r="R309" i="157" a="1"/>
  <c r="AN301" i="157" a="1"/>
  <c r="AH266" i="157" a="1"/>
  <c r="AV306" i="157" a="1"/>
  <c r="V312" i="157" a="1"/>
  <c r="G266" i="157" a="1"/>
  <c r="AV299" i="157" a="1"/>
  <c r="N267" i="157" a="1"/>
  <c r="AQ313" i="157" a="1"/>
  <c r="R303" i="157" a="1"/>
  <c r="AQ271" i="157" a="1"/>
  <c r="G333" i="157" a="1"/>
  <c r="AZ325" i="157" a="1"/>
  <c r="AZ309" i="157" a="1"/>
  <c r="AN328" i="157" a="1"/>
  <c r="Z333" i="157" a="1"/>
  <c r="AD347" i="157" a="1"/>
  <c r="Z375" i="157" a="1"/>
  <c r="AH347" i="157" a="1"/>
  <c r="AN363" i="157" a="1"/>
  <c r="R343" i="157" a="1"/>
  <c r="BG333" i="157" a="1"/>
  <c r="V315" i="157" a="1"/>
  <c r="J271" i="157" a="1"/>
  <c r="J273" i="157" a="1"/>
  <c r="N306" i="157" a="1"/>
  <c r="V269" i="157" a="1"/>
  <c r="AQ325" i="157" a="1"/>
  <c r="AD258" i="157" a="1"/>
  <c r="AQ375" i="157" a="1"/>
  <c r="Z319" i="157" a="1"/>
  <c r="AN264" i="157" a="1"/>
  <c r="AH353" i="157" a="1"/>
  <c r="AV274" i="157" a="1"/>
  <c r="G369" i="157" a="1"/>
  <c r="BK314" i="157" a="1"/>
  <c r="AD376" i="157" a="1"/>
  <c r="Z325" i="157" a="1"/>
  <c r="AV335" i="157" a="1"/>
  <c r="AZ315" i="157" a="1"/>
  <c r="J332" i="157" a="1"/>
  <c r="BG364" i="157" a="1"/>
  <c r="BC339" i="157" a="1"/>
  <c r="AQ275" i="157" a="1"/>
  <c r="Z256" i="157" a="1"/>
  <c r="AZ366" i="157" a="1"/>
  <c r="AD350" i="157" a="1"/>
  <c r="BK334" i="157" a="1"/>
  <c r="R348" i="157" a="1"/>
  <c r="AV373" i="157" a="1"/>
  <c r="AQ320" i="157" a="1"/>
  <c r="AV347" i="157" a="1"/>
  <c r="AV361" i="157" a="1"/>
  <c r="J325" i="157" a="1"/>
  <c r="AD302" i="157" a="1"/>
  <c r="AQ332" i="157" a="1"/>
  <c r="AD365" i="157" a="1"/>
  <c r="AD310" i="157" a="1"/>
  <c r="AZ295" i="157" a="1"/>
  <c r="J282" i="157" a="1"/>
  <c r="AN259" i="157" a="1"/>
  <c r="AN322" i="157" a="1"/>
  <c r="R372" i="157" a="1"/>
  <c r="N293" i="157" a="1"/>
  <c r="AN370" i="157" a="1"/>
  <c r="V331" i="157" a="1"/>
  <c r="R260" i="157" a="1"/>
  <c r="AH288" i="157" a="1"/>
  <c r="AN357" i="157" a="1"/>
  <c r="AH372" i="157" a="1"/>
  <c r="AQ370" i="157" a="1"/>
  <c r="AN289" i="157" a="1"/>
  <c r="AV288" i="157" a="1"/>
  <c r="N360" i="157" a="1"/>
  <c r="AZ310" i="157" a="1"/>
  <c r="J348" i="157" a="1"/>
  <c r="AH363" i="157" a="1"/>
  <c r="AV271" i="157" a="1"/>
  <c r="AD360" i="157" a="1"/>
  <c r="AN290" i="157" a="1"/>
  <c r="AZ368" i="157" a="1"/>
  <c r="N327" i="157" a="1"/>
  <c r="V289" i="157" a="1"/>
  <c r="Z257" i="157" a="1"/>
  <c r="AZ282" i="157" a="1"/>
  <c r="AQ277" i="157" a="1"/>
  <c r="AD294" i="157" a="1"/>
  <c r="AQ368" i="157" a="1"/>
  <c r="R308" i="157" a="1"/>
  <c r="AH300" i="157" a="1"/>
  <c r="AZ281" i="157" a="1"/>
  <c r="AN258" i="157" a="1"/>
  <c r="AN361" i="157" a="1"/>
  <c r="R324" i="157" a="1"/>
  <c r="AQ377" i="157" a="1"/>
  <c r="BG316" i="157" a="1"/>
  <c r="R274" i="157" a="1"/>
  <c r="G353" i="157" a="1"/>
  <c r="AN316" i="157" a="1"/>
  <c r="AN292" i="157" a="1"/>
  <c r="N286" i="157" a="1"/>
  <c r="AH267" i="157" a="1"/>
  <c r="AV307" i="157" a="1"/>
  <c r="AD308" i="157" a="1"/>
  <c r="AD325" i="157" a="1"/>
  <c r="AD276" i="157" a="1"/>
  <c r="G343" i="157" a="1"/>
  <c r="V375" i="157" a="1"/>
  <c r="AV369" i="157" a="1"/>
  <c r="AZ326" i="157" a="1"/>
  <c r="J376" i="157" a="1"/>
  <c r="R320" i="157" a="1"/>
  <c r="J343" i="157" a="1"/>
  <c r="AV337" i="157" a="1"/>
  <c r="G273" i="157" a="1"/>
  <c r="AZ317" i="157" a="1"/>
  <c r="G295" i="157" a="1"/>
  <c r="AV342" i="157" a="1"/>
  <c r="BK330" i="157" a="1"/>
  <c r="V285" i="157" a="1"/>
  <c r="BG313" i="157" a="1"/>
  <c r="AD303" i="157" a="1"/>
  <c r="G378" i="157" a="1"/>
  <c r="AH268" i="157" a="1"/>
  <c r="J288" i="157" a="1"/>
  <c r="AQ307" i="157" a="1"/>
  <c r="AZ339" i="157" a="1"/>
  <c r="AV340" i="157" a="1"/>
  <c r="N356" i="157" a="1"/>
  <c r="BG352" i="157" a="1"/>
  <c r="AQ376" i="157" a="1"/>
  <c r="AH341" i="157" a="1"/>
  <c r="G349" i="157" a="1"/>
  <c r="BC281" i="157" a="1"/>
  <c r="AZ322" i="157" a="1"/>
  <c r="AZ300" i="157" a="1"/>
  <c r="R378" i="157" a="1"/>
  <c r="V271" i="157" a="1"/>
  <c r="AD356" i="157" a="1"/>
  <c r="AV272" i="157" a="1"/>
  <c r="AN353" i="157" a="1"/>
  <c r="Z364" i="157" a="1"/>
  <c r="AQ255" i="157" a="1"/>
  <c r="AH373" i="157" a="1"/>
  <c r="AQ336" i="157" a="1"/>
  <c r="AV358" i="157" a="1"/>
  <c r="BC315" i="157" a="1"/>
  <c r="AZ293" i="157" a="1"/>
  <c r="AD314" i="157" a="1"/>
  <c r="AN269" i="157" a="1"/>
  <c r="J259" i="157" a="1"/>
  <c r="AV294" i="157" a="1"/>
  <c r="AH262" i="157" a="1"/>
  <c r="Z310" i="157" a="1"/>
  <c r="J375" i="157" a="1"/>
  <c r="Z277" i="157" a="1"/>
  <c r="G339" i="157" a="1"/>
  <c r="AN378" i="157" a="1"/>
  <c r="BC378" i="157" a="1"/>
  <c r="AV344" i="157" a="1"/>
  <c r="Z338" i="157" a="1"/>
  <c r="Z334" i="157" a="1"/>
  <c r="AV312" i="157" a="1"/>
  <c r="AD283" i="157" a="1"/>
  <c r="AN348" i="157" a="1"/>
  <c r="G363" i="157" a="1"/>
  <c r="BG321" i="157" a="1"/>
  <c r="AZ297" i="157" a="1"/>
  <c r="J263" i="157" a="1"/>
  <c r="AQ345" i="157" a="1"/>
  <c r="BG370" i="157" a="1"/>
  <c r="AN332" i="157" a="1"/>
  <c r="N283" i="157" a="1"/>
  <c r="AQ364" i="157" a="1"/>
  <c r="AV315" i="157" a="1"/>
  <c r="AN373" i="157" a="1"/>
  <c r="J291" i="157" a="1"/>
  <c r="BK373" i="157" a="1"/>
  <c r="J363" i="157" a="1"/>
  <c r="BG358" i="157" a="1"/>
  <c r="BC373" i="157" a="1"/>
  <c r="Z377" i="157" a="1"/>
  <c r="AZ347" i="157" a="1"/>
  <c r="BC346" i="157" a="1"/>
  <c r="Z337" i="157" a="1"/>
  <c r="BK318" i="157" a="1"/>
  <c r="AH350" i="157" a="1"/>
  <c r="AQ365" i="157" a="1"/>
  <c r="AN358" i="157" a="1"/>
  <c r="N349" i="157" a="1"/>
  <c r="AV285" i="157" a="1"/>
  <c r="V257" i="157" a="1"/>
  <c r="R258" i="157" a="1"/>
  <c r="BC320" i="157" a="1"/>
  <c r="BK374" i="157" a="1"/>
  <c r="J360" i="157" a="1"/>
  <c r="R341" i="157" a="1"/>
  <c r="AH280" i="157" a="1"/>
  <c r="G258" i="157" a="1"/>
  <c r="R281" i="157" a="1"/>
  <c r="AZ371" i="157" a="1"/>
  <c r="J260" i="157" a="1"/>
  <c r="G253" i="157" a="1"/>
  <c r="AD366" i="157" a="1"/>
  <c r="AH303" i="157" a="1"/>
  <c r="AV353" i="157" a="1"/>
  <c r="AQ357" i="157" a="1"/>
  <c r="BC363" i="157" a="1"/>
  <c r="BK307" i="157" a="1"/>
  <c r="Z275" i="157" a="1"/>
  <c r="R288" i="157" a="1"/>
  <c r="J302" i="157" a="1"/>
  <c r="AN344" i="157" a="1"/>
  <c r="J322" i="157" a="1"/>
  <c r="AN300" i="157" a="1"/>
  <c r="AQ360" i="157" a="1"/>
  <c r="AV359" i="157" a="1"/>
  <c r="AH356" i="157" a="1"/>
  <c r="BC377" i="157" a="1"/>
  <c r="Z357" i="157" a="1"/>
  <c r="AD364" i="157" a="1"/>
  <c r="G262" i="157" a="1"/>
  <c r="AV276" i="157" a="1"/>
  <c r="N331" i="157" a="1"/>
  <c r="AZ373" i="157" a="1"/>
  <c r="Z336" i="157" a="1"/>
  <c r="AH364" i="157" a="1"/>
  <c r="AH342" i="157" a="1"/>
  <c r="AZ280" i="157" a="1"/>
  <c r="J373" i="157" a="1"/>
  <c r="AQ359" i="157" a="1"/>
  <c r="AD307" i="157" a="1"/>
  <c r="AH316" i="157" a="1"/>
  <c r="AV289" i="157" a="1"/>
  <c r="N270" i="157" a="1"/>
  <c r="J336" i="157" a="1"/>
  <c r="G289" i="157" a="1"/>
  <c r="V372" i="157" a="1"/>
  <c r="Z318" i="157" a="1"/>
  <c r="AQ340" i="157" a="1"/>
  <c r="R263" i="157" a="1"/>
  <c r="Z308" i="157" a="1"/>
  <c r="BG337" i="157" a="1"/>
  <c r="AD317" i="157" a="1"/>
  <c r="Z285" i="157" a="1"/>
  <c r="AQ306" i="157" a="1"/>
  <c r="V272" i="157" a="1"/>
  <c r="AD327" i="157" a="1"/>
  <c r="G372" i="157" l="1"/>
  <c r="AQ368" i="157"/>
  <c r="N365" i="157"/>
  <c r="V375" i="157"/>
  <c r="BG371" i="157"/>
  <c r="AV376" i="157"/>
  <c r="AV362" i="157"/>
  <c r="N357" i="157"/>
  <c r="V355" i="157"/>
  <c r="J378" i="157"/>
  <c r="AQ376" i="157"/>
  <c r="AZ374" i="157"/>
  <c r="V373" i="157"/>
  <c r="Z371" i="157"/>
  <c r="BG369" i="157"/>
  <c r="G368" i="157"/>
  <c r="AN366" i="157"/>
  <c r="AQ364" i="157"/>
  <c r="AV360" i="157"/>
  <c r="V363" i="157"/>
  <c r="Z357" i="157"/>
  <c r="N363" i="157"/>
  <c r="Z355" i="157"/>
  <c r="N355" i="157"/>
  <c r="G378" i="157"/>
  <c r="AH362" i="157"/>
  <c r="AQ358" i="157"/>
  <c r="Z375" i="157"/>
  <c r="AQ378" i="157"/>
  <c r="AN378" i="157"/>
  <c r="V357" i="157"/>
  <c r="N359" i="157"/>
  <c r="AV374" i="157"/>
  <c r="BK377" i="157"/>
  <c r="J376" i="157"/>
  <c r="AQ374" i="157"/>
  <c r="AZ372" i="157"/>
  <c r="R371" i="157"/>
  <c r="Z369" i="157"/>
  <c r="BG367" i="157"/>
  <c r="G366" i="157"/>
  <c r="AH360" i="157"/>
  <c r="AQ356" i="157"/>
  <c r="AV366" i="157"/>
  <c r="AQ366" i="157"/>
  <c r="V371" i="157"/>
  <c r="BG377" i="157"/>
  <c r="AN374" i="157"/>
  <c r="N371" i="157"/>
  <c r="BC367" i="157"/>
  <c r="G364" i="157"/>
  <c r="AH358" i="157"/>
  <c r="AN368" i="157"/>
  <c r="Z373" i="157"/>
  <c r="AH366" i="157"/>
  <c r="G376" i="157"/>
  <c r="AV372" i="157"/>
  <c r="V369" i="157"/>
  <c r="BK365" i="157"/>
  <c r="G362" i="157"/>
  <c r="AN356" i="157"/>
  <c r="R375" i="157"/>
  <c r="BC369" i="157"/>
  <c r="BK367" i="157"/>
  <c r="BK363" i="157"/>
  <c r="G360" i="157"/>
  <c r="AH356" i="157"/>
  <c r="AD373" i="157"/>
  <c r="AH364" i="157"/>
  <c r="AD377" i="157"/>
  <c r="BK375" i="157"/>
  <c r="J374" i="157"/>
  <c r="AQ372" i="157"/>
  <c r="AV370" i="157"/>
  <c r="R369" i="157"/>
  <c r="Z367" i="157"/>
  <c r="BC365" i="157"/>
  <c r="BK361" i="157"/>
  <c r="G358" i="157"/>
  <c r="G370" i="157"/>
  <c r="BK369" i="157"/>
  <c r="BG375" i="157"/>
  <c r="AN372" i="157"/>
  <c r="N369" i="157"/>
  <c r="BC363" i="157"/>
  <c r="BK359" i="157"/>
  <c r="Z359" i="157"/>
  <c r="V361" i="157"/>
  <c r="Z377" i="157"/>
  <c r="G374" i="157"/>
  <c r="AQ370" i="157"/>
  <c r="V367" i="157"/>
  <c r="BC361" i="157"/>
  <c r="BK357" i="157"/>
  <c r="G356" i="157"/>
  <c r="AV378" i="157"/>
  <c r="BK371" i="157"/>
  <c r="N361" i="157"/>
  <c r="AV358" i="157"/>
  <c r="Z365" i="157"/>
  <c r="BC359" i="157"/>
  <c r="BC355" i="157"/>
  <c r="AZ376" i="157"/>
  <c r="V359" i="157"/>
  <c r="AV364" i="157"/>
  <c r="R373" i="157"/>
  <c r="AQ360" i="157"/>
  <c r="AZ378" i="157"/>
  <c r="V377" i="157"/>
  <c r="AD375" i="157"/>
  <c r="BK373" i="157"/>
  <c r="J372" i="157"/>
  <c r="AN370" i="157"/>
  <c r="AV368" i="157"/>
  <c r="R367" i="157"/>
  <c r="Z363" i="157"/>
  <c r="BC357" i="157"/>
  <c r="BK355" i="157"/>
  <c r="AH368" i="157"/>
  <c r="AN376" i="157"/>
  <c r="AQ362" i="157"/>
  <c r="AV356" i="157"/>
  <c r="R377" i="157"/>
  <c r="BG373" i="157"/>
  <c r="AH370" i="157"/>
  <c r="N367" i="157"/>
  <c r="V365" i="157"/>
  <c r="Z361" i="157"/>
  <c r="BG365" i="157"/>
  <c r="R365" i="157"/>
  <c r="AN364" i="157"/>
  <c r="BG363" i="157"/>
  <c r="R363" i="157"/>
  <c r="AN362" i="157"/>
  <c r="BG361" i="157"/>
  <c r="R361" i="157"/>
  <c r="AN360" i="157"/>
  <c r="BG359" i="157"/>
  <c r="R359" i="157"/>
  <c r="AN358" i="157"/>
  <c r="BG357" i="157"/>
  <c r="R357" i="157"/>
  <c r="BG355" i="157"/>
  <c r="R355" i="157"/>
  <c r="AH378" i="157"/>
  <c r="BC377" i="157"/>
  <c r="N377" i="157"/>
  <c r="AH376" i="157"/>
  <c r="BC375" i="157"/>
  <c r="N375" i="157"/>
  <c r="AH374" i="157"/>
  <c r="BC373" i="157"/>
  <c r="N373" i="157"/>
  <c r="AH372" i="157"/>
  <c r="BC371" i="157"/>
  <c r="J371" i="157"/>
  <c r="AD370" i="157"/>
  <c r="AZ369" i="157"/>
  <c r="J369" i="157"/>
  <c r="AD368" i="157"/>
  <c r="AZ367" i="157"/>
  <c r="J367" i="157"/>
  <c r="AD366" i="157"/>
  <c r="AZ365" i="157"/>
  <c r="J365" i="157"/>
  <c r="AD364" i="157"/>
  <c r="AZ363" i="157"/>
  <c r="J363" i="157"/>
  <c r="AD362" i="157"/>
  <c r="AZ361" i="157"/>
  <c r="J361" i="157"/>
  <c r="AD360" i="157"/>
  <c r="AZ359" i="157"/>
  <c r="J359" i="157"/>
  <c r="AD358" i="157"/>
  <c r="AZ357" i="157"/>
  <c r="J357" i="157"/>
  <c r="AD356" i="157"/>
  <c r="AZ355" i="157"/>
  <c r="AD378" i="157"/>
  <c r="AZ377" i="157"/>
  <c r="J377" i="157"/>
  <c r="AD376" i="157"/>
  <c r="AZ375" i="157"/>
  <c r="J375" i="157"/>
  <c r="AD374" i="157"/>
  <c r="AZ373" i="157"/>
  <c r="J373" i="157"/>
  <c r="AD372" i="157"/>
  <c r="AZ371" i="157"/>
  <c r="G371" i="157"/>
  <c r="Z370" i="157"/>
  <c r="AV369" i="157"/>
  <c r="G369" i="157"/>
  <c r="Z368" i="157"/>
  <c r="AV367" i="157"/>
  <c r="G367" i="157"/>
  <c r="Z366" i="157"/>
  <c r="AV365" i="157"/>
  <c r="G365" i="157"/>
  <c r="Z364" i="157"/>
  <c r="AV363" i="157"/>
  <c r="G363" i="157"/>
  <c r="Z362" i="157"/>
  <c r="AV361" i="157"/>
  <c r="G361" i="157"/>
  <c r="Z360" i="157"/>
  <c r="AV359" i="157"/>
  <c r="G359" i="157"/>
  <c r="Z358" i="157"/>
  <c r="AV357" i="157"/>
  <c r="G357" i="157"/>
  <c r="Z356" i="157"/>
  <c r="AV355" i="157"/>
  <c r="Z378" i="157"/>
  <c r="AV377" i="157"/>
  <c r="G377" i="157"/>
  <c r="Z376" i="157"/>
  <c r="AV375" i="157"/>
  <c r="G375" i="157"/>
  <c r="Z374" i="157"/>
  <c r="AV373" i="157"/>
  <c r="G373" i="157"/>
  <c r="Z372" i="157"/>
  <c r="AV371" i="157"/>
  <c r="BK370" i="157"/>
  <c r="V370" i="157"/>
  <c r="AQ369" i="157"/>
  <c r="BK368" i="157"/>
  <c r="V368" i="157"/>
  <c r="AQ367" i="157"/>
  <c r="BK366" i="157"/>
  <c r="V366" i="157"/>
  <c r="AQ365" i="157"/>
  <c r="BK364" i="157"/>
  <c r="V364" i="157"/>
  <c r="AQ363" i="157"/>
  <c r="BK362" i="157"/>
  <c r="V362" i="157"/>
  <c r="AQ361" i="157"/>
  <c r="BK360" i="157"/>
  <c r="V360" i="157"/>
  <c r="AQ359" i="157"/>
  <c r="BK358" i="157"/>
  <c r="V358" i="157"/>
  <c r="AQ357" i="157"/>
  <c r="BK356" i="157"/>
  <c r="V356" i="157"/>
  <c r="AQ355" i="157"/>
  <c r="BK378" i="157"/>
  <c r="V378" i="157"/>
  <c r="AQ377" i="157"/>
  <c r="BK376" i="157"/>
  <c r="V376" i="157"/>
  <c r="AQ375" i="157"/>
  <c r="BK374" i="157"/>
  <c r="V374" i="157"/>
  <c r="AQ373" i="157"/>
  <c r="BK372" i="157"/>
  <c r="V372" i="157"/>
  <c r="AQ371" i="157"/>
  <c r="BG370" i="157"/>
  <c r="R370" i="157"/>
  <c r="AN369" i="157"/>
  <c r="BG368" i="157"/>
  <c r="R368" i="157"/>
  <c r="AN367" i="157"/>
  <c r="BG366" i="157"/>
  <c r="R366" i="157"/>
  <c r="AN365" i="157"/>
  <c r="BG364" i="157"/>
  <c r="R364" i="157"/>
  <c r="AN363" i="157"/>
  <c r="BG362" i="157"/>
  <c r="R362" i="157"/>
  <c r="AN361" i="157"/>
  <c r="BG360" i="157"/>
  <c r="R360" i="157"/>
  <c r="AN359" i="157"/>
  <c r="BG358" i="157"/>
  <c r="R358" i="157"/>
  <c r="AN357" i="157"/>
  <c r="BG356" i="157"/>
  <c r="R356" i="157"/>
  <c r="AN355" i="157"/>
  <c r="BG378" i="157"/>
  <c r="R378" i="157"/>
  <c r="AN377" i="157"/>
  <c r="BG376" i="157"/>
  <c r="R376" i="157"/>
  <c r="AN375" i="157"/>
  <c r="BG374" i="157"/>
  <c r="R374" i="157"/>
  <c r="AN373" i="157"/>
  <c r="BG372" i="157"/>
  <c r="R372" i="157"/>
  <c r="AH371" i="157"/>
  <c r="BC370" i="157"/>
  <c r="N370" i="157"/>
  <c r="AH369" i="157"/>
  <c r="BC368" i="157"/>
  <c r="N368" i="157"/>
  <c r="AH367" i="157"/>
  <c r="BC366" i="157"/>
  <c r="N366" i="157"/>
  <c r="AH365" i="157"/>
  <c r="BC364" i="157"/>
  <c r="N364" i="157"/>
  <c r="AH363" i="157"/>
  <c r="BC362" i="157"/>
  <c r="N362" i="157"/>
  <c r="AH361" i="157"/>
  <c r="BC360" i="157"/>
  <c r="N360" i="157"/>
  <c r="AH359" i="157"/>
  <c r="BC358" i="157"/>
  <c r="N358" i="157"/>
  <c r="AH357" i="157"/>
  <c r="BC356" i="157"/>
  <c r="N356" i="157"/>
  <c r="AH355" i="157"/>
  <c r="BC378" i="157"/>
  <c r="N378" i="157"/>
  <c r="AH377" i="157"/>
  <c r="BC376" i="157"/>
  <c r="N376" i="157"/>
  <c r="AH375" i="157"/>
  <c r="BC374" i="157"/>
  <c r="N374" i="157"/>
  <c r="AH373" i="157"/>
  <c r="BC372" i="157"/>
  <c r="N372" i="157"/>
  <c r="AD371" i="157"/>
  <c r="AZ370" i="157"/>
  <c r="J370" i="157"/>
  <c r="AD369" i="157"/>
  <c r="AZ368" i="157"/>
  <c r="J368" i="157"/>
  <c r="AD367" i="157"/>
  <c r="AZ366" i="157"/>
  <c r="J366" i="157"/>
  <c r="AD365" i="157"/>
  <c r="AZ364" i="157"/>
  <c r="J364" i="157"/>
  <c r="AD363" i="157"/>
  <c r="AZ362" i="157"/>
  <c r="J362" i="157"/>
  <c r="AD361" i="157"/>
  <c r="AZ360" i="157"/>
  <c r="J360" i="157"/>
  <c r="AD359" i="157"/>
  <c r="AZ358" i="157"/>
  <c r="J358" i="157"/>
  <c r="AD357" i="157"/>
  <c r="AZ356" i="157"/>
  <c r="J356" i="157"/>
  <c r="AD355" i="157"/>
  <c r="N336" i="157"/>
  <c r="BK340" i="157"/>
  <c r="G346" i="157"/>
  <c r="AV352" i="157"/>
  <c r="R330" i="157"/>
  <c r="AV332" i="157"/>
  <c r="BK334" i="157"/>
  <c r="AZ344" i="157"/>
  <c r="AH337" i="157"/>
  <c r="G340" i="157"/>
  <c r="V342" i="157"/>
  <c r="J346" i="157"/>
  <c r="AZ352" i="157"/>
  <c r="V330" i="157"/>
  <c r="V336" i="157"/>
  <c r="R341" i="157"/>
  <c r="BC344" i="157"/>
  <c r="R335" i="157"/>
  <c r="BC338" i="157"/>
  <c r="Z341" i="157"/>
  <c r="AQ343" i="157"/>
  <c r="AH347" i="157"/>
  <c r="BC352" i="157"/>
  <c r="BC332" i="157"/>
  <c r="AQ337" i="157"/>
  <c r="AN342" i="157"/>
  <c r="AN330" i="157"/>
  <c r="AD341" i="157"/>
  <c r="AV342" i="157"/>
  <c r="AV330" i="157"/>
  <c r="BK338" i="157"/>
  <c r="BG343" i="157"/>
  <c r="V346" i="157"/>
  <c r="AQ347" i="157"/>
  <c r="BK352" i="157"/>
  <c r="BK332" i="157"/>
  <c r="AZ342" i="157"/>
  <c r="G344" i="157"/>
  <c r="AZ330" i="157"/>
  <c r="AZ336" i="157"/>
  <c r="V340" i="157"/>
  <c r="R345" i="157"/>
  <c r="AN346" i="157"/>
  <c r="BG347" i="157"/>
  <c r="R353" i="157"/>
  <c r="R339" i="157"/>
  <c r="BC342" i="157"/>
  <c r="J344" i="157"/>
  <c r="Z345" i="157"/>
  <c r="AV346" i="157"/>
  <c r="AV350" i="157"/>
  <c r="Z353" i="157"/>
  <c r="R333" i="157"/>
  <c r="Z339" i="157"/>
  <c r="AQ341" i="157"/>
  <c r="Z333" i="157"/>
  <c r="AQ335" i="157"/>
  <c r="N344" i="157"/>
  <c r="AD345" i="157"/>
  <c r="AZ346" i="157"/>
  <c r="J348" i="157"/>
  <c r="AD353" i="157"/>
  <c r="BG330" i="157"/>
  <c r="AN334" i="157"/>
  <c r="N338" i="157"/>
  <c r="AD339" i="157"/>
  <c r="AV340" i="157"/>
  <c r="BK342" i="157"/>
  <c r="N332" i="157"/>
  <c r="AD333" i="157"/>
  <c r="AV334" i="157"/>
  <c r="BK336" i="157"/>
  <c r="BG341" i="157"/>
  <c r="AH345" i="157"/>
  <c r="BC346" i="157"/>
  <c r="N348" i="157"/>
  <c r="AH349" i="157"/>
  <c r="BC350" i="157"/>
  <c r="N352" i="157"/>
  <c r="AH353" i="157"/>
  <c r="AV338" i="157"/>
  <c r="AV348" i="157"/>
  <c r="AH343" i="157"/>
  <c r="J350" i="157"/>
  <c r="AH331" i="157"/>
  <c r="J340" i="157"/>
  <c r="N350" i="157"/>
  <c r="AQ331" i="157"/>
  <c r="AV336" i="157"/>
  <c r="BK348" i="157"/>
  <c r="BG337" i="157"/>
  <c r="G338" i="157"/>
  <c r="BG351" i="157"/>
  <c r="Z349" i="157"/>
  <c r="BC330" i="157"/>
  <c r="J332" i="157"/>
  <c r="J352" i="157"/>
  <c r="G330" i="157"/>
  <c r="BK330" i="157"/>
  <c r="BG335" i="157"/>
  <c r="AH339" i="157"/>
  <c r="AZ340" i="157"/>
  <c r="G342" i="157"/>
  <c r="V344" i="157"/>
  <c r="AH333" i="157"/>
  <c r="AZ334" i="157"/>
  <c r="G336" i="157"/>
  <c r="V338" i="157"/>
  <c r="R343" i="157"/>
  <c r="Z347" i="157"/>
  <c r="AD331" i="157"/>
  <c r="BG333" i="157"/>
  <c r="AZ348" i="157"/>
  <c r="G334" i="157"/>
  <c r="BC348" i="157"/>
  <c r="Z335" i="157"/>
  <c r="AN336" i="157"/>
  <c r="AD335" i="157"/>
  <c r="AH341" i="157"/>
  <c r="AH335" i="157"/>
  <c r="G332" i="157"/>
  <c r="AD337" i="157"/>
  <c r="Z351" i="157"/>
  <c r="BG339" i="157"/>
  <c r="AZ338" i="157"/>
  <c r="AD351" i="157"/>
  <c r="N346" i="157"/>
  <c r="J334" i="157"/>
  <c r="BK344" i="157"/>
  <c r="N334" i="157"/>
  <c r="V350" i="157"/>
  <c r="AN350" i="157"/>
  <c r="V334" i="157"/>
  <c r="G348" i="157"/>
  <c r="BC336" i="157"/>
  <c r="AD349" i="157"/>
  <c r="V332" i="157"/>
  <c r="BC340" i="157"/>
  <c r="Z343" i="157"/>
  <c r="BK346" i="157"/>
  <c r="AQ349" i="157"/>
  <c r="BK350" i="157"/>
  <c r="AQ353" i="157"/>
  <c r="R331" i="157"/>
  <c r="BC334" i="157"/>
  <c r="J336" i="157"/>
  <c r="Z337" i="157"/>
  <c r="AQ339" i="157"/>
  <c r="AN344" i="157"/>
  <c r="AN332" i="157"/>
  <c r="G350" i="157"/>
  <c r="AD347" i="157"/>
  <c r="AZ332" i="157"/>
  <c r="AH351" i="157"/>
  <c r="N340" i="157"/>
  <c r="AQ351" i="157"/>
  <c r="BG331" i="157"/>
  <c r="R349" i="157"/>
  <c r="G352" i="157"/>
  <c r="J338" i="157"/>
  <c r="AN340" i="157"/>
  <c r="AZ350" i="157"/>
  <c r="J330" i="157"/>
  <c r="R337" i="157"/>
  <c r="J342" i="157"/>
  <c r="AQ345" i="157"/>
  <c r="V348" i="157"/>
  <c r="V352" i="157"/>
  <c r="N330" i="157"/>
  <c r="Z331" i="157"/>
  <c r="AQ333" i="157"/>
  <c r="AN338" i="157"/>
  <c r="N342" i="157"/>
  <c r="AD343" i="157"/>
  <c r="AV344" i="157"/>
  <c r="BG345" i="157"/>
  <c r="R347" i="157"/>
  <c r="AN348" i="157"/>
  <c r="BG349" i="157"/>
  <c r="R351" i="157"/>
  <c r="AN352" i="157"/>
  <c r="BG353" i="157"/>
  <c r="AN331" i="157"/>
  <c r="R332" i="157"/>
  <c r="BG332" i="157"/>
  <c r="AN333" i="157"/>
  <c r="R334" i="157"/>
  <c r="BG334" i="157"/>
  <c r="AN335" i="157"/>
  <c r="R336" i="157"/>
  <c r="BG336" i="157"/>
  <c r="AN337" i="157"/>
  <c r="R338" i="157"/>
  <c r="BG338" i="157"/>
  <c r="AN339" i="157"/>
  <c r="R340" i="157"/>
  <c r="BG340" i="157"/>
  <c r="AN341" i="157"/>
  <c r="R342" i="157"/>
  <c r="BG342" i="157"/>
  <c r="AN343" i="157"/>
  <c r="R344" i="157"/>
  <c r="BG344" i="157"/>
  <c r="AN345" i="157"/>
  <c r="R346" i="157"/>
  <c r="BG346" i="157"/>
  <c r="AN347" i="157"/>
  <c r="R348" i="157"/>
  <c r="BG348" i="157"/>
  <c r="AN349" i="157"/>
  <c r="R350" i="157"/>
  <c r="BG350" i="157"/>
  <c r="AN351" i="157"/>
  <c r="R352" i="157"/>
  <c r="BG352" i="157"/>
  <c r="AN353" i="157"/>
  <c r="Z346" i="157"/>
  <c r="AV347" i="157"/>
  <c r="G349" i="157"/>
  <c r="Z350" i="157"/>
  <c r="AV351" i="157"/>
  <c r="AV353" i="157"/>
  <c r="AD330" i="157"/>
  <c r="AZ331" i="157"/>
  <c r="J333" i="157"/>
  <c r="AD334" i="157"/>
  <c r="AZ335" i="157"/>
  <c r="J337" i="157"/>
  <c r="AD338" i="157"/>
  <c r="AZ339" i="157"/>
  <c r="J341" i="157"/>
  <c r="AD342" i="157"/>
  <c r="AD346" i="157"/>
  <c r="AZ353" i="157"/>
  <c r="Z330" i="157"/>
  <c r="G331" i="157"/>
  <c r="AV331" i="157"/>
  <c r="Z332" i="157"/>
  <c r="G333" i="157"/>
  <c r="AV333" i="157"/>
  <c r="Z334" i="157"/>
  <c r="G335" i="157"/>
  <c r="AV335" i="157"/>
  <c r="Z336" i="157"/>
  <c r="G337" i="157"/>
  <c r="AV337" i="157"/>
  <c r="Z338" i="157"/>
  <c r="G339" i="157"/>
  <c r="AV339" i="157"/>
  <c r="Z340" i="157"/>
  <c r="G341" i="157"/>
  <c r="AV341" i="157"/>
  <c r="Z342" i="157"/>
  <c r="G343" i="157"/>
  <c r="AV343" i="157"/>
  <c r="Z344" i="157"/>
  <c r="G345" i="157"/>
  <c r="AV345" i="157"/>
  <c r="G347" i="157"/>
  <c r="Z348" i="157"/>
  <c r="AV349" i="157"/>
  <c r="G351" i="157"/>
  <c r="Z352" i="157"/>
  <c r="G353" i="157"/>
  <c r="J331" i="157"/>
  <c r="AD332" i="157"/>
  <c r="AZ333" i="157"/>
  <c r="J335" i="157"/>
  <c r="AD336" i="157"/>
  <c r="AZ337" i="157"/>
  <c r="J339" i="157"/>
  <c r="AD340" i="157"/>
  <c r="AZ341" i="157"/>
  <c r="J343" i="157"/>
  <c r="AZ343" i="157"/>
  <c r="AD344" i="157"/>
  <c r="J345" i="157"/>
  <c r="AZ345" i="157"/>
  <c r="J347" i="157"/>
  <c r="AZ347" i="157"/>
  <c r="AD348" i="157"/>
  <c r="J349" i="157"/>
  <c r="AZ349" i="157"/>
  <c r="AD350" i="157"/>
  <c r="J351" i="157"/>
  <c r="AZ351" i="157"/>
  <c r="AD352" i="157"/>
  <c r="J353" i="157"/>
  <c r="AH330" i="157"/>
  <c r="N331" i="157"/>
  <c r="BC331" i="157"/>
  <c r="AH332" i="157"/>
  <c r="N333" i="157"/>
  <c r="BC333" i="157"/>
  <c r="AH334" i="157"/>
  <c r="N335" i="157"/>
  <c r="BC335" i="157"/>
  <c r="AH336" i="157"/>
  <c r="N337" i="157"/>
  <c r="BC337" i="157"/>
  <c r="AH338" i="157"/>
  <c r="N339" i="157"/>
  <c r="BC339" i="157"/>
  <c r="AH340" i="157"/>
  <c r="N341" i="157"/>
  <c r="BC341" i="157"/>
  <c r="AH342" i="157"/>
  <c r="N343" i="157"/>
  <c r="BC343" i="157"/>
  <c r="AH344" i="157"/>
  <c r="N345" i="157"/>
  <c r="BC345" i="157"/>
  <c r="AH346" i="157"/>
  <c r="N347" i="157"/>
  <c r="BC347" i="157"/>
  <c r="AH348" i="157"/>
  <c r="N349" i="157"/>
  <c r="BC349" i="157"/>
  <c r="AH350" i="157"/>
  <c r="N351" i="157"/>
  <c r="BC351" i="157"/>
  <c r="AH352" i="157"/>
  <c r="N353" i="157"/>
  <c r="BC353" i="157"/>
  <c r="V331" i="157"/>
  <c r="AQ332" i="157"/>
  <c r="BK333" i="157"/>
  <c r="AQ334" i="157"/>
  <c r="BK335" i="157"/>
  <c r="AQ336" i="157"/>
  <c r="V337" i="157"/>
  <c r="BK337" i="157"/>
  <c r="V339" i="157"/>
  <c r="BK339" i="157"/>
  <c r="AQ340" i="157"/>
  <c r="V341" i="157"/>
  <c r="BK341" i="157"/>
  <c r="AQ342" i="157"/>
  <c r="V343" i="157"/>
  <c r="BK343" i="157"/>
  <c r="AQ344" i="157"/>
  <c r="V345" i="157"/>
  <c r="BK345" i="157"/>
  <c r="AQ346" i="157"/>
  <c r="V347" i="157"/>
  <c r="BK347" i="157"/>
  <c r="AQ348" i="157"/>
  <c r="V349" i="157"/>
  <c r="BK349" i="157"/>
  <c r="AQ350" i="157"/>
  <c r="V351" i="157"/>
  <c r="BK351" i="157"/>
  <c r="AQ352" i="157"/>
  <c r="V353" i="157"/>
  <c r="BK353" i="157"/>
  <c r="AQ330" i="157"/>
  <c r="BK331" i="157"/>
  <c r="V333" i="157"/>
  <c r="V335" i="157"/>
  <c r="AQ338" i="157"/>
  <c r="AZ305" i="157"/>
  <c r="BG327" i="157"/>
  <c r="AN312" i="157"/>
  <c r="AN306" i="157"/>
  <c r="AV320" i="157"/>
  <c r="Z307" i="157"/>
  <c r="AZ321" i="157"/>
  <c r="AN314" i="157"/>
  <c r="AV322" i="157"/>
  <c r="AH308" i="157"/>
  <c r="BC323" i="157"/>
  <c r="AV324" i="157"/>
  <c r="AN316" i="157"/>
  <c r="AQ316" i="157"/>
  <c r="BC325" i="157"/>
  <c r="AH310" i="157"/>
  <c r="AV317" i="157"/>
  <c r="BG325" i="157"/>
  <c r="AH312" i="157"/>
  <c r="AZ319" i="157"/>
  <c r="AQ320" i="157"/>
  <c r="AV313" i="157"/>
  <c r="AD308" i="157"/>
  <c r="AV315" i="157"/>
  <c r="Z309" i="157"/>
  <c r="Z311" i="157"/>
  <c r="AZ317" i="157"/>
  <c r="AV305" i="157"/>
  <c r="AQ318" i="157"/>
  <c r="G327" i="157"/>
  <c r="BC321" i="157"/>
  <c r="AQ306" i="157"/>
  <c r="AV311" i="157"/>
  <c r="AQ314" i="157"/>
  <c r="AZ315" i="157"/>
  <c r="AV318" i="157"/>
  <c r="BC319" i="157"/>
  <c r="BK327" i="157"/>
  <c r="AV309" i="157"/>
  <c r="AQ312" i="157"/>
  <c r="BC317" i="157"/>
  <c r="BG321" i="157"/>
  <c r="G323" i="157"/>
  <c r="G305" i="157"/>
  <c r="AV306" i="157"/>
  <c r="AV314" i="157"/>
  <c r="G321" i="157"/>
  <c r="BK323" i="157"/>
  <c r="G328" i="157"/>
  <c r="BG305" i="157"/>
  <c r="AQ308" i="157"/>
  <c r="AV312" i="157"/>
  <c r="BG317" i="157"/>
  <c r="G319" i="157"/>
  <c r="BK321" i="157"/>
  <c r="N327" i="157"/>
  <c r="BC311" i="157"/>
  <c r="G317" i="157"/>
  <c r="BK319" i="157"/>
  <c r="J321" i="157"/>
  <c r="G324" i="157"/>
  <c r="BC307" i="157"/>
  <c r="BC309" i="157"/>
  <c r="G315" i="157"/>
  <c r="J319" i="157"/>
  <c r="G322" i="157"/>
  <c r="N323" i="157"/>
  <c r="Z328" i="157"/>
  <c r="N305" i="157"/>
  <c r="BK306" i="157"/>
  <c r="G313" i="157"/>
  <c r="BK315" i="157"/>
  <c r="J317" i="157"/>
  <c r="G320" i="157"/>
  <c r="N321" i="157"/>
  <c r="R325" i="157"/>
  <c r="G307" i="157"/>
  <c r="BG309" i="157"/>
  <c r="G311" i="157"/>
  <c r="J315" i="157"/>
  <c r="G318" i="157"/>
  <c r="R323" i="157"/>
  <c r="Z324" i="157"/>
  <c r="AD328" i="157"/>
  <c r="R305" i="157"/>
  <c r="G309" i="157"/>
  <c r="J313" i="157"/>
  <c r="G316" i="157"/>
  <c r="N317" i="157"/>
  <c r="R321" i="157"/>
  <c r="Z322" i="157"/>
  <c r="AD326" i="157"/>
  <c r="BK307" i="157"/>
  <c r="BK309" i="157"/>
  <c r="N315" i="157"/>
  <c r="R319" i="157"/>
  <c r="Z320" i="157"/>
  <c r="V323" i="157"/>
  <c r="AD324" i="157"/>
  <c r="AH328" i="157"/>
  <c r="V305" i="157"/>
  <c r="R306" i="157"/>
  <c r="J309" i="157"/>
  <c r="G312" i="157"/>
  <c r="N313" i="157"/>
  <c r="R317" i="157"/>
  <c r="Z318" i="157"/>
  <c r="V321" i="157"/>
  <c r="AD322" i="157"/>
  <c r="Z325" i="157"/>
  <c r="AH326" i="157"/>
  <c r="V306" i="157"/>
  <c r="N307" i="157"/>
  <c r="G308" i="157"/>
  <c r="G310" i="157"/>
  <c r="N311" i="157"/>
  <c r="R315" i="157"/>
  <c r="Z316" i="157"/>
  <c r="V319" i="157"/>
  <c r="AD320" i="157"/>
  <c r="Z323" i="157"/>
  <c r="AH324" i="157"/>
  <c r="AN328" i="157"/>
  <c r="BK325" i="157"/>
  <c r="J325" i="157"/>
  <c r="AZ309" i="157"/>
  <c r="J323" i="157"/>
  <c r="N325" i="157"/>
  <c r="BG306" i="157"/>
  <c r="BK317" i="157"/>
  <c r="BG311" i="157"/>
  <c r="G306" i="157"/>
  <c r="N319" i="157"/>
  <c r="BK311" i="157"/>
  <c r="V325" i="157"/>
  <c r="J311" i="157"/>
  <c r="Z327" i="157"/>
  <c r="Z306" i="157"/>
  <c r="R313" i="157"/>
  <c r="V317" i="157"/>
  <c r="AH322" i="157"/>
  <c r="AN326" i="157"/>
  <c r="R307" i="157"/>
  <c r="R311" i="157"/>
  <c r="Z312" i="157"/>
  <c r="V315" i="157"/>
  <c r="AD316" i="157"/>
  <c r="Z319" i="157"/>
  <c r="AH320" i="157"/>
  <c r="AN324" i="157"/>
  <c r="AV325" i="157"/>
  <c r="AQ328" i="157"/>
  <c r="AN307" i="157"/>
  <c r="BG323" i="157"/>
  <c r="BC305" i="157"/>
  <c r="AZ313" i="157"/>
  <c r="AQ310" i="157"/>
  <c r="BG319" i="157"/>
  <c r="J305" i="157"/>
  <c r="BK305" i="157"/>
  <c r="BG313" i="157"/>
  <c r="R327" i="157"/>
  <c r="Z326" i="157"/>
  <c r="BG307" i="157"/>
  <c r="BK313" i="157"/>
  <c r="V327" i="157"/>
  <c r="J307" i="157"/>
  <c r="G314" i="157"/>
  <c r="Z305" i="157"/>
  <c r="N309" i="157"/>
  <c r="Z314" i="157"/>
  <c r="AD318" i="157"/>
  <c r="Z321" i="157"/>
  <c r="AV327" i="157"/>
  <c r="AD306" i="157"/>
  <c r="V308" i="157"/>
  <c r="R309" i="157"/>
  <c r="Z310" i="157"/>
  <c r="V313" i="157"/>
  <c r="AD314" i="157"/>
  <c r="Z317" i="157"/>
  <c r="AH318" i="157"/>
  <c r="AN322" i="157"/>
  <c r="AV323" i="157"/>
  <c r="AQ326" i="157"/>
  <c r="AZ327" i="157"/>
  <c r="G325" i="157"/>
  <c r="AV307" i="157"/>
  <c r="AV316" i="157"/>
  <c r="BC315" i="157"/>
  <c r="BC313" i="157"/>
  <c r="BG315" i="157"/>
  <c r="V307" i="157"/>
  <c r="V311" i="157"/>
  <c r="AH316" i="157"/>
  <c r="AN320" i="157"/>
  <c r="AV321" i="157"/>
  <c r="AQ324" i="157"/>
  <c r="AZ325" i="157"/>
  <c r="AV328" i="157"/>
  <c r="AN310" i="157"/>
  <c r="AN308" i="157"/>
  <c r="J327" i="157"/>
  <c r="AZ311" i="157"/>
  <c r="AZ307" i="157"/>
  <c r="G326" i="157"/>
  <c r="AV310" i="157"/>
  <c r="AV308" i="157"/>
  <c r="AN305" i="157"/>
  <c r="Z308" i="157"/>
  <c r="AD312" i="157"/>
  <c r="Z315" i="157"/>
  <c r="AQ305" i="157"/>
  <c r="AH306" i="157"/>
  <c r="V309" i="157"/>
  <c r="AD310" i="157"/>
  <c r="Z313" i="157"/>
  <c r="AH314" i="157"/>
  <c r="AN318" i="157"/>
  <c r="AV319" i="157"/>
  <c r="AQ322" i="157"/>
  <c r="AZ323" i="157"/>
  <c r="AV326" i="157"/>
  <c r="BC327" i="157"/>
  <c r="AD305" i="157"/>
  <c r="J306" i="157"/>
  <c r="AZ306" i="157"/>
  <c r="AD307" i="157"/>
  <c r="J308" i="157"/>
  <c r="AZ308" i="157"/>
  <c r="AD309" i="157"/>
  <c r="J310" i="157"/>
  <c r="AZ310" i="157"/>
  <c r="AD311" i="157"/>
  <c r="J312" i="157"/>
  <c r="AZ312" i="157"/>
  <c r="AD313" i="157"/>
  <c r="J314" i="157"/>
  <c r="AZ314" i="157"/>
  <c r="AD315" i="157"/>
  <c r="J316" i="157"/>
  <c r="AZ316" i="157"/>
  <c r="AD317" i="157"/>
  <c r="J318" i="157"/>
  <c r="AZ318" i="157"/>
  <c r="AD319" i="157"/>
  <c r="J320" i="157"/>
  <c r="AZ320" i="157"/>
  <c r="AD321" i="157"/>
  <c r="J322" i="157"/>
  <c r="AZ322" i="157"/>
  <c r="AD323" i="157"/>
  <c r="J324" i="157"/>
  <c r="AZ324" i="157"/>
  <c r="AD325" i="157"/>
  <c r="J326" i="157"/>
  <c r="AZ326" i="157"/>
  <c r="AD327" i="157"/>
  <c r="J328" i="157"/>
  <c r="AZ328" i="157"/>
  <c r="AH305" i="157"/>
  <c r="N306" i="157"/>
  <c r="BC306" i="157"/>
  <c r="AH307" i="157"/>
  <c r="N308" i="157"/>
  <c r="BC308" i="157"/>
  <c r="AH309" i="157"/>
  <c r="N310" i="157"/>
  <c r="BC310" i="157"/>
  <c r="AH311" i="157"/>
  <c r="N312" i="157"/>
  <c r="BC312" i="157"/>
  <c r="AH313" i="157"/>
  <c r="N314" i="157"/>
  <c r="BC314" i="157"/>
  <c r="AH315" i="157"/>
  <c r="N316" i="157"/>
  <c r="BC316" i="157"/>
  <c r="AH317" i="157"/>
  <c r="N318" i="157"/>
  <c r="BC318" i="157"/>
  <c r="AH319" i="157"/>
  <c r="N320" i="157"/>
  <c r="BC320" i="157"/>
  <c r="AH321" i="157"/>
  <c r="N322" i="157"/>
  <c r="BC322" i="157"/>
  <c r="AH323" i="157"/>
  <c r="N324" i="157"/>
  <c r="BC324" i="157"/>
  <c r="AH325" i="157"/>
  <c r="N326" i="157"/>
  <c r="BC326" i="157"/>
  <c r="AH327" i="157"/>
  <c r="N328" i="157"/>
  <c r="BC328" i="157"/>
  <c r="R308" i="157"/>
  <c r="BG308" i="157"/>
  <c r="AN309" i="157"/>
  <c r="R310" i="157"/>
  <c r="BG310" i="157"/>
  <c r="AN311" i="157"/>
  <c r="R312" i="157"/>
  <c r="BG312" i="157"/>
  <c r="AN313" i="157"/>
  <c r="R314" i="157"/>
  <c r="BG314" i="157"/>
  <c r="AN315" i="157"/>
  <c r="R316" i="157"/>
  <c r="BG316" i="157"/>
  <c r="AN317" i="157"/>
  <c r="R318" i="157"/>
  <c r="BG318" i="157"/>
  <c r="AN319" i="157"/>
  <c r="R320" i="157"/>
  <c r="BG320" i="157"/>
  <c r="AN321" i="157"/>
  <c r="R322" i="157"/>
  <c r="BG322" i="157"/>
  <c r="AN323" i="157"/>
  <c r="R324" i="157"/>
  <c r="BG324" i="157"/>
  <c r="AN325" i="157"/>
  <c r="R326" i="157"/>
  <c r="BG326" i="157"/>
  <c r="AN327" i="157"/>
  <c r="R328" i="157"/>
  <c r="BG328" i="157"/>
  <c r="AQ315" i="157"/>
  <c r="AQ307" i="157"/>
  <c r="BK308" i="157"/>
  <c r="AQ309" i="157"/>
  <c r="V310" i="157"/>
  <c r="BK310" i="157"/>
  <c r="AQ311" i="157"/>
  <c r="V312" i="157"/>
  <c r="BK312" i="157"/>
  <c r="AQ313" i="157"/>
  <c r="V314" i="157"/>
  <c r="BK314" i="157"/>
  <c r="V316" i="157"/>
  <c r="BK316" i="157"/>
  <c r="AQ317" i="157"/>
  <c r="V318" i="157"/>
  <c r="BK318" i="157"/>
  <c r="AQ319" i="157"/>
  <c r="V320" i="157"/>
  <c r="BK320" i="157"/>
  <c r="AQ321" i="157"/>
  <c r="V322" i="157"/>
  <c r="BK322" i="157"/>
  <c r="AQ323" i="157"/>
  <c r="V324" i="157"/>
  <c r="BK324" i="157"/>
  <c r="AQ325" i="157"/>
  <c r="V326" i="157"/>
  <c r="BK326" i="157"/>
  <c r="AQ327" i="157"/>
  <c r="V328" i="157"/>
  <c r="BK328" i="157"/>
  <c r="G294" i="157"/>
  <c r="BK295" i="157"/>
  <c r="BG297" i="157"/>
  <c r="AZ280" i="157"/>
  <c r="BK300" i="157"/>
  <c r="AD285" i="157"/>
  <c r="V286" i="157"/>
  <c r="R288" i="157"/>
  <c r="V289" i="157"/>
  <c r="BK299" i="157"/>
  <c r="AD282" i="157"/>
  <c r="J292" i="157"/>
  <c r="Z287" i="157"/>
  <c r="AN281" i="157"/>
  <c r="AH283" i="157"/>
  <c r="Z284" i="157"/>
  <c r="AD286" i="157"/>
  <c r="N290" i="157"/>
  <c r="BG302" i="157"/>
  <c r="V291" i="157"/>
  <c r="R292" i="157"/>
  <c r="N294" i="157"/>
  <c r="N295" i="157"/>
  <c r="J297" i="157"/>
  <c r="G298" i="157"/>
  <c r="AQ281" i="157"/>
  <c r="AD287" i="157"/>
  <c r="BK302" i="157"/>
  <c r="BC280" i="157"/>
  <c r="AH285" i="157"/>
  <c r="AH288" i="157"/>
  <c r="AD292" i="157"/>
  <c r="Z294" i="157"/>
  <c r="R295" i="157"/>
  <c r="V296" i="157"/>
  <c r="R298" i="157"/>
  <c r="J299" i="157"/>
  <c r="AV281" i="157"/>
  <c r="AD289" i="157"/>
  <c r="AH290" i="157"/>
  <c r="G303" i="157"/>
  <c r="BG280" i="157"/>
  <c r="AV284" i="157"/>
  <c r="AN288" i="157"/>
  <c r="AD291" i="157"/>
  <c r="AD294" i="157"/>
  <c r="V295" i="157"/>
  <c r="R297" i="157"/>
  <c r="N299" i="157"/>
  <c r="BC282" i="157"/>
  <c r="AN290" i="157"/>
  <c r="AH292" i="157"/>
  <c r="BK280" i="157"/>
  <c r="AV283" i="157"/>
  <c r="AV286" i="157"/>
  <c r="AQ288" i="157"/>
  <c r="AD296" i="157"/>
  <c r="Z298" i="157"/>
  <c r="Z303" i="157"/>
  <c r="N280" i="157"/>
  <c r="BG282" i="157"/>
  <c r="AQ289" i="157"/>
  <c r="AN292" i="157"/>
  <c r="AH293" i="157"/>
  <c r="AH294" i="157"/>
  <c r="G281" i="157"/>
  <c r="BC283" i="157"/>
  <c r="AV288" i="157"/>
  <c r="AD298" i="157"/>
  <c r="AD303" i="157"/>
  <c r="BK282" i="157"/>
  <c r="BK285" i="157"/>
  <c r="BG287" i="157"/>
  <c r="AZ291" i="157"/>
  <c r="AV293" i="157"/>
  <c r="AQ295" i="157"/>
  <c r="AH296" i="157"/>
  <c r="AN297" i="157"/>
  <c r="J281" i="157"/>
  <c r="G284" i="157"/>
  <c r="BG284" i="157"/>
  <c r="AZ288" i="157"/>
  <c r="AN299" i="157"/>
  <c r="AH303" i="157"/>
  <c r="G283" i="157"/>
  <c r="G286" i="157"/>
  <c r="AZ290" i="157"/>
  <c r="AV292" i="157"/>
  <c r="AQ294" i="157"/>
  <c r="AN296" i="157"/>
  <c r="AQ297" i="157"/>
  <c r="AH298" i="157"/>
  <c r="R281" i="157"/>
  <c r="J284" i="157"/>
  <c r="BK284" i="157"/>
  <c r="BG286" i="157"/>
  <c r="BC288" i="157"/>
  <c r="AQ299" i="157"/>
  <c r="AN303" i="157"/>
  <c r="Z280" i="157"/>
  <c r="Z281" i="157"/>
  <c r="R282" i="157"/>
  <c r="J283" i="157"/>
  <c r="J286" i="157"/>
  <c r="G288" i="157"/>
  <c r="BK289" i="157"/>
  <c r="BG291" i="157"/>
  <c r="BC293" i="157"/>
  <c r="AZ295" i="157"/>
  <c r="AV297" i="157"/>
  <c r="AZ300" i="157"/>
  <c r="AQ301" i="157"/>
  <c r="AV302" i="157"/>
  <c r="V290" i="157"/>
  <c r="J302" i="157"/>
  <c r="AQ284" i="157"/>
  <c r="G280" i="157"/>
  <c r="AQ283" i="157"/>
  <c r="Z296" i="157"/>
  <c r="AZ281" i="157"/>
  <c r="V300" i="157"/>
  <c r="AQ285" i="157"/>
  <c r="AD301" i="157"/>
  <c r="AV287" i="157"/>
  <c r="Z300" i="157"/>
  <c r="BC284" i="157"/>
  <c r="J282" i="157"/>
  <c r="AN294" i="157"/>
  <c r="BG289" i="157"/>
  <c r="AN301" i="157"/>
  <c r="N284" i="157"/>
  <c r="G293" i="157"/>
  <c r="AD281" i="157"/>
  <c r="Z283" i="157"/>
  <c r="V285" i="157"/>
  <c r="N286" i="157"/>
  <c r="R287" i="157"/>
  <c r="J288" i="157"/>
  <c r="N289" i="157"/>
  <c r="G290" i="157"/>
  <c r="BK291" i="157"/>
  <c r="BG293" i="157"/>
  <c r="BC295" i="157"/>
  <c r="AZ297" i="157"/>
  <c r="BC300" i="157"/>
  <c r="AV301" i="157"/>
  <c r="AZ302" i="157"/>
  <c r="Z288" i="157"/>
  <c r="R293" i="157"/>
  <c r="Z289" i="157"/>
  <c r="Z291" i="157"/>
  <c r="N302" i="157"/>
  <c r="AN285" i="157"/>
  <c r="V298" i="157"/>
  <c r="J280" i="157"/>
  <c r="AZ284" i="157"/>
  <c r="V302" i="157"/>
  <c r="AQ290" i="157"/>
  <c r="AV290" i="157"/>
  <c r="AH301" i="157"/>
  <c r="V280" i="157"/>
  <c r="BK287" i="157"/>
  <c r="AZ293" i="157"/>
  <c r="BK294" i="157"/>
  <c r="AQ303" i="157"/>
  <c r="V282" i="157"/>
  <c r="R284" i="157"/>
  <c r="N291" i="157"/>
  <c r="J293" i="157"/>
  <c r="G295" i="157"/>
  <c r="BK296" i="157"/>
  <c r="BG298" i="157"/>
  <c r="AZ299" i="157"/>
  <c r="AV303" i="157"/>
  <c r="J296" i="157"/>
  <c r="AV282" i="157"/>
  <c r="G301" i="157"/>
  <c r="AN283" i="157"/>
  <c r="AZ282" i="157"/>
  <c r="J301" i="157"/>
  <c r="AQ286" i="157"/>
  <c r="Z293" i="157"/>
  <c r="AN287" i="157"/>
  <c r="G282" i="157"/>
  <c r="AN291" i="157"/>
  <c r="AH299" i="157"/>
  <c r="R280" i="157"/>
  <c r="BC289" i="157"/>
  <c r="AD300" i="157"/>
  <c r="BC286" i="157"/>
  <c r="N282" i="157"/>
  <c r="J291" i="157"/>
  <c r="BG296" i="157"/>
  <c r="AV299" i="157"/>
  <c r="AN280" i="157"/>
  <c r="AH281" i="157"/>
  <c r="Z282" i="157"/>
  <c r="AD283" i="157"/>
  <c r="Z285" i="157"/>
  <c r="R286" i="157"/>
  <c r="V287" i="157"/>
  <c r="N288" i="157"/>
  <c r="R289" i="157"/>
  <c r="J290" i="157"/>
  <c r="G292" i="157"/>
  <c r="BK293" i="157"/>
  <c r="BG295" i="157"/>
  <c r="BC297" i="157"/>
  <c r="BG300" i="157"/>
  <c r="AZ301" i="157"/>
  <c r="BC302" i="157"/>
  <c r="G299" i="157"/>
  <c r="N300" i="157"/>
  <c r="AN286" i="157"/>
  <c r="V293" i="157"/>
  <c r="R300" i="157"/>
  <c r="AH287" i="157"/>
  <c r="R302" i="157"/>
  <c r="AH289" i="157"/>
  <c r="AZ285" i="157"/>
  <c r="AZ286" i="157"/>
  <c r="Z302" i="157"/>
  <c r="AQ292" i="157"/>
  <c r="AD302" i="157"/>
  <c r="BC291" i="157"/>
  <c r="AV295" i="157"/>
  <c r="BC298" i="157"/>
  <c r="AD280" i="157"/>
  <c r="AV280" i="157"/>
  <c r="V284" i="157"/>
  <c r="R291" i="157"/>
  <c r="N293" i="157"/>
  <c r="J295" i="157"/>
  <c r="G297" i="157"/>
  <c r="BK298" i="157"/>
  <c r="BC299" i="157"/>
  <c r="BG301" i="157"/>
  <c r="G285" i="157"/>
  <c r="BK286" i="157"/>
  <c r="BG288" i="157"/>
  <c r="BC290" i="157"/>
  <c r="AZ292" i="157"/>
  <c r="AD293" i="157"/>
  <c r="AV294" i="157"/>
  <c r="Z295" i="157"/>
  <c r="AQ296" i="157"/>
  <c r="V297" i="157"/>
  <c r="AN298" i="157"/>
  <c r="R299" i="157"/>
  <c r="AH300" i="157"/>
  <c r="N301" i="157"/>
  <c r="J303" i="157"/>
  <c r="AZ303" i="157"/>
  <c r="AZ283" i="157"/>
  <c r="AD284" i="157"/>
  <c r="AV285" i="157"/>
  <c r="Z286" i="157"/>
  <c r="AQ287" i="157"/>
  <c r="V288" i="157"/>
  <c r="AN289" i="157"/>
  <c r="R290" i="157"/>
  <c r="AH291" i="157"/>
  <c r="N292" i="157"/>
  <c r="J294" i="157"/>
  <c r="G296" i="157"/>
  <c r="BK297" i="157"/>
  <c r="BG299" i="157"/>
  <c r="BC301" i="157"/>
  <c r="AH280" i="157"/>
  <c r="N281" i="157"/>
  <c r="BC281" i="157"/>
  <c r="AH282" i="157"/>
  <c r="N283" i="157"/>
  <c r="J285" i="157"/>
  <c r="G287" i="157"/>
  <c r="BK288" i="157"/>
  <c r="BG290" i="157"/>
  <c r="BC292" i="157"/>
  <c r="AZ294" i="157"/>
  <c r="AD295" i="157"/>
  <c r="AV296" i="157"/>
  <c r="Z297" i="157"/>
  <c r="AQ298" i="157"/>
  <c r="V299" i="157"/>
  <c r="AN300" i="157"/>
  <c r="R301" i="157"/>
  <c r="AH302" i="157"/>
  <c r="N303" i="157"/>
  <c r="BC303" i="157"/>
  <c r="BG281" i="157"/>
  <c r="AH284" i="157"/>
  <c r="J287" i="157"/>
  <c r="BC294" i="157"/>
  <c r="AV298" i="157"/>
  <c r="V301" i="157"/>
  <c r="AN302" i="157"/>
  <c r="BG283" i="157"/>
  <c r="BC285" i="157"/>
  <c r="AZ287" i="157"/>
  <c r="AD288" i="157"/>
  <c r="AV289" i="157"/>
  <c r="Z290" i="157"/>
  <c r="AQ291" i="157"/>
  <c r="V292" i="157"/>
  <c r="AN293" i="157"/>
  <c r="R294" i="157"/>
  <c r="AH295" i="157"/>
  <c r="N296" i="157"/>
  <c r="J298" i="157"/>
  <c r="G300" i="157"/>
  <c r="BK301" i="157"/>
  <c r="R283" i="157"/>
  <c r="N285" i="157"/>
  <c r="BK290" i="157"/>
  <c r="AD297" i="157"/>
  <c r="Z299" i="157"/>
  <c r="R303" i="157"/>
  <c r="BK281" i="157"/>
  <c r="V283" i="157"/>
  <c r="AN284" i="157"/>
  <c r="N287" i="157"/>
  <c r="BK292" i="157"/>
  <c r="BG294" i="157"/>
  <c r="BC296" i="157"/>
  <c r="AZ298" i="157"/>
  <c r="AD299" i="157"/>
  <c r="AV300" i="157"/>
  <c r="Z301" i="157"/>
  <c r="AQ302" i="157"/>
  <c r="V303" i="157"/>
  <c r="BK303" i="157"/>
  <c r="AN282" i="157"/>
  <c r="G289" i="157"/>
  <c r="BG292" i="157"/>
  <c r="AZ296" i="157"/>
  <c r="AQ300" i="157"/>
  <c r="BG303" i="157"/>
  <c r="AQ280" i="157"/>
  <c r="V281" i="157"/>
  <c r="AQ282" i="157"/>
  <c r="R285" i="157"/>
  <c r="AH286" i="157"/>
  <c r="J289" i="157"/>
  <c r="G291" i="157"/>
  <c r="BK283" i="157"/>
  <c r="BG285" i="157"/>
  <c r="BC287" i="157"/>
  <c r="AZ289" i="157"/>
  <c r="AD290" i="157"/>
  <c r="AV291" i="157"/>
  <c r="Z292" i="157"/>
  <c r="AQ293" i="157"/>
  <c r="V294" i="157"/>
  <c r="AN295" i="157"/>
  <c r="R296" i="157"/>
  <c r="AH297" i="157"/>
  <c r="N298" i="157"/>
  <c r="J300" i="157"/>
  <c r="G302" i="157"/>
  <c r="Z256" i="157"/>
  <c r="V268" i="157"/>
  <c r="AV275" i="157"/>
  <c r="AQ257" i="157"/>
  <c r="AQ258" i="157"/>
  <c r="R260" i="157"/>
  <c r="Z264" i="157"/>
  <c r="R271" i="157"/>
  <c r="AN272" i="157"/>
  <c r="V277" i="157"/>
  <c r="N255" i="157"/>
  <c r="AD256" i="157"/>
  <c r="AN261" i="157"/>
  <c r="G263" i="157"/>
  <c r="AV265" i="157"/>
  <c r="G267" i="157"/>
  <c r="AV272" i="157"/>
  <c r="J274" i="157"/>
  <c r="AV257" i="157"/>
  <c r="V260" i="157"/>
  <c r="AD264" i="157"/>
  <c r="V271" i="157"/>
  <c r="AD274" i="157"/>
  <c r="Z277" i="157"/>
  <c r="V255" i="157"/>
  <c r="J263" i="157"/>
  <c r="G266" i="157"/>
  <c r="Z267" i="157"/>
  <c r="AQ268" i="157"/>
  <c r="AD271" i="157"/>
  <c r="AV277" i="157"/>
  <c r="AN256" i="157"/>
  <c r="G259" i="157"/>
  <c r="Z255" i="157"/>
  <c r="N259" i="157"/>
  <c r="N263" i="157"/>
  <c r="J266" i="157"/>
  <c r="AD267" i="157"/>
  <c r="AV268" i="157"/>
  <c r="N270" i="157"/>
  <c r="AH274" i="157"/>
  <c r="G274" i="157"/>
  <c r="AH260" i="157"/>
  <c r="N273" i="157"/>
  <c r="AV256" i="157"/>
  <c r="AH263" i="157"/>
  <c r="V266" i="157"/>
  <c r="AV274" i="157"/>
  <c r="V259" i="157"/>
  <c r="R262" i="157"/>
  <c r="G278" i="157"/>
  <c r="J275" i="157"/>
  <c r="Z258" i="157"/>
  <c r="AQ270" i="157"/>
  <c r="N275" i="157"/>
  <c r="AD258" i="157"/>
  <c r="G268" i="157"/>
  <c r="Z269" i="157"/>
  <c r="V275" i="157"/>
  <c r="AV276" i="157"/>
  <c r="J255" i="157"/>
  <c r="AQ256" i="157"/>
  <c r="G276" i="157"/>
  <c r="AD255" i="157"/>
  <c r="AN260" i="157"/>
  <c r="AN267" i="157"/>
  <c r="R273" i="157"/>
  <c r="AV255" i="157"/>
  <c r="Z273" i="157"/>
  <c r="G257" i="157"/>
  <c r="Z266" i="157"/>
  <c r="AV263" i="157"/>
  <c r="Z278" i="157"/>
  <c r="V269" i="157"/>
  <c r="AD262" i="157"/>
  <c r="J265" i="157"/>
  <c r="J272" i="157"/>
  <c r="AD278" i="157"/>
  <c r="R257" i="157"/>
  <c r="AV266" i="157"/>
  <c r="N261" i="157"/>
  <c r="J264" i="157"/>
  <c r="AD265" i="157"/>
  <c r="N272" i="157"/>
  <c r="G277" i="157"/>
  <c r="AH261" i="157"/>
  <c r="AQ274" i="157"/>
  <c r="R259" i="157"/>
  <c r="R270" i="157"/>
  <c r="V258" i="157"/>
  <c r="AN259" i="157"/>
  <c r="AN270" i="157"/>
  <c r="J261" i="157"/>
  <c r="AH258" i="157"/>
  <c r="AH262" i="157"/>
  <c r="AH269" i="157"/>
  <c r="AQ278" i="157"/>
  <c r="G256" i="157"/>
  <c r="R261" i="157"/>
  <c r="N264" i="157"/>
  <c r="R268" i="157"/>
  <c r="J277" i="157"/>
  <c r="AQ265" i="157"/>
  <c r="AH271" i="157"/>
  <c r="Z276" i="157"/>
  <c r="N262" i="157"/>
  <c r="AD276" i="157"/>
  <c r="AQ267" i="157"/>
  <c r="G265" i="157"/>
  <c r="AD273" i="157"/>
  <c r="J257" i="157"/>
  <c r="AQ276" i="157"/>
  <c r="AQ259" i="157"/>
  <c r="V257" i="157"/>
  <c r="Z275" i="157"/>
  <c r="Z257" i="157"/>
  <c r="AN258" i="157"/>
  <c r="AN269" i="157"/>
  <c r="AH272" i="157"/>
  <c r="AV278" i="157"/>
  <c r="AV259" i="157"/>
  <c r="Z260" i="157"/>
  <c r="AQ261" i="157"/>
  <c r="V262" i="157"/>
  <c r="AN263" i="157"/>
  <c r="R264" i="157"/>
  <c r="AH265" i="157"/>
  <c r="N266" i="157"/>
  <c r="J268" i="157"/>
  <c r="G270" i="157"/>
  <c r="AH276" i="157"/>
  <c r="N277" i="157"/>
  <c r="AH278" i="157"/>
  <c r="R255" i="157"/>
  <c r="AH256" i="157"/>
  <c r="N257" i="157"/>
  <c r="J259" i="157"/>
  <c r="G261" i="157"/>
  <c r="AD269" i="157"/>
  <c r="AV270" i="157"/>
  <c r="Z271" i="157"/>
  <c r="AQ272" i="157"/>
  <c r="V273" i="157"/>
  <c r="AN274" i="157"/>
  <c r="R275" i="157"/>
  <c r="AD260" i="157"/>
  <c r="AV261" i="157"/>
  <c r="Z262" i="157"/>
  <c r="AQ263" i="157"/>
  <c r="V264" i="157"/>
  <c r="AN265" i="157"/>
  <c r="R266" i="157"/>
  <c r="AH267" i="157"/>
  <c r="N268" i="157"/>
  <c r="J270" i="157"/>
  <c r="G272" i="157"/>
  <c r="AN276" i="157"/>
  <c r="R277" i="157"/>
  <c r="AN278" i="157"/>
  <c r="AD275" i="157"/>
  <c r="AV267" i="157"/>
  <c r="R272" i="157"/>
  <c r="J278" i="157"/>
  <c r="AD257" i="157"/>
  <c r="AQ260" i="157"/>
  <c r="N265" i="157"/>
  <c r="G260" i="157"/>
  <c r="Z270" i="157"/>
  <c r="R274" i="157"/>
  <c r="V263" i="157"/>
  <c r="AH266" i="157"/>
  <c r="G271" i="157"/>
  <c r="AN255" i="157"/>
  <c r="R256" i="157"/>
  <c r="AH257" i="157"/>
  <c r="N258" i="157"/>
  <c r="J260" i="157"/>
  <c r="G262" i="157"/>
  <c r="AD270" i="157"/>
  <c r="AV271" i="157"/>
  <c r="Z272" i="157"/>
  <c r="AQ273" i="157"/>
  <c r="V274" i="157"/>
  <c r="AN275" i="157"/>
  <c r="R276" i="157"/>
  <c r="AN277" i="157"/>
  <c r="R278" i="157"/>
  <c r="G258" i="157"/>
  <c r="AD266" i="157"/>
  <c r="AQ269" i="157"/>
  <c r="AH273" i="157"/>
  <c r="Z259" i="157"/>
  <c r="R263" i="157"/>
  <c r="G269" i="157"/>
  <c r="N256" i="157"/>
  <c r="AV269" i="157"/>
  <c r="AN273" i="157"/>
  <c r="AH277" i="157"/>
  <c r="AV260" i="157"/>
  <c r="J269" i="157"/>
  <c r="AD261" i="157"/>
  <c r="AV262" i="157"/>
  <c r="Z263" i="157"/>
  <c r="AQ264" i="157"/>
  <c r="V265" i="157"/>
  <c r="AN266" i="157"/>
  <c r="R267" i="157"/>
  <c r="AH268" i="157"/>
  <c r="N269" i="157"/>
  <c r="J271" i="157"/>
  <c r="G273" i="157"/>
  <c r="Z268" i="157"/>
  <c r="AN271" i="157"/>
  <c r="J276" i="157"/>
  <c r="AD277" i="157"/>
  <c r="V261" i="157"/>
  <c r="AH264" i="157"/>
  <c r="J258" i="157"/>
  <c r="V272" i="157"/>
  <c r="AH275" i="157"/>
  <c r="N278" i="157"/>
  <c r="AD259" i="157"/>
  <c r="AQ262" i="157"/>
  <c r="R265" i="157"/>
  <c r="AQ255" i="157"/>
  <c r="V256" i="157"/>
  <c r="AN257" i="157"/>
  <c r="R258" i="157"/>
  <c r="AH259" i="157"/>
  <c r="N260" i="157"/>
  <c r="J262" i="157"/>
  <c r="G264" i="157"/>
  <c r="AD272" i="157"/>
  <c r="AV273" i="157"/>
  <c r="Z274" i="157"/>
  <c r="AQ275" i="157"/>
  <c r="V276" i="157"/>
  <c r="AQ277" i="157"/>
  <c r="V278" i="157"/>
  <c r="J256" i="157"/>
  <c r="V270" i="157"/>
  <c r="N274" i="157"/>
  <c r="AV258" i="157"/>
  <c r="AN262" i="157"/>
  <c r="J267" i="157"/>
  <c r="AH255" i="157"/>
  <c r="AD268" i="157"/>
  <c r="AQ271" i="157"/>
  <c r="N276" i="157"/>
  <c r="Z261" i="157"/>
  <c r="AN264" i="157"/>
  <c r="N267" i="157"/>
  <c r="G255" i="157"/>
  <c r="AD263" i="157"/>
  <c r="AV264" i="157"/>
  <c r="Z265" i="157"/>
  <c r="AQ266" i="157"/>
  <c r="V267" i="157"/>
  <c r="AN268" i="157"/>
  <c r="R269" i="157"/>
  <c r="AH270" i="157"/>
  <c r="N271" i="157"/>
  <c r="J273" i="157"/>
  <c r="G275" i="157"/>
  <c r="G253" i="157"/>
  <c r="AC125" i="201"/>
  <c r="AB125" i="201"/>
  <c r="AA125" i="201"/>
  <c r="Z125" i="201"/>
  <c r="Y125" i="201"/>
  <c r="X125" i="201"/>
  <c r="W125" i="201"/>
  <c r="V125" i="201"/>
  <c r="U125" i="201"/>
  <c r="T125" i="201"/>
  <c r="S125" i="201"/>
  <c r="R125" i="201"/>
  <c r="Q125" i="201"/>
  <c r="P125" i="201"/>
  <c r="O125" i="201"/>
  <c r="N125" i="201"/>
  <c r="M125" i="201"/>
  <c r="L125" i="201"/>
  <c r="K125" i="201"/>
  <c r="J125" i="201"/>
  <c r="I125" i="201"/>
  <c r="H125" i="201"/>
  <c r="G125" i="201"/>
  <c r="F125" i="201"/>
  <c r="AC105" i="201"/>
  <c r="AB105" i="201"/>
  <c r="AA105" i="201"/>
  <c r="Z105" i="201"/>
  <c r="Y105" i="201"/>
  <c r="X105" i="201"/>
  <c r="W105" i="201"/>
  <c r="V105" i="201"/>
  <c r="U105" i="201"/>
  <c r="T105" i="201"/>
  <c r="S105" i="201"/>
  <c r="R105" i="201"/>
  <c r="Q105" i="201"/>
  <c r="P105" i="201"/>
  <c r="O105" i="201"/>
  <c r="N105" i="201"/>
  <c r="M105" i="201"/>
  <c r="L105" i="201"/>
  <c r="K105" i="201"/>
  <c r="J105" i="201"/>
  <c r="I105" i="201"/>
  <c r="H105" i="201"/>
  <c r="G105" i="201"/>
  <c r="F105" i="201"/>
  <c r="AC100" i="201"/>
  <c r="AB100" i="201"/>
  <c r="AA100" i="201"/>
  <c r="Z100" i="201"/>
  <c r="Y100" i="201"/>
  <c r="X100" i="201"/>
  <c r="W100" i="201"/>
  <c r="V100" i="201"/>
  <c r="U100" i="201"/>
  <c r="T100" i="201"/>
  <c r="S100" i="201"/>
  <c r="R100" i="201"/>
  <c r="Q100" i="201"/>
  <c r="P100" i="201"/>
  <c r="O100" i="201"/>
  <c r="N100" i="201"/>
  <c r="M100" i="201"/>
  <c r="L100" i="201"/>
  <c r="K100" i="201"/>
  <c r="J100" i="201"/>
  <c r="I100" i="201"/>
  <c r="H100" i="201"/>
  <c r="G100" i="201"/>
  <c r="F100" i="201"/>
  <c r="AC99" i="201"/>
  <c r="AA99" i="201"/>
  <c r="G99" i="201"/>
  <c r="F99" i="201"/>
  <c r="J97" i="201"/>
  <c r="J96" i="201"/>
  <c r="F96" i="201"/>
  <c r="Y94" i="201"/>
  <c r="X94" i="201"/>
  <c r="W94" i="201"/>
  <c r="V94" i="201"/>
  <c r="R92" i="201"/>
  <c r="I90" i="201"/>
  <c r="H90" i="201"/>
  <c r="G90" i="201"/>
  <c r="F90" i="201"/>
  <c r="AB88" i="201"/>
  <c r="AC79" i="201"/>
  <c r="AB79" i="201"/>
  <c r="AB99" i="201" s="1"/>
  <c r="AA79" i="201"/>
  <c r="Z79" i="201"/>
  <c r="Z99" i="201" s="1"/>
  <c r="Y79" i="201"/>
  <c r="Y99" i="201" s="1"/>
  <c r="X79" i="201"/>
  <c r="X99" i="201" s="1"/>
  <c r="W79" i="201"/>
  <c r="W99" i="201" s="1"/>
  <c r="V79" i="201"/>
  <c r="V99" i="201" s="1"/>
  <c r="U79" i="201"/>
  <c r="T79" i="201"/>
  <c r="T99" i="201" s="1"/>
  <c r="S79" i="201"/>
  <c r="R79" i="201"/>
  <c r="Q79" i="201"/>
  <c r="P79" i="201"/>
  <c r="O79" i="201"/>
  <c r="N79" i="201"/>
  <c r="N99" i="201" s="1"/>
  <c r="M79" i="201"/>
  <c r="L79" i="201"/>
  <c r="K79" i="201"/>
  <c r="J79" i="201"/>
  <c r="J99" i="201" s="1"/>
  <c r="I79" i="201"/>
  <c r="H79" i="201"/>
  <c r="G79" i="201"/>
  <c r="F79" i="201"/>
  <c r="C79" i="201"/>
  <c r="B79" i="201"/>
  <c r="B25" i="201" s="1"/>
  <c r="AH78" i="201"/>
  <c r="AG78" i="201"/>
  <c r="AF78" i="201"/>
  <c r="AH77" i="201"/>
  <c r="AG77" i="201"/>
  <c r="AF77" i="201"/>
  <c r="AI76" i="201"/>
  <c r="AC75" i="201"/>
  <c r="AB75" i="201"/>
  <c r="AB98" i="201" s="1"/>
  <c r="AA75" i="201"/>
  <c r="AA98" i="201" s="1"/>
  <c r="Z75" i="201"/>
  <c r="Z98" i="201" s="1"/>
  <c r="Y75" i="201"/>
  <c r="Y98" i="201" s="1"/>
  <c r="X75" i="201"/>
  <c r="X98" i="201" s="1"/>
  <c r="W75" i="201"/>
  <c r="W98" i="201" s="1"/>
  <c r="V75" i="201"/>
  <c r="V98" i="201" s="1"/>
  <c r="U75" i="201"/>
  <c r="T75" i="201"/>
  <c r="S75" i="201"/>
  <c r="R75" i="201"/>
  <c r="Q75" i="201"/>
  <c r="P75" i="201"/>
  <c r="O75" i="201"/>
  <c r="N75" i="201"/>
  <c r="M75" i="201"/>
  <c r="L75" i="201"/>
  <c r="K75" i="201"/>
  <c r="J75" i="201"/>
  <c r="I75" i="201"/>
  <c r="H75" i="201"/>
  <c r="H98" i="201" s="1"/>
  <c r="C75" i="201"/>
  <c r="B75" i="201"/>
  <c r="G74" i="201"/>
  <c r="AG74" i="201" s="1"/>
  <c r="F74" i="201"/>
  <c r="AH74" i="201" s="1"/>
  <c r="AH73" i="201"/>
  <c r="AG73" i="201"/>
  <c r="AF73" i="201"/>
  <c r="AH72" i="201"/>
  <c r="AG72" i="201"/>
  <c r="AF72" i="201"/>
  <c r="G71" i="201"/>
  <c r="AG71" i="201" s="1"/>
  <c r="F71" i="201"/>
  <c r="G70" i="201"/>
  <c r="AG70" i="201" s="1"/>
  <c r="F70" i="201"/>
  <c r="AF70" i="201" s="1"/>
  <c r="AH69" i="201"/>
  <c r="AG69" i="201"/>
  <c r="AF69" i="201"/>
  <c r="AH68" i="201"/>
  <c r="AG68" i="201"/>
  <c r="AF68" i="201"/>
  <c r="G67" i="201"/>
  <c r="F67" i="201"/>
  <c r="AH66" i="201"/>
  <c r="AG66" i="201"/>
  <c r="AF66" i="201"/>
  <c r="AC64" i="201"/>
  <c r="AC97" i="201" s="1"/>
  <c r="AB64" i="201"/>
  <c r="AB97" i="201" s="1"/>
  <c r="AA64" i="201"/>
  <c r="AA97" i="201" s="1"/>
  <c r="Z64" i="201"/>
  <c r="Z97" i="201" s="1"/>
  <c r="Y64" i="201"/>
  <c r="X64" i="201"/>
  <c r="X97" i="201" s="1"/>
  <c r="W64" i="201"/>
  <c r="W97" i="201" s="1"/>
  <c r="V64" i="201"/>
  <c r="U64" i="201"/>
  <c r="T64" i="201"/>
  <c r="S64" i="201"/>
  <c r="R64" i="201"/>
  <c r="Q64" i="201"/>
  <c r="P64" i="201"/>
  <c r="O64" i="201"/>
  <c r="N64" i="201"/>
  <c r="M64" i="201"/>
  <c r="L64" i="201"/>
  <c r="K64" i="201"/>
  <c r="J64" i="201"/>
  <c r="I64" i="201"/>
  <c r="I97" i="201" s="1"/>
  <c r="H64" i="201"/>
  <c r="H97" i="201" s="1"/>
  <c r="G64" i="201"/>
  <c r="F64" i="201"/>
  <c r="C64" i="201"/>
  <c r="AH63" i="201"/>
  <c r="AG63" i="201"/>
  <c r="AF63" i="201"/>
  <c r="AH62" i="201"/>
  <c r="AG62" i="201"/>
  <c r="AF62" i="201"/>
  <c r="AH61" i="201"/>
  <c r="AG61" i="201"/>
  <c r="AF61" i="201"/>
  <c r="AI60" i="201"/>
  <c r="AC59" i="201"/>
  <c r="AB59" i="201"/>
  <c r="AA59" i="201"/>
  <c r="Z59" i="201"/>
  <c r="Z96" i="201" s="1"/>
  <c r="Y59" i="201"/>
  <c r="X59" i="201"/>
  <c r="W59" i="201"/>
  <c r="V59" i="201"/>
  <c r="U59" i="201"/>
  <c r="U96" i="201" s="1"/>
  <c r="T59" i="201"/>
  <c r="T96" i="201" s="1"/>
  <c r="S59" i="201"/>
  <c r="R59" i="201"/>
  <c r="Q59" i="201"/>
  <c r="P59" i="201"/>
  <c r="O59" i="201"/>
  <c r="N59" i="201"/>
  <c r="N96" i="201" s="1"/>
  <c r="M59" i="201"/>
  <c r="M96" i="201" s="1"/>
  <c r="L59" i="201"/>
  <c r="L96" i="201" s="1"/>
  <c r="K59" i="201"/>
  <c r="K96" i="201" s="1"/>
  <c r="J59" i="201"/>
  <c r="I59" i="201"/>
  <c r="H59" i="201"/>
  <c r="G59" i="201"/>
  <c r="F59" i="201"/>
  <c r="C59" i="201"/>
  <c r="B59" i="201"/>
  <c r="B64" i="201" s="1"/>
  <c r="AH58" i="201"/>
  <c r="AG58" i="201"/>
  <c r="AF58" i="201"/>
  <c r="AH57" i="201"/>
  <c r="AG57" i="201"/>
  <c r="AF57" i="201"/>
  <c r="AH56" i="201"/>
  <c r="AG56" i="201"/>
  <c r="AF56" i="201"/>
  <c r="AH55" i="201"/>
  <c r="AG55" i="201"/>
  <c r="AF55" i="201"/>
  <c r="AH54" i="201"/>
  <c r="AG54" i="201"/>
  <c r="AF54" i="201"/>
  <c r="AH53" i="201"/>
  <c r="AG53" i="201"/>
  <c r="AF53" i="201"/>
  <c r="AH52" i="201"/>
  <c r="AG52" i="201"/>
  <c r="AF52" i="201"/>
  <c r="AH51" i="201"/>
  <c r="AG51" i="201"/>
  <c r="AF51" i="201"/>
  <c r="AH50" i="201"/>
  <c r="AG50" i="201"/>
  <c r="AF50" i="201"/>
  <c r="AH49" i="201"/>
  <c r="AG49" i="201"/>
  <c r="AF49" i="201"/>
  <c r="AH48" i="201"/>
  <c r="AG48" i="201"/>
  <c r="AF48" i="201"/>
  <c r="AH47" i="201"/>
  <c r="AG47" i="201"/>
  <c r="AF47" i="201"/>
  <c r="AH46" i="201"/>
  <c r="AG46" i="201"/>
  <c r="AF46" i="201"/>
  <c r="AH45" i="201"/>
  <c r="AG45" i="201"/>
  <c r="AF45" i="201"/>
  <c r="AH44" i="201"/>
  <c r="AG44" i="201"/>
  <c r="AF44" i="201"/>
  <c r="AH43" i="201"/>
  <c r="AG43" i="201"/>
  <c r="AF43" i="201"/>
  <c r="AH42" i="201"/>
  <c r="AG42" i="201"/>
  <c r="AF42" i="201"/>
  <c r="AH41" i="201"/>
  <c r="AG41" i="201"/>
  <c r="AF41" i="201"/>
  <c r="AH40" i="201"/>
  <c r="AG40" i="201"/>
  <c r="AF40" i="201"/>
  <c r="AH39" i="201"/>
  <c r="AG39" i="201"/>
  <c r="AF39" i="201"/>
  <c r="AH38" i="201"/>
  <c r="AG38" i="201"/>
  <c r="AF38" i="201"/>
  <c r="AH37" i="201"/>
  <c r="AG37" i="201"/>
  <c r="AF37" i="201"/>
  <c r="AH36" i="201"/>
  <c r="AG36" i="201"/>
  <c r="AF36" i="201"/>
  <c r="AH35" i="201"/>
  <c r="AG35" i="201"/>
  <c r="AF35" i="201"/>
  <c r="AI34" i="201"/>
  <c r="AC33" i="201"/>
  <c r="AC94" i="201" s="1"/>
  <c r="AB33" i="201"/>
  <c r="AB94" i="201" s="1"/>
  <c r="AA33" i="201"/>
  <c r="AA94" i="201" s="1"/>
  <c r="Z33" i="201"/>
  <c r="Z94" i="201" s="1"/>
  <c r="Y33" i="201"/>
  <c r="X33" i="201"/>
  <c r="W33" i="201"/>
  <c r="V33" i="201"/>
  <c r="U33" i="201"/>
  <c r="U94" i="201" s="1"/>
  <c r="T33" i="201"/>
  <c r="T94" i="201" s="1"/>
  <c r="S33" i="201"/>
  <c r="S94" i="201" s="1"/>
  <c r="R33" i="201"/>
  <c r="R94" i="201" s="1"/>
  <c r="Q33" i="201"/>
  <c r="Q94" i="201" s="1"/>
  <c r="P33" i="201"/>
  <c r="P94" i="201" s="1"/>
  <c r="O33" i="201"/>
  <c r="O94" i="201" s="1"/>
  <c r="N33" i="201"/>
  <c r="N94" i="201" s="1"/>
  <c r="M33" i="201"/>
  <c r="M94" i="201" s="1"/>
  <c r="L33" i="201"/>
  <c r="L94" i="201" s="1"/>
  <c r="K33" i="201"/>
  <c r="K94" i="201" s="1"/>
  <c r="J33" i="201"/>
  <c r="J94" i="201" s="1"/>
  <c r="I33" i="201"/>
  <c r="I94" i="201" s="1"/>
  <c r="H33" i="201"/>
  <c r="H94" i="201" s="1"/>
  <c r="G33" i="201"/>
  <c r="G94" i="201" s="1"/>
  <c r="F33" i="201"/>
  <c r="F94" i="201" s="1"/>
  <c r="C33" i="201"/>
  <c r="B33" i="201"/>
  <c r="AH32" i="201"/>
  <c r="AG32" i="201"/>
  <c r="AF32" i="201"/>
  <c r="AI31" i="201"/>
  <c r="AC30" i="201"/>
  <c r="AC92" i="201" s="1"/>
  <c r="AB30" i="201"/>
  <c r="AB92" i="201" s="1"/>
  <c r="AA30" i="201"/>
  <c r="AA92" i="201" s="1"/>
  <c r="Z30" i="201"/>
  <c r="Z92" i="201" s="1"/>
  <c r="Y30" i="201"/>
  <c r="Y92" i="201" s="1"/>
  <c r="X30" i="201"/>
  <c r="X92" i="201" s="1"/>
  <c r="W30" i="201"/>
  <c r="W92" i="201" s="1"/>
  <c r="V30" i="201"/>
  <c r="V92" i="201" s="1"/>
  <c r="U30" i="201"/>
  <c r="U92" i="201" s="1"/>
  <c r="T30" i="201"/>
  <c r="T92" i="201" s="1"/>
  <c r="S30" i="201"/>
  <c r="S92" i="201" s="1"/>
  <c r="R30" i="201"/>
  <c r="Q30" i="201"/>
  <c r="Q92" i="201" s="1"/>
  <c r="P30" i="201"/>
  <c r="P92" i="201" s="1"/>
  <c r="O30" i="201"/>
  <c r="O92" i="201" s="1"/>
  <c r="N30" i="201"/>
  <c r="N92" i="201" s="1"/>
  <c r="M30" i="201"/>
  <c r="M92" i="201" s="1"/>
  <c r="L30" i="201"/>
  <c r="L92" i="201" s="1"/>
  <c r="K30" i="201"/>
  <c r="K92" i="201" s="1"/>
  <c r="J30" i="201"/>
  <c r="J92" i="201" s="1"/>
  <c r="I30" i="201"/>
  <c r="I92" i="201" s="1"/>
  <c r="H30" i="201"/>
  <c r="H92" i="201" s="1"/>
  <c r="G30" i="201"/>
  <c r="G92" i="201" s="1"/>
  <c r="F30" i="201"/>
  <c r="F92" i="201" s="1"/>
  <c r="C30" i="201"/>
  <c r="B30" i="201"/>
  <c r="AH28" i="201"/>
  <c r="AG28" i="201"/>
  <c r="AF28" i="201"/>
  <c r="AH27" i="201"/>
  <c r="AG27" i="201"/>
  <c r="AF27" i="201"/>
  <c r="AI26" i="201"/>
  <c r="AC25" i="201"/>
  <c r="AB25" i="201"/>
  <c r="AA25" i="201"/>
  <c r="AA88" i="201" s="1"/>
  <c r="Z25" i="201"/>
  <c r="Y25" i="201"/>
  <c r="X25" i="201"/>
  <c r="W25" i="201"/>
  <c r="V25" i="201"/>
  <c r="U25" i="201"/>
  <c r="T25" i="201"/>
  <c r="S25" i="201"/>
  <c r="R25" i="201"/>
  <c r="Q25" i="201"/>
  <c r="Q88" i="201" s="1"/>
  <c r="P25" i="201"/>
  <c r="O25" i="201"/>
  <c r="N25" i="201"/>
  <c r="M25" i="201"/>
  <c r="L25" i="201"/>
  <c r="K25" i="201"/>
  <c r="J25" i="201"/>
  <c r="I25" i="201"/>
  <c r="H25" i="201"/>
  <c r="G25" i="201"/>
  <c r="F25" i="201"/>
  <c r="C25" i="201"/>
  <c r="AH24" i="201"/>
  <c r="AG24" i="201"/>
  <c r="AF24" i="201"/>
  <c r="AI23" i="201"/>
  <c r="AC22" i="201"/>
  <c r="AB22" i="201"/>
  <c r="AA22" i="201"/>
  <c r="Z22" i="201"/>
  <c r="Z88" i="201" s="1"/>
  <c r="Y22" i="201"/>
  <c r="Y88" i="201" s="1"/>
  <c r="X22" i="201"/>
  <c r="W22" i="201"/>
  <c r="V22" i="201"/>
  <c r="U22" i="201"/>
  <c r="T22" i="201"/>
  <c r="S22" i="201"/>
  <c r="R22" i="201"/>
  <c r="Q22" i="201"/>
  <c r="P22" i="201"/>
  <c r="O22" i="201"/>
  <c r="N22" i="201"/>
  <c r="M22" i="201"/>
  <c r="L22" i="201"/>
  <c r="K22" i="201"/>
  <c r="J22" i="201"/>
  <c r="I22" i="201"/>
  <c r="H22" i="201"/>
  <c r="H88" i="201" s="1"/>
  <c r="G22" i="201"/>
  <c r="G88" i="201" s="1"/>
  <c r="F22" i="201"/>
  <c r="F88" i="201" s="1"/>
  <c r="C22" i="201"/>
  <c r="B22" i="201"/>
  <c r="AH21" i="201"/>
  <c r="AG21" i="201"/>
  <c r="AF21" i="201"/>
  <c r="AH20" i="201"/>
  <c r="AG20" i="201"/>
  <c r="AF20" i="201"/>
  <c r="AH19" i="201"/>
  <c r="AG19" i="201"/>
  <c r="AF19" i="201"/>
  <c r="AI18" i="201"/>
  <c r="AC17" i="201"/>
  <c r="AC90" i="201" s="1"/>
  <c r="AB17" i="201"/>
  <c r="AB90" i="201" s="1"/>
  <c r="AA17" i="201"/>
  <c r="Z17" i="201"/>
  <c r="Z90" i="201" s="1"/>
  <c r="Y17" i="201"/>
  <c r="X17" i="201"/>
  <c r="W17" i="201"/>
  <c r="V17" i="201"/>
  <c r="V90" i="201" s="1"/>
  <c r="U17" i="201"/>
  <c r="U90" i="201" s="1"/>
  <c r="T17" i="201"/>
  <c r="T90" i="201" s="1"/>
  <c r="S17" i="201"/>
  <c r="S90" i="201" s="1"/>
  <c r="R17" i="201"/>
  <c r="R90" i="201" s="1"/>
  <c r="Q17" i="201"/>
  <c r="P17" i="201"/>
  <c r="O17" i="201"/>
  <c r="N17" i="201"/>
  <c r="N90" i="201" s="1"/>
  <c r="M17" i="201"/>
  <c r="M90" i="201" s="1"/>
  <c r="L17" i="201"/>
  <c r="K17" i="201"/>
  <c r="J17" i="201"/>
  <c r="J90" i="201" s="1"/>
  <c r="I17" i="201"/>
  <c r="H17" i="201"/>
  <c r="G17" i="201"/>
  <c r="F17" i="201"/>
  <c r="C17" i="201"/>
  <c r="B17" i="201"/>
  <c r="AH16" i="201"/>
  <c r="AG16" i="201"/>
  <c r="AF16" i="201"/>
  <c r="AH15" i="201"/>
  <c r="AG15" i="201"/>
  <c r="AF15" i="201"/>
  <c r="AH14" i="201"/>
  <c r="AG14" i="201"/>
  <c r="AF14" i="201"/>
  <c r="AH13" i="201"/>
  <c r="AG13" i="201"/>
  <c r="AF13" i="201"/>
  <c r="AI12" i="201"/>
  <c r="M9" i="201" a="1"/>
  <c r="M9" i="201" s="1"/>
  <c r="AZ262" i="157" a="1"/>
  <c r="AZ266" i="157" a="1"/>
  <c r="BC262" i="157" a="1"/>
  <c r="AZ255" i="157" a="1"/>
  <c r="BG262" i="157" a="1"/>
  <c r="BK276" i="157" a="1"/>
  <c r="BC267" i="157" a="1"/>
  <c r="BG268" i="157" a="1"/>
  <c r="BK272" i="157" a="1"/>
  <c r="BC271" i="157" a="1"/>
  <c r="BC265" i="157" a="1"/>
  <c r="AZ269" i="157" a="1"/>
  <c r="AZ276" i="157" a="1"/>
  <c r="AZ259" i="157" a="1"/>
  <c r="BC273" i="157" a="1"/>
  <c r="BC275" i="157" a="1"/>
  <c r="BK264" i="157" a="1"/>
  <c r="BG256" i="157" a="1"/>
  <c r="BK275" i="157" a="1"/>
  <c r="BK273" i="157" a="1"/>
  <c r="BG274" i="157" a="1"/>
  <c r="BK261" i="157" a="1"/>
  <c r="BG272" i="157" a="1"/>
  <c r="BG277" i="157" a="1"/>
  <c r="BG265" i="157" a="1"/>
  <c r="AZ263" i="157" a="1"/>
  <c r="AZ277" i="157" a="1"/>
  <c r="AZ275" i="157" a="1"/>
  <c r="BG259" i="157" a="1"/>
  <c r="BG263" i="157" a="1"/>
  <c r="BC260" i="157" a="1"/>
  <c r="AZ268" i="157" a="1"/>
  <c r="BG258" i="157" a="1"/>
  <c r="AZ270" i="157" a="1"/>
  <c r="BK277" i="157" a="1"/>
  <c r="BC272" i="157" a="1"/>
  <c r="BC258" i="157" a="1"/>
  <c r="AZ271" i="157" a="1"/>
  <c r="BK257" i="157" a="1"/>
  <c r="AZ261" i="157" a="1"/>
  <c r="BC268" i="157" a="1"/>
  <c r="BK263" i="157" a="1"/>
  <c r="BC278" i="157" a="1"/>
  <c r="BC259" i="157" a="1"/>
  <c r="BG267" i="157" a="1"/>
  <c r="AZ260" i="157" a="1"/>
  <c r="AZ265" i="157" a="1"/>
  <c r="AZ257" i="157" a="1"/>
  <c r="BG278" i="157" a="1"/>
  <c r="BC255" i="157" a="1"/>
  <c r="BK266" i="157" a="1"/>
  <c r="BG270" i="157" a="1"/>
  <c r="BC264" i="157" a="1"/>
  <c r="BC269" i="157" a="1"/>
  <c r="BC277" i="157" a="1"/>
  <c r="AZ256" i="157" a="1"/>
  <c r="BK267" i="157" a="1"/>
  <c r="AZ272" i="157" a="1"/>
  <c r="BG260" i="157" a="1"/>
  <c r="BC257" i="157" a="1"/>
  <c r="BK274" i="157" a="1"/>
  <c r="BK260" i="157" a="1"/>
  <c r="BG269" i="157" a="1"/>
  <c r="BC276" i="157" a="1"/>
  <c r="BK265" i="157" a="1"/>
  <c r="AZ258" i="157" a="1"/>
  <c r="BG266" i="157" a="1"/>
  <c r="BG257" i="157" a="1"/>
  <c r="BG261" i="157" a="1"/>
  <c r="BK259" i="157" a="1"/>
  <c r="BC261" i="157" a="1"/>
  <c r="BG271" i="157" a="1"/>
  <c r="BK269" i="157" a="1"/>
  <c r="BK262" i="157" a="1"/>
  <c r="AZ267" i="157" a="1"/>
  <c r="AZ274" i="157" a="1"/>
  <c r="BC263" i="157" a="1"/>
  <c r="AZ264" i="157" a="1"/>
  <c r="BG264" i="157" a="1"/>
  <c r="BG275" i="157" a="1"/>
  <c r="BK270" i="157" a="1"/>
  <c r="BK278" i="157" a="1"/>
  <c r="BG276" i="157" a="1"/>
  <c r="BG273" i="157" a="1"/>
  <c r="BC270" i="157" a="1"/>
  <c r="BG255" i="157" a="1"/>
  <c r="BC274" i="157" a="1"/>
  <c r="BK268" i="157" a="1"/>
  <c r="AZ273" i="157" a="1"/>
  <c r="BC266" i="157" a="1"/>
  <c r="BC256" i="157" a="1"/>
  <c r="BK271" i="157" a="1"/>
  <c r="BK258" i="157" a="1"/>
  <c r="AZ278" i="157" a="1"/>
  <c r="AC107" i="201" l="1"/>
  <c r="AB107" i="201"/>
  <c r="X88" i="201"/>
  <c r="W88" i="201"/>
  <c r="T107" i="201"/>
  <c r="S107" i="201"/>
  <c r="P88" i="201"/>
  <c r="O88" i="201"/>
  <c r="N107" i="201"/>
  <c r="N88" i="201"/>
  <c r="BC268" i="157"/>
  <c r="AZ264" i="157"/>
  <c r="BG266" i="157"/>
  <c r="AZ265" i="157"/>
  <c r="BC270" i="157"/>
  <c r="BG267" i="157"/>
  <c r="AZ266" i="157"/>
  <c r="BC271" i="157"/>
  <c r="BG268" i="157"/>
  <c r="AZ267" i="157"/>
  <c r="AZ268" i="157"/>
  <c r="BC273" i="157"/>
  <c r="BC274" i="157"/>
  <c r="BG271" i="157"/>
  <c r="AZ272" i="157"/>
  <c r="BC277" i="157"/>
  <c r="BG274" i="157"/>
  <c r="AZ273" i="157"/>
  <c r="BC278" i="157"/>
  <c r="BG255" i="157"/>
  <c r="BG275" i="157"/>
  <c r="AZ274" i="157"/>
  <c r="BG256" i="157"/>
  <c r="BG276" i="157"/>
  <c r="AZ255" i="157"/>
  <c r="AZ275" i="157"/>
  <c r="BG277" i="157"/>
  <c r="BG263" i="157"/>
  <c r="BG264" i="157"/>
  <c r="BG265" i="157"/>
  <c r="BC272" i="157"/>
  <c r="AZ270" i="157"/>
  <c r="BC255" i="157"/>
  <c r="BG272" i="157"/>
  <c r="AZ271" i="157"/>
  <c r="BC256" i="157"/>
  <c r="BC276" i="157"/>
  <c r="BG273" i="157"/>
  <c r="BG278" i="157"/>
  <c r="AZ277" i="157"/>
  <c r="BC267" i="157"/>
  <c r="AZ263" i="157"/>
  <c r="AZ276" i="157"/>
  <c r="AZ278" i="157"/>
  <c r="BC263" i="157"/>
  <c r="BC269" i="157"/>
  <c r="BG270" i="157"/>
  <c r="BC275" i="157"/>
  <c r="AZ256" i="157"/>
  <c r="BC264" i="157"/>
  <c r="BC266" i="157"/>
  <c r="BG269" i="157"/>
  <c r="AZ269" i="157"/>
  <c r="BC265" i="157"/>
  <c r="Z107" i="201"/>
  <c r="V107" i="201"/>
  <c r="S97" i="201"/>
  <c r="F107" i="201"/>
  <c r="Q99" i="201"/>
  <c r="W108" i="201"/>
  <c r="AA82" i="201"/>
  <c r="U97" i="201"/>
  <c r="B82" i="201"/>
  <c r="X82" i="201"/>
  <c r="C82" i="201"/>
  <c r="AA108" i="201"/>
  <c r="Y97" i="201"/>
  <c r="O96" i="201"/>
  <c r="W96" i="201"/>
  <c r="R96" i="201"/>
  <c r="X96" i="201"/>
  <c r="X101" i="201" s="1"/>
  <c r="X106" i="201" s="1"/>
  <c r="AA90" i="201"/>
  <c r="AA107" i="201" s="1"/>
  <c r="S96" i="201"/>
  <c r="S101" i="201" s="1"/>
  <c r="S106" i="201" s="1"/>
  <c r="Y96" i="201"/>
  <c r="P99" i="201"/>
  <c r="G107" i="201"/>
  <c r="Y82" i="201"/>
  <c r="V96" i="201"/>
  <c r="R88" i="201"/>
  <c r="AC88" i="201"/>
  <c r="O108" i="201"/>
  <c r="S88" i="201"/>
  <c r="AB96" i="201"/>
  <c r="AB101" i="201" s="1"/>
  <c r="AB106" i="201" s="1"/>
  <c r="AI65" i="201"/>
  <c r="F97" i="201"/>
  <c r="R99" i="201"/>
  <c r="N108" i="201"/>
  <c r="R97" i="201"/>
  <c r="Z82" i="201"/>
  <c r="AH70" i="201"/>
  <c r="AB108" i="201"/>
  <c r="AA96" i="201"/>
  <c r="O99" i="201"/>
  <c r="P108" i="201"/>
  <c r="T88" i="201"/>
  <c r="K88" i="201"/>
  <c r="AC96" i="201"/>
  <c r="N97" i="201"/>
  <c r="G75" i="201"/>
  <c r="G97" i="201"/>
  <c r="S99" i="201"/>
  <c r="V82" i="201"/>
  <c r="T97" i="201"/>
  <c r="W90" i="201"/>
  <c r="W107" i="201" s="1"/>
  <c r="X90" i="201"/>
  <c r="X107" i="201" s="1"/>
  <c r="P96" i="201"/>
  <c r="Y90" i="201"/>
  <c r="Y107" i="201" s="1"/>
  <c r="Q96" i="201"/>
  <c r="I88" i="201"/>
  <c r="G96" i="201"/>
  <c r="Q108" i="201"/>
  <c r="U88" i="201"/>
  <c r="U101" i="201" s="1"/>
  <c r="U106" i="201" s="1"/>
  <c r="O97" i="201"/>
  <c r="Q97" i="201"/>
  <c r="U107" i="201"/>
  <c r="G108" i="201"/>
  <c r="R107" i="201"/>
  <c r="V88" i="201"/>
  <c r="P97" i="201"/>
  <c r="V97" i="201"/>
  <c r="U99" i="201"/>
  <c r="BK263" i="157"/>
  <c r="BK265" i="157"/>
  <c r="BK267" i="157"/>
  <c r="BK268" i="157"/>
  <c r="BK278" i="157"/>
  <c r="BK266" i="157"/>
  <c r="BK269" i="157"/>
  <c r="BK270" i="157"/>
  <c r="BK271" i="157"/>
  <c r="BK264" i="157"/>
  <c r="BK273" i="157"/>
  <c r="BK274" i="157"/>
  <c r="BK277" i="157"/>
  <c r="BK275" i="157"/>
  <c r="BK272" i="157"/>
  <c r="BK276" i="157"/>
  <c r="AB82" i="201"/>
  <c r="N98" i="201"/>
  <c r="P98" i="201"/>
  <c r="R98" i="201"/>
  <c r="S98" i="201"/>
  <c r="AC98" i="201"/>
  <c r="AC82" i="201"/>
  <c r="Q98" i="201"/>
  <c r="T98" i="201"/>
  <c r="U98" i="201"/>
  <c r="O98" i="201"/>
  <c r="G98" i="201"/>
  <c r="Z101" i="201"/>
  <c r="Z106" i="201" s="1"/>
  <c r="W101" i="201"/>
  <c r="W106" i="201" s="1"/>
  <c r="BG262" i="157"/>
  <c r="M99" i="201"/>
  <c r="BK262" i="157"/>
  <c r="M98" i="201"/>
  <c r="BC262" i="157"/>
  <c r="M97" i="201"/>
  <c r="AZ262" i="157"/>
  <c r="M108" i="201"/>
  <c r="M88" i="201"/>
  <c r="L88" i="201"/>
  <c r="BG261" i="157"/>
  <c r="L99" i="201"/>
  <c r="BK261" i="157"/>
  <c r="L98" i="201"/>
  <c r="BC261" i="157"/>
  <c r="L97" i="201"/>
  <c r="AZ261" i="157"/>
  <c r="L108" i="201"/>
  <c r="L90" i="201"/>
  <c r="L107" i="201" s="1"/>
  <c r="BG260" i="157"/>
  <c r="K99" i="201"/>
  <c r="BK260" i="157"/>
  <c r="K98" i="201"/>
  <c r="BC260" i="157"/>
  <c r="K97" i="201"/>
  <c r="AZ260" i="157"/>
  <c r="K108" i="201"/>
  <c r="K90" i="201"/>
  <c r="K107" i="201" s="1"/>
  <c r="BG259" i="157"/>
  <c r="BK259" i="157"/>
  <c r="J98" i="201"/>
  <c r="BC259" i="157"/>
  <c r="AZ259" i="157"/>
  <c r="J107" i="201"/>
  <c r="J88" i="201"/>
  <c r="J108" i="201"/>
  <c r="J101" i="201"/>
  <c r="J106" i="201" s="1"/>
  <c r="J82" i="201"/>
  <c r="BG258" i="157"/>
  <c r="I99" i="201"/>
  <c r="BK258" i="157"/>
  <c r="I98" i="201"/>
  <c r="I101" i="201" s="1"/>
  <c r="I106" i="201" s="1"/>
  <c r="BC258" i="157"/>
  <c r="AZ258" i="157"/>
  <c r="I96" i="201"/>
  <c r="I107" i="201"/>
  <c r="I82" i="201"/>
  <c r="BG257" i="157"/>
  <c r="H99" i="201"/>
  <c r="BK257" i="157"/>
  <c r="BC257" i="157"/>
  <c r="AZ257" i="157"/>
  <c r="H96" i="201"/>
  <c r="H82" i="201"/>
  <c r="H107" i="201"/>
  <c r="H108" i="201"/>
  <c r="G101" i="201"/>
  <c r="G106" i="201" s="1"/>
  <c r="M107" i="201"/>
  <c r="G82" i="201"/>
  <c r="H101" i="201"/>
  <c r="H106" i="201" s="1"/>
  <c r="AF71" i="201"/>
  <c r="L82" i="201"/>
  <c r="M82" i="201"/>
  <c r="N82" i="201"/>
  <c r="O82" i="201"/>
  <c r="S108" i="201"/>
  <c r="AG67" i="201"/>
  <c r="T108" i="201"/>
  <c r="AH67" i="201"/>
  <c r="Q82" i="201"/>
  <c r="U108" i="201"/>
  <c r="V108" i="201"/>
  <c r="U82" i="201"/>
  <c r="Y108" i="201"/>
  <c r="AF74" i="201"/>
  <c r="F108" i="201"/>
  <c r="Z108" i="201"/>
  <c r="W82" i="201"/>
  <c r="O90" i="201"/>
  <c r="O107" i="201" s="1"/>
  <c r="K82" i="201"/>
  <c r="AH71" i="201"/>
  <c r="R82" i="201"/>
  <c r="S82" i="201"/>
  <c r="X108" i="201"/>
  <c r="P90" i="201"/>
  <c r="P107" i="201" s="1"/>
  <c r="AF67" i="201"/>
  <c r="Q90" i="201"/>
  <c r="Q107" i="201" s="1"/>
  <c r="I108" i="201"/>
  <c r="AC108" i="201"/>
  <c r="R108" i="201"/>
  <c r="P82" i="201"/>
  <c r="T82" i="201"/>
  <c r="F75" i="201"/>
  <c r="F630" i="88"/>
  <c r="AC74" i="199"/>
  <c r="AC71" i="199"/>
  <c r="AC70" i="199"/>
  <c r="AC67" i="199"/>
  <c r="AB63" i="199"/>
  <c r="AB62" i="199"/>
  <c r="F631" i="88"/>
  <c r="F617" i="88"/>
  <c r="F632" i="88"/>
  <c r="F633" i="88"/>
  <c r="F628" i="88"/>
  <c r="F584" i="88"/>
  <c r="BK256" i="157" a="1"/>
  <c r="BK255" i="157" a="1"/>
  <c r="AC101" i="201" l="1"/>
  <c r="AC106" i="201" s="1"/>
  <c r="AA101" i="201"/>
  <c r="AA106" i="201" s="1"/>
  <c r="Y101" i="201"/>
  <c r="Y106" i="201" s="1"/>
  <c r="V101" i="201"/>
  <c r="V106" i="201" s="1"/>
  <c r="T101" i="201"/>
  <c r="T106" i="201" s="1"/>
  <c r="R101" i="201"/>
  <c r="R106" i="201" s="1"/>
  <c r="N101" i="201"/>
  <c r="N106" i="201" s="1"/>
  <c r="BK256" i="157"/>
  <c r="Q101" i="201"/>
  <c r="Q106" i="201" s="1"/>
  <c r="O101" i="201"/>
  <c r="O106" i="201" s="1"/>
  <c r="P101" i="201"/>
  <c r="P106" i="201" s="1"/>
  <c r="M101" i="201"/>
  <c r="M106" i="201" s="1"/>
  <c r="BK255" i="157"/>
  <c r="F98" i="201"/>
  <c r="F101" i="201" s="1"/>
  <c r="F106" i="201" s="1"/>
  <c r="L101" i="201"/>
  <c r="L106" i="201" s="1"/>
  <c r="K101" i="201"/>
  <c r="K106" i="201" s="1"/>
  <c r="F82" i="201"/>
  <c r="F629" i="88"/>
  <c r="F580" i="88"/>
  <c r="F624" i="88"/>
  <c r="F599" i="88"/>
  <c r="F627" i="88"/>
  <c r="F625" i="88"/>
  <c r="F623" i="88"/>
  <c r="AA74" i="199"/>
  <c r="AA71" i="199"/>
  <c r="AA70" i="199"/>
  <c r="AA68" i="199"/>
  <c r="AA67" i="199"/>
  <c r="AA63" i="199"/>
  <c r="AA62" i="199"/>
  <c r="F613" i="88"/>
  <c r="AE250" i="157"/>
  <c r="Z74" i="199"/>
  <c r="Z71" i="199"/>
  <c r="Z70" i="199"/>
  <c r="Z68" i="199"/>
  <c r="Z67" i="199"/>
  <c r="Z63" i="199"/>
  <c r="Z62" i="199"/>
  <c r="J104" i="199"/>
  <c r="F566" i="88"/>
  <c r="F621" i="88"/>
  <c r="AE249" i="157"/>
  <c r="Y104" i="199"/>
  <c r="F595" i="88"/>
  <c r="Y74" i="199"/>
  <c r="Y71" i="199"/>
  <c r="Y70" i="199"/>
  <c r="Y68" i="199"/>
  <c r="Y67" i="199"/>
  <c r="Y63" i="199"/>
  <c r="Y62" i="199"/>
  <c r="Y43" i="199"/>
  <c r="Y41" i="199"/>
  <c r="X104" i="199"/>
  <c r="Q104" i="199"/>
  <c r="R104" i="199"/>
  <c r="S104" i="199"/>
  <c r="N104" i="199"/>
  <c r="M104" i="199"/>
  <c r="W104" i="199"/>
  <c r="F616" i="88"/>
  <c r="AE248" i="157"/>
  <c r="X71" i="199"/>
  <c r="X70" i="199"/>
  <c r="X68" i="199"/>
  <c r="X67" i="199"/>
  <c r="X66" i="199"/>
  <c r="X63" i="199"/>
  <c r="X62" i="199"/>
  <c r="F594" i="88"/>
  <c r="F590" i="88"/>
  <c r="F582" i="88"/>
  <c r="L104" i="199"/>
  <c r="K104" i="199"/>
  <c r="G104" i="199"/>
  <c r="H104" i="199"/>
  <c r="I104" i="199"/>
  <c r="F104" i="199"/>
  <c r="AB104" i="198"/>
  <c r="AC104" i="198"/>
  <c r="F609" i="88"/>
  <c r="F605" i="88"/>
  <c r="AE247" i="157"/>
  <c r="V104" i="199"/>
  <c r="W74" i="199"/>
  <c r="W70" i="199"/>
  <c r="W68" i="199"/>
  <c r="W67" i="199"/>
  <c r="W66" i="199"/>
  <c r="W63" i="199"/>
  <c r="W61" i="199"/>
  <c r="W43" i="199"/>
  <c r="W59" i="199" s="1"/>
  <c r="W41" i="199"/>
  <c r="W40" i="199"/>
  <c r="U104" i="199"/>
  <c r="T104" i="199"/>
  <c r="T104" i="198"/>
  <c r="U104" i="198"/>
  <c r="U105" i="198"/>
  <c r="AE246" i="157"/>
  <c r="V74" i="199"/>
  <c r="V70" i="199"/>
  <c r="V67" i="199"/>
  <c r="V66" i="199"/>
  <c r="V63" i="199"/>
  <c r="V61" i="199"/>
  <c r="V43" i="199"/>
  <c r="V41" i="199"/>
  <c r="V40" i="199"/>
  <c r="F602" i="88"/>
  <c r="F612" i="88"/>
  <c r="F614" i="88"/>
  <c r="F615" i="88"/>
  <c r="F604" i="88"/>
  <c r="F601" i="88"/>
  <c r="F600" i="88"/>
  <c r="AE245" i="157" l="1"/>
  <c r="U74" i="199"/>
  <c r="U70" i="199"/>
  <c r="U67" i="199"/>
  <c r="U66" i="199"/>
  <c r="U63" i="199"/>
  <c r="U61" i="199"/>
  <c r="U58" i="199"/>
  <c r="U57" i="199"/>
  <c r="U56" i="199"/>
  <c r="U53" i="199"/>
  <c r="U52" i="199"/>
  <c r="U46" i="199"/>
  <c r="F603" i="88" l="1"/>
  <c r="F596" i="88"/>
  <c r="F610" i="88" l="1"/>
  <c r="F611" i="88"/>
  <c r="F608" i="88"/>
  <c r="AE244" i="157"/>
  <c r="T74" i="199"/>
  <c r="T71" i="199"/>
  <c r="T70" i="199"/>
  <c r="T67" i="199"/>
  <c r="T63" i="199"/>
  <c r="T61" i="199"/>
  <c r="F591" i="88"/>
  <c r="F587" i="88" l="1"/>
  <c r="T44" i="199"/>
  <c r="T47" i="199"/>
  <c r="T49" i="199"/>
  <c r="T53" i="199"/>
  <c r="T54" i="199"/>
  <c r="T55" i="199"/>
  <c r="T56" i="199"/>
  <c r="T57" i="199"/>
  <c r="T58" i="199"/>
  <c r="AE243" i="157"/>
  <c r="S63" i="199"/>
  <c r="S61" i="199"/>
  <c r="S58" i="199"/>
  <c r="S57" i="199"/>
  <c r="S56" i="199"/>
  <c r="S55" i="199"/>
  <c r="S54" i="199"/>
  <c r="S53" i="199"/>
  <c r="S49" i="199"/>
  <c r="S47" i="199"/>
  <c r="S46" i="199"/>
  <c r="F568" i="88"/>
  <c r="F592" i="88" l="1"/>
  <c r="F598" i="88"/>
  <c r="F597" i="88"/>
  <c r="AE242" i="157"/>
  <c r="AE241" i="157" l="1"/>
  <c r="R63" i="199"/>
  <c r="R61" i="199"/>
  <c r="R55" i="199"/>
  <c r="R47" i="199"/>
  <c r="R46" i="199"/>
  <c r="R44" i="199"/>
  <c r="R43" i="199"/>
  <c r="R41" i="199"/>
  <c r="R40" i="199"/>
  <c r="F567" i="88"/>
  <c r="F552" i="88" l="1"/>
  <c r="F561" i="88"/>
  <c r="Q62" i="199" l="1"/>
  <c r="Q61" i="199"/>
  <c r="Q46" i="199"/>
  <c r="Q44" i="199"/>
  <c r="Q40" i="199"/>
  <c r="F572" i="88"/>
  <c r="F571" i="88"/>
  <c r="F574" i="88"/>
  <c r="F573" i="88"/>
  <c r="F586" i="88"/>
  <c r="F559" i="88"/>
  <c r="F579" i="88"/>
  <c r="AE240" i="157" l="1"/>
  <c r="P74" i="199"/>
  <c r="P71" i="199"/>
  <c r="P70" i="199"/>
  <c r="P69" i="199"/>
  <c r="P68" i="199"/>
  <c r="P67" i="199"/>
  <c r="P62" i="199"/>
  <c r="P61" i="199"/>
  <c r="P49" i="199"/>
  <c r="P46" i="199"/>
  <c r="P44" i="199"/>
  <c r="F585" i="88" l="1"/>
  <c r="AE239" i="157"/>
  <c r="AE238" i="157"/>
  <c r="AE237" i="157"/>
  <c r="AF69" i="199"/>
  <c r="AE236" i="157"/>
  <c r="O74" i="199"/>
  <c r="O71" i="199"/>
  <c r="O70" i="199"/>
  <c r="O69" i="199"/>
  <c r="O67" i="199"/>
  <c r="O62" i="199"/>
  <c r="O61" i="199"/>
  <c r="F578" i="88"/>
  <c r="F577" i="88"/>
  <c r="F576" i="88"/>
  <c r="F583" i="88"/>
  <c r="F581" i="88"/>
  <c r="F569" i="88"/>
  <c r="O64" i="199"/>
  <c r="O97" i="199" s="1"/>
  <c r="N74" i="199"/>
  <c r="N71" i="199"/>
  <c r="N70" i="199"/>
  <c r="N69" i="199"/>
  <c r="N67" i="199"/>
  <c r="N62" i="199"/>
  <c r="N61" i="199"/>
  <c r="N64" i="199" s="1"/>
  <c r="N97" i="199" s="1"/>
  <c r="F570" i="88"/>
  <c r="F547" i="88"/>
  <c r="M74" i="199"/>
  <c r="M71" i="199"/>
  <c r="M70" i="199"/>
  <c r="M62" i="199"/>
  <c r="M61" i="199"/>
  <c r="F553" i="88"/>
  <c r="F557" i="88"/>
  <c r="F565" i="88"/>
  <c r="F563" i="88"/>
  <c r="F564" i="88"/>
  <c r="F562" i="88"/>
  <c r="F560" i="88"/>
  <c r="F533" i="88"/>
  <c r="F558" i="88"/>
  <c r="AE235" i="157"/>
  <c r="F176" i="88"/>
  <c r="F98" i="88"/>
  <c r="F556" i="88"/>
  <c r="AE234" i="157"/>
  <c r="AE233" i="157"/>
  <c r="F555" i="88"/>
  <c r="AE232" i="157"/>
  <c r="F549" i="88"/>
  <c r="AE231" i="157"/>
  <c r="F538" i="88"/>
  <c r="AE230" i="157"/>
  <c r="AE228" i="157"/>
  <c r="F224" i="88"/>
  <c r="F405" i="88"/>
  <c r="F523" i="88"/>
  <c r="F530" i="88"/>
  <c r="AC125" i="199"/>
  <c r="AB125" i="199"/>
  <c r="AA125" i="199"/>
  <c r="Z125" i="199"/>
  <c r="Y125" i="199"/>
  <c r="X125" i="199"/>
  <c r="W125" i="199"/>
  <c r="V125" i="199"/>
  <c r="U125" i="199"/>
  <c r="T125" i="199"/>
  <c r="S125" i="199"/>
  <c r="R125" i="199"/>
  <c r="Q125" i="199"/>
  <c r="P125" i="199"/>
  <c r="O125" i="199"/>
  <c r="N125" i="199"/>
  <c r="M125" i="199"/>
  <c r="L125" i="199"/>
  <c r="K125" i="199"/>
  <c r="J125" i="199"/>
  <c r="I125" i="199"/>
  <c r="H125" i="199"/>
  <c r="G125" i="199"/>
  <c r="F125" i="199"/>
  <c r="AC105" i="199"/>
  <c r="AB105" i="199"/>
  <c r="AA105" i="199"/>
  <c r="Z105" i="199"/>
  <c r="Y105" i="199"/>
  <c r="X105" i="199"/>
  <c r="W105" i="199"/>
  <c r="V105" i="199"/>
  <c r="T105" i="199"/>
  <c r="S105" i="199"/>
  <c r="R105" i="199"/>
  <c r="Q105" i="199"/>
  <c r="P105" i="199"/>
  <c r="O105" i="199"/>
  <c r="N105" i="199"/>
  <c r="M105" i="199"/>
  <c r="L105" i="199"/>
  <c r="K105" i="199"/>
  <c r="J105" i="199"/>
  <c r="I105" i="199"/>
  <c r="H105" i="199"/>
  <c r="G105" i="199"/>
  <c r="F105" i="199"/>
  <c r="U105" i="199"/>
  <c r="AC100" i="199"/>
  <c r="AB100" i="199"/>
  <c r="AA100" i="199"/>
  <c r="Z100" i="199"/>
  <c r="Y100" i="199"/>
  <c r="X100" i="199"/>
  <c r="W100" i="199"/>
  <c r="V100" i="199"/>
  <c r="U100" i="199"/>
  <c r="T100" i="199"/>
  <c r="S100" i="199"/>
  <c r="R100" i="199"/>
  <c r="Q100" i="199"/>
  <c r="P100" i="199"/>
  <c r="O100" i="199"/>
  <c r="N100" i="199"/>
  <c r="M100" i="199"/>
  <c r="L100" i="199"/>
  <c r="K100" i="199"/>
  <c r="J100" i="199"/>
  <c r="I100" i="199"/>
  <c r="H100" i="199"/>
  <c r="G100" i="199"/>
  <c r="F100" i="199"/>
  <c r="W99" i="199"/>
  <c r="AC98" i="199"/>
  <c r="H98" i="199"/>
  <c r="AC79" i="199"/>
  <c r="AC99" i="199" s="1"/>
  <c r="AB79" i="199"/>
  <c r="AB99" i="199" s="1"/>
  <c r="AA79" i="199"/>
  <c r="AA99" i="199" s="1"/>
  <c r="Z79" i="199"/>
  <c r="Z99" i="199" s="1"/>
  <c r="Y79" i="199"/>
  <c r="Y99" i="199" s="1"/>
  <c r="X79" i="199"/>
  <c r="X99" i="199" s="1"/>
  <c r="W79" i="199"/>
  <c r="V79" i="199"/>
  <c r="V99" i="199" s="1"/>
  <c r="U79" i="199"/>
  <c r="U99" i="199" s="1"/>
  <c r="T79" i="199"/>
  <c r="T99" i="199" s="1"/>
  <c r="S79" i="199"/>
  <c r="S99" i="199" s="1"/>
  <c r="R79" i="199"/>
  <c r="R99" i="199" s="1"/>
  <c r="Q79" i="199"/>
  <c r="Q99" i="199" s="1"/>
  <c r="P79" i="199"/>
  <c r="P99" i="199" s="1"/>
  <c r="O79" i="199"/>
  <c r="O99" i="199" s="1"/>
  <c r="N79" i="199"/>
  <c r="N99" i="199" s="1"/>
  <c r="M79" i="199"/>
  <c r="M99" i="199" s="1"/>
  <c r="L79" i="199"/>
  <c r="L99" i="199" s="1"/>
  <c r="K79" i="199"/>
  <c r="K99" i="199" s="1"/>
  <c r="J79" i="199"/>
  <c r="J99" i="199" s="1"/>
  <c r="I79" i="199"/>
  <c r="I99" i="199" s="1"/>
  <c r="H79" i="199"/>
  <c r="H99" i="199" s="1"/>
  <c r="G79" i="199"/>
  <c r="G99" i="199" s="1"/>
  <c r="F79" i="199"/>
  <c r="F99" i="199" s="1"/>
  <c r="C79" i="199"/>
  <c r="AH78" i="199"/>
  <c r="AG78" i="199"/>
  <c r="AF78" i="199"/>
  <c r="AH77" i="199"/>
  <c r="AG77" i="199"/>
  <c r="AF77" i="199"/>
  <c r="AI76" i="199"/>
  <c r="AC75" i="199"/>
  <c r="AB75" i="199"/>
  <c r="AB98" i="199" s="1"/>
  <c r="Z75" i="199"/>
  <c r="Z98" i="199" s="1"/>
  <c r="Y75" i="199"/>
  <c r="Y98" i="199" s="1"/>
  <c r="Q75" i="199"/>
  <c r="Q98" i="199" s="1"/>
  <c r="P75" i="199"/>
  <c r="P98" i="199" s="1"/>
  <c r="O75" i="199"/>
  <c r="O98" i="199" s="1"/>
  <c r="N75" i="199"/>
  <c r="N98" i="199" s="1"/>
  <c r="M75" i="199"/>
  <c r="M98" i="199" s="1"/>
  <c r="K75" i="199"/>
  <c r="K98" i="199" s="1"/>
  <c r="J75" i="199"/>
  <c r="J98" i="199" s="1"/>
  <c r="I75" i="199"/>
  <c r="I98" i="199" s="1"/>
  <c r="H75" i="199"/>
  <c r="G75" i="199"/>
  <c r="G98" i="199" s="1"/>
  <c r="F75" i="199"/>
  <c r="F98" i="199" s="1"/>
  <c r="C75" i="199"/>
  <c r="B75" i="199"/>
  <c r="B79" i="199" s="1"/>
  <c r="B25" i="199" s="1"/>
  <c r="T75" i="199"/>
  <c r="T98" i="199" s="1"/>
  <c r="S75" i="199"/>
  <c r="S98" i="199" s="1"/>
  <c r="R75" i="199"/>
  <c r="R98" i="199" s="1"/>
  <c r="AH73" i="199"/>
  <c r="AG73" i="199"/>
  <c r="AF73" i="199"/>
  <c r="AH72" i="199"/>
  <c r="AG72" i="199"/>
  <c r="AF72" i="199"/>
  <c r="AH71" i="199"/>
  <c r="L75" i="199"/>
  <c r="L98" i="199" s="1"/>
  <c r="AH69" i="199"/>
  <c r="AG69" i="199"/>
  <c r="AH68" i="199"/>
  <c r="AG68" i="199"/>
  <c r="AF68" i="199"/>
  <c r="AH66" i="199"/>
  <c r="AG66" i="199"/>
  <c r="AF66" i="199"/>
  <c r="AC64" i="199"/>
  <c r="AC97" i="199" s="1"/>
  <c r="AB64" i="199"/>
  <c r="AB97" i="199" s="1"/>
  <c r="AA64" i="199"/>
  <c r="AA97" i="199" s="1"/>
  <c r="Z64" i="199"/>
  <c r="Z97" i="199" s="1"/>
  <c r="Y64" i="199"/>
  <c r="Y97" i="199" s="1"/>
  <c r="X64" i="199"/>
  <c r="X97" i="199" s="1"/>
  <c r="W64" i="199"/>
  <c r="W97" i="199" s="1"/>
  <c r="V64" i="199"/>
  <c r="V97" i="199" s="1"/>
  <c r="U64" i="199"/>
  <c r="U97" i="199" s="1"/>
  <c r="T64" i="199"/>
  <c r="T97" i="199" s="1"/>
  <c r="R64" i="199"/>
  <c r="R97" i="199" s="1"/>
  <c r="L64" i="199"/>
  <c r="L97" i="199" s="1"/>
  <c r="K64" i="199"/>
  <c r="K97" i="199" s="1"/>
  <c r="J64" i="199"/>
  <c r="J97" i="199" s="1"/>
  <c r="I64" i="199"/>
  <c r="I97" i="199" s="1"/>
  <c r="H64" i="199"/>
  <c r="H97" i="199" s="1"/>
  <c r="G64" i="199"/>
  <c r="G97" i="199" s="1"/>
  <c r="F64" i="199"/>
  <c r="F97" i="199" s="1"/>
  <c r="C64" i="199"/>
  <c r="AH63" i="199"/>
  <c r="Q64" i="199"/>
  <c r="Q97" i="199" s="1"/>
  <c r="P64" i="199"/>
  <c r="P97" i="199" s="1"/>
  <c r="S64" i="199"/>
  <c r="S97" i="199" s="1"/>
  <c r="AC59" i="199"/>
  <c r="AC96" i="199" s="1"/>
  <c r="AB59" i="199"/>
  <c r="AB96" i="199" s="1"/>
  <c r="AA59" i="199"/>
  <c r="AA96" i="199" s="1"/>
  <c r="Z59" i="199"/>
  <c r="Z96" i="199" s="1"/>
  <c r="Y59" i="199"/>
  <c r="Y96" i="199" s="1"/>
  <c r="W96" i="199"/>
  <c r="V59" i="199"/>
  <c r="V96" i="199" s="1"/>
  <c r="U59" i="199"/>
  <c r="U96" i="199" s="1"/>
  <c r="T59" i="199"/>
  <c r="T96" i="199" s="1"/>
  <c r="S59" i="199"/>
  <c r="S96" i="199" s="1"/>
  <c r="R59" i="199"/>
  <c r="R96" i="199" s="1"/>
  <c r="Q59" i="199"/>
  <c r="Q96" i="199" s="1"/>
  <c r="P59" i="199"/>
  <c r="P96" i="199" s="1"/>
  <c r="L59" i="199"/>
  <c r="L96" i="199" s="1"/>
  <c r="K59" i="199"/>
  <c r="K96" i="199" s="1"/>
  <c r="J59" i="199"/>
  <c r="J96" i="199" s="1"/>
  <c r="I59" i="199"/>
  <c r="I96" i="199" s="1"/>
  <c r="H59" i="199"/>
  <c r="H96" i="199" s="1"/>
  <c r="G59" i="199"/>
  <c r="G96" i="199" s="1"/>
  <c r="F59" i="199"/>
  <c r="F96" i="199" s="1"/>
  <c r="C59" i="199"/>
  <c r="B59" i="199"/>
  <c r="B64" i="199" s="1"/>
  <c r="AH58" i="199"/>
  <c r="AF57" i="199"/>
  <c r="AH56" i="199"/>
  <c r="AG56" i="199"/>
  <c r="AF56" i="199"/>
  <c r="AG55" i="199"/>
  <c r="AH54" i="199"/>
  <c r="AH52" i="199"/>
  <c r="AG52" i="199"/>
  <c r="AF52" i="199"/>
  <c r="AH51" i="199"/>
  <c r="AG51" i="199"/>
  <c r="AF51" i="199"/>
  <c r="AH50" i="199"/>
  <c r="AG50" i="199"/>
  <c r="AF50" i="199"/>
  <c r="AH49" i="199"/>
  <c r="AG49" i="199"/>
  <c r="AF49" i="199"/>
  <c r="AH48" i="199"/>
  <c r="AG48" i="199"/>
  <c r="AF48" i="199"/>
  <c r="AG47" i="199"/>
  <c r="AH46" i="199"/>
  <c r="AG46" i="199"/>
  <c r="AF46" i="199"/>
  <c r="AH45" i="199"/>
  <c r="AG45" i="199"/>
  <c r="AF45" i="199"/>
  <c r="AH43" i="199"/>
  <c r="AH42" i="199"/>
  <c r="AG42" i="199"/>
  <c r="AF42" i="199"/>
  <c r="AH41" i="199"/>
  <c r="AG41" i="199"/>
  <c r="AF41" i="199"/>
  <c r="X59" i="199"/>
  <c r="X96" i="199" s="1"/>
  <c r="AH40" i="199"/>
  <c r="AG40" i="199"/>
  <c r="AF40" i="199"/>
  <c r="AH39" i="199"/>
  <c r="AG39" i="199"/>
  <c r="AF39" i="199"/>
  <c r="AG38" i="199"/>
  <c r="AH37" i="199"/>
  <c r="AG37" i="199"/>
  <c r="AF37" i="199"/>
  <c r="AH36" i="199"/>
  <c r="AG36" i="199"/>
  <c r="AF36" i="199"/>
  <c r="AH35" i="199"/>
  <c r="AG35" i="199"/>
  <c r="AF35" i="199"/>
  <c r="AI34" i="199"/>
  <c r="AC33" i="199"/>
  <c r="AC94" i="199" s="1"/>
  <c r="AB33" i="199"/>
  <c r="AB94" i="199" s="1"/>
  <c r="AA33" i="199"/>
  <c r="AA94" i="199" s="1"/>
  <c r="Z33" i="199"/>
  <c r="Z94" i="199" s="1"/>
  <c r="Y33" i="199"/>
  <c r="Y94" i="199" s="1"/>
  <c r="X33" i="199"/>
  <c r="X94" i="199" s="1"/>
  <c r="W33" i="199"/>
  <c r="W94" i="199" s="1"/>
  <c r="V33" i="199"/>
  <c r="V94" i="199" s="1"/>
  <c r="U33" i="199"/>
  <c r="U94" i="199" s="1"/>
  <c r="T33" i="199"/>
  <c r="T94" i="199" s="1"/>
  <c r="S33" i="199"/>
  <c r="S94" i="199" s="1"/>
  <c r="R33" i="199"/>
  <c r="R94" i="199" s="1"/>
  <c r="Q33" i="199"/>
  <c r="Q94" i="199" s="1"/>
  <c r="P33" i="199"/>
  <c r="P94" i="199" s="1"/>
  <c r="O33" i="199"/>
  <c r="O94" i="199" s="1"/>
  <c r="N33" i="199"/>
  <c r="N94" i="199" s="1"/>
  <c r="M33" i="199"/>
  <c r="M94" i="199" s="1"/>
  <c r="L33" i="199"/>
  <c r="L94" i="199" s="1"/>
  <c r="K33" i="199"/>
  <c r="K94" i="199" s="1"/>
  <c r="J33" i="199"/>
  <c r="J94" i="199" s="1"/>
  <c r="I33" i="199"/>
  <c r="I94" i="199" s="1"/>
  <c r="H33" i="199"/>
  <c r="H94" i="199" s="1"/>
  <c r="G33" i="199"/>
  <c r="G94" i="199" s="1"/>
  <c r="F33" i="199"/>
  <c r="F94" i="199" s="1"/>
  <c r="C33" i="199"/>
  <c r="B33" i="199"/>
  <c r="AH32" i="199"/>
  <c r="AG32" i="199"/>
  <c r="AF32" i="199"/>
  <c r="AI31" i="199"/>
  <c r="AC30" i="199"/>
  <c r="AC92" i="199" s="1"/>
  <c r="AB30" i="199"/>
  <c r="AB92" i="199" s="1"/>
  <c r="AA30" i="199"/>
  <c r="AA92" i="199" s="1"/>
  <c r="Z30" i="199"/>
  <c r="Z92" i="199" s="1"/>
  <c r="Y30" i="199"/>
  <c r="Y92" i="199" s="1"/>
  <c r="X30" i="199"/>
  <c r="X92" i="199" s="1"/>
  <c r="W30" i="199"/>
  <c r="W92" i="199" s="1"/>
  <c r="V30" i="199"/>
  <c r="V92" i="199" s="1"/>
  <c r="U30" i="199"/>
  <c r="U92" i="199" s="1"/>
  <c r="T30" i="199"/>
  <c r="T92" i="199" s="1"/>
  <c r="S30" i="199"/>
  <c r="S92" i="199" s="1"/>
  <c r="R30" i="199"/>
  <c r="R92" i="199" s="1"/>
  <c r="Q30" i="199"/>
  <c r="Q92" i="199" s="1"/>
  <c r="P30" i="199"/>
  <c r="P92" i="199" s="1"/>
  <c r="O30" i="199"/>
  <c r="O92" i="199" s="1"/>
  <c r="N30" i="199"/>
  <c r="N92" i="199" s="1"/>
  <c r="M30" i="199"/>
  <c r="M92" i="199" s="1"/>
  <c r="L30" i="199"/>
  <c r="L92" i="199" s="1"/>
  <c r="K30" i="199"/>
  <c r="K92" i="199" s="1"/>
  <c r="J30" i="199"/>
  <c r="J92" i="199" s="1"/>
  <c r="I30" i="199"/>
  <c r="I92" i="199" s="1"/>
  <c r="H30" i="199"/>
  <c r="H92" i="199" s="1"/>
  <c r="G30" i="199"/>
  <c r="G92" i="199" s="1"/>
  <c r="F30" i="199"/>
  <c r="F92" i="199" s="1"/>
  <c r="C30" i="199"/>
  <c r="B30" i="199"/>
  <c r="AH28" i="199"/>
  <c r="AG28" i="199"/>
  <c r="AF28" i="199"/>
  <c r="AH27" i="199"/>
  <c r="AG27" i="199"/>
  <c r="AF27" i="199"/>
  <c r="AI26" i="199"/>
  <c r="AC25" i="199"/>
  <c r="AB25" i="199"/>
  <c r="AA25" i="199"/>
  <c r="Z25" i="199"/>
  <c r="Y25" i="199"/>
  <c r="X25" i="199"/>
  <c r="W25" i="199"/>
  <c r="V25" i="199"/>
  <c r="U25" i="199"/>
  <c r="T25" i="199"/>
  <c r="S25" i="199"/>
  <c r="R25" i="199"/>
  <c r="Q25" i="199"/>
  <c r="P25" i="199"/>
  <c r="O25" i="199"/>
  <c r="N25" i="199"/>
  <c r="M25" i="199"/>
  <c r="L25" i="199"/>
  <c r="K25" i="199"/>
  <c r="J25" i="199"/>
  <c r="I25" i="199"/>
  <c r="H25" i="199"/>
  <c r="G25" i="199"/>
  <c r="F25" i="199"/>
  <c r="C25" i="199"/>
  <c r="AH24" i="199"/>
  <c r="AG24" i="199"/>
  <c r="AF24" i="199"/>
  <c r="AI23" i="199"/>
  <c r="AC22" i="199"/>
  <c r="AB22" i="199"/>
  <c r="AA22" i="199"/>
  <c r="Z22" i="199"/>
  <c r="Y22" i="199"/>
  <c r="X22" i="199"/>
  <c r="W22" i="199"/>
  <c r="V22" i="199"/>
  <c r="U22" i="199"/>
  <c r="T22" i="199"/>
  <c r="S22" i="199"/>
  <c r="R22" i="199"/>
  <c r="Q22" i="199"/>
  <c r="P22" i="199"/>
  <c r="O22" i="199"/>
  <c r="N22" i="199"/>
  <c r="M22" i="199"/>
  <c r="L22" i="199"/>
  <c r="K22" i="199"/>
  <c r="J22" i="199"/>
  <c r="I22" i="199"/>
  <c r="H22" i="199"/>
  <c r="G22" i="199"/>
  <c r="F22" i="199"/>
  <c r="C22" i="199"/>
  <c r="B22" i="199"/>
  <c r="AH21" i="199"/>
  <c r="AG21" i="199"/>
  <c r="AF21" i="199"/>
  <c r="AH20" i="199"/>
  <c r="AG20" i="199"/>
  <c r="AF20" i="199"/>
  <c r="AH19" i="199"/>
  <c r="AG19" i="199"/>
  <c r="AF19" i="199"/>
  <c r="AI18" i="199"/>
  <c r="AC17" i="199"/>
  <c r="AB17" i="199"/>
  <c r="AB90" i="199" s="1"/>
  <c r="AA17" i="199"/>
  <c r="AA90" i="199" s="1"/>
  <c r="Z17" i="199"/>
  <c r="Z90" i="199" s="1"/>
  <c r="Y17" i="199"/>
  <c r="Y90" i="199" s="1"/>
  <c r="X17" i="199"/>
  <c r="W17" i="199"/>
  <c r="V17" i="199"/>
  <c r="U17" i="199"/>
  <c r="T17" i="199"/>
  <c r="T90" i="199" s="1"/>
  <c r="S17" i="199"/>
  <c r="S90" i="199" s="1"/>
  <c r="R17" i="199"/>
  <c r="R90" i="199" s="1"/>
  <c r="Q17" i="199"/>
  <c r="Q90" i="199" s="1"/>
  <c r="P17" i="199"/>
  <c r="P90" i="199" s="1"/>
  <c r="O17" i="199"/>
  <c r="O90" i="199" s="1"/>
  <c r="N17" i="199"/>
  <c r="N90" i="199" s="1"/>
  <c r="M17" i="199"/>
  <c r="M90" i="199" s="1"/>
  <c r="L17" i="199"/>
  <c r="L90" i="199" s="1"/>
  <c r="K17" i="199"/>
  <c r="K90" i="199" s="1"/>
  <c r="J17" i="199"/>
  <c r="I17" i="199"/>
  <c r="I90" i="199" s="1"/>
  <c r="H17" i="199"/>
  <c r="H90" i="199" s="1"/>
  <c r="G17" i="199"/>
  <c r="G90" i="199" s="1"/>
  <c r="F17" i="199"/>
  <c r="F90" i="199" s="1"/>
  <c r="C17" i="199"/>
  <c r="B17" i="199"/>
  <c r="AH16" i="199"/>
  <c r="AG16" i="199"/>
  <c r="AF16" i="199"/>
  <c r="AH15" i="199"/>
  <c r="AG15" i="199"/>
  <c r="AF15" i="199"/>
  <c r="AH14" i="199"/>
  <c r="AG14" i="199"/>
  <c r="AF14" i="199"/>
  <c r="AH13" i="199"/>
  <c r="AG13" i="199"/>
  <c r="AF13" i="199"/>
  <c r="AI12" i="199"/>
  <c r="M9" i="199" a="1"/>
  <c r="M9" i="199" s="1"/>
  <c r="F540" i="88"/>
  <c r="F541" i="88"/>
  <c r="F539" i="88"/>
  <c r="F353" i="88"/>
  <c r="F522" i="88"/>
  <c r="F425" i="88"/>
  <c r="F527" i="88"/>
  <c r="F467" i="88"/>
  <c r="AE225" i="157"/>
  <c r="F548" i="88"/>
  <c r="AA67" i="198"/>
  <c r="AA70" i="198"/>
  <c r="AA71" i="198"/>
  <c r="AA74" i="198"/>
  <c r="F546" i="88"/>
  <c r="F545" i="88"/>
  <c r="F544" i="88"/>
  <c r="AE224" i="157"/>
  <c r="F543" i="88"/>
  <c r="F542" i="88"/>
  <c r="AE223" i="157"/>
  <c r="X74" i="198"/>
  <c r="X71" i="198"/>
  <c r="X70" i="198"/>
  <c r="X67" i="198"/>
  <c r="X63" i="198"/>
  <c r="X61" i="198"/>
  <c r="X43" i="198"/>
  <c r="X41" i="198"/>
  <c r="X40" i="198"/>
  <c r="X38" i="198"/>
  <c r="F537" i="88"/>
  <c r="F536" i="88"/>
  <c r="F535" i="88"/>
  <c r="AE222" i="157"/>
  <c r="Q104" i="198"/>
  <c r="W74" i="198"/>
  <c r="W71" i="198"/>
  <c r="W70" i="198"/>
  <c r="W67" i="198"/>
  <c r="W62" i="198"/>
  <c r="W61" i="198"/>
  <c r="W55" i="198"/>
  <c r="W53" i="198"/>
  <c r="W47" i="198"/>
  <c r="F534" i="88"/>
  <c r="F528" i="88"/>
  <c r="AE221" i="157"/>
  <c r="V74" i="198"/>
  <c r="V71" i="198"/>
  <c r="V70" i="198"/>
  <c r="V67" i="198"/>
  <c r="V62" i="198"/>
  <c r="V61" i="198"/>
  <c r="U67" i="198"/>
  <c r="AE220" i="157"/>
  <c r="U62" i="198"/>
  <c r="U61" i="198"/>
  <c r="AE219" i="157"/>
  <c r="U70" i="198"/>
  <c r="U71" i="198"/>
  <c r="U74" i="198"/>
  <c r="T74" i="198"/>
  <c r="T71" i="198"/>
  <c r="T70" i="198"/>
  <c r="T67" i="198"/>
  <c r="AE218" i="157"/>
  <c r="S74" i="198"/>
  <c r="S71" i="198"/>
  <c r="S70" i="198"/>
  <c r="S67" i="198"/>
  <c r="S62" i="198"/>
  <c r="S61" i="198"/>
  <c r="F498" i="88"/>
  <c r="F532" i="88"/>
  <c r="F531" i="88"/>
  <c r="AB107" i="199" l="1"/>
  <c r="AF61" i="199"/>
  <c r="AH61" i="199"/>
  <c r="R107" i="199"/>
  <c r="AG61" i="199"/>
  <c r="I88" i="199"/>
  <c r="AC88" i="199"/>
  <c r="T88" i="199"/>
  <c r="T101" i="199" s="1"/>
  <c r="T106" i="199" s="1"/>
  <c r="Z107" i="199"/>
  <c r="J88" i="199"/>
  <c r="J101" i="199" s="1"/>
  <c r="J106" i="199" s="1"/>
  <c r="K88" i="199"/>
  <c r="I107" i="199"/>
  <c r="H107" i="199"/>
  <c r="F107" i="199"/>
  <c r="L107" i="199"/>
  <c r="O107" i="199"/>
  <c r="K107" i="199"/>
  <c r="M107" i="199"/>
  <c r="N107" i="199"/>
  <c r="G107" i="199"/>
  <c r="AA107" i="199"/>
  <c r="J108" i="199"/>
  <c r="V88" i="199"/>
  <c r="J90" i="199"/>
  <c r="J107" i="199" s="1"/>
  <c r="Y88" i="199"/>
  <c r="P88" i="199"/>
  <c r="P101" i="199" s="1"/>
  <c r="P106" i="199" s="1"/>
  <c r="P107" i="199"/>
  <c r="AC108" i="199"/>
  <c r="AC90" i="199"/>
  <c r="AC107" i="199" s="1"/>
  <c r="X88" i="199"/>
  <c r="F88" i="199"/>
  <c r="F101" i="199" s="1"/>
  <c r="F106" i="199" s="1"/>
  <c r="Q88" i="199"/>
  <c r="Q101" i="199" s="1"/>
  <c r="Q106" i="199" s="1"/>
  <c r="G88" i="199"/>
  <c r="G101" i="199" s="1"/>
  <c r="G106" i="199" s="1"/>
  <c r="AA88" i="199"/>
  <c r="R88" i="199"/>
  <c r="R101" i="199" s="1"/>
  <c r="R106" i="199" s="1"/>
  <c r="K108" i="199"/>
  <c r="Q107" i="199"/>
  <c r="U88" i="199"/>
  <c r="L88" i="199"/>
  <c r="L101" i="199" s="1"/>
  <c r="L106" i="199" s="1"/>
  <c r="M88" i="199"/>
  <c r="W88" i="199"/>
  <c r="T107" i="199"/>
  <c r="Z88" i="199"/>
  <c r="H88" i="199"/>
  <c r="AB88" i="199"/>
  <c r="AB101" i="199" s="1"/>
  <c r="AB106" i="199" s="1"/>
  <c r="S88" i="199"/>
  <c r="S101" i="199" s="1"/>
  <c r="S106" i="199" s="1"/>
  <c r="U108" i="199"/>
  <c r="U90" i="199"/>
  <c r="U107" i="199" s="1"/>
  <c r="B82" i="199"/>
  <c r="C82" i="199"/>
  <c r="Y107" i="199"/>
  <c r="F108" i="199"/>
  <c r="Q82" i="199"/>
  <c r="AA108" i="199"/>
  <c r="AF71" i="199"/>
  <c r="AB108" i="199"/>
  <c r="X75" i="199"/>
  <c r="X98" i="199" s="1"/>
  <c r="S82" i="199"/>
  <c r="AH53" i="199"/>
  <c r="M59" i="199"/>
  <c r="M96" i="199" s="1"/>
  <c r="K101" i="199"/>
  <c r="K106" i="199" s="1"/>
  <c r="AF63" i="199"/>
  <c r="S107" i="199"/>
  <c r="AH57" i="199"/>
  <c r="AF58" i="199"/>
  <c r="N108" i="199"/>
  <c r="G82" i="199"/>
  <c r="W75" i="199"/>
  <c r="W98" i="199" s="1"/>
  <c r="R82" i="199"/>
  <c r="AG71" i="199"/>
  <c r="P108" i="199"/>
  <c r="L108" i="199"/>
  <c r="M108" i="199"/>
  <c r="AF53" i="199"/>
  <c r="AH47" i="199"/>
  <c r="AG53" i="199"/>
  <c r="AG63" i="199"/>
  <c r="N88" i="199"/>
  <c r="M64" i="199"/>
  <c r="M97" i="199" s="1"/>
  <c r="AI60" i="199"/>
  <c r="AG62" i="199"/>
  <c r="AF62" i="199"/>
  <c r="AH62" i="199"/>
  <c r="V90" i="199"/>
  <c r="V107" i="199" s="1"/>
  <c r="V108" i="199"/>
  <c r="AG57" i="199"/>
  <c r="H101" i="199"/>
  <c r="H106" i="199" s="1"/>
  <c r="O59" i="199"/>
  <c r="O96" i="199" s="1"/>
  <c r="U75" i="199"/>
  <c r="U98" i="199" s="1"/>
  <c r="AI65" i="199"/>
  <c r="AG58" i="199"/>
  <c r="V75" i="199"/>
  <c r="V98" i="199" s="1"/>
  <c r="O108" i="199"/>
  <c r="AG67" i="199"/>
  <c r="AF47" i="199"/>
  <c r="T108" i="199"/>
  <c r="O88" i="199"/>
  <c r="Y101" i="199"/>
  <c r="Y106" i="199" s="1"/>
  <c r="Z101" i="199"/>
  <c r="Z106" i="199" s="1"/>
  <c r="AH74" i="199"/>
  <c r="AF74" i="199"/>
  <c r="AG74" i="199"/>
  <c r="W90" i="199"/>
  <c r="W107" i="199" s="1"/>
  <c r="W108" i="199"/>
  <c r="X90" i="199"/>
  <c r="X107" i="199" s="1"/>
  <c r="X108" i="199"/>
  <c r="I101" i="199"/>
  <c r="I106" i="199" s="1"/>
  <c r="AF70" i="199"/>
  <c r="AH70" i="199"/>
  <c r="AG70" i="199"/>
  <c r="P82" i="199"/>
  <c r="Z108" i="199"/>
  <c r="H82" i="199"/>
  <c r="I82" i="199"/>
  <c r="AA75" i="199"/>
  <c r="AA98" i="199" s="1"/>
  <c r="T82" i="199"/>
  <c r="Q108" i="199"/>
  <c r="AF67" i="199"/>
  <c r="R108" i="199"/>
  <c r="N59" i="199"/>
  <c r="N96" i="199" s="1"/>
  <c r="S108" i="199"/>
  <c r="AH67" i="199"/>
  <c r="AG54" i="199"/>
  <c r="F82" i="199"/>
  <c r="AF38" i="199"/>
  <c r="G108" i="199"/>
  <c r="AF55" i="199"/>
  <c r="AB82" i="199"/>
  <c r="H108" i="199"/>
  <c r="AH38" i="199"/>
  <c r="AC82" i="199"/>
  <c r="I108" i="199"/>
  <c r="AG44" i="199"/>
  <c r="AH55" i="199"/>
  <c r="J82" i="199"/>
  <c r="Z82" i="199"/>
  <c r="AF44" i="199"/>
  <c r="AH44" i="199"/>
  <c r="K82" i="199"/>
  <c r="AF54" i="199"/>
  <c r="AF43" i="199"/>
  <c r="Y82" i="199"/>
  <c r="Y108" i="199"/>
  <c r="AG43" i="199"/>
  <c r="L82" i="199"/>
  <c r="AE217" i="157"/>
  <c r="R74" i="198"/>
  <c r="R71" i="198"/>
  <c r="R70" i="198"/>
  <c r="R67" i="198"/>
  <c r="AE216" i="157"/>
  <c r="Q74" i="198"/>
  <c r="Q71" i="198"/>
  <c r="Q70" i="198"/>
  <c r="Q67" i="198"/>
  <c r="Q63" i="198"/>
  <c r="Q62" i="198"/>
  <c r="F529" i="88"/>
  <c r="F515" i="88"/>
  <c r="AE215" i="157"/>
  <c r="P74" i="198"/>
  <c r="P71" i="198"/>
  <c r="P70" i="198"/>
  <c r="P67" i="198"/>
  <c r="P63" i="198"/>
  <c r="P62" i="198"/>
  <c r="F514" i="88"/>
  <c r="F517" i="88"/>
  <c r="F516" i="88"/>
  <c r="F524" i="88"/>
  <c r="F525" i="88"/>
  <c r="F510" i="88"/>
  <c r="F519" i="88"/>
  <c r="F526" i="88"/>
  <c r="AE214" i="157"/>
  <c r="O74" i="198"/>
  <c r="O71" i="198"/>
  <c r="O70" i="198"/>
  <c r="O67" i="198"/>
  <c r="O63" i="198"/>
  <c r="O62" i="198"/>
  <c r="O57" i="198"/>
  <c r="O44" i="198"/>
  <c r="F521" i="88"/>
  <c r="AE213" i="157"/>
  <c r="N74" i="198"/>
  <c r="N71" i="198"/>
  <c r="N70" i="198"/>
  <c r="N63" i="198"/>
  <c r="F520" i="88"/>
  <c r="N62" i="198"/>
  <c r="N58" i="198"/>
  <c r="N53" i="198"/>
  <c r="F518" i="88"/>
  <c r="M74" i="198"/>
  <c r="M71" i="198"/>
  <c r="M70" i="198"/>
  <c r="M63" i="198"/>
  <c r="M62" i="198"/>
  <c r="M54" i="198"/>
  <c r="M53" i="198"/>
  <c r="L74" i="198"/>
  <c r="L71" i="198"/>
  <c r="L70" i="198"/>
  <c r="F513" i="88"/>
  <c r="F511" i="88"/>
  <c r="F512" i="88"/>
  <c r="F504" i="88"/>
  <c r="F428" i="88"/>
  <c r="F503" i="88"/>
  <c r="N211" i="157" a="1"/>
  <c r="AA82" i="199" l="1"/>
  <c r="X82" i="199"/>
  <c r="W82" i="199"/>
  <c r="V82" i="199"/>
  <c r="M82" i="199"/>
  <c r="AA101" i="199"/>
  <c r="AA106" i="199" s="1"/>
  <c r="M101" i="199"/>
  <c r="M106" i="199" s="1"/>
  <c r="AC101" i="199"/>
  <c r="AC106" i="199" s="1"/>
  <c r="W101" i="199"/>
  <c r="W106" i="199" s="1"/>
  <c r="X101" i="199"/>
  <c r="X106" i="199" s="1"/>
  <c r="U101" i="199"/>
  <c r="U106" i="199" s="1"/>
  <c r="V101" i="199"/>
  <c r="V106" i="199" s="1"/>
  <c r="N82" i="199"/>
  <c r="O101" i="199"/>
  <c r="O106" i="199" s="1"/>
  <c r="N101" i="199"/>
  <c r="N106" i="199" s="1"/>
  <c r="U82" i="199"/>
  <c r="O82" i="199"/>
  <c r="N211" i="157"/>
  <c r="F481" i="88"/>
  <c r="F506" i="88"/>
  <c r="AC125" i="198"/>
  <c r="AB125" i="198"/>
  <c r="AA125" i="198"/>
  <c r="Z125" i="198"/>
  <c r="Y125" i="198"/>
  <c r="X125" i="198"/>
  <c r="W125" i="198"/>
  <c r="V125" i="198"/>
  <c r="U125" i="198"/>
  <c r="T125" i="198"/>
  <c r="S125" i="198"/>
  <c r="R125" i="198"/>
  <c r="Q125" i="198"/>
  <c r="P125" i="198"/>
  <c r="O125" i="198"/>
  <c r="N125" i="198"/>
  <c r="M125" i="198"/>
  <c r="L125" i="198"/>
  <c r="K125" i="198"/>
  <c r="J125" i="198"/>
  <c r="I125" i="198"/>
  <c r="H125" i="198"/>
  <c r="G125" i="198"/>
  <c r="F125" i="198"/>
  <c r="AC105" i="198"/>
  <c r="AB105" i="198"/>
  <c r="AA105" i="198"/>
  <c r="Z105" i="198"/>
  <c r="Y105" i="198"/>
  <c r="X105" i="198"/>
  <c r="W105" i="198"/>
  <c r="V105" i="198"/>
  <c r="T105" i="198"/>
  <c r="S105" i="198"/>
  <c r="R105" i="198"/>
  <c r="Q105" i="198"/>
  <c r="P105" i="198"/>
  <c r="O105" i="198"/>
  <c r="N105" i="198"/>
  <c r="M105" i="198"/>
  <c r="L105" i="198"/>
  <c r="K105" i="198"/>
  <c r="J105" i="198"/>
  <c r="I105" i="198"/>
  <c r="H105" i="198"/>
  <c r="G105" i="198"/>
  <c r="F105" i="198"/>
  <c r="AC100" i="198"/>
  <c r="AB100" i="198"/>
  <c r="AA100" i="198"/>
  <c r="Z100" i="198"/>
  <c r="Y100" i="198"/>
  <c r="X100" i="198"/>
  <c r="W100" i="198"/>
  <c r="V100" i="198"/>
  <c r="U100" i="198"/>
  <c r="T100" i="198"/>
  <c r="S100" i="198"/>
  <c r="R100" i="198"/>
  <c r="Q100" i="198"/>
  <c r="P100" i="198"/>
  <c r="O100" i="198"/>
  <c r="N100" i="198"/>
  <c r="M100" i="198"/>
  <c r="L100" i="198"/>
  <c r="K100" i="198"/>
  <c r="J100" i="198"/>
  <c r="I100" i="198"/>
  <c r="H100" i="198"/>
  <c r="G100" i="198"/>
  <c r="F100" i="198"/>
  <c r="Z99" i="198"/>
  <c r="K99" i="198"/>
  <c r="J99" i="198"/>
  <c r="AC98" i="198"/>
  <c r="X98" i="198"/>
  <c r="AC79" i="198"/>
  <c r="AC99" i="198" s="1"/>
  <c r="AB79" i="198"/>
  <c r="AB99" i="198" s="1"/>
  <c r="AA79" i="198"/>
  <c r="AA99" i="198" s="1"/>
  <c r="Z79" i="198"/>
  <c r="Y79" i="198"/>
  <c r="Y99" i="198" s="1"/>
  <c r="X79" i="198"/>
  <c r="X99" i="198" s="1"/>
  <c r="W79" i="198"/>
  <c r="W99" i="198" s="1"/>
  <c r="V79" i="198"/>
  <c r="V99" i="198" s="1"/>
  <c r="U79" i="198"/>
  <c r="U99" i="198" s="1"/>
  <c r="T79" i="198"/>
  <c r="T99" i="198" s="1"/>
  <c r="S79" i="198"/>
  <c r="S99" i="198" s="1"/>
  <c r="R79" i="198"/>
  <c r="R99" i="198" s="1"/>
  <c r="Q79" i="198"/>
  <c r="Q99" i="198" s="1"/>
  <c r="P79" i="198"/>
  <c r="P99" i="198" s="1"/>
  <c r="O79" i="198"/>
  <c r="O99" i="198" s="1"/>
  <c r="N79" i="198"/>
  <c r="N99" i="198" s="1"/>
  <c r="M79" i="198"/>
  <c r="M99" i="198" s="1"/>
  <c r="L79" i="198"/>
  <c r="L99" i="198" s="1"/>
  <c r="K79" i="198"/>
  <c r="J79" i="198"/>
  <c r="I79" i="198"/>
  <c r="I99" i="198" s="1"/>
  <c r="H79" i="198"/>
  <c r="G79" i="198"/>
  <c r="F79" i="198"/>
  <c r="C79" i="198"/>
  <c r="AH78" i="198"/>
  <c r="AG78" i="198"/>
  <c r="AF78" i="198"/>
  <c r="AH77" i="198"/>
  <c r="AG77" i="198"/>
  <c r="AF77" i="198"/>
  <c r="AI76" i="198"/>
  <c r="AC75" i="198"/>
  <c r="X75" i="198"/>
  <c r="W75" i="198"/>
  <c r="W98" i="198" s="1"/>
  <c r="V75" i="198"/>
  <c r="V98" i="198" s="1"/>
  <c r="U75" i="198"/>
  <c r="U98" i="198" s="1"/>
  <c r="R75" i="198"/>
  <c r="R98" i="198" s="1"/>
  <c r="Q75" i="198"/>
  <c r="Q98" i="198" s="1"/>
  <c r="P75" i="198"/>
  <c r="P98" i="198" s="1"/>
  <c r="O75" i="198"/>
  <c r="O98" i="198" s="1"/>
  <c r="N75" i="198"/>
  <c r="N98" i="198" s="1"/>
  <c r="M75" i="198"/>
  <c r="M98" i="198" s="1"/>
  <c r="C75" i="198"/>
  <c r="B75" i="198"/>
  <c r="B79" i="198" s="1"/>
  <c r="B25" i="198" s="1"/>
  <c r="AH73" i="198"/>
  <c r="AG73" i="198"/>
  <c r="AF73" i="198"/>
  <c r="AH72" i="198"/>
  <c r="AG72" i="198"/>
  <c r="AF72" i="198"/>
  <c r="AF71" i="198"/>
  <c r="AH71" i="198"/>
  <c r="AG70" i="198"/>
  <c r="K75" i="198"/>
  <c r="J75" i="198"/>
  <c r="J98" i="198" s="1"/>
  <c r="AH70" i="198"/>
  <c r="AH69" i="198"/>
  <c r="AG69" i="198"/>
  <c r="AF69" i="198"/>
  <c r="AF68" i="198"/>
  <c r="AG68" i="198"/>
  <c r="AH68" i="198"/>
  <c r="AB75" i="198"/>
  <c r="AB98" i="198" s="1"/>
  <c r="I75" i="198"/>
  <c r="I98" i="198" s="1"/>
  <c r="H75" i="198"/>
  <c r="G75" i="198"/>
  <c r="F75" i="198"/>
  <c r="AH66" i="198"/>
  <c r="AG66" i="198"/>
  <c r="AF66" i="198"/>
  <c r="AC64" i="198"/>
  <c r="AC97" i="198" s="1"/>
  <c r="X64" i="198"/>
  <c r="X97" i="198" s="1"/>
  <c r="W64" i="198"/>
  <c r="W97" i="198" s="1"/>
  <c r="V64" i="198"/>
  <c r="V97" i="198" s="1"/>
  <c r="U64" i="198"/>
  <c r="U97" i="198" s="1"/>
  <c r="S64" i="198"/>
  <c r="S97" i="198" s="1"/>
  <c r="K64" i="198"/>
  <c r="K97" i="198" s="1"/>
  <c r="J64" i="198"/>
  <c r="J97" i="198" s="1"/>
  <c r="I64" i="198"/>
  <c r="I97" i="198" s="1"/>
  <c r="F64" i="198"/>
  <c r="C64" i="198"/>
  <c r="AH63" i="198"/>
  <c r="AG63" i="198"/>
  <c r="AF63" i="198"/>
  <c r="AB64" i="198"/>
  <c r="AB97" i="198" s="1"/>
  <c r="AA64" i="198"/>
  <c r="AA97" i="198" s="1"/>
  <c r="Z64" i="198"/>
  <c r="Z97" i="198" s="1"/>
  <c r="Y64" i="198"/>
  <c r="Y97" i="198" s="1"/>
  <c r="T64" i="198"/>
  <c r="T97" i="198" s="1"/>
  <c r="R64" i="198"/>
  <c r="R97" i="198" s="1"/>
  <c r="H64" i="198"/>
  <c r="Q64" i="198"/>
  <c r="Q97" i="198" s="1"/>
  <c r="P64" i="198"/>
  <c r="P97" i="198" s="1"/>
  <c r="O64" i="198"/>
  <c r="O97" i="198" s="1"/>
  <c r="N64" i="198"/>
  <c r="N97" i="198" s="1"/>
  <c r="M64" i="198"/>
  <c r="M97" i="198" s="1"/>
  <c r="L64" i="198"/>
  <c r="L97" i="198" s="1"/>
  <c r="AG61" i="198"/>
  <c r="AC59" i="198"/>
  <c r="AC96" i="198" s="1"/>
  <c r="AB59" i="198"/>
  <c r="AB96" i="198" s="1"/>
  <c r="AA59" i="198"/>
  <c r="AA96" i="198" s="1"/>
  <c r="Z59" i="198"/>
  <c r="Z96" i="198" s="1"/>
  <c r="Y59" i="198"/>
  <c r="Y96" i="198" s="1"/>
  <c r="X59" i="198"/>
  <c r="X96" i="198" s="1"/>
  <c r="W59" i="198"/>
  <c r="W96" i="198" s="1"/>
  <c r="V59" i="198"/>
  <c r="V96" i="198" s="1"/>
  <c r="U59" i="198"/>
  <c r="U96" i="198" s="1"/>
  <c r="K59" i="198"/>
  <c r="K96" i="198" s="1"/>
  <c r="J59" i="198"/>
  <c r="J96" i="198" s="1"/>
  <c r="H59" i="198"/>
  <c r="G59" i="198"/>
  <c r="F59" i="198"/>
  <c r="F96" i="198" s="1"/>
  <c r="C59" i="198"/>
  <c r="B59" i="198"/>
  <c r="B64" i="198" s="1"/>
  <c r="AH58" i="198"/>
  <c r="AH57" i="198"/>
  <c r="AG57" i="198"/>
  <c r="AF57" i="198"/>
  <c r="AH56" i="198"/>
  <c r="AH55" i="198"/>
  <c r="AG55" i="198"/>
  <c r="AF55" i="198"/>
  <c r="AH54" i="198"/>
  <c r="T59" i="198"/>
  <c r="T96" i="198" s="1"/>
  <c r="S59" i="198"/>
  <c r="S96" i="198" s="1"/>
  <c r="AH52" i="198"/>
  <c r="AG52" i="198"/>
  <c r="AF52" i="198"/>
  <c r="AH51" i="198"/>
  <c r="AG51" i="198"/>
  <c r="AF51" i="198"/>
  <c r="AH50" i="198"/>
  <c r="AG50" i="198"/>
  <c r="AF50" i="198"/>
  <c r="AH49" i="198"/>
  <c r="Q59" i="198"/>
  <c r="AH47" i="198"/>
  <c r="AG47" i="198"/>
  <c r="AF47" i="198"/>
  <c r="AH46" i="198"/>
  <c r="AG46" i="198"/>
  <c r="AF46" i="198"/>
  <c r="AH45" i="198"/>
  <c r="AG45" i="198"/>
  <c r="AF45" i="198"/>
  <c r="P59" i="198"/>
  <c r="L59" i="198"/>
  <c r="AH42" i="198"/>
  <c r="AG42" i="198"/>
  <c r="AF42" i="198"/>
  <c r="AG41" i="198"/>
  <c r="O59" i="198"/>
  <c r="N59" i="198"/>
  <c r="AH39" i="198"/>
  <c r="AG39" i="198"/>
  <c r="AF39" i="198"/>
  <c r="AH38" i="198"/>
  <c r="AG38" i="198"/>
  <c r="AF38" i="198"/>
  <c r="AH37" i="198"/>
  <c r="AG37" i="198"/>
  <c r="AF37" i="198"/>
  <c r="AH36" i="198"/>
  <c r="AG36" i="198"/>
  <c r="AF36" i="198"/>
  <c r="AH35" i="198"/>
  <c r="AG35" i="198"/>
  <c r="AF35" i="198"/>
  <c r="AC33" i="198"/>
  <c r="AC94" i="198" s="1"/>
  <c r="AB33" i="198"/>
  <c r="AB94" i="198" s="1"/>
  <c r="AA33" i="198"/>
  <c r="AA94" i="198" s="1"/>
  <c r="Z33" i="198"/>
  <c r="Z94" i="198" s="1"/>
  <c r="Y33" i="198"/>
  <c r="Y94" i="198" s="1"/>
  <c r="X33" i="198"/>
  <c r="X94" i="198" s="1"/>
  <c r="W33" i="198"/>
  <c r="W94" i="198" s="1"/>
  <c r="V33" i="198"/>
  <c r="V94" i="198" s="1"/>
  <c r="U33" i="198"/>
  <c r="U94" i="198" s="1"/>
  <c r="T33" i="198"/>
  <c r="T94" i="198" s="1"/>
  <c r="S33" i="198"/>
  <c r="S94" i="198" s="1"/>
  <c r="R33" i="198"/>
  <c r="R94" i="198" s="1"/>
  <c r="Q33" i="198"/>
  <c r="Q94" i="198" s="1"/>
  <c r="P33" i="198"/>
  <c r="P94" i="198" s="1"/>
  <c r="O33" i="198"/>
  <c r="O94" i="198" s="1"/>
  <c r="N33" i="198"/>
  <c r="N94" i="198" s="1"/>
  <c r="M33" i="198"/>
  <c r="M94" i="198" s="1"/>
  <c r="L33" i="198"/>
  <c r="L94" i="198" s="1"/>
  <c r="K33" i="198"/>
  <c r="K94" i="198" s="1"/>
  <c r="J33" i="198"/>
  <c r="J94" i="198" s="1"/>
  <c r="I33" i="198"/>
  <c r="I94" i="198" s="1"/>
  <c r="H33" i="198"/>
  <c r="H94" i="198" s="1"/>
  <c r="G33" i="198"/>
  <c r="G94" i="198" s="1"/>
  <c r="F33" i="198"/>
  <c r="F94" i="198" s="1"/>
  <c r="C33" i="198"/>
  <c r="B33" i="198"/>
  <c r="AH32" i="198"/>
  <c r="AG32" i="198"/>
  <c r="AF32" i="198"/>
  <c r="AI31" i="198"/>
  <c r="AC30" i="198"/>
  <c r="AC92" i="198" s="1"/>
  <c r="AB30" i="198"/>
  <c r="AB92" i="198" s="1"/>
  <c r="AA30" i="198"/>
  <c r="AA92" i="198" s="1"/>
  <c r="Z30" i="198"/>
  <c r="Z92" i="198" s="1"/>
  <c r="Y30" i="198"/>
  <c r="Y92" i="198" s="1"/>
  <c r="X30" i="198"/>
  <c r="X92" i="198" s="1"/>
  <c r="W30" i="198"/>
  <c r="W92" i="198" s="1"/>
  <c r="V30" i="198"/>
  <c r="V92" i="198" s="1"/>
  <c r="U30" i="198"/>
  <c r="U92" i="198" s="1"/>
  <c r="T30" i="198"/>
  <c r="T92" i="198" s="1"/>
  <c r="S30" i="198"/>
  <c r="S92" i="198" s="1"/>
  <c r="R30" i="198"/>
  <c r="R92" i="198" s="1"/>
  <c r="Q30" i="198"/>
  <c r="Q92" i="198" s="1"/>
  <c r="P30" i="198"/>
  <c r="P92" i="198" s="1"/>
  <c r="O30" i="198"/>
  <c r="O92" i="198" s="1"/>
  <c r="N30" i="198"/>
  <c r="N92" i="198" s="1"/>
  <c r="M30" i="198"/>
  <c r="M92" i="198" s="1"/>
  <c r="L30" i="198"/>
  <c r="L92" i="198" s="1"/>
  <c r="K30" i="198"/>
  <c r="K92" i="198" s="1"/>
  <c r="J30" i="198"/>
  <c r="J92" i="198" s="1"/>
  <c r="I30" i="198"/>
  <c r="I92" i="198" s="1"/>
  <c r="H30" i="198"/>
  <c r="H92" i="198" s="1"/>
  <c r="G30" i="198"/>
  <c r="G92" i="198" s="1"/>
  <c r="F30" i="198"/>
  <c r="F92" i="198" s="1"/>
  <c r="C30" i="198"/>
  <c r="B30" i="198"/>
  <c r="AH28" i="198"/>
  <c r="AG28" i="198"/>
  <c r="AF28" i="198"/>
  <c r="AH27" i="198"/>
  <c r="AG27" i="198"/>
  <c r="AF27" i="198"/>
  <c r="AI26" i="198"/>
  <c r="AC25" i="198"/>
  <c r="AB25" i="198"/>
  <c r="AB88" i="198" s="1"/>
  <c r="AA25" i="198"/>
  <c r="AA88" i="198" s="1"/>
  <c r="Z25" i="198"/>
  <c r="Y25" i="198"/>
  <c r="X25" i="198"/>
  <c r="W25" i="198"/>
  <c r="V25" i="198"/>
  <c r="U25" i="198"/>
  <c r="T25" i="198"/>
  <c r="S25" i="198"/>
  <c r="R25" i="198"/>
  <c r="Q25" i="198"/>
  <c r="P25" i="198"/>
  <c r="O25" i="198"/>
  <c r="N25" i="198"/>
  <c r="M25" i="198"/>
  <c r="L25" i="198"/>
  <c r="K25" i="198"/>
  <c r="J25" i="198"/>
  <c r="I25" i="198"/>
  <c r="I88" i="198" s="1"/>
  <c r="H25" i="198"/>
  <c r="G25" i="198"/>
  <c r="F25" i="198"/>
  <c r="C25" i="198"/>
  <c r="AH24" i="198"/>
  <c r="AG24" i="198"/>
  <c r="AF24" i="198"/>
  <c r="AI23" i="198"/>
  <c r="AC22" i="198"/>
  <c r="AB22" i="198"/>
  <c r="AA22" i="198"/>
  <c r="Z22" i="198"/>
  <c r="Y22" i="198"/>
  <c r="X22" i="198"/>
  <c r="X88" i="198" s="1"/>
  <c r="W22" i="198"/>
  <c r="W88" i="198" s="1"/>
  <c r="V22" i="198"/>
  <c r="U22" i="198"/>
  <c r="T22" i="198"/>
  <c r="S22" i="198"/>
  <c r="R22" i="198"/>
  <c r="Q22" i="198"/>
  <c r="P22" i="198"/>
  <c r="O22" i="198"/>
  <c r="N22" i="198"/>
  <c r="M22" i="198"/>
  <c r="L22" i="198"/>
  <c r="K22" i="198"/>
  <c r="J22" i="198"/>
  <c r="I22" i="198"/>
  <c r="H22" i="198"/>
  <c r="G22" i="198"/>
  <c r="F22" i="198"/>
  <c r="C22" i="198"/>
  <c r="B22" i="198"/>
  <c r="AH21" i="198"/>
  <c r="AG21" i="198"/>
  <c r="AF21" i="198"/>
  <c r="AH20" i="198"/>
  <c r="AG20" i="198"/>
  <c r="AF20" i="198"/>
  <c r="AH19" i="198"/>
  <c r="AG19" i="198"/>
  <c r="AF19" i="198"/>
  <c r="AI18" i="198"/>
  <c r="AC17" i="198"/>
  <c r="AB17" i="198"/>
  <c r="AB90" i="198" s="1"/>
  <c r="AA17" i="198"/>
  <c r="AA90" i="198" s="1"/>
  <c r="Z17" i="198"/>
  <c r="Z90" i="198" s="1"/>
  <c r="Y17" i="198"/>
  <c r="X17" i="198"/>
  <c r="W17" i="198"/>
  <c r="W90" i="198" s="1"/>
  <c r="V17" i="198"/>
  <c r="U17" i="198"/>
  <c r="T17" i="198"/>
  <c r="S17" i="198"/>
  <c r="S90" i="198" s="1"/>
  <c r="R17" i="198"/>
  <c r="R90" i="198" s="1"/>
  <c r="Q17" i="198"/>
  <c r="Q90" i="198" s="1"/>
  <c r="P17" i="198"/>
  <c r="P90" i="198" s="1"/>
  <c r="O17" i="198"/>
  <c r="O90" i="198" s="1"/>
  <c r="N17" i="198"/>
  <c r="N90" i="198" s="1"/>
  <c r="M17" i="198"/>
  <c r="L17" i="198"/>
  <c r="K17" i="198"/>
  <c r="J17" i="198"/>
  <c r="J90" i="198" s="1"/>
  <c r="I17" i="198"/>
  <c r="I90" i="198" s="1"/>
  <c r="H17" i="198"/>
  <c r="H90" i="198" s="1"/>
  <c r="G17" i="198"/>
  <c r="G90" i="198" s="1"/>
  <c r="F17" i="198"/>
  <c r="F90" i="198" s="1"/>
  <c r="C17" i="198"/>
  <c r="B17" i="198"/>
  <c r="AH16" i="198"/>
  <c r="AG16" i="198"/>
  <c r="AF16" i="198"/>
  <c r="AH15" i="198"/>
  <c r="AG15" i="198"/>
  <c r="AF15" i="198"/>
  <c r="AH14" i="198"/>
  <c r="AG14" i="198"/>
  <c r="AF14" i="198"/>
  <c r="AH13" i="198"/>
  <c r="AG13" i="198"/>
  <c r="AF13" i="198"/>
  <c r="AI12" i="198"/>
  <c r="M9" i="198" a="1"/>
  <c r="M9" i="198" s="1"/>
  <c r="F438" i="88"/>
  <c r="F509" i="88"/>
  <c r="AB74" i="197"/>
  <c r="AB75" i="197" s="1"/>
  <c r="AB98" i="197" s="1"/>
  <c r="AB71" i="197"/>
  <c r="AB70" i="197"/>
  <c r="AB67" i="197"/>
  <c r="AB62" i="197"/>
  <c r="AB61" i="197"/>
  <c r="AE202" i="157"/>
  <c r="AE201" i="157"/>
  <c r="F304" i="88"/>
  <c r="AA74" i="197"/>
  <c r="AA71" i="197"/>
  <c r="AA70" i="197"/>
  <c r="AA68" i="197"/>
  <c r="AA67" i="197"/>
  <c r="AA62" i="197"/>
  <c r="AA61" i="197"/>
  <c r="Z74" i="197"/>
  <c r="Z71" i="197"/>
  <c r="Z70" i="197"/>
  <c r="Z68" i="197"/>
  <c r="Z67" i="197"/>
  <c r="Z62" i="197"/>
  <c r="Z61" i="197"/>
  <c r="F473" i="88"/>
  <c r="F472" i="88"/>
  <c r="F475" i="88"/>
  <c r="F505" i="88"/>
  <c r="F501" i="88"/>
  <c r="AE199" i="157"/>
  <c r="AE200" i="157"/>
  <c r="F500" i="88"/>
  <c r="F502" i="88"/>
  <c r="F494" i="88"/>
  <c r="F499" i="88"/>
  <c r="Y74" i="197"/>
  <c r="Y71" i="197"/>
  <c r="Y70" i="197"/>
  <c r="Y68" i="197"/>
  <c r="Y67" i="197"/>
  <c r="Y62" i="197"/>
  <c r="Y61" i="197"/>
  <c r="F486" i="88"/>
  <c r="F493" i="88"/>
  <c r="AE198" i="157"/>
  <c r="F460" i="88"/>
  <c r="AE197" i="157"/>
  <c r="F492" i="88"/>
  <c r="F454" i="88"/>
  <c r="AE195" i="157"/>
  <c r="F495" i="88"/>
  <c r="AF70" i="197"/>
  <c r="F490" i="88"/>
  <c r="F489" i="88"/>
  <c r="F497" i="88"/>
  <c r="F496" i="88"/>
  <c r="T74" i="197"/>
  <c r="T75" i="197" s="1"/>
  <c r="T98" i="197" s="1"/>
  <c r="T71" i="197"/>
  <c r="T68" i="197"/>
  <c r="T67" i="197"/>
  <c r="T104" i="197"/>
  <c r="F455" i="88"/>
  <c r="AE194" i="157"/>
  <c r="AH55" i="197"/>
  <c r="T63" i="197"/>
  <c r="T62" i="197"/>
  <c r="AE193" i="157"/>
  <c r="T46" i="197"/>
  <c r="T53" i="197"/>
  <c r="T54" i="197"/>
  <c r="T55" i="197"/>
  <c r="T58" i="197"/>
  <c r="S74" i="197"/>
  <c r="S71" i="197"/>
  <c r="S70" i="197"/>
  <c r="S68" i="197"/>
  <c r="S67" i="197"/>
  <c r="AE192" i="157"/>
  <c r="S46" i="197"/>
  <c r="S53" i="197"/>
  <c r="S54" i="197"/>
  <c r="S55" i="197"/>
  <c r="S58" i="197"/>
  <c r="S59" i="197" s="1"/>
  <c r="S96" i="197" s="1"/>
  <c r="R74" i="197"/>
  <c r="R71" i="197"/>
  <c r="R70" i="197"/>
  <c r="R68" i="197"/>
  <c r="R67" i="197"/>
  <c r="R63" i="197"/>
  <c r="R62" i="197"/>
  <c r="R58" i="197"/>
  <c r="R55" i="197"/>
  <c r="R54" i="197"/>
  <c r="R53" i="197"/>
  <c r="R46" i="197"/>
  <c r="F488" i="88"/>
  <c r="F487" i="88"/>
  <c r="F485" i="88"/>
  <c r="AE191" i="157"/>
  <c r="Q74" i="197"/>
  <c r="Q71" i="197"/>
  <c r="Q70" i="197"/>
  <c r="Q68" i="197"/>
  <c r="Q67" i="197"/>
  <c r="Q63" i="197"/>
  <c r="Q61" i="197"/>
  <c r="Q56" i="197"/>
  <c r="Q55" i="197"/>
  <c r="Q48" i="197"/>
  <c r="Q46" i="197"/>
  <c r="F491" i="88"/>
  <c r="F482" i="88"/>
  <c r="AE190" i="157"/>
  <c r="P74" i="197"/>
  <c r="P71" i="197"/>
  <c r="P70" i="197"/>
  <c r="P68" i="197"/>
  <c r="P67" i="197"/>
  <c r="P63" i="197"/>
  <c r="P61" i="197"/>
  <c r="P44" i="197"/>
  <c r="O74" i="197"/>
  <c r="O71" i="197"/>
  <c r="O70" i="197"/>
  <c r="O68" i="197"/>
  <c r="O67" i="197"/>
  <c r="F478" i="88"/>
  <c r="AE189" i="157"/>
  <c r="F484" i="88"/>
  <c r="F483" i="88"/>
  <c r="O63" i="197"/>
  <c r="O61" i="197"/>
  <c r="O43" i="197"/>
  <c r="O41" i="197"/>
  <c r="O40" i="197"/>
  <c r="O38" i="197"/>
  <c r="F480" i="88"/>
  <c r="F474" i="88"/>
  <c r="F466" i="88"/>
  <c r="F464" i="88"/>
  <c r="N74" i="197"/>
  <c r="N71" i="197"/>
  <c r="N70" i="197"/>
  <c r="N69" i="197"/>
  <c r="N68" i="197"/>
  <c r="N67" i="197"/>
  <c r="N63" i="197"/>
  <c r="N61" i="197"/>
  <c r="M74" i="197"/>
  <c r="AE188" i="157"/>
  <c r="F477" i="88"/>
  <c r="F476" i="88"/>
  <c r="F479" i="88"/>
  <c r="AH61" i="197"/>
  <c r="M43" i="197"/>
  <c r="M40" i="197"/>
  <c r="M41" i="197"/>
  <c r="M38" i="197"/>
  <c r="M63" i="197"/>
  <c r="M61" i="197"/>
  <c r="M70" i="197"/>
  <c r="M71" i="197"/>
  <c r="M68" i="197"/>
  <c r="M67" i="197"/>
  <c r="N43" i="197"/>
  <c r="N41" i="197"/>
  <c r="N40" i="197"/>
  <c r="N59" i="197" s="1"/>
  <c r="N96" i="197" s="1"/>
  <c r="N38" i="197"/>
  <c r="AE187" i="157"/>
  <c r="AG71" i="197"/>
  <c r="AE186" i="157"/>
  <c r="L74" i="197"/>
  <c r="L71" i="197"/>
  <c r="L70" i="197"/>
  <c r="L68" i="197"/>
  <c r="L67" i="197"/>
  <c r="L63" i="197"/>
  <c r="L61" i="197"/>
  <c r="L43" i="197"/>
  <c r="L41" i="197"/>
  <c r="L38" i="197"/>
  <c r="AG63" i="197"/>
  <c r="F468" i="88"/>
  <c r="F471" i="88"/>
  <c r="F469" i="88"/>
  <c r="L75" i="197"/>
  <c r="L98" i="197" s="1"/>
  <c r="AE185" i="157"/>
  <c r="K74" i="197"/>
  <c r="K71" i="197"/>
  <c r="K70" i="197"/>
  <c r="K68" i="197"/>
  <c r="K67" i="197"/>
  <c r="AE184" i="157"/>
  <c r="J74" i="197"/>
  <c r="J71" i="197"/>
  <c r="J70" i="197"/>
  <c r="J68" i="197"/>
  <c r="J67" i="197"/>
  <c r="F470" i="88"/>
  <c r="F465" i="88"/>
  <c r="AE183" i="157"/>
  <c r="I46" i="197"/>
  <c r="I48" i="197"/>
  <c r="I49" i="197"/>
  <c r="F404" i="88"/>
  <c r="F440" i="88"/>
  <c r="I67" i="197"/>
  <c r="I68" i="197"/>
  <c r="I69" i="197"/>
  <c r="I70" i="197"/>
  <c r="I71" i="197"/>
  <c r="I74" i="197"/>
  <c r="AE182" i="157"/>
  <c r="H62" i="197"/>
  <c r="H61" i="197"/>
  <c r="H67" i="197"/>
  <c r="H68" i="197"/>
  <c r="H69" i="197"/>
  <c r="H70" i="197"/>
  <c r="H71" i="197"/>
  <c r="H74" i="197"/>
  <c r="AE181" i="157"/>
  <c r="G74" i="197"/>
  <c r="G71" i="197"/>
  <c r="G70" i="197"/>
  <c r="G69" i="197"/>
  <c r="G68" i="197"/>
  <c r="G67" i="197"/>
  <c r="G62" i="197"/>
  <c r="G61" i="197"/>
  <c r="AE180" i="157"/>
  <c r="F74" i="197"/>
  <c r="F71" i="197"/>
  <c r="F70" i="197"/>
  <c r="F69" i="197"/>
  <c r="F68" i="197"/>
  <c r="F67" i="197"/>
  <c r="F62" i="197"/>
  <c r="F61" i="197"/>
  <c r="F412" i="88"/>
  <c r="F410" i="88"/>
  <c r="F411" i="88"/>
  <c r="F456" i="88"/>
  <c r="F463" i="88"/>
  <c r="F458" i="88"/>
  <c r="F449" i="88"/>
  <c r="F450" i="88"/>
  <c r="F446" i="88"/>
  <c r="F448" i="88"/>
  <c r="F461" i="88"/>
  <c r="F432" i="88"/>
  <c r="F447" i="88"/>
  <c r="F79" i="197"/>
  <c r="F64" i="197"/>
  <c r="F97" i="197" s="1"/>
  <c r="F59" i="197"/>
  <c r="F96" i="197" s="1"/>
  <c r="F33" i="197"/>
  <c r="F94" i="197" s="1"/>
  <c r="F30" i="197"/>
  <c r="F92" i="197" s="1"/>
  <c r="F25" i="197"/>
  <c r="F22" i="197"/>
  <c r="F17" i="197"/>
  <c r="AC125" i="197"/>
  <c r="AB125" i="197"/>
  <c r="AA125" i="197"/>
  <c r="Z125" i="197"/>
  <c r="Y125" i="197"/>
  <c r="X125" i="197"/>
  <c r="W125" i="197"/>
  <c r="V125" i="197"/>
  <c r="U125" i="197"/>
  <c r="T125" i="197"/>
  <c r="S125" i="197"/>
  <c r="R125" i="197"/>
  <c r="Q125" i="197"/>
  <c r="P125" i="197"/>
  <c r="O125" i="197"/>
  <c r="N125" i="197"/>
  <c r="M125" i="197"/>
  <c r="L125" i="197"/>
  <c r="K125" i="197"/>
  <c r="J125" i="197"/>
  <c r="I125" i="197"/>
  <c r="H125" i="197"/>
  <c r="G125" i="197"/>
  <c r="F125" i="197"/>
  <c r="AC105" i="197"/>
  <c r="AB105" i="197"/>
  <c r="AA105" i="197"/>
  <c r="Z105" i="197"/>
  <c r="Y105" i="197"/>
  <c r="X105" i="197"/>
  <c r="W105" i="197"/>
  <c r="V105" i="197"/>
  <c r="U105" i="197"/>
  <c r="T105" i="197"/>
  <c r="S105" i="197"/>
  <c r="R105" i="197"/>
  <c r="Q105" i="197"/>
  <c r="P105" i="197"/>
  <c r="O105" i="197"/>
  <c r="N105" i="197"/>
  <c r="M105" i="197"/>
  <c r="L105" i="197"/>
  <c r="K105" i="197"/>
  <c r="J105" i="197"/>
  <c r="I105" i="197"/>
  <c r="H105" i="197"/>
  <c r="G105" i="197"/>
  <c r="F105" i="197"/>
  <c r="AC100" i="197"/>
  <c r="AB100" i="197"/>
  <c r="AA100" i="197"/>
  <c r="Z100" i="197"/>
  <c r="Y100" i="197"/>
  <c r="X100" i="197"/>
  <c r="W100" i="197"/>
  <c r="V100" i="197"/>
  <c r="U100" i="197"/>
  <c r="T100" i="197"/>
  <c r="S100" i="197"/>
  <c r="R100" i="197"/>
  <c r="Q100" i="197"/>
  <c r="P100" i="197"/>
  <c r="O100" i="197"/>
  <c r="N100" i="197"/>
  <c r="M100" i="197"/>
  <c r="L100" i="197"/>
  <c r="K100" i="197"/>
  <c r="J100" i="197"/>
  <c r="I100" i="197"/>
  <c r="H100" i="197"/>
  <c r="G100" i="197"/>
  <c r="F100" i="197"/>
  <c r="AC99" i="197"/>
  <c r="AB99" i="197"/>
  <c r="P99" i="197"/>
  <c r="T97" i="197"/>
  <c r="P94" i="197"/>
  <c r="I94" i="197"/>
  <c r="H94" i="197"/>
  <c r="AC79" i="197"/>
  <c r="AB79" i="197"/>
  <c r="AA79" i="197"/>
  <c r="AA99" i="197" s="1"/>
  <c r="Z79" i="197"/>
  <c r="Z99" i="197" s="1"/>
  <c r="Y79" i="197"/>
  <c r="Y99" i="197" s="1"/>
  <c r="X79" i="197"/>
  <c r="X99" i="197" s="1"/>
  <c r="W79" i="197"/>
  <c r="W99" i="197" s="1"/>
  <c r="V79" i="197"/>
  <c r="V99" i="197" s="1"/>
  <c r="U79" i="197"/>
  <c r="U99" i="197" s="1"/>
  <c r="T79" i="197"/>
  <c r="T99" i="197" s="1"/>
  <c r="S79" i="197"/>
  <c r="S99" i="197" s="1"/>
  <c r="R79" i="197"/>
  <c r="R99" i="197" s="1"/>
  <c r="Q79" i="197"/>
  <c r="Q99" i="197" s="1"/>
  <c r="P79" i="197"/>
  <c r="O79" i="197"/>
  <c r="O99" i="197" s="1"/>
  <c r="N79" i="197"/>
  <c r="N99" i="197" s="1"/>
  <c r="M79" i="197"/>
  <c r="M99" i="197" s="1"/>
  <c r="L79" i="197"/>
  <c r="L99" i="197" s="1"/>
  <c r="K79" i="197"/>
  <c r="K99" i="197" s="1"/>
  <c r="J79" i="197"/>
  <c r="J99" i="197" s="1"/>
  <c r="I79" i="197"/>
  <c r="I99" i="197" s="1"/>
  <c r="H79" i="197"/>
  <c r="H99" i="197" s="1"/>
  <c r="G79" i="197"/>
  <c r="G99" i="197" s="1"/>
  <c r="F99" i="197"/>
  <c r="C79" i="197"/>
  <c r="B79" i="197"/>
  <c r="B25" i="197" s="1"/>
  <c r="AH78" i="197"/>
  <c r="AG78" i="197"/>
  <c r="AF78" i="197"/>
  <c r="AH77" i="197"/>
  <c r="AG77" i="197"/>
  <c r="AF77" i="197"/>
  <c r="AI76" i="197"/>
  <c r="P75" i="197"/>
  <c r="P98" i="197" s="1"/>
  <c r="O75" i="197"/>
  <c r="O98" i="197" s="1"/>
  <c r="N75" i="197"/>
  <c r="N98" i="197" s="1"/>
  <c r="M75" i="197"/>
  <c r="M98" i="197" s="1"/>
  <c r="C75" i="197"/>
  <c r="B75" i="197"/>
  <c r="AH73" i="197"/>
  <c r="AG73" i="197"/>
  <c r="AF73" i="197"/>
  <c r="AH72" i="197"/>
  <c r="AG72" i="197"/>
  <c r="AF72" i="197"/>
  <c r="K75" i="197"/>
  <c r="K98" i="197" s="1"/>
  <c r="J75" i="197"/>
  <c r="J98" i="197" s="1"/>
  <c r="S75" i="197"/>
  <c r="S98" i="197" s="1"/>
  <c r="R75" i="197"/>
  <c r="R98" i="197" s="1"/>
  <c r="V75" i="197"/>
  <c r="V98" i="197" s="1"/>
  <c r="I75" i="197"/>
  <c r="I98" i="197" s="1"/>
  <c r="AC75" i="197"/>
  <c r="AC98" i="197" s="1"/>
  <c r="H75" i="197"/>
  <c r="H98" i="197" s="1"/>
  <c r="AH66" i="197"/>
  <c r="AG66" i="197"/>
  <c r="AF66" i="197"/>
  <c r="AC64" i="197"/>
  <c r="AC97" i="197" s="1"/>
  <c r="AB64" i="197"/>
  <c r="AB97" i="197" s="1"/>
  <c r="AA64" i="197"/>
  <c r="AA97" i="197" s="1"/>
  <c r="Z64" i="197"/>
  <c r="Z97" i="197" s="1"/>
  <c r="Y64" i="197"/>
  <c r="Y97" i="197" s="1"/>
  <c r="V64" i="197"/>
  <c r="V97" i="197" s="1"/>
  <c r="U64" i="197"/>
  <c r="U97" i="197" s="1"/>
  <c r="T64" i="197"/>
  <c r="S64" i="197"/>
  <c r="S97" i="197" s="1"/>
  <c r="R64" i="197"/>
  <c r="R97" i="197" s="1"/>
  <c r="Q64" i="197"/>
  <c r="Q97" i="197" s="1"/>
  <c r="K64" i="197"/>
  <c r="K97" i="197" s="1"/>
  <c r="J64" i="197"/>
  <c r="J97" i="197" s="1"/>
  <c r="I64" i="197"/>
  <c r="I97" i="197" s="1"/>
  <c r="H64" i="197"/>
  <c r="H97" i="197" s="1"/>
  <c r="G64" i="197"/>
  <c r="G97" i="197" s="1"/>
  <c r="C64" i="197"/>
  <c r="B64" i="197"/>
  <c r="X64" i="197"/>
  <c r="X97" i="197" s="1"/>
  <c r="W64" i="197"/>
  <c r="W97" i="197" s="1"/>
  <c r="N64" i="197"/>
  <c r="N97" i="197" s="1"/>
  <c r="M64" i="197"/>
  <c r="M97" i="197" s="1"/>
  <c r="Z59" i="197"/>
  <c r="Z96" i="197" s="1"/>
  <c r="Y59" i="197"/>
  <c r="Y96" i="197" s="1"/>
  <c r="U59" i="197"/>
  <c r="U96" i="197" s="1"/>
  <c r="T59" i="197"/>
  <c r="T96" i="197" s="1"/>
  <c r="K59" i="197"/>
  <c r="K96" i="197" s="1"/>
  <c r="J59" i="197"/>
  <c r="J96" i="197" s="1"/>
  <c r="I59" i="197"/>
  <c r="I96" i="197" s="1"/>
  <c r="H59" i="197"/>
  <c r="H96" i="197" s="1"/>
  <c r="C59" i="197"/>
  <c r="B59" i="197"/>
  <c r="AG57" i="197"/>
  <c r="AG56" i="197"/>
  <c r="AH56" i="197"/>
  <c r="AH54" i="197"/>
  <c r="AH53" i="197"/>
  <c r="AH52" i="197"/>
  <c r="AG52" i="197"/>
  <c r="AF52" i="197"/>
  <c r="AH51" i="197"/>
  <c r="AG51" i="197"/>
  <c r="AF51" i="197"/>
  <c r="AH50" i="197"/>
  <c r="AG50" i="197"/>
  <c r="AF50" i="197"/>
  <c r="AG49" i="197"/>
  <c r="AG48" i="197"/>
  <c r="AH47" i="197"/>
  <c r="AG47" i="197"/>
  <c r="AF47" i="197"/>
  <c r="AH46" i="197"/>
  <c r="AG46" i="197"/>
  <c r="AF46" i="197"/>
  <c r="AH43" i="197"/>
  <c r="AG43" i="197"/>
  <c r="AF43" i="197"/>
  <c r="AH42" i="197"/>
  <c r="AG42" i="197"/>
  <c r="AF42" i="197"/>
  <c r="AC59" i="197"/>
  <c r="AC96" i="197" s="1"/>
  <c r="AB59" i="197"/>
  <c r="AB96" i="197" s="1"/>
  <c r="AA59" i="197"/>
  <c r="AA96" i="197" s="1"/>
  <c r="R59" i="197"/>
  <c r="R96" i="197" s="1"/>
  <c r="Q59" i="197"/>
  <c r="Q96" i="197" s="1"/>
  <c r="P59" i="197"/>
  <c r="P96" i="197" s="1"/>
  <c r="O59" i="197"/>
  <c r="O96" i="197" s="1"/>
  <c r="AG40" i="197"/>
  <c r="M59" i="197"/>
  <c r="M96" i="197" s="1"/>
  <c r="L59" i="197"/>
  <c r="L96" i="197" s="1"/>
  <c r="AH39" i="197"/>
  <c r="AG39" i="197"/>
  <c r="AF39" i="197"/>
  <c r="W59" i="197"/>
  <c r="W96" i="197" s="1"/>
  <c r="V59" i="197"/>
  <c r="V96" i="197" s="1"/>
  <c r="AH37" i="197"/>
  <c r="AG37" i="197"/>
  <c r="AF37" i="197"/>
  <c r="AH36" i="197"/>
  <c r="AG36" i="197"/>
  <c r="AF36" i="197"/>
  <c r="AH35" i="197"/>
  <c r="AG35" i="197"/>
  <c r="AF35" i="197"/>
  <c r="AC33" i="197"/>
  <c r="AC94" i="197" s="1"/>
  <c r="AB33" i="197"/>
  <c r="AB94" i="197" s="1"/>
  <c r="AA33" i="197"/>
  <c r="AA94" i="197" s="1"/>
  <c r="Z33" i="197"/>
  <c r="Z94" i="197" s="1"/>
  <c r="Y33" i="197"/>
  <c r="Y94" i="197" s="1"/>
  <c r="X33" i="197"/>
  <c r="X94" i="197" s="1"/>
  <c r="W33" i="197"/>
  <c r="W94" i="197" s="1"/>
  <c r="V33" i="197"/>
  <c r="V94" i="197" s="1"/>
  <c r="U33" i="197"/>
  <c r="U94" i="197" s="1"/>
  <c r="T33" i="197"/>
  <c r="T94" i="197" s="1"/>
  <c r="S33" i="197"/>
  <c r="S94" i="197" s="1"/>
  <c r="R33" i="197"/>
  <c r="R94" i="197" s="1"/>
  <c r="Q33" i="197"/>
  <c r="Q94" i="197" s="1"/>
  <c r="P33" i="197"/>
  <c r="O33" i="197"/>
  <c r="O94" i="197" s="1"/>
  <c r="N33" i="197"/>
  <c r="N94" i="197" s="1"/>
  <c r="M33" i="197"/>
  <c r="M94" i="197" s="1"/>
  <c r="L33" i="197"/>
  <c r="L94" i="197" s="1"/>
  <c r="K33" i="197"/>
  <c r="K94" i="197" s="1"/>
  <c r="J33" i="197"/>
  <c r="J94" i="197" s="1"/>
  <c r="I33" i="197"/>
  <c r="H33" i="197"/>
  <c r="G33" i="197"/>
  <c r="G94" i="197" s="1"/>
  <c r="C33" i="197"/>
  <c r="B33" i="197"/>
  <c r="AH32" i="197"/>
  <c r="AG32" i="197"/>
  <c r="AF32" i="197"/>
  <c r="AI31" i="197"/>
  <c r="AC30" i="197"/>
  <c r="AC92" i="197" s="1"/>
  <c r="AB30" i="197"/>
  <c r="AB92" i="197" s="1"/>
  <c r="AA30" i="197"/>
  <c r="AA92" i="197" s="1"/>
  <c r="Z30" i="197"/>
  <c r="Z92" i="197" s="1"/>
  <c r="Y30" i="197"/>
  <c r="Y92" i="197" s="1"/>
  <c r="X30" i="197"/>
  <c r="X92" i="197" s="1"/>
  <c r="W30" i="197"/>
  <c r="W92" i="197" s="1"/>
  <c r="V30" i="197"/>
  <c r="V92" i="197" s="1"/>
  <c r="U30" i="197"/>
  <c r="U92" i="197" s="1"/>
  <c r="T30" i="197"/>
  <c r="T92" i="197" s="1"/>
  <c r="S30" i="197"/>
  <c r="S92" i="197" s="1"/>
  <c r="R30" i="197"/>
  <c r="R92" i="197" s="1"/>
  <c r="Q30" i="197"/>
  <c r="Q92" i="197" s="1"/>
  <c r="P30" i="197"/>
  <c r="P92" i="197" s="1"/>
  <c r="O30" i="197"/>
  <c r="O92" i="197" s="1"/>
  <c r="N30" i="197"/>
  <c r="N92" i="197" s="1"/>
  <c r="M30" i="197"/>
  <c r="M92" i="197" s="1"/>
  <c r="L30" i="197"/>
  <c r="L92" i="197" s="1"/>
  <c r="K30" i="197"/>
  <c r="K92" i="197" s="1"/>
  <c r="J30" i="197"/>
  <c r="J92" i="197" s="1"/>
  <c r="I30" i="197"/>
  <c r="I92" i="197" s="1"/>
  <c r="H30" i="197"/>
  <c r="H92" i="197" s="1"/>
  <c r="G30" i="197"/>
  <c r="G92" i="197" s="1"/>
  <c r="C30" i="197"/>
  <c r="B30" i="197"/>
  <c r="AH28" i="197"/>
  <c r="AG28" i="197"/>
  <c r="AF28" i="197"/>
  <c r="AH27" i="197"/>
  <c r="AG27" i="197"/>
  <c r="AF27" i="197"/>
  <c r="AI26" i="197"/>
  <c r="AC25" i="197"/>
  <c r="AB25" i="197"/>
  <c r="AA25" i="197"/>
  <c r="Z25" i="197"/>
  <c r="Y25" i="197"/>
  <c r="X25" i="197"/>
  <c r="W25" i="197"/>
  <c r="V25" i="197"/>
  <c r="U25" i="197"/>
  <c r="T25" i="197"/>
  <c r="S25" i="197"/>
  <c r="R25" i="197"/>
  <c r="Q25" i="197"/>
  <c r="P25" i="197"/>
  <c r="O25" i="197"/>
  <c r="N25" i="197"/>
  <c r="M25" i="197"/>
  <c r="L25" i="197"/>
  <c r="K25" i="197"/>
  <c r="J25" i="197"/>
  <c r="I25" i="197"/>
  <c r="H25" i="197"/>
  <c r="G25" i="197"/>
  <c r="C25" i="197"/>
  <c r="AH24" i="197"/>
  <c r="AG24" i="197"/>
  <c r="AF24" i="197"/>
  <c r="AI23" i="197"/>
  <c r="AC22" i="197"/>
  <c r="AC88" i="197" s="1"/>
  <c r="AB22" i="197"/>
  <c r="AA22" i="197"/>
  <c r="Z22" i="197"/>
  <c r="Y22" i="197"/>
  <c r="X22" i="197"/>
  <c r="W22" i="197"/>
  <c r="V22" i="197"/>
  <c r="U22" i="197"/>
  <c r="T22" i="197"/>
  <c r="S22" i="197"/>
  <c r="S88" i="197" s="1"/>
  <c r="R22" i="197"/>
  <c r="Q22" i="197"/>
  <c r="P22" i="197"/>
  <c r="O22" i="197"/>
  <c r="N22" i="197"/>
  <c r="N88" i="197" s="1"/>
  <c r="M22" i="197"/>
  <c r="L22" i="197"/>
  <c r="L88" i="197" s="1"/>
  <c r="K22" i="197"/>
  <c r="K88" i="197" s="1"/>
  <c r="J22" i="197"/>
  <c r="I22" i="197"/>
  <c r="H22" i="197"/>
  <c r="G22" i="197"/>
  <c r="C22" i="197"/>
  <c r="B22" i="197"/>
  <c r="AH21" i="197"/>
  <c r="AG21" i="197"/>
  <c r="AF21" i="197"/>
  <c r="AH20" i="197"/>
  <c r="AG20" i="197"/>
  <c r="AF20" i="197"/>
  <c r="AH19" i="197"/>
  <c r="AG19" i="197"/>
  <c r="AF19" i="197"/>
  <c r="AI18" i="197"/>
  <c r="AC17" i="197"/>
  <c r="AC90" i="197" s="1"/>
  <c r="AB17" i="197"/>
  <c r="AB90" i="197" s="1"/>
  <c r="AA17" i="197"/>
  <c r="AA90" i="197" s="1"/>
  <c r="Z17" i="197"/>
  <c r="Z90" i="197" s="1"/>
  <c r="Z107" i="197" s="1"/>
  <c r="Y17" i="197"/>
  <c r="Y90" i="197" s="1"/>
  <c r="X17" i="197"/>
  <c r="X90" i="197" s="1"/>
  <c r="W17" i="197"/>
  <c r="V17" i="197"/>
  <c r="U17" i="197"/>
  <c r="U90" i="197" s="1"/>
  <c r="T17" i="197"/>
  <c r="T90" i="197" s="1"/>
  <c r="S17" i="197"/>
  <c r="S90" i="197" s="1"/>
  <c r="R17" i="197"/>
  <c r="R90" i="197" s="1"/>
  <c r="Q17" i="197"/>
  <c r="Q90" i="197" s="1"/>
  <c r="P17" i="197"/>
  <c r="P90" i="197" s="1"/>
  <c r="O17" i="197"/>
  <c r="O90" i="197" s="1"/>
  <c r="N17" i="197"/>
  <c r="N90" i="197" s="1"/>
  <c r="M17" i="197"/>
  <c r="M90" i="197" s="1"/>
  <c r="L17" i="197"/>
  <c r="L90" i="197" s="1"/>
  <c r="K17" i="197"/>
  <c r="K90" i="197" s="1"/>
  <c r="K107" i="197" s="1"/>
  <c r="J17" i="197"/>
  <c r="J90" i="197" s="1"/>
  <c r="J107" i="197" s="1"/>
  <c r="I17" i="197"/>
  <c r="I90" i="197" s="1"/>
  <c r="H17" i="197"/>
  <c r="H90" i="197" s="1"/>
  <c r="G17" i="197"/>
  <c r="G90" i="197" s="1"/>
  <c r="C17" i="197"/>
  <c r="B17" i="197"/>
  <c r="AH16" i="197"/>
  <c r="AG16" i="197"/>
  <c r="AF16" i="197"/>
  <c r="AH15" i="197"/>
  <c r="AG15" i="197"/>
  <c r="AF15" i="197"/>
  <c r="AH14" i="197"/>
  <c r="AG14" i="197"/>
  <c r="AF14" i="197"/>
  <c r="AH13" i="197"/>
  <c r="AG13" i="197"/>
  <c r="AF13" i="197"/>
  <c r="AI12" i="197"/>
  <c r="M9" i="197" a="1"/>
  <c r="M9" i="197" s="1"/>
  <c r="AE178" i="157"/>
  <c r="AC74" i="196"/>
  <c r="AC71" i="196"/>
  <c r="AC70" i="196"/>
  <c r="AC69" i="196"/>
  <c r="AC68" i="196"/>
  <c r="AC67" i="196"/>
  <c r="AC63" i="196"/>
  <c r="AC62" i="196"/>
  <c r="AB104" i="196"/>
  <c r="F443" i="88"/>
  <c r="AB63" i="196"/>
  <c r="AB62" i="196"/>
  <c r="F444" i="88"/>
  <c r="F459" i="88"/>
  <c r="AC41" i="196"/>
  <c r="AE177" i="157"/>
  <c r="F451" i="88"/>
  <c r="F372" i="88"/>
  <c r="AE176" i="157"/>
  <c r="AB67" i="196"/>
  <c r="AB68" i="196"/>
  <c r="AB70" i="196"/>
  <c r="AB41" i="196"/>
  <c r="AA104" i="196"/>
  <c r="AA105" i="196" s="1"/>
  <c r="F462" i="88"/>
  <c r="F295" i="88"/>
  <c r="AA67" i="196"/>
  <c r="AA68" i="196"/>
  <c r="AA69" i="196"/>
  <c r="AA70" i="196"/>
  <c r="AA41" i="196"/>
  <c r="AE175" i="157"/>
  <c r="F457" i="88"/>
  <c r="F363" i="88"/>
  <c r="F453" i="88"/>
  <c r="F445" i="88"/>
  <c r="AE174" i="157"/>
  <c r="F441" i="88"/>
  <c r="F417" i="88"/>
  <c r="F439" i="88"/>
  <c r="F442" i="88"/>
  <c r="Z67" i="196"/>
  <c r="Z68" i="196"/>
  <c r="Z69" i="196"/>
  <c r="Z70" i="196"/>
  <c r="Z71" i="196"/>
  <c r="Z41" i="196"/>
  <c r="F452" i="88"/>
  <c r="F415" i="88"/>
  <c r="Y70" i="196"/>
  <c r="Y71" i="196"/>
  <c r="Y74" i="196"/>
  <c r="AE173" i="157"/>
  <c r="X74" i="196"/>
  <c r="X71" i="196"/>
  <c r="X70" i="196"/>
  <c r="X69" i="196"/>
  <c r="X68" i="196"/>
  <c r="X67" i="196"/>
  <c r="X63" i="196"/>
  <c r="X62" i="196"/>
  <c r="AE172" i="157"/>
  <c r="F436" i="88"/>
  <c r="F435" i="88"/>
  <c r="F433" i="88"/>
  <c r="F434" i="88"/>
  <c r="F430" i="88"/>
  <c r="F408" i="88"/>
  <c r="X38" i="196"/>
  <c r="X40" i="196"/>
  <c r="X41" i="196"/>
  <c r="X43" i="196"/>
  <c r="W74" i="196"/>
  <c r="W68" i="196"/>
  <c r="W69" i="196"/>
  <c r="W70" i="196"/>
  <c r="W71" i="196"/>
  <c r="W67" i="196"/>
  <c r="W63" i="196"/>
  <c r="W61" i="196"/>
  <c r="F429" i="88"/>
  <c r="F431" i="88"/>
  <c r="F427" i="88"/>
  <c r="F426" i="88"/>
  <c r="F437" i="88"/>
  <c r="W38" i="196"/>
  <c r="W40" i="196"/>
  <c r="W41" i="196"/>
  <c r="W43" i="196"/>
  <c r="AE171" i="157"/>
  <c r="V74" i="196"/>
  <c r="V68" i="196"/>
  <c r="V69" i="196"/>
  <c r="V70" i="196"/>
  <c r="V71" i="196"/>
  <c r="V67" i="196"/>
  <c r="F275" i="88"/>
  <c r="V75" i="196"/>
  <c r="V98" i="196" s="1"/>
  <c r="V38" i="196"/>
  <c r="V40" i="196"/>
  <c r="V41" i="196"/>
  <c r="V43" i="196"/>
  <c r="U74" i="196"/>
  <c r="U71" i="196"/>
  <c r="U70" i="196"/>
  <c r="U69" i="196"/>
  <c r="U68" i="196"/>
  <c r="U67" i="196"/>
  <c r="U38" i="196"/>
  <c r="U40" i="196"/>
  <c r="U41" i="196"/>
  <c r="U43" i="196"/>
  <c r="T38" i="196"/>
  <c r="T40" i="196"/>
  <c r="T41" i="196"/>
  <c r="T43" i="196"/>
  <c r="T59" i="196" s="1"/>
  <c r="T96" i="196" s="1"/>
  <c r="F157" i="88"/>
  <c r="F416" i="88"/>
  <c r="S67" i="196"/>
  <c r="S68" i="196"/>
  <c r="S69" i="196"/>
  <c r="S75" i="196" s="1"/>
  <c r="S98" i="196" s="1"/>
  <c r="S70" i="196"/>
  <c r="S71" i="196"/>
  <c r="S74" i="196"/>
  <c r="S38" i="196"/>
  <c r="S40" i="196"/>
  <c r="S41" i="196"/>
  <c r="S43" i="196"/>
  <c r="S45" i="196"/>
  <c r="S46" i="196"/>
  <c r="S48" i="196"/>
  <c r="S49" i="196"/>
  <c r="AF49" i="196" s="1"/>
  <c r="S55" i="196"/>
  <c r="R74" i="196"/>
  <c r="R71" i="196"/>
  <c r="R70" i="196"/>
  <c r="R69" i="196"/>
  <c r="R68" i="196"/>
  <c r="R67" i="196"/>
  <c r="F396" i="88"/>
  <c r="R38" i="196"/>
  <c r="R40" i="196"/>
  <c r="R41" i="196"/>
  <c r="R43" i="196"/>
  <c r="R59" i="196" s="1"/>
  <c r="R96" i="196" s="1"/>
  <c r="R45" i="196"/>
  <c r="R46" i="196"/>
  <c r="R48" i="196"/>
  <c r="R49" i="196"/>
  <c r="R55" i="196"/>
  <c r="Q74" i="196"/>
  <c r="Q71" i="196"/>
  <c r="Q70" i="196"/>
  <c r="Q69" i="196"/>
  <c r="Q68" i="196"/>
  <c r="Q75" i="196" s="1"/>
  <c r="Q98" i="196" s="1"/>
  <c r="Q67" i="196"/>
  <c r="Q46" i="196"/>
  <c r="F424" i="88"/>
  <c r="P62" i="196"/>
  <c r="P61" i="196"/>
  <c r="P74" i="196"/>
  <c r="P71" i="196"/>
  <c r="P70" i="196"/>
  <c r="P69" i="196"/>
  <c r="P68" i="196"/>
  <c r="P67" i="196"/>
  <c r="P56" i="196"/>
  <c r="P49" i="196"/>
  <c r="P48" i="196"/>
  <c r="P46" i="196"/>
  <c r="P45" i="196"/>
  <c r="Q55" i="196"/>
  <c r="Q49" i="196"/>
  <c r="Q48" i="196"/>
  <c r="Q45" i="196"/>
  <c r="Q38" i="196"/>
  <c r="Q40" i="196"/>
  <c r="Q41" i="196"/>
  <c r="Q43" i="196"/>
  <c r="O62" i="196"/>
  <c r="O61" i="196"/>
  <c r="O74" i="196"/>
  <c r="O71" i="196"/>
  <c r="O70" i="196"/>
  <c r="O69" i="196"/>
  <c r="O68" i="196"/>
  <c r="P38" i="196"/>
  <c r="P40" i="196"/>
  <c r="P41" i="196"/>
  <c r="P43" i="196"/>
  <c r="F423" i="88"/>
  <c r="F422" i="88"/>
  <c r="F421" i="88"/>
  <c r="F419" i="88"/>
  <c r="F420" i="88"/>
  <c r="F418" i="88"/>
  <c r="N74" i="196"/>
  <c r="N71" i="196"/>
  <c r="N70" i="196"/>
  <c r="N69" i="196"/>
  <c r="N68" i="196"/>
  <c r="N62" i="196"/>
  <c r="N61" i="196"/>
  <c r="N55" i="196"/>
  <c r="N54" i="196"/>
  <c r="N53" i="196"/>
  <c r="O38" i="196"/>
  <c r="O40" i="196"/>
  <c r="O41" i="196"/>
  <c r="O43" i="196"/>
  <c r="F414" i="88"/>
  <c r="M68" i="196"/>
  <c r="M62" i="196"/>
  <c r="M61" i="196"/>
  <c r="F413" i="88"/>
  <c r="N75" i="196"/>
  <c r="N98" i="196" s="1"/>
  <c r="N64" i="196"/>
  <c r="N97" i="196" s="1"/>
  <c r="N38" i="196"/>
  <c r="N40" i="196"/>
  <c r="N41" i="196"/>
  <c r="N43" i="196"/>
  <c r="F360" i="88"/>
  <c r="M69" i="196"/>
  <c r="M70" i="196"/>
  <c r="M71" i="196"/>
  <c r="M74" i="196"/>
  <c r="M64" i="196"/>
  <c r="M97" i="196" s="1"/>
  <c r="M38" i="196"/>
  <c r="M40" i="196"/>
  <c r="M41" i="196"/>
  <c r="M43" i="196"/>
  <c r="AF43" i="196"/>
  <c r="L74" i="196"/>
  <c r="L69" i="196"/>
  <c r="L70" i="196"/>
  <c r="L71" i="196"/>
  <c r="L68" i="196"/>
  <c r="L62" i="196"/>
  <c r="L61" i="196"/>
  <c r="L43" i="196"/>
  <c r="L41" i="196"/>
  <c r="L40" i="196"/>
  <c r="L38" i="196"/>
  <c r="F397" i="88"/>
  <c r="F409" i="88"/>
  <c r="F407" i="88"/>
  <c r="F406" i="88"/>
  <c r="F390" i="88"/>
  <c r="K74" i="196"/>
  <c r="K69" i="196"/>
  <c r="K70" i="196"/>
  <c r="K71" i="196"/>
  <c r="K68" i="196"/>
  <c r="K63" i="196"/>
  <c r="K62" i="196"/>
  <c r="J74" i="196"/>
  <c r="J69" i="196"/>
  <c r="J70" i="196"/>
  <c r="J71" i="196"/>
  <c r="J68" i="196"/>
  <c r="J63" i="196"/>
  <c r="J62" i="196"/>
  <c r="I63" i="196"/>
  <c r="I62" i="196"/>
  <c r="F403" i="88"/>
  <c r="F401" i="88"/>
  <c r="F393" i="88"/>
  <c r="I74" i="196"/>
  <c r="I68" i="196"/>
  <c r="I69" i="196"/>
  <c r="I70" i="196"/>
  <c r="I71" i="196"/>
  <c r="I64" i="196"/>
  <c r="I97" i="196" s="1"/>
  <c r="H71" i="196"/>
  <c r="H70" i="196"/>
  <c r="H69" i="196"/>
  <c r="H68" i="196"/>
  <c r="H67" i="196"/>
  <c r="H63" i="196"/>
  <c r="H62" i="196"/>
  <c r="F402" i="88"/>
  <c r="F310" i="88"/>
  <c r="H64" i="196"/>
  <c r="H97" i="196" s="1"/>
  <c r="H59" i="196"/>
  <c r="H96" i="196" s="1"/>
  <c r="G71" i="196"/>
  <c r="G70" i="196"/>
  <c r="G69" i="196"/>
  <c r="G68" i="196"/>
  <c r="G67" i="196"/>
  <c r="G63" i="196"/>
  <c r="G62" i="196"/>
  <c r="G58" i="196"/>
  <c r="AH58" i="196" s="1"/>
  <c r="G57" i="196"/>
  <c r="AH57" i="196" s="1"/>
  <c r="G44" i="196"/>
  <c r="F399" i="88"/>
  <c r="F400" i="88"/>
  <c r="F71" i="196"/>
  <c r="F70" i="196"/>
  <c r="F69" i="196"/>
  <c r="F68" i="196"/>
  <c r="F67" i="196"/>
  <c r="F75" i="196" s="1"/>
  <c r="F98" i="196" s="1"/>
  <c r="F63" i="196"/>
  <c r="F62" i="196"/>
  <c r="F398" i="88"/>
  <c r="F294" i="88"/>
  <c r="F359" i="88"/>
  <c r="F358" i="88"/>
  <c r="F361" i="88"/>
  <c r="F391" i="88"/>
  <c r="F395" i="88"/>
  <c r="F382" i="88"/>
  <c r="AC125" i="196"/>
  <c r="AB125" i="196"/>
  <c r="AA125" i="196"/>
  <c r="Z125" i="196"/>
  <c r="Y125" i="196"/>
  <c r="X125" i="196"/>
  <c r="W125" i="196"/>
  <c r="V125" i="196"/>
  <c r="U125" i="196"/>
  <c r="T125" i="196"/>
  <c r="S125" i="196"/>
  <c r="R125" i="196"/>
  <c r="Q125" i="196"/>
  <c r="P125" i="196"/>
  <c r="O125" i="196"/>
  <c r="N125" i="196"/>
  <c r="M125" i="196"/>
  <c r="L125" i="196"/>
  <c r="K125" i="196"/>
  <c r="J125" i="196"/>
  <c r="I125" i="196"/>
  <c r="H125" i="196"/>
  <c r="G125" i="196"/>
  <c r="F125" i="196"/>
  <c r="AC105" i="196"/>
  <c r="AB105" i="196"/>
  <c r="Z105" i="196"/>
  <c r="Y105" i="196"/>
  <c r="X105" i="196"/>
  <c r="W105" i="196"/>
  <c r="V105" i="196"/>
  <c r="U105" i="196"/>
  <c r="T105" i="196"/>
  <c r="S105" i="196"/>
  <c r="R105" i="196"/>
  <c r="Q105" i="196"/>
  <c r="P105" i="196"/>
  <c r="O105" i="196"/>
  <c r="N105" i="196"/>
  <c r="M105" i="196"/>
  <c r="L105" i="196"/>
  <c r="K105" i="196"/>
  <c r="J105" i="196"/>
  <c r="I105" i="196"/>
  <c r="H105" i="196"/>
  <c r="G105" i="196"/>
  <c r="F105" i="196"/>
  <c r="AC100" i="196"/>
  <c r="AB100" i="196"/>
  <c r="AA100" i="196"/>
  <c r="Z100" i="196"/>
  <c r="Y100" i="196"/>
  <c r="X100" i="196"/>
  <c r="W100" i="196"/>
  <c r="V100" i="196"/>
  <c r="U100" i="196"/>
  <c r="T100" i="196"/>
  <c r="S100" i="196"/>
  <c r="R100" i="196"/>
  <c r="Q100" i="196"/>
  <c r="P100" i="196"/>
  <c r="O100" i="196"/>
  <c r="N100" i="196"/>
  <c r="M100" i="196"/>
  <c r="L100" i="196"/>
  <c r="K100" i="196"/>
  <c r="J100" i="196"/>
  <c r="I100" i="196"/>
  <c r="H100" i="196"/>
  <c r="G100" i="196"/>
  <c r="F100" i="196"/>
  <c r="U96" i="196"/>
  <c r="Y94" i="196"/>
  <c r="I94" i="196"/>
  <c r="AC79" i="196"/>
  <c r="AC99" i="196" s="1"/>
  <c r="AB79" i="196"/>
  <c r="AB99" i="196" s="1"/>
  <c r="AA79" i="196"/>
  <c r="AA99" i="196" s="1"/>
  <c r="Z79" i="196"/>
  <c r="Z99" i="196" s="1"/>
  <c r="Y79" i="196"/>
  <c r="Y99" i="196" s="1"/>
  <c r="X79" i="196"/>
  <c r="X99" i="196" s="1"/>
  <c r="W79" i="196"/>
  <c r="W99" i="196" s="1"/>
  <c r="V79" i="196"/>
  <c r="V99" i="196" s="1"/>
  <c r="U79" i="196"/>
  <c r="U99" i="196" s="1"/>
  <c r="T79" i="196"/>
  <c r="T99" i="196" s="1"/>
  <c r="S79" i="196"/>
  <c r="S99" i="196" s="1"/>
  <c r="R79" i="196"/>
  <c r="R99" i="196" s="1"/>
  <c r="Q79" i="196"/>
  <c r="Q99" i="196" s="1"/>
  <c r="P79" i="196"/>
  <c r="P99" i="196" s="1"/>
  <c r="O79" i="196"/>
  <c r="O99" i="196" s="1"/>
  <c r="N79" i="196"/>
  <c r="N99" i="196" s="1"/>
  <c r="M79" i="196"/>
  <c r="M99" i="196" s="1"/>
  <c r="L79" i="196"/>
  <c r="L99" i="196" s="1"/>
  <c r="K79" i="196"/>
  <c r="K99" i="196" s="1"/>
  <c r="J79" i="196"/>
  <c r="J99" i="196" s="1"/>
  <c r="I79" i="196"/>
  <c r="I99" i="196" s="1"/>
  <c r="H79" i="196"/>
  <c r="H99" i="196" s="1"/>
  <c r="G79" i="196"/>
  <c r="G99" i="196" s="1"/>
  <c r="F79" i="196"/>
  <c r="F99" i="196" s="1"/>
  <c r="C79" i="196"/>
  <c r="AH78" i="196"/>
  <c r="AG78" i="196"/>
  <c r="AF78" i="196"/>
  <c r="AH77" i="196"/>
  <c r="AG77" i="196"/>
  <c r="AF77" i="196"/>
  <c r="AI76" i="196"/>
  <c r="AA75" i="196"/>
  <c r="Y75" i="196"/>
  <c r="Y98" i="196" s="1"/>
  <c r="X75" i="196"/>
  <c r="X98" i="196" s="1"/>
  <c r="U75" i="196"/>
  <c r="U98" i="196" s="1"/>
  <c r="R75" i="196"/>
  <c r="R98" i="196" s="1"/>
  <c r="C75" i="196"/>
  <c r="B75" i="196"/>
  <c r="B79" i="196" s="1"/>
  <c r="B25" i="196" s="1"/>
  <c r="Z75" i="196"/>
  <c r="AH73" i="196"/>
  <c r="AG73" i="196"/>
  <c r="AF73" i="196"/>
  <c r="AH72" i="196"/>
  <c r="AG72" i="196"/>
  <c r="AF72" i="196"/>
  <c r="W75" i="196"/>
  <c r="W98" i="196" s="1"/>
  <c r="P75" i="196"/>
  <c r="P98" i="196" s="1"/>
  <c r="O75" i="196"/>
  <c r="O98" i="196" s="1"/>
  <c r="J75" i="196"/>
  <c r="J98" i="196" s="1"/>
  <c r="AH66" i="196"/>
  <c r="AG66" i="196"/>
  <c r="AF66" i="196"/>
  <c r="T64" i="196"/>
  <c r="T97" i="196" s="1"/>
  <c r="S64" i="196"/>
  <c r="S97" i="196" s="1"/>
  <c r="R64" i="196"/>
  <c r="R97" i="196" s="1"/>
  <c r="Q64" i="196"/>
  <c r="Q97" i="196" s="1"/>
  <c r="P64" i="196"/>
  <c r="P97" i="196" s="1"/>
  <c r="O64" i="196"/>
  <c r="O97" i="196" s="1"/>
  <c r="L64" i="196"/>
  <c r="L97" i="196" s="1"/>
  <c r="J64" i="196"/>
  <c r="J97" i="196" s="1"/>
  <c r="C64" i="196"/>
  <c r="AA64" i="196"/>
  <c r="AA97" i="196" s="1"/>
  <c r="Z64" i="196"/>
  <c r="Z97" i="196" s="1"/>
  <c r="X64" i="196"/>
  <c r="X97" i="196" s="1"/>
  <c r="W64" i="196"/>
  <c r="W97" i="196" s="1"/>
  <c r="V64" i="196"/>
  <c r="V97" i="196" s="1"/>
  <c r="U64" i="196"/>
  <c r="U97" i="196" s="1"/>
  <c r="AH61" i="196"/>
  <c r="AG61" i="196"/>
  <c r="AF61" i="196"/>
  <c r="AB64" i="196"/>
  <c r="AB97" i="196" s="1"/>
  <c r="Y64" i="196"/>
  <c r="Y97" i="196" s="1"/>
  <c r="G64" i="196"/>
  <c r="G97" i="196" s="1"/>
  <c r="AC59" i="196"/>
  <c r="AC96" i="196" s="1"/>
  <c r="AB59" i="196"/>
  <c r="AB96" i="196" s="1"/>
  <c r="AA59" i="196"/>
  <c r="AA96" i="196" s="1"/>
  <c r="Z59" i="196"/>
  <c r="Z96" i="196" s="1"/>
  <c r="Y59" i="196"/>
  <c r="Y96" i="196" s="1"/>
  <c r="X59" i="196"/>
  <c r="X96" i="196" s="1"/>
  <c r="W59" i="196"/>
  <c r="W96" i="196" s="1"/>
  <c r="V59" i="196"/>
  <c r="V96" i="196" s="1"/>
  <c r="U59" i="196"/>
  <c r="Q59" i="196"/>
  <c r="Q96" i="196" s="1"/>
  <c r="O59" i="196"/>
  <c r="O96" i="196" s="1"/>
  <c r="N59" i="196"/>
  <c r="N96" i="196" s="1"/>
  <c r="L59" i="196"/>
  <c r="L96" i="196" s="1"/>
  <c r="K59" i="196"/>
  <c r="K96" i="196" s="1"/>
  <c r="J59" i="196"/>
  <c r="J96" i="196" s="1"/>
  <c r="I59" i="196"/>
  <c r="I96" i="196" s="1"/>
  <c r="G59" i="196"/>
  <c r="G96" i="196" s="1"/>
  <c r="F59" i="196"/>
  <c r="F96" i="196" s="1"/>
  <c r="C59" i="196"/>
  <c r="B59" i="196"/>
  <c r="B64" i="196" s="1"/>
  <c r="AH56" i="196"/>
  <c r="AH55" i="196"/>
  <c r="AH54" i="196"/>
  <c r="AG54" i="196"/>
  <c r="AF54" i="196"/>
  <c r="AH53" i="196"/>
  <c r="AG53" i="196"/>
  <c r="AF53" i="196"/>
  <c r="AH52" i="196"/>
  <c r="AG52" i="196"/>
  <c r="AF52" i="196"/>
  <c r="AH51" i="196"/>
  <c r="AG51" i="196"/>
  <c r="AF51" i="196"/>
  <c r="AH50" i="196"/>
  <c r="AG50" i="196"/>
  <c r="AF50" i="196"/>
  <c r="AG48" i="196"/>
  <c r="AF48" i="196"/>
  <c r="AH47" i="196"/>
  <c r="AG47" i="196"/>
  <c r="AF47" i="196"/>
  <c r="AH44" i="196"/>
  <c r="AG44" i="196"/>
  <c r="AF44" i="196"/>
  <c r="AH42" i="196"/>
  <c r="AG42" i="196"/>
  <c r="AF42" i="196"/>
  <c r="AH40" i="196"/>
  <c r="AH39" i="196"/>
  <c r="AG39" i="196"/>
  <c r="AF39" i="196"/>
  <c r="AH38" i="196"/>
  <c r="AH37" i="196"/>
  <c r="AG37" i="196"/>
  <c r="AF37" i="196"/>
  <c r="AH36" i="196"/>
  <c r="AG36" i="196"/>
  <c r="AF36" i="196"/>
  <c r="AH35" i="196"/>
  <c r="AG35" i="196"/>
  <c r="AF35" i="196"/>
  <c r="AC33" i="196"/>
  <c r="AC94" i="196" s="1"/>
  <c r="AB33" i="196"/>
  <c r="AB94" i="196" s="1"/>
  <c r="AA33" i="196"/>
  <c r="AA94" i="196" s="1"/>
  <c r="Z33" i="196"/>
  <c r="Z94" i="196" s="1"/>
  <c r="Y33" i="196"/>
  <c r="X33" i="196"/>
  <c r="X94" i="196" s="1"/>
  <c r="W33" i="196"/>
  <c r="W94" i="196" s="1"/>
  <c r="V33" i="196"/>
  <c r="V94" i="196" s="1"/>
  <c r="U33" i="196"/>
  <c r="U94" i="196" s="1"/>
  <c r="T33" i="196"/>
  <c r="T94" i="196" s="1"/>
  <c r="S33" i="196"/>
  <c r="S94" i="196" s="1"/>
  <c r="R33" i="196"/>
  <c r="R94" i="196" s="1"/>
  <c r="Q33" i="196"/>
  <c r="Q94" i="196" s="1"/>
  <c r="P33" i="196"/>
  <c r="P94" i="196" s="1"/>
  <c r="O33" i="196"/>
  <c r="O94" i="196" s="1"/>
  <c r="N33" i="196"/>
  <c r="N94" i="196" s="1"/>
  <c r="M33" i="196"/>
  <c r="M94" i="196" s="1"/>
  <c r="L33" i="196"/>
  <c r="L94" i="196" s="1"/>
  <c r="K33" i="196"/>
  <c r="K94" i="196" s="1"/>
  <c r="J33" i="196"/>
  <c r="J94" i="196" s="1"/>
  <c r="I33" i="196"/>
  <c r="H33" i="196"/>
  <c r="H94" i="196" s="1"/>
  <c r="G33" i="196"/>
  <c r="G94" i="196" s="1"/>
  <c r="F33" i="196"/>
  <c r="F94" i="196" s="1"/>
  <c r="C33" i="196"/>
  <c r="B33" i="196"/>
  <c r="AH32" i="196"/>
  <c r="AG32" i="196"/>
  <c r="AF32" i="196"/>
  <c r="AI31" i="196"/>
  <c r="AC30" i="196"/>
  <c r="AC92" i="196" s="1"/>
  <c r="AB30" i="196"/>
  <c r="AB92" i="196" s="1"/>
  <c r="AA30" i="196"/>
  <c r="AA92" i="196" s="1"/>
  <c r="Z30" i="196"/>
  <c r="Z92" i="196" s="1"/>
  <c r="Y30" i="196"/>
  <c r="Y92" i="196" s="1"/>
  <c r="X30" i="196"/>
  <c r="X92" i="196" s="1"/>
  <c r="W30" i="196"/>
  <c r="W92" i="196" s="1"/>
  <c r="V30" i="196"/>
  <c r="V92" i="196" s="1"/>
  <c r="U30" i="196"/>
  <c r="U92" i="196" s="1"/>
  <c r="T30" i="196"/>
  <c r="T92" i="196" s="1"/>
  <c r="S30" i="196"/>
  <c r="S92" i="196" s="1"/>
  <c r="R30" i="196"/>
  <c r="R92" i="196" s="1"/>
  <c r="Q30" i="196"/>
  <c r="Q92" i="196" s="1"/>
  <c r="P30" i="196"/>
  <c r="P92" i="196" s="1"/>
  <c r="O30" i="196"/>
  <c r="O92" i="196" s="1"/>
  <c r="N30" i="196"/>
  <c r="N92" i="196" s="1"/>
  <c r="M30" i="196"/>
  <c r="M92" i="196" s="1"/>
  <c r="L30" i="196"/>
  <c r="L92" i="196" s="1"/>
  <c r="K30" i="196"/>
  <c r="K92" i="196" s="1"/>
  <c r="J30" i="196"/>
  <c r="J92" i="196" s="1"/>
  <c r="I30" i="196"/>
  <c r="I92" i="196" s="1"/>
  <c r="H30" i="196"/>
  <c r="H92" i="196" s="1"/>
  <c r="G30" i="196"/>
  <c r="G92" i="196" s="1"/>
  <c r="F30" i="196"/>
  <c r="F92" i="196" s="1"/>
  <c r="C30" i="196"/>
  <c r="B30" i="196"/>
  <c r="AH28" i="196"/>
  <c r="AG28" i="196"/>
  <c r="AF28" i="196"/>
  <c r="AH27" i="196"/>
  <c r="AG27" i="196"/>
  <c r="AF27" i="196"/>
  <c r="AI26" i="196"/>
  <c r="AC25" i="196"/>
  <c r="AB25" i="196"/>
  <c r="AA25" i="196"/>
  <c r="Z25" i="196"/>
  <c r="Y25" i="196"/>
  <c r="X25" i="196"/>
  <c r="W25" i="196"/>
  <c r="V25" i="196"/>
  <c r="U25" i="196"/>
  <c r="T25" i="196"/>
  <c r="S25" i="196"/>
  <c r="R25" i="196"/>
  <c r="Q25" i="196"/>
  <c r="P25" i="196"/>
  <c r="O25" i="196"/>
  <c r="N25" i="196"/>
  <c r="M25" i="196"/>
  <c r="L25" i="196"/>
  <c r="K25" i="196"/>
  <c r="J25" i="196"/>
  <c r="I25" i="196"/>
  <c r="H25" i="196"/>
  <c r="G25" i="196"/>
  <c r="F25" i="196"/>
  <c r="C25" i="196"/>
  <c r="AH24" i="196"/>
  <c r="AG24" i="196"/>
  <c r="AF24" i="196"/>
  <c r="AI23" i="196"/>
  <c r="AC22" i="196"/>
  <c r="AB22" i="196"/>
  <c r="AB88" i="196" s="1"/>
  <c r="AA22" i="196"/>
  <c r="Z22" i="196"/>
  <c r="Y22" i="196"/>
  <c r="X22" i="196"/>
  <c r="W22" i="196"/>
  <c r="V22" i="196"/>
  <c r="U22" i="196"/>
  <c r="T22" i="196"/>
  <c r="S22" i="196"/>
  <c r="R22" i="196"/>
  <c r="Q22" i="196"/>
  <c r="P22" i="196"/>
  <c r="O22" i="196"/>
  <c r="N22" i="196"/>
  <c r="M22" i="196"/>
  <c r="L22" i="196"/>
  <c r="K22" i="196"/>
  <c r="J22" i="196"/>
  <c r="I22" i="196"/>
  <c r="H22" i="196"/>
  <c r="H88" i="196" s="1"/>
  <c r="G22" i="196"/>
  <c r="F22" i="196"/>
  <c r="C22" i="196"/>
  <c r="B22" i="196"/>
  <c r="AH21" i="196"/>
  <c r="AG21" i="196"/>
  <c r="AF21" i="196"/>
  <c r="AH20" i="196"/>
  <c r="AG20" i="196"/>
  <c r="AF20" i="196"/>
  <c r="AH19" i="196"/>
  <c r="AG19" i="196"/>
  <c r="AF19" i="196"/>
  <c r="AI18" i="196"/>
  <c r="AC17" i="196"/>
  <c r="AB17" i="196"/>
  <c r="AA17" i="196"/>
  <c r="Z17" i="196"/>
  <c r="Y17" i="196"/>
  <c r="X17" i="196"/>
  <c r="W17" i="196"/>
  <c r="W90" i="196" s="1"/>
  <c r="V17" i="196"/>
  <c r="V90" i="196" s="1"/>
  <c r="U17" i="196"/>
  <c r="U90" i="196" s="1"/>
  <c r="T17" i="196"/>
  <c r="T90" i="196" s="1"/>
  <c r="S17" i="196"/>
  <c r="S90" i="196" s="1"/>
  <c r="R17" i="196"/>
  <c r="R90" i="196" s="1"/>
  <c r="Q17" i="196"/>
  <c r="Q90" i="196" s="1"/>
  <c r="P17" i="196"/>
  <c r="O17" i="196"/>
  <c r="N17" i="196"/>
  <c r="M17" i="196"/>
  <c r="M90" i="196" s="1"/>
  <c r="L17" i="196"/>
  <c r="K17" i="196"/>
  <c r="J17" i="196"/>
  <c r="I17" i="196"/>
  <c r="H17" i="196"/>
  <c r="G17" i="196"/>
  <c r="F17" i="196"/>
  <c r="C17" i="196"/>
  <c r="B17" i="196"/>
  <c r="AH16" i="196"/>
  <c r="AG16" i="196"/>
  <c r="AF16" i="196"/>
  <c r="AH15" i="196"/>
  <c r="AG15" i="196"/>
  <c r="AF15" i="196"/>
  <c r="AH14" i="196"/>
  <c r="AG14" i="196"/>
  <c r="AF14" i="196"/>
  <c r="AH13" i="196"/>
  <c r="AG13" i="196"/>
  <c r="AF13" i="196"/>
  <c r="AI12" i="196"/>
  <c r="M9" i="196" a="1"/>
  <c r="M9" i="196" s="1"/>
  <c r="AC71" i="195"/>
  <c r="AC70" i="195"/>
  <c r="AC69" i="195"/>
  <c r="AC68" i="195"/>
  <c r="AC67" i="195"/>
  <c r="AC63" i="195"/>
  <c r="AC61" i="195"/>
  <c r="F388" i="88"/>
  <c r="F225" i="88"/>
  <c r="AB74" i="195"/>
  <c r="AB68" i="195"/>
  <c r="AB69" i="195"/>
  <c r="AB70" i="195"/>
  <c r="AB71" i="195"/>
  <c r="AB67" i="195"/>
  <c r="AB63" i="195"/>
  <c r="AB61" i="195"/>
  <c r="F384" i="88"/>
  <c r="F383" i="88"/>
  <c r="F380" i="88"/>
  <c r="F381" i="88"/>
  <c r="F378" i="88"/>
  <c r="F379" i="88"/>
  <c r="F377" i="88"/>
  <c r="F386" i="88"/>
  <c r="F385" i="88"/>
  <c r="AV97" i="157" a="1"/>
  <c r="Z158" i="157" a="1"/>
  <c r="AN216" i="157" a="1"/>
  <c r="AH198" i="157" a="1"/>
  <c r="J177" i="157" a="1"/>
  <c r="V249" i="157" a="1"/>
  <c r="Z185" i="157" a="1"/>
  <c r="N190" i="157" a="1"/>
  <c r="AZ222" i="157" a="1"/>
  <c r="BC232" i="157" a="1"/>
  <c r="AQ202" i="157" a="1"/>
  <c r="AH235" i="157" a="1"/>
  <c r="AV211" i="157" a="1"/>
  <c r="AN172" i="157" a="1"/>
  <c r="AZ224" i="157" a="1"/>
  <c r="AV175" i="157" a="1"/>
  <c r="AV72" i="157" a="1"/>
  <c r="AV222" i="157" a="1"/>
  <c r="BK212" i="157" a="1"/>
  <c r="AN170" i="157" a="1"/>
  <c r="AV174" i="157" a="1"/>
  <c r="AQ250" i="157" a="1"/>
  <c r="G247" i="157" a="1"/>
  <c r="AD197" i="157" a="1"/>
  <c r="AD189" i="157" a="1"/>
  <c r="V234" i="157" a="1"/>
  <c r="AV238" i="157" a="1"/>
  <c r="AD172" i="157" a="1"/>
  <c r="AV225" i="157" a="1"/>
  <c r="AV247" i="157" a="1"/>
  <c r="BG171" i="157" a="1"/>
  <c r="AZ221" i="157" a="1"/>
  <c r="BG205" i="157" a="1"/>
  <c r="J198" i="157" a="1"/>
  <c r="AQ224" i="157" a="1"/>
  <c r="AN168" i="157" a="1"/>
  <c r="AN174" i="157" a="1"/>
  <c r="AD177" i="157" a="1"/>
  <c r="N191" i="157" a="1"/>
  <c r="BK186" i="157" a="1"/>
  <c r="R157" i="157" a="1"/>
  <c r="AN226" i="157" a="1"/>
  <c r="AV38" i="157" a="1"/>
  <c r="V165" i="157" a="1"/>
  <c r="R248" i="157" a="1"/>
  <c r="V225" i="157" a="1"/>
  <c r="BG173" i="157" a="1"/>
  <c r="Z216" i="157" a="1"/>
  <c r="AV173" i="157" a="1"/>
  <c r="AZ253" i="157" a="1"/>
  <c r="AV248" i="157" a="1"/>
  <c r="BK194" i="157" a="1"/>
  <c r="BG235" i="157" a="1"/>
  <c r="Z220" i="157" a="1"/>
  <c r="AN244" i="157" a="1"/>
  <c r="AZ230" i="157" a="1"/>
  <c r="N252" i="157" a="1"/>
  <c r="J190" i="157" a="1"/>
  <c r="R171" i="157" a="1"/>
  <c r="J207" i="157" a="1"/>
  <c r="AD226" i="157" a="1"/>
  <c r="R182" i="157" a="1"/>
  <c r="AV93" i="157" a="1"/>
  <c r="V203" i="157" a="1"/>
  <c r="AQ236" i="157" a="1"/>
  <c r="N176" i="157" a="1"/>
  <c r="AV219" i="157" a="1"/>
  <c r="J186" i="157" a="1"/>
  <c r="Z201" i="157" a="1"/>
  <c r="BC235" i="157" a="1"/>
  <c r="AV45" i="157" a="1"/>
  <c r="BG234" i="157" a="1"/>
  <c r="AN178" i="157" a="1"/>
  <c r="AD250" i="157" a="1"/>
  <c r="AZ214" i="157" a="1"/>
  <c r="AD193" i="157" a="1"/>
  <c r="R203" i="157" a="1"/>
  <c r="J195" i="157" a="1"/>
  <c r="J219" i="157" a="1"/>
  <c r="AV17" i="157" a="1"/>
  <c r="AV202" i="157" a="1"/>
  <c r="N213" i="157" a="1"/>
  <c r="N167" i="157" a="1"/>
  <c r="AD252" i="157" a="1"/>
  <c r="AH249" i="157" a="1"/>
  <c r="N161" i="157" a="1"/>
  <c r="AQ173" i="157" a="1"/>
  <c r="BC188" i="157" a="1"/>
  <c r="AV69" i="157" a="1"/>
  <c r="N185" i="157" a="1"/>
  <c r="BG169" i="157" a="1"/>
  <c r="R178" i="157" a="1"/>
  <c r="AN181" i="157" a="1"/>
  <c r="AQ246" i="157" a="1"/>
  <c r="G222" i="157" a="1"/>
  <c r="BK248" i="157" a="1"/>
  <c r="AZ213" i="157" a="1"/>
  <c r="R156" i="157" a="1"/>
  <c r="AZ193" i="157" a="1"/>
  <c r="AD170" i="157" a="1"/>
  <c r="N175" i="157" a="1"/>
  <c r="AV167" i="157" a="1"/>
  <c r="V163" i="157" a="1"/>
  <c r="N250" i="157" a="1"/>
  <c r="V221" i="157" a="1"/>
  <c r="BG241" i="157" a="1"/>
  <c r="AQ228" i="157" a="1"/>
  <c r="BG190" i="157" a="1"/>
  <c r="N240" i="157" a="1"/>
  <c r="AD253" i="157" a="1"/>
  <c r="AV160" i="157" a="1"/>
  <c r="R185" i="157" a="1"/>
  <c r="AV251" i="157" a="1"/>
  <c r="N196" i="157" a="1"/>
  <c r="AV252" i="157" a="1"/>
  <c r="AZ226" i="157" a="1"/>
  <c r="BC208" i="157" a="1"/>
  <c r="AQ218" i="157" a="1"/>
  <c r="N227" i="157" a="1"/>
  <c r="R206" i="157" a="1"/>
  <c r="Z176" i="157" a="1"/>
  <c r="BG168" i="157" a="1"/>
  <c r="AD185" i="157" a="1"/>
  <c r="Z225" i="157" a="1"/>
  <c r="BK203" i="157" a="1"/>
  <c r="AZ242" i="157" a="1"/>
  <c r="AN157" i="157" a="1"/>
  <c r="AH196" i="157" a="1"/>
  <c r="AQ163" i="157" a="1"/>
  <c r="N180" i="157" a="1"/>
  <c r="AQ168" i="157" a="1"/>
  <c r="G159" i="157" a="1"/>
  <c r="V194" i="157" a="1"/>
  <c r="BG209" i="157" a="1"/>
  <c r="N174" i="157" a="1"/>
  <c r="BC193" i="157" a="1"/>
  <c r="AV73" i="157" a="1"/>
  <c r="AV199" i="157" a="1"/>
  <c r="N217" i="157" a="1"/>
  <c r="J228" i="157" a="1"/>
  <c r="AD167" i="157" a="1"/>
  <c r="BK252" i="157" a="1"/>
  <c r="Z173" i="157" a="1"/>
  <c r="AN198" i="157" a="1"/>
  <c r="AQ237" i="157" a="1"/>
  <c r="AZ211" i="157" a="1"/>
  <c r="J223" i="157" a="1"/>
  <c r="J201" i="157" a="1"/>
  <c r="AQ185" i="157" a="1"/>
  <c r="BC177" i="157" a="1"/>
  <c r="R181" i="157" a="1"/>
  <c r="N178" i="157" a="1"/>
  <c r="G243" i="157" a="1"/>
  <c r="R198" i="157" a="1"/>
  <c r="V190" i="157" a="1"/>
  <c r="V188" i="157" a="1"/>
  <c r="AV39" i="157" a="1"/>
  <c r="AN227" i="157" a="1"/>
  <c r="AH195" i="157" a="1"/>
  <c r="AH186" i="157" a="1"/>
  <c r="R225" i="157" a="1"/>
  <c r="BK189" i="157" a="1"/>
  <c r="V185" i="157" a="1"/>
  <c r="J222" i="157" a="1"/>
  <c r="AD205" i="157" a="1"/>
  <c r="R230" i="157" a="1"/>
  <c r="AV30" i="157" a="1"/>
  <c r="J202" i="157" a="1"/>
  <c r="J160" i="157" a="1"/>
  <c r="G162" i="157" a="1"/>
  <c r="J180" i="157" a="1"/>
  <c r="AV83" i="157" a="1"/>
  <c r="BK188" i="157" a="1"/>
  <c r="G207" i="157" a="1"/>
  <c r="BG216" i="157" a="1"/>
  <c r="G184" i="157" a="1"/>
  <c r="AV244" i="157" a="1"/>
  <c r="G196" i="157" a="1"/>
  <c r="R201" i="157" a="1"/>
  <c r="BC205" i="157" a="1"/>
  <c r="N194" i="157" a="1"/>
  <c r="R188" i="157" a="1"/>
  <c r="AD223" i="157" a="1"/>
  <c r="BG158" i="157" a="1"/>
  <c r="AV88" i="157" a="1"/>
  <c r="G165" i="157" a="1"/>
  <c r="BG182" i="157" a="1"/>
  <c r="AZ250" i="157" a="1"/>
  <c r="N159" i="157" a="1"/>
  <c r="Z250" i="157" a="1"/>
  <c r="AV195" i="157" a="1"/>
  <c r="AV65" i="157" a="1"/>
  <c r="N171" i="157" a="1"/>
  <c r="AH243" i="157" a="1"/>
  <c r="AN230" i="157" a="1"/>
  <c r="AQ253" i="157" a="1"/>
  <c r="N189" i="157" a="1"/>
  <c r="AN166" i="157" a="1"/>
  <c r="BG231" i="157" a="1"/>
  <c r="AZ235" i="157" a="1"/>
  <c r="AV194" i="157" a="1"/>
  <c r="AN215" i="157" a="1"/>
  <c r="N251" i="157" a="1"/>
  <c r="BG230" i="157" a="1"/>
  <c r="AV98" i="157" a="1"/>
  <c r="AN234" i="157" a="1"/>
  <c r="V251" i="157" a="1"/>
  <c r="BC176" i="157" a="1"/>
  <c r="Z218" i="157" a="1"/>
  <c r="AD213" i="157" a="1"/>
  <c r="Z215" i="157" a="1"/>
  <c r="Z228" i="157" a="1"/>
  <c r="J197" i="157" a="1"/>
  <c r="AV183" i="157" a="1"/>
  <c r="AZ231" i="157" a="1"/>
  <c r="AV74" i="157" a="1"/>
  <c r="J205" i="157" a="1"/>
  <c r="BG239" i="157" a="1"/>
  <c r="AV80" i="157" a="1"/>
  <c r="AZ178" i="157" a="1"/>
  <c r="AZ177" i="157" a="1"/>
  <c r="AH185" i="157" a="1"/>
  <c r="G225" i="157" a="1"/>
  <c r="R200" i="157" a="1"/>
  <c r="AH206" i="157" a="1"/>
  <c r="R191" i="157" a="1"/>
  <c r="V232" i="157" a="1"/>
  <c r="BG214" i="157" a="1"/>
  <c r="AN223" i="157" a="1"/>
  <c r="N197" i="157" a="1"/>
  <c r="J178" i="157" a="1"/>
  <c r="N226" i="157" a="1"/>
  <c r="G245" i="157" a="1"/>
  <c r="V236" i="157" a="1"/>
  <c r="AH247" i="157" a="1"/>
  <c r="G203" i="157" a="1"/>
  <c r="AQ206" i="157" a="1"/>
  <c r="BG252" i="157" a="1"/>
  <c r="BG247" i="157" a="1"/>
  <c r="AV81" i="157" a="1"/>
  <c r="V226" i="157" a="1"/>
  <c r="BK174" i="157" a="1"/>
  <c r="AN190" i="157" a="1"/>
  <c r="Z194" i="157" a="1"/>
  <c r="V214" i="157" a="1"/>
  <c r="BC171" i="157" a="1"/>
  <c r="AH248" i="157" a="1"/>
  <c r="V175" i="157" a="1"/>
  <c r="BK237" i="157" a="1"/>
  <c r="Z174" i="157" a="1"/>
  <c r="BK171" i="157" a="1"/>
  <c r="BK170" i="157" a="1"/>
  <c r="G186" i="157" a="1"/>
  <c r="AZ158" i="157" a="1"/>
  <c r="AQ161" i="157" a="1"/>
  <c r="N219" i="157" a="1"/>
  <c r="R221" i="157" a="1"/>
  <c r="AV250" i="157" a="1"/>
  <c r="AD175" i="157" a="1"/>
  <c r="AH209" i="157" a="1"/>
  <c r="R214" i="157" a="1"/>
  <c r="AQ215" i="157" a="1"/>
  <c r="AD187" i="157" a="1"/>
  <c r="Z184" i="157" a="1"/>
  <c r="R227" i="157" a="1"/>
  <c r="G177" i="157" a="1"/>
  <c r="J226" i="157" a="1"/>
  <c r="BC240" i="157" a="1"/>
  <c r="J158" i="157" a="1"/>
  <c r="AQ211" i="157" a="1"/>
  <c r="AV224" i="157" a="1"/>
  <c r="J184" i="157" a="1"/>
  <c r="Z164" i="157" a="1"/>
  <c r="V239" i="157" a="1"/>
  <c r="R208" i="157" a="1"/>
  <c r="R163" i="157" a="1"/>
  <c r="R194" i="157" a="1"/>
  <c r="V230" i="157" a="1"/>
  <c r="BG183" i="157" a="1"/>
  <c r="AD202" i="157" a="1"/>
  <c r="AV7" i="157" a="1"/>
  <c r="Z222" i="157" a="1"/>
  <c r="N181" i="157" a="1"/>
  <c r="J157" i="157" a="1"/>
  <c r="J221" i="157" a="1"/>
  <c r="V215" i="157" a="1"/>
  <c r="G244" i="157" a="1"/>
  <c r="N168" i="157" a="1"/>
  <c r="V186" i="157" a="1"/>
  <c r="AN202" i="157" a="1"/>
  <c r="G249" i="157" a="1"/>
  <c r="BG215" i="157" a="1"/>
  <c r="AH170" i="157" a="1"/>
  <c r="AD192" i="157" a="1"/>
  <c r="AQ156" i="157" a="1"/>
  <c r="V195" i="157" a="1"/>
  <c r="N221" i="157" a="1"/>
  <c r="BK233" i="157" a="1"/>
  <c r="Z191" i="157" a="1"/>
  <c r="AN182" i="157" a="1"/>
  <c r="AZ192" i="157" a="1"/>
  <c r="AD186" i="157" a="1"/>
  <c r="V218" i="157" a="1"/>
  <c r="AZ155" i="157" a="1"/>
  <c r="AZ219" i="157" a="1"/>
  <c r="G178" i="157" a="1"/>
  <c r="AN233" i="157" a="1"/>
  <c r="BG207" i="157" a="1"/>
  <c r="V167" i="157" a="1"/>
  <c r="AN173" i="157" a="1"/>
  <c r="AD195" i="157" a="1"/>
  <c r="BK215" i="157" a="1"/>
  <c r="BG187" i="157" a="1"/>
  <c r="AN249" i="157" a="1"/>
  <c r="BC242" i="157" a="1"/>
  <c r="BC252" i="157" a="1"/>
  <c r="V220" i="157" a="1"/>
  <c r="BC227" i="157" a="1"/>
  <c r="BC192" i="157" a="1"/>
  <c r="BC198" i="157" a="1"/>
  <c r="AD215" i="157" a="1"/>
  <c r="BC244" i="157" a="1"/>
  <c r="AD220" i="157" a="1"/>
  <c r="AV27" i="157" a="1"/>
  <c r="AZ220" i="157" a="1"/>
  <c r="AV164" i="157" a="1"/>
  <c r="AQ165" i="157" a="1"/>
  <c r="BG194" i="157" a="1"/>
  <c r="BK159" i="157" a="1"/>
  <c r="AD183" i="157" a="1"/>
  <c r="Z213" i="157" a="1"/>
  <c r="AQ180" i="157" a="1"/>
  <c r="AZ199" i="157" a="1"/>
  <c r="AD168" i="157" a="1"/>
  <c r="AD244" i="157" a="1"/>
  <c r="AH176" i="157" a="1"/>
  <c r="N162" i="157" a="1"/>
  <c r="R176" i="157" a="1"/>
  <c r="BK234" i="157" a="1"/>
  <c r="N200" i="157" a="1"/>
  <c r="V169" i="157" a="1"/>
  <c r="N193" i="157" a="1"/>
  <c r="AV34" i="157" a="1"/>
  <c r="AZ206" i="157" a="1"/>
  <c r="AD221" i="157" a="1"/>
  <c r="AQ155" i="157" a="1"/>
  <c r="J161" i="157" a="1"/>
  <c r="BK220" i="157" a="1"/>
  <c r="G187" i="157" a="1"/>
  <c r="J236" i="157" a="1"/>
  <c r="BK210" i="157" a="1"/>
  <c r="V174" i="157" a="1"/>
  <c r="BG161" i="157" a="1"/>
  <c r="BK241" i="157" a="1"/>
  <c r="BK187" i="157" a="1"/>
  <c r="G199" i="157" a="1"/>
  <c r="AH169" i="157" a="1"/>
  <c r="AV203" i="157" a="1"/>
  <c r="AN237" i="157" a="1"/>
  <c r="G176" i="157" a="1"/>
  <c r="Z221" i="157" a="1"/>
  <c r="AH163" i="157" a="1"/>
  <c r="AD207" i="157" a="1"/>
  <c r="J167" i="157" a="1"/>
  <c r="AH199" i="157" a="1"/>
  <c r="AZ159" i="157" a="1"/>
  <c r="AH178" i="157" a="1"/>
  <c r="BK240" i="157" a="1"/>
  <c r="AV191" i="157" a="1"/>
  <c r="AQ193" i="157" a="1"/>
  <c r="AZ218" i="157" a="1"/>
  <c r="BG184" i="157" a="1"/>
  <c r="BG232" i="157" a="1"/>
  <c r="BK175" i="157" a="1"/>
  <c r="AQ172" i="157" a="1"/>
  <c r="BC218" i="157" a="1"/>
  <c r="Z223" i="157" a="1"/>
  <c r="N243" i="157" a="1"/>
  <c r="AZ173" i="157" a="1"/>
  <c r="AD181" i="157" a="1"/>
  <c r="AH175" i="157" a="1"/>
  <c r="G246" i="157" a="1"/>
  <c r="J193" i="157" a="1"/>
  <c r="Z214" i="157" a="1"/>
  <c r="AV206" i="157" a="1"/>
  <c r="G183" i="157" a="1"/>
  <c r="AV22" i="157" a="1"/>
  <c r="AZ203" i="157" a="1"/>
  <c r="AV37" i="157" a="1"/>
  <c r="R240" i="157" a="1"/>
  <c r="Z170" i="157" a="1"/>
  <c r="V245" i="157" a="1"/>
  <c r="J227" i="157" a="1"/>
  <c r="AN185" i="157" a="1"/>
  <c r="J165" i="157" a="1"/>
  <c r="AD246" i="157" a="1"/>
  <c r="Z207" i="157" a="1"/>
  <c r="BC245" i="157" a="1"/>
  <c r="BK216" i="157" a="1"/>
  <c r="BG201" i="157" a="1"/>
  <c r="AV101" i="157" a="1"/>
  <c r="Z205" i="157" a="1"/>
  <c r="N160" i="157" a="1"/>
  <c r="AD224" i="157" a="1"/>
  <c r="AH158" i="157" a="1"/>
  <c r="AD190" i="157" a="1"/>
  <c r="AQ249" i="157" a="1"/>
  <c r="G155" i="157" a="1"/>
  <c r="AH191" i="157" a="1"/>
  <c r="J208" i="157" a="1"/>
  <c r="AD235" i="157" a="1"/>
  <c r="G219" i="157" a="1"/>
  <c r="J212" i="157" a="1"/>
  <c r="V235" i="157" a="1"/>
  <c r="N166" i="157" a="1"/>
  <c r="AZ182" i="157" a="1"/>
  <c r="AV189" i="157" a="1"/>
  <c r="AH230" i="157" a="1"/>
  <c r="R231" i="157" a="1"/>
  <c r="AV24" i="157" a="1"/>
  <c r="V206" i="157" a="1"/>
  <c r="Z196" i="157" a="1"/>
  <c r="AH214" i="157" a="1"/>
  <c r="AZ237" i="157" a="1"/>
  <c r="V212" i="157" a="1"/>
  <c r="AD228" i="157" a="1"/>
  <c r="N182" i="157" a="1"/>
  <c r="V161" i="157" a="1"/>
  <c r="V160" i="157" a="1"/>
  <c r="N216" i="157" a="1"/>
  <c r="AH231" i="157" a="1"/>
  <c r="AQ245" i="157" a="1"/>
  <c r="AD159" i="157" a="1"/>
  <c r="Z241" i="157" a="1"/>
  <c r="G168" i="157" a="1"/>
  <c r="BC167" i="157" a="1"/>
  <c r="BC211" i="157" a="1"/>
  <c r="Z159" i="157" a="1"/>
  <c r="AZ201" i="157" a="1"/>
  <c r="J248" i="157" a="1"/>
  <c r="AZ241" i="157" a="1"/>
  <c r="AV213" i="157" a="1"/>
  <c r="R202" i="157" a="1"/>
  <c r="AV246" i="157" a="1"/>
  <c r="BC212" i="157" a="1"/>
  <c r="AN208" i="157" a="1"/>
  <c r="N177" i="157" a="1"/>
  <c r="Z162" i="157" a="1"/>
  <c r="AD247" i="157" a="1"/>
  <c r="AN193" i="157" a="1"/>
  <c r="J234" i="157" a="1"/>
  <c r="BK223" i="157" a="1"/>
  <c r="BG237" i="157" a="1"/>
  <c r="N207" i="157" a="1"/>
  <c r="J200" i="157" a="1"/>
  <c r="BG224" i="157" a="1"/>
  <c r="AH250" i="157" a="1"/>
  <c r="AV26" i="157" a="1"/>
  <c r="G195" i="157" a="1"/>
  <c r="AQ243" i="157" a="1"/>
  <c r="G181" i="157" a="1"/>
  <c r="BK235" i="157" a="1"/>
  <c r="AD232" i="157" a="1"/>
  <c r="N164" i="157" a="1"/>
  <c r="G208" i="157" a="1"/>
  <c r="G220" i="157" a="1"/>
  <c r="V180" i="157" a="1"/>
  <c r="BK196" i="157" a="1"/>
  <c r="AV100" i="157" a="1"/>
  <c r="N170" i="157" a="1"/>
  <c r="AN203" i="157" a="1"/>
  <c r="AQ235" i="157" a="1"/>
  <c r="G175" i="157" a="1"/>
  <c r="AZ195" i="157" a="1"/>
  <c r="R183" i="157" a="1"/>
  <c r="AN184" i="157" a="1"/>
  <c r="Z251" i="157" a="1"/>
  <c r="N183" i="157" a="1"/>
  <c r="G172" i="157" a="1"/>
  <c r="AQ251" i="157" a="1"/>
  <c r="AD203" i="157" a="1"/>
  <c r="J211" i="157" a="1"/>
  <c r="G216" i="157" a="1"/>
  <c r="AQ219" i="157" a="1"/>
  <c r="BG208" i="157" a="1"/>
  <c r="BK232" i="157" a="1"/>
  <c r="BC173" i="157" a="1"/>
  <c r="AV105" i="157" a="1"/>
  <c r="J218" i="157" a="1"/>
  <c r="AV56" i="157" a="1"/>
  <c r="AN180" i="157" a="1"/>
  <c r="N241" i="157" a="1"/>
  <c r="AV176" i="157" a="1"/>
  <c r="AQ158" i="157" a="1"/>
  <c r="AZ188" i="157" a="1"/>
  <c r="BK227" i="157" a="1"/>
  <c r="BC164" i="157" a="1"/>
  <c r="N214" i="157" a="1"/>
  <c r="AZ183" i="157" a="1"/>
  <c r="BG185" i="157" a="1"/>
  <c r="BC238" i="157" a="1"/>
  <c r="AZ233" i="157" a="1"/>
  <c r="N172" i="157" a="1"/>
  <c r="BC217" i="157" a="1"/>
  <c r="V177" i="157" a="1"/>
  <c r="BC168" i="157" a="1"/>
  <c r="BK231" i="157" a="1"/>
  <c r="AZ232" i="157" a="1"/>
  <c r="AN171" i="157" a="1"/>
  <c r="AD157" i="157" a="1"/>
  <c r="AQ195" i="157" a="1"/>
  <c r="AD248" i="157" a="1"/>
  <c r="AD174" i="157" a="1"/>
  <c r="AV53" i="157" a="1"/>
  <c r="N224" i="157" a="1"/>
  <c r="N163" i="157" a="1"/>
  <c r="AZ244" i="157" a="1"/>
  <c r="BC185" i="157" a="1"/>
  <c r="N158" i="157" a="1"/>
  <c r="Z163" i="157" a="1"/>
  <c r="R246" i="157" a="1"/>
  <c r="AV57" i="157" a="1"/>
  <c r="R166" i="157" a="1"/>
  <c r="G167" i="157" a="1"/>
  <c r="R167" i="157" a="1"/>
  <c r="N222" i="157" a="1"/>
  <c r="R247" i="157" a="1"/>
  <c r="R233" i="157" a="1"/>
  <c r="G213" i="157" a="1"/>
  <c r="AV220" i="157" a="1"/>
  <c r="AH157" i="157" a="1"/>
  <c r="BC219" i="157" a="1"/>
  <c r="BC184" i="157" a="1"/>
  <c r="G233" i="157" a="1"/>
  <c r="AV230" i="157" a="1"/>
  <c r="J164" i="157" a="1"/>
  <c r="AH240" i="157" a="1"/>
  <c r="G205" i="157" a="1"/>
  <c r="AN196" i="157" a="1"/>
  <c r="AD173" i="157" a="1"/>
  <c r="AQ234" i="157" a="1"/>
  <c r="AV52" i="157" a="1"/>
  <c r="AD238" i="157" a="1"/>
  <c r="AQ176" i="157" a="1"/>
  <c r="AH162" i="157" a="1"/>
  <c r="R160" i="157" a="1"/>
  <c r="AV193" i="157" a="1"/>
  <c r="AH184" i="157" a="1"/>
  <c r="AV18" i="157" a="1"/>
  <c r="BG211" i="157" a="1"/>
  <c r="BG220" i="157" a="1"/>
  <c r="V202" i="157" a="1"/>
  <c r="BG188" i="157" a="1"/>
  <c r="G214" i="157" a="1"/>
  <c r="AV209" i="157" a="1"/>
  <c r="AD199" i="157" a="1"/>
  <c r="Z156" i="157" a="1"/>
  <c r="BC166" i="157" a="1"/>
  <c r="R175" i="157" a="1"/>
  <c r="J231" i="157" a="1"/>
  <c r="Z171" i="157" a="1"/>
  <c r="BK182" i="157" a="1"/>
  <c r="J196" i="157" a="1"/>
  <c r="G188" i="157" a="1"/>
  <c r="BG162" i="157" a="1"/>
  <c r="AH156" i="157" a="1"/>
  <c r="J181" i="157" a="1"/>
  <c r="BG159" i="157" a="1"/>
  <c r="AQ198" i="157" a="1"/>
  <c r="AQ222" i="157" a="1"/>
  <c r="AH241" i="157" a="1"/>
  <c r="R190" i="157" a="1"/>
  <c r="J174" i="157" a="1"/>
  <c r="BK208" i="157" a="1"/>
  <c r="AZ216" i="157" a="1"/>
  <c r="V199" i="157" a="1"/>
  <c r="AQ233" i="157" a="1"/>
  <c r="N186" i="157" a="1"/>
  <c r="J175" i="157" a="1"/>
  <c r="AV198" i="157" a="1"/>
  <c r="AV221" i="157" a="1"/>
  <c r="BG200" i="157" a="1"/>
  <c r="BC199" i="157" a="1"/>
  <c r="AH242" i="157" a="1"/>
  <c r="AV48" i="157" a="1"/>
  <c r="AN189" i="157" a="1"/>
  <c r="BG225" i="157" a="1"/>
  <c r="AV95" i="157" a="1"/>
  <c r="AQ160" i="157" a="1"/>
  <c r="AN161" i="157" a="1"/>
  <c r="BK185" i="157" a="1"/>
  <c r="Z192" i="157" a="1"/>
  <c r="AZ200" i="157" a="1"/>
  <c r="J240" i="157" a="1"/>
  <c r="AQ238" i="157" a="1"/>
  <c r="AZ161" i="157" a="1"/>
  <c r="AV102" i="157" a="1"/>
  <c r="AH159" i="157" a="1"/>
  <c r="AZ210" i="157" a="1"/>
  <c r="V242" i="157" a="1"/>
  <c r="G157" i="157" a="1"/>
  <c r="Z231" i="157" a="1"/>
  <c r="R186" i="157" a="1"/>
  <c r="R170" i="157" a="1"/>
  <c r="G163" i="157" a="1"/>
  <c r="AZ236" i="157" a="1"/>
  <c r="AQ194" i="157" a="1"/>
  <c r="Z246" i="157" a="1"/>
  <c r="J225" i="157" a="1"/>
  <c r="R161" i="157" a="1"/>
  <c r="BG165" i="157" a="1"/>
  <c r="AH218" i="157" a="1"/>
  <c r="J230" i="157" a="1"/>
  <c r="AD180" i="157" a="1"/>
  <c r="AV205" i="157" a="1"/>
  <c r="AN205" i="157" a="1"/>
  <c r="N169" i="157" a="1"/>
  <c r="AQ209" i="157" a="1"/>
  <c r="AD166" i="157" a="1"/>
  <c r="V253" i="157" a="1"/>
  <c r="AN164" i="157" a="1"/>
  <c r="AV245" i="157" a="1"/>
  <c r="AQ183" i="157" a="1"/>
  <c r="J252" i="157" a="1"/>
  <c r="V181" i="157" a="1"/>
  <c r="AD208" i="157" a="1"/>
  <c r="AD242" i="157" a="1"/>
  <c r="N237" i="157" a="1"/>
  <c r="AZ209" i="157" a="1"/>
  <c r="V173" i="157" a="1"/>
  <c r="AZ246" i="157" a="1"/>
  <c r="BC187" i="157" a="1"/>
  <c r="AH189" i="157" a="1"/>
  <c r="V205" i="157" a="1"/>
  <c r="AV197" i="157" a="1"/>
  <c r="J163" i="157" a="1"/>
  <c r="R216" i="157" a="1"/>
  <c r="AN176" i="157" a="1"/>
  <c r="AV87" i="157" a="1"/>
  <c r="R228" i="157" a="1"/>
  <c r="Z183" i="157" a="1"/>
  <c r="AD241" i="157" a="1"/>
  <c r="BC201" i="157" a="1"/>
  <c r="AV47" i="157" a="1"/>
  <c r="AH227" i="157" a="1"/>
  <c r="AD249" i="157" a="1"/>
  <c r="AV23" i="157" a="1"/>
  <c r="AN220" i="157" a="1"/>
  <c r="V176" i="157" a="1"/>
  <c r="AN162" i="157" a="1"/>
  <c r="AV55" i="157" a="1"/>
  <c r="J232" i="157" a="1"/>
  <c r="J192" i="157" a="1"/>
  <c r="BG170" i="157" a="1"/>
  <c r="AQ210" i="157" a="1"/>
  <c r="AV28" i="157" a="1"/>
  <c r="BK173" i="157" a="1"/>
  <c r="G221" i="157" a="1"/>
  <c r="BG192" i="157" a="1"/>
  <c r="AN191" i="157" a="1"/>
  <c r="AV44" i="157" a="1"/>
  <c r="AQ169" i="157" a="1"/>
  <c r="AQ203" i="157" a="1"/>
  <c r="AH225" i="157" a="1"/>
  <c r="V182" i="157" a="1"/>
  <c r="Z200" i="157" a="1"/>
  <c r="V248" i="157" a="1"/>
  <c r="BG238" i="157" a="1"/>
  <c r="BK155" i="157" a="1"/>
  <c r="AV77" i="157" a="1"/>
  <c r="AZ184" i="157" a="1"/>
  <c r="R180" i="157" a="1"/>
  <c r="AQ213" i="157" a="1"/>
  <c r="BK163" i="157" a="1"/>
  <c r="BC243" i="157" a="1"/>
  <c r="AN201" i="157" a="1"/>
  <c r="AV40" i="157" a="1"/>
  <c r="BK205" i="157" a="1"/>
  <c r="AV96" i="157" a="1"/>
  <c r="AV32" i="157" a="1"/>
  <c r="AQ227" i="157" a="1"/>
  <c r="AH237" i="157" a="1"/>
  <c r="V244" i="157" a="1"/>
  <c r="AD245" i="157" a="1"/>
  <c r="N155" i="157" a="1"/>
  <c r="BK213" i="157" a="1"/>
  <c r="AZ227" i="157" a="1"/>
  <c r="Z198" i="157" a="1"/>
  <c r="AN200" i="157" a="1"/>
  <c r="AV165" i="157" a="1"/>
  <c r="BC180" i="157" a="1"/>
  <c r="G217" i="157" a="1"/>
  <c r="Z197" i="157" a="1"/>
  <c r="AD176" i="157" a="1"/>
  <c r="AN188" i="157" a="1"/>
  <c r="AZ156" i="157" a="1"/>
  <c r="J233" i="157" a="1"/>
  <c r="AV241" i="157" a="1"/>
  <c r="AD156" i="157" a="1"/>
  <c r="AN246" i="157" a="1"/>
  <c r="AV62" i="157" a="1"/>
  <c r="J187" i="157" a="1"/>
  <c r="AD188" i="157" a="1"/>
  <c r="AZ225" i="157" a="1"/>
  <c r="N248" i="157" a="1"/>
  <c r="AV94" i="157" a="1"/>
  <c r="BG195" i="157" a="1"/>
  <c r="AQ200" i="157" a="1"/>
  <c r="BC222" i="157" a="1"/>
  <c r="V208" i="157" a="1"/>
  <c r="G202" i="157" a="1"/>
  <c r="AH223" i="157" a="1"/>
  <c r="R243" i="157" a="1"/>
  <c r="Z181" i="157" a="1"/>
  <c r="BC159" i="157" a="1"/>
  <c r="G185" i="157" a="1"/>
  <c r="J242" i="157" a="1"/>
  <c r="G228" i="157" a="1"/>
  <c r="G193" i="157" a="1"/>
  <c r="AH245" i="157" a="1"/>
  <c r="AV207" i="157" a="1"/>
  <c r="R158" i="157" a="1"/>
  <c r="AV91" i="157" a="1"/>
  <c r="G151" i="157" a="1"/>
  <c r="BG202" i="157" a="1"/>
  <c r="BC165" i="157" a="1"/>
  <c r="AV188" i="157" a="1"/>
  <c r="G232" i="157" a="1"/>
  <c r="N188" i="157" a="1"/>
  <c r="V223" i="157" a="1"/>
  <c r="J244" i="157" a="1"/>
  <c r="AV184" i="157" a="1"/>
  <c r="AZ202" i="157" a="1"/>
  <c r="AN156" i="157" a="1"/>
  <c r="BG199" i="157" a="1"/>
  <c r="BK217" i="157" a="1"/>
  <c r="AH208" i="157" a="1"/>
  <c r="R224" i="157" a="1"/>
  <c r="AH220" i="157" a="1"/>
  <c r="BC158" i="157" a="1"/>
  <c r="G209" i="157" a="1"/>
  <c r="J209" i="157" a="1"/>
  <c r="AD200" i="157" a="1"/>
  <c r="AD163" i="157" a="1"/>
  <c r="BG219" i="157" a="1"/>
  <c r="G252" i="157" a="1"/>
  <c r="AD212" i="157" a="1"/>
  <c r="BK228" i="157" a="1"/>
  <c r="AN224" i="157" a="1"/>
  <c r="AV208" i="157" a="1"/>
  <c r="AD184" i="157" a="1"/>
  <c r="J253" i="157" a="1"/>
  <c r="BK214" i="157" a="1"/>
  <c r="AV240" i="157" a="1"/>
  <c r="AD234" i="157" a="1"/>
  <c r="AQ244" i="157" a="1"/>
  <c r="G227" i="157" a="1"/>
  <c r="BK239" i="157" a="1"/>
  <c r="V172" i="157" a="1"/>
  <c r="AN158" i="157" a="1"/>
  <c r="Z248" i="157" a="1"/>
  <c r="AZ169" i="157" a="1"/>
  <c r="AH228" i="157" a="1"/>
  <c r="N173" i="157" a="1"/>
  <c r="BK207" i="157" a="1"/>
  <c r="AQ162" i="157" a="1"/>
  <c r="AZ172" i="157" a="1"/>
  <c r="AH252" i="157" a="1"/>
  <c r="AV201" i="157" a="1"/>
  <c r="G223" i="157" a="1"/>
  <c r="AZ167" i="157" a="1"/>
  <c r="AQ217" i="157" a="1"/>
  <c r="AH213" i="157" a="1"/>
  <c r="AV181" i="157" a="1"/>
  <c r="N210" i="157" a="1"/>
  <c r="BG157" i="157" a="1"/>
  <c r="N157" i="157" a="1"/>
  <c r="R209" i="157" a="1"/>
  <c r="AN213" i="157" a="1"/>
  <c r="AD231" i="157" a="1"/>
  <c r="J250" i="157" a="1"/>
  <c r="AZ189" i="157" a="1"/>
  <c r="G174" i="157" a="1"/>
  <c r="V196" i="157" a="1"/>
  <c r="AH216" i="157" a="1"/>
  <c r="Z166" i="157" a="1"/>
  <c r="AV237" i="157" a="1"/>
  <c r="J249" i="157" a="1"/>
  <c r="V224" i="157" a="1"/>
  <c r="AD194" i="157" a="1"/>
  <c r="AQ181" i="157" a="1"/>
  <c r="BC200" i="157" a="1"/>
  <c r="AN211" i="157" a="1"/>
  <c r="Z160" i="157" a="1"/>
  <c r="AN243" i="157" a="1"/>
  <c r="AV59" i="157" a="1"/>
  <c r="Z235" i="157" a="1"/>
  <c r="G171" i="157" a="1"/>
  <c r="BG193" i="157" a="1"/>
  <c r="AV235" i="157" a="1"/>
  <c r="J182" i="157" a="1"/>
  <c r="N205" i="157" a="1"/>
  <c r="AQ231" i="157" a="1"/>
  <c r="V197" i="157" a="1"/>
  <c r="AH183" i="157" a="1"/>
  <c r="AH172" i="157" a="1"/>
  <c r="AN195" i="157" a="1"/>
  <c r="AH164" i="157" a="1"/>
  <c r="R245" i="157" a="1"/>
  <c r="Z249" i="157" a="1"/>
  <c r="AV212" i="157" a="1"/>
  <c r="J243" i="157" a="1"/>
  <c r="AV161" i="157" a="1"/>
  <c r="AN197" i="157" a="1"/>
  <c r="BC246" i="157" a="1"/>
  <c r="AH177" i="157" a="1"/>
  <c r="AV85" i="157" a="1"/>
  <c r="R164" i="157" a="1"/>
  <c r="N236" i="157" a="1"/>
  <c r="AN187" i="157" a="1"/>
  <c r="BC230" i="157" a="1"/>
  <c r="AD240" i="157" a="1"/>
  <c r="BG163" i="157" a="1"/>
  <c r="BK247" i="157" a="1"/>
  <c r="AV210" i="157" a="1"/>
  <c r="AZ249" i="157" a="1"/>
  <c r="N156" i="157" a="1"/>
  <c r="AV236" i="157" a="1"/>
  <c r="BK242" i="157" a="1"/>
  <c r="BC170" i="157" a="1"/>
  <c r="V156" i="157" a="1"/>
  <c r="N228" i="157" a="1"/>
  <c r="BK190" i="157" a="1"/>
  <c r="AZ248" i="157" a="1"/>
  <c r="AZ174" i="157" a="1"/>
  <c r="AH233" i="157" a="1"/>
  <c r="Z234" i="157" a="1"/>
  <c r="Z238" i="157" a="1"/>
  <c r="BK230" i="157" a="1"/>
  <c r="J203" i="157" a="1"/>
  <c r="AN217" i="157" a="1"/>
  <c r="AZ238" i="157" a="1"/>
  <c r="Z169" i="157" a="1"/>
  <c r="AD230" i="157" a="1"/>
  <c r="G212" i="157" a="1"/>
  <c r="AN177" i="157" a="1"/>
  <c r="BC183" i="157" a="1"/>
  <c r="AV218" i="157" a="1"/>
  <c r="BG253" i="157" a="1"/>
  <c r="AN155" i="157" a="1"/>
  <c r="N184" i="157" a="1"/>
  <c r="N253" i="157" a="1"/>
  <c r="AZ251" i="157" a="1"/>
  <c r="R212" i="157" a="1"/>
  <c r="J189" i="157" a="1"/>
  <c r="AN207" i="157" a="1"/>
  <c r="AZ247" i="157" a="1"/>
  <c r="AQ174" i="157" a="1"/>
  <c r="R165" i="157" a="1"/>
  <c r="AD209" i="157" a="1"/>
  <c r="Z243" i="157" a="1"/>
  <c r="AN163" i="157" a="1"/>
  <c r="AQ205" i="157" a="1"/>
  <c r="AN245" i="157" a="1"/>
  <c r="BG251" i="157" a="1"/>
  <c r="N202" i="157" a="1"/>
  <c r="AV50" i="157" a="1"/>
  <c r="AN240" i="157" a="1"/>
  <c r="AH173" i="157" a="1"/>
  <c r="BK236" i="157" a="1"/>
  <c r="J217" i="157" a="1"/>
  <c r="BG191" i="157" a="1"/>
  <c r="R193" i="157" a="1"/>
  <c r="N233" i="157" a="1"/>
  <c r="BC175" i="157" a="1"/>
  <c r="R249" i="157" a="1"/>
  <c r="J183" i="157" a="1"/>
  <c r="R250" i="157" a="1"/>
  <c r="J214" i="157" a="1"/>
  <c r="J166" i="157" a="1"/>
  <c r="AQ230" i="157" a="1"/>
  <c r="R217" i="157" a="1"/>
  <c r="Z165" i="157" a="1"/>
  <c r="BG212" i="157" a="1"/>
  <c r="AD182" i="157" a="1"/>
  <c r="AQ247" i="157" a="1"/>
  <c r="Z245" i="157" a="1"/>
  <c r="AV43" i="157" a="1"/>
  <c r="AQ252" i="157" a="1"/>
  <c r="R155" i="157" a="1"/>
  <c r="R168" i="157" a="1"/>
  <c r="BK164" i="157" a="1"/>
  <c r="R236" i="157" a="1"/>
  <c r="AV234" i="157" a="1"/>
  <c r="BC253" i="157" a="1"/>
  <c r="V238" i="157" a="1"/>
  <c r="Z208" i="157" a="1"/>
  <c r="R252" i="157" a="1"/>
  <c r="G166" i="157" a="1"/>
  <c r="AD171" i="157" a="1"/>
  <c r="Z217" i="157" a="1"/>
  <c r="N242" i="157" a="1"/>
  <c r="AV223" i="157" a="1"/>
  <c r="AQ207" i="157" a="1"/>
  <c r="AH192" i="157" a="1"/>
  <c r="N209" i="157" a="1"/>
  <c r="BG176" i="157" a="1"/>
  <c r="AH238" i="157" a="1"/>
  <c r="G215" i="157" a="1"/>
  <c r="V159" i="157" a="1"/>
  <c r="BC207" i="157" a="1"/>
  <c r="AD219" i="157" a="1"/>
  <c r="AZ185" i="157" a="1"/>
  <c r="BG213" i="157" a="1"/>
  <c r="BG248" i="157" a="1"/>
  <c r="N199" i="157" a="1"/>
  <c r="BK192" i="157" a="1"/>
  <c r="AH234" i="157" a="1"/>
  <c r="AN236" i="157" a="1"/>
  <c r="V207" i="157" a="1"/>
  <c r="AH165" i="157" a="1"/>
  <c r="AN194" i="157" a="1"/>
  <c r="AD162" i="157" a="1"/>
  <c r="AV90" i="157" a="1"/>
  <c r="AQ223" i="157" a="1"/>
  <c r="R196" i="157" a="1"/>
  <c r="AH203" i="157" a="1"/>
  <c r="BG197" i="157" a="1"/>
  <c r="AH194" i="157" a="1"/>
  <c r="Z253" i="157" a="1"/>
  <c r="V187" i="157" a="1"/>
  <c r="R226" i="157" a="1"/>
  <c r="J185" i="157" a="1"/>
  <c r="AV68" i="157" a="1"/>
  <c r="AN212" i="157" a="1"/>
  <c r="Z168" i="157" a="1"/>
  <c r="AV64" i="157" a="1"/>
  <c r="BC247" i="157" a="1"/>
  <c r="AV215" i="157" a="1"/>
  <c r="AD251" i="157" a="1"/>
  <c r="AV231" i="157" a="1"/>
  <c r="Z180" i="157" a="1"/>
  <c r="AV75" i="157" a="1"/>
  <c r="AN231" i="157" a="1"/>
  <c r="AQ167" i="157" a="1"/>
  <c r="N231" i="157" a="1"/>
  <c r="AV196" i="157" a="1"/>
  <c r="AV163" i="157" a="1"/>
  <c r="BG172" i="157" a="1"/>
  <c r="AQ197" i="157" a="1"/>
  <c r="AD164" i="157" a="1"/>
  <c r="BC194" i="157" a="1"/>
  <c r="Z236" i="157" a="1"/>
  <c r="J206" i="157" a="1"/>
  <c r="BK209" i="157" a="1"/>
  <c r="Z242" i="157" a="1"/>
  <c r="AH188" i="157" a="1"/>
  <c r="BC156" i="157" a="1"/>
  <c r="AV42" i="157" a="1"/>
  <c r="J245" i="157" a="1"/>
  <c r="V210" i="157" a="1"/>
  <c r="AV155" i="157" a="1"/>
  <c r="AN165" i="157" a="1"/>
  <c r="BC161" i="157" a="1"/>
  <c r="G226" i="157" a="1"/>
  <c r="AN247" i="157" a="1"/>
  <c r="AZ239" i="157" a="1"/>
  <c r="R159" i="157" a="1"/>
  <c r="N249" i="157" a="1"/>
  <c r="Z226" i="157" a="1"/>
  <c r="BC250" i="157" a="1"/>
  <c r="AV46" i="157" a="1"/>
  <c r="Z177" i="157" a="1"/>
  <c r="AZ194" i="157" a="1"/>
  <c r="V237" i="157" a="1"/>
  <c r="AH181" i="157" a="1"/>
  <c r="J237" i="157" a="1"/>
  <c r="AH253" i="157" a="1"/>
  <c r="AZ175" i="157" a="1"/>
  <c r="R173" i="157" a="1"/>
  <c r="R238" i="157" a="1"/>
  <c r="AV162" i="157" a="1"/>
  <c r="AH197" i="157" a="1"/>
  <c r="AH226" i="157" a="1"/>
  <c r="V166" i="157" a="1"/>
  <c r="AV19" i="157" a="1"/>
  <c r="AV156" i="157" a="1"/>
  <c r="N206" i="157" a="1"/>
  <c r="AH180" i="157" a="1"/>
  <c r="Z240" i="157" a="1"/>
  <c r="V178" i="157" a="1"/>
  <c r="G210" i="157" a="1"/>
  <c r="AV9" i="157" a="1"/>
  <c r="Z211" i="157" a="1"/>
  <c r="AV158" i="157" a="1"/>
  <c r="AV71" i="157" a="1"/>
  <c r="AQ212" i="157" a="1"/>
  <c r="BK253" i="157" a="1"/>
  <c r="V252" i="157" a="1"/>
  <c r="AH155" i="157" a="1"/>
  <c r="R234" i="157" a="1"/>
  <c r="AV10" i="157" a="1"/>
  <c r="V240" i="157" a="1"/>
  <c r="BK165" i="157" a="1"/>
  <c r="G158" i="157" a="1"/>
  <c r="G190" i="157" a="1"/>
  <c r="R172" i="157" a="1"/>
  <c r="AQ192" i="157" a="1"/>
  <c r="AH244" i="157" a="1"/>
  <c r="AQ190" i="157" a="1"/>
  <c r="AH215" i="157" a="1"/>
  <c r="BK168" i="157" a="1"/>
  <c r="BG160" i="157" a="1"/>
  <c r="G237" i="157" a="1"/>
  <c r="BK172" i="157" a="1"/>
  <c r="V228" i="157" a="1"/>
  <c r="V198" i="157" a="1"/>
  <c r="G231" i="157" a="1"/>
  <c r="BK249" i="157" a="1"/>
  <c r="BG155" i="157" a="1"/>
  <c r="AH246" i="157" a="1"/>
  <c r="V241" i="157" a="1"/>
  <c r="AD218" i="157" a="1"/>
  <c r="BG206" i="157" a="1"/>
  <c r="BC236" i="157" a="1"/>
  <c r="BK245" i="157" a="1"/>
  <c r="BC203" i="157" a="1"/>
  <c r="BG181" i="157" a="1"/>
  <c r="AV172" i="157" a="1"/>
  <c r="AQ214" i="157" a="1"/>
  <c r="AH160" i="157" a="1"/>
  <c r="AN250" i="157" a="1"/>
  <c r="BK244" i="157" a="1"/>
  <c r="AZ190" i="157" a="1"/>
  <c r="V227" i="157" a="1"/>
  <c r="V217" i="157" a="1"/>
  <c r="R210" i="157" a="1"/>
  <c r="R169" i="157" a="1"/>
  <c r="Z224" i="157" a="1"/>
  <c r="AH210" i="157" a="1"/>
  <c r="AQ177" i="157" a="1"/>
  <c r="BC225" i="157" a="1"/>
  <c r="R219" i="157" a="1"/>
  <c r="Z237" i="157" a="1"/>
  <c r="AH217" i="157" a="1"/>
  <c r="AQ164" i="157" a="1"/>
  <c r="AV60" i="157" a="1"/>
  <c r="BG156" i="157" a="1"/>
  <c r="G160" i="157" a="1"/>
  <c r="AH174" i="157" a="1"/>
  <c r="AN183" i="157" a="1"/>
  <c r="AV35" i="157" a="1"/>
  <c r="Z203" i="157" a="1"/>
  <c r="AQ178" i="157" a="1"/>
  <c r="AD227" i="157" a="1"/>
  <c r="BC249" i="157" a="1"/>
  <c r="AH232" i="157" a="1"/>
  <c r="R199" i="157" a="1"/>
  <c r="BC216" i="157" a="1"/>
  <c r="AQ248" i="157" a="1"/>
  <c r="BG218" i="157" a="1"/>
  <c r="AV159" i="157" a="1"/>
  <c r="AV67" i="157" a="1"/>
  <c r="BG228" i="157" a="1"/>
  <c r="V213" i="157" a="1"/>
  <c r="AQ191" i="157" a="1"/>
  <c r="V247" i="157" a="1"/>
  <c r="R237" i="157" a="1"/>
  <c r="R197" i="157" a="1"/>
  <c r="Z239" i="157" a="1"/>
  <c r="BC162" i="157" a="1"/>
  <c r="AV178" i="157" a="1"/>
  <c r="BG175" i="157" a="1"/>
  <c r="R189" i="157" a="1"/>
  <c r="AN232" i="157" a="1"/>
  <c r="BG226" i="157" a="1"/>
  <c r="V157" i="157" a="1"/>
  <c r="AV253" i="157" a="1"/>
  <c r="R232" i="157" a="1"/>
  <c r="BC231" i="157" a="1"/>
  <c r="N238" i="157" a="1"/>
  <c r="G169" i="157" a="1"/>
  <c r="V250" i="157" a="1"/>
  <c r="AV33" i="157" a="1"/>
  <c r="Z233" i="157" a="1"/>
  <c r="AV76" i="157" a="1"/>
  <c r="AV187" i="157" a="1"/>
  <c r="G251" i="157" a="1"/>
  <c r="N218" i="157" a="1"/>
  <c r="AN210" i="157" a="1"/>
  <c r="G156" i="157" a="1"/>
  <c r="BK243" i="157" a="1"/>
  <c r="J238" i="157" a="1"/>
  <c r="AQ186" i="157" a="1"/>
  <c r="R244" i="157" a="1"/>
  <c r="AQ187" i="157" a="1"/>
  <c r="BG217" i="157" a="1"/>
  <c r="BG210" i="157" a="1"/>
  <c r="AQ189" i="157" a="1"/>
  <c r="AD201" i="157" a="1"/>
  <c r="AZ187" i="157" a="1"/>
  <c r="AN253" i="157" a="1"/>
  <c r="AZ243" i="157" a="1"/>
  <c r="BG223" i="157" a="1"/>
  <c r="J220" i="157" a="1"/>
  <c r="N201" i="157" a="1"/>
  <c r="AV227" i="157" a="1"/>
  <c r="J216" i="157" a="1"/>
  <c r="AN192" i="157" a="1"/>
  <c r="AV13" i="157" a="1"/>
  <c r="AV31" i="157" a="1"/>
  <c r="Z227" i="157" a="1"/>
  <c r="AV169" i="157" a="1"/>
  <c r="R220" i="157" a="1"/>
  <c r="AZ196" i="157" a="1"/>
  <c r="AV70" i="157" a="1"/>
  <c r="G235" i="157" a="1"/>
  <c r="R205" i="157" a="1"/>
  <c r="G240" i="157" a="1"/>
  <c r="N230" i="157" a="1"/>
  <c r="BK251" i="157" a="1"/>
  <c r="Z252" i="157" a="1"/>
  <c r="AH201" i="157" a="1"/>
  <c r="N244" i="157" a="1"/>
  <c r="AQ166" i="157" a="1"/>
  <c r="AV242" i="157" a="1"/>
  <c r="G230" i="157" a="1"/>
  <c r="AN252" i="157" a="1"/>
  <c r="AN218" i="157" a="1"/>
  <c r="J188" i="157" a="1"/>
  <c r="BC182" i="157" a="1"/>
  <c r="AN228" i="157" a="1"/>
  <c r="BC221" i="157" a="1"/>
  <c r="V191" i="157" a="1"/>
  <c r="AD214" i="157" a="1"/>
  <c r="AQ216" i="157" a="1"/>
  <c r="AV99" i="157" a="1"/>
  <c r="AZ215" i="157" a="1"/>
  <c r="BC214" i="157" a="1"/>
  <c r="AD225" i="157" a="1"/>
  <c r="AN206" i="157" a="1"/>
  <c r="N247" i="157" a="1"/>
  <c r="J155" i="157" a="1"/>
  <c r="AH221" i="157" a="1"/>
  <c r="AQ242" i="157" a="1"/>
  <c r="R184" i="157" a="1"/>
  <c r="N195" i="157" a="1"/>
  <c r="AZ163" i="157" a="1"/>
  <c r="AQ171" i="157" a="1"/>
  <c r="AD211" i="157" a="1"/>
  <c r="BG180" i="157" a="1"/>
  <c r="BC157" i="157" a="1"/>
  <c r="BG221" i="157" a="1"/>
  <c r="J215" i="157" a="1"/>
  <c r="J156" i="157" a="1"/>
  <c r="Z206" i="157" a="1"/>
  <c r="R213" i="157" a="1"/>
  <c r="J170" i="157" a="1"/>
  <c r="AV166" i="157" a="1"/>
  <c r="AV25" i="157" a="1"/>
  <c r="AV226" i="157" a="1"/>
  <c r="AZ228" i="157" a="1"/>
  <c r="AH222" i="157" a="1"/>
  <c r="R177" i="157" a="1"/>
  <c r="G164" i="157" a="1"/>
  <c r="BC172" i="157" a="1"/>
  <c r="Z195" i="157" a="1"/>
  <c r="G192" i="157" a="1"/>
  <c r="AH202" i="157" a="1"/>
  <c r="AH187" i="157" a="1"/>
  <c r="G250" i="157" a="1"/>
  <c r="AV103" i="157" a="1"/>
  <c r="AV78" i="157" a="1"/>
  <c r="AN238" i="157" a="1"/>
  <c r="V243" i="157" a="1"/>
  <c r="AZ157" i="157" a="1"/>
  <c r="BG178" i="157" a="1"/>
  <c r="BK250" i="157" a="1"/>
  <c r="N208" i="157" a="1"/>
  <c r="AD237" i="157" a="1"/>
  <c r="V193" i="157" a="1"/>
  <c r="BK166" i="157" a="1"/>
  <c r="AV15" i="157" a="1"/>
  <c r="V246" i="157" a="1"/>
  <c r="AZ160" i="157" a="1"/>
  <c r="AD160" i="157" a="1"/>
  <c r="BC195" i="157" a="1"/>
  <c r="BK183" i="157" a="1"/>
  <c r="G236" i="157" a="1"/>
  <c r="BK176" i="157" a="1"/>
  <c r="AZ223" i="157" a="1"/>
  <c r="AQ220" i="157" a="1"/>
  <c r="AD236" i="157" a="1"/>
  <c r="G239" i="157" a="1"/>
  <c r="AH251" i="157" a="1"/>
  <c r="V162" i="157" a="1"/>
  <c r="G248" i="157" a="1"/>
  <c r="G218" i="157" a="1"/>
  <c r="AV82" i="157" a="1"/>
  <c r="V184" i="157" a="1"/>
  <c r="AH190" i="157" a="1"/>
  <c r="V200" i="157" a="1"/>
  <c r="AZ191" i="157" a="1"/>
  <c r="J235" i="157" a="1"/>
  <c r="J213" i="157" a="1"/>
  <c r="AV49" i="157" a="1"/>
  <c r="V158" i="157" a="1"/>
  <c r="Z209" i="157" a="1"/>
  <c r="J173" i="157" a="1"/>
  <c r="G194" i="157" a="1"/>
  <c r="AQ232" i="157" a="1"/>
  <c r="BG222" i="157" a="1"/>
  <c r="BC202" i="157" a="1"/>
  <c r="AQ221" i="157" a="1"/>
  <c r="G161" i="157" a="1"/>
  <c r="N212" i="157" a="1"/>
  <c r="AD222" i="157" a="1"/>
  <c r="N215" i="157" a="1"/>
  <c r="N223" i="157" a="1"/>
  <c r="G197" i="157" a="1"/>
  <c r="AN209" i="157" a="1"/>
  <c r="AQ240" i="157" a="1"/>
  <c r="AV92" i="157" a="1"/>
  <c r="AV228" i="157" a="1"/>
  <c r="AD206" i="157" a="1"/>
  <c r="J199" i="157" a="1"/>
  <c r="AZ180" i="157" a="1"/>
  <c r="BG227" i="157" a="1"/>
  <c r="AQ241" i="157" a="1"/>
  <c r="R235" i="157" a="1"/>
  <c r="AD198" i="157" a="1"/>
  <c r="G182" i="157" a="1"/>
  <c r="R207" i="157" a="1"/>
  <c r="AN248" i="157" a="1"/>
  <c r="Z155" i="157" a="1"/>
  <c r="J251" i="157" a="1"/>
  <c r="AH207" i="157" a="1"/>
  <c r="J224" i="157" a="1"/>
  <c r="AH212" i="157" a="1"/>
  <c r="J176" i="157" a="1"/>
  <c r="AD158" i="157" a="1"/>
  <c r="Z188" i="157" a="1"/>
  <c r="AD239" i="157" a="1"/>
  <c r="N203" i="157" a="1"/>
  <c r="AZ234" i="157" a="1"/>
  <c r="R223" i="157" a="1"/>
  <c r="AD169" i="157" a="1"/>
  <c r="AZ186" i="157" a="1"/>
  <c r="G201" i="157" a="1"/>
  <c r="AQ188" i="157" a="1"/>
  <c r="BC196" i="157" a="1"/>
  <c r="N225" i="157" a="1"/>
  <c r="V209" i="157" a="1"/>
  <c r="AV41" i="157" a="1"/>
  <c r="AH166" i="157" a="1"/>
  <c r="V201" i="157" a="1"/>
  <c r="AV21" i="157" a="1"/>
  <c r="AV168" i="157" a="1"/>
  <c r="Z178" i="157" a="1"/>
  <c r="V222" i="157" a="1"/>
  <c r="J191" i="157" a="1"/>
  <c r="AN221" i="157" a="1"/>
  <c r="G206" i="157" a="1"/>
  <c r="AN239" i="157" a="1"/>
  <c r="AV84" i="157" a="1"/>
  <c r="Z199" i="157" a="1"/>
  <c r="G241" i="157" a="1"/>
  <c r="BG203" i="157" a="1"/>
  <c r="N245" i="157" a="1"/>
  <c r="AN169" i="157" a="1"/>
  <c r="J169" i="157" a="1"/>
  <c r="BK202" i="157" a="1"/>
  <c r="BG164" i="157" a="1"/>
  <c r="J162" i="157" a="1"/>
  <c r="Z187" i="157" a="1"/>
  <c r="Z210" i="157" a="1"/>
  <c r="AH211" i="157" a="1"/>
  <c r="BG233" i="157" a="1"/>
  <c r="AZ197" i="157" a="1"/>
  <c r="BC215" i="157" a="1"/>
  <c r="BC228" i="157" a="1"/>
  <c r="BC174" i="157" a="1"/>
  <c r="N246" i="157" a="1"/>
  <c r="AZ164" i="157" a="1"/>
  <c r="J247" i="157" a="1"/>
  <c r="V192" i="157" a="1"/>
  <c r="AD155" i="157" a="1"/>
  <c r="AV51" i="157" a="1"/>
  <c r="R251" i="157" a="1"/>
  <c r="AV180" i="157" a="1"/>
  <c r="AN235" i="157" a="1"/>
  <c r="AQ226" i="157" a="1"/>
  <c r="AQ208" i="157" a="1"/>
  <c r="V170" i="157" a="1"/>
  <c r="AV233" i="157" a="1"/>
  <c r="AV157" i="157" a="1"/>
  <c r="Z212" i="157" a="1"/>
  <c r="BC169" i="157" a="1"/>
  <c r="AV63" i="157" a="1"/>
  <c r="AN225" i="157" a="1"/>
  <c r="BG246" i="157" a="1"/>
  <c r="AH193" i="157" a="1"/>
  <c r="Z190" i="157" a="1"/>
  <c r="N220" i="157" a="1"/>
  <c r="N165" i="157" a="1"/>
  <c r="J246" i="157" a="1"/>
  <c r="AV214" i="157" a="1"/>
  <c r="AN251" i="157" a="1"/>
  <c r="Z182" i="157" a="1"/>
  <c r="R241" i="157" a="1"/>
  <c r="BC237" i="157" a="1"/>
  <c r="AH161" i="157" a="1"/>
  <c r="Z232" i="157" a="1"/>
  <c r="BG244" i="157" a="1"/>
  <c r="AH236" i="157" a="1"/>
  <c r="R187" i="157" a="1"/>
  <c r="R253" i="157" a="1"/>
  <c r="AV61" i="157" a="1"/>
  <c r="AQ182" i="157" a="1"/>
  <c r="AD216" i="157" a="1"/>
  <c r="AD196" i="157" a="1"/>
  <c r="R239" i="157" a="1"/>
  <c r="BC224" i="157" a="1"/>
  <c r="N234" i="157" a="1"/>
  <c r="AQ170" i="157" a="1"/>
  <c r="V216" i="157" a="1"/>
  <c r="AV185" i="157" a="1"/>
  <c r="BG189" i="157" a="1"/>
  <c r="V219" i="157" a="1"/>
  <c r="R195" i="157" a="1"/>
  <c r="BG250" i="157" a="1"/>
  <c r="BC239" i="157" a="1"/>
  <c r="J168" i="157" a="1"/>
  <c r="AD243" i="157" a="1"/>
  <c r="J194" i="157" a="1"/>
  <c r="R242" i="157" a="1"/>
  <c r="R192" i="157" a="1"/>
  <c r="BG245" i="157" a="1"/>
  <c r="Z189" i="157" a="1"/>
  <c r="R174" i="157" a="1"/>
  <c r="R162" i="157" a="1"/>
  <c r="V231" i="157" a="1"/>
  <c r="AQ175" i="157" a="1"/>
  <c r="AZ166" i="157" a="1"/>
  <c r="R215" i="157" a="1"/>
  <c r="AZ176" i="157" a="1"/>
  <c r="BC241" i="157" a="1"/>
  <c r="AN219" i="157" a="1"/>
  <c r="AN222" i="157" a="1"/>
  <c r="AQ196" i="157" a="1"/>
  <c r="G224" i="157" a="1"/>
  <c r="AV232" i="157" a="1"/>
  <c r="BG198" i="157" a="1"/>
  <c r="BC226" i="157" a="1"/>
  <c r="V168" i="157" a="1"/>
  <c r="AN199" i="157" a="1"/>
  <c r="V164" i="157" a="1"/>
  <c r="AH167" i="157" a="1"/>
  <c r="AV86" i="157" a="1"/>
  <c r="BK193" i="157" a="1"/>
  <c r="BC197" i="157" a="1"/>
  <c r="G173" i="157" a="1"/>
  <c r="AQ159" i="157" a="1"/>
  <c r="R222" i="157" a="1"/>
  <c r="AV171" i="157" a="1"/>
  <c r="N198" i="157" a="1"/>
  <c r="AV177" i="157" a="1"/>
  <c r="AV186" i="157" a="1"/>
  <c r="G200" i="157" a="1"/>
  <c r="J210" i="157" a="1"/>
  <c r="Z219" i="157" a="1"/>
  <c r="BG242" i="157" a="1"/>
  <c r="J171" i="157" a="1"/>
  <c r="J241" i="157" a="1"/>
  <c r="AV12" i="157" a="1"/>
  <c r="BK167" i="157" a="1"/>
  <c r="G234" i="157" a="1"/>
  <c r="AZ245" i="157" a="1"/>
  <c r="AV182" i="157" a="1"/>
  <c r="AH168" i="157" a="1"/>
  <c r="BG167" i="157" a="1"/>
  <c r="AQ184" i="157" a="1"/>
  <c r="AH200" i="157" a="1"/>
  <c r="AV20" i="157" a="1"/>
  <c r="AN186" i="157" a="1"/>
  <c r="BC233" i="157" a="1"/>
  <c r="AH182" i="157" a="1"/>
  <c r="AV243" i="157" a="1"/>
  <c r="BC181" i="157" a="1"/>
  <c r="Z167" i="157" a="1"/>
  <c r="AV11" i="157" a="1"/>
  <c r="BC223" i="157" a="1"/>
  <c r="BC213" i="157" a="1"/>
  <c r="BK206" i="157" a="1"/>
  <c r="V211" i="157" a="1"/>
  <c r="G198" i="157" a="1"/>
  <c r="BG186" i="157" a="1"/>
  <c r="V189" i="157" a="1"/>
  <c r="AH171" i="157" a="1"/>
  <c r="AH239" i="157" a="1"/>
  <c r="BC248" i="157" a="1"/>
  <c r="BK221" i="157" a="1"/>
  <c r="AV6" i="157" a="1"/>
  <c r="Z247" i="157" a="1"/>
  <c r="AZ240" i="157" a="1"/>
  <c r="R211" i="157" a="1"/>
  <c r="AV216" i="157" a="1"/>
  <c r="AZ252" i="157" a="1"/>
  <c r="Z244" i="157" a="1"/>
  <c r="Z202" i="157" a="1"/>
  <c r="AD233" i="157" a="1"/>
  <c r="BC163" i="157" a="1"/>
  <c r="BC210" i="157" a="1"/>
  <c r="V155" i="157" a="1"/>
  <c r="AV8" i="157" a="1"/>
  <c r="BG249" i="157" a="1"/>
  <c r="J239" i="157" a="1"/>
  <c r="AV200" i="157" a="1"/>
  <c r="BC191" i="157" a="1"/>
  <c r="AH219" i="157" a="1"/>
  <c r="G170" i="157" a="1"/>
  <c r="Z161" i="157" a="1"/>
  <c r="AV89" i="157" a="1"/>
  <c r="AD217" i="157" a="1"/>
  <c r="AV5" i="157" a="1"/>
  <c r="BG174" i="157" a="1"/>
  <c r="BC251" i="157" a="1"/>
  <c r="AQ225" i="157" a="1"/>
  <c r="AV249" i="157" a="1"/>
  <c r="AV192" i="157" a="1"/>
  <c r="Z172" i="157" a="1"/>
  <c r="BG177" i="157" a="1"/>
  <c r="BG240" i="157" a="1"/>
  <c r="G180" i="157" a="1"/>
  <c r="BK246" i="157" a="1"/>
  <c r="AN175" i="157" a="1"/>
  <c r="AN214" i="157" a="1"/>
  <c r="AV239" i="157" a="1"/>
  <c r="AZ207" i="157" a="1"/>
  <c r="N235" i="157" a="1"/>
  <c r="Z230" i="157" a="1"/>
  <c r="BK184" i="157" a="1"/>
  <c r="N232" i="157" a="1"/>
  <c r="BK222" i="157" a="1"/>
  <c r="AZ171" i="157" a="1"/>
  <c r="N187" i="157" a="1"/>
  <c r="N192" i="157" a="1"/>
  <c r="AN160" i="157" a="1"/>
  <c r="AQ201" i="157" a="1"/>
  <c r="AN241" i="157" a="1"/>
  <c r="Z175" i="157" a="1"/>
  <c r="AV14" i="157" a="1"/>
  <c r="AD178" i="157" a="1"/>
  <c r="G238" i="157" a="1"/>
  <c r="AZ170" i="157" a="1"/>
  <c r="R218" i="157" a="1"/>
  <c r="AD191" i="157" a="1"/>
  <c r="G189" i="157" a="1"/>
  <c r="V183" i="157" a="1"/>
  <c r="BC234" i="157" a="1"/>
  <c r="BG243" i="157" a="1"/>
  <c r="BG196" i="157" a="1"/>
  <c r="AQ157" i="157" a="1"/>
  <c r="AV190" i="157" a="1"/>
  <c r="AV58" i="157" a="1"/>
  <c r="AN159" i="157" a="1"/>
  <c r="V171" i="157" a="1"/>
  <c r="AH224" i="157" a="1"/>
  <c r="AD210" i="157" a="1"/>
  <c r="AD161" i="157" a="1"/>
  <c r="G242" i="157" a="1"/>
  <c r="Z193" i="157" a="1"/>
  <c r="BG236" i="157" a="1"/>
  <c r="AV66" i="157" a="1"/>
  <c r="G191" i="157" a="1"/>
  <c r="AV217" i="157" a="1"/>
  <c r="BC220" i="157" a="1"/>
  <c r="AD165" i="157" a="1"/>
  <c r="AN167" i="157" a="1"/>
  <c r="BC209" i="157" a="1"/>
  <c r="AV36" i="157" a="1"/>
  <c r="AN242" i="157" a="1"/>
  <c r="J159" i="157" a="1"/>
  <c r="AQ199" i="157" a="1"/>
  <c r="BG166" i="157" a="1"/>
  <c r="AV170" i="157" a="1"/>
  <c r="BK238" i="157" a="1"/>
  <c r="Z186" i="157" a="1"/>
  <c r="V233" i="157" a="1"/>
  <c r="AV16" i="157" a="1"/>
  <c r="AQ239" i="157" a="1"/>
  <c r="AZ205" i="157" a="1"/>
  <c r="AH205" i="157" a="1"/>
  <c r="J172" i="157" a="1"/>
  <c r="N239" i="157" a="1"/>
  <c r="G211" i="157" a="1"/>
  <c r="AC88" i="198" l="1"/>
  <c r="Y88" i="198"/>
  <c r="AA107" i="198"/>
  <c r="B82" i="198"/>
  <c r="C82" i="198"/>
  <c r="V88" i="198"/>
  <c r="U88" i="198"/>
  <c r="T88" i="198"/>
  <c r="S88" i="198"/>
  <c r="R88" i="198"/>
  <c r="O88" i="198"/>
  <c r="N88" i="198"/>
  <c r="M88" i="198"/>
  <c r="L108" i="198"/>
  <c r="L88" i="198"/>
  <c r="K108" i="198"/>
  <c r="K88" i="198"/>
  <c r="J88" i="198"/>
  <c r="J101" i="198" s="1"/>
  <c r="J106" i="198" s="1"/>
  <c r="AN243" i="157"/>
  <c r="Z207" i="157"/>
  <c r="AV245" i="157"/>
  <c r="Z209" i="157"/>
  <c r="AV253" i="157"/>
  <c r="BG252" i="157"/>
  <c r="R219" i="157"/>
  <c r="BG232" i="157"/>
  <c r="AH212" i="157"/>
  <c r="R226" i="157"/>
  <c r="AZ213" i="157"/>
  <c r="J243" i="157"/>
  <c r="V223" i="157"/>
  <c r="AN239" i="157"/>
  <c r="AH218" i="157"/>
  <c r="R212" i="157"/>
  <c r="AZ219" i="157"/>
  <c r="R232" i="157"/>
  <c r="G209" i="157"/>
  <c r="Z238" i="157"/>
  <c r="R216" i="157"/>
  <c r="J252" i="157"/>
  <c r="R253" i="157"/>
  <c r="R225" i="157"/>
  <c r="Z210" i="157"/>
  <c r="AN216" i="157"/>
  <c r="G210" i="157"/>
  <c r="AD217" i="157"/>
  <c r="AN217" i="157"/>
  <c r="G247" i="157"/>
  <c r="AH247" i="157"/>
  <c r="G238" i="157"/>
  <c r="Z243" i="157"/>
  <c r="AH232" i="157"/>
  <c r="BG253" i="157"/>
  <c r="AQ207" i="157"/>
  <c r="BG227" i="157"/>
  <c r="AQ233" i="157"/>
  <c r="V218" i="157"/>
  <c r="V231" i="157"/>
  <c r="G225" i="157"/>
  <c r="BG226" i="157"/>
  <c r="BK220" i="157"/>
  <c r="AZ230" i="157"/>
  <c r="BG214" i="157"/>
  <c r="J216" i="157"/>
  <c r="AD205" i="157"/>
  <c r="AZ218" i="157"/>
  <c r="BG220" i="157"/>
  <c r="Z240" i="157"/>
  <c r="AQ249" i="157"/>
  <c r="R246" i="157"/>
  <c r="AQ247" i="157"/>
  <c r="N233" i="157"/>
  <c r="AD230" i="157"/>
  <c r="BC238" i="157"/>
  <c r="AN223" i="157"/>
  <c r="J248" i="157"/>
  <c r="R250" i="157"/>
  <c r="AN225" i="157"/>
  <c r="BG238" i="157"/>
  <c r="BG223" i="157"/>
  <c r="AH251" i="157"/>
  <c r="BC240" i="157"/>
  <c r="AV227" i="157"/>
  <c r="Z245" i="157"/>
  <c r="G208" i="157"/>
  <c r="AD214" i="157"/>
  <c r="J219" i="157"/>
  <c r="AD207" i="157"/>
  <c r="AH219" i="157"/>
  <c r="AV208" i="157"/>
  <c r="V233" i="157"/>
  <c r="AD231" i="157"/>
  <c r="AZ250" i="157"/>
  <c r="BC232" i="157"/>
  <c r="BC233" i="157"/>
  <c r="BK241" i="157"/>
  <c r="BG208" i="157"/>
  <c r="AV240" i="157"/>
  <c r="AQ217" i="157"/>
  <c r="AZ231" i="157"/>
  <c r="AQ219" i="157"/>
  <c r="J240" i="157"/>
  <c r="J212" i="157"/>
  <c r="Z235" i="157"/>
  <c r="R248" i="157"/>
  <c r="AV233" i="157"/>
  <c r="J209" i="157"/>
  <c r="AH225" i="157"/>
  <c r="BG236" i="157"/>
  <c r="AH234" i="157"/>
  <c r="AQ242" i="157"/>
  <c r="Z247" i="157"/>
  <c r="AV205" i="157"/>
  <c r="AH228" i="157"/>
  <c r="AN236" i="157"/>
  <c r="AD242" i="157"/>
  <c r="AD237" i="157"/>
  <c r="V252" i="157"/>
  <c r="AQ221" i="157"/>
  <c r="R215" i="157"/>
  <c r="N231" i="157"/>
  <c r="AD239" i="157"/>
  <c r="AZ227" i="157"/>
  <c r="AQ228" i="157"/>
  <c r="Z252" i="157"/>
  <c r="AH244" i="157"/>
  <c r="V243" i="157"/>
  <c r="N247" i="157"/>
  <c r="AV230" i="157"/>
  <c r="BK213" i="157"/>
  <c r="R235" i="157"/>
  <c r="Z211" i="157"/>
  <c r="Z213" i="157"/>
  <c r="BG237" i="157"/>
  <c r="Z249" i="157"/>
  <c r="G221" i="157"/>
  <c r="V250" i="157"/>
  <c r="N225" i="157"/>
  <c r="AZ243" i="157"/>
  <c r="AD226" i="157"/>
  <c r="AD244" i="157"/>
  <c r="AN213" i="157"/>
  <c r="J245" i="157"/>
  <c r="R221" i="157"/>
  <c r="Z250" i="157"/>
  <c r="AZ223" i="157"/>
  <c r="BC231" i="157"/>
  <c r="BG225" i="157"/>
  <c r="BC222" i="157"/>
  <c r="AH231" i="157"/>
  <c r="N227" i="157"/>
  <c r="BC226" i="157"/>
  <c r="AH237" i="157"/>
  <c r="AD228" i="157"/>
  <c r="AH214" i="157"/>
  <c r="AD211" i="157"/>
  <c r="BC228" i="157"/>
  <c r="AH227" i="157"/>
  <c r="N232" i="157"/>
  <c r="Z253" i="157"/>
  <c r="BK242" i="157"/>
  <c r="BC230" i="157"/>
  <c r="N245" i="157"/>
  <c r="BK243" i="157"/>
  <c r="J217" i="157"/>
  <c r="AZ228" i="157"/>
  <c r="R227" i="157"/>
  <c r="AZ252" i="157"/>
  <c r="Z206" i="157"/>
  <c r="R224" i="157"/>
  <c r="BG224" i="157"/>
  <c r="AH222" i="157"/>
  <c r="AZ241" i="157"/>
  <c r="G215" i="157"/>
  <c r="Z233" i="157"/>
  <c r="G216" i="157"/>
  <c r="BG239" i="157"/>
  <c r="AN227" i="157"/>
  <c r="J227" i="157"/>
  <c r="R251" i="157"/>
  <c r="N244" i="157"/>
  <c r="AV221" i="157"/>
  <c r="AN252" i="157"/>
  <c r="BC234" i="157"/>
  <c r="BC217" i="157"/>
  <c r="AV215" i="157"/>
  <c r="Z220" i="157"/>
  <c r="N234" i="157"/>
  <c r="R213" i="157"/>
  <c r="BC224" i="157"/>
  <c r="AV236" i="157"/>
  <c r="V207" i="157"/>
  <c r="BC209" i="157"/>
  <c r="AD216" i="157"/>
  <c r="AH220" i="157"/>
  <c r="AD213" i="157"/>
  <c r="AN205" i="157"/>
  <c r="AQ205" i="157"/>
  <c r="N246" i="157"/>
  <c r="AQ232" i="157"/>
  <c r="BC250" i="157"/>
  <c r="BK232" i="157"/>
  <c r="BC245" i="157"/>
  <c r="AQ244" i="157"/>
  <c r="BC225" i="157"/>
  <c r="G237" i="157"/>
  <c r="V208" i="157"/>
  <c r="BC247" i="157"/>
  <c r="R234" i="157"/>
  <c r="AQ214" i="157"/>
  <c r="AZ234" i="157"/>
  <c r="BK209" i="157"/>
  <c r="AV237" i="157"/>
  <c r="AV214" i="157"/>
  <c r="AN238" i="157"/>
  <c r="V220" i="157"/>
  <c r="BK215" i="157"/>
  <c r="AN240" i="157"/>
  <c r="AH253" i="157"/>
  <c r="J214" i="157"/>
  <c r="BG251" i="157"/>
  <c r="G206" i="157"/>
  <c r="AZ214" i="157"/>
  <c r="BG211" i="157"/>
  <c r="V246" i="157"/>
  <c r="Z216" i="157"/>
  <c r="AQ224" i="157"/>
  <c r="G252" i="157"/>
  <c r="J210" i="157"/>
  <c r="BC252" i="157"/>
  <c r="Z212" i="157"/>
  <c r="AV217" i="157"/>
  <c r="AH206" i="157"/>
  <c r="AD215" i="157"/>
  <c r="AN207" i="157"/>
  <c r="V206" i="157"/>
  <c r="AH239" i="157"/>
  <c r="AV234" i="157"/>
  <c r="AD241" i="157"/>
  <c r="J234" i="157"/>
  <c r="AH246" i="157"/>
  <c r="V245" i="157"/>
  <c r="AN241" i="157"/>
  <c r="G240" i="157"/>
  <c r="Z234" i="157"/>
  <c r="BG234" i="157"/>
  <c r="R231" i="157"/>
  <c r="BK217" i="157"/>
  <c r="Z205" i="157"/>
  <c r="R209" i="157"/>
  <c r="J220" i="157"/>
  <c r="AV212" i="157"/>
  <c r="BG242" i="157"/>
  <c r="N240" i="157"/>
  <c r="BC235" i="157"/>
  <c r="N223" i="157"/>
  <c r="G245" i="157"/>
  <c r="AD243" i="157"/>
  <c r="BG230" i="157"/>
  <c r="AZ233" i="157"/>
  <c r="AN242" i="157"/>
  <c r="AQ216" i="157"/>
  <c r="V213" i="157"/>
  <c r="Z215" i="157"/>
  <c r="J228" i="157"/>
  <c r="V210" i="157"/>
  <c r="AD247" i="157"/>
  <c r="Z244" i="157"/>
  <c r="J236" i="157"/>
  <c r="AD234" i="157"/>
  <c r="BG235" i="157"/>
  <c r="V211" i="157"/>
  <c r="V227" i="157"/>
  <c r="AV216" i="157"/>
  <c r="BC218" i="157"/>
  <c r="V224" i="157"/>
  <c r="BC248" i="157"/>
  <c r="AN235" i="157"/>
  <c r="AZ244" i="157"/>
  <c r="AD248" i="157"/>
  <c r="N251" i="157"/>
  <c r="R207" i="157"/>
  <c r="AQ218" i="157"/>
  <c r="AZ205" i="157"/>
  <c r="AN228" i="157"/>
  <c r="AD221" i="157"/>
  <c r="AV210" i="157"/>
  <c r="BC220" i="157"/>
  <c r="AQ211" i="157"/>
  <c r="BC242" i="157"/>
  <c r="AN249" i="157"/>
  <c r="AZ246" i="157"/>
  <c r="AN233" i="157"/>
  <c r="AV248" i="157"/>
  <c r="AZ235" i="157"/>
  <c r="AH238" i="157"/>
  <c r="R245" i="157"/>
  <c r="V249" i="157"/>
  <c r="AD220" i="157"/>
  <c r="AH208" i="157"/>
  <c r="BC213" i="157"/>
  <c r="BG219" i="157"/>
  <c r="J211" i="157"/>
  <c r="V215" i="157"/>
  <c r="AQ226" i="157"/>
  <c r="G207" i="157"/>
  <c r="Z219" i="157"/>
  <c r="J222" i="157"/>
  <c r="G224" i="157"/>
  <c r="N206" i="157"/>
  <c r="BG216" i="157"/>
  <c r="N222" i="157"/>
  <c r="N212" i="157"/>
  <c r="V212" i="157"/>
  <c r="AQ225" i="157"/>
  <c r="AV250" i="157"/>
  <c r="AV243" i="157"/>
  <c r="R230" i="157"/>
  <c r="AV239" i="157"/>
  <c r="BK250" i="157"/>
  <c r="AV247" i="157"/>
  <c r="AQ245" i="157"/>
  <c r="BK240" i="157"/>
  <c r="V240" i="157"/>
  <c r="V230" i="157"/>
  <c r="G249" i="157"/>
  <c r="AD236" i="157"/>
  <c r="AZ249" i="157"/>
  <c r="N239" i="157"/>
  <c r="AH252" i="157"/>
  <c r="BG245" i="157"/>
  <c r="R243" i="157"/>
  <c r="BK249" i="157"/>
  <c r="AD251" i="157"/>
  <c r="J237" i="157"/>
  <c r="AD250" i="157"/>
  <c r="BC239" i="157"/>
  <c r="N253" i="157"/>
  <c r="AN246" i="157"/>
  <c r="BK253" i="157"/>
  <c r="AQ250" i="157"/>
  <c r="BK238" i="157"/>
  <c r="J244" i="157"/>
  <c r="AZ245" i="157"/>
  <c r="BK245" i="157"/>
  <c r="AN224" i="157"/>
  <c r="AZ215" i="157"/>
  <c r="Z217" i="157"/>
  <c r="R228" i="157"/>
  <c r="AD249" i="157"/>
  <c r="N242" i="157"/>
  <c r="Z232" i="157"/>
  <c r="AV251" i="157"/>
  <c r="J233" i="157"/>
  <c r="AN232" i="157"/>
  <c r="AZ221" i="157"/>
  <c r="AQ212" i="157"/>
  <c r="AN226" i="157"/>
  <c r="J218" i="157"/>
  <c r="AZ222" i="157"/>
  <c r="AH205" i="157"/>
  <c r="AQ241" i="157"/>
  <c r="Z241" i="157"/>
  <c r="AD235" i="157"/>
  <c r="J247" i="157"/>
  <c r="V247" i="157"/>
  <c r="AV225" i="157"/>
  <c r="AD219" i="157"/>
  <c r="BG212" i="157"/>
  <c r="AQ223" i="157"/>
  <c r="AH233" i="157"/>
  <c r="V242" i="157"/>
  <c r="Z236" i="157"/>
  <c r="AZ247" i="157"/>
  <c r="BK247" i="157"/>
  <c r="N205" i="157"/>
  <c r="Z224" i="157"/>
  <c r="G219" i="157"/>
  <c r="R214" i="157"/>
  <c r="BK210" i="157"/>
  <c r="AQ236" i="157"/>
  <c r="AH243" i="157"/>
  <c r="G242" i="157"/>
  <c r="J235" i="157"/>
  <c r="AN244" i="157"/>
  <c r="N219" i="157"/>
  <c r="AN212" i="157"/>
  <c r="J205" i="157"/>
  <c r="BC215" i="157"/>
  <c r="G218" i="157"/>
  <c r="AV222" i="157"/>
  <c r="AN215" i="157"/>
  <c r="BC210" i="157"/>
  <c r="N236" i="157"/>
  <c r="AZ238" i="157"/>
  <c r="G250" i="157"/>
  <c r="AV244" i="157"/>
  <c r="Z239" i="157"/>
  <c r="BG246" i="157"/>
  <c r="J249" i="157"/>
  <c r="BC251" i="157"/>
  <c r="R239" i="157"/>
  <c r="AV209" i="157"/>
  <c r="G211" i="157"/>
  <c r="AV213" i="157"/>
  <c r="J215" i="157"/>
  <c r="N221" i="157"/>
  <c r="Z218" i="157"/>
  <c r="AN222" i="157"/>
  <c r="BG221" i="157"/>
  <c r="V221" i="157"/>
  <c r="AV220" i="157"/>
  <c r="AD223" i="157"/>
  <c r="Z225" i="157"/>
  <c r="AH207" i="157"/>
  <c r="R218" i="157"/>
  <c r="N224" i="157"/>
  <c r="AH213" i="157"/>
  <c r="BK212" i="157"/>
  <c r="V226" i="157"/>
  <c r="R236" i="157"/>
  <c r="N230" i="157"/>
  <c r="Z231" i="157"/>
  <c r="J242" i="157"/>
  <c r="AQ230" i="157"/>
  <c r="BG248" i="157"/>
  <c r="BC246" i="157"/>
  <c r="AV246" i="157"/>
  <c r="AH241" i="157"/>
  <c r="BK223" i="157"/>
  <c r="G217" i="157"/>
  <c r="N217" i="157"/>
  <c r="V217" i="157"/>
  <c r="AD222" i="157"/>
  <c r="AD224" i="157"/>
  <c r="J225" i="157"/>
  <c r="BG209" i="157"/>
  <c r="BC223" i="157"/>
  <c r="G222" i="157"/>
  <c r="J224" i="157"/>
  <c r="AV226" i="157"/>
  <c r="BC208" i="157"/>
  <c r="BG218" i="157"/>
  <c r="N226" i="157"/>
  <c r="BC214" i="157"/>
  <c r="AQ213" i="157"/>
  <c r="BK230" i="157"/>
  <c r="AN251" i="157"/>
  <c r="V234" i="157"/>
  <c r="R244" i="157"/>
  <c r="AN231" i="157"/>
  <c r="J250" i="157"/>
  <c r="G248" i="157"/>
  <c r="AV231" i="157"/>
  <c r="AV242" i="157"/>
  <c r="AN237" i="157"/>
  <c r="BK231" i="157"/>
  <c r="AZ237" i="157"/>
  <c r="J251" i="157"/>
  <c r="AH240" i="157"/>
  <c r="BC253" i="157"/>
  <c r="R247" i="157"/>
  <c r="BK237" i="157"/>
  <c r="V251" i="157"/>
  <c r="N235" i="157"/>
  <c r="AH210" i="157"/>
  <c r="V222" i="157"/>
  <c r="BG241" i="157"/>
  <c r="G213" i="157"/>
  <c r="BG228" i="157"/>
  <c r="AH236" i="157"/>
  <c r="V205" i="157"/>
  <c r="BC216" i="157"/>
  <c r="N237" i="157"/>
  <c r="G205" i="157"/>
  <c r="AV206" i="157"/>
  <c r="Z248" i="157"/>
  <c r="R237" i="157"/>
  <c r="BC227" i="157"/>
  <c r="AV223" i="157"/>
  <c r="Z226" i="157"/>
  <c r="AZ224" i="157"/>
  <c r="N210" i="157"/>
  <c r="AN219" i="157"/>
  <c r="N228" i="157"/>
  <c r="N216" i="157"/>
  <c r="V214" i="157"/>
  <c r="V237" i="157"/>
  <c r="BK252" i="157"/>
  <c r="AV232" i="157"/>
  <c r="BK248" i="157"/>
  <c r="AQ243" i="157"/>
  <c r="G234" i="157"/>
  <c r="AZ251" i="157"/>
  <c r="J231" i="157"/>
  <c r="BK251" i="157"/>
  <c r="AD208" i="157"/>
  <c r="AN214" i="157"/>
  <c r="AD206" i="157"/>
  <c r="BC219" i="157"/>
  <c r="AQ206" i="157"/>
  <c r="AD218" i="157"/>
  <c r="AN210" i="157"/>
  <c r="BK227" i="157"/>
  <c r="J207" i="157"/>
  <c r="AV224" i="157"/>
  <c r="AD225" i="157"/>
  <c r="J206" i="157"/>
  <c r="AH211" i="157"/>
  <c r="R220" i="157"/>
  <c r="R206" i="157"/>
  <c r="N218" i="157"/>
  <c r="BK214" i="157"/>
  <c r="V228" i="157"/>
  <c r="BG244" i="157"/>
  <c r="AQ251" i="157"/>
  <c r="V232" i="157"/>
  <c r="AN247" i="157"/>
  <c r="AQ235" i="157"/>
  <c r="AQ231" i="157"/>
  <c r="N250" i="157"/>
  <c r="AN253" i="157"/>
  <c r="BC244" i="157"/>
  <c r="AV249" i="157"/>
  <c r="AQ253" i="157"/>
  <c r="J239" i="157"/>
  <c r="AD252" i="157"/>
  <c r="BC241" i="157"/>
  <c r="AN230" i="157"/>
  <c r="AN248" i="157"/>
  <c r="V239" i="157"/>
  <c r="AQ252" i="157"/>
  <c r="AQ227" i="157"/>
  <c r="G244" i="157"/>
  <c r="AD245" i="157"/>
  <c r="G251" i="157"/>
  <c r="BK235" i="157"/>
  <c r="G243" i="157"/>
  <c r="AD238" i="157"/>
  <c r="N241" i="157"/>
  <c r="BG247" i="157"/>
  <c r="AQ238" i="157"/>
  <c r="AQ210" i="157"/>
  <c r="AN220" i="157"/>
  <c r="BK221" i="157"/>
  <c r="J221" i="157"/>
  <c r="N209" i="157"/>
  <c r="AV207" i="157"/>
  <c r="BC211" i="157"/>
  <c r="G227" i="157"/>
  <c r="Z208" i="157"/>
  <c r="G226" i="157"/>
  <c r="J226" i="157"/>
  <c r="J208" i="157"/>
  <c r="BC212" i="157"/>
  <c r="AN221" i="157"/>
  <c r="R208" i="157"/>
  <c r="N220" i="157"/>
  <c r="AQ215" i="157"/>
  <c r="BK228" i="157"/>
  <c r="G231" i="157"/>
  <c r="Z237" i="157"/>
  <c r="AD233" i="157"/>
  <c r="AZ248" i="157"/>
  <c r="AZ236" i="157"/>
  <c r="AZ232" i="157"/>
  <c r="Z251" i="157"/>
  <c r="BK233" i="157"/>
  <c r="G246" i="157"/>
  <c r="AQ234" i="157"/>
  <c r="G232" i="157"/>
  <c r="AZ239" i="157"/>
  <c r="J253" i="157"/>
  <c r="AH242" i="157"/>
  <c r="BG231" i="157"/>
  <c r="R249" i="157"/>
  <c r="BK239" i="157"/>
  <c r="V253" i="157"/>
  <c r="AH248" i="157"/>
  <c r="G212" i="157"/>
  <c r="V248" i="157"/>
  <c r="N249" i="157"/>
  <c r="AZ211" i="157"/>
  <c r="AQ209" i="157"/>
  <c r="BC249" i="157"/>
  <c r="AH216" i="157"/>
  <c r="AZ242" i="157"/>
  <c r="AH250" i="157"/>
  <c r="AZ220" i="157"/>
  <c r="J230" i="157"/>
  <c r="BC237" i="157"/>
  <c r="AQ240" i="157"/>
  <c r="AV241" i="157"/>
  <c r="G241" i="157"/>
  <c r="BK236" i="157"/>
  <c r="AD232" i="157"/>
  <c r="R241" i="157"/>
  <c r="AQ220" i="157"/>
  <c r="AZ209" i="157"/>
  <c r="AZ216" i="157"/>
  <c r="R210" i="157"/>
  <c r="BK208" i="157"/>
  <c r="AH235" i="157"/>
  <c r="R242" i="157"/>
  <c r="AV252" i="157"/>
  <c r="J238" i="157"/>
  <c r="AD246" i="157"/>
  <c r="AQ246" i="157"/>
  <c r="Z228" i="157"/>
  <c r="V225" i="157"/>
  <c r="G214" i="157"/>
  <c r="AV218" i="157"/>
  <c r="AN211" i="157"/>
  <c r="BK222" i="157"/>
  <c r="G235" i="157"/>
  <c r="V244" i="157"/>
  <c r="BG240" i="157"/>
  <c r="R240" i="157"/>
  <c r="BG233" i="157"/>
  <c r="G223" i="157"/>
  <c r="BG213" i="157"/>
  <c r="V219" i="157"/>
  <c r="G220" i="157"/>
  <c r="N208" i="157"/>
  <c r="AH249" i="157"/>
  <c r="AH245" i="157"/>
  <c r="Z246" i="157"/>
  <c r="Z242" i="157"/>
  <c r="BG243" i="157"/>
  <c r="BG217" i="157"/>
  <c r="N215" i="157"/>
  <c r="AN208" i="157"/>
  <c r="Z221" i="157"/>
  <c r="AH209" i="157"/>
  <c r="V235" i="157"/>
  <c r="AN245" i="157"/>
  <c r="N238" i="157"/>
  <c r="AQ248" i="157"/>
  <c r="AQ208" i="157"/>
  <c r="N213" i="157"/>
  <c r="AV219" i="157"/>
  <c r="AN218" i="157"/>
  <c r="AD212" i="157"/>
  <c r="V209" i="157"/>
  <c r="BG215" i="157"/>
  <c r="Z223" i="157"/>
  <c r="G228" i="157"/>
  <c r="AH226" i="157"/>
  <c r="BC221" i="157"/>
  <c r="R223" i="157"/>
  <c r="Z222" i="157"/>
  <c r="AD210" i="157"/>
  <c r="AZ225" i="157"/>
  <c r="J213" i="157"/>
  <c r="R211" i="157"/>
  <c r="AH215" i="157"/>
  <c r="Z227" i="157"/>
  <c r="AZ226" i="157"/>
  <c r="AD209" i="157"/>
  <c r="N214" i="157"/>
  <c r="R222" i="157"/>
  <c r="AN209" i="157"/>
  <c r="AH221" i="157"/>
  <c r="V216" i="157"/>
  <c r="V238" i="157"/>
  <c r="R238" i="157"/>
  <c r="J232" i="157"/>
  <c r="AV238" i="157"/>
  <c r="BG250" i="157"/>
  <c r="R252" i="157"/>
  <c r="AV235" i="157"/>
  <c r="V236" i="157"/>
  <c r="G236" i="157"/>
  <c r="BK246" i="157"/>
  <c r="N252" i="157"/>
  <c r="BK234" i="157"/>
  <c r="AD240" i="157"/>
  <c r="AZ253" i="157"/>
  <c r="N243" i="157"/>
  <c r="R233" i="157"/>
  <c r="BG249" i="157"/>
  <c r="N207" i="157"/>
  <c r="J223" i="157"/>
  <c r="AH224" i="157"/>
  <c r="AN206" i="157"/>
  <c r="AV211" i="157"/>
  <c r="R205" i="157"/>
  <c r="Z214" i="157"/>
  <c r="R217" i="157"/>
  <c r="AQ222" i="157"/>
  <c r="AV228" i="157"/>
  <c r="AD227" i="157"/>
  <c r="AZ210" i="157"/>
  <c r="AH217" i="157"/>
  <c r="BG222" i="157"/>
  <c r="BG210" i="157"/>
  <c r="AH223" i="157"/>
  <c r="BK216" i="157"/>
  <c r="G233" i="157"/>
  <c r="BK244" i="157"/>
  <c r="J246" i="157"/>
  <c r="AQ239" i="157"/>
  <c r="Z230" i="157"/>
  <c r="AD253" i="157"/>
  <c r="BC236" i="157"/>
  <c r="AZ240" i="157"/>
  <c r="G239" i="157"/>
  <c r="N248" i="157"/>
  <c r="AQ237" i="157"/>
  <c r="G230" i="157"/>
  <c r="J241" i="157"/>
  <c r="AH230" i="157"/>
  <c r="BC243" i="157"/>
  <c r="AN234" i="157"/>
  <c r="AN250" i="157"/>
  <c r="V241" i="157"/>
  <c r="BG207" i="157"/>
  <c r="H99" i="198"/>
  <c r="BK207" i="157"/>
  <c r="H98" i="198"/>
  <c r="BC207" i="157"/>
  <c r="H97" i="198"/>
  <c r="AZ207" i="157"/>
  <c r="H96" i="198"/>
  <c r="H88" i="198"/>
  <c r="BG206" i="157"/>
  <c r="G99" i="198"/>
  <c r="BK206" i="157"/>
  <c r="G98" i="198"/>
  <c r="AZ206" i="157"/>
  <c r="G96" i="198"/>
  <c r="G88" i="198"/>
  <c r="BG205" i="157"/>
  <c r="F99" i="198"/>
  <c r="BK205" i="157"/>
  <c r="F98" i="198"/>
  <c r="BC205" i="157"/>
  <c r="F97" i="198"/>
  <c r="Z107" i="198"/>
  <c r="W107" i="198"/>
  <c r="AB107" i="198"/>
  <c r="M108" i="198"/>
  <c r="F107" i="198"/>
  <c r="R107" i="198"/>
  <c r="I107" i="198"/>
  <c r="S107" i="198"/>
  <c r="J107" i="198"/>
  <c r="K90" i="198"/>
  <c r="K107" i="198" s="1"/>
  <c r="P88" i="198"/>
  <c r="L90" i="198"/>
  <c r="L107" i="198" s="1"/>
  <c r="V108" i="198"/>
  <c r="F88" i="198"/>
  <c r="Z88" i="198"/>
  <c r="Q88" i="198"/>
  <c r="Q101" i="198" s="1"/>
  <c r="Q106" i="198" s="1"/>
  <c r="M90" i="198"/>
  <c r="M107" i="198" s="1"/>
  <c r="N108" i="198"/>
  <c r="X108" i="198"/>
  <c r="X90" i="198"/>
  <c r="X107" i="198" s="1"/>
  <c r="O108" i="198"/>
  <c r="Y108" i="198"/>
  <c r="Y90" i="198"/>
  <c r="Y107" i="198" s="1"/>
  <c r="P108" i="198"/>
  <c r="F82" i="198"/>
  <c r="Q108" i="198"/>
  <c r="AC108" i="198"/>
  <c r="AC90" i="198"/>
  <c r="AC107" i="198" s="1"/>
  <c r="N107" i="198"/>
  <c r="H107" i="198"/>
  <c r="Q82" i="198"/>
  <c r="P82" i="198"/>
  <c r="P96" i="198"/>
  <c r="K98" i="198"/>
  <c r="K82" i="198"/>
  <c r="K101" i="198"/>
  <c r="K106" i="198" s="1"/>
  <c r="N96" i="198"/>
  <c r="N101" i="198" s="1"/>
  <c r="N106" i="198" s="1"/>
  <c r="N82" i="198"/>
  <c r="O82" i="198"/>
  <c r="O96" i="198"/>
  <c r="O101" i="198" s="1"/>
  <c r="O106" i="198" s="1"/>
  <c r="L96" i="198"/>
  <c r="H82" i="198"/>
  <c r="AF67" i="198"/>
  <c r="AG67" i="198"/>
  <c r="S108" i="198"/>
  <c r="Q107" i="198"/>
  <c r="AH40" i="198"/>
  <c r="AG40" i="198"/>
  <c r="M59" i="198"/>
  <c r="T108" i="198"/>
  <c r="U108" i="198"/>
  <c r="W101" i="198"/>
  <c r="W106" i="198" s="1"/>
  <c r="AF56" i="198"/>
  <c r="S75" i="198"/>
  <c r="R108" i="198"/>
  <c r="T90" i="198"/>
  <c r="T107" i="198" s="1"/>
  <c r="AF40" i="198"/>
  <c r="AG56" i="198"/>
  <c r="T75" i="198"/>
  <c r="AH74" i="198"/>
  <c r="AF43" i="198"/>
  <c r="U90" i="198"/>
  <c r="U107" i="198" s="1"/>
  <c r="U82" i="198"/>
  <c r="Y75" i="198"/>
  <c r="Q96" i="198"/>
  <c r="AG71" i="198"/>
  <c r="AG43" i="198"/>
  <c r="AH43" i="198"/>
  <c r="AI65" i="198"/>
  <c r="Z75" i="198"/>
  <c r="AH62" i="198"/>
  <c r="AG62" i="198"/>
  <c r="AF53" i="198"/>
  <c r="AG53" i="198"/>
  <c r="G64" i="198"/>
  <c r="G82" i="198" s="1"/>
  <c r="AB101" i="198"/>
  <c r="AB106" i="198" s="1"/>
  <c r="AB82" i="198"/>
  <c r="AF74" i="198"/>
  <c r="AG74" i="198"/>
  <c r="AF70" i="198"/>
  <c r="J82" i="198"/>
  <c r="AG48" i="198"/>
  <c r="AH48" i="198"/>
  <c r="AI60" i="198"/>
  <c r="G107" i="198"/>
  <c r="AH61" i="198"/>
  <c r="AF61" i="198"/>
  <c r="AF48" i="198"/>
  <c r="I59" i="198"/>
  <c r="AF62" i="198"/>
  <c r="O107" i="198"/>
  <c r="AH44" i="198"/>
  <c r="AF44" i="198"/>
  <c r="AG44" i="198"/>
  <c r="P107" i="198"/>
  <c r="AI34" i="198"/>
  <c r="V90" i="198"/>
  <c r="V107" i="198" s="1"/>
  <c r="V82" i="198"/>
  <c r="W108" i="198"/>
  <c r="R59" i="198"/>
  <c r="AH53" i="198"/>
  <c r="AA75" i="198"/>
  <c r="L75" i="198"/>
  <c r="AF49" i="198"/>
  <c r="W82" i="198"/>
  <c r="F108" i="198"/>
  <c r="Z108" i="198"/>
  <c r="AG49" i="198"/>
  <c r="AF54" i="198"/>
  <c r="AF58" i="198"/>
  <c r="AH67" i="198"/>
  <c r="X82" i="198"/>
  <c r="G108" i="198"/>
  <c r="AA108" i="198"/>
  <c r="AG54" i="198"/>
  <c r="AG58" i="198"/>
  <c r="H108" i="198"/>
  <c r="AB108" i="198"/>
  <c r="J108" i="198"/>
  <c r="I108" i="198"/>
  <c r="AH41" i="198"/>
  <c r="AF41" i="198"/>
  <c r="AC82" i="198"/>
  <c r="AB88" i="197"/>
  <c r="AA107" i="197"/>
  <c r="AG55" i="197"/>
  <c r="AF55" i="197"/>
  <c r="AV105" i="157"/>
  <c r="AV84" i="157"/>
  <c r="AV95" i="157"/>
  <c r="AV96" i="157"/>
  <c r="AV97" i="157"/>
  <c r="AV89" i="157"/>
  <c r="AV99" i="157"/>
  <c r="AV80" i="157"/>
  <c r="AV90" i="157"/>
  <c r="AV100" i="157"/>
  <c r="AV81" i="157"/>
  <c r="AV91" i="157"/>
  <c r="AV101" i="157"/>
  <c r="AV94" i="157"/>
  <c r="AV85" i="157"/>
  <c r="AV86" i="157"/>
  <c r="AV87" i="157"/>
  <c r="AV98" i="157"/>
  <c r="AV82" i="157"/>
  <c r="AV92" i="157"/>
  <c r="AV102" i="157"/>
  <c r="AV88" i="157"/>
  <c r="AV83" i="157"/>
  <c r="AV93" i="157"/>
  <c r="AV103" i="157"/>
  <c r="AV68" i="157"/>
  <c r="AV60" i="157"/>
  <c r="AV61" i="157"/>
  <c r="AV62" i="157"/>
  <c r="AV73" i="157"/>
  <c r="AV74" i="157"/>
  <c r="AV55" i="157"/>
  <c r="AV65" i="157"/>
  <c r="AV75" i="157"/>
  <c r="AV56" i="157"/>
  <c r="AV66" i="157"/>
  <c r="AV76" i="157"/>
  <c r="AV57" i="157"/>
  <c r="AV67" i="157"/>
  <c r="AV77" i="157"/>
  <c r="AV69" i="157"/>
  <c r="AV58" i="157"/>
  <c r="AV78" i="157"/>
  <c r="AV59" i="157"/>
  <c r="AV70" i="157"/>
  <c r="AV71" i="157"/>
  <c r="AV72" i="157"/>
  <c r="AV63" i="157"/>
  <c r="AV64" i="157"/>
  <c r="AV44" i="157"/>
  <c r="AV45" i="157"/>
  <c r="AV36" i="157"/>
  <c r="AV46" i="157"/>
  <c r="AV37" i="157"/>
  <c r="AV47" i="157"/>
  <c r="AV38" i="157"/>
  <c r="AV48" i="157"/>
  <c r="AV39" i="157"/>
  <c r="AV49" i="157"/>
  <c r="AV30" i="157"/>
  <c r="AV40" i="157"/>
  <c r="AV50" i="157"/>
  <c r="AV31" i="157"/>
  <c r="AV41" i="157"/>
  <c r="AV51" i="157"/>
  <c r="AV32" i="157"/>
  <c r="AV42" i="157"/>
  <c r="AV52" i="157"/>
  <c r="AV34" i="157"/>
  <c r="AV35" i="157"/>
  <c r="AV33" i="157"/>
  <c r="AV43" i="157"/>
  <c r="AV53" i="157"/>
  <c r="AV10" i="157"/>
  <c r="AV22" i="157"/>
  <c r="AV23" i="157"/>
  <c r="AV15" i="157"/>
  <c r="AV25" i="157"/>
  <c r="AV6" i="157"/>
  <c r="AV16" i="157"/>
  <c r="AV26" i="157"/>
  <c r="AV20" i="157"/>
  <c r="AV24" i="157"/>
  <c r="AV7" i="157"/>
  <c r="AV17" i="157"/>
  <c r="AV27" i="157"/>
  <c r="AV9" i="157"/>
  <c r="AV11" i="157"/>
  <c r="AV13" i="157"/>
  <c r="AV19" i="157"/>
  <c r="AV21" i="157"/>
  <c r="AV12" i="157"/>
  <c r="AV14" i="157"/>
  <c r="AV8" i="157"/>
  <c r="AV18" i="157"/>
  <c r="AV28" i="157"/>
  <c r="AV5" i="157"/>
  <c r="AV180" i="157"/>
  <c r="Q107" i="197"/>
  <c r="Q88" i="197"/>
  <c r="P88" i="197"/>
  <c r="AH70" i="197"/>
  <c r="O64" i="197"/>
  <c r="AI60" i="197"/>
  <c r="O88" i="197"/>
  <c r="N101" i="197"/>
  <c r="N106" i="197" s="1"/>
  <c r="M88" i="197"/>
  <c r="L107" i="197"/>
  <c r="AH71" i="197"/>
  <c r="F75" i="197"/>
  <c r="F82" i="197" s="1"/>
  <c r="F90" i="197"/>
  <c r="F107" i="197" s="1"/>
  <c r="AF62" i="197"/>
  <c r="G107" i="197"/>
  <c r="V88" i="197"/>
  <c r="S107" i="197"/>
  <c r="Y88" i="197"/>
  <c r="O107" i="197"/>
  <c r="R107" i="197"/>
  <c r="W88" i="197"/>
  <c r="F88" i="197"/>
  <c r="W108" i="197"/>
  <c r="G88" i="197"/>
  <c r="AA88" i="197"/>
  <c r="R88" i="197"/>
  <c r="R101" i="197" s="1"/>
  <c r="R106" i="197" s="1"/>
  <c r="X88" i="197"/>
  <c r="S101" i="197"/>
  <c r="S106" i="197" s="1"/>
  <c r="M108" i="197"/>
  <c r="N82" i="197"/>
  <c r="T107" i="197"/>
  <c r="Z88" i="197"/>
  <c r="I88" i="197"/>
  <c r="I101" i="197" s="1"/>
  <c r="I106" i="197" s="1"/>
  <c r="T88" i="197"/>
  <c r="T101" i="197" s="1"/>
  <c r="T106" i="197" s="1"/>
  <c r="H88" i="197"/>
  <c r="J88" i="197"/>
  <c r="U88" i="197"/>
  <c r="O82" i="197"/>
  <c r="U107" i="197"/>
  <c r="H101" i="197"/>
  <c r="H106" i="197" s="1"/>
  <c r="S82" i="197"/>
  <c r="X107" i="197"/>
  <c r="J101" i="197"/>
  <c r="J106" i="197" s="1"/>
  <c r="Y107" i="197"/>
  <c r="M101" i="197"/>
  <c r="M106" i="197" s="1"/>
  <c r="X59" i="197"/>
  <c r="AF53" i="197"/>
  <c r="AC107" i="197"/>
  <c r="AG41" i="197"/>
  <c r="V90" i="197"/>
  <c r="V107" i="197" s="1"/>
  <c r="V82" i="197"/>
  <c r="AG38" i="197"/>
  <c r="G59" i="197"/>
  <c r="G75" i="197"/>
  <c r="G82" i="197" s="1"/>
  <c r="AG62" i="197"/>
  <c r="Q108" i="197"/>
  <c r="Y108" i="197"/>
  <c r="AH48" i="197"/>
  <c r="Q75" i="197"/>
  <c r="AG74" i="197"/>
  <c r="S108" i="197"/>
  <c r="AA108" i="197"/>
  <c r="AG61" i="197"/>
  <c r="AI34" i="197"/>
  <c r="AG70" i="197"/>
  <c r="U108" i="197"/>
  <c r="AC108" i="197"/>
  <c r="AC82" i="197"/>
  <c r="AG69" i="197"/>
  <c r="T82" i="197"/>
  <c r="K82" i="197"/>
  <c r="W75" i="197"/>
  <c r="AF71" i="197"/>
  <c r="M107" i="197"/>
  <c r="K101" i="197"/>
  <c r="K106" i="197" s="1"/>
  <c r="AF67" i="197"/>
  <c r="AH57" i="197"/>
  <c r="AG67" i="197"/>
  <c r="AH67" i="197"/>
  <c r="AH68" i="197"/>
  <c r="AF38" i="197"/>
  <c r="AG68" i="197"/>
  <c r="AH41" i="197"/>
  <c r="AB101" i="197"/>
  <c r="AB106" i="197" s="1"/>
  <c r="O108" i="197"/>
  <c r="AF44" i="197"/>
  <c r="AF69" i="197"/>
  <c r="AC101" i="197"/>
  <c r="AC106" i="197" s="1"/>
  <c r="B82" i="197"/>
  <c r="AG44" i="197"/>
  <c r="L64" i="197"/>
  <c r="AH62" i="197"/>
  <c r="R108" i="197"/>
  <c r="F108" i="197"/>
  <c r="AF61" i="197"/>
  <c r="H107" i="197"/>
  <c r="AF74" i="197"/>
  <c r="I107" i="197"/>
  <c r="T108" i="197"/>
  <c r="R82" i="197"/>
  <c r="I82" i="197"/>
  <c r="I108" i="197"/>
  <c r="V108" i="197"/>
  <c r="J82" i="197"/>
  <c r="J108" i="197"/>
  <c r="L108" i="197"/>
  <c r="AF56" i="197"/>
  <c r="X75" i="197"/>
  <c r="N107" i="197"/>
  <c r="AB107" i="197"/>
  <c r="AF41" i="197"/>
  <c r="AG53" i="197"/>
  <c r="N108" i="197"/>
  <c r="AH40" i="197"/>
  <c r="Y75" i="197"/>
  <c r="W90" i="197"/>
  <c r="W107" i="197" s="1"/>
  <c r="AH38" i="197"/>
  <c r="P108" i="197"/>
  <c r="X108" i="197"/>
  <c r="P64" i="197"/>
  <c r="AH44" i="197"/>
  <c r="Z108" i="197"/>
  <c r="AH45" i="197"/>
  <c r="AG45" i="197"/>
  <c r="AF45" i="197"/>
  <c r="AH63" i="197"/>
  <c r="AF63" i="197"/>
  <c r="G108" i="197"/>
  <c r="H82" i="197"/>
  <c r="H108" i="197"/>
  <c r="AB82" i="197"/>
  <c r="AB108" i="197"/>
  <c r="Z75" i="197"/>
  <c r="AF57" i="197"/>
  <c r="AI65" i="197"/>
  <c r="AH58" i="197"/>
  <c r="AG58" i="197"/>
  <c r="AF58" i="197"/>
  <c r="AF40" i="197"/>
  <c r="AF68" i="197"/>
  <c r="AH74" i="197"/>
  <c r="AF48" i="197"/>
  <c r="M82" i="197"/>
  <c r="C82" i="197"/>
  <c r="AH69" i="197"/>
  <c r="P107" i="197"/>
  <c r="AA75" i="197"/>
  <c r="AA82" i="197" s="1"/>
  <c r="U75" i="197"/>
  <c r="AF54" i="197"/>
  <c r="AG54" i="197"/>
  <c r="AF49" i="197"/>
  <c r="AH49" i="197"/>
  <c r="K108" i="197"/>
  <c r="AC75" i="196"/>
  <c r="AC64" i="196"/>
  <c r="T75" i="196"/>
  <c r="AG46" i="196"/>
  <c r="AH48" i="196"/>
  <c r="AH41" i="196"/>
  <c r="S59" i="196"/>
  <c r="AF46" i="196"/>
  <c r="AH46" i="196"/>
  <c r="Z182" i="157"/>
  <c r="N188" i="157"/>
  <c r="Z189" i="157"/>
  <c r="G194" i="157"/>
  <c r="AN199" i="157"/>
  <c r="BG180" i="157"/>
  <c r="Z185" i="157"/>
  <c r="AH189" i="157"/>
  <c r="BK194" i="157"/>
  <c r="AQ199" i="157"/>
  <c r="Z195" i="157"/>
  <c r="V181" i="157"/>
  <c r="AD185" i="157"/>
  <c r="AZ190" i="157"/>
  <c r="G200" i="157"/>
  <c r="AD195" i="157"/>
  <c r="Z181" i="157"/>
  <c r="V186" i="157"/>
  <c r="BG200" i="157"/>
  <c r="AV192" i="157"/>
  <c r="AN193" i="157"/>
  <c r="V198" i="157"/>
  <c r="AH195" i="157"/>
  <c r="G184" i="157"/>
  <c r="J184" i="157"/>
  <c r="G180" i="157"/>
  <c r="J194" i="157"/>
  <c r="R182" i="157"/>
  <c r="AZ196" i="157"/>
  <c r="AZ186" i="157"/>
  <c r="N192" i="157"/>
  <c r="BC196" i="157"/>
  <c r="V202" i="157"/>
  <c r="R198" i="157"/>
  <c r="AQ193" i="157"/>
  <c r="BK184" i="157"/>
  <c r="AV186" i="157"/>
  <c r="BG190" i="157"/>
  <c r="Z201" i="157"/>
  <c r="AV182" i="157"/>
  <c r="AZ182" i="157"/>
  <c r="AQ187" i="157"/>
  <c r="R192" i="157"/>
  <c r="AV202" i="157"/>
  <c r="G188" i="157"/>
  <c r="J188" i="157"/>
  <c r="AD189" i="157"/>
  <c r="AQ183" i="157"/>
  <c r="V192" i="157"/>
  <c r="N198" i="157"/>
  <c r="AZ202" i="157"/>
  <c r="N184" i="157"/>
  <c r="AN189" i="157"/>
  <c r="AV198" i="157"/>
  <c r="Z191" i="157"/>
  <c r="N194" i="157"/>
  <c r="BK196" i="157"/>
  <c r="N180" i="157"/>
  <c r="R184" i="157"/>
  <c r="AQ189" i="157"/>
  <c r="Z197" i="157"/>
  <c r="AH201" i="157"/>
  <c r="V188" i="157"/>
  <c r="G190" i="157"/>
  <c r="AD191" i="157"/>
  <c r="BC192" i="157"/>
  <c r="R194" i="157"/>
  <c r="AQ195" i="157"/>
  <c r="N200" i="157"/>
  <c r="R180" i="157"/>
  <c r="AN181" i="157"/>
  <c r="BK182" i="157"/>
  <c r="V184" i="157"/>
  <c r="AQ185" i="157"/>
  <c r="BK186" i="157"/>
  <c r="G196" i="157"/>
  <c r="AD197" i="157"/>
  <c r="BC198" i="157"/>
  <c r="AN201" i="157"/>
  <c r="BK202" i="157"/>
  <c r="AV188" i="157"/>
  <c r="J190" i="157"/>
  <c r="AH191" i="157"/>
  <c r="BG192" i="157"/>
  <c r="V194" i="157"/>
  <c r="R200" i="157"/>
  <c r="Z203" i="157"/>
  <c r="AQ180" i="157"/>
  <c r="Z183" i="157"/>
  <c r="AV184" i="157"/>
  <c r="G186" i="157"/>
  <c r="Z187" i="157"/>
  <c r="AV194" i="157"/>
  <c r="J196" i="157"/>
  <c r="AH197" i="157"/>
  <c r="BG198" i="157"/>
  <c r="AQ201" i="157"/>
  <c r="AZ188" i="157"/>
  <c r="N190" i="157"/>
  <c r="AN191" i="157"/>
  <c r="BK192" i="157"/>
  <c r="V200" i="157"/>
  <c r="G202" i="157"/>
  <c r="AD203" i="157"/>
  <c r="BC202" i="157"/>
  <c r="AH181" i="157"/>
  <c r="AD181" i="157"/>
  <c r="BG186" i="157"/>
  <c r="AZ192" i="157"/>
  <c r="AD183" i="157"/>
  <c r="AD187" i="157"/>
  <c r="N196" i="157"/>
  <c r="BC188" i="157"/>
  <c r="R190" i="157"/>
  <c r="J202" i="157"/>
  <c r="AZ180" i="157"/>
  <c r="AH183" i="157"/>
  <c r="N186" i="157"/>
  <c r="AH187" i="157"/>
  <c r="G192" i="157"/>
  <c r="AD193" i="157"/>
  <c r="R196" i="157"/>
  <c r="AQ197" i="157"/>
  <c r="BG188" i="157"/>
  <c r="V190" i="157"/>
  <c r="G198" i="157"/>
  <c r="AD199" i="157"/>
  <c r="AZ200" i="157"/>
  <c r="N202" i="157"/>
  <c r="AN203" i="157"/>
  <c r="BG196" i="157"/>
  <c r="J180" i="157"/>
  <c r="BC182" i="157"/>
  <c r="BK190" i="157"/>
  <c r="AD201" i="157"/>
  <c r="J200" i="157"/>
  <c r="AN185" i="157"/>
  <c r="AH185" i="157"/>
  <c r="R188" i="157"/>
  <c r="AN195" i="157"/>
  <c r="BG182" i="157"/>
  <c r="BG202" i="157"/>
  <c r="G182" i="157"/>
  <c r="AZ184" i="157"/>
  <c r="J186" i="157"/>
  <c r="Z193" i="157"/>
  <c r="AZ194" i="157"/>
  <c r="AN197" i="157"/>
  <c r="AQ191" i="157"/>
  <c r="Z199" i="157"/>
  <c r="AV200" i="157"/>
  <c r="AH203" i="157"/>
  <c r="J182" i="157"/>
  <c r="BC184" i="157"/>
  <c r="BC194" i="157"/>
  <c r="BC180" i="157"/>
  <c r="N182" i="157"/>
  <c r="AN183" i="157"/>
  <c r="BG184" i="157"/>
  <c r="R186" i="157"/>
  <c r="AN187" i="157"/>
  <c r="AV190" i="157"/>
  <c r="J192" i="157"/>
  <c r="AH193" i="157"/>
  <c r="BG194" i="157"/>
  <c r="V196" i="157"/>
  <c r="BK188" i="157"/>
  <c r="AV196" i="157"/>
  <c r="J198" i="157"/>
  <c r="AH199" i="157"/>
  <c r="BC200" i="157"/>
  <c r="R202" i="157"/>
  <c r="AQ203" i="157"/>
  <c r="V182" i="157"/>
  <c r="G183" i="157"/>
  <c r="G185" i="157"/>
  <c r="AV185" i="157"/>
  <c r="Z186" i="157"/>
  <c r="G187" i="157"/>
  <c r="AV187" i="157"/>
  <c r="Z188" i="157"/>
  <c r="G189" i="157"/>
  <c r="AV189" i="157"/>
  <c r="Z190" i="157"/>
  <c r="G191" i="157"/>
  <c r="AV191" i="157"/>
  <c r="Z192" i="157"/>
  <c r="G193" i="157"/>
  <c r="AV193" i="157"/>
  <c r="Z194" i="157"/>
  <c r="G195" i="157"/>
  <c r="AV195" i="157"/>
  <c r="Z196" i="157"/>
  <c r="G197" i="157"/>
  <c r="AV197" i="157"/>
  <c r="Z198" i="157"/>
  <c r="G199" i="157"/>
  <c r="AV199" i="157"/>
  <c r="Z200" i="157"/>
  <c r="G201" i="157"/>
  <c r="AV201" i="157"/>
  <c r="Z202" i="157"/>
  <c r="G203" i="157"/>
  <c r="AV203" i="157"/>
  <c r="AD182" i="157"/>
  <c r="AD188" i="157"/>
  <c r="AZ191" i="157"/>
  <c r="AZ193" i="157"/>
  <c r="AZ195" i="157"/>
  <c r="AZ197" i="157"/>
  <c r="J199" i="157"/>
  <c r="AZ199" i="157"/>
  <c r="AZ201" i="157"/>
  <c r="AD202" i="157"/>
  <c r="J203" i="157"/>
  <c r="AZ203" i="157"/>
  <c r="AZ185" i="157"/>
  <c r="AD196" i="157"/>
  <c r="BC185" i="157"/>
  <c r="AH188" i="157"/>
  <c r="BC191" i="157"/>
  <c r="N193" i="157"/>
  <c r="AH194" i="157"/>
  <c r="BC195" i="157"/>
  <c r="N197" i="157"/>
  <c r="BC197" i="157"/>
  <c r="N199" i="157"/>
  <c r="BC199" i="157"/>
  <c r="AH200" i="157"/>
  <c r="N201" i="157"/>
  <c r="BC201" i="157"/>
  <c r="AH202" i="157"/>
  <c r="BC203" i="157"/>
  <c r="J185" i="157"/>
  <c r="AD198" i="157"/>
  <c r="N185" i="157"/>
  <c r="BC187" i="157"/>
  <c r="N189" i="157"/>
  <c r="N191" i="157"/>
  <c r="AH192" i="157"/>
  <c r="BC193" i="157"/>
  <c r="N195" i="157"/>
  <c r="AH196" i="157"/>
  <c r="AH198" i="157"/>
  <c r="N203" i="157"/>
  <c r="J187" i="157"/>
  <c r="J197" i="157"/>
  <c r="AH180" i="157"/>
  <c r="BC181" i="157"/>
  <c r="BG183" i="157"/>
  <c r="AN184" i="157"/>
  <c r="R185" i="157"/>
  <c r="BG185" i="157"/>
  <c r="AN186" i="157"/>
  <c r="R187" i="157"/>
  <c r="BG187" i="157"/>
  <c r="AN188" i="157"/>
  <c r="R189" i="157"/>
  <c r="BG189" i="157"/>
  <c r="AN190" i="157"/>
  <c r="R191" i="157"/>
  <c r="BG191" i="157"/>
  <c r="AN192" i="157"/>
  <c r="R193" i="157"/>
  <c r="BG193" i="157"/>
  <c r="AN194" i="157"/>
  <c r="R195" i="157"/>
  <c r="BG195" i="157"/>
  <c r="AN196" i="157"/>
  <c r="R197" i="157"/>
  <c r="BG197" i="157"/>
  <c r="AN198" i="157"/>
  <c r="R199" i="157"/>
  <c r="BG199" i="157"/>
  <c r="AN200" i="157"/>
  <c r="R201" i="157"/>
  <c r="BG201" i="157"/>
  <c r="AN202" i="157"/>
  <c r="R203" i="157"/>
  <c r="BG203" i="157"/>
  <c r="V180" i="157"/>
  <c r="AD184" i="157"/>
  <c r="AQ181" i="157"/>
  <c r="Z184" i="157"/>
  <c r="G181" i="157"/>
  <c r="J183" i="157"/>
  <c r="AD186" i="157"/>
  <c r="J189" i="157"/>
  <c r="J191" i="157"/>
  <c r="J193" i="157"/>
  <c r="J195" i="157"/>
  <c r="AD200" i="157"/>
  <c r="AD180" i="157"/>
  <c r="J181" i="157"/>
  <c r="N183" i="157"/>
  <c r="BC183" i="157"/>
  <c r="AH184" i="157"/>
  <c r="AH186" i="157"/>
  <c r="AH190" i="157"/>
  <c r="N181" i="157"/>
  <c r="R183" i="157"/>
  <c r="AN180" i="157"/>
  <c r="R181" i="157"/>
  <c r="BG181" i="157"/>
  <c r="AQ182" i="157"/>
  <c r="V183" i="157"/>
  <c r="BK183" i="157"/>
  <c r="AQ184" i="157"/>
  <c r="V185" i="157"/>
  <c r="BK185" i="157"/>
  <c r="AQ186" i="157"/>
  <c r="V187" i="157"/>
  <c r="BK187" i="157"/>
  <c r="AQ188" i="157"/>
  <c r="V189" i="157"/>
  <c r="BK189" i="157"/>
  <c r="AQ190" i="157"/>
  <c r="V191" i="157"/>
  <c r="AQ192" i="157"/>
  <c r="V193" i="157"/>
  <c r="BK193" i="157"/>
  <c r="AQ194" i="157"/>
  <c r="V195" i="157"/>
  <c r="AQ196" i="157"/>
  <c r="V197" i="157"/>
  <c r="AQ198" i="157"/>
  <c r="V199" i="157"/>
  <c r="AQ200" i="157"/>
  <c r="V201" i="157"/>
  <c r="AQ202" i="157"/>
  <c r="V203" i="157"/>
  <c r="BK203" i="157"/>
  <c r="AV183" i="157"/>
  <c r="Z180" i="157"/>
  <c r="AV181" i="157"/>
  <c r="AZ183" i="157"/>
  <c r="AZ187" i="157"/>
  <c r="AZ189" i="157"/>
  <c r="AD190" i="157"/>
  <c r="AD192" i="157"/>
  <c r="AD194" i="157"/>
  <c r="J201" i="157"/>
  <c r="AH182" i="157"/>
  <c r="N187" i="157"/>
  <c r="AN182" i="157"/>
  <c r="AH71" i="196"/>
  <c r="AH68" i="196"/>
  <c r="O108" i="196"/>
  <c r="N108" i="196"/>
  <c r="AG63" i="196"/>
  <c r="V107" i="196"/>
  <c r="T107" i="196"/>
  <c r="U107" i="196"/>
  <c r="R108" i="196"/>
  <c r="B82" i="196"/>
  <c r="Y82" i="196"/>
  <c r="AC88" i="196"/>
  <c r="U108" i="196"/>
  <c r="K88" i="196"/>
  <c r="AF57" i="196"/>
  <c r="L88" i="196"/>
  <c r="AG57" i="196"/>
  <c r="P108" i="196"/>
  <c r="N88" i="196"/>
  <c r="N101" i="196" s="1"/>
  <c r="N106" i="196" s="1"/>
  <c r="Y88" i="196"/>
  <c r="AF58" i="196"/>
  <c r="R107" i="196"/>
  <c r="W107" i="196"/>
  <c r="X82" i="196"/>
  <c r="I88" i="196"/>
  <c r="M88" i="196"/>
  <c r="O88" i="196"/>
  <c r="F88" i="196"/>
  <c r="Z88" i="196"/>
  <c r="AG58" i="196"/>
  <c r="S107" i="196"/>
  <c r="S108" i="196"/>
  <c r="C82" i="196"/>
  <c r="J88" i="196"/>
  <c r="X88" i="196"/>
  <c r="P88" i="196"/>
  <c r="G75" i="196"/>
  <c r="V108" i="196"/>
  <c r="Q108" i="196"/>
  <c r="AH70" i="196"/>
  <c r="J171" i="157"/>
  <c r="N171" i="157"/>
  <c r="AQ155" i="157"/>
  <c r="Z166" i="157"/>
  <c r="AV155" i="157"/>
  <c r="J169" i="157"/>
  <c r="AZ155" i="157"/>
  <c r="N161" i="157"/>
  <c r="BC163" i="157"/>
  <c r="AH166" i="157"/>
  <c r="N169" i="157"/>
  <c r="BC171" i="157"/>
  <c r="AH174" i="157"/>
  <c r="AV177" i="157"/>
  <c r="J165" i="157"/>
  <c r="BC159" i="157"/>
  <c r="BC167" i="157"/>
  <c r="N173" i="157"/>
  <c r="G171" i="157"/>
  <c r="G155" i="157"/>
  <c r="J155" i="157"/>
  <c r="BC165" i="157"/>
  <c r="G169" i="157"/>
  <c r="AD158" i="157"/>
  <c r="AD174" i="157"/>
  <c r="AH158" i="157"/>
  <c r="V156" i="157"/>
  <c r="G159" i="157"/>
  <c r="AV161" i="157"/>
  <c r="Z164" i="157"/>
  <c r="G167" i="157"/>
  <c r="AV169" i="157"/>
  <c r="Z172" i="157"/>
  <c r="G175" i="157"/>
  <c r="Z168" i="157"/>
  <c r="AD160" i="157"/>
  <c r="G161" i="157"/>
  <c r="AD166" i="157"/>
  <c r="AZ177" i="157"/>
  <c r="AZ167" i="157"/>
  <c r="J157" i="157"/>
  <c r="AV165" i="157"/>
  <c r="J163" i="157"/>
  <c r="AH160" i="157"/>
  <c r="AV163" i="157"/>
  <c r="J161" i="157"/>
  <c r="Z156" i="157"/>
  <c r="J159" i="157"/>
  <c r="AZ161" i="157"/>
  <c r="AD164" i="157"/>
  <c r="J167" i="157"/>
  <c r="AZ169" i="157"/>
  <c r="AD172" i="157"/>
  <c r="J175" i="157"/>
  <c r="AD162" i="157"/>
  <c r="G163" i="157"/>
  <c r="Z158" i="157"/>
  <c r="Z178" i="157"/>
  <c r="AZ159" i="157"/>
  <c r="AV157" i="157"/>
  <c r="AH176" i="157"/>
  <c r="Z174" i="157"/>
  <c r="AZ163" i="157"/>
  <c r="AD156" i="157"/>
  <c r="BC161" i="157"/>
  <c r="AH164" i="157"/>
  <c r="N167" i="157"/>
  <c r="BC169" i="157"/>
  <c r="AH172" i="157"/>
  <c r="AV175" i="157"/>
  <c r="AD170" i="157"/>
  <c r="BC175" i="157"/>
  <c r="N165" i="157"/>
  <c r="Z176" i="157"/>
  <c r="AV173" i="157"/>
  <c r="AZ157" i="157"/>
  <c r="AZ173" i="157"/>
  <c r="N163" i="157"/>
  <c r="BC173" i="157"/>
  <c r="AV171" i="157"/>
  <c r="J177" i="157"/>
  <c r="AV159" i="157"/>
  <c r="Z162" i="157"/>
  <c r="G165" i="157"/>
  <c r="AV167" i="157"/>
  <c r="Z170" i="157"/>
  <c r="G173" i="157"/>
  <c r="AD178" i="157"/>
  <c r="G157" i="157"/>
  <c r="J173" i="157"/>
  <c r="AH162" i="157"/>
  <c r="AH170" i="157"/>
  <c r="Z160" i="157"/>
  <c r="AD176" i="157"/>
  <c r="AD168" i="157"/>
  <c r="BC157" i="157"/>
  <c r="AH168" i="157"/>
  <c r="G177" i="157"/>
  <c r="AZ171" i="157"/>
  <c r="N159" i="157"/>
  <c r="AZ175" i="157"/>
  <c r="N155" i="157"/>
  <c r="AN158" i="157"/>
  <c r="BG159" i="157"/>
  <c r="R163" i="157"/>
  <c r="BG165" i="157"/>
  <c r="R167" i="157"/>
  <c r="AN170" i="157"/>
  <c r="AN172" i="157"/>
  <c r="R175" i="157"/>
  <c r="AN176" i="157"/>
  <c r="AQ160" i="157"/>
  <c r="AQ164" i="157"/>
  <c r="V167" i="157"/>
  <c r="AQ168" i="157"/>
  <c r="AQ172" i="157"/>
  <c r="V175" i="157"/>
  <c r="AQ178" i="157"/>
  <c r="V155" i="157"/>
  <c r="AV158" i="157"/>
  <c r="G162" i="157"/>
  <c r="AV164" i="157"/>
  <c r="Z167" i="157"/>
  <c r="AV170" i="157"/>
  <c r="Z173" i="157"/>
  <c r="G176" i="157"/>
  <c r="G178" i="157"/>
  <c r="Z155" i="157"/>
  <c r="AV156" i="157"/>
  <c r="AD157" i="157"/>
  <c r="AZ158" i="157"/>
  <c r="AD159" i="157"/>
  <c r="J160" i="157"/>
  <c r="AZ160" i="157"/>
  <c r="AD161" i="157"/>
  <c r="J162" i="157"/>
  <c r="AD163" i="157"/>
  <c r="AZ164" i="157"/>
  <c r="AD165" i="157"/>
  <c r="J166" i="157"/>
  <c r="AZ166" i="157"/>
  <c r="AD167" i="157"/>
  <c r="J168" i="157"/>
  <c r="AD169" i="157"/>
  <c r="J170" i="157"/>
  <c r="AZ170" i="157"/>
  <c r="AD171" i="157"/>
  <c r="J172" i="157"/>
  <c r="AZ172" i="157"/>
  <c r="AD173" i="157"/>
  <c r="J174" i="157"/>
  <c r="AZ174" i="157"/>
  <c r="AD175" i="157"/>
  <c r="J176" i="157"/>
  <c r="AZ176" i="157"/>
  <c r="AD177" i="157"/>
  <c r="J178" i="157"/>
  <c r="AZ178" i="157"/>
  <c r="N177" i="157"/>
  <c r="N157" i="157"/>
  <c r="AN160" i="157"/>
  <c r="AN164" i="157"/>
  <c r="BG167" i="157"/>
  <c r="R173" i="157"/>
  <c r="BG177" i="157"/>
  <c r="AN156" i="157"/>
  <c r="BK159" i="157"/>
  <c r="V163" i="157"/>
  <c r="AQ166" i="157"/>
  <c r="V169" i="157"/>
  <c r="BK173" i="157"/>
  <c r="AQ156" i="157"/>
  <c r="Z159" i="157"/>
  <c r="AV162" i="157"/>
  <c r="Z165" i="157"/>
  <c r="AV168" i="157"/>
  <c r="Z171" i="157"/>
  <c r="AV174" i="157"/>
  <c r="Z177" i="157"/>
  <c r="G156" i="157"/>
  <c r="J158" i="157"/>
  <c r="J164" i="157"/>
  <c r="AH178" i="157"/>
  <c r="AH156" i="157"/>
  <c r="R159" i="157"/>
  <c r="BG161" i="157"/>
  <c r="BG163" i="157"/>
  <c r="AN166" i="157"/>
  <c r="AN168" i="157"/>
  <c r="BG171" i="157"/>
  <c r="AN174" i="157"/>
  <c r="AN178" i="157"/>
  <c r="BG155" i="157"/>
  <c r="R157" i="157"/>
  <c r="V159" i="157"/>
  <c r="V161" i="157"/>
  <c r="BK163" i="157"/>
  <c r="V165" i="157"/>
  <c r="BK167" i="157"/>
  <c r="AQ170" i="157"/>
  <c r="V173" i="157"/>
  <c r="BK175" i="157"/>
  <c r="AQ176" i="157"/>
  <c r="BK155" i="157"/>
  <c r="G158" i="157"/>
  <c r="AV160" i="157"/>
  <c r="Z161" i="157"/>
  <c r="G164" i="157"/>
  <c r="AV166" i="157"/>
  <c r="G168" i="157"/>
  <c r="G170" i="157"/>
  <c r="G172" i="157"/>
  <c r="G174" i="157"/>
  <c r="AV178" i="157"/>
  <c r="AD155" i="157"/>
  <c r="J156" i="157"/>
  <c r="AZ156" i="157"/>
  <c r="N158" i="157"/>
  <c r="BC158" i="157"/>
  <c r="AH159" i="157"/>
  <c r="N160" i="157"/>
  <c r="AH161" i="157"/>
  <c r="N162" i="157"/>
  <c r="BC162" i="157"/>
  <c r="AH163" i="157"/>
  <c r="N164" i="157"/>
  <c r="BC164" i="157"/>
  <c r="AH165" i="157"/>
  <c r="N166" i="157"/>
  <c r="BC166" i="157"/>
  <c r="AH167" i="157"/>
  <c r="N168" i="157"/>
  <c r="BC168" i="157"/>
  <c r="AH169" i="157"/>
  <c r="N170" i="157"/>
  <c r="BC170" i="157"/>
  <c r="AH171" i="157"/>
  <c r="N172" i="157"/>
  <c r="BC172" i="157"/>
  <c r="AH173" i="157"/>
  <c r="N174" i="157"/>
  <c r="BC174" i="157"/>
  <c r="AH175" i="157"/>
  <c r="N176" i="157"/>
  <c r="BC176" i="157"/>
  <c r="AH177" i="157"/>
  <c r="N178" i="157"/>
  <c r="N175" i="157"/>
  <c r="BC177" i="157"/>
  <c r="BG157" i="157"/>
  <c r="R161" i="157"/>
  <c r="R165" i="157"/>
  <c r="R169" i="157"/>
  <c r="BG173" i="157"/>
  <c r="R177" i="157"/>
  <c r="R155" i="157"/>
  <c r="AQ158" i="157"/>
  <c r="AQ162" i="157"/>
  <c r="BK165" i="157"/>
  <c r="AQ174" i="157"/>
  <c r="V177" i="157"/>
  <c r="V157" i="157"/>
  <c r="G160" i="157"/>
  <c r="Z163" i="157"/>
  <c r="G166" i="157"/>
  <c r="Z169" i="157"/>
  <c r="AV172" i="157"/>
  <c r="Z175" i="157"/>
  <c r="AV176" i="157"/>
  <c r="AH157" i="157"/>
  <c r="R171" i="157"/>
  <c r="BK171" i="157"/>
  <c r="AH155" i="157"/>
  <c r="BC156" i="157"/>
  <c r="R158" i="157"/>
  <c r="AN159" i="157"/>
  <c r="BG160" i="157"/>
  <c r="AN161" i="157"/>
  <c r="BG162" i="157"/>
  <c r="AN163" i="157"/>
  <c r="BG164" i="157"/>
  <c r="AN165" i="157"/>
  <c r="R166" i="157"/>
  <c r="BG166" i="157"/>
  <c r="AN167" i="157"/>
  <c r="R168" i="157"/>
  <c r="BG168" i="157"/>
  <c r="AN169" i="157"/>
  <c r="BG170" i="157"/>
  <c r="AN171" i="157"/>
  <c r="R172" i="157"/>
  <c r="BG172" i="157"/>
  <c r="AN173" i="157"/>
  <c r="R174" i="157"/>
  <c r="BG174" i="157"/>
  <c r="AN175" i="157"/>
  <c r="R176" i="157"/>
  <c r="BG176" i="157"/>
  <c r="AN177" i="157"/>
  <c r="R178" i="157"/>
  <c r="BG178" i="157"/>
  <c r="BG169" i="157"/>
  <c r="V171" i="157"/>
  <c r="N156" i="157"/>
  <c r="AN157" i="157"/>
  <c r="BG158" i="157"/>
  <c r="R160" i="157"/>
  <c r="R162" i="157"/>
  <c r="R164" i="157"/>
  <c r="R170" i="157"/>
  <c r="AN162" i="157"/>
  <c r="BG175" i="157"/>
  <c r="AN155" i="157"/>
  <c r="R156" i="157"/>
  <c r="BG156" i="157"/>
  <c r="AQ157" i="157"/>
  <c r="V158" i="157"/>
  <c r="AQ159" i="157"/>
  <c r="V160" i="157"/>
  <c r="AQ161" i="157"/>
  <c r="V162" i="157"/>
  <c r="AQ163" i="157"/>
  <c r="V164" i="157"/>
  <c r="BK164" i="157"/>
  <c r="AQ165" i="157"/>
  <c r="V166" i="157"/>
  <c r="BK166" i="157"/>
  <c r="AQ167" i="157"/>
  <c r="V168" i="157"/>
  <c r="BK168" i="157"/>
  <c r="AQ169" i="157"/>
  <c r="V170" i="157"/>
  <c r="BK170" i="157"/>
  <c r="AQ171" i="157"/>
  <c r="V172" i="157"/>
  <c r="BK172" i="157"/>
  <c r="AQ173" i="157"/>
  <c r="V174" i="157"/>
  <c r="BK174" i="157"/>
  <c r="AQ175" i="157"/>
  <c r="V176" i="157"/>
  <c r="BK176" i="157"/>
  <c r="AQ177" i="157"/>
  <c r="V178" i="157"/>
  <c r="G88" i="196"/>
  <c r="Q88" i="196"/>
  <c r="Q101" i="196" s="1"/>
  <c r="Q106" i="196" s="1"/>
  <c r="AA82" i="196"/>
  <c r="N90" i="196"/>
  <c r="N107" i="196" s="1"/>
  <c r="O90" i="196"/>
  <c r="O107" i="196" s="1"/>
  <c r="Q82" i="196"/>
  <c r="P90" i="196"/>
  <c r="P107" i="196" s="1"/>
  <c r="AA88" i="196"/>
  <c r="Q107" i="196"/>
  <c r="R82" i="196"/>
  <c r="T82" i="196"/>
  <c r="W108" i="196"/>
  <c r="U82" i="196"/>
  <c r="Z82" i="196"/>
  <c r="Z98" i="196"/>
  <c r="M107" i="196"/>
  <c r="AF55" i="196"/>
  <c r="AG55" i="196"/>
  <c r="AH74" i="196"/>
  <c r="AG43" i="196"/>
  <c r="AH43" i="196"/>
  <c r="Y108" i="196"/>
  <c r="Y90" i="196"/>
  <c r="Y107" i="196" s="1"/>
  <c r="AB75" i="196"/>
  <c r="F90" i="196"/>
  <c r="F107" i="196" s="1"/>
  <c r="F108" i="196"/>
  <c r="Z90" i="196"/>
  <c r="Z107" i="196" s="1"/>
  <c r="Z108" i="196"/>
  <c r="AF67" i="196"/>
  <c r="G90" i="196"/>
  <c r="G107" i="196" s="1"/>
  <c r="G108" i="196"/>
  <c r="AA90" i="196"/>
  <c r="AA107" i="196" s="1"/>
  <c r="AA108" i="196"/>
  <c r="AF68" i="196"/>
  <c r="R88" i="196"/>
  <c r="R101" i="196" s="1"/>
  <c r="R106" i="196" s="1"/>
  <c r="AA98" i="196"/>
  <c r="H90" i="196"/>
  <c r="H107" i="196" s="1"/>
  <c r="H108" i="196"/>
  <c r="AG68" i="196"/>
  <c r="S88" i="196"/>
  <c r="AF38" i="196"/>
  <c r="AH62" i="196"/>
  <c r="AG62" i="196"/>
  <c r="AF62" i="196"/>
  <c r="T88" i="196"/>
  <c r="T108" i="196"/>
  <c r="J90" i="196"/>
  <c r="J108" i="196"/>
  <c r="J82" i="196"/>
  <c r="AG38" i="196"/>
  <c r="H75" i="196"/>
  <c r="AG69" i="196"/>
  <c r="AF69" i="196"/>
  <c r="AH69" i="196"/>
  <c r="U88" i="196"/>
  <c r="U101" i="196" s="1"/>
  <c r="U106" i="196" s="1"/>
  <c r="V82" i="196"/>
  <c r="AF74" i="196"/>
  <c r="X90" i="196"/>
  <c r="X107" i="196" s="1"/>
  <c r="X108" i="196"/>
  <c r="K108" i="196"/>
  <c r="V88" i="196"/>
  <c r="V101" i="196" s="1"/>
  <c r="V106" i="196" s="1"/>
  <c r="G82" i="196"/>
  <c r="W88" i="196"/>
  <c r="W101" i="196" s="1"/>
  <c r="W106" i="196" s="1"/>
  <c r="W82" i="196"/>
  <c r="AH49" i="196"/>
  <c r="AG70" i="196"/>
  <c r="AF70" i="196"/>
  <c r="I75" i="196"/>
  <c r="K75" i="196"/>
  <c r="AG49" i="196"/>
  <c r="AG67" i="196"/>
  <c r="AI34" i="196"/>
  <c r="M59" i="196"/>
  <c r="AH67" i="196"/>
  <c r="AC90" i="196"/>
  <c r="AC107" i="196" s="1"/>
  <c r="AC108" i="196"/>
  <c r="AC82" i="196"/>
  <c r="M108" i="196"/>
  <c r="AI60" i="196"/>
  <c r="N82" i="196"/>
  <c r="F64" i="196"/>
  <c r="L75" i="196"/>
  <c r="S82" i="196"/>
  <c r="K90" i="196"/>
  <c r="AG71" i="196"/>
  <c r="AF71" i="196"/>
  <c r="AG74" i="196"/>
  <c r="P59" i="196"/>
  <c r="AB90" i="196"/>
  <c r="AB107" i="196" s="1"/>
  <c r="AB108" i="196"/>
  <c r="AI65" i="196"/>
  <c r="I90" i="196"/>
  <c r="I107" i="196" s="1"/>
  <c r="I108" i="196"/>
  <c r="L108" i="196"/>
  <c r="O82" i="196"/>
  <c r="K64" i="196"/>
  <c r="M75" i="196"/>
  <c r="L90" i="196"/>
  <c r="AF45" i="196"/>
  <c r="AG45" i="196"/>
  <c r="AF56" i="196"/>
  <c r="AF40" i="196"/>
  <c r="AH45" i="196"/>
  <c r="AG56" i="196"/>
  <c r="AG40" i="196"/>
  <c r="AF41" i="196"/>
  <c r="AG41" i="196"/>
  <c r="G151" i="157"/>
  <c r="Z74" i="195"/>
  <c r="Z68" i="195"/>
  <c r="Z69" i="195"/>
  <c r="Z70" i="195"/>
  <c r="Z71" i="195"/>
  <c r="Z67" i="195"/>
  <c r="Z63" i="195"/>
  <c r="Z61" i="195"/>
  <c r="AA74" i="195"/>
  <c r="AA68" i="195"/>
  <c r="AA69" i="195"/>
  <c r="AA70" i="195"/>
  <c r="AA71" i="195"/>
  <c r="AA67" i="195"/>
  <c r="AA63" i="195"/>
  <c r="AA61" i="195"/>
  <c r="F394" i="88"/>
  <c r="X74" i="195"/>
  <c r="X71" i="195"/>
  <c r="X70" i="195"/>
  <c r="X69" i="195"/>
  <c r="X68" i="195"/>
  <c r="X63" i="195"/>
  <c r="X61" i="195"/>
  <c r="F375" i="88"/>
  <c r="F392" i="88"/>
  <c r="Y74" i="195"/>
  <c r="Y68" i="195"/>
  <c r="Y69" i="195"/>
  <c r="Y70" i="195"/>
  <c r="Y71" i="195"/>
  <c r="Y67" i="195"/>
  <c r="Y63" i="195"/>
  <c r="Y61" i="195"/>
  <c r="F389" i="88"/>
  <c r="F226" i="88"/>
  <c r="F356" i="88"/>
  <c r="W74" i="195"/>
  <c r="W68" i="195"/>
  <c r="W69" i="195"/>
  <c r="W70" i="195"/>
  <c r="W71" i="195"/>
  <c r="W67" i="195"/>
  <c r="W62" i="195"/>
  <c r="W61" i="195"/>
  <c r="F374" i="88"/>
  <c r="V74" i="195"/>
  <c r="V71" i="195"/>
  <c r="V70" i="195"/>
  <c r="V69" i="195"/>
  <c r="V68" i="195"/>
  <c r="V67" i="195"/>
  <c r="V62" i="195"/>
  <c r="V61" i="195"/>
  <c r="F376" i="88"/>
  <c r="F387" i="88"/>
  <c r="U62" i="195"/>
  <c r="U61" i="195"/>
  <c r="F371" i="88"/>
  <c r="F369" i="88"/>
  <c r="F373" i="88"/>
  <c r="F351" i="88"/>
  <c r="P74" i="195"/>
  <c r="P71" i="195"/>
  <c r="P70" i="195"/>
  <c r="P69" i="195"/>
  <c r="P68" i="195"/>
  <c r="P67" i="195"/>
  <c r="P63" i="195"/>
  <c r="P62" i="195"/>
  <c r="P56" i="195"/>
  <c r="P55" i="195"/>
  <c r="P54" i="195"/>
  <c r="P53" i="195"/>
  <c r="P49" i="195"/>
  <c r="P48" i="195"/>
  <c r="P47" i="195"/>
  <c r="P46" i="195"/>
  <c r="P45" i="195"/>
  <c r="O74" i="195"/>
  <c r="O71" i="195"/>
  <c r="O70" i="195"/>
  <c r="O69" i="195"/>
  <c r="O68" i="195"/>
  <c r="O67" i="195"/>
  <c r="O63" i="195"/>
  <c r="O62" i="195"/>
  <c r="F367" i="88"/>
  <c r="F365" i="88"/>
  <c r="F366" i="88"/>
  <c r="F368" i="88"/>
  <c r="F364" i="88"/>
  <c r="F370" i="88"/>
  <c r="N95" i="195"/>
  <c r="N74" i="195"/>
  <c r="N71" i="195"/>
  <c r="N70" i="195"/>
  <c r="N68" i="195"/>
  <c r="N67" i="195"/>
  <c r="N63" i="195"/>
  <c r="N62" i="195"/>
  <c r="F352" i="88"/>
  <c r="M95" i="195"/>
  <c r="M74" i="195"/>
  <c r="M71" i="195"/>
  <c r="M70" i="195"/>
  <c r="M68" i="195"/>
  <c r="M67" i="195"/>
  <c r="M63" i="195"/>
  <c r="M62" i="195"/>
  <c r="M43" i="195"/>
  <c r="M41" i="195"/>
  <c r="M40" i="195"/>
  <c r="M38" i="195"/>
  <c r="F357" i="88"/>
  <c r="F362" i="88"/>
  <c r="L95" i="195"/>
  <c r="K95" i="195"/>
  <c r="J95" i="195"/>
  <c r="I95" i="195"/>
  <c r="H95" i="195"/>
  <c r="G95" i="195"/>
  <c r="F95" i="195"/>
  <c r="AC95" i="194"/>
  <c r="F344" i="88"/>
  <c r="L74" i="195"/>
  <c r="L71" i="195"/>
  <c r="L70" i="195"/>
  <c r="L68" i="195"/>
  <c r="L67" i="195"/>
  <c r="L63" i="195"/>
  <c r="L62" i="195"/>
  <c r="F354" i="88"/>
  <c r="F355" i="88"/>
  <c r="K74" i="195"/>
  <c r="K71" i="195"/>
  <c r="K70" i="195"/>
  <c r="K68" i="195"/>
  <c r="K67" i="195"/>
  <c r="K63" i="195"/>
  <c r="K62" i="195"/>
  <c r="J67" i="195"/>
  <c r="I74" i="195"/>
  <c r="I71" i="195"/>
  <c r="I70" i="195"/>
  <c r="I68" i="195"/>
  <c r="I67" i="195"/>
  <c r="F340" i="88"/>
  <c r="P8" i="137"/>
  <c r="F299" i="88"/>
  <c r="H74" i="195"/>
  <c r="H71" i="195"/>
  <c r="H70" i="195"/>
  <c r="H68" i="195"/>
  <c r="H67" i="195"/>
  <c r="H63" i="195"/>
  <c r="H61" i="195"/>
  <c r="F302" i="88"/>
  <c r="G74" i="195"/>
  <c r="G71" i="195"/>
  <c r="G70" i="195"/>
  <c r="G68" i="195"/>
  <c r="G67" i="195"/>
  <c r="G63" i="195"/>
  <c r="G61" i="195"/>
  <c r="F300" i="88"/>
  <c r="BC72" i="157" a="1"/>
  <c r="BK95" i="157" a="1"/>
  <c r="BG64" i="157" a="1"/>
  <c r="BK61" i="157" a="1"/>
  <c r="BK103" i="157" a="1"/>
  <c r="AZ64" i="157" a="1"/>
  <c r="BC94" i="157" a="1"/>
  <c r="AZ15" i="157" a="1"/>
  <c r="BK50" i="157" a="1"/>
  <c r="BG67" i="157" a="1"/>
  <c r="BG68" i="157" a="1"/>
  <c r="BG24" i="157" a="1"/>
  <c r="BK38" i="157" a="1"/>
  <c r="BK75" i="157" a="1"/>
  <c r="AZ25" i="157" a="1"/>
  <c r="BC32" i="157" a="1"/>
  <c r="AZ52" i="157" a="1"/>
  <c r="BK53" i="157" a="1"/>
  <c r="AZ16" i="157" a="1"/>
  <c r="BC56" i="157" a="1"/>
  <c r="BK31" i="157" a="1"/>
  <c r="BC33" i="157" a="1"/>
  <c r="AZ181" i="157" a="1"/>
  <c r="BK42" i="157" a="1"/>
  <c r="BG44" i="157" a="1"/>
  <c r="BK102" i="157" a="1"/>
  <c r="BC97" i="157" a="1"/>
  <c r="BK199" i="157" a="1"/>
  <c r="BC25" i="157" a="1"/>
  <c r="BC88" i="157" a="1"/>
  <c r="BG15" i="157" a="1"/>
  <c r="AZ82" i="157" a="1"/>
  <c r="AZ121" i="157" a="1"/>
  <c r="AZ74" i="157" a="1"/>
  <c r="AZ124" i="157" a="1"/>
  <c r="BK82" i="157" a="1"/>
  <c r="BK200" i="157" a="1"/>
  <c r="AZ66" i="157" a="1"/>
  <c r="BG80" i="157" a="1"/>
  <c r="BK83" i="157" a="1"/>
  <c r="BK45" i="157" a="1"/>
  <c r="BG16" i="157" a="1"/>
  <c r="AZ90" i="157" a="1"/>
  <c r="BG66" i="157" a="1"/>
  <c r="AZ44" i="157" a="1"/>
  <c r="AZ98" i="157" a="1"/>
  <c r="AZ113" i="157" a="1"/>
  <c r="AZ97" i="157" a="1"/>
  <c r="AZ91" i="157" a="1"/>
  <c r="BC60" i="157" a="1"/>
  <c r="BK76" i="157" a="1"/>
  <c r="BG101" i="157" a="1"/>
  <c r="AZ7" i="157" a="1"/>
  <c r="BK21" i="157" a="1"/>
  <c r="BG27" i="157" a="1"/>
  <c r="BC21" i="157" a="1"/>
  <c r="BG18" i="157" a="1"/>
  <c r="BG59" i="157" a="1"/>
  <c r="BK86" i="157" a="1"/>
  <c r="AZ112" i="157" a="1"/>
  <c r="BG77" i="157" a="1"/>
  <c r="AZ89" i="157" a="1"/>
  <c r="BG5" i="157" a="1"/>
  <c r="AZ72" i="157" a="1"/>
  <c r="BC23" i="157" a="1"/>
  <c r="BC12" i="157" a="1"/>
  <c r="BK41" i="157" a="1"/>
  <c r="BC65" i="157" a="1"/>
  <c r="BK11" i="157" a="1"/>
  <c r="AZ35" i="157" a="1"/>
  <c r="AZ38" i="157" a="1"/>
  <c r="BC58" i="157" a="1"/>
  <c r="BK77" i="157" a="1"/>
  <c r="BG81" i="157" a="1"/>
  <c r="BK66" i="157" a="1"/>
  <c r="BG14" i="157" a="1"/>
  <c r="BC31" i="157" a="1"/>
  <c r="BK162" i="157" a="1"/>
  <c r="AZ102" i="157" a="1"/>
  <c r="BK24" i="157" a="1"/>
  <c r="BC52" i="157" a="1"/>
  <c r="BK160" i="157" a="1"/>
  <c r="BK224" i="157" a="1"/>
  <c r="BG19" i="157" a="1"/>
  <c r="AZ28" i="157" a="1"/>
  <c r="BG41" i="157" a="1"/>
  <c r="BK158" i="157" a="1"/>
  <c r="BK180" i="157" a="1"/>
  <c r="BK157" i="157" a="1"/>
  <c r="BK51" i="157" a="1"/>
  <c r="BK80" i="157" a="1"/>
  <c r="BC155" i="157" a="1"/>
  <c r="BC87" i="157" a="1"/>
  <c r="BK15" i="157" a="1"/>
  <c r="BG42" i="157" a="1"/>
  <c r="AZ94" i="157" a="1"/>
  <c r="BC178" i="157" a="1"/>
  <c r="AZ36" i="157" a="1"/>
  <c r="BG69" i="157" a="1"/>
  <c r="BC9" i="157" a="1"/>
  <c r="BG51" i="157" a="1"/>
  <c r="BG48" i="157" a="1"/>
  <c r="BK97" i="157" a="1"/>
  <c r="BG86" i="157" a="1"/>
  <c r="BC46" i="157" a="1"/>
  <c r="BK211" i="157" a="1"/>
  <c r="BC10" i="157" a="1"/>
  <c r="BC92" i="157" a="1"/>
  <c r="BC91" i="157" a="1"/>
  <c r="BK32" i="157" a="1"/>
  <c r="BG62" i="157" a="1"/>
  <c r="BC40" i="157" a="1"/>
  <c r="BC62" i="157" a="1"/>
  <c r="AZ45" i="157" a="1"/>
  <c r="BG32" i="157" a="1"/>
  <c r="BG50" i="157" a="1"/>
  <c r="BC15" i="157" a="1"/>
  <c r="BK181" i="157" a="1"/>
  <c r="AZ34" i="157" a="1"/>
  <c r="BC63" i="157" a="1"/>
  <c r="BG84" i="157" a="1"/>
  <c r="BC89" i="157" a="1"/>
  <c r="BG10" i="157" a="1"/>
  <c r="AZ33" i="157" a="1"/>
  <c r="BK201" i="157" a="1"/>
  <c r="BG85" i="157" a="1"/>
  <c r="BC11" i="157" a="1"/>
  <c r="BK16" i="157" a="1"/>
  <c r="BC100" i="157" a="1"/>
  <c r="AZ208" i="157" a="1"/>
  <c r="BK59" i="157" a="1"/>
  <c r="BK60" i="157" a="1"/>
  <c r="BK27" i="157" a="1"/>
  <c r="BC95" i="157" a="1"/>
  <c r="AZ30" i="157" a="1"/>
  <c r="BK20" i="157" a="1"/>
  <c r="BC22" i="157" a="1"/>
  <c r="AZ59" i="157" a="1"/>
  <c r="BC68" i="157" a="1"/>
  <c r="AZ115" i="157" a="1"/>
  <c r="BK84" i="157" a="1"/>
  <c r="AZ212" i="157" a="1"/>
  <c r="BC41" i="157" a="1"/>
  <c r="BC78" i="157" a="1"/>
  <c r="BC61" i="157" a="1"/>
  <c r="BK5" i="157" a="1"/>
  <c r="BK68" i="157" a="1"/>
  <c r="BG93" i="157" a="1"/>
  <c r="BG45" i="157" a="1"/>
  <c r="AZ70" i="157" a="1"/>
  <c r="AZ17" i="157" a="1"/>
  <c r="AZ65" i="157" a="1"/>
  <c r="BK71" i="157" a="1"/>
  <c r="AZ14" i="157" a="1"/>
  <c r="BC81" i="157" a="1"/>
  <c r="BG40" i="157" a="1"/>
  <c r="AZ103" i="157" a="1"/>
  <c r="BK98" i="157" a="1"/>
  <c r="BK22" i="157" a="1"/>
  <c r="BK8" i="157" a="1"/>
  <c r="BG8" i="157" a="1"/>
  <c r="BK94" i="157" a="1"/>
  <c r="AZ81" i="157" a="1"/>
  <c r="AZ111" i="157" a="1"/>
  <c r="BC13" i="157" a="1"/>
  <c r="BK37" i="157" a="1"/>
  <c r="BC77" i="157" a="1"/>
  <c r="BC80" i="157" a="1"/>
  <c r="AZ99" i="157" a="1"/>
  <c r="BK7" i="157" a="1"/>
  <c r="AZ63" i="157" a="1"/>
  <c r="AZ86" i="157" a="1"/>
  <c r="BG78" i="157" a="1"/>
  <c r="AZ71" i="157" a="1"/>
  <c r="BK43" i="157" a="1"/>
  <c r="AZ162" i="157" a="1"/>
  <c r="BK18" i="157" a="1"/>
  <c r="BK39" i="157" a="1"/>
  <c r="BG6" i="157" a="1"/>
  <c r="BG11" i="157" a="1"/>
  <c r="AZ127" i="157" a="1"/>
  <c r="BG28" i="157" a="1"/>
  <c r="AZ107" i="157" a="1"/>
  <c r="AZ88" i="157" a="1"/>
  <c r="BG25" i="157" a="1"/>
  <c r="AZ108" i="157" a="1"/>
  <c r="AZ77" i="157" a="1"/>
  <c r="BC102" i="157" a="1"/>
  <c r="BK17" i="157" a="1"/>
  <c r="AZ83" i="157" a="1"/>
  <c r="AZ51" i="157" a="1"/>
  <c r="AZ165" i="157" a="1"/>
  <c r="BG52" i="157" a="1"/>
  <c r="AZ61" i="157" a="1"/>
  <c r="BG26" i="157" a="1"/>
  <c r="BK58" i="157" a="1"/>
  <c r="AZ62" i="157" a="1"/>
  <c r="BK191" i="157" a="1"/>
  <c r="BC19" i="157" a="1"/>
  <c r="BG91" i="157" a="1"/>
  <c r="AZ92" i="157" a="1"/>
  <c r="BC73" i="157" a="1"/>
  <c r="BC17" i="157" a="1"/>
  <c r="BC45" i="157" a="1"/>
  <c r="AZ100" i="157" a="1"/>
  <c r="AZ8" i="157" a="1"/>
  <c r="BC53" i="157" a="1"/>
  <c r="BG75" i="157" a="1"/>
  <c r="AZ10" i="157" a="1"/>
  <c r="BC36" i="157" a="1"/>
  <c r="AZ23" i="157" a="1"/>
  <c r="AZ55" i="157" a="1"/>
  <c r="BG33" i="157" a="1"/>
  <c r="AZ69" i="157" a="1"/>
  <c r="BC75" i="157" a="1"/>
  <c r="BK99" i="157" a="1"/>
  <c r="BG35" i="157" a="1"/>
  <c r="BK178" i="157" a="1"/>
  <c r="BK12" i="157" a="1"/>
  <c r="BG37" i="157" a="1"/>
  <c r="BK34" i="157" a="1"/>
  <c r="AZ57" i="157" a="1"/>
  <c r="BK101" i="157" a="1"/>
  <c r="AZ5" i="157" a="1"/>
  <c r="BC71" i="157" a="1"/>
  <c r="BG7" i="157" a="1"/>
  <c r="BK56" i="157" a="1"/>
  <c r="BG20" i="157" a="1"/>
  <c r="AZ46" i="157" a="1"/>
  <c r="BK64" i="157" a="1"/>
  <c r="BG9" i="157" a="1"/>
  <c r="AZ120" i="157" a="1"/>
  <c r="BK48" i="157" a="1"/>
  <c r="BK73" i="157" a="1"/>
  <c r="BG12" i="157" a="1"/>
  <c r="AZ123" i="157" a="1"/>
  <c r="BG71" i="157" a="1"/>
  <c r="BC44" i="157" a="1"/>
  <c r="AZ101" i="157" a="1"/>
  <c r="BC18" i="157" a="1"/>
  <c r="AZ22" i="157" a="1"/>
  <c r="BK57" i="157" a="1"/>
  <c r="BK44" i="157" a="1"/>
  <c r="BC90" i="157" a="1"/>
  <c r="AZ19" i="157" a="1"/>
  <c r="BK35" i="157" a="1"/>
  <c r="BG34" i="157" a="1"/>
  <c r="BG43" i="157" a="1"/>
  <c r="BC42" i="157" a="1"/>
  <c r="BK198" i="157" a="1"/>
  <c r="BK90" i="157" a="1"/>
  <c r="BK62" i="157" a="1"/>
  <c r="AZ47" i="157" a="1"/>
  <c r="AZ78" i="157" a="1"/>
  <c r="AZ114" i="157" a="1"/>
  <c r="BG103" i="157" a="1"/>
  <c r="AZ58" i="157" a="1"/>
  <c r="AZ73" i="157" a="1"/>
  <c r="BK26" i="157" a="1"/>
  <c r="AZ117" i="157" a="1"/>
  <c r="BC30" i="157" a="1"/>
  <c r="AZ49" i="157" a="1"/>
  <c r="BG94" i="157" a="1"/>
  <c r="AZ18" i="157" a="1"/>
  <c r="BC26" i="157" a="1"/>
  <c r="BG72" i="157" a="1"/>
  <c r="BK89" i="157" a="1"/>
  <c r="BK63" i="157" a="1"/>
  <c r="BG55" i="157" a="1"/>
  <c r="BC7" i="157" a="1"/>
  <c r="BK36" i="157" a="1"/>
  <c r="AZ56" i="157" a="1"/>
  <c r="BC57" i="157" a="1"/>
  <c r="BK91" i="157" a="1"/>
  <c r="BC93" i="157" a="1"/>
  <c r="BG96" i="157" a="1"/>
  <c r="BK13" i="157" a="1"/>
  <c r="BG105" i="157" a="1"/>
  <c r="BK100" i="157" a="1"/>
  <c r="BG97" i="157" a="1"/>
  <c r="AZ198" i="157" a="1"/>
  <c r="BG17" i="157" a="1"/>
  <c r="BK69" i="157" a="1"/>
  <c r="AZ118" i="157" a="1"/>
  <c r="AZ75" i="157" a="1"/>
  <c r="BG63" i="157" a="1"/>
  <c r="BG57" i="157" a="1"/>
  <c r="AZ26" i="157" a="1"/>
  <c r="BC37" i="157" a="1"/>
  <c r="BG22" i="157" a="1"/>
  <c r="BC47" i="157" a="1"/>
  <c r="BK46" i="157" a="1"/>
  <c r="BC16" i="157" a="1"/>
  <c r="BG38" i="157" a="1"/>
  <c r="AZ116" i="157" a="1"/>
  <c r="BG102" i="157" a="1"/>
  <c r="BG73" i="157" a="1"/>
  <c r="BC74" i="157" a="1"/>
  <c r="BC86" i="157" a="1"/>
  <c r="BK197" i="157" a="1"/>
  <c r="BG82" i="157" a="1"/>
  <c r="BK65" i="157" a="1"/>
  <c r="BC83" i="157" a="1"/>
  <c r="AZ109" i="157" a="1"/>
  <c r="BK52" i="157" a="1"/>
  <c r="BK177" i="157" a="1"/>
  <c r="BC28" i="157" a="1"/>
  <c r="BC186" i="157" a="1"/>
  <c r="BK30" i="157" a="1"/>
  <c r="BG30" i="157" a="1"/>
  <c r="AZ95" i="157" a="1"/>
  <c r="BC39" i="157" a="1"/>
  <c r="AZ125" i="157" a="1"/>
  <c r="BC20" i="157" a="1"/>
  <c r="BK14" i="157" a="1"/>
  <c r="BG49" i="157" a="1"/>
  <c r="BC160" i="157" a="1"/>
  <c r="BC6" i="157" a="1"/>
  <c r="BC67" i="157" a="1"/>
  <c r="BG92" i="157" a="1"/>
  <c r="BK93" i="157" a="1"/>
  <c r="BC64" i="157" a="1"/>
  <c r="BG36" i="157" a="1"/>
  <c r="AZ32" i="157" a="1"/>
  <c r="BK74" i="157" a="1"/>
  <c r="BC34" i="157" a="1"/>
  <c r="BK225" i="157" a="1"/>
  <c r="AZ13" i="157" a="1"/>
  <c r="AZ12" i="157" a="1"/>
  <c r="BC50" i="157" a="1"/>
  <c r="BG99" i="157" a="1"/>
  <c r="BG56" i="157" a="1"/>
  <c r="BK169" i="157" a="1"/>
  <c r="AZ27" i="157" a="1"/>
  <c r="BK87" i="157" a="1"/>
  <c r="AZ39" i="157" a="1"/>
  <c r="AZ105" i="157" a="1"/>
  <c r="AZ42" i="157" a="1"/>
  <c r="BK9" i="157" a="1"/>
  <c r="AZ21" i="157" a="1"/>
  <c r="BK47" i="157" a="1"/>
  <c r="BK10" i="157" a="1"/>
  <c r="BG65" i="157" a="1"/>
  <c r="AZ67" i="157" a="1"/>
  <c r="AZ50" i="157" a="1"/>
  <c r="BG88" i="157" a="1"/>
  <c r="AZ76" i="157" a="1"/>
  <c r="BG13" i="157" a="1"/>
  <c r="BK156" i="157" a="1"/>
  <c r="AZ84" i="157" a="1"/>
  <c r="BC51" i="157" a="1"/>
  <c r="BC99" i="157" a="1"/>
  <c r="BK72" i="157" a="1"/>
  <c r="BK161" i="157" a="1"/>
  <c r="BC59" i="157" a="1"/>
  <c r="AZ110" i="157" a="1"/>
  <c r="BG31" i="157" a="1"/>
  <c r="BK25" i="157" a="1"/>
  <c r="BK81" i="157" a="1"/>
  <c r="AZ31" i="157" a="1"/>
  <c r="AZ168" i="157" a="1"/>
  <c r="BK28" i="157" a="1"/>
  <c r="BC49" i="157" a="1"/>
  <c r="AZ68" i="157" a="1"/>
  <c r="BC24" i="157" a="1"/>
  <c r="AZ41" i="157" a="1"/>
  <c r="AZ53" i="157" a="1"/>
  <c r="AZ122" i="157" a="1"/>
  <c r="BC38" i="157" a="1"/>
  <c r="AZ9" i="157" a="1"/>
  <c r="BC98" i="157" a="1"/>
  <c r="BC96" i="157" a="1"/>
  <c r="BG70" i="157" a="1"/>
  <c r="BC70" i="157" a="1"/>
  <c r="BG61" i="157" a="1"/>
  <c r="AZ60" i="157" a="1"/>
  <c r="BK226" i="157" a="1"/>
  <c r="BC82" i="157" a="1"/>
  <c r="BK70" i="157" a="1"/>
  <c r="AZ93" i="157" a="1"/>
  <c r="BC43" i="157" a="1"/>
  <c r="BC76" i="157" a="1"/>
  <c r="BK195" i="157" a="1"/>
  <c r="BC85" i="157" a="1"/>
  <c r="BG87" i="157" a="1"/>
  <c r="BC84" i="157" a="1"/>
  <c r="BK78" i="157" a="1"/>
  <c r="AZ85" i="157" a="1"/>
  <c r="BK49" i="157" a="1"/>
  <c r="AZ24" i="157" a="1"/>
  <c r="AZ128" i="157" a="1"/>
  <c r="BC5" i="157" a="1"/>
  <c r="BG58" i="157" a="1"/>
  <c r="BK40" i="157" a="1"/>
  <c r="BG100" i="157" a="1"/>
  <c r="BG46" i="157" a="1"/>
  <c r="BC55" i="157" a="1"/>
  <c r="BK218" i="157" a="1"/>
  <c r="BK88" i="157" a="1"/>
  <c r="BG95" i="157" a="1"/>
  <c r="BK219" i="157" a="1"/>
  <c r="BK67" i="157" a="1"/>
  <c r="BK33" i="157" a="1"/>
  <c r="AZ6" i="157" a="1"/>
  <c r="AZ119" i="157" a="1"/>
  <c r="BC35" i="157" a="1"/>
  <c r="AZ43" i="157" a="1"/>
  <c r="BG89" i="157" a="1"/>
  <c r="BG47" i="157" a="1"/>
  <c r="BG76" i="157" a="1"/>
  <c r="AZ96" i="157" a="1"/>
  <c r="AZ11" i="157" a="1"/>
  <c r="BC101" i="157" a="1"/>
  <c r="BC8" i="157" a="1"/>
  <c r="BG53" i="157" a="1"/>
  <c r="BG39" i="157" a="1"/>
  <c r="AZ40" i="157" a="1"/>
  <c r="AZ217" i="157" a="1"/>
  <c r="BC27" i="157" a="1"/>
  <c r="AZ87" i="157" a="1"/>
  <c r="BK23" i="157" a="1"/>
  <c r="AZ48" i="157" a="1"/>
  <c r="BC66" i="157" a="1"/>
  <c r="BC14" i="157" a="1"/>
  <c r="BK96" i="157" a="1"/>
  <c r="BG83" i="157" a="1"/>
  <c r="AZ20" i="157" a="1"/>
  <c r="BK19" i="157" a="1"/>
  <c r="BG60" i="157" a="1"/>
  <c r="BK55" i="157" a="1"/>
  <c r="BC206" i="157" a="1"/>
  <c r="AZ106" i="157" a="1"/>
  <c r="BC48" i="157" a="1"/>
  <c r="BK92" i="157" a="1"/>
  <c r="BG23" i="157" a="1"/>
  <c r="AZ37" i="157" a="1"/>
  <c r="BC189" i="157" a="1"/>
  <c r="BC103" i="157" a="1"/>
  <c r="AZ80" i="157" a="1"/>
  <c r="BC190" i="157" a="1"/>
  <c r="BC69" i="157" a="1"/>
  <c r="BK6" i="157" a="1"/>
  <c r="AZ126" i="157" a="1"/>
  <c r="BK85" i="157" a="1"/>
  <c r="BG21" i="157" a="1"/>
  <c r="BG90" i="157" a="1"/>
  <c r="BG74" i="157" a="1"/>
  <c r="BG98" i="157" a="1"/>
  <c r="BK225" i="157" l="1"/>
  <c r="BK226" i="157"/>
  <c r="Z98" i="198"/>
  <c r="Z101" i="198" s="1"/>
  <c r="Z106" i="198" s="1"/>
  <c r="AA98" i="198"/>
  <c r="AA101" i="198" s="1"/>
  <c r="AA106" i="198" s="1"/>
  <c r="F101" i="198"/>
  <c r="F106" i="198" s="1"/>
  <c r="H101" i="198"/>
  <c r="H106" i="198" s="1"/>
  <c r="BK224" i="157"/>
  <c r="Y98" i="198"/>
  <c r="Y101" i="198" s="1"/>
  <c r="Y106" i="198" s="1"/>
  <c r="X101" i="198"/>
  <c r="X106" i="198" s="1"/>
  <c r="U101" i="198"/>
  <c r="U106" i="198" s="1"/>
  <c r="BK219" i="157"/>
  <c r="T98" i="198"/>
  <c r="T101" i="198" s="1"/>
  <c r="T106" i="198" s="1"/>
  <c r="BK218" i="157"/>
  <c r="S98" i="198"/>
  <c r="S101" i="198" s="1"/>
  <c r="S106" i="198" s="1"/>
  <c r="AZ217" i="157"/>
  <c r="R96" i="198"/>
  <c r="R101" i="198" s="1"/>
  <c r="R106" i="198" s="1"/>
  <c r="P101" i="198"/>
  <c r="P106" i="198" s="1"/>
  <c r="AZ212" i="157"/>
  <c r="BK211" i="157"/>
  <c r="L98" i="198"/>
  <c r="L101" i="198" s="1"/>
  <c r="L106" i="198" s="1"/>
  <c r="AZ208" i="157"/>
  <c r="I96" i="198"/>
  <c r="I101" i="198" s="1"/>
  <c r="I106" i="198" s="1"/>
  <c r="BC206" i="157"/>
  <c r="G97" i="198"/>
  <c r="G101" i="198" s="1"/>
  <c r="G106" i="198" s="1"/>
  <c r="Y82" i="198"/>
  <c r="T82" i="198"/>
  <c r="AC101" i="198"/>
  <c r="AC106" i="198" s="1"/>
  <c r="V101" i="198"/>
  <c r="V106" i="198" s="1"/>
  <c r="R82" i="198"/>
  <c r="AA82" i="198"/>
  <c r="L82" i="198"/>
  <c r="I82" i="198"/>
  <c r="S82" i="198"/>
  <c r="M82" i="198"/>
  <c r="M96" i="198"/>
  <c r="M101" i="198" s="1"/>
  <c r="M106" i="198" s="1"/>
  <c r="Z82" i="198"/>
  <c r="V101" i="197"/>
  <c r="V106" i="197" s="1"/>
  <c r="BC189" i="157"/>
  <c r="O97" i="197"/>
  <c r="O101" i="197" s="1"/>
  <c r="O106" i="197" s="1"/>
  <c r="AZ198" i="157"/>
  <c r="BK195" i="157"/>
  <c r="BC186" i="157"/>
  <c r="BK197" i="157"/>
  <c r="BK181" i="157"/>
  <c r="BK180" i="157"/>
  <c r="BK198" i="157"/>
  <c r="AZ181" i="157"/>
  <c r="BC190" i="157"/>
  <c r="BK200" i="157"/>
  <c r="BK199" i="157"/>
  <c r="BK191" i="157"/>
  <c r="BK201" i="157"/>
  <c r="Y101" i="197"/>
  <c r="Y106" i="197" s="1"/>
  <c r="X96" i="197"/>
  <c r="X101" i="197" s="1"/>
  <c r="X106" i="197" s="1"/>
  <c r="U98" i="197"/>
  <c r="U101" i="197" s="1"/>
  <c r="U106" i="197" s="1"/>
  <c r="L97" i="197"/>
  <c r="L101" i="197" s="1"/>
  <c r="L106" i="197" s="1"/>
  <c r="W98" i="197"/>
  <c r="W101" i="197" s="1"/>
  <c r="W106" i="197" s="1"/>
  <c r="G98" i="197"/>
  <c r="G101" i="197" s="1"/>
  <c r="G106" i="197" s="1"/>
  <c r="F98" i="197"/>
  <c r="F101" i="197" s="1"/>
  <c r="F106" i="197" s="1"/>
  <c r="X98" i="197"/>
  <c r="G96" i="197"/>
  <c r="P97" i="197"/>
  <c r="P101" i="197" s="1"/>
  <c r="P106" i="197" s="1"/>
  <c r="Z98" i="197"/>
  <c r="Z101" i="197" s="1"/>
  <c r="Z106" i="197" s="1"/>
  <c r="Y98" i="197"/>
  <c r="Q98" i="197"/>
  <c r="Q101" i="197" s="1"/>
  <c r="Q106" i="197" s="1"/>
  <c r="Y82" i="197"/>
  <c r="AA98" i="197"/>
  <c r="AA101" i="197" s="1"/>
  <c r="AA106" i="197" s="1"/>
  <c r="Z82" i="197"/>
  <c r="U82" i="197"/>
  <c r="L82" i="197"/>
  <c r="X82" i="197"/>
  <c r="Q82" i="197"/>
  <c r="W82" i="197"/>
  <c r="P82" i="197"/>
  <c r="BK178" i="157"/>
  <c r="AC98" i="196"/>
  <c r="BC178" i="157"/>
  <c r="AC97" i="196"/>
  <c r="AC101" i="196"/>
  <c r="AC106" i="196" s="1"/>
  <c r="AA101" i="196"/>
  <c r="AA106" i="196" s="1"/>
  <c r="BK169" i="157"/>
  <c r="T98" i="196"/>
  <c r="T101" i="196" s="1"/>
  <c r="T106" i="196" s="1"/>
  <c r="AZ168" i="157"/>
  <c r="S96" i="196"/>
  <c r="S101" i="196" s="1"/>
  <c r="S106" i="196" s="1"/>
  <c r="BK156" i="157"/>
  <c r="BK177" i="157"/>
  <c r="BK161" i="157"/>
  <c r="BC160" i="157"/>
  <c r="BK162" i="157"/>
  <c r="BK160" i="157"/>
  <c r="G98" i="196"/>
  <c r="G101" i="196"/>
  <c r="G106" i="196" s="1"/>
  <c r="L98" i="196"/>
  <c r="K97" i="196"/>
  <c r="M98" i="196"/>
  <c r="K98" i="196"/>
  <c r="AZ165" i="157"/>
  <c r="AZ162" i="157"/>
  <c r="P96" i="196"/>
  <c r="P101" i="196" s="1"/>
  <c r="P106" i="196" s="1"/>
  <c r="M96" i="196"/>
  <c r="M101" i="196" s="1"/>
  <c r="M106" i="196" s="1"/>
  <c r="BK158" i="157"/>
  <c r="I98" i="196"/>
  <c r="I101" i="196" s="1"/>
  <c r="I106" i="196" s="1"/>
  <c r="BK157" i="157"/>
  <c r="H98" i="196"/>
  <c r="H101" i="196" s="1"/>
  <c r="H106" i="196" s="1"/>
  <c r="H82" i="196"/>
  <c r="BC155" i="157"/>
  <c r="F97" i="196"/>
  <c r="F82" i="196"/>
  <c r="Y101" i="196"/>
  <c r="Y106" i="196" s="1"/>
  <c r="F101" i="196"/>
  <c r="F106" i="196" s="1"/>
  <c r="I82" i="196"/>
  <c r="M82" i="196"/>
  <c r="K82" i="196"/>
  <c r="O101" i="196"/>
  <c r="O106" i="196" s="1"/>
  <c r="P82" i="196"/>
  <c r="L107" i="196"/>
  <c r="L101" i="196"/>
  <c r="L106" i="196" s="1"/>
  <c r="K107" i="196"/>
  <c r="K101" i="196"/>
  <c r="K106" i="196" s="1"/>
  <c r="X101" i="196"/>
  <c r="X106" i="196" s="1"/>
  <c r="Z101" i="196"/>
  <c r="Z106" i="196" s="1"/>
  <c r="AF63" i="196"/>
  <c r="AH63" i="196"/>
  <c r="L82" i="196"/>
  <c r="J107" i="196"/>
  <c r="J101" i="196"/>
  <c r="J106" i="196" s="1"/>
  <c r="AB98" i="196"/>
  <c r="AB101" i="196" s="1"/>
  <c r="AB106" i="196" s="1"/>
  <c r="AB82" i="196"/>
  <c r="BK94" i="157"/>
  <c r="BK96" i="157"/>
  <c r="BK100" i="157"/>
  <c r="BK84" i="157"/>
  <c r="BK86" i="157"/>
  <c r="BK88" i="157"/>
  <c r="BK99" i="157"/>
  <c r="BK90" i="157"/>
  <c r="BK81" i="157"/>
  <c r="BK91" i="157"/>
  <c r="BK101" i="157"/>
  <c r="BK85" i="157"/>
  <c r="BK87" i="157"/>
  <c r="BK98" i="157"/>
  <c r="BK80" i="157"/>
  <c r="BK82" i="157"/>
  <c r="BK92" i="157"/>
  <c r="BK102" i="157"/>
  <c r="BK95" i="157"/>
  <c r="BK97" i="157"/>
  <c r="BK89" i="157"/>
  <c r="BK83" i="157"/>
  <c r="BK93" i="157"/>
  <c r="BK103" i="157"/>
  <c r="BK68" i="157"/>
  <c r="BK59" i="157"/>
  <c r="BK60" i="157"/>
  <c r="BK61" i="157"/>
  <c r="BK62" i="157"/>
  <c r="BK75" i="157"/>
  <c r="BK69" i="157"/>
  <c r="BK72" i="157"/>
  <c r="BK63" i="157"/>
  <c r="BK64" i="157"/>
  <c r="BK65" i="157"/>
  <c r="BK56" i="157"/>
  <c r="BK66" i="157"/>
  <c r="BK76" i="157"/>
  <c r="BK58" i="157"/>
  <c r="BK71" i="157"/>
  <c r="BK73" i="157"/>
  <c r="BK74" i="157"/>
  <c r="BK55" i="157"/>
  <c r="BK57" i="157"/>
  <c r="BK67" i="157"/>
  <c r="BK77" i="157"/>
  <c r="BK70" i="157"/>
  <c r="BK78" i="157"/>
  <c r="BK35" i="157"/>
  <c r="BK50" i="157"/>
  <c r="BK44" i="157"/>
  <c r="BK37" i="157"/>
  <c r="BK38" i="157"/>
  <c r="BK49" i="157"/>
  <c r="BK40" i="157"/>
  <c r="BK51" i="157"/>
  <c r="BK32" i="157"/>
  <c r="BK52" i="157"/>
  <c r="BK34" i="157"/>
  <c r="BK36" i="157"/>
  <c r="BK47" i="157"/>
  <c r="BK39" i="157"/>
  <c r="BK30" i="157"/>
  <c r="BK41" i="157"/>
  <c r="BK42" i="157"/>
  <c r="BK45" i="157"/>
  <c r="BK46" i="157"/>
  <c r="BK48" i="157"/>
  <c r="BK31" i="157"/>
  <c r="BK33" i="157"/>
  <c r="BK43" i="157"/>
  <c r="BK53" i="157"/>
  <c r="BK9" i="157"/>
  <c r="BK13" i="157"/>
  <c r="BK10" i="157"/>
  <c r="BK11" i="157"/>
  <c r="BK12" i="157"/>
  <c r="BK14" i="157"/>
  <c r="BK26" i="157"/>
  <c r="BK19" i="157"/>
  <c r="BK20" i="157"/>
  <c r="BK21" i="157"/>
  <c r="BK22" i="157"/>
  <c r="BK23" i="157"/>
  <c r="BK24" i="157"/>
  <c r="BK15" i="157"/>
  <c r="BK25" i="157"/>
  <c r="BK6" i="157"/>
  <c r="BK16" i="157"/>
  <c r="BK7" i="157"/>
  <c r="BK17" i="157"/>
  <c r="BK27" i="157"/>
  <c r="BK8" i="157"/>
  <c r="BK18" i="157"/>
  <c r="BK28" i="157"/>
  <c r="BK5" i="157"/>
  <c r="BG105" i="157"/>
  <c r="BG81" i="157"/>
  <c r="BG91" i="157"/>
  <c r="BG82" i="157"/>
  <c r="BG92" i="157"/>
  <c r="BG83" i="157"/>
  <c r="BG84" i="157"/>
  <c r="BG94" i="157"/>
  <c r="BG85" i="157"/>
  <c r="BG95" i="157"/>
  <c r="BG86" i="157"/>
  <c r="BG96" i="157"/>
  <c r="BG87" i="157"/>
  <c r="BG97" i="157"/>
  <c r="BG88" i="157"/>
  <c r="BG98" i="157"/>
  <c r="BG89" i="157"/>
  <c r="BG99" i="157"/>
  <c r="BG80" i="157"/>
  <c r="BG90" i="157"/>
  <c r="BG100" i="157"/>
  <c r="BG101" i="157"/>
  <c r="BG102" i="157"/>
  <c r="BG93" i="157"/>
  <c r="BG103" i="157"/>
  <c r="BG59" i="157"/>
  <c r="BG60" i="157"/>
  <c r="BG61" i="157"/>
  <c r="BG64" i="157"/>
  <c r="BG69" i="157"/>
  <c r="BG70" i="157"/>
  <c r="BG71" i="157"/>
  <c r="BG62" i="157"/>
  <c r="BG72" i="157"/>
  <c r="BG63" i="157"/>
  <c r="BG73" i="157"/>
  <c r="BG74" i="157"/>
  <c r="BG55" i="157"/>
  <c r="BG65" i="157"/>
  <c r="BG75" i="157"/>
  <c r="BG56" i="157"/>
  <c r="BG66" i="157"/>
  <c r="BG76" i="157"/>
  <c r="BG57" i="157"/>
  <c r="BG67" i="157"/>
  <c r="BG77" i="157"/>
  <c r="BG58" i="157"/>
  <c r="BG68" i="157"/>
  <c r="BG78" i="157"/>
  <c r="BG34" i="157"/>
  <c r="BG36" i="157"/>
  <c r="BG37" i="157"/>
  <c r="BG47" i="157"/>
  <c r="BG38" i="157"/>
  <c r="BG48" i="157"/>
  <c r="BG39" i="157"/>
  <c r="BG49" i="157"/>
  <c r="BG35" i="157"/>
  <c r="BG30" i="157"/>
  <c r="BG51" i="157"/>
  <c r="BG46" i="157"/>
  <c r="BG40" i="157"/>
  <c r="BG41" i="157"/>
  <c r="BG32" i="157"/>
  <c r="BG52" i="157"/>
  <c r="BG44" i="157"/>
  <c r="BG50" i="157"/>
  <c r="BG42" i="157"/>
  <c r="BG45" i="157"/>
  <c r="BG31" i="157"/>
  <c r="BG33" i="157"/>
  <c r="BG43" i="157"/>
  <c r="BG53" i="157"/>
  <c r="BG8" i="157"/>
  <c r="BG9" i="157"/>
  <c r="BG10" i="157"/>
  <c r="BG11" i="157"/>
  <c r="BG12" i="157"/>
  <c r="BG13" i="157"/>
  <c r="BG17" i="157"/>
  <c r="BG18" i="157"/>
  <c r="BG19" i="157"/>
  <c r="BG20" i="157"/>
  <c r="BG21" i="157"/>
  <c r="BG22" i="157"/>
  <c r="BG23" i="157"/>
  <c r="BG14" i="157"/>
  <c r="BG24" i="157"/>
  <c r="BG15" i="157"/>
  <c r="BG25" i="157"/>
  <c r="BG6" i="157"/>
  <c r="BG16" i="157"/>
  <c r="BG26" i="157"/>
  <c r="BG7" i="157"/>
  <c r="BG27" i="157"/>
  <c r="BG28" i="157"/>
  <c r="BG5" i="157"/>
  <c r="BC85" i="157"/>
  <c r="BC96" i="157"/>
  <c r="BC99" i="157"/>
  <c r="BC92" i="157"/>
  <c r="BC94" i="157"/>
  <c r="BC86" i="157"/>
  <c r="BC97" i="157"/>
  <c r="BC98" i="157"/>
  <c r="BC80" i="157"/>
  <c r="BC100" i="157"/>
  <c r="BC91" i="157"/>
  <c r="BC101" i="157"/>
  <c r="BC82" i="157"/>
  <c r="BC102" i="157"/>
  <c r="BC84" i="157"/>
  <c r="BC95" i="157"/>
  <c r="BC87" i="157"/>
  <c r="BC88" i="157"/>
  <c r="BC89" i="157"/>
  <c r="BC90" i="157"/>
  <c r="BC81" i="157"/>
  <c r="BC83" i="157"/>
  <c r="BC93" i="157"/>
  <c r="BC103" i="157"/>
  <c r="BC63" i="157"/>
  <c r="BC59" i="157"/>
  <c r="BC60" i="157"/>
  <c r="BC61" i="157"/>
  <c r="BC72" i="157"/>
  <c r="BC64" i="157"/>
  <c r="BC55" i="157"/>
  <c r="BC65" i="157"/>
  <c r="BC56" i="157"/>
  <c r="BC66" i="157"/>
  <c r="BC57" i="157"/>
  <c r="BC67" i="157"/>
  <c r="BC77" i="157"/>
  <c r="BC69" i="157"/>
  <c r="BC70" i="157"/>
  <c r="BC71" i="157"/>
  <c r="BC62" i="157"/>
  <c r="BC73" i="157"/>
  <c r="BC74" i="157"/>
  <c r="BC75" i="157"/>
  <c r="BC76" i="157"/>
  <c r="BC58" i="157"/>
  <c r="BC68" i="157"/>
  <c r="BC78" i="157"/>
  <c r="BC34" i="157"/>
  <c r="BC45" i="157"/>
  <c r="BC46" i="157"/>
  <c r="BC47" i="157"/>
  <c r="BC48" i="157"/>
  <c r="BC49" i="157"/>
  <c r="BC40" i="157"/>
  <c r="BC42" i="157"/>
  <c r="BC44" i="157"/>
  <c r="BC35" i="157"/>
  <c r="BC36" i="157"/>
  <c r="BC37" i="157"/>
  <c r="BC38" i="157"/>
  <c r="BC39" i="157"/>
  <c r="BC30" i="157"/>
  <c r="BC50" i="157"/>
  <c r="BC31" i="157"/>
  <c r="BC41" i="157"/>
  <c r="BC51" i="157"/>
  <c r="BC32" i="157"/>
  <c r="BC52" i="157"/>
  <c r="BC33" i="157"/>
  <c r="BC43" i="157"/>
  <c r="BC53" i="157"/>
  <c r="BC24" i="157"/>
  <c r="BC19" i="157"/>
  <c r="BC26" i="157"/>
  <c r="BC10" i="157"/>
  <c r="BC21" i="157"/>
  <c r="BC13" i="157"/>
  <c r="BC25" i="157"/>
  <c r="BC16" i="157"/>
  <c r="BC27" i="157"/>
  <c r="BC20" i="157"/>
  <c r="BC11" i="157"/>
  <c r="BC22" i="157"/>
  <c r="BC14" i="157"/>
  <c r="BC15" i="157"/>
  <c r="BC6" i="157"/>
  <c r="BC7" i="157"/>
  <c r="BC17" i="157"/>
  <c r="BC9" i="157"/>
  <c r="BC12" i="157"/>
  <c r="BC23" i="157"/>
  <c r="BC8" i="157"/>
  <c r="BC18" i="157"/>
  <c r="BC28" i="157"/>
  <c r="BC5" i="157"/>
  <c r="AZ81" i="157"/>
  <c r="AZ91" i="157"/>
  <c r="AZ101" i="157"/>
  <c r="AZ82" i="157"/>
  <c r="AZ92" i="157"/>
  <c r="AZ83" i="157"/>
  <c r="AZ93" i="157"/>
  <c r="AZ84" i="157"/>
  <c r="AZ94" i="157"/>
  <c r="AZ85" i="157"/>
  <c r="AZ95" i="157"/>
  <c r="AZ86" i="157"/>
  <c r="AZ96" i="157"/>
  <c r="AZ87" i="157"/>
  <c r="AZ97" i="157"/>
  <c r="AZ88" i="157"/>
  <c r="AZ98" i="157"/>
  <c r="AZ89" i="157"/>
  <c r="AZ99" i="157"/>
  <c r="AZ80" i="157"/>
  <c r="AZ90" i="157"/>
  <c r="AZ100" i="157"/>
  <c r="AZ102" i="157"/>
  <c r="AZ103" i="157"/>
  <c r="AZ59" i="157"/>
  <c r="AZ71" i="157"/>
  <c r="AZ70" i="157"/>
  <c r="AZ60" i="157"/>
  <c r="AZ61" i="157"/>
  <c r="AZ63" i="157"/>
  <c r="AZ64" i="157"/>
  <c r="AZ65" i="157"/>
  <c r="AZ56" i="157"/>
  <c r="AZ66" i="157"/>
  <c r="AZ76" i="157"/>
  <c r="AZ55" i="157"/>
  <c r="AZ69" i="157"/>
  <c r="AZ72" i="157"/>
  <c r="AZ73" i="157"/>
  <c r="AZ75" i="157"/>
  <c r="AZ57" i="157"/>
  <c r="AZ67" i="157"/>
  <c r="AZ77" i="157"/>
  <c r="AZ62" i="157"/>
  <c r="AZ74" i="157"/>
  <c r="AZ58" i="157"/>
  <c r="AZ68" i="157"/>
  <c r="AZ78" i="157"/>
  <c r="AZ48" i="157"/>
  <c r="AZ44" i="157"/>
  <c r="AZ36" i="157"/>
  <c r="AZ47" i="157"/>
  <c r="AZ39" i="157"/>
  <c r="AZ40" i="157"/>
  <c r="AZ51" i="157"/>
  <c r="AZ52" i="157"/>
  <c r="AZ34" i="157"/>
  <c r="AZ45" i="157"/>
  <c r="AZ37" i="157"/>
  <c r="AZ49" i="157"/>
  <c r="AZ30" i="157"/>
  <c r="AZ31" i="157"/>
  <c r="AZ41" i="157"/>
  <c r="AZ32" i="157"/>
  <c r="AZ42" i="157"/>
  <c r="AZ35" i="157"/>
  <c r="AZ46" i="157"/>
  <c r="AZ38" i="157"/>
  <c r="AZ50" i="157"/>
  <c r="AZ33" i="157"/>
  <c r="AZ43" i="157"/>
  <c r="AZ53" i="157"/>
  <c r="AZ19" i="157"/>
  <c r="AZ21" i="157"/>
  <c r="AZ9" i="157"/>
  <c r="AZ11" i="157"/>
  <c r="AZ23" i="157"/>
  <c r="AZ26" i="157"/>
  <c r="AZ20" i="157"/>
  <c r="AZ12" i="157"/>
  <c r="AZ13" i="157"/>
  <c r="AZ14" i="157"/>
  <c r="AZ5" i="157"/>
  <c r="AZ6" i="157"/>
  <c r="AZ27" i="157"/>
  <c r="AZ10" i="157"/>
  <c r="AZ22" i="157"/>
  <c r="AZ24" i="157"/>
  <c r="AZ17" i="157"/>
  <c r="AZ15" i="157"/>
  <c r="AZ25" i="157"/>
  <c r="AZ16" i="157"/>
  <c r="AZ7" i="157"/>
  <c r="AZ8" i="157"/>
  <c r="AZ18" i="157"/>
  <c r="AZ28" i="157"/>
  <c r="AZ105" i="157"/>
  <c r="AZ125" i="157"/>
  <c r="AZ117" i="157"/>
  <c r="AZ113" i="157"/>
  <c r="AZ128" i="157"/>
  <c r="AZ120" i="157"/>
  <c r="AZ112" i="157"/>
  <c r="AZ108" i="157"/>
  <c r="AZ127" i="157"/>
  <c r="AZ123" i="157"/>
  <c r="AZ119" i="157"/>
  <c r="AZ115" i="157"/>
  <c r="AZ111" i="157"/>
  <c r="AZ107" i="157"/>
  <c r="AZ121" i="157"/>
  <c r="AZ109" i="157"/>
  <c r="AZ124" i="157"/>
  <c r="AZ116" i="157"/>
  <c r="AZ126" i="157"/>
  <c r="AZ122" i="157"/>
  <c r="AZ118" i="157"/>
  <c r="AZ114" i="157"/>
  <c r="AZ110" i="157"/>
  <c r="AZ106" i="157"/>
  <c r="F348" i="88" l="1"/>
  <c r="F347" i="88"/>
  <c r="F346" i="88"/>
  <c r="F345" i="88"/>
  <c r="F342" i="88"/>
  <c r="F343" i="88"/>
  <c r="AZ130" i="157" a="1"/>
  <c r="N130" i="157" a="1"/>
  <c r="AZ130" i="157" l="1"/>
  <c r="N130" i="157"/>
  <c r="F74" i="195"/>
  <c r="F71" i="195"/>
  <c r="F70" i="195"/>
  <c r="F68" i="195"/>
  <c r="F67" i="195"/>
  <c r="F63" i="195"/>
  <c r="F61" i="195"/>
  <c r="F350" i="88"/>
  <c r="F100" i="195"/>
  <c r="G100" i="195"/>
  <c r="H100" i="195"/>
  <c r="I100" i="195"/>
  <c r="J100" i="195"/>
  <c r="K100" i="195"/>
  <c r="L100" i="195"/>
  <c r="M100" i="195"/>
  <c r="N100" i="195"/>
  <c r="O100" i="195"/>
  <c r="P100" i="195"/>
  <c r="Q100" i="195"/>
  <c r="R100" i="195"/>
  <c r="S100" i="195"/>
  <c r="T100" i="195"/>
  <c r="U100" i="195"/>
  <c r="V100" i="195"/>
  <c r="W100" i="195"/>
  <c r="X100" i="195"/>
  <c r="Y100" i="195"/>
  <c r="Z100" i="195"/>
  <c r="AA100" i="195"/>
  <c r="AB100" i="195"/>
  <c r="AC100" i="195"/>
  <c r="G101" i="194"/>
  <c r="F101" i="194"/>
  <c r="H101" i="194"/>
  <c r="I101" i="194"/>
  <c r="J101" i="194"/>
  <c r="K101" i="194"/>
  <c r="L101" i="194"/>
  <c r="M101" i="194"/>
  <c r="N101" i="194"/>
  <c r="O101" i="194"/>
  <c r="P101" i="194"/>
  <c r="Q101" i="194"/>
  <c r="R101" i="194"/>
  <c r="S101" i="194"/>
  <c r="T101" i="194"/>
  <c r="U101" i="194"/>
  <c r="V101" i="194"/>
  <c r="W101" i="194"/>
  <c r="X101" i="194"/>
  <c r="Y101" i="194"/>
  <c r="Z101" i="194"/>
  <c r="AA101" i="194"/>
  <c r="AB101" i="194"/>
  <c r="AC101" i="194"/>
  <c r="F341" i="88"/>
  <c r="F100" i="194"/>
  <c r="G100" i="194"/>
  <c r="H100" i="194"/>
  <c r="I100" i="194"/>
  <c r="J100" i="194"/>
  <c r="K100" i="194"/>
  <c r="L100" i="194"/>
  <c r="M100" i="194"/>
  <c r="N100" i="194"/>
  <c r="O100" i="194"/>
  <c r="P100" i="194"/>
  <c r="Q100" i="194"/>
  <c r="R100" i="194"/>
  <c r="S100" i="194"/>
  <c r="T100" i="194"/>
  <c r="U100" i="194"/>
  <c r="V100" i="194"/>
  <c r="W100" i="194"/>
  <c r="X100" i="194"/>
  <c r="Y100" i="194"/>
  <c r="Z100" i="194"/>
  <c r="AA100" i="194"/>
  <c r="AB100" i="194"/>
  <c r="AC100" i="194"/>
  <c r="F337" i="88"/>
  <c r="G30" i="195"/>
  <c r="G92" i="195" s="1"/>
  <c r="H30" i="195"/>
  <c r="H92" i="195" s="1"/>
  <c r="I30" i="195"/>
  <c r="I92" i="195" s="1"/>
  <c r="J30" i="195"/>
  <c r="J92" i="195" s="1"/>
  <c r="K30" i="195"/>
  <c r="K92" i="195" s="1"/>
  <c r="L30" i="195"/>
  <c r="L92" i="195" s="1"/>
  <c r="M30" i="195"/>
  <c r="M92" i="195" s="1"/>
  <c r="N30" i="195"/>
  <c r="N92" i="195" s="1"/>
  <c r="O30" i="195"/>
  <c r="O92" i="195" s="1"/>
  <c r="P30" i="195"/>
  <c r="P92" i="195" s="1"/>
  <c r="Q30" i="195"/>
  <c r="Q92" i="195" s="1"/>
  <c r="R30" i="195"/>
  <c r="R92" i="195" s="1"/>
  <c r="S30" i="195"/>
  <c r="T30" i="195"/>
  <c r="U30" i="195"/>
  <c r="V30" i="195"/>
  <c r="W30" i="195"/>
  <c r="W92" i="195" s="1"/>
  <c r="X30" i="195"/>
  <c r="X92" i="195" s="1"/>
  <c r="Y30" i="195"/>
  <c r="Y92" i="195" s="1"/>
  <c r="Z30" i="195"/>
  <c r="Z92" i="195" s="1"/>
  <c r="AA30" i="195"/>
  <c r="AA92" i="195" s="1"/>
  <c r="AB30" i="195"/>
  <c r="AB92" i="195" s="1"/>
  <c r="AC30" i="195"/>
  <c r="AC92" i="195" s="1"/>
  <c r="F30" i="195"/>
  <c r="F92" i="195" s="1"/>
  <c r="C30" i="195"/>
  <c r="Y30" i="194"/>
  <c r="G30" i="194"/>
  <c r="G92" i="194" s="1"/>
  <c r="H30" i="194"/>
  <c r="H92" i="194" s="1"/>
  <c r="I30" i="194"/>
  <c r="I92" i="194" s="1"/>
  <c r="J30" i="194"/>
  <c r="J92" i="194" s="1"/>
  <c r="K30" i="194"/>
  <c r="K92" i="194" s="1"/>
  <c r="L30" i="194"/>
  <c r="M30" i="194"/>
  <c r="N30" i="194"/>
  <c r="O30" i="194"/>
  <c r="O92" i="194" s="1"/>
  <c r="P30" i="194"/>
  <c r="P92" i="194" s="1"/>
  <c r="Q30" i="194"/>
  <c r="Q92" i="194" s="1"/>
  <c r="R30" i="194"/>
  <c r="R92" i="194" s="1"/>
  <c r="S30" i="194"/>
  <c r="S92" i="194" s="1"/>
  <c r="T30" i="194"/>
  <c r="T92" i="194" s="1"/>
  <c r="U30" i="194"/>
  <c r="U92" i="194" s="1"/>
  <c r="V30" i="194"/>
  <c r="W30" i="194"/>
  <c r="X30" i="194"/>
  <c r="Z30" i="194"/>
  <c r="Z92" i="194" s="1"/>
  <c r="AA30" i="194"/>
  <c r="AB30" i="194"/>
  <c r="AC30" i="194"/>
  <c r="F30" i="194"/>
  <c r="L92" i="194"/>
  <c r="M92" i="194"/>
  <c r="N92" i="194"/>
  <c r="F105" i="193"/>
  <c r="G100" i="193"/>
  <c r="H100" i="193"/>
  <c r="I100" i="193"/>
  <c r="J100" i="193"/>
  <c r="K100" i="193"/>
  <c r="L100" i="193"/>
  <c r="M100" i="193"/>
  <c r="N100" i="193"/>
  <c r="O100" i="193"/>
  <c r="P100" i="193"/>
  <c r="Q100" i="193"/>
  <c r="R100" i="193"/>
  <c r="S100" i="193"/>
  <c r="T100" i="193"/>
  <c r="U100" i="193"/>
  <c r="V100" i="193"/>
  <c r="W100" i="193"/>
  <c r="X100" i="193"/>
  <c r="Y100" i="193"/>
  <c r="Z100" i="193"/>
  <c r="AA100" i="193"/>
  <c r="AB100" i="193"/>
  <c r="AC100" i="193"/>
  <c r="F100" i="193"/>
  <c r="G99" i="193"/>
  <c r="H99" i="193"/>
  <c r="I99" i="193"/>
  <c r="J99" i="193"/>
  <c r="K99" i="193"/>
  <c r="L99" i="193"/>
  <c r="M99" i="193"/>
  <c r="N99" i="193"/>
  <c r="O99" i="193"/>
  <c r="P99" i="193"/>
  <c r="Q99" i="193"/>
  <c r="R99" i="193"/>
  <c r="S99" i="193"/>
  <c r="T99" i="193"/>
  <c r="U99" i="193"/>
  <c r="V99" i="193"/>
  <c r="W99" i="193"/>
  <c r="X99" i="193"/>
  <c r="Y99" i="193"/>
  <c r="Z99" i="193"/>
  <c r="AA99" i="193"/>
  <c r="AB99" i="193"/>
  <c r="AC99" i="193"/>
  <c r="F99" i="193"/>
  <c r="F330" i="88"/>
  <c r="F321" i="88"/>
  <c r="F322" i="88"/>
  <c r="F339" i="88"/>
  <c r="F259" i="88"/>
  <c r="F328" i="88"/>
  <c r="AH74" i="195"/>
  <c r="AH71" i="195"/>
  <c r="AH70" i="195"/>
  <c r="AH67" i="195"/>
  <c r="AH61" i="195"/>
  <c r="AC74" i="194"/>
  <c r="AC71" i="194"/>
  <c r="AC70" i="194"/>
  <c r="AC69" i="194"/>
  <c r="AC68" i="194"/>
  <c r="AC67" i="194"/>
  <c r="AC62" i="194"/>
  <c r="AC61" i="194"/>
  <c r="AC64" i="194" s="1"/>
  <c r="AC97" i="194" s="1"/>
  <c r="AC125" i="195"/>
  <c r="AB125" i="195"/>
  <c r="AA125" i="195"/>
  <c r="Z125" i="195"/>
  <c r="Y125" i="195"/>
  <c r="X125" i="195"/>
  <c r="W125" i="195"/>
  <c r="V125" i="195"/>
  <c r="U125" i="195"/>
  <c r="T125" i="195"/>
  <c r="S125" i="195"/>
  <c r="R125" i="195"/>
  <c r="Q125" i="195"/>
  <c r="P125" i="195"/>
  <c r="O125" i="195"/>
  <c r="N125" i="195"/>
  <c r="M125" i="195"/>
  <c r="L125" i="195"/>
  <c r="K125" i="195"/>
  <c r="J125" i="195"/>
  <c r="I125" i="195"/>
  <c r="H125" i="195"/>
  <c r="G125" i="195"/>
  <c r="F125" i="195"/>
  <c r="AC105" i="195"/>
  <c r="AB105" i="195"/>
  <c r="AA105" i="195"/>
  <c r="Z105" i="195"/>
  <c r="Y105" i="195"/>
  <c r="X105" i="195"/>
  <c r="W105" i="195"/>
  <c r="V105" i="195"/>
  <c r="U105" i="195"/>
  <c r="T105" i="195"/>
  <c r="S105" i="195"/>
  <c r="R105" i="195"/>
  <c r="Q105" i="195"/>
  <c r="P105" i="195"/>
  <c r="O105" i="195"/>
  <c r="N105" i="195"/>
  <c r="M105" i="195"/>
  <c r="L105" i="195"/>
  <c r="K105" i="195"/>
  <c r="J105" i="195"/>
  <c r="I105" i="195"/>
  <c r="H105" i="195"/>
  <c r="G105" i="195"/>
  <c r="F105" i="195"/>
  <c r="AC79" i="195"/>
  <c r="AC99" i="195" s="1"/>
  <c r="AB79" i="195"/>
  <c r="AB99" i="195" s="1"/>
  <c r="AA79" i="195"/>
  <c r="AA99" i="195" s="1"/>
  <c r="Z79" i="195"/>
  <c r="Z99" i="195" s="1"/>
  <c r="Y79" i="195"/>
  <c r="Y99" i="195" s="1"/>
  <c r="X79" i="195"/>
  <c r="X99" i="195" s="1"/>
  <c r="W79" i="195"/>
  <c r="W99" i="195" s="1"/>
  <c r="V79" i="195"/>
  <c r="V99" i="195" s="1"/>
  <c r="U79" i="195"/>
  <c r="U99" i="195" s="1"/>
  <c r="T79" i="195"/>
  <c r="T99" i="195" s="1"/>
  <c r="S79" i="195"/>
  <c r="S99" i="195" s="1"/>
  <c r="R79" i="195"/>
  <c r="R99" i="195" s="1"/>
  <c r="Q79" i="195"/>
  <c r="Q99" i="195" s="1"/>
  <c r="P79" i="195"/>
  <c r="P99" i="195" s="1"/>
  <c r="O79" i="195"/>
  <c r="O99" i="195" s="1"/>
  <c r="N79" i="195"/>
  <c r="N99" i="195" s="1"/>
  <c r="M79" i="195"/>
  <c r="M99" i="195" s="1"/>
  <c r="L79" i="195"/>
  <c r="L99" i="195" s="1"/>
  <c r="K79" i="195"/>
  <c r="K99" i="195" s="1"/>
  <c r="J79" i="195"/>
  <c r="J99" i="195" s="1"/>
  <c r="I79" i="195"/>
  <c r="I99" i="195" s="1"/>
  <c r="H79" i="195"/>
  <c r="H99" i="195" s="1"/>
  <c r="G79" i="195"/>
  <c r="G99" i="195" s="1"/>
  <c r="F79" i="195"/>
  <c r="F99" i="195" s="1"/>
  <c r="C79" i="195"/>
  <c r="AH78" i="195"/>
  <c r="AG78" i="195"/>
  <c r="AF78" i="195"/>
  <c r="AH77" i="195"/>
  <c r="AG77" i="195"/>
  <c r="AF77" i="195"/>
  <c r="AI76" i="195"/>
  <c r="AB75" i="195"/>
  <c r="AB98" i="195" s="1"/>
  <c r="AA75" i="195"/>
  <c r="AA98" i="195" s="1"/>
  <c r="Z75" i="195"/>
  <c r="Z98" i="195" s="1"/>
  <c r="X75" i="195"/>
  <c r="X98" i="195" s="1"/>
  <c r="W75" i="195"/>
  <c r="W98" i="195" s="1"/>
  <c r="P75" i="195"/>
  <c r="P98" i="195" s="1"/>
  <c r="O75" i="195"/>
  <c r="O98" i="195" s="1"/>
  <c r="N75" i="195"/>
  <c r="N98" i="195" s="1"/>
  <c r="M75" i="195"/>
  <c r="M98" i="195" s="1"/>
  <c r="C75" i="195"/>
  <c r="B75" i="195"/>
  <c r="B79" i="195" s="1"/>
  <c r="B25" i="195" s="1"/>
  <c r="AG74" i="195"/>
  <c r="AH73" i="195"/>
  <c r="AG73" i="195"/>
  <c r="AF73" i="195"/>
  <c r="AH72" i="195"/>
  <c r="AG72" i="195"/>
  <c r="AF72" i="195"/>
  <c r="AG71" i="195"/>
  <c r="AC75" i="195"/>
  <c r="AC98" i="195" s="1"/>
  <c r="Y75" i="195"/>
  <c r="Y98" i="195" s="1"/>
  <c r="AG68" i="195"/>
  <c r="AG67" i="195"/>
  <c r="U75" i="195"/>
  <c r="U98" i="195" s="1"/>
  <c r="T75" i="195"/>
  <c r="T98" i="195" s="1"/>
  <c r="S75" i="195"/>
  <c r="S98" i="195" s="1"/>
  <c r="R75" i="195"/>
  <c r="R98" i="195" s="1"/>
  <c r="Q75" i="195"/>
  <c r="Q98" i="195" s="1"/>
  <c r="L75" i="195"/>
  <c r="L98" i="195" s="1"/>
  <c r="K75" i="195"/>
  <c r="K98" i="195" s="1"/>
  <c r="J75" i="195"/>
  <c r="J98" i="195" s="1"/>
  <c r="I75" i="195"/>
  <c r="I98" i="195" s="1"/>
  <c r="H75" i="195"/>
  <c r="H98" i="195" s="1"/>
  <c r="G75" i="195"/>
  <c r="G98" i="195" s="1"/>
  <c r="AH66" i="195"/>
  <c r="AG66" i="195"/>
  <c r="AF66" i="195"/>
  <c r="AA64" i="195"/>
  <c r="AA97" i="195" s="1"/>
  <c r="Z64" i="195"/>
  <c r="Z97" i="195" s="1"/>
  <c r="Y64" i="195"/>
  <c r="Y97" i="195" s="1"/>
  <c r="X64" i="195"/>
  <c r="X97" i="195" s="1"/>
  <c r="W64" i="195"/>
  <c r="W97" i="195" s="1"/>
  <c r="V64" i="195"/>
  <c r="V97" i="195" s="1"/>
  <c r="U64" i="195"/>
  <c r="U97" i="195" s="1"/>
  <c r="P64" i="195"/>
  <c r="P97" i="195" s="1"/>
  <c r="O64" i="195"/>
  <c r="O97" i="195" s="1"/>
  <c r="N64" i="195"/>
  <c r="N97" i="195" s="1"/>
  <c r="M64" i="195"/>
  <c r="M97" i="195" s="1"/>
  <c r="C64" i="195"/>
  <c r="T64" i="195"/>
  <c r="T97" i="195" s="1"/>
  <c r="S64" i="195"/>
  <c r="S97" i="195" s="1"/>
  <c r="R64" i="195"/>
  <c r="R97" i="195" s="1"/>
  <c r="Q64" i="195"/>
  <c r="Q97" i="195" s="1"/>
  <c r="AH62" i="195"/>
  <c r="K64" i="195"/>
  <c r="K97" i="195" s="1"/>
  <c r="AG62" i="195"/>
  <c r="AF62" i="195"/>
  <c r="AB64" i="195"/>
  <c r="AB97" i="195" s="1"/>
  <c r="J64" i="195"/>
  <c r="J97" i="195" s="1"/>
  <c r="I64" i="195"/>
  <c r="I97" i="195" s="1"/>
  <c r="H64" i="195"/>
  <c r="H97" i="195" s="1"/>
  <c r="G64" i="195"/>
  <c r="G97" i="195" s="1"/>
  <c r="AC59" i="195"/>
  <c r="AC96" i="195" s="1"/>
  <c r="AB59" i="195"/>
  <c r="AB96" i="195" s="1"/>
  <c r="AA59" i="195"/>
  <c r="AA96" i="195" s="1"/>
  <c r="Z59" i="195"/>
  <c r="Z96" i="195" s="1"/>
  <c r="Y59" i="195"/>
  <c r="Y96" i="195" s="1"/>
  <c r="X59" i="195"/>
  <c r="X96" i="195" s="1"/>
  <c r="W59" i="195"/>
  <c r="W96" i="195" s="1"/>
  <c r="V59" i="195"/>
  <c r="V96" i="195" s="1"/>
  <c r="U59" i="195"/>
  <c r="U96" i="195" s="1"/>
  <c r="P59" i="195"/>
  <c r="P96" i="195" s="1"/>
  <c r="O59" i="195"/>
  <c r="O96" i="195" s="1"/>
  <c r="N59" i="195"/>
  <c r="N96" i="195" s="1"/>
  <c r="M59" i="195"/>
  <c r="M96" i="195" s="1"/>
  <c r="K59" i="195"/>
  <c r="K96" i="195" s="1"/>
  <c r="J59" i="195"/>
  <c r="J96" i="195" s="1"/>
  <c r="I59" i="195"/>
  <c r="I96" i="195" s="1"/>
  <c r="H59" i="195"/>
  <c r="H96" i="195" s="1"/>
  <c r="G59" i="195"/>
  <c r="G96" i="195" s="1"/>
  <c r="F59" i="195"/>
  <c r="F96" i="195" s="1"/>
  <c r="C59" i="195"/>
  <c r="B59" i="195"/>
  <c r="B64" i="195" s="1"/>
  <c r="AH58" i="195"/>
  <c r="AG58" i="195"/>
  <c r="AG57" i="195"/>
  <c r="AH55" i="195"/>
  <c r="AF55" i="195"/>
  <c r="AG54" i="195"/>
  <c r="AH53" i="195"/>
  <c r="AH52" i="195"/>
  <c r="AG52" i="195"/>
  <c r="AF52" i="195"/>
  <c r="AH51" i="195"/>
  <c r="AG51" i="195"/>
  <c r="AF51" i="195"/>
  <c r="AH50" i="195"/>
  <c r="AG50" i="195"/>
  <c r="AF50" i="195"/>
  <c r="AH48" i="195"/>
  <c r="AG48" i="195"/>
  <c r="AF48" i="195"/>
  <c r="AH47" i="195"/>
  <c r="AH45" i="195"/>
  <c r="AG45" i="195"/>
  <c r="Q59" i="195"/>
  <c r="Q96" i="195" s="1"/>
  <c r="AF43" i="195"/>
  <c r="AH42" i="195"/>
  <c r="AG42" i="195"/>
  <c r="AF42" i="195"/>
  <c r="AH41" i="195"/>
  <c r="AG41" i="195"/>
  <c r="AF41" i="195"/>
  <c r="AH40" i="195"/>
  <c r="AG40" i="195"/>
  <c r="AF40" i="195"/>
  <c r="AH38" i="195"/>
  <c r="AG38" i="195"/>
  <c r="AF38" i="195"/>
  <c r="AH36" i="195"/>
  <c r="AG36" i="195"/>
  <c r="AF36" i="195"/>
  <c r="AH35" i="195"/>
  <c r="AG35" i="195"/>
  <c r="AF35" i="195"/>
  <c r="AC33" i="195"/>
  <c r="AC94" i="195" s="1"/>
  <c r="AB33" i="195"/>
  <c r="AB94" i="195" s="1"/>
  <c r="AA33" i="195"/>
  <c r="AA94" i="195" s="1"/>
  <c r="Z33" i="195"/>
  <c r="Z94" i="195" s="1"/>
  <c r="Y33" i="195"/>
  <c r="Y94" i="195" s="1"/>
  <c r="X33" i="195"/>
  <c r="X94" i="195" s="1"/>
  <c r="W33" i="195"/>
  <c r="W94" i="195" s="1"/>
  <c r="V33" i="195"/>
  <c r="V94" i="195" s="1"/>
  <c r="U33" i="195"/>
  <c r="U94" i="195" s="1"/>
  <c r="T33" i="195"/>
  <c r="T94" i="195" s="1"/>
  <c r="S33" i="195"/>
  <c r="S94" i="195" s="1"/>
  <c r="R33" i="195"/>
  <c r="R94" i="195" s="1"/>
  <c r="Q33" i="195"/>
  <c r="Q94" i="195" s="1"/>
  <c r="P33" i="195"/>
  <c r="P94" i="195" s="1"/>
  <c r="O33" i="195"/>
  <c r="O94" i="195" s="1"/>
  <c r="N33" i="195"/>
  <c r="N94" i="195" s="1"/>
  <c r="M33" i="195"/>
  <c r="M94" i="195" s="1"/>
  <c r="L33" i="195"/>
  <c r="L94" i="195" s="1"/>
  <c r="K33" i="195"/>
  <c r="K94" i="195" s="1"/>
  <c r="J33" i="195"/>
  <c r="J94" i="195" s="1"/>
  <c r="I33" i="195"/>
  <c r="I94" i="195" s="1"/>
  <c r="H33" i="195"/>
  <c r="H94" i="195" s="1"/>
  <c r="G33" i="195"/>
  <c r="G94" i="195" s="1"/>
  <c r="F33" i="195"/>
  <c r="F94" i="195" s="1"/>
  <c r="C33" i="195"/>
  <c r="B33" i="195"/>
  <c r="AH32" i="195"/>
  <c r="AG32" i="195"/>
  <c r="AF32" i="195"/>
  <c r="AI31" i="195"/>
  <c r="V92" i="195"/>
  <c r="U92" i="195"/>
  <c r="T92" i="195"/>
  <c r="S92" i="195"/>
  <c r="B30" i="195"/>
  <c r="AH28" i="195"/>
  <c r="AG28" i="195"/>
  <c r="AF28" i="195"/>
  <c r="AH27" i="195"/>
  <c r="AG27" i="195"/>
  <c r="AF27" i="195"/>
  <c r="AI26" i="195"/>
  <c r="AC25" i="195"/>
  <c r="AB25" i="195"/>
  <c r="AA25" i="195"/>
  <c r="Z25" i="195"/>
  <c r="Y25" i="195"/>
  <c r="X25" i="195"/>
  <c r="W25" i="195"/>
  <c r="V25" i="195"/>
  <c r="U25" i="195"/>
  <c r="T25" i="195"/>
  <c r="S25" i="195"/>
  <c r="R25" i="195"/>
  <c r="Q25" i="195"/>
  <c r="Q82" i="195" s="1"/>
  <c r="P25" i="195"/>
  <c r="O25" i="195"/>
  <c r="N25" i="195"/>
  <c r="M25" i="195"/>
  <c r="L25" i="195"/>
  <c r="K25" i="195"/>
  <c r="J25" i="195"/>
  <c r="I25" i="195"/>
  <c r="H25" i="195"/>
  <c r="G25" i="195"/>
  <c r="G82" i="195" s="1"/>
  <c r="F25" i="195"/>
  <c r="C25" i="195"/>
  <c r="AH24" i="195"/>
  <c r="AG24" i="195"/>
  <c r="AF24" i="195"/>
  <c r="AI23" i="195"/>
  <c r="AC22" i="195"/>
  <c r="AB22" i="195"/>
  <c r="AA22" i="195"/>
  <c r="Z22" i="195"/>
  <c r="Y22" i="195"/>
  <c r="X22" i="195"/>
  <c r="W22" i="195"/>
  <c r="V22" i="195"/>
  <c r="V88" i="195" s="1"/>
  <c r="U22" i="195"/>
  <c r="U88" i="195" s="1"/>
  <c r="T22" i="195"/>
  <c r="S22" i="195"/>
  <c r="R22" i="195"/>
  <c r="Q22" i="195"/>
  <c r="P22" i="195"/>
  <c r="O22" i="195"/>
  <c r="N22" i="195"/>
  <c r="M22" i="195"/>
  <c r="L22" i="195"/>
  <c r="K22" i="195"/>
  <c r="J22" i="195"/>
  <c r="I22" i="195"/>
  <c r="H22" i="195"/>
  <c r="G22" i="195"/>
  <c r="F22" i="195"/>
  <c r="C22" i="195"/>
  <c r="B22" i="195"/>
  <c r="AH21" i="195"/>
  <c r="AG21" i="195"/>
  <c r="AF21" i="195"/>
  <c r="AH20" i="195"/>
  <c r="AG20" i="195"/>
  <c r="AF20" i="195"/>
  <c r="AH19" i="195"/>
  <c r="AG19" i="195"/>
  <c r="AF19" i="195"/>
  <c r="AI18" i="195"/>
  <c r="AC17" i="195"/>
  <c r="AB17" i="195"/>
  <c r="AA17" i="195"/>
  <c r="Z17" i="195"/>
  <c r="Y17" i="195"/>
  <c r="X17" i="195"/>
  <c r="W17" i="195"/>
  <c r="W90" i="195" s="1"/>
  <c r="V17" i="195"/>
  <c r="V90" i="195" s="1"/>
  <c r="U17" i="195"/>
  <c r="U90" i="195" s="1"/>
  <c r="T17" i="195"/>
  <c r="T90" i="195" s="1"/>
  <c r="S17" i="195"/>
  <c r="S90" i="195" s="1"/>
  <c r="R17" i="195"/>
  <c r="R90" i="195" s="1"/>
  <c r="Q17" i="195"/>
  <c r="Q90" i="195" s="1"/>
  <c r="P17" i="195"/>
  <c r="P90" i="195" s="1"/>
  <c r="O17" i="195"/>
  <c r="O90" i="195" s="1"/>
  <c r="N17" i="195"/>
  <c r="N90" i="195" s="1"/>
  <c r="M17" i="195"/>
  <c r="L17" i="195"/>
  <c r="K17" i="195"/>
  <c r="J17" i="195"/>
  <c r="I17" i="195"/>
  <c r="H17" i="195"/>
  <c r="G17" i="195"/>
  <c r="F17" i="195"/>
  <c r="C17" i="195"/>
  <c r="B17" i="195"/>
  <c r="AH16" i="195"/>
  <c r="AG16" i="195"/>
  <c r="AF16" i="195"/>
  <c r="AH15" i="195"/>
  <c r="AG15" i="195"/>
  <c r="AF15" i="195"/>
  <c r="AH14" i="195"/>
  <c r="AG14" i="195"/>
  <c r="AF14" i="195"/>
  <c r="AH13" i="195"/>
  <c r="AG13" i="195"/>
  <c r="AF13" i="195"/>
  <c r="AI12" i="195"/>
  <c r="M9" i="195" a="1"/>
  <c r="M9" i="195" s="1"/>
  <c r="AA74" i="194"/>
  <c r="AA71" i="194"/>
  <c r="AA70" i="194"/>
  <c r="AA69" i="194"/>
  <c r="AA68" i="194"/>
  <c r="AA67" i="194"/>
  <c r="AA62" i="194"/>
  <c r="AA61" i="194"/>
  <c r="AB74" i="194"/>
  <c r="AB71" i="194"/>
  <c r="AB70" i="194"/>
  <c r="AB69" i="194"/>
  <c r="AB68" i="194"/>
  <c r="AB67" i="194"/>
  <c r="AB62" i="194"/>
  <c r="AB61" i="194"/>
  <c r="AB64" i="194" s="1"/>
  <c r="AB97" i="194" s="1"/>
  <c r="F248" i="88"/>
  <c r="Z62" i="194"/>
  <c r="Z61" i="194"/>
  <c r="Z64" i="194" s="1"/>
  <c r="Z97" i="194" s="1"/>
  <c r="F336" i="88"/>
  <c r="F320" i="88"/>
  <c r="F349" i="88"/>
  <c r="Z67" i="194"/>
  <c r="Z68" i="194"/>
  <c r="Z69" i="194"/>
  <c r="Z70" i="194"/>
  <c r="Z71" i="194"/>
  <c r="Z74" i="194"/>
  <c r="Y59" i="194"/>
  <c r="Y96" i="194" s="1"/>
  <c r="Z95" i="194"/>
  <c r="AA95" i="194"/>
  <c r="AB95" i="194"/>
  <c r="Y95" i="194"/>
  <c r="Y74" i="194"/>
  <c r="Y68" i="194"/>
  <c r="Y69" i="194"/>
  <c r="Y70" i="194"/>
  <c r="Y71" i="194"/>
  <c r="Y67" i="194"/>
  <c r="Y62" i="194"/>
  <c r="Y61" i="194"/>
  <c r="F308" i="88"/>
  <c r="F319" i="88"/>
  <c r="F296" i="88"/>
  <c r="F318" i="88"/>
  <c r="F314" i="88"/>
  <c r="F313" i="88"/>
  <c r="F311" i="88"/>
  <c r="X67" i="194"/>
  <c r="X75" i="194" s="1"/>
  <c r="X98" i="194" s="1"/>
  <c r="W67" i="194"/>
  <c r="W75" i="194" s="1"/>
  <c r="W98" i="194" s="1"/>
  <c r="F312" i="88"/>
  <c r="F327" i="88"/>
  <c r="F338" i="88"/>
  <c r="F334" i="88"/>
  <c r="V67" i="194"/>
  <c r="V68" i="194"/>
  <c r="V69" i="194"/>
  <c r="V70" i="194"/>
  <c r="V71" i="194"/>
  <c r="V74" i="194"/>
  <c r="U74" i="194"/>
  <c r="U71" i="194"/>
  <c r="U70" i="194"/>
  <c r="U69" i="194"/>
  <c r="U68" i="194"/>
  <c r="U67" i="194"/>
  <c r="F335" i="88"/>
  <c r="F325" i="88"/>
  <c r="F316" i="88"/>
  <c r="T95" i="194"/>
  <c r="T74" i="194"/>
  <c r="T71" i="194"/>
  <c r="T70" i="194"/>
  <c r="T68" i="194"/>
  <c r="T67" i="194"/>
  <c r="T75" i="194" s="1"/>
  <c r="T98" i="194" s="1"/>
  <c r="T63" i="194"/>
  <c r="T62" i="194"/>
  <c r="T64" i="194" s="1"/>
  <c r="T97" i="194" s="1"/>
  <c r="T58" i="194"/>
  <c r="T57" i="194"/>
  <c r="T56" i="194"/>
  <c r="T55" i="194"/>
  <c r="T54" i="194"/>
  <c r="T53" i="194"/>
  <c r="T49" i="194"/>
  <c r="T48" i="194"/>
  <c r="T47" i="194"/>
  <c r="T46" i="194"/>
  <c r="T45" i="194"/>
  <c r="T44" i="194"/>
  <c r="T39" i="194"/>
  <c r="AF39" i="194" s="1"/>
  <c r="F315" i="88"/>
  <c r="F333" i="88"/>
  <c r="S95" i="194"/>
  <c r="S74" i="194"/>
  <c r="S71" i="194"/>
  <c r="S70" i="194"/>
  <c r="S69" i="194"/>
  <c r="S68" i="194"/>
  <c r="S67" i="194"/>
  <c r="S63" i="194"/>
  <c r="S62" i="194"/>
  <c r="S58" i="194"/>
  <c r="S57" i="194"/>
  <c r="S56" i="194"/>
  <c r="S55" i="194"/>
  <c r="S54" i="194"/>
  <c r="S53" i="194"/>
  <c r="S49" i="194"/>
  <c r="S48" i="194"/>
  <c r="S47" i="194"/>
  <c r="S46" i="194"/>
  <c r="S45" i="194"/>
  <c r="S44" i="194"/>
  <c r="S37" i="194"/>
  <c r="AF37" i="194" s="1"/>
  <c r="F331" i="88"/>
  <c r="F291" i="88"/>
  <c r="R95" i="194"/>
  <c r="R74" i="194"/>
  <c r="R71" i="194"/>
  <c r="R70" i="194"/>
  <c r="R69" i="194"/>
  <c r="R68" i="194"/>
  <c r="R67" i="194"/>
  <c r="R63" i="194"/>
  <c r="R62" i="194"/>
  <c r="R58" i="194"/>
  <c r="R57" i="194"/>
  <c r="R56" i="194"/>
  <c r="R55" i="194"/>
  <c r="R54" i="194"/>
  <c r="R53" i="194"/>
  <c r="R49" i="194"/>
  <c r="R48" i="194"/>
  <c r="R47" i="194"/>
  <c r="R46" i="194"/>
  <c r="R45" i="194"/>
  <c r="R44" i="194"/>
  <c r="F317" i="88"/>
  <c r="F329" i="88"/>
  <c r="F305" i="88"/>
  <c r="Q95" i="194"/>
  <c r="P95" i="194"/>
  <c r="O95" i="194"/>
  <c r="N95" i="194"/>
  <c r="M95" i="194"/>
  <c r="L95" i="194"/>
  <c r="K95" i="194"/>
  <c r="J95" i="194"/>
  <c r="I95" i="194"/>
  <c r="H95" i="194"/>
  <c r="AC94" i="193"/>
  <c r="AB94" i="193"/>
  <c r="AA94" i="193"/>
  <c r="Z94" i="193"/>
  <c r="Y94" i="193"/>
  <c r="X94" i="193"/>
  <c r="W94" i="193"/>
  <c r="V94" i="193"/>
  <c r="U94" i="193"/>
  <c r="T94" i="193"/>
  <c r="S94" i="193"/>
  <c r="R94" i="193"/>
  <c r="Q94" i="193"/>
  <c r="G95" i="194"/>
  <c r="F95" i="194"/>
  <c r="Q74" i="194"/>
  <c r="Q71" i="194"/>
  <c r="Q70" i="194"/>
  <c r="Q69" i="194"/>
  <c r="Q68" i="194"/>
  <c r="Q67" i="194"/>
  <c r="Q63" i="194"/>
  <c r="Q61" i="194"/>
  <c r="Q64" i="194" s="1"/>
  <c r="Q97" i="194" s="1"/>
  <c r="Q58" i="194"/>
  <c r="Q57" i="194"/>
  <c r="Q56" i="194"/>
  <c r="Q55" i="194"/>
  <c r="Q54" i="194"/>
  <c r="Q53" i="194"/>
  <c r="Q49" i="194"/>
  <c r="Q48" i="194"/>
  <c r="Q47" i="194"/>
  <c r="Q46" i="194"/>
  <c r="Q45" i="194"/>
  <c r="Q44" i="194"/>
  <c r="F293" i="88"/>
  <c r="F306" i="88"/>
  <c r="F309" i="88"/>
  <c r="F307" i="88"/>
  <c r="F290" i="88"/>
  <c r="N64" i="194"/>
  <c r="N97" i="194" s="1"/>
  <c r="F301" i="88"/>
  <c r="F303" i="88"/>
  <c r="F298" i="88"/>
  <c r="L67" i="194"/>
  <c r="L63" i="194"/>
  <c r="L61" i="194"/>
  <c r="L46" i="194"/>
  <c r="L45" i="194"/>
  <c r="L43" i="194"/>
  <c r="AG43" i="194" s="1"/>
  <c r="F297" i="88"/>
  <c r="M75" i="194"/>
  <c r="M98" i="194" s="1"/>
  <c r="F197" i="88"/>
  <c r="F280" i="88"/>
  <c r="L70" i="194"/>
  <c r="L71" i="194"/>
  <c r="L74" i="194"/>
  <c r="K62" i="194"/>
  <c r="K61" i="194"/>
  <c r="K67" i="194"/>
  <c r="K70" i="194"/>
  <c r="K71" i="194"/>
  <c r="K74" i="194"/>
  <c r="J62" i="194"/>
  <c r="J61" i="194"/>
  <c r="F148" i="88"/>
  <c r="J67" i="194"/>
  <c r="J70" i="194"/>
  <c r="J71" i="194"/>
  <c r="J74" i="194"/>
  <c r="I74" i="194"/>
  <c r="I71" i="194"/>
  <c r="I70" i="194"/>
  <c r="I67" i="194"/>
  <c r="I62" i="194"/>
  <c r="I61" i="194"/>
  <c r="F237" i="88"/>
  <c r="H74" i="194"/>
  <c r="H71" i="194"/>
  <c r="H70" i="194"/>
  <c r="H67" i="194"/>
  <c r="H62" i="194"/>
  <c r="H61" i="194"/>
  <c r="H64" i="194" s="1"/>
  <c r="H97" i="194" s="1"/>
  <c r="F245" i="88"/>
  <c r="G74" i="194"/>
  <c r="G71" i="194"/>
  <c r="G70" i="194"/>
  <c r="G68" i="194"/>
  <c r="G67" i="194"/>
  <c r="G62" i="194"/>
  <c r="G61" i="194"/>
  <c r="F74" i="194"/>
  <c r="F71" i="194"/>
  <c r="F70" i="194"/>
  <c r="F68" i="194"/>
  <c r="F67" i="194"/>
  <c r="F62" i="194"/>
  <c r="F61" i="194"/>
  <c r="F255" i="88"/>
  <c r="F267" i="88"/>
  <c r="F278" i="88"/>
  <c r="F254" i="88"/>
  <c r="F79" i="194"/>
  <c r="F99" i="194" s="1"/>
  <c r="F59" i="194"/>
  <c r="F96" i="194" s="1"/>
  <c r="F33" i="194"/>
  <c r="F94" i="194" s="1"/>
  <c r="F25" i="194"/>
  <c r="F22" i="194"/>
  <c r="F17" i="194"/>
  <c r="AC66" i="193"/>
  <c r="AC67" i="193"/>
  <c r="AC68" i="193"/>
  <c r="AC69" i="193"/>
  <c r="AC70" i="193"/>
  <c r="AC125" i="194"/>
  <c r="AB125" i="194"/>
  <c r="AA125" i="194"/>
  <c r="Z125" i="194"/>
  <c r="Y125" i="194"/>
  <c r="X125" i="194"/>
  <c r="W125" i="194"/>
  <c r="V125" i="194"/>
  <c r="U125" i="194"/>
  <c r="T125" i="194"/>
  <c r="S125" i="194"/>
  <c r="R125" i="194"/>
  <c r="Q125" i="194"/>
  <c r="P125" i="194"/>
  <c r="O125" i="194"/>
  <c r="N125" i="194"/>
  <c r="M125" i="194"/>
  <c r="L125" i="194"/>
  <c r="K125" i="194"/>
  <c r="J125" i="194"/>
  <c r="I125" i="194"/>
  <c r="H125" i="194"/>
  <c r="G125" i="194"/>
  <c r="F125" i="194"/>
  <c r="AC105" i="194"/>
  <c r="AB105" i="194"/>
  <c r="AA105" i="194"/>
  <c r="Z105" i="194"/>
  <c r="Y105" i="194"/>
  <c r="X105" i="194"/>
  <c r="W105" i="194"/>
  <c r="V105" i="194"/>
  <c r="U105" i="194"/>
  <c r="T105" i="194"/>
  <c r="S105" i="194"/>
  <c r="R105" i="194"/>
  <c r="Q105" i="194"/>
  <c r="P105" i="194"/>
  <c r="O105" i="194"/>
  <c r="N105" i="194"/>
  <c r="M105" i="194"/>
  <c r="L105" i="194"/>
  <c r="K105" i="194"/>
  <c r="J105" i="194"/>
  <c r="I105" i="194"/>
  <c r="H105" i="194"/>
  <c r="G105" i="194"/>
  <c r="F105" i="194"/>
  <c r="AC79" i="194"/>
  <c r="AC99" i="194" s="1"/>
  <c r="AB79" i="194"/>
  <c r="AB99" i="194" s="1"/>
  <c r="AA79" i="194"/>
  <c r="AA99" i="194" s="1"/>
  <c r="Z79" i="194"/>
  <c r="Z99" i="194" s="1"/>
  <c r="Y79" i="194"/>
  <c r="Y99" i="194" s="1"/>
  <c r="X79" i="194"/>
  <c r="X99" i="194" s="1"/>
  <c r="W79" i="194"/>
  <c r="W99" i="194" s="1"/>
  <c r="V79" i="194"/>
  <c r="V99" i="194" s="1"/>
  <c r="U79" i="194"/>
  <c r="U99" i="194" s="1"/>
  <c r="T79" i="194"/>
  <c r="T99" i="194" s="1"/>
  <c r="S79" i="194"/>
  <c r="S99" i="194" s="1"/>
  <c r="R79" i="194"/>
  <c r="R99" i="194" s="1"/>
  <c r="Q79" i="194"/>
  <c r="Q99" i="194" s="1"/>
  <c r="P79" i="194"/>
  <c r="P99" i="194" s="1"/>
  <c r="O79" i="194"/>
  <c r="O99" i="194" s="1"/>
  <c r="N79" i="194"/>
  <c r="N99" i="194" s="1"/>
  <c r="M79" i="194"/>
  <c r="M99" i="194" s="1"/>
  <c r="L79" i="194"/>
  <c r="L99" i="194" s="1"/>
  <c r="K79" i="194"/>
  <c r="K99" i="194" s="1"/>
  <c r="J79" i="194"/>
  <c r="J99" i="194" s="1"/>
  <c r="I79" i="194"/>
  <c r="I99" i="194" s="1"/>
  <c r="H79" i="194"/>
  <c r="H99" i="194" s="1"/>
  <c r="G79" i="194"/>
  <c r="G99" i="194" s="1"/>
  <c r="C79" i="194"/>
  <c r="AH78" i="194"/>
  <c r="AG78" i="194"/>
  <c r="AF78" i="194"/>
  <c r="AH77" i="194"/>
  <c r="AG77" i="194"/>
  <c r="AF77" i="194"/>
  <c r="AI76" i="194"/>
  <c r="O75" i="194"/>
  <c r="O98" i="194" s="1"/>
  <c r="N75" i="194"/>
  <c r="N98" i="194" s="1"/>
  <c r="C75" i="194"/>
  <c r="B75" i="194"/>
  <c r="B79" i="194" s="1"/>
  <c r="B25" i="194" s="1"/>
  <c r="AH73" i="194"/>
  <c r="AG73" i="194"/>
  <c r="AF73" i="194"/>
  <c r="AH72" i="194"/>
  <c r="AG72" i="194"/>
  <c r="AF72" i="194"/>
  <c r="AG66" i="194"/>
  <c r="AH66" i="194"/>
  <c r="U64" i="194"/>
  <c r="U97" i="194" s="1"/>
  <c r="C64" i="194"/>
  <c r="X64" i="194"/>
  <c r="X97" i="194" s="1"/>
  <c r="W64" i="194"/>
  <c r="W97" i="194" s="1"/>
  <c r="V64" i="194"/>
  <c r="V97" i="194" s="1"/>
  <c r="P64" i="194"/>
  <c r="P97" i="194" s="1"/>
  <c r="O64" i="194"/>
  <c r="O97" i="194" s="1"/>
  <c r="M64" i="194"/>
  <c r="M97" i="194" s="1"/>
  <c r="AC59" i="194"/>
  <c r="AC96" i="194" s="1"/>
  <c r="AB59" i="194"/>
  <c r="AB96" i="194" s="1"/>
  <c r="AA59" i="194"/>
  <c r="AA96" i="194" s="1"/>
  <c r="Z59" i="194"/>
  <c r="Z96" i="194" s="1"/>
  <c r="X59" i="194"/>
  <c r="X96" i="194" s="1"/>
  <c r="W59" i="194"/>
  <c r="W96" i="194" s="1"/>
  <c r="V59" i="194"/>
  <c r="V96" i="194" s="1"/>
  <c r="U59" i="194"/>
  <c r="U96" i="194" s="1"/>
  <c r="K59" i="194"/>
  <c r="K96" i="194" s="1"/>
  <c r="J59" i="194"/>
  <c r="J96" i="194" s="1"/>
  <c r="I59" i="194"/>
  <c r="I96" i="194" s="1"/>
  <c r="H59" i="194"/>
  <c r="H96" i="194" s="1"/>
  <c r="G59" i="194"/>
  <c r="G96" i="194" s="1"/>
  <c r="C59" i="194"/>
  <c r="B59" i="194"/>
  <c r="B64" i="194" s="1"/>
  <c r="AH52" i="194"/>
  <c r="AG52" i="194"/>
  <c r="AF52" i="194"/>
  <c r="AH51" i="194"/>
  <c r="AG51" i="194"/>
  <c r="AF51" i="194"/>
  <c r="AH50" i="194"/>
  <c r="AG50" i="194"/>
  <c r="AF50" i="194"/>
  <c r="O59" i="194"/>
  <c r="O96" i="194" s="1"/>
  <c r="M59" i="194"/>
  <c r="M96" i="194" s="1"/>
  <c r="AH42" i="194"/>
  <c r="AG42" i="194"/>
  <c r="AF42" i="194"/>
  <c r="AH41" i="194"/>
  <c r="AG41" i="194"/>
  <c r="AF41" i="194"/>
  <c r="AH40" i="194"/>
  <c r="AG40" i="194"/>
  <c r="AF40" i="194"/>
  <c r="AH38" i="194"/>
  <c r="AH36" i="194"/>
  <c r="AG36" i="194"/>
  <c r="AF36" i="194"/>
  <c r="AH35" i="194"/>
  <c r="AG35" i="194"/>
  <c r="AF35" i="194"/>
  <c r="AC33" i="194"/>
  <c r="AC94" i="194" s="1"/>
  <c r="AB33" i="194"/>
  <c r="AB94" i="194" s="1"/>
  <c r="AA33" i="194"/>
  <c r="AA94" i="194" s="1"/>
  <c r="Z33" i="194"/>
  <c r="Z94" i="194" s="1"/>
  <c r="Y33" i="194"/>
  <c r="Y94" i="194" s="1"/>
  <c r="X33" i="194"/>
  <c r="X94" i="194" s="1"/>
  <c r="W33" i="194"/>
  <c r="W94" i="194" s="1"/>
  <c r="V33" i="194"/>
  <c r="V94" i="194" s="1"/>
  <c r="U33" i="194"/>
  <c r="U94" i="194" s="1"/>
  <c r="T33" i="194"/>
  <c r="T94" i="194" s="1"/>
  <c r="S33" i="194"/>
  <c r="S94" i="194" s="1"/>
  <c r="R33" i="194"/>
  <c r="R94" i="194" s="1"/>
  <c r="Q33" i="194"/>
  <c r="Q94" i="194" s="1"/>
  <c r="P33" i="194"/>
  <c r="P94" i="194" s="1"/>
  <c r="O33" i="194"/>
  <c r="O94" i="194" s="1"/>
  <c r="N33" i="194"/>
  <c r="N94" i="194" s="1"/>
  <c r="M33" i="194"/>
  <c r="M94" i="194" s="1"/>
  <c r="L33" i="194"/>
  <c r="L94" i="194" s="1"/>
  <c r="K33" i="194"/>
  <c r="K94" i="194" s="1"/>
  <c r="J33" i="194"/>
  <c r="J94" i="194" s="1"/>
  <c r="I33" i="194"/>
  <c r="I94" i="194" s="1"/>
  <c r="H33" i="194"/>
  <c r="H94" i="194" s="1"/>
  <c r="G33" i="194"/>
  <c r="G94" i="194" s="1"/>
  <c r="C33" i="194"/>
  <c r="B33" i="194"/>
  <c r="AH32" i="194"/>
  <c r="AG32" i="194"/>
  <c r="AF32" i="194"/>
  <c r="AI31" i="194"/>
  <c r="AC92" i="194"/>
  <c r="AB92" i="194"/>
  <c r="AA92" i="194"/>
  <c r="C30" i="194"/>
  <c r="B30" i="194"/>
  <c r="AH28" i="194"/>
  <c r="AG28" i="194"/>
  <c r="AF28" i="194"/>
  <c r="AH27" i="194"/>
  <c r="AG27" i="194"/>
  <c r="AF27" i="194"/>
  <c r="AI26" i="194"/>
  <c r="AC25" i="194"/>
  <c r="AB25" i="194"/>
  <c r="AA25" i="194"/>
  <c r="Z25" i="194"/>
  <c r="Y25" i="194"/>
  <c r="X25" i="194"/>
  <c r="W25" i="194"/>
  <c r="V25" i="194"/>
  <c r="U25" i="194"/>
  <c r="T25" i="194"/>
  <c r="S25" i="194"/>
  <c r="R25" i="194"/>
  <c r="Q25" i="194"/>
  <c r="P25" i="194"/>
  <c r="O25" i="194"/>
  <c r="N25" i="194"/>
  <c r="M25" i="194"/>
  <c r="L25" i="194"/>
  <c r="K25" i="194"/>
  <c r="J25" i="194"/>
  <c r="I25" i="194"/>
  <c r="H25" i="194"/>
  <c r="G25" i="194"/>
  <c r="C25" i="194"/>
  <c r="AH24" i="194"/>
  <c r="AG24" i="194"/>
  <c r="AF24" i="194"/>
  <c r="AI23" i="194"/>
  <c r="AC22" i="194"/>
  <c r="AB22" i="194"/>
  <c r="AA22" i="194"/>
  <c r="Z22" i="194"/>
  <c r="Y22" i="194"/>
  <c r="X22" i="194"/>
  <c r="W22" i="194"/>
  <c r="V22" i="194"/>
  <c r="U22" i="194"/>
  <c r="T22" i="194"/>
  <c r="S22" i="194"/>
  <c r="R22" i="194"/>
  <c r="Q22" i="194"/>
  <c r="P22" i="194"/>
  <c r="O22" i="194"/>
  <c r="N22" i="194"/>
  <c r="M22" i="194"/>
  <c r="L22" i="194"/>
  <c r="K22" i="194"/>
  <c r="J22" i="194"/>
  <c r="I22" i="194"/>
  <c r="H22" i="194"/>
  <c r="G22" i="194"/>
  <c r="C22" i="194"/>
  <c r="B22" i="194"/>
  <c r="AH21" i="194"/>
  <c r="AG21" i="194"/>
  <c r="AF21" i="194"/>
  <c r="AH20" i="194"/>
  <c r="AG20" i="194"/>
  <c r="AF20" i="194"/>
  <c r="AH19" i="194"/>
  <c r="AG19" i="194"/>
  <c r="AF19" i="194"/>
  <c r="AI18" i="194"/>
  <c r="AC17" i="194"/>
  <c r="AC90" i="194" s="1"/>
  <c r="AB17" i="194"/>
  <c r="AA17" i="194"/>
  <c r="AA90" i="194" s="1"/>
  <c r="Z17" i="194"/>
  <c r="Z90" i="194" s="1"/>
  <c r="Y17" i="194"/>
  <c r="Y90" i="194" s="1"/>
  <c r="X17" i="194"/>
  <c r="X90" i="194" s="1"/>
  <c r="W17" i="194"/>
  <c r="W90" i="194" s="1"/>
  <c r="V17" i="194"/>
  <c r="V90" i="194" s="1"/>
  <c r="U17" i="194"/>
  <c r="U90" i="194" s="1"/>
  <c r="T17" i="194"/>
  <c r="S17" i="194"/>
  <c r="R17" i="194"/>
  <c r="R90" i="194" s="1"/>
  <c r="Q17" i="194"/>
  <c r="Q90" i="194" s="1"/>
  <c r="P17" i="194"/>
  <c r="P90" i="194" s="1"/>
  <c r="O17" i="194"/>
  <c r="O90" i="194" s="1"/>
  <c r="N17" i="194"/>
  <c r="N90" i="194" s="1"/>
  <c r="M17" i="194"/>
  <c r="M90" i="194" s="1"/>
  <c r="L17" i="194"/>
  <c r="L90" i="194" s="1"/>
  <c r="K17" i="194"/>
  <c r="K90" i="194" s="1"/>
  <c r="J17" i="194"/>
  <c r="I17" i="194"/>
  <c r="H17" i="194"/>
  <c r="H90" i="194" s="1"/>
  <c r="G17" i="194"/>
  <c r="G90" i="194" s="1"/>
  <c r="C17" i="194"/>
  <c r="B17" i="194"/>
  <c r="AH16" i="194"/>
  <c r="AG16" i="194"/>
  <c r="AF16" i="194"/>
  <c r="AH15" i="194"/>
  <c r="AG15" i="194"/>
  <c r="AF15" i="194"/>
  <c r="AH14" i="194"/>
  <c r="AG14" i="194"/>
  <c r="AF14" i="194"/>
  <c r="AH13" i="194"/>
  <c r="AG13" i="194"/>
  <c r="AF13" i="194"/>
  <c r="AI12" i="194"/>
  <c r="M9" i="194" a="1"/>
  <c r="M9" i="194" s="1"/>
  <c r="F253" i="88"/>
  <c r="F256" i="88"/>
  <c r="F272" i="88"/>
  <c r="F292" i="88"/>
  <c r="AB63" i="193"/>
  <c r="F284" i="88"/>
  <c r="F288" i="88"/>
  <c r="F287" i="88"/>
  <c r="F285" i="88"/>
  <c r="F283" i="88"/>
  <c r="AB66" i="193"/>
  <c r="AB67" i="193"/>
  <c r="F281" i="88"/>
  <c r="F273" i="88"/>
  <c r="F286" i="88"/>
  <c r="AA66" i="193"/>
  <c r="AA67" i="193"/>
  <c r="AA68" i="193"/>
  <c r="AA69" i="193"/>
  <c r="AA70" i="193"/>
  <c r="F271" i="88"/>
  <c r="F270" i="88"/>
  <c r="F276" i="88"/>
  <c r="AI99" i="157"/>
  <c r="F289" i="88"/>
  <c r="Z66" i="193"/>
  <c r="Z67" i="193"/>
  <c r="Z68" i="193"/>
  <c r="Z69" i="193"/>
  <c r="Z70" i="193"/>
  <c r="Y73" i="193"/>
  <c r="Y70" i="193"/>
  <c r="Y69" i="193"/>
  <c r="Y68" i="193"/>
  <c r="Y67" i="193"/>
  <c r="Y66" i="193"/>
  <c r="F282" i="88"/>
  <c r="F247" i="88"/>
  <c r="X73" i="193"/>
  <c r="X67" i="193"/>
  <c r="X68" i="193"/>
  <c r="X69" i="193"/>
  <c r="X70" i="193"/>
  <c r="X66" i="193"/>
  <c r="X62" i="193"/>
  <c r="X61" i="193"/>
  <c r="F277" i="88"/>
  <c r="F239" i="88"/>
  <c r="F262" i="88"/>
  <c r="F269" i="88"/>
  <c r="F265" i="88"/>
  <c r="F264" i="88"/>
  <c r="W73" i="193"/>
  <c r="W67" i="193"/>
  <c r="W68" i="193"/>
  <c r="W69" i="193"/>
  <c r="W70" i="193"/>
  <c r="W66" i="193"/>
  <c r="W62" i="193"/>
  <c r="W60" i="193"/>
  <c r="F263" i="88"/>
  <c r="F268" i="88"/>
  <c r="F261" i="88"/>
  <c r="F279" i="88"/>
  <c r="F234" i="88"/>
  <c r="F260" i="88"/>
  <c r="V62" i="193"/>
  <c r="V60" i="193"/>
  <c r="BC105" i="157" a="1"/>
  <c r="V128" i="157" a="1"/>
  <c r="G143" i="157" a="1"/>
  <c r="AD151" i="157" a="1"/>
  <c r="G126" i="157" a="1"/>
  <c r="BC128" i="157" a="1"/>
  <c r="N141" i="157" a="1"/>
  <c r="AQ137" i="157" a="1"/>
  <c r="AN120" i="157" a="1"/>
  <c r="AD125" i="157" a="1"/>
  <c r="AN121" i="157" a="1"/>
  <c r="Z149" i="157" a="1"/>
  <c r="BK141" i="157" a="1"/>
  <c r="R107" i="157" a="1"/>
  <c r="AD143" i="157" a="1"/>
  <c r="R135" i="157" a="1"/>
  <c r="BC132" i="157" a="1"/>
  <c r="J112" i="157" a="1"/>
  <c r="AD138" i="157" a="1"/>
  <c r="Z106" i="157" a="1"/>
  <c r="AV119" i="157" a="1"/>
  <c r="AV115" i="157" a="1"/>
  <c r="V127" i="157" a="1"/>
  <c r="R123" i="157" a="1"/>
  <c r="AQ135" i="157" a="1"/>
  <c r="AH109" i="157" a="1"/>
  <c r="AD127" i="157" a="1"/>
  <c r="G139" i="157" a="1"/>
  <c r="BG145" i="157" a="1"/>
  <c r="Z125" i="157" a="1"/>
  <c r="J106" i="157" a="1"/>
  <c r="AD152" i="157" a="1"/>
  <c r="J132" i="157" a="1"/>
  <c r="N151" i="157" a="1"/>
  <c r="R140" i="157" a="1"/>
  <c r="AV120" i="157" a="1"/>
  <c r="Z138" i="157" a="1"/>
  <c r="BG111" i="157" a="1"/>
  <c r="BG130" i="157" a="1"/>
  <c r="AQ134" i="157" a="1"/>
  <c r="J125" i="157" a="1"/>
  <c r="AN107" i="157" a="1"/>
  <c r="G134" i="157" a="1"/>
  <c r="AV124" i="157" a="1"/>
  <c r="AV136" i="157" a="1"/>
  <c r="BK147" i="157" a="1"/>
  <c r="N114" i="157" a="1"/>
  <c r="AD117" i="157" a="1"/>
  <c r="AD130" i="157" a="1"/>
  <c r="AV116" i="157" a="1"/>
  <c r="Z146" i="157" a="1"/>
  <c r="AV144" i="157" a="1"/>
  <c r="Z150" i="157" a="1"/>
  <c r="G116" i="157" a="1"/>
  <c r="BG109" i="157" a="1"/>
  <c r="AH151" i="157" a="1"/>
  <c r="R118" i="157" a="1"/>
  <c r="AD132" i="157" a="1"/>
  <c r="AD137" i="157" a="1"/>
  <c r="AH111" i="157" a="1"/>
  <c r="BC134" i="157" a="1"/>
  <c r="J141" i="157" a="1"/>
  <c r="AH133" i="157" a="1"/>
  <c r="BG147" i="157" a="1"/>
  <c r="J144" i="157" a="1"/>
  <c r="G108" i="157" a="1"/>
  <c r="AH136" i="157" a="1"/>
  <c r="J153" i="157" a="1"/>
  <c r="R132" i="157" a="1"/>
  <c r="Z123" i="157" a="1"/>
  <c r="AN137" i="157" a="1"/>
  <c r="J109" i="157" a="1"/>
  <c r="AV112" i="157" a="1"/>
  <c r="AQ144" i="157" a="1"/>
  <c r="R124" i="157" a="1"/>
  <c r="BC137" i="157" a="1"/>
  <c r="N115" i="157" a="1"/>
  <c r="AH105" i="157" a="1"/>
  <c r="BC116" i="157" a="1"/>
  <c r="Z115" i="157" a="1"/>
  <c r="AQ120" i="157" a="1"/>
  <c r="BC127" i="157" a="1"/>
  <c r="AV151" i="157" a="1"/>
  <c r="BG118" i="157" a="1"/>
  <c r="N111" i="157" a="1"/>
  <c r="AD149" i="157" a="1"/>
  <c r="J146" i="157" a="1"/>
  <c r="BK131" i="157" a="1"/>
  <c r="N110" i="157" a="1"/>
  <c r="BG134" i="157" a="1"/>
  <c r="AD139" i="157" a="1"/>
  <c r="J108" i="157" a="1"/>
  <c r="V111" i="157" a="1"/>
  <c r="AH143" i="157" a="1"/>
  <c r="N118" i="157" a="1"/>
  <c r="G123" i="157" a="1"/>
  <c r="V124" i="157" a="1"/>
  <c r="AV142" i="157" a="1"/>
  <c r="R146" i="157" a="1"/>
  <c r="AN143" i="157" a="1"/>
  <c r="AH122" i="157" a="1"/>
  <c r="AN135" i="157" a="1"/>
  <c r="AD153" i="157" a="1"/>
  <c r="BC135" i="157" a="1"/>
  <c r="AV137" i="157" a="1"/>
  <c r="J135" i="157" a="1"/>
  <c r="AQ138" i="157" a="1"/>
  <c r="Z108" i="157" a="1"/>
  <c r="N123" i="157" a="1"/>
  <c r="N147" i="157" a="1"/>
  <c r="AN150" i="157" a="1"/>
  <c r="G149" i="157" a="1"/>
  <c r="AD148" i="157" a="1"/>
  <c r="BC121" i="157" a="1"/>
  <c r="V110" i="157" a="1"/>
  <c r="AN133" i="157" a="1"/>
  <c r="BC114" i="157" a="1"/>
  <c r="Z120" i="157" a="1"/>
  <c r="R105" i="157" a="1"/>
  <c r="AQ139" i="157" a="1"/>
  <c r="BC139" i="157" a="1"/>
  <c r="BG115" i="157" a="1"/>
  <c r="Z118" i="157" a="1"/>
  <c r="G117" i="157" a="1"/>
  <c r="J127" i="157" a="1"/>
  <c r="AV111" i="157" a="1"/>
  <c r="R147" i="157" a="1"/>
  <c r="BG107" i="157" a="1"/>
  <c r="Z113" i="157" a="1"/>
  <c r="AH146" i="157" a="1"/>
  <c r="G96" i="157" a="1"/>
  <c r="J115" i="157" a="1"/>
  <c r="BK149" i="157" a="1"/>
  <c r="AV143" i="157" a="1"/>
  <c r="AN115" i="157" a="1"/>
  <c r="V153" i="157" a="1"/>
  <c r="BK119" i="157" a="1"/>
  <c r="Z131" i="157" a="1"/>
  <c r="AQ127" i="157" a="1"/>
  <c r="BK140" i="157" a="1"/>
  <c r="AV122" i="157" a="1"/>
  <c r="BG137" i="157" a="1"/>
  <c r="R120" i="157" a="1"/>
  <c r="N126" i="157" a="1"/>
  <c r="N145" i="157" a="1"/>
  <c r="BK138" i="157" a="1"/>
  <c r="AQ119" i="157" a="1"/>
  <c r="G122" i="157" a="1"/>
  <c r="AV152" i="157" a="1"/>
  <c r="AH115" i="157" a="1"/>
  <c r="AZ147" i="157" a="1"/>
  <c r="AH137" i="157" a="1"/>
  <c r="AD135" i="157" a="1"/>
  <c r="AV147" i="157" a="1"/>
  <c r="AV131" i="157" a="1"/>
  <c r="BC151" i="157" a="1"/>
  <c r="V146" i="157" a="1"/>
  <c r="BC144" i="157" a="1"/>
  <c r="BG140" i="157" a="1"/>
  <c r="N132" i="157" a="1"/>
  <c r="AD111" i="157" a="1"/>
  <c r="AQ115" i="157" a="1"/>
  <c r="R117" i="157" a="1"/>
  <c r="BC141" i="157" a="1"/>
  <c r="J134" i="157" a="1"/>
  <c r="V140" i="157" a="1"/>
  <c r="AQ141" i="157" a="1"/>
  <c r="AQ105" i="157" a="1"/>
  <c r="AD136" i="157" a="1"/>
  <c r="AV108" i="157" a="1"/>
  <c r="G137" i="157" a="1"/>
  <c r="AH134" i="157" a="1"/>
  <c r="V139" i="157" a="1"/>
  <c r="BG153" i="157" a="1"/>
  <c r="R114" i="157" a="1"/>
  <c r="BK112" i="157" a="1"/>
  <c r="N131" i="157" a="1"/>
  <c r="N140" i="157" a="1"/>
  <c r="G130" i="157" a="1"/>
  <c r="AQ145" i="157" a="1"/>
  <c r="AZ149" i="157" a="1"/>
  <c r="BK124" i="157" a="1"/>
  <c r="AH108" i="157" a="1"/>
  <c r="AV107" i="157" a="1"/>
  <c r="AD150" i="157" a="1"/>
  <c r="AD110" i="157" a="1"/>
  <c r="AV117" i="157" a="1"/>
  <c r="V122" i="157" a="1"/>
  <c r="AD145" i="157" a="1"/>
  <c r="N116" i="157" a="1"/>
  <c r="AQ108" i="157" a="1"/>
  <c r="R131" i="157" a="1"/>
  <c r="J120" i="157" a="1"/>
  <c r="AH131" i="157" a="1"/>
  <c r="Z126" i="157" a="1"/>
  <c r="AQ131" i="157" a="1"/>
  <c r="AH145" i="157" a="1"/>
  <c r="V106" i="157" a="1"/>
  <c r="J152" i="157" a="1"/>
  <c r="J119" i="157" a="1"/>
  <c r="BG128" i="157" a="1"/>
  <c r="G124" i="157" a="1"/>
  <c r="BG141" i="157" a="1"/>
  <c r="J116" i="157" a="1"/>
  <c r="BK114" i="157" a="1"/>
  <c r="G150" i="157" a="1"/>
  <c r="AH107" i="157" a="1"/>
  <c r="V108" i="157" a="1"/>
  <c r="AN153" i="157" a="1"/>
  <c r="AQ110" i="157" a="1"/>
  <c r="BG113" i="157" a="1"/>
  <c r="AN138" i="157" a="1"/>
  <c r="R128" i="157" a="1"/>
  <c r="Z151" i="157" a="1"/>
  <c r="AH113" i="157" a="1"/>
  <c r="AH119" i="157" a="1"/>
  <c r="V130" i="157" a="1"/>
  <c r="AN106" i="157" a="1"/>
  <c r="AV146" i="157" a="1"/>
  <c r="AD118" i="157" a="1"/>
  <c r="R119" i="157" a="1"/>
  <c r="V112" i="157" a="1"/>
  <c r="AQ111" i="157" a="1"/>
  <c r="J133" i="157" a="1"/>
  <c r="AQ133" i="157" a="1"/>
  <c r="AV121" i="157" a="1"/>
  <c r="BK113" i="157" a="1"/>
  <c r="AV153" i="157" a="1"/>
  <c r="AD141" i="157" a="1"/>
  <c r="AD107" i="157" a="1"/>
  <c r="AN152" i="157" a="1"/>
  <c r="Z119" i="157" a="1"/>
  <c r="AQ117" i="157" a="1"/>
  <c r="BG139" i="157" a="1"/>
  <c r="N107" i="157" a="1"/>
  <c r="AV128" i="157" a="1"/>
  <c r="AH142" i="157" a="1"/>
  <c r="AH139" i="157" a="1"/>
  <c r="AH150" i="157" a="1"/>
  <c r="BC126" i="157" a="1"/>
  <c r="AD114" i="157" a="1"/>
  <c r="V138" i="157" a="1"/>
  <c r="Z135" i="157" a="1"/>
  <c r="V117" i="157" a="1"/>
  <c r="AZ132" i="157" a="1"/>
  <c r="Z137" i="157" a="1"/>
  <c r="V152" i="157" a="1"/>
  <c r="Z117" i="157" a="1"/>
  <c r="BG131" i="157" a="1"/>
  <c r="AH144" i="157" a="1"/>
  <c r="AN151" i="157" a="1"/>
  <c r="AQ148" i="157" a="1"/>
  <c r="Z111" i="157" a="1"/>
  <c r="N121" i="157" a="1"/>
  <c r="G132" i="157" a="1"/>
  <c r="AQ136" i="157" a="1"/>
  <c r="BG126" i="157" a="1"/>
  <c r="R152" i="157" a="1"/>
  <c r="R153" i="157" a="1"/>
  <c r="AH130" i="157" a="1"/>
  <c r="BC113" i="157" a="1"/>
  <c r="N113" i="157" a="1"/>
  <c r="AH127" i="157" a="1"/>
  <c r="BG110" i="157" a="1"/>
  <c r="V119" i="157" a="1"/>
  <c r="N142" i="157" a="1"/>
  <c r="AD106" i="157" a="1"/>
  <c r="AN140" i="157" a="1"/>
  <c r="R110" i="157" a="1"/>
  <c r="R145" i="157" a="1"/>
  <c r="J148" i="157" a="1"/>
  <c r="G147" i="157" a="1"/>
  <c r="R112" i="157" a="1"/>
  <c r="AN109" i="157" a="1"/>
  <c r="N144" i="157" a="1"/>
  <c r="J107" i="157" a="1"/>
  <c r="BG144" i="157" a="1"/>
  <c r="AD121" i="157" a="1"/>
  <c r="N134" i="157" a="1"/>
  <c r="N125" i="157" a="1"/>
  <c r="BG106" i="157" a="1"/>
  <c r="BK133" i="157" a="1"/>
  <c r="V109" i="157" a="1"/>
  <c r="J147" i="157" a="1"/>
  <c r="AH147" i="157" a="1"/>
  <c r="V145" i="157" a="1"/>
  <c r="AH125" i="157" a="1"/>
  <c r="AD108" i="157" a="1"/>
  <c r="BG151" i="157" a="1"/>
  <c r="G110" i="157" a="1"/>
  <c r="AD113" i="157" a="1"/>
  <c r="Z105" i="157" a="1"/>
  <c r="G148" i="157" a="1"/>
  <c r="J126" i="157" a="1"/>
  <c r="AV127" i="157" a="1"/>
  <c r="R106" i="157" a="1"/>
  <c r="AH126" i="157" a="1"/>
  <c r="AH116" i="157" a="1"/>
  <c r="R125" i="157" a="1"/>
  <c r="G153" i="157" a="1"/>
  <c r="J117" i="157" a="1"/>
  <c r="G118" i="157" a="1"/>
  <c r="AN127" i="157" a="1"/>
  <c r="AH114" i="157" a="1"/>
  <c r="AH128" i="157" a="1"/>
  <c r="AN148" i="157" a="1"/>
  <c r="AV150" i="157" a="1"/>
  <c r="Z141" i="157" a="1"/>
  <c r="BC107" i="157" a="1"/>
  <c r="AQ146" i="157" a="1"/>
  <c r="AZ141" i="157" a="1"/>
  <c r="G115" i="157" a="1"/>
  <c r="BC142" i="157" a="1"/>
  <c r="AH140" i="157" a="1"/>
  <c r="N146" i="157" a="1"/>
  <c r="BC130" i="157" a="1"/>
  <c r="AV134" i="157" a="1"/>
  <c r="Z114" i="157" a="1"/>
  <c r="AV140" i="157" a="1"/>
  <c r="V147" i="157" a="1"/>
  <c r="AQ128" i="157" a="1"/>
  <c r="BG124" i="157" a="1"/>
  <c r="J111" i="157" a="1"/>
  <c r="G107" i="157" a="1"/>
  <c r="J121" i="157" a="1"/>
  <c r="J114" i="157" a="1"/>
  <c r="AZ139" i="157" a="1"/>
  <c r="Z140" i="157" a="1"/>
  <c r="R144" i="157" a="1"/>
  <c r="J118" i="157" a="1"/>
  <c r="R127" i="157" a="1"/>
  <c r="J149" i="157" a="1"/>
  <c r="AQ107" i="157" a="1"/>
  <c r="Z142" i="157" a="1"/>
  <c r="V123" i="157" a="1"/>
  <c r="G141" i="157" a="1"/>
  <c r="AV133" i="157" a="1"/>
  <c r="G146" i="157" a="1"/>
  <c r="BC146" i="157" a="1"/>
  <c r="V126" i="157" a="1"/>
  <c r="BG119" i="157" a="1"/>
  <c r="AN126" i="157" a="1"/>
  <c r="G112" i="157" a="1"/>
  <c r="AN108" i="157" a="1"/>
  <c r="V113" i="157" a="1"/>
  <c r="AN105" i="157" a="1"/>
  <c r="BC125" i="157" a="1"/>
  <c r="Z147" i="157" a="1"/>
  <c r="V150" i="157" a="1"/>
  <c r="AQ142" i="157" a="1"/>
  <c r="R149" i="157" a="1"/>
  <c r="AV125" i="157" a="1"/>
  <c r="R116" i="157" a="1"/>
  <c r="V131" i="157" a="1"/>
  <c r="J143" i="157" a="1"/>
  <c r="AV123" i="157" a="1"/>
  <c r="AZ153" i="157" a="1"/>
  <c r="N133" i="157" a="1"/>
  <c r="BC148" i="157" a="1"/>
  <c r="AQ124" i="157" a="1"/>
  <c r="AZ135" i="157" a="1"/>
  <c r="AQ150" i="157" a="1"/>
  <c r="J142" i="157" a="1"/>
  <c r="AN128" i="157" a="1"/>
  <c r="BG148" i="157" a="1"/>
  <c r="AV118" i="157" a="1"/>
  <c r="AH148" i="157" a="1"/>
  <c r="Z152" i="157" a="1"/>
  <c r="V148" i="157" a="1"/>
  <c r="AN132" i="157" a="1"/>
  <c r="J113" i="157" a="1"/>
  <c r="AN110" i="157" a="1"/>
  <c r="AV139" i="157" a="1"/>
  <c r="AH124" i="157" a="1"/>
  <c r="AV109" i="157" a="1"/>
  <c r="AZ148" i="157" a="1"/>
  <c r="AD147" i="157" a="1"/>
  <c r="AZ133" i="157" a="1"/>
  <c r="V144" i="157" a="1"/>
  <c r="BK134" i="157" a="1"/>
  <c r="BK151" i="157" a="1"/>
  <c r="AN114" i="157" a="1"/>
  <c r="N109" i="157" a="1"/>
  <c r="G121" i="157" a="1"/>
  <c r="AN122" i="157" a="1"/>
  <c r="AD128" i="157" a="1"/>
  <c r="BC115" i="157" a="1"/>
  <c r="BG152" i="157" a="1"/>
  <c r="J131" i="157" a="1"/>
  <c r="AZ131" i="157" a="1"/>
  <c r="AQ123" i="157" a="1"/>
  <c r="BK132" i="157" a="1"/>
  <c r="Z124" i="157" a="1"/>
  <c r="G105" i="157" a="1"/>
  <c r="AQ147" i="157" a="1"/>
  <c r="AV135" i="157" a="1"/>
  <c r="G125" i="157" a="1"/>
  <c r="J128" i="157" a="1"/>
  <c r="G135" i="157" a="1"/>
  <c r="N112" i="157" a="1"/>
  <c r="AQ140" i="157" a="1"/>
  <c r="BK144" i="157" a="1"/>
  <c r="R122" i="157" a="1"/>
  <c r="AH152" i="157" a="1"/>
  <c r="BG127" i="157" a="1"/>
  <c r="BC143" i="157" a="1"/>
  <c r="AN145" i="157" a="1"/>
  <c r="AZ146" i="157" a="1"/>
  <c r="G142" i="157" a="1"/>
  <c r="N148" i="157" a="1"/>
  <c r="V116" i="157" a="1"/>
  <c r="AD119" i="157" a="1"/>
  <c r="G131" i="157" a="1"/>
  <c r="AN134" i="157" a="1"/>
  <c r="BG149" i="157" a="1"/>
  <c r="BC122" i="157" a="1"/>
  <c r="AD126" i="157" a="1"/>
  <c r="R115" i="157" a="1"/>
  <c r="AN111" i="157" a="1"/>
  <c r="BK153" i="157" a="1"/>
  <c r="V121" i="157" a="1"/>
  <c r="J138" i="157" a="1"/>
  <c r="Z121" i="157" a="1"/>
  <c r="AD115" i="157" a="1"/>
  <c r="BG125" i="157" a="1"/>
  <c r="AD112" i="157" a="1"/>
  <c r="AQ112" i="157" a="1"/>
  <c r="BC145" i="157" a="1"/>
  <c r="BC140" i="157" a="1"/>
  <c r="BG123" i="157" a="1"/>
  <c r="G133" i="157" a="1"/>
  <c r="Z139" i="157" a="1"/>
  <c r="AV145" i="157" a="1"/>
  <c r="AH106" i="157" a="1"/>
  <c r="BK142" i="157" a="1"/>
  <c r="V125" i="157" a="1"/>
  <c r="AV130" i="157" a="1"/>
  <c r="N137" i="157" a="1"/>
  <c r="Z128" i="157" a="1"/>
  <c r="V137" i="157" a="1"/>
  <c r="AN149" i="157" a="1"/>
  <c r="AD105" i="157" a="1"/>
  <c r="AZ150" i="157" a="1"/>
  <c r="AD120" i="157" a="1"/>
  <c r="J139" i="157" a="1"/>
  <c r="BC150" i="157" a="1"/>
  <c r="Z109" i="157" a="1"/>
  <c r="BC133" i="157" a="1"/>
  <c r="AH120" i="157" a="1"/>
  <c r="AN117" i="157" a="1"/>
  <c r="BK123" i="157" a="1"/>
  <c r="BK118" i="157" a="1"/>
  <c r="BC112" i="157" a="1"/>
  <c r="AN112" i="157" a="1"/>
  <c r="BC123" i="157" a="1"/>
  <c r="N117" i="157" a="1"/>
  <c r="AV149" i="157" a="1"/>
  <c r="R139" i="157" a="1"/>
  <c r="N150" i="157" a="1"/>
  <c r="R151" i="157" a="1"/>
  <c r="Z136" i="157" a="1"/>
  <c r="R126" i="157" a="1"/>
  <c r="R113" i="157" a="1"/>
  <c r="G120" i="157" a="1"/>
  <c r="AN144" i="157" a="1"/>
  <c r="V133" i="157" a="1"/>
  <c r="AV138" i="157" a="1"/>
  <c r="AD142" i="157" a="1"/>
  <c r="AD131" i="157" a="1"/>
  <c r="AH141" i="157" a="1"/>
  <c r="BK122" i="157" a="1"/>
  <c r="V134" i="157" a="1"/>
  <c r="AD146" i="157" a="1"/>
  <c r="J130" i="157" a="1"/>
  <c r="V135" i="157" a="1"/>
  <c r="N135" i="157" a="1"/>
  <c r="AN113" i="157" a="1"/>
  <c r="Z133" i="157" a="1"/>
  <c r="G127" i="157" a="1"/>
  <c r="N122" i="157" a="1"/>
  <c r="AV110" i="157" a="1"/>
  <c r="G138" i="157" a="1"/>
  <c r="AN146" i="157" a="1"/>
  <c r="V115" i="157" a="1"/>
  <c r="R134" i="157" a="1"/>
  <c r="R148" i="157" a="1"/>
  <c r="N138" i="157" a="1"/>
  <c r="R133" i="157" a="1"/>
  <c r="BK127" i="157" a="1"/>
  <c r="AD140" i="157" a="1"/>
  <c r="AH121" i="157" a="1"/>
  <c r="AQ153" i="157" a="1"/>
  <c r="Z134" i="157" a="1"/>
  <c r="AQ116" i="157" a="1"/>
  <c r="N143" i="157" a="1"/>
  <c r="R130" i="157" a="1"/>
  <c r="V118" i="157" a="1"/>
  <c r="BG121" i="157" a="1"/>
  <c r="V114" i="157" a="1"/>
  <c r="AD133" i="157" a="1"/>
  <c r="R141" i="157" a="1"/>
  <c r="J124" i="157" a="1"/>
  <c r="AQ114" i="157" a="1"/>
  <c r="BK148" i="157" a="1"/>
  <c r="BK145" i="157" a="1"/>
  <c r="R137" i="157" a="1"/>
  <c r="AQ106" i="157" a="1"/>
  <c r="G152" i="157" a="1"/>
  <c r="AV141" i="157" a="1"/>
  <c r="BC149" i="157" a="1"/>
  <c r="AN125" i="157" a="1"/>
  <c r="AQ130" i="157" a="1"/>
  <c r="BC152" i="157" a="1"/>
  <c r="BK139" i="157" a="1"/>
  <c r="AH112" i="157" a="1"/>
  <c r="AQ118" i="157" a="1"/>
  <c r="J140" i="157" a="1"/>
  <c r="V151" i="157" a="1"/>
  <c r="G109" i="157" a="1"/>
  <c r="BG138" i="157" a="1"/>
  <c r="Z112" i="157" a="1"/>
  <c r="J145" i="157" a="1"/>
  <c r="BC138" i="157" a="1"/>
  <c r="Z148" i="157" a="1"/>
  <c r="N153" i="157" a="1"/>
  <c r="AD144" i="157" a="1"/>
  <c r="Z145" i="157" a="1"/>
  <c r="AH117" i="157" a="1"/>
  <c r="AQ149" i="157" a="1"/>
  <c r="AH123" i="157" a="1"/>
  <c r="V136" i="157" a="1"/>
  <c r="BG133" i="157" a="1"/>
  <c r="AQ132" i="157" a="1"/>
  <c r="Z116" i="157" a="1"/>
  <c r="V132" i="157" a="1"/>
  <c r="AH118" i="157" a="1"/>
  <c r="V105" i="157" a="1"/>
  <c r="J150" i="157" a="1"/>
  <c r="G119" i="157" a="1"/>
  <c r="AZ134" i="157" a="1"/>
  <c r="G136" i="157" a="1"/>
  <c r="Z110" i="157" a="1"/>
  <c r="N127" i="157" a="1"/>
  <c r="G140" i="157" a="1"/>
  <c r="AQ143" i="157" a="1"/>
  <c r="AN136" i="157" a="1"/>
  <c r="J123" i="157" a="1"/>
  <c r="G128" i="157" a="1"/>
  <c r="V143" i="157" a="1"/>
  <c r="AQ151" i="157" a="1"/>
  <c r="BG112" i="157" a="1"/>
  <c r="R111" i="157" a="1"/>
  <c r="V142" i="157" a="1"/>
  <c r="N108" i="157" a="1"/>
  <c r="AD124" i="157" a="1"/>
  <c r="AN147" i="157" a="1"/>
  <c r="AQ122" i="157" a="1"/>
  <c r="BG146" i="157" a="1"/>
  <c r="AZ140" i="157" a="1"/>
  <c r="Z153" i="157" a="1"/>
  <c r="AH149" i="157" a="1"/>
  <c r="BC147" i="157" a="1"/>
  <c r="BK137" i="157" a="1"/>
  <c r="BG114" i="157" a="1"/>
  <c r="N119" i="157" a="1"/>
  <c r="AN119" i="157" a="1"/>
  <c r="V107" i="157" a="1"/>
  <c r="R109" i="157" a="1"/>
  <c r="R143" i="157" a="1"/>
  <c r="N120" i="157" a="1"/>
  <c r="AZ137" i="157" a="1"/>
  <c r="AD116" i="157" a="1"/>
  <c r="AD109" i="157" a="1"/>
  <c r="N105" i="157" a="1"/>
  <c r="N136" i="157" a="1"/>
  <c r="R121" i="157" a="1"/>
  <c r="N106" i="157" a="1"/>
  <c r="BG143" i="157" a="1"/>
  <c r="AV106" i="157" a="1"/>
  <c r="AZ152" i="157" a="1"/>
  <c r="AZ138" i="157" a="1"/>
  <c r="G144" i="157" a="1"/>
  <c r="BG116" i="157" a="1"/>
  <c r="BG142" i="157" a="1"/>
  <c r="AH110" i="157" a="1"/>
  <c r="J110" i="157" a="1"/>
  <c r="AH138" i="157" a="1"/>
  <c r="BK152" i="157" a="1"/>
  <c r="AV114" i="157" a="1"/>
  <c r="BG132" i="157" a="1"/>
  <c r="AH135" i="157" a="1"/>
  <c r="BG135" i="157" a="1"/>
  <c r="BG120" i="157" a="1"/>
  <c r="AV132" i="157" a="1"/>
  <c r="V120" i="157" a="1"/>
  <c r="AQ121" i="157" a="1"/>
  <c r="AN124" i="157" a="1"/>
  <c r="BC119" i="157" a="1"/>
  <c r="Z143" i="157" a="1"/>
  <c r="AQ113" i="157" a="1"/>
  <c r="AN118" i="157" a="1"/>
  <c r="R142" i="157" a="1"/>
  <c r="AH153" i="157" a="1"/>
  <c r="R138" i="157" a="1"/>
  <c r="BG117" i="157" a="1"/>
  <c r="BG136" i="157" a="1"/>
  <c r="R108" i="157" a="1"/>
  <c r="BK150" i="157" a="1"/>
  <c r="G106" i="157" a="1"/>
  <c r="G114" i="157" a="1"/>
  <c r="AN141" i="157" a="1"/>
  <c r="AN130" i="157" a="1"/>
  <c r="BC120" i="157" a="1"/>
  <c r="J105" i="157" a="1"/>
  <c r="N124" i="157" a="1"/>
  <c r="G113" i="157" a="1"/>
  <c r="N149" i="157" a="1"/>
  <c r="AN116" i="157" a="1"/>
  <c r="BC131" i="157" a="1"/>
  <c r="BK143" i="157" a="1"/>
  <c r="G145" i="157" a="1"/>
  <c r="BK135" i="157" a="1"/>
  <c r="AH132" i="157" a="1"/>
  <c r="N139" i="157" a="1"/>
  <c r="AN123" i="157" a="1"/>
  <c r="J122" i="157" a="1"/>
  <c r="N128" i="157" a="1"/>
  <c r="AN131" i="157" a="1"/>
  <c r="AQ109" i="157" a="1"/>
  <c r="BG108" i="157" a="1"/>
  <c r="AN139" i="157" a="1"/>
  <c r="Z130" i="157" a="1"/>
  <c r="Z122" i="157" a="1"/>
  <c r="N152" i="157" a="1"/>
  <c r="AQ126" i="157" a="1"/>
  <c r="BK136" i="157" a="1"/>
  <c r="R136" i="157" a="1"/>
  <c r="J137" i="157" a="1"/>
  <c r="AV148" i="157" a="1"/>
  <c r="AV126" i="157" a="1"/>
  <c r="AQ152" i="157" a="1"/>
  <c r="AZ145" i="157" a="1"/>
  <c r="AN142" i="157" a="1"/>
  <c r="AD122" i="157" a="1"/>
  <c r="Z127" i="157" a="1"/>
  <c r="AD123" i="157" a="1"/>
  <c r="AZ151" i="157" a="1"/>
  <c r="V149" i="157" a="1"/>
  <c r="BG150" i="157" a="1"/>
  <c r="BG122" i="157" a="1"/>
  <c r="R150" i="157" a="1"/>
  <c r="Z144" i="157" a="1"/>
  <c r="J136" i="157" a="1"/>
  <c r="V141" i="157" a="1"/>
  <c r="AQ125" i="157" a="1"/>
  <c r="G111" i="157" a="1"/>
  <c r="AD134" i="157" a="1"/>
  <c r="J151" i="157" a="1"/>
  <c r="AV113" i="157" a="1"/>
  <c r="AB82" i="195" l="1"/>
  <c r="AA82" i="195"/>
  <c r="Z82" i="195"/>
  <c r="Y82" i="195"/>
  <c r="X82" i="195"/>
  <c r="U101" i="195"/>
  <c r="U106" i="195" s="1"/>
  <c r="O82" i="195"/>
  <c r="N82" i="195"/>
  <c r="M82" i="195"/>
  <c r="K82" i="195"/>
  <c r="J82" i="195"/>
  <c r="I82" i="195"/>
  <c r="H82" i="195"/>
  <c r="P82" i="195"/>
  <c r="U82" i="195"/>
  <c r="W82" i="195"/>
  <c r="AC82" i="194"/>
  <c r="U82" i="194"/>
  <c r="X82" i="194"/>
  <c r="W82" i="194"/>
  <c r="X92" i="194"/>
  <c r="X107" i="194" s="1"/>
  <c r="M82" i="194"/>
  <c r="L82" i="194"/>
  <c r="K82" i="194"/>
  <c r="O82" i="194"/>
  <c r="W92" i="194"/>
  <c r="S75" i="194"/>
  <c r="S98" i="194" s="1"/>
  <c r="Y75" i="194"/>
  <c r="Y98" i="194" s="1"/>
  <c r="V92" i="194"/>
  <c r="AF67" i="195"/>
  <c r="Q88" i="195"/>
  <c r="Q101" i="195" s="1"/>
  <c r="Q106" i="195" s="1"/>
  <c r="O88" i="195"/>
  <c r="P88" i="195"/>
  <c r="P101" i="195" s="1"/>
  <c r="P106" i="195" s="1"/>
  <c r="R107" i="195"/>
  <c r="S107" i="195"/>
  <c r="W88" i="195"/>
  <c r="T107" i="195"/>
  <c r="X88" i="195"/>
  <c r="U107" i="195"/>
  <c r="Y88" i="195"/>
  <c r="V107" i="195"/>
  <c r="W107" i="195"/>
  <c r="Z88" i="195"/>
  <c r="AA88" i="195"/>
  <c r="F64" i="195"/>
  <c r="F97" i="195" s="1"/>
  <c r="G88" i="195"/>
  <c r="C82" i="195"/>
  <c r="B82" i="195"/>
  <c r="Q108" i="195"/>
  <c r="W108" i="195"/>
  <c r="N88" i="195"/>
  <c r="Y92" i="194"/>
  <c r="F92" i="194"/>
  <c r="AB75" i="194"/>
  <c r="AB98" i="194" s="1"/>
  <c r="AH53" i="194"/>
  <c r="AH54" i="194"/>
  <c r="AA64" i="194"/>
  <c r="AA97" i="194" s="1"/>
  <c r="AH57" i="194"/>
  <c r="F64" i="194"/>
  <c r="F82" i="194" s="1"/>
  <c r="Z75" i="194"/>
  <c r="Z82" i="194" s="1"/>
  <c r="R64" i="194"/>
  <c r="F75" i="194"/>
  <c r="AA75" i="194"/>
  <c r="S64" i="194"/>
  <c r="AC75" i="194"/>
  <c r="Y64" i="194"/>
  <c r="N138" i="157"/>
  <c r="AH143" i="157"/>
  <c r="AD147" i="157"/>
  <c r="BC144" i="157"/>
  <c r="BG152" i="157"/>
  <c r="R134" i="157"/>
  <c r="BC140" i="157"/>
  <c r="G150" i="157"/>
  <c r="R138" i="157"/>
  <c r="R142" i="157"/>
  <c r="AD151" i="157"/>
  <c r="BC148" i="157"/>
  <c r="Z133" i="157"/>
  <c r="V142" i="157"/>
  <c r="BC152" i="157"/>
  <c r="V146" i="157"/>
  <c r="J132" i="157"/>
  <c r="AV138" i="157"/>
  <c r="AV143" i="157"/>
  <c r="G144" i="157"/>
  <c r="N132" i="157"/>
  <c r="AD141" i="157"/>
  <c r="BK152" i="157"/>
  <c r="AD145" i="157"/>
  <c r="Z149" i="157"/>
  <c r="AH137" i="157"/>
  <c r="G152" i="157"/>
  <c r="V131" i="157"/>
  <c r="AH145" i="157"/>
  <c r="V132" i="157"/>
  <c r="AQ133" i="157"/>
  <c r="R136" i="157"/>
  <c r="AN137" i="157"/>
  <c r="BG138" i="157"/>
  <c r="R140" i="157"/>
  <c r="AN141" i="157"/>
  <c r="BG142" i="157"/>
  <c r="N148" i="157"/>
  <c r="AZ150" i="157"/>
  <c r="J152" i="157"/>
  <c r="AD153" i="157"/>
  <c r="N144" i="157"/>
  <c r="J130" i="157"/>
  <c r="Z131" i="157"/>
  <c r="AV132" i="157"/>
  <c r="BK134" i="157"/>
  <c r="R144" i="157"/>
  <c r="AN145" i="157"/>
  <c r="BG146" i="157"/>
  <c r="AH149" i="157"/>
  <c r="AH135" i="157"/>
  <c r="G134" i="157"/>
  <c r="V136" i="157"/>
  <c r="AQ137" i="157"/>
  <c r="BK138" i="157"/>
  <c r="V140" i="157"/>
  <c r="AQ141" i="157"/>
  <c r="BK142" i="157"/>
  <c r="R148" i="157"/>
  <c r="BC150" i="157"/>
  <c r="N152" i="157"/>
  <c r="AH153" i="157"/>
  <c r="V134" i="157"/>
  <c r="N140" i="157"/>
  <c r="BC146" i="157"/>
  <c r="AD131" i="157"/>
  <c r="AZ132" i="157"/>
  <c r="G135" i="157"/>
  <c r="V144" i="157"/>
  <c r="AQ145" i="157"/>
  <c r="AN149" i="157"/>
  <c r="AQ130" i="157"/>
  <c r="AQ131" i="157"/>
  <c r="AV130" i="157"/>
  <c r="BG148" i="157"/>
  <c r="AV146" i="157"/>
  <c r="J148" i="157"/>
  <c r="J134" i="157"/>
  <c r="Z135" i="157"/>
  <c r="AV136" i="157"/>
  <c r="G138" i="157"/>
  <c r="Z139" i="157"/>
  <c r="AV140" i="157"/>
  <c r="G142" i="157"/>
  <c r="Z143" i="157"/>
  <c r="V148" i="157"/>
  <c r="BG150" i="157"/>
  <c r="R152" i="157"/>
  <c r="AN153" i="157"/>
  <c r="AH139" i="157"/>
  <c r="Z151" i="157"/>
  <c r="BK132" i="157"/>
  <c r="BK131" i="157"/>
  <c r="BG136" i="157"/>
  <c r="BG140" i="157"/>
  <c r="AN143" i="157"/>
  <c r="AH147" i="157"/>
  <c r="J150" i="157"/>
  <c r="BG144" i="157"/>
  <c r="Z134" i="157"/>
  <c r="V138" i="157"/>
  <c r="AQ143" i="157"/>
  <c r="AH151" i="157"/>
  <c r="AD133" i="157"/>
  <c r="Z137" i="157"/>
  <c r="AV142" i="157"/>
  <c r="AQ147" i="157"/>
  <c r="AZ134" i="157"/>
  <c r="BK148" i="157"/>
  <c r="BG130" i="157"/>
  <c r="G148" i="157"/>
  <c r="AN133" i="157"/>
  <c r="BC142" i="157"/>
  <c r="AV150" i="157"/>
  <c r="BG134" i="157"/>
  <c r="AD149" i="157"/>
  <c r="R130" i="157"/>
  <c r="AH131" i="157"/>
  <c r="BC132" i="157"/>
  <c r="AV144" i="157"/>
  <c r="G146" i="157"/>
  <c r="G147" i="157"/>
  <c r="AQ149" i="157"/>
  <c r="N142" i="157"/>
  <c r="AV152" i="157"/>
  <c r="N146" i="157"/>
  <c r="AN135" i="157"/>
  <c r="AN139" i="157"/>
  <c r="AZ152" i="157"/>
  <c r="R146" i="157"/>
  <c r="AQ135" i="157"/>
  <c r="AQ139" i="157"/>
  <c r="N150" i="157"/>
  <c r="G136" i="157"/>
  <c r="Z141" i="157"/>
  <c r="R150" i="157"/>
  <c r="Z145" i="157"/>
  <c r="AH133" i="157"/>
  <c r="AD137" i="157"/>
  <c r="J140" i="157"/>
  <c r="AQ151" i="157"/>
  <c r="AZ146" i="157"/>
  <c r="BC138" i="157"/>
  <c r="Z153" i="157"/>
  <c r="N134" i="157"/>
  <c r="AD135" i="157"/>
  <c r="J138" i="157"/>
  <c r="AD139" i="157"/>
  <c r="AZ140" i="157"/>
  <c r="J142" i="157"/>
  <c r="AD143" i="157"/>
  <c r="Z147" i="157"/>
  <c r="Z148" i="157"/>
  <c r="BK150" i="157"/>
  <c r="V152" i="157"/>
  <c r="AQ153" i="157"/>
  <c r="AZ148" i="157"/>
  <c r="G133" i="157"/>
  <c r="G132" i="157"/>
  <c r="BK136" i="157"/>
  <c r="BK140" i="157"/>
  <c r="AN147" i="157"/>
  <c r="AV134" i="157"/>
  <c r="BK144" i="157"/>
  <c r="BC130" i="157"/>
  <c r="G140" i="157"/>
  <c r="AN151" i="157"/>
  <c r="J136" i="157"/>
  <c r="AZ138" i="157"/>
  <c r="V150" i="157"/>
  <c r="BC134" i="157"/>
  <c r="J144" i="157"/>
  <c r="R132" i="157"/>
  <c r="N136" i="157"/>
  <c r="AH141" i="157"/>
  <c r="G130" i="157"/>
  <c r="V130" i="157"/>
  <c r="AN131" i="157"/>
  <c r="BG132" i="157"/>
  <c r="J146" i="157"/>
  <c r="AV148" i="157"/>
  <c r="AV149" i="157"/>
  <c r="Z136" i="157"/>
  <c r="AV137" i="157"/>
  <c r="G139" i="157"/>
  <c r="Z140" i="157"/>
  <c r="AV141" i="157"/>
  <c r="G143" i="157"/>
  <c r="G145" i="157"/>
  <c r="Z146" i="157"/>
  <c r="G149" i="157"/>
  <c r="AV151" i="157"/>
  <c r="AV153" i="157"/>
  <c r="AV131" i="157"/>
  <c r="AD132" i="157"/>
  <c r="J133" i="157"/>
  <c r="J135" i="157"/>
  <c r="AD136" i="157"/>
  <c r="AD138" i="157"/>
  <c r="AZ139" i="157"/>
  <c r="J141" i="157"/>
  <c r="J143" i="157"/>
  <c r="AD144" i="157"/>
  <c r="J147" i="157"/>
  <c r="J149" i="157"/>
  <c r="AZ153" i="157"/>
  <c r="G131" i="157"/>
  <c r="AZ135" i="157"/>
  <c r="AD140" i="157"/>
  <c r="AD146" i="157"/>
  <c r="AZ147" i="157"/>
  <c r="AZ149" i="157"/>
  <c r="AD150" i="157"/>
  <c r="J151" i="157"/>
  <c r="AD152" i="157"/>
  <c r="AD130" i="157"/>
  <c r="J131" i="157"/>
  <c r="AZ131" i="157"/>
  <c r="AH132" i="157"/>
  <c r="N133" i="157"/>
  <c r="BC133" i="157"/>
  <c r="AH134" i="157"/>
  <c r="N135" i="157"/>
  <c r="BC135" i="157"/>
  <c r="AH136" i="157"/>
  <c r="N137" i="157"/>
  <c r="BC137" i="157"/>
  <c r="AH138" i="157"/>
  <c r="N139" i="157"/>
  <c r="BC139" i="157"/>
  <c r="AH140" i="157"/>
  <c r="N141" i="157"/>
  <c r="BC141" i="157"/>
  <c r="AH142" i="157"/>
  <c r="N143" i="157"/>
  <c r="BC143" i="157"/>
  <c r="AH144" i="157"/>
  <c r="N145" i="157"/>
  <c r="BC145" i="157"/>
  <c r="AH146" i="157"/>
  <c r="N147" i="157"/>
  <c r="BC147" i="157"/>
  <c r="AH148" i="157"/>
  <c r="N149" i="157"/>
  <c r="BC149" i="157"/>
  <c r="AH150" i="157"/>
  <c r="N151" i="157"/>
  <c r="BC151" i="157"/>
  <c r="AH152" i="157"/>
  <c r="N153" i="157"/>
  <c r="Z130" i="157"/>
  <c r="AZ133" i="157"/>
  <c r="AZ137" i="157"/>
  <c r="AZ141" i="157"/>
  <c r="J145" i="157"/>
  <c r="AD148" i="157"/>
  <c r="J153" i="157"/>
  <c r="AD134" i="157"/>
  <c r="J139" i="157"/>
  <c r="AD142" i="157"/>
  <c r="AZ145" i="157"/>
  <c r="AZ151" i="157"/>
  <c r="AH130" i="157"/>
  <c r="N131" i="157"/>
  <c r="BC131" i="157"/>
  <c r="AN132" i="157"/>
  <c r="R133" i="157"/>
  <c r="BG133" i="157"/>
  <c r="AN134" i="157"/>
  <c r="R135" i="157"/>
  <c r="BG135" i="157"/>
  <c r="AN136" i="157"/>
  <c r="R137" i="157"/>
  <c r="BG137" i="157"/>
  <c r="AN138" i="157"/>
  <c r="R139" i="157"/>
  <c r="BG139" i="157"/>
  <c r="AN140" i="157"/>
  <c r="R141" i="157"/>
  <c r="BG141" i="157"/>
  <c r="AN142" i="157"/>
  <c r="R143" i="157"/>
  <c r="BG143" i="157"/>
  <c r="AN144" i="157"/>
  <c r="R145" i="157"/>
  <c r="BG145" i="157"/>
  <c r="AN146" i="157"/>
  <c r="R147" i="157"/>
  <c r="BG147" i="157"/>
  <c r="AN148" i="157"/>
  <c r="R149" i="157"/>
  <c r="BG149" i="157"/>
  <c r="AN150" i="157"/>
  <c r="R151" i="157"/>
  <c r="BG151" i="157"/>
  <c r="AN152" i="157"/>
  <c r="R153" i="157"/>
  <c r="BG153" i="157"/>
  <c r="Z152" i="157"/>
  <c r="AV133" i="157"/>
  <c r="AV135" i="157"/>
  <c r="G137" i="157"/>
  <c r="Z138" i="157"/>
  <c r="AV139" i="157"/>
  <c r="G141" i="157"/>
  <c r="Z142" i="157"/>
  <c r="Z144" i="157"/>
  <c r="AV145" i="157"/>
  <c r="AV147" i="157"/>
  <c r="Z150" i="157"/>
  <c r="G153" i="157"/>
  <c r="J137" i="157"/>
  <c r="R131" i="157"/>
  <c r="AQ132" i="157"/>
  <c r="V133" i="157"/>
  <c r="AQ134" i="157"/>
  <c r="V135" i="157"/>
  <c r="BK135" i="157"/>
  <c r="AQ136" i="157"/>
  <c r="V137" i="157"/>
  <c r="BK137" i="157"/>
  <c r="AQ138" i="157"/>
  <c r="V139" i="157"/>
  <c r="BK139" i="157"/>
  <c r="AQ140" i="157"/>
  <c r="V141" i="157"/>
  <c r="BK141" i="157"/>
  <c r="V143" i="157"/>
  <c r="BK143" i="157"/>
  <c r="AQ144" i="157"/>
  <c r="V145" i="157"/>
  <c r="BK145" i="157"/>
  <c r="AQ146" i="157"/>
  <c r="V147" i="157"/>
  <c r="BK147" i="157"/>
  <c r="AQ148" i="157"/>
  <c r="V149" i="157"/>
  <c r="BK149" i="157"/>
  <c r="AQ150" i="157"/>
  <c r="V151" i="157"/>
  <c r="BK151" i="157"/>
  <c r="AQ152" i="157"/>
  <c r="V153" i="157"/>
  <c r="BK153" i="157"/>
  <c r="AN130" i="157"/>
  <c r="BG131" i="157"/>
  <c r="BK133" i="157"/>
  <c r="AQ142" i="157"/>
  <c r="F88" i="195"/>
  <c r="Q107" i="195"/>
  <c r="O108" i="195"/>
  <c r="P108" i="195"/>
  <c r="N107" i="195"/>
  <c r="H88" i="195"/>
  <c r="M108" i="195"/>
  <c r="O107" i="195"/>
  <c r="P107" i="195"/>
  <c r="N108" i="195"/>
  <c r="AB88" i="195"/>
  <c r="R108" i="195"/>
  <c r="S108" i="195"/>
  <c r="T108" i="195"/>
  <c r="V108" i="195"/>
  <c r="R59" i="195"/>
  <c r="Z90" i="195"/>
  <c r="Z108" i="195"/>
  <c r="U108" i="195"/>
  <c r="AG53" i="195"/>
  <c r="G108" i="195"/>
  <c r="G90" i="195"/>
  <c r="AA108" i="195"/>
  <c r="AA90" i="195"/>
  <c r="K88" i="195"/>
  <c r="AC108" i="195"/>
  <c r="AF71" i="195"/>
  <c r="AC64" i="195"/>
  <c r="AI60" i="195"/>
  <c r="AG61" i="195"/>
  <c r="X108" i="195"/>
  <c r="X90" i="195"/>
  <c r="S59" i="195"/>
  <c r="AI34" i="195"/>
  <c r="AH37" i="195"/>
  <c r="AH68" i="195"/>
  <c r="AF68" i="195"/>
  <c r="Y90" i="195"/>
  <c r="Y108" i="195"/>
  <c r="J88" i="195"/>
  <c r="H108" i="195"/>
  <c r="H90" i="195"/>
  <c r="AB108" i="195"/>
  <c r="AB90" i="195"/>
  <c r="L88" i="195"/>
  <c r="I108" i="195"/>
  <c r="F75" i="195"/>
  <c r="J108" i="195"/>
  <c r="T59" i="195"/>
  <c r="L108" i="195"/>
  <c r="AG46" i="195"/>
  <c r="AF46" i="195"/>
  <c r="AH46" i="195"/>
  <c r="R88" i="195"/>
  <c r="V75" i="195"/>
  <c r="AF37" i="195"/>
  <c r="K108" i="195"/>
  <c r="T88" i="195"/>
  <c r="AF70" i="195"/>
  <c r="AG70" i="195"/>
  <c r="I88" i="195"/>
  <c r="AC88" i="195"/>
  <c r="F90" i="195"/>
  <c r="F107" i="195" s="1"/>
  <c r="F108" i="195"/>
  <c r="AF61" i="195"/>
  <c r="AF53" i="195"/>
  <c r="AG37" i="195"/>
  <c r="AH49" i="195"/>
  <c r="AG49" i="195"/>
  <c r="AF49" i="195"/>
  <c r="S88" i="195"/>
  <c r="AG56" i="195"/>
  <c r="AH56" i="195"/>
  <c r="AF56" i="195"/>
  <c r="AG69" i="195"/>
  <c r="AH69" i="195"/>
  <c r="AF69" i="195"/>
  <c r="AH43" i="195"/>
  <c r="L59" i="195"/>
  <c r="AG43" i="195"/>
  <c r="L64" i="195"/>
  <c r="AF63" i="195"/>
  <c r="AH63" i="195"/>
  <c r="AG63" i="195"/>
  <c r="AH44" i="195"/>
  <c r="AH54" i="195"/>
  <c r="M88" i="195"/>
  <c r="I90" i="195"/>
  <c r="AC90" i="195"/>
  <c r="AF39" i="195"/>
  <c r="AF44" i="195"/>
  <c r="AF54" i="195"/>
  <c r="AG44" i="195"/>
  <c r="AF57" i="195"/>
  <c r="AH39" i="195"/>
  <c r="AF47" i="195"/>
  <c r="AH57" i="195"/>
  <c r="J90" i="195"/>
  <c r="AG39" i="195"/>
  <c r="AG47" i="195"/>
  <c r="K90" i="195"/>
  <c r="AI65" i="195"/>
  <c r="L90" i="195"/>
  <c r="M90" i="195"/>
  <c r="AF74" i="195"/>
  <c r="AF45" i="195"/>
  <c r="AG55" i="195"/>
  <c r="AF58" i="195"/>
  <c r="R88" i="194"/>
  <c r="S88" i="194"/>
  <c r="AF55" i="194"/>
  <c r="AF69" i="194"/>
  <c r="AH48" i="194"/>
  <c r="AH49" i="194"/>
  <c r="AG70" i="194"/>
  <c r="Q75" i="194"/>
  <c r="AF44" i="194"/>
  <c r="L75" i="194"/>
  <c r="AG71" i="194"/>
  <c r="AF58" i="194"/>
  <c r="AG74" i="194"/>
  <c r="K75" i="194"/>
  <c r="AG39" i="194"/>
  <c r="AH39" i="194"/>
  <c r="AB88" i="194"/>
  <c r="AC88" i="194"/>
  <c r="I75" i="194"/>
  <c r="AA107" i="194"/>
  <c r="L88" i="194"/>
  <c r="L59" i="194"/>
  <c r="R75" i="194"/>
  <c r="R82" i="194" s="1"/>
  <c r="G75" i="194"/>
  <c r="AH61" i="194"/>
  <c r="R59" i="194"/>
  <c r="Z107" i="194"/>
  <c r="S59" i="194"/>
  <c r="S82" i="194" s="1"/>
  <c r="AF54" i="194"/>
  <c r="AH43" i="194"/>
  <c r="AG45" i="194"/>
  <c r="J88" i="194"/>
  <c r="AH58" i="194"/>
  <c r="J75" i="194"/>
  <c r="AH45" i="194"/>
  <c r="Q59" i="194"/>
  <c r="Q82" i="194" s="1"/>
  <c r="AB90" i="194"/>
  <c r="AB107" i="194" s="1"/>
  <c r="AG37" i="194"/>
  <c r="AH37" i="194"/>
  <c r="AG48" i="194"/>
  <c r="H88" i="194"/>
  <c r="I88" i="194"/>
  <c r="Y107" i="194"/>
  <c r="T59" i="194"/>
  <c r="T82" i="194" s="1"/>
  <c r="AF45" i="194"/>
  <c r="U88" i="194"/>
  <c r="AI34" i="194"/>
  <c r="T88" i="194"/>
  <c r="AG54" i="194"/>
  <c r="AG61" i="194"/>
  <c r="AF61" i="194"/>
  <c r="K88" i="194"/>
  <c r="AG67" i="194"/>
  <c r="H75" i="194"/>
  <c r="H82" i="194" s="1"/>
  <c r="H107" i="194"/>
  <c r="G107" i="194"/>
  <c r="G109" i="157"/>
  <c r="V121" i="157"/>
  <c r="AH107" i="157"/>
  <c r="V123" i="157"/>
  <c r="AV112" i="157"/>
  <c r="AV107" i="157"/>
  <c r="V125" i="157"/>
  <c r="AH109" i="157"/>
  <c r="AQ114" i="157"/>
  <c r="BC121" i="157"/>
  <c r="V113" i="157"/>
  <c r="N108" i="157"/>
  <c r="J110" i="157"/>
  <c r="AQ112" i="157"/>
  <c r="J116" i="157"/>
  <c r="J125" i="157"/>
  <c r="Z123" i="157"/>
  <c r="Z111" i="157"/>
  <c r="AH116" i="157"/>
  <c r="V127" i="157"/>
  <c r="AQ109" i="157"/>
  <c r="AN116" i="157"/>
  <c r="AV127" i="157"/>
  <c r="AV109" i="157"/>
  <c r="BC114" i="157"/>
  <c r="G120" i="157"/>
  <c r="BK123" i="157"/>
  <c r="Z106" i="157"/>
  <c r="AN111" i="157"/>
  <c r="Z113" i="157"/>
  <c r="AH118" i="157"/>
  <c r="G122" i="157"/>
  <c r="R108" i="157"/>
  <c r="R115" i="157"/>
  <c r="AD120" i="157"/>
  <c r="G124" i="157"/>
  <c r="AD106" i="157"/>
  <c r="Z108" i="157"/>
  <c r="AQ111" i="157"/>
  <c r="AD122" i="157"/>
  <c r="J105" i="157"/>
  <c r="AN113" i="157"/>
  <c r="R117" i="157"/>
  <c r="J119" i="157"/>
  <c r="AQ122" i="157"/>
  <c r="AH124" i="157"/>
  <c r="Z128" i="157"/>
  <c r="J127" i="157"/>
  <c r="V115" i="157"/>
  <c r="AQ120" i="157"/>
  <c r="Z110" i="157"/>
  <c r="AD126" i="157"/>
  <c r="R112" i="157"/>
  <c r="BK113" i="157"/>
  <c r="AH115" i="157"/>
  <c r="N119" i="157"/>
  <c r="AV122" i="157"/>
  <c r="AD128" i="157"/>
  <c r="N123" i="157"/>
  <c r="J118" i="157"/>
  <c r="AH113" i="157"/>
  <c r="AN107" i="157"/>
  <c r="N116" i="157"/>
  <c r="BG112" i="157"/>
  <c r="BK119" i="157"/>
  <c r="R106" i="157"/>
  <c r="BC123" i="157"/>
  <c r="N110" i="157"/>
  <c r="N117" i="157"/>
  <c r="AH120" i="157"/>
  <c r="AD108" i="157"/>
  <c r="G112" i="157"/>
  <c r="Z126" i="157"/>
  <c r="AV120" i="157"/>
  <c r="AV110" i="157"/>
  <c r="AQ124" i="157"/>
  <c r="G107" i="157"/>
  <c r="V112" i="157"/>
  <c r="G114" i="157"/>
  <c r="BG115" i="157"/>
  <c r="J123" i="157"/>
  <c r="AQ126" i="157"/>
  <c r="AQ128" i="157"/>
  <c r="G127" i="157"/>
  <c r="R114" i="157"/>
  <c r="AD109" i="157"/>
  <c r="Z121" i="157"/>
  <c r="AN114" i="157"/>
  <c r="BG117" i="157"/>
  <c r="G118" i="157"/>
  <c r="N106" i="157"/>
  <c r="BC119" i="157"/>
  <c r="AD111" i="157"/>
  <c r="AV125" i="157"/>
  <c r="AV118" i="157"/>
  <c r="AD124" i="157"/>
  <c r="BK127" i="157"/>
  <c r="V110" i="157"/>
  <c r="AH122" i="157"/>
  <c r="J112" i="157"/>
  <c r="AH105" i="157"/>
  <c r="AD117" i="157"/>
  <c r="J121" i="157"/>
  <c r="AN105" i="157"/>
  <c r="N114" i="157"/>
  <c r="Z119" i="157"/>
  <c r="N121" i="157"/>
  <c r="G125" i="157"/>
  <c r="AH128" i="157"/>
  <c r="BG106" i="157"/>
  <c r="BG108" i="157"/>
  <c r="AD113" i="157"/>
  <c r="AV114" i="157"/>
  <c r="Z115" i="157"/>
  <c r="AQ116" i="157"/>
  <c r="V117" i="157"/>
  <c r="AN118" i="157"/>
  <c r="R119" i="157"/>
  <c r="N125" i="157"/>
  <c r="BC125" i="157"/>
  <c r="AH126" i="157"/>
  <c r="N127" i="157"/>
  <c r="BC127" i="157"/>
  <c r="AQ105" i="157"/>
  <c r="V106" i="157"/>
  <c r="AQ107" i="157"/>
  <c r="V108" i="157"/>
  <c r="AN109" i="157"/>
  <c r="R110" i="157"/>
  <c r="AH111" i="157"/>
  <c r="N112" i="157"/>
  <c r="J114" i="157"/>
  <c r="G116" i="157"/>
  <c r="BG119" i="157"/>
  <c r="AN120" i="157"/>
  <c r="R121" i="157"/>
  <c r="BG121" i="157"/>
  <c r="AN122" i="157"/>
  <c r="R123" i="157"/>
  <c r="BG123" i="157"/>
  <c r="G105" i="157"/>
  <c r="BG110" i="157"/>
  <c r="BC112" i="157"/>
  <c r="AD115" i="157"/>
  <c r="AV116" i="157"/>
  <c r="Z117" i="157"/>
  <c r="AQ118" i="157"/>
  <c r="V119" i="157"/>
  <c r="AN124" i="157"/>
  <c r="R125" i="157"/>
  <c r="BG125" i="157"/>
  <c r="AN126" i="157"/>
  <c r="R127" i="157"/>
  <c r="BG127" i="157"/>
  <c r="AN128" i="157"/>
  <c r="BC105" i="157"/>
  <c r="BC107" i="157"/>
  <c r="AD110" i="157"/>
  <c r="AV111" i="157"/>
  <c r="Z112" i="157"/>
  <c r="AQ113" i="157"/>
  <c r="V114" i="157"/>
  <c r="AN115" i="157"/>
  <c r="R116" i="157"/>
  <c r="AH117" i="157"/>
  <c r="N118" i="157"/>
  <c r="J120" i="157"/>
  <c r="AD121" i="157"/>
  <c r="J122" i="157"/>
  <c r="AD123" i="157"/>
  <c r="J124" i="157"/>
  <c r="J109" i="157"/>
  <c r="BK112" i="157"/>
  <c r="BG114" i="157"/>
  <c r="AD119" i="157"/>
  <c r="AV124" i="157"/>
  <c r="G126" i="157"/>
  <c r="AV128" i="157"/>
  <c r="N107" i="157"/>
  <c r="N109" i="157"/>
  <c r="G113" i="157"/>
  <c r="AD125" i="157"/>
  <c r="J128" i="157"/>
  <c r="BG107" i="157"/>
  <c r="AD112" i="157"/>
  <c r="AV113" i="157"/>
  <c r="Z114" i="157"/>
  <c r="AQ115" i="157"/>
  <c r="V116" i="157"/>
  <c r="AN117" i="157"/>
  <c r="R118" i="157"/>
  <c r="AH119" i="157"/>
  <c r="N120" i="157"/>
  <c r="BC120" i="157"/>
  <c r="AH121" i="157"/>
  <c r="N122" i="157"/>
  <c r="BC122" i="157"/>
  <c r="AH123" i="157"/>
  <c r="N124" i="157"/>
  <c r="J107" i="157"/>
  <c r="G111" i="157"/>
  <c r="Z125" i="157"/>
  <c r="G128" i="157"/>
  <c r="AH106" i="157"/>
  <c r="AH108" i="157"/>
  <c r="J111" i="157"/>
  <c r="BG116" i="157"/>
  <c r="AD127" i="157"/>
  <c r="V105" i="157"/>
  <c r="AN106" i="157"/>
  <c r="R107" i="157"/>
  <c r="AN108" i="157"/>
  <c r="R109" i="157"/>
  <c r="AH110" i="157"/>
  <c r="N111" i="157"/>
  <c r="J113" i="157"/>
  <c r="G115" i="157"/>
  <c r="BG118" i="157"/>
  <c r="AH125" i="157"/>
  <c r="N126" i="157"/>
  <c r="BC126" i="157"/>
  <c r="AH127" i="157"/>
  <c r="N128" i="157"/>
  <c r="BC128" i="157"/>
  <c r="N105" i="157"/>
  <c r="Z127" i="157"/>
  <c r="BK114" i="157"/>
  <c r="BG109" i="157"/>
  <c r="AD114" i="157"/>
  <c r="AV115" i="157"/>
  <c r="Z116" i="157"/>
  <c r="AQ117" i="157"/>
  <c r="V118" i="157"/>
  <c r="AN119" i="157"/>
  <c r="R120" i="157"/>
  <c r="BG120" i="157"/>
  <c r="AN121" i="157"/>
  <c r="R122" i="157"/>
  <c r="BG122" i="157"/>
  <c r="AN123" i="157"/>
  <c r="R124" i="157"/>
  <c r="BC116" i="157"/>
  <c r="AV126" i="157"/>
  <c r="R105" i="157"/>
  <c r="J126" i="157"/>
  <c r="Z105" i="157"/>
  <c r="AQ106" i="157"/>
  <c r="V107" i="157"/>
  <c r="AQ108" i="157"/>
  <c r="V109" i="157"/>
  <c r="AN110" i="157"/>
  <c r="R111" i="157"/>
  <c r="AH112" i="157"/>
  <c r="N113" i="157"/>
  <c r="J115" i="157"/>
  <c r="G117" i="157"/>
  <c r="BK118" i="157"/>
  <c r="BG124" i="157"/>
  <c r="AN125" i="157"/>
  <c r="R126" i="157"/>
  <c r="BG126" i="157"/>
  <c r="AN127" i="157"/>
  <c r="R128" i="157"/>
  <c r="BG128" i="157"/>
  <c r="G108" i="157"/>
  <c r="BG111" i="157"/>
  <c r="BC113" i="157"/>
  <c r="AD116" i="157"/>
  <c r="AV117" i="157"/>
  <c r="Z118" i="157"/>
  <c r="AQ119" i="157"/>
  <c r="V120" i="157"/>
  <c r="AQ121" i="157"/>
  <c r="V122" i="157"/>
  <c r="BK122" i="157"/>
  <c r="AQ123" i="157"/>
  <c r="V124" i="157"/>
  <c r="AH114" i="157"/>
  <c r="N115" i="157"/>
  <c r="J117" i="157"/>
  <c r="G119" i="157"/>
  <c r="BK124" i="157"/>
  <c r="AQ125" i="157"/>
  <c r="V126" i="157"/>
  <c r="AQ127" i="157"/>
  <c r="V128" i="157"/>
  <c r="G106" i="157"/>
  <c r="AD105" i="157"/>
  <c r="AV106" i="157"/>
  <c r="AD107" i="157"/>
  <c r="AV108" i="157"/>
  <c r="Z109" i="157"/>
  <c r="AQ110" i="157"/>
  <c r="V111" i="157"/>
  <c r="AN112" i="157"/>
  <c r="R113" i="157"/>
  <c r="J106" i="157"/>
  <c r="J108" i="157"/>
  <c r="G110" i="157"/>
  <c r="BG113" i="157"/>
  <c r="BC115" i="157"/>
  <c r="AD118" i="157"/>
  <c r="AV119" i="157"/>
  <c r="Z120" i="157"/>
  <c r="G121" i="157"/>
  <c r="AV121" i="157"/>
  <c r="Z122" i="157"/>
  <c r="G123" i="157"/>
  <c r="AV123" i="157"/>
  <c r="Z124" i="157"/>
  <c r="AF67" i="194"/>
  <c r="F90" i="194"/>
  <c r="AC107" i="194"/>
  <c r="AC108" i="194"/>
  <c r="J108" i="194"/>
  <c r="V88" i="194"/>
  <c r="S108" i="194"/>
  <c r="W88" i="194"/>
  <c r="W106" i="194" s="1"/>
  <c r="N108" i="194"/>
  <c r="X88" i="194"/>
  <c r="O88" i="194"/>
  <c r="O106" i="194" s="1"/>
  <c r="N107" i="194"/>
  <c r="U108" i="194"/>
  <c r="Y88" i="194"/>
  <c r="P88" i="194"/>
  <c r="I108" i="194"/>
  <c r="V108" i="194"/>
  <c r="K108" i="194"/>
  <c r="L108" i="194"/>
  <c r="J90" i="194"/>
  <c r="J107" i="194" s="1"/>
  <c r="F88" i="194"/>
  <c r="Q88" i="194"/>
  <c r="G88" i="194"/>
  <c r="I90" i="194"/>
  <c r="I107" i="194" s="1"/>
  <c r="Z88" i="194"/>
  <c r="AA88" i="194"/>
  <c r="W107" i="194"/>
  <c r="U107" i="194"/>
  <c r="R107" i="194"/>
  <c r="V107" i="194"/>
  <c r="AH74" i="194"/>
  <c r="AF74" i="194"/>
  <c r="B82" i="194"/>
  <c r="AG55" i="194"/>
  <c r="N88" i="194"/>
  <c r="P75" i="194"/>
  <c r="P82" i="194" s="1"/>
  <c r="AH56" i="194"/>
  <c r="AG56" i="194"/>
  <c r="AF56" i="194"/>
  <c r="T90" i="194"/>
  <c r="T107" i="194" s="1"/>
  <c r="M88" i="194"/>
  <c r="M106" i="194" s="1"/>
  <c r="AH62" i="194"/>
  <c r="AI60" i="194"/>
  <c r="AG62" i="194"/>
  <c r="AF62" i="194"/>
  <c r="G64" i="194"/>
  <c r="AH67" i="194"/>
  <c r="P108" i="194"/>
  <c r="AG44" i="194"/>
  <c r="J64" i="194"/>
  <c r="J82" i="194" s="1"/>
  <c r="AG69" i="194"/>
  <c r="AF70" i="194"/>
  <c r="AH44" i="194"/>
  <c r="K64" i="194"/>
  <c r="AH69" i="194"/>
  <c r="AF71" i="194"/>
  <c r="T108" i="194"/>
  <c r="N59" i="194"/>
  <c r="N82" i="194" s="1"/>
  <c r="AH70" i="194"/>
  <c r="X108" i="194"/>
  <c r="AG49" i="194"/>
  <c r="W108" i="194"/>
  <c r="AF49" i="194"/>
  <c r="C82" i="194"/>
  <c r="AH55" i="194"/>
  <c r="O108" i="194"/>
  <c r="S90" i="194"/>
  <c r="S107" i="194" s="1"/>
  <c r="Q108" i="194"/>
  <c r="R108" i="194"/>
  <c r="M108" i="194"/>
  <c r="AH71" i="194"/>
  <c r="AG58" i="194"/>
  <c r="K107" i="194"/>
  <c r="P107" i="194"/>
  <c r="AH46" i="194"/>
  <c r="AG46" i="194"/>
  <c r="L107" i="194"/>
  <c r="AH68" i="194"/>
  <c r="AG68" i="194"/>
  <c r="AF68" i="194"/>
  <c r="I64" i="194"/>
  <c r="I82" i="194" s="1"/>
  <c r="O107" i="194"/>
  <c r="Q107" i="194"/>
  <c r="AF46" i="194"/>
  <c r="U75" i="194"/>
  <c r="M107" i="194"/>
  <c r="F108" i="194"/>
  <c r="Z108" i="194"/>
  <c r="AI65" i="194"/>
  <c r="G108" i="194"/>
  <c r="AA108" i="194"/>
  <c r="AF43" i="194"/>
  <c r="AF47" i="194"/>
  <c r="V75" i="194"/>
  <c r="V82" i="194" s="1"/>
  <c r="H108" i="194"/>
  <c r="AB108" i="194"/>
  <c r="Y108" i="194"/>
  <c r="AG47" i="194"/>
  <c r="L64" i="194"/>
  <c r="AF38" i="194"/>
  <c r="AH47" i="194"/>
  <c r="AF53" i="194"/>
  <c r="AF66" i="194"/>
  <c r="AF57" i="194"/>
  <c r="P59" i="194"/>
  <c r="AG57" i="194"/>
  <c r="AG38" i="194"/>
  <c r="AG53" i="194"/>
  <c r="AF48" i="194"/>
  <c r="G96" i="157"/>
  <c r="V73" i="193"/>
  <c r="V70" i="193"/>
  <c r="V69" i="193"/>
  <c r="V68" i="193"/>
  <c r="V67" i="193"/>
  <c r="V66" i="193"/>
  <c r="V65" i="193"/>
  <c r="F221" i="88"/>
  <c r="F274" i="88"/>
  <c r="U73" i="193"/>
  <c r="U70" i="193"/>
  <c r="U69" i="193"/>
  <c r="U67" i="193"/>
  <c r="U66" i="193"/>
  <c r="U65" i="193"/>
  <c r="AH65" i="193" s="1"/>
  <c r="F4" i="88"/>
  <c r="F251" i="88"/>
  <c r="F257" i="88"/>
  <c r="AE94" i="157"/>
  <c r="AE93" i="157"/>
  <c r="F266" i="88"/>
  <c r="F235" i="88"/>
  <c r="AE92" i="157"/>
  <c r="F258" i="88"/>
  <c r="AE91" i="157"/>
  <c r="F252" i="88"/>
  <c r="AE90" i="157"/>
  <c r="O94" i="193"/>
  <c r="P94" i="193"/>
  <c r="P73" i="193"/>
  <c r="P70" i="193"/>
  <c r="P69" i="193"/>
  <c r="P68" i="193"/>
  <c r="P67" i="193"/>
  <c r="P66" i="193"/>
  <c r="P61" i="193"/>
  <c r="P60" i="193"/>
  <c r="P63" i="193" s="1"/>
  <c r="P96" i="193" s="1"/>
  <c r="P57" i="193"/>
  <c r="P56" i="193"/>
  <c r="P55" i="193"/>
  <c r="P54" i="193"/>
  <c r="P53" i="193"/>
  <c r="AH53" i="193" s="1"/>
  <c r="P52" i="193"/>
  <c r="AH52" i="193" s="1"/>
  <c r="P48" i="193"/>
  <c r="P46" i="193"/>
  <c r="P43" i="193"/>
  <c r="P42" i="193"/>
  <c r="AH42" i="193" s="1"/>
  <c r="P40" i="193"/>
  <c r="AH40" i="193" s="1"/>
  <c r="P39" i="193"/>
  <c r="AH39" i="193" s="1"/>
  <c r="P37" i="193"/>
  <c r="AH37" i="193" s="1"/>
  <c r="N94" i="193"/>
  <c r="Q74" i="193"/>
  <c r="Q97" i="193" s="1"/>
  <c r="AE89" i="157"/>
  <c r="O73" i="193"/>
  <c r="O70" i="193"/>
  <c r="O69" i="193"/>
  <c r="O68" i="193"/>
  <c r="AG68" i="193" s="1"/>
  <c r="O67" i="193"/>
  <c r="O66" i="193"/>
  <c r="O61" i="193"/>
  <c r="O60" i="193"/>
  <c r="O63" i="193" s="1"/>
  <c r="O96" i="193" s="1"/>
  <c r="O54" i="193"/>
  <c r="O48" i="193"/>
  <c r="O46" i="193"/>
  <c r="F250" i="88"/>
  <c r="F249" i="88"/>
  <c r="F246" i="88"/>
  <c r="F244" i="88"/>
  <c r="F243" i="88"/>
  <c r="F242" i="88"/>
  <c r="AE88" i="157"/>
  <c r="N73" i="193"/>
  <c r="N70" i="193"/>
  <c r="N69" i="193"/>
  <c r="N67" i="193"/>
  <c r="N66" i="193"/>
  <c r="N61" i="193"/>
  <c r="N60" i="193"/>
  <c r="N56" i="193"/>
  <c r="N55" i="193"/>
  <c r="N47" i="193"/>
  <c r="AG47" i="193" s="1"/>
  <c r="N45" i="193"/>
  <c r="AF45" i="193" s="1"/>
  <c r="N44" i="193"/>
  <c r="AH44" i="193" s="1"/>
  <c r="N43" i="193"/>
  <c r="F166" i="88"/>
  <c r="F220" i="88"/>
  <c r="F241" i="88"/>
  <c r="AE87" i="157"/>
  <c r="M73" i="193"/>
  <c r="M70" i="193"/>
  <c r="M69" i="193"/>
  <c r="M67" i="193"/>
  <c r="M66" i="193"/>
  <c r="M61" i="193"/>
  <c r="M60" i="193"/>
  <c r="M57" i="193"/>
  <c r="M56" i="193"/>
  <c r="M55" i="193"/>
  <c r="M43" i="193"/>
  <c r="F238" i="88"/>
  <c r="F240" i="88"/>
  <c r="AE86" i="157"/>
  <c r="L61" i="193"/>
  <c r="L60" i="193"/>
  <c r="L43" i="193"/>
  <c r="L58" i="193" s="1"/>
  <c r="L95" i="193" s="1"/>
  <c r="L73" i="193"/>
  <c r="L70" i="193"/>
  <c r="L69" i="193"/>
  <c r="L66" i="193"/>
  <c r="F228" i="88"/>
  <c r="AE85" i="157"/>
  <c r="K73" i="193"/>
  <c r="K70" i="193"/>
  <c r="K69" i="193"/>
  <c r="K66" i="193"/>
  <c r="K61" i="193"/>
  <c r="K62" i="193" s="1"/>
  <c r="F183" i="88"/>
  <c r="AE84" i="157"/>
  <c r="J73" i="193"/>
  <c r="J70" i="193"/>
  <c r="J69" i="193"/>
  <c r="J66" i="193"/>
  <c r="J61" i="193"/>
  <c r="J62" i="193" s="1"/>
  <c r="AE83" i="157"/>
  <c r="I73" i="193"/>
  <c r="I70" i="193"/>
  <c r="I69" i="193"/>
  <c r="I66" i="193"/>
  <c r="I61" i="193"/>
  <c r="I62" i="193" s="1"/>
  <c r="AE82" i="157"/>
  <c r="H73" i="193"/>
  <c r="H70" i="193"/>
  <c r="H69" i="193"/>
  <c r="H66" i="193"/>
  <c r="H74" i="193" s="1"/>
  <c r="H97" i="193" s="1"/>
  <c r="H62" i="193"/>
  <c r="H61" i="193"/>
  <c r="F236" i="88"/>
  <c r="AE81" i="157"/>
  <c r="F186" i="88"/>
  <c r="G73" i="193"/>
  <c r="G70" i="193"/>
  <c r="G69" i="193"/>
  <c r="G66" i="193"/>
  <c r="G62" i="193"/>
  <c r="G61" i="193"/>
  <c r="AE80" i="157"/>
  <c r="AE78" i="157"/>
  <c r="F73" i="193"/>
  <c r="F70" i="193"/>
  <c r="F69" i="193"/>
  <c r="F66" i="193"/>
  <c r="F232" i="88"/>
  <c r="F231" i="88"/>
  <c r="F230" i="88"/>
  <c r="F188" i="88"/>
  <c r="F227" i="88"/>
  <c r="F229" i="88"/>
  <c r="F78" i="193"/>
  <c r="F98" i="193" s="1"/>
  <c r="F63" i="193"/>
  <c r="F58" i="193"/>
  <c r="F95" i="193" s="1"/>
  <c r="F32" i="193"/>
  <c r="F93" i="193" s="1"/>
  <c r="F29" i="193"/>
  <c r="F91" i="193" s="1"/>
  <c r="F25" i="193"/>
  <c r="F22" i="193"/>
  <c r="F17" i="193"/>
  <c r="AC62" i="192"/>
  <c r="AC60" i="192"/>
  <c r="AC48" i="192"/>
  <c r="AC45" i="192"/>
  <c r="AC44" i="192"/>
  <c r="AC124" i="193"/>
  <c r="AB124" i="193"/>
  <c r="AA124" i="193"/>
  <c r="Z124" i="193"/>
  <c r="Y124" i="193"/>
  <c r="X124" i="193"/>
  <c r="W124" i="193"/>
  <c r="V124" i="193"/>
  <c r="U124" i="193"/>
  <c r="T124" i="193"/>
  <c r="S124" i="193"/>
  <c r="R124" i="193"/>
  <c r="Q124" i="193"/>
  <c r="P124" i="193"/>
  <c r="O124" i="193"/>
  <c r="N124" i="193"/>
  <c r="M124" i="193"/>
  <c r="L124" i="193"/>
  <c r="K124" i="193"/>
  <c r="J124" i="193"/>
  <c r="I124" i="193"/>
  <c r="H124" i="193"/>
  <c r="G124" i="193"/>
  <c r="F124" i="193"/>
  <c r="AC104" i="193"/>
  <c r="AB104" i="193"/>
  <c r="AA104" i="193"/>
  <c r="Z104" i="193"/>
  <c r="Y104" i="193"/>
  <c r="X104" i="193"/>
  <c r="W104" i="193"/>
  <c r="V104" i="193"/>
  <c r="U104" i="193"/>
  <c r="S104" i="193"/>
  <c r="R104" i="193"/>
  <c r="Q104" i="193"/>
  <c r="P104" i="193"/>
  <c r="O104" i="193"/>
  <c r="N104" i="193"/>
  <c r="M104" i="193"/>
  <c r="L104" i="193"/>
  <c r="K104" i="193"/>
  <c r="J104" i="193"/>
  <c r="I104" i="193"/>
  <c r="H104" i="193"/>
  <c r="G104" i="193"/>
  <c r="F104" i="193"/>
  <c r="T104" i="193"/>
  <c r="AC78" i="193"/>
  <c r="AC98" i="193" s="1"/>
  <c r="AB78" i="193"/>
  <c r="AB98" i="193" s="1"/>
  <c r="AA78" i="193"/>
  <c r="AA98" i="193" s="1"/>
  <c r="Z78" i="193"/>
  <c r="Z98" i="193" s="1"/>
  <c r="Y78" i="193"/>
  <c r="Y98" i="193" s="1"/>
  <c r="X78" i="193"/>
  <c r="X98" i="193" s="1"/>
  <c r="W78" i="193"/>
  <c r="W98" i="193" s="1"/>
  <c r="V78" i="193"/>
  <c r="V98" i="193" s="1"/>
  <c r="U78" i="193"/>
  <c r="U98" i="193" s="1"/>
  <c r="T78" i="193"/>
  <c r="T98" i="193" s="1"/>
  <c r="S78" i="193"/>
  <c r="S98" i="193" s="1"/>
  <c r="R78" i="193"/>
  <c r="R98" i="193" s="1"/>
  <c r="Q78" i="193"/>
  <c r="Q98" i="193" s="1"/>
  <c r="P78" i="193"/>
  <c r="P98" i="193" s="1"/>
  <c r="O78" i="193"/>
  <c r="O98" i="193" s="1"/>
  <c r="N78" i="193"/>
  <c r="N98" i="193" s="1"/>
  <c r="M78" i="193"/>
  <c r="M98" i="193" s="1"/>
  <c r="L78" i="193"/>
  <c r="L98" i="193" s="1"/>
  <c r="K78" i="193"/>
  <c r="K98" i="193" s="1"/>
  <c r="J78" i="193"/>
  <c r="J98" i="193" s="1"/>
  <c r="I78" i="193"/>
  <c r="I98" i="193" s="1"/>
  <c r="H78" i="193"/>
  <c r="H98" i="193" s="1"/>
  <c r="G78" i="193"/>
  <c r="G98" i="193" s="1"/>
  <c r="C78" i="193"/>
  <c r="AH77" i="193"/>
  <c r="AG77" i="193"/>
  <c r="AF77" i="193"/>
  <c r="AH76" i="193"/>
  <c r="AG76" i="193"/>
  <c r="AF76" i="193"/>
  <c r="AI75" i="193"/>
  <c r="AC74" i="193"/>
  <c r="AC97" i="193" s="1"/>
  <c r="AB74" i="193"/>
  <c r="AB97" i="193" s="1"/>
  <c r="AA74" i="193"/>
  <c r="AA97" i="193" s="1"/>
  <c r="Z74" i="193"/>
  <c r="Z97" i="193" s="1"/>
  <c r="Y74" i="193"/>
  <c r="Y97" i="193" s="1"/>
  <c r="W74" i="193"/>
  <c r="W97" i="193" s="1"/>
  <c r="U74" i="193"/>
  <c r="U97" i="193" s="1"/>
  <c r="T74" i="193"/>
  <c r="T97" i="193" s="1"/>
  <c r="S74" i="193"/>
  <c r="S97" i="193" s="1"/>
  <c r="R74" i="193"/>
  <c r="R97" i="193" s="1"/>
  <c r="C74" i="193"/>
  <c r="B74" i="193"/>
  <c r="B78" i="193" s="1"/>
  <c r="B25" i="193" s="1"/>
  <c r="AH72" i="193"/>
  <c r="AG72" i="193"/>
  <c r="AF72" i="193"/>
  <c r="AH71" i="193"/>
  <c r="AG71" i="193"/>
  <c r="AF71" i="193"/>
  <c r="X74" i="193"/>
  <c r="X97" i="193" s="1"/>
  <c r="AC63" i="193"/>
  <c r="AC96" i="193" s="1"/>
  <c r="AB96" i="193"/>
  <c r="AA63" i="193"/>
  <c r="AA96" i="193" s="1"/>
  <c r="Z63" i="193"/>
  <c r="Z96" i="193" s="1"/>
  <c r="Y63" i="193"/>
  <c r="Y96" i="193" s="1"/>
  <c r="T63" i="193"/>
  <c r="T96" i="193" s="1"/>
  <c r="S63" i="193"/>
  <c r="S96" i="193" s="1"/>
  <c r="R63" i="193"/>
  <c r="R96" i="193" s="1"/>
  <c r="Q63" i="193"/>
  <c r="Q96" i="193" s="1"/>
  <c r="C63" i="193"/>
  <c r="X63" i="193"/>
  <c r="X96" i="193" s="1"/>
  <c r="W63" i="193"/>
  <c r="W96" i="193" s="1"/>
  <c r="V63" i="193"/>
  <c r="V96" i="193" s="1"/>
  <c r="AC58" i="193"/>
  <c r="AC95" i="193" s="1"/>
  <c r="AB58" i="193"/>
  <c r="AB95" i="193" s="1"/>
  <c r="AA58" i="193"/>
  <c r="AA95" i="193" s="1"/>
  <c r="Z58" i="193"/>
  <c r="Z95" i="193" s="1"/>
  <c r="Y58" i="193"/>
  <c r="Y95" i="193" s="1"/>
  <c r="X58" i="193"/>
  <c r="X95" i="193" s="1"/>
  <c r="W58" i="193"/>
  <c r="W95" i="193" s="1"/>
  <c r="V58" i="193"/>
  <c r="V95" i="193" s="1"/>
  <c r="U58" i="193"/>
  <c r="U95" i="193" s="1"/>
  <c r="T58" i="193"/>
  <c r="T95" i="193" s="1"/>
  <c r="S58" i="193"/>
  <c r="S95" i="193" s="1"/>
  <c r="R58" i="193"/>
  <c r="R95" i="193" s="1"/>
  <c r="Q58" i="193"/>
  <c r="Q95" i="193" s="1"/>
  <c r="K58" i="193"/>
  <c r="K95" i="193" s="1"/>
  <c r="J58" i="193"/>
  <c r="J95" i="193" s="1"/>
  <c r="I58" i="193"/>
  <c r="I95" i="193" s="1"/>
  <c r="H58" i="193"/>
  <c r="H95" i="193" s="1"/>
  <c r="C58" i="193"/>
  <c r="B58" i="193"/>
  <c r="B63" i="193" s="1"/>
  <c r="AH51" i="193"/>
  <c r="AG51" i="193"/>
  <c r="AF51" i="193"/>
  <c r="AH50" i="193"/>
  <c r="AG50" i="193"/>
  <c r="AF50" i="193"/>
  <c r="AH49" i="193"/>
  <c r="AG49" i="193"/>
  <c r="AF49" i="193"/>
  <c r="AH41" i="193"/>
  <c r="AG41" i="193"/>
  <c r="AF41" i="193"/>
  <c r="AF38" i="193"/>
  <c r="AG36" i="193"/>
  <c r="AF36" i="193"/>
  <c r="AH35" i="193"/>
  <c r="AG35" i="193"/>
  <c r="AF35" i="193"/>
  <c r="AH34" i="193"/>
  <c r="AG34" i="193"/>
  <c r="AF34" i="193"/>
  <c r="AC32" i="193"/>
  <c r="AC93" i="193" s="1"/>
  <c r="AB32" i="193"/>
  <c r="AB93" i="193" s="1"/>
  <c r="AA32" i="193"/>
  <c r="AA93" i="193" s="1"/>
  <c r="Z32" i="193"/>
  <c r="Z93" i="193" s="1"/>
  <c r="Y32" i="193"/>
  <c r="Y93" i="193" s="1"/>
  <c r="X32" i="193"/>
  <c r="X93" i="193" s="1"/>
  <c r="W32" i="193"/>
  <c r="W93" i="193" s="1"/>
  <c r="V32" i="193"/>
  <c r="V93" i="193" s="1"/>
  <c r="U32" i="193"/>
  <c r="U93" i="193" s="1"/>
  <c r="T32" i="193"/>
  <c r="T93" i="193" s="1"/>
  <c r="S32" i="193"/>
  <c r="S93" i="193" s="1"/>
  <c r="R32" i="193"/>
  <c r="Q32" i="193"/>
  <c r="Q93" i="193" s="1"/>
  <c r="P32" i="193"/>
  <c r="P93" i="193" s="1"/>
  <c r="O32" i="193"/>
  <c r="O93" i="193" s="1"/>
  <c r="N32" i="193"/>
  <c r="M32" i="193"/>
  <c r="M93" i="193" s="1"/>
  <c r="L32" i="193"/>
  <c r="L93" i="193" s="1"/>
  <c r="K32" i="193"/>
  <c r="K93" i="193" s="1"/>
  <c r="J32" i="193"/>
  <c r="J93" i="193" s="1"/>
  <c r="I32" i="193"/>
  <c r="I93" i="193" s="1"/>
  <c r="H32" i="193"/>
  <c r="H93" i="193" s="1"/>
  <c r="G32" i="193"/>
  <c r="G93" i="193" s="1"/>
  <c r="C32" i="193"/>
  <c r="B32" i="193"/>
  <c r="AH31" i="193"/>
  <c r="AG31" i="193"/>
  <c r="AF31" i="193"/>
  <c r="AI30" i="193"/>
  <c r="AC29" i="193"/>
  <c r="AC91" i="193" s="1"/>
  <c r="AB29" i="193"/>
  <c r="AB91" i="193" s="1"/>
  <c r="AA29" i="193"/>
  <c r="AA91" i="193" s="1"/>
  <c r="Z29" i="193"/>
  <c r="Z91" i="193" s="1"/>
  <c r="Y29" i="193"/>
  <c r="Y91" i="193" s="1"/>
  <c r="X29" i="193"/>
  <c r="X91" i="193" s="1"/>
  <c r="W29" i="193"/>
  <c r="W91" i="193" s="1"/>
  <c r="V29" i="193"/>
  <c r="V91" i="193" s="1"/>
  <c r="U29" i="193"/>
  <c r="U91" i="193" s="1"/>
  <c r="T29" i="193"/>
  <c r="T91" i="193" s="1"/>
  <c r="S29" i="193"/>
  <c r="S91" i="193" s="1"/>
  <c r="R29" i="193"/>
  <c r="R91" i="193" s="1"/>
  <c r="Q29" i="193"/>
  <c r="Q91" i="193" s="1"/>
  <c r="P29" i="193"/>
  <c r="P91" i="193" s="1"/>
  <c r="O29" i="193"/>
  <c r="O91" i="193" s="1"/>
  <c r="N29" i="193"/>
  <c r="N91" i="193" s="1"/>
  <c r="M29" i="193"/>
  <c r="M91" i="193" s="1"/>
  <c r="L29" i="193"/>
  <c r="L91" i="193" s="1"/>
  <c r="K29" i="193"/>
  <c r="K91" i="193" s="1"/>
  <c r="J29" i="193"/>
  <c r="J91" i="193" s="1"/>
  <c r="I29" i="193"/>
  <c r="I91" i="193" s="1"/>
  <c r="H29" i="193"/>
  <c r="H91" i="193" s="1"/>
  <c r="G29" i="193"/>
  <c r="G91" i="193" s="1"/>
  <c r="C29" i="193"/>
  <c r="B29" i="193"/>
  <c r="AH28" i="193"/>
  <c r="AG28" i="193"/>
  <c r="AF28" i="193"/>
  <c r="AH27" i="193"/>
  <c r="AG27" i="193"/>
  <c r="AF27" i="193"/>
  <c r="AI26" i="193"/>
  <c r="AC25" i="193"/>
  <c r="AB25" i="193"/>
  <c r="AA25" i="193"/>
  <c r="Z25" i="193"/>
  <c r="Y25" i="193"/>
  <c r="X25" i="193"/>
  <c r="W25" i="193"/>
  <c r="V25" i="193"/>
  <c r="U25" i="193"/>
  <c r="T25" i="193"/>
  <c r="S25" i="193"/>
  <c r="R25" i="193"/>
  <c r="Q25" i="193"/>
  <c r="P25" i="193"/>
  <c r="O25" i="193"/>
  <c r="N25" i="193"/>
  <c r="M25" i="193"/>
  <c r="L25" i="193"/>
  <c r="K25" i="193"/>
  <c r="J25" i="193"/>
  <c r="I25" i="193"/>
  <c r="H25" i="193"/>
  <c r="G25" i="193"/>
  <c r="C25" i="193"/>
  <c r="AH24" i="193"/>
  <c r="AG24" i="193"/>
  <c r="AF24" i="193"/>
  <c r="AI23" i="193"/>
  <c r="AC22" i="193"/>
  <c r="AB22" i="193"/>
  <c r="AA22" i="193"/>
  <c r="Z22" i="193"/>
  <c r="Y22" i="193"/>
  <c r="X22" i="193"/>
  <c r="W22" i="193"/>
  <c r="V22" i="193"/>
  <c r="U22" i="193"/>
  <c r="T22" i="193"/>
  <c r="S22" i="193"/>
  <c r="R22" i="193"/>
  <c r="Q22" i="193"/>
  <c r="P22" i="193"/>
  <c r="O22" i="193"/>
  <c r="N22" i="193"/>
  <c r="M22" i="193"/>
  <c r="L22" i="193"/>
  <c r="K22" i="193"/>
  <c r="J22" i="193"/>
  <c r="I22" i="193"/>
  <c r="H22" i="193"/>
  <c r="G22" i="193"/>
  <c r="C22" i="193"/>
  <c r="B22" i="193"/>
  <c r="AH21" i="193"/>
  <c r="AG21" i="193"/>
  <c r="AF21" i="193"/>
  <c r="AH20" i="193"/>
  <c r="AG20" i="193"/>
  <c r="AF20" i="193"/>
  <c r="AH19" i="193"/>
  <c r="AG19" i="193"/>
  <c r="AF19" i="193"/>
  <c r="AI18" i="193"/>
  <c r="AC17" i="193"/>
  <c r="AB17" i="193"/>
  <c r="AA17" i="193"/>
  <c r="Z17" i="193"/>
  <c r="Y17" i="193"/>
  <c r="X17" i="193"/>
  <c r="W17" i="193"/>
  <c r="V17" i="193"/>
  <c r="U17" i="193"/>
  <c r="T17" i="193"/>
  <c r="S17" i="193"/>
  <c r="R17" i="193"/>
  <c r="Q17" i="193"/>
  <c r="P17" i="193"/>
  <c r="O17" i="193"/>
  <c r="N17" i="193"/>
  <c r="M17" i="193"/>
  <c r="L17" i="193"/>
  <c r="K17" i="193"/>
  <c r="J17" i="193"/>
  <c r="I17" i="193"/>
  <c r="H17" i="193"/>
  <c r="G17" i="193"/>
  <c r="C17" i="193"/>
  <c r="B17" i="193"/>
  <c r="AH16" i="193"/>
  <c r="AG16" i="193"/>
  <c r="AF16" i="193"/>
  <c r="AH15" i="193"/>
  <c r="AG15" i="193"/>
  <c r="AF15" i="193"/>
  <c r="AH14" i="193"/>
  <c r="AG14" i="193"/>
  <c r="AF14" i="193"/>
  <c r="AH13" i="193"/>
  <c r="AG13" i="193"/>
  <c r="AF13" i="193"/>
  <c r="AI12" i="193"/>
  <c r="M9" i="193" a="1"/>
  <c r="M9" i="193" s="1"/>
  <c r="F223" i="88"/>
  <c r="F218" i="88"/>
  <c r="F209" i="88"/>
  <c r="F210" i="88"/>
  <c r="AE77" i="157"/>
  <c r="F208" i="88"/>
  <c r="F206" i="88"/>
  <c r="F211" i="88"/>
  <c r="F216" i="88"/>
  <c r="F215" i="88"/>
  <c r="AE76" i="157"/>
  <c r="F213" i="88"/>
  <c r="F217" i="88"/>
  <c r="F233" i="88"/>
  <c r="AE75" i="157"/>
  <c r="F201" i="88"/>
  <c r="AE74" i="157"/>
  <c r="Y74" i="192"/>
  <c r="Y95" i="192" s="1"/>
  <c r="Y63" i="192"/>
  <c r="Y94" i="192" s="1"/>
  <c r="F202" i="88"/>
  <c r="AE73" i="157"/>
  <c r="X73" i="192"/>
  <c r="X70" i="192"/>
  <c r="X69" i="192"/>
  <c r="X67" i="192"/>
  <c r="X66" i="192"/>
  <c r="X62" i="192"/>
  <c r="X60" i="192"/>
  <c r="F204" i="88"/>
  <c r="AE72" i="157"/>
  <c r="AE71" i="157"/>
  <c r="W62" i="192"/>
  <c r="W60" i="192"/>
  <c r="F212" i="88"/>
  <c r="F200" i="88"/>
  <c r="F199" i="88"/>
  <c r="F179" i="88"/>
  <c r="AE69" i="157"/>
  <c r="AE70" i="157"/>
  <c r="AG73" i="192"/>
  <c r="V73" i="192"/>
  <c r="V70" i="192"/>
  <c r="V69" i="192"/>
  <c r="V67" i="192"/>
  <c r="V66" i="192"/>
  <c r="V60" i="192"/>
  <c r="V63" i="192" s="1"/>
  <c r="V94" i="192" s="1"/>
  <c r="U98" i="192"/>
  <c r="U61" i="192"/>
  <c r="U60" i="192"/>
  <c r="F222" i="88"/>
  <c r="F207" i="88"/>
  <c r="F205" i="88"/>
  <c r="F214" i="88"/>
  <c r="F203" i="88"/>
  <c r="T98" i="192"/>
  <c r="AE68" i="157"/>
  <c r="F219" i="88"/>
  <c r="S63" i="192"/>
  <c r="S94" i="192" s="1"/>
  <c r="S98" i="192"/>
  <c r="AE67" i="157"/>
  <c r="F161" i="88"/>
  <c r="Q63" i="192"/>
  <c r="Q94" i="192" s="1"/>
  <c r="AE65" i="157"/>
  <c r="P73" i="192"/>
  <c r="P70" i="192"/>
  <c r="P69" i="192"/>
  <c r="P66" i="192"/>
  <c r="P61" i="192"/>
  <c r="P60" i="192"/>
  <c r="F195" i="88"/>
  <c r="P57" i="192"/>
  <c r="P56" i="192"/>
  <c r="P55" i="192"/>
  <c r="AH55" i="192" s="1"/>
  <c r="P54" i="192"/>
  <c r="P53" i="192"/>
  <c r="P52" i="192"/>
  <c r="P48" i="192"/>
  <c r="P47" i="192"/>
  <c r="P46" i="192"/>
  <c r="P45" i="192"/>
  <c r="P44" i="192"/>
  <c r="AG44" i="192" s="1"/>
  <c r="P43" i="192"/>
  <c r="P42" i="192"/>
  <c r="P58" i="192" s="1"/>
  <c r="P93" i="192" s="1"/>
  <c r="P40" i="192"/>
  <c r="P39" i="192"/>
  <c r="P38" i="192"/>
  <c r="P37" i="192"/>
  <c r="P36" i="192"/>
  <c r="F177" i="88"/>
  <c r="AE64" i="157"/>
  <c r="O73" i="192"/>
  <c r="O70" i="192"/>
  <c r="O69" i="192"/>
  <c r="O61" i="192"/>
  <c r="O60" i="192"/>
  <c r="O57" i="192"/>
  <c r="O56" i="192"/>
  <c r="O55" i="192"/>
  <c r="O54" i="192"/>
  <c r="AH54" i="192" s="1"/>
  <c r="O53" i="192"/>
  <c r="AH53" i="192" s="1"/>
  <c r="O52" i="192"/>
  <c r="O48" i="192"/>
  <c r="O47" i="192"/>
  <c r="O46" i="192"/>
  <c r="O45" i="192"/>
  <c r="O44" i="192"/>
  <c r="O43" i="192"/>
  <c r="F198" i="88"/>
  <c r="F196" i="88"/>
  <c r="F192" i="88"/>
  <c r="F194" i="88"/>
  <c r="F191" i="88"/>
  <c r="F193" i="88"/>
  <c r="AE63" i="157"/>
  <c r="N61" i="192"/>
  <c r="N60" i="192"/>
  <c r="N43" i="192"/>
  <c r="F185" i="88"/>
  <c r="F113" i="88"/>
  <c r="F112" i="88"/>
  <c r="F190" i="88"/>
  <c r="F109" i="88"/>
  <c r="L73" i="192"/>
  <c r="L70" i="192"/>
  <c r="L69" i="192"/>
  <c r="L66" i="192"/>
  <c r="M61" i="192"/>
  <c r="AE62" i="157"/>
  <c r="M73" i="192"/>
  <c r="M70" i="192"/>
  <c r="M69" i="192"/>
  <c r="M66" i="192"/>
  <c r="M60" i="192"/>
  <c r="M63" i="192" s="1"/>
  <c r="M94" i="192" s="1"/>
  <c r="M57" i="192"/>
  <c r="M56" i="192"/>
  <c r="M53" i="192"/>
  <c r="M52" i="192"/>
  <c r="M46" i="192"/>
  <c r="F189" i="88"/>
  <c r="F187" i="88"/>
  <c r="AE61" i="157"/>
  <c r="AE60" i="157"/>
  <c r="F170" i="88"/>
  <c r="K73" i="192"/>
  <c r="K70" i="192"/>
  <c r="K69" i="192"/>
  <c r="K66" i="192"/>
  <c r="K62" i="192"/>
  <c r="K61" i="192"/>
  <c r="AE59" i="157"/>
  <c r="J62" i="192"/>
  <c r="J61" i="192"/>
  <c r="I62" i="192"/>
  <c r="I61" i="192"/>
  <c r="F136" i="88"/>
  <c r="AE58" i="157"/>
  <c r="J66" i="192"/>
  <c r="J69" i="192"/>
  <c r="J74" i="192" s="1"/>
  <c r="J95" i="192" s="1"/>
  <c r="J70" i="192"/>
  <c r="AF70" i="192" s="1"/>
  <c r="J73" i="192"/>
  <c r="I73" i="192"/>
  <c r="I70" i="192"/>
  <c r="I69" i="192"/>
  <c r="I66" i="192"/>
  <c r="F184" i="88"/>
  <c r="AE57" i="157"/>
  <c r="H73" i="192"/>
  <c r="H70" i="192"/>
  <c r="H69" i="192"/>
  <c r="H66" i="192"/>
  <c r="H62" i="192"/>
  <c r="H63" i="192" s="1"/>
  <c r="H94" i="192" s="1"/>
  <c r="H61" i="192"/>
  <c r="F13" i="88"/>
  <c r="G73" i="192"/>
  <c r="G70" i="192"/>
  <c r="G69" i="192"/>
  <c r="G66" i="192"/>
  <c r="F169" i="88"/>
  <c r="F181" i="88"/>
  <c r="F182" i="88"/>
  <c r="AF68" i="192"/>
  <c r="AE56" i="157"/>
  <c r="G62" i="192"/>
  <c r="G61" i="192"/>
  <c r="AG61" i="192" s="1"/>
  <c r="G48" i="192"/>
  <c r="G47" i="192"/>
  <c r="G45" i="192"/>
  <c r="F180" i="88"/>
  <c r="F38" i="88"/>
  <c r="F178" i="88"/>
  <c r="AE55" i="157"/>
  <c r="F73" i="192"/>
  <c r="F70" i="192"/>
  <c r="F69" i="192"/>
  <c r="F68" i="192"/>
  <c r="F66" i="192"/>
  <c r="F62" i="192"/>
  <c r="F61" i="192"/>
  <c r="AH61" i="192" s="1"/>
  <c r="F171" i="88"/>
  <c r="F162" i="88"/>
  <c r="F152" i="88"/>
  <c r="AE53" i="157"/>
  <c r="AC73" i="191"/>
  <c r="AC70" i="191"/>
  <c r="AC69" i="191"/>
  <c r="AC68" i="191"/>
  <c r="AC66" i="191"/>
  <c r="F163" i="88"/>
  <c r="F143" i="88"/>
  <c r="AC121" i="192"/>
  <c r="AB121" i="192"/>
  <c r="AA121" i="192"/>
  <c r="Z121" i="192"/>
  <c r="Y121" i="192"/>
  <c r="X121" i="192"/>
  <c r="W121" i="192"/>
  <c r="V121" i="192"/>
  <c r="U121" i="192"/>
  <c r="T121" i="192"/>
  <c r="S121" i="192"/>
  <c r="R121" i="192"/>
  <c r="Q121" i="192"/>
  <c r="P121" i="192"/>
  <c r="O121" i="192"/>
  <c r="N121" i="192"/>
  <c r="M121" i="192"/>
  <c r="L121" i="192"/>
  <c r="K121" i="192"/>
  <c r="J121" i="192"/>
  <c r="I121" i="192"/>
  <c r="H121" i="192"/>
  <c r="G121" i="192"/>
  <c r="F121" i="192"/>
  <c r="AC101" i="192"/>
  <c r="AB101" i="192"/>
  <c r="AA101" i="192"/>
  <c r="Z101" i="192"/>
  <c r="Y101" i="192"/>
  <c r="X101" i="192"/>
  <c r="W101" i="192"/>
  <c r="V101" i="192"/>
  <c r="U101" i="192"/>
  <c r="T101" i="192"/>
  <c r="S101" i="192"/>
  <c r="R101" i="192"/>
  <c r="Q101" i="192"/>
  <c r="P101" i="192"/>
  <c r="O101" i="192"/>
  <c r="N101" i="192"/>
  <c r="M101" i="192"/>
  <c r="L101" i="192"/>
  <c r="K101" i="192"/>
  <c r="J101" i="192"/>
  <c r="I101" i="192"/>
  <c r="H101" i="192"/>
  <c r="G101" i="192"/>
  <c r="F101" i="192"/>
  <c r="Y89" i="192"/>
  <c r="U87" i="192"/>
  <c r="F85" i="192"/>
  <c r="AC78" i="192"/>
  <c r="AC96" i="192" s="1"/>
  <c r="AB78" i="192"/>
  <c r="AB96" i="192" s="1"/>
  <c r="AA78" i="192"/>
  <c r="AA96" i="192" s="1"/>
  <c r="Z78" i="192"/>
  <c r="Z96" i="192" s="1"/>
  <c r="Y78" i="192"/>
  <c r="Y96" i="192" s="1"/>
  <c r="X78" i="192"/>
  <c r="X96" i="192" s="1"/>
  <c r="W78" i="192"/>
  <c r="W96" i="192" s="1"/>
  <c r="V78" i="192"/>
  <c r="V96" i="192" s="1"/>
  <c r="U78" i="192"/>
  <c r="U96" i="192" s="1"/>
  <c r="T78" i="192"/>
  <c r="T96" i="192" s="1"/>
  <c r="S78" i="192"/>
  <c r="S96" i="192" s="1"/>
  <c r="R78" i="192"/>
  <c r="R96" i="192" s="1"/>
  <c r="Q78" i="192"/>
  <c r="Q96" i="192" s="1"/>
  <c r="P78" i="192"/>
  <c r="P96" i="192" s="1"/>
  <c r="O78" i="192"/>
  <c r="O96" i="192" s="1"/>
  <c r="N78" i="192"/>
  <c r="N96" i="192" s="1"/>
  <c r="M78" i="192"/>
  <c r="M96" i="192" s="1"/>
  <c r="L78" i="192"/>
  <c r="L96" i="192" s="1"/>
  <c r="K78" i="192"/>
  <c r="K96" i="192" s="1"/>
  <c r="J78" i="192"/>
  <c r="J96" i="192" s="1"/>
  <c r="I78" i="192"/>
  <c r="I96" i="192" s="1"/>
  <c r="H78" i="192"/>
  <c r="H96" i="192" s="1"/>
  <c r="G78" i="192"/>
  <c r="G96" i="192" s="1"/>
  <c r="F78" i="192"/>
  <c r="F96" i="192" s="1"/>
  <c r="C78" i="192"/>
  <c r="B78" i="192"/>
  <c r="AH77" i="192"/>
  <c r="AG77" i="192"/>
  <c r="AF77" i="192"/>
  <c r="AH76" i="192"/>
  <c r="AG76" i="192"/>
  <c r="AF76" i="192"/>
  <c r="AI75" i="192"/>
  <c r="AC74" i="192"/>
  <c r="AC95" i="192" s="1"/>
  <c r="AB74" i="192"/>
  <c r="AB95" i="192" s="1"/>
  <c r="AA74" i="192"/>
  <c r="AA95" i="192" s="1"/>
  <c r="Z74" i="192"/>
  <c r="Z95" i="192" s="1"/>
  <c r="P74" i="192"/>
  <c r="P95" i="192" s="1"/>
  <c r="O74" i="192"/>
  <c r="O95" i="192" s="1"/>
  <c r="N74" i="192"/>
  <c r="N95" i="192" s="1"/>
  <c r="C74" i="192"/>
  <c r="B74" i="192"/>
  <c r="AH72" i="192"/>
  <c r="AG72" i="192"/>
  <c r="AF72" i="192"/>
  <c r="AH71" i="192"/>
  <c r="AG71" i="192"/>
  <c r="AF71" i="192"/>
  <c r="L74" i="192"/>
  <c r="L95" i="192" s="1"/>
  <c r="K74" i="192"/>
  <c r="K95" i="192" s="1"/>
  <c r="I74" i="192"/>
  <c r="I95" i="192" s="1"/>
  <c r="X74" i="192"/>
  <c r="X95" i="192" s="1"/>
  <c r="AG68" i="192"/>
  <c r="U74" i="192"/>
  <c r="U95" i="192" s="1"/>
  <c r="AG67" i="192"/>
  <c r="AH67" i="192"/>
  <c r="W74" i="192"/>
  <c r="W95" i="192" s="1"/>
  <c r="V74" i="192"/>
  <c r="V95" i="192" s="1"/>
  <c r="T74" i="192"/>
  <c r="T95" i="192" s="1"/>
  <c r="S74" i="192"/>
  <c r="S95" i="192" s="1"/>
  <c r="R74" i="192"/>
  <c r="R95" i="192" s="1"/>
  <c r="Q74" i="192"/>
  <c r="Q95" i="192" s="1"/>
  <c r="AG66" i="192"/>
  <c r="AH65" i="192"/>
  <c r="AG65" i="192"/>
  <c r="AF65" i="192"/>
  <c r="AB63" i="192"/>
  <c r="AB94" i="192" s="1"/>
  <c r="AA63" i="192"/>
  <c r="AA94" i="192" s="1"/>
  <c r="Z63" i="192"/>
  <c r="Z94" i="192" s="1"/>
  <c r="P63" i="192"/>
  <c r="P94" i="192" s="1"/>
  <c r="O63" i="192"/>
  <c r="O94" i="192" s="1"/>
  <c r="N63" i="192"/>
  <c r="N94" i="192" s="1"/>
  <c r="L63" i="192"/>
  <c r="L94" i="192" s="1"/>
  <c r="K63" i="192"/>
  <c r="K94" i="192" s="1"/>
  <c r="J63" i="192"/>
  <c r="J94" i="192" s="1"/>
  <c r="C63" i="192"/>
  <c r="AF62" i="192"/>
  <c r="AC63" i="192"/>
  <c r="AC94" i="192" s="1"/>
  <c r="X63" i="192"/>
  <c r="X94" i="192" s="1"/>
  <c r="W63" i="192"/>
  <c r="W94" i="192" s="1"/>
  <c r="U63" i="192"/>
  <c r="U94" i="192" s="1"/>
  <c r="T63" i="192"/>
  <c r="T94" i="192" s="1"/>
  <c r="R63" i="192"/>
  <c r="R94" i="192" s="1"/>
  <c r="I63" i="192"/>
  <c r="I94" i="192" s="1"/>
  <c r="AB58" i="192"/>
  <c r="AB93" i="192" s="1"/>
  <c r="AA58" i="192"/>
  <c r="AA93" i="192" s="1"/>
  <c r="Z58" i="192"/>
  <c r="Z93" i="192" s="1"/>
  <c r="Y58" i="192"/>
  <c r="Y93" i="192" s="1"/>
  <c r="X58" i="192"/>
  <c r="X93" i="192" s="1"/>
  <c r="W58" i="192"/>
  <c r="W93" i="192" s="1"/>
  <c r="V58" i="192"/>
  <c r="V93" i="192" s="1"/>
  <c r="U58" i="192"/>
  <c r="U93" i="192" s="1"/>
  <c r="O58" i="192"/>
  <c r="O93" i="192" s="1"/>
  <c r="N58" i="192"/>
  <c r="N93" i="192" s="1"/>
  <c r="M58" i="192"/>
  <c r="M93" i="192" s="1"/>
  <c r="L58" i="192"/>
  <c r="L93" i="192" s="1"/>
  <c r="K58" i="192"/>
  <c r="K93" i="192" s="1"/>
  <c r="J58" i="192"/>
  <c r="J93" i="192" s="1"/>
  <c r="I58" i="192"/>
  <c r="I93" i="192" s="1"/>
  <c r="H58" i="192"/>
  <c r="H93" i="192" s="1"/>
  <c r="G58" i="192"/>
  <c r="G93" i="192" s="1"/>
  <c r="C58" i="192"/>
  <c r="B58" i="192"/>
  <c r="B63" i="192" s="1"/>
  <c r="AG57" i="192"/>
  <c r="AH56" i="192"/>
  <c r="AG56" i="192"/>
  <c r="AF56" i="192"/>
  <c r="AG55" i="192"/>
  <c r="AG54" i="192"/>
  <c r="AG53" i="192"/>
  <c r="AF53" i="192"/>
  <c r="AF52" i="192"/>
  <c r="AH51" i="192"/>
  <c r="AH50" i="192"/>
  <c r="AG50" i="192"/>
  <c r="AF50" i="192"/>
  <c r="AH49" i="192"/>
  <c r="AG49" i="192"/>
  <c r="AF49" i="192"/>
  <c r="AG48" i="192"/>
  <c r="AH48" i="192"/>
  <c r="AG47" i="192"/>
  <c r="AH46" i="192"/>
  <c r="R58" i="192"/>
  <c r="R93" i="192" s="1"/>
  <c r="AG45" i="192"/>
  <c r="AF45" i="192"/>
  <c r="AH44" i="192"/>
  <c r="AF44" i="192"/>
  <c r="F58" i="192"/>
  <c r="F93" i="192" s="1"/>
  <c r="AC58" i="192"/>
  <c r="AC93" i="192" s="1"/>
  <c r="AH43" i="192"/>
  <c r="AH42" i="192"/>
  <c r="AF42" i="192"/>
  <c r="AH41" i="192"/>
  <c r="AG41" i="192"/>
  <c r="AF41" i="192"/>
  <c r="AH40" i="192"/>
  <c r="AG40" i="192"/>
  <c r="AF40" i="192"/>
  <c r="AH39" i="192"/>
  <c r="AH38" i="192"/>
  <c r="AG38" i="192"/>
  <c r="AF38" i="192"/>
  <c r="AH37" i="192"/>
  <c r="AG37" i="192"/>
  <c r="AF37" i="192"/>
  <c r="T58" i="192"/>
  <c r="T93" i="192" s="1"/>
  <c r="S58" i="192"/>
  <c r="S93" i="192" s="1"/>
  <c r="AH35" i="192"/>
  <c r="AG35" i="192"/>
  <c r="AF35" i="192"/>
  <c r="AH34" i="192"/>
  <c r="AG34" i="192"/>
  <c r="AF34" i="192"/>
  <c r="AC32" i="192"/>
  <c r="AC91" i="192" s="1"/>
  <c r="AB32" i="192"/>
  <c r="AB91" i="192" s="1"/>
  <c r="AA32" i="192"/>
  <c r="AA91" i="192" s="1"/>
  <c r="Z32" i="192"/>
  <c r="Z91" i="192" s="1"/>
  <c r="Y32" i="192"/>
  <c r="Y91" i="192" s="1"/>
  <c r="X32" i="192"/>
  <c r="X91" i="192" s="1"/>
  <c r="W32" i="192"/>
  <c r="W91" i="192" s="1"/>
  <c r="V32" i="192"/>
  <c r="V91" i="192" s="1"/>
  <c r="U32" i="192"/>
  <c r="U91" i="192" s="1"/>
  <c r="T32" i="192"/>
  <c r="T91" i="192" s="1"/>
  <c r="S32" i="192"/>
  <c r="S91" i="192" s="1"/>
  <c r="R32" i="192"/>
  <c r="R91" i="192" s="1"/>
  <c r="Q32" i="192"/>
  <c r="Q91" i="192" s="1"/>
  <c r="P32" i="192"/>
  <c r="P91" i="192" s="1"/>
  <c r="O32" i="192"/>
  <c r="O91" i="192" s="1"/>
  <c r="N32" i="192"/>
  <c r="N91" i="192" s="1"/>
  <c r="M32" i="192"/>
  <c r="M91" i="192" s="1"/>
  <c r="L32" i="192"/>
  <c r="L91" i="192" s="1"/>
  <c r="K32" i="192"/>
  <c r="K91" i="192" s="1"/>
  <c r="J32" i="192"/>
  <c r="J91" i="192" s="1"/>
  <c r="I32" i="192"/>
  <c r="I91" i="192" s="1"/>
  <c r="H32" i="192"/>
  <c r="H91" i="192" s="1"/>
  <c r="G32" i="192"/>
  <c r="G91" i="192" s="1"/>
  <c r="F32" i="192"/>
  <c r="F91" i="192" s="1"/>
  <c r="C32" i="192"/>
  <c r="B32" i="192"/>
  <c r="AH31" i="192"/>
  <c r="AG31" i="192"/>
  <c r="AF31" i="192"/>
  <c r="AI30" i="192"/>
  <c r="AC29" i="192"/>
  <c r="AC89" i="192" s="1"/>
  <c r="AB29" i="192"/>
  <c r="AA29" i="192"/>
  <c r="Z29" i="192"/>
  <c r="Y29" i="192"/>
  <c r="X29" i="192"/>
  <c r="X89" i="192" s="1"/>
  <c r="W29" i="192"/>
  <c r="W89" i="192" s="1"/>
  <c r="V29" i="192"/>
  <c r="V89" i="192" s="1"/>
  <c r="U29" i="192"/>
  <c r="U89" i="192" s="1"/>
  <c r="U103" i="192" s="1"/>
  <c r="T29" i="192"/>
  <c r="T89" i="192" s="1"/>
  <c r="S29" i="192"/>
  <c r="S89" i="192" s="1"/>
  <c r="R29" i="192"/>
  <c r="R89" i="192" s="1"/>
  <c r="Q29" i="192"/>
  <c r="Q89" i="192" s="1"/>
  <c r="P29" i="192"/>
  <c r="P89" i="192" s="1"/>
  <c r="O29" i="192"/>
  <c r="O89" i="192" s="1"/>
  <c r="N29" i="192"/>
  <c r="N89" i="192" s="1"/>
  <c r="M29" i="192"/>
  <c r="M89" i="192" s="1"/>
  <c r="L29" i="192"/>
  <c r="L89" i="192" s="1"/>
  <c r="K29" i="192"/>
  <c r="K89" i="192" s="1"/>
  <c r="J29" i="192"/>
  <c r="J89" i="192" s="1"/>
  <c r="I29" i="192"/>
  <c r="I89" i="192" s="1"/>
  <c r="H29" i="192"/>
  <c r="H89" i="192" s="1"/>
  <c r="G29" i="192"/>
  <c r="G89" i="192" s="1"/>
  <c r="F29" i="192"/>
  <c r="C29" i="192"/>
  <c r="B29" i="192"/>
  <c r="AH28" i="192"/>
  <c r="AG28" i="192"/>
  <c r="AF28" i="192"/>
  <c r="AH27" i="192"/>
  <c r="AG27" i="192"/>
  <c r="AF27" i="192"/>
  <c r="AI26" i="192"/>
  <c r="AC25" i="192"/>
  <c r="AB25" i="192"/>
  <c r="AB85" i="192" s="1"/>
  <c r="AA25" i="192"/>
  <c r="AA85" i="192" s="1"/>
  <c r="Z25" i="192"/>
  <c r="Z85" i="192" s="1"/>
  <c r="Y25" i="192"/>
  <c r="X25" i="192"/>
  <c r="W25" i="192"/>
  <c r="V25" i="192"/>
  <c r="U25" i="192"/>
  <c r="T25" i="192"/>
  <c r="S25" i="192"/>
  <c r="R25" i="192"/>
  <c r="Q25" i="192"/>
  <c r="P25" i="192"/>
  <c r="O25" i="192"/>
  <c r="N25" i="192"/>
  <c r="M25" i="192"/>
  <c r="L25" i="192"/>
  <c r="K25" i="192"/>
  <c r="J25" i="192"/>
  <c r="I25" i="192"/>
  <c r="H25" i="192"/>
  <c r="H85" i="192" s="1"/>
  <c r="G25" i="192"/>
  <c r="F25" i="192"/>
  <c r="C25" i="192"/>
  <c r="B25" i="192"/>
  <c r="AH24" i="192"/>
  <c r="AG24" i="192"/>
  <c r="AF24" i="192"/>
  <c r="AI23" i="192"/>
  <c r="AC22" i="192"/>
  <c r="AB22" i="192"/>
  <c r="AA22" i="192"/>
  <c r="Z22" i="192"/>
  <c r="Y22" i="192"/>
  <c r="X22" i="192"/>
  <c r="W22" i="192"/>
  <c r="V22" i="192"/>
  <c r="U22" i="192"/>
  <c r="T22" i="192"/>
  <c r="S22" i="192"/>
  <c r="R22" i="192"/>
  <c r="Q22" i="192"/>
  <c r="P22" i="192"/>
  <c r="O22" i="192"/>
  <c r="N22" i="192"/>
  <c r="M22" i="192"/>
  <c r="L22" i="192"/>
  <c r="L85" i="192" s="1"/>
  <c r="K22" i="192"/>
  <c r="K85" i="192" s="1"/>
  <c r="J22" i="192"/>
  <c r="I22" i="192"/>
  <c r="H22" i="192"/>
  <c r="G22" i="192"/>
  <c r="G85" i="192" s="1"/>
  <c r="F22" i="192"/>
  <c r="C22" i="192"/>
  <c r="B22" i="192"/>
  <c r="AH21" i="192"/>
  <c r="AG21" i="192"/>
  <c r="AF21" i="192"/>
  <c r="AH20" i="192"/>
  <c r="AG20" i="192"/>
  <c r="AF20" i="192"/>
  <c r="AH19" i="192"/>
  <c r="AG19" i="192"/>
  <c r="AF19" i="192"/>
  <c r="AI18" i="192"/>
  <c r="AC17" i="192"/>
  <c r="AC87" i="192" s="1"/>
  <c r="AB17" i="192"/>
  <c r="AB87" i="192" s="1"/>
  <c r="AA17" i="192"/>
  <c r="AA87" i="192" s="1"/>
  <c r="Z17" i="192"/>
  <c r="Z87" i="192" s="1"/>
  <c r="Y17" i="192"/>
  <c r="X17" i="192"/>
  <c r="X87" i="192" s="1"/>
  <c r="W17" i="192"/>
  <c r="W87" i="192" s="1"/>
  <c r="V17" i="192"/>
  <c r="V87" i="192" s="1"/>
  <c r="U17" i="192"/>
  <c r="T17" i="192"/>
  <c r="T87" i="192" s="1"/>
  <c r="S17" i="192"/>
  <c r="S87" i="192" s="1"/>
  <c r="R17" i="192"/>
  <c r="R87" i="192" s="1"/>
  <c r="Q17" i="192"/>
  <c r="Q87" i="192" s="1"/>
  <c r="P17" i="192"/>
  <c r="P87" i="192" s="1"/>
  <c r="O17" i="192"/>
  <c r="O87" i="192" s="1"/>
  <c r="N17" i="192"/>
  <c r="N87" i="192" s="1"/>
  <c r="M17" i="192"/>
  <c r="L17" i="192"/>
  <c r="K17" i="192"/>
  <c r="J17" i="192"/>
  <c r="I17" i="192"/>
  <c r="I87" i="192" s="1"/>
  <c r="H17" i="192"/>
  <c r="H87" i="192" s="1"/>
  <c r="G17" i="192"/>
  <c r="G87" i="192" s="1"/>
  <c r="F17" i="192"/>
  <c r="F87" i="192" s="1"/>
  <c r="C17" i="192"/>
  <c r="C79" i="192" s="1"/>
  <c r="B17" i="192"/>
  <c r="AH16" i="192"/>
  <c r="AG16" i="192"/>
  <c r="AF16" i="192"/>
  <c r="AH15" i="192"/>
  <c r="AG15" i="192"/>
  <c r="AF15" i="192"/>
  <c r="AH14" i="192"/>
  <c r="AG14" i="192"/>
  <c r="AF14" i="192"/>
  <c r="AH13" i="192"/>
  <c r="AG13" i="192"/>
  <c r="AF13" i="192"/>
  <c r="AI12" i="192"/>
  <c r="M9" i="192" a="1"/>
  <c r="M9" i="192" s="1"/>
  <c r="AC62" i="191"/>
  <c r="AC60" i="191"/>
  <c r="AC57" i="191"/>
  <c r="AC56" i="191"/>
  <c r="AC52" i="191"/>
  <c r="AC43" i="191"/>
  <c r="F144" i="88"/>
  <c r="F147" i="88"/>
  <c r="F145" i="88"/>
  <c r="F139" i="88"/>
  <c r="F137" i="88"/>
  <c r="F135" i="88"/>
  <c r="F172" i="88"/>
  <c r="AE51" i="157"/>
  <c r="F165" i="88"/>
  <c r="F174" i="88"/>
  <c r="F173" i="88"/>
  <c r="F168" i="88"/>
  <c r="F167" i="88"/>
  <c r="F30" i="88"/>
  <c r="F175" i="88"/>
  <c r="AE49" i="157"/>
  <c r="F150" i="88"/>
  <c r="F134" i="88"/>
  <c r="X62" i="191"/>
  <c r="X60" i="191"/>
  <c r="F129" i="88"/>
  <c r="X68" i="191"/>
  <c r="X69" i="191"/>
  <c r="X70" i="191"/>
  <c r="X73" i="191"/>
  <c r="AE47" i="157"/>
  <c r="W73" i="191"/>
  <c r="W70" i="191"/>
  <c r="W69" i="191"/>
  <c r="W68" i="191"/>
  <c r="W66" i="191"/>
  <c r="W61" i="191"/>
  <c r="W60" i="191"/>
  <c r="F159" i="88"/>
  <c r="AE46" i="157"/>
  <c r="V66" i="191"/>
  <c r="V70" i="191"/>
  <c r="V69" i="191"/>
  <c r="V68" i="191"/>
  <c r="V73" i="191"/>
  <c r="V61" i="191"/>
  <c r="V60" i="191"/>
  <c r="F133" i="88"/>
  <c r="F131" i="88"/>
  <c r="F164" i="88"/>
  <c r="AE45" i="157"/>
  <c r="AE44" i="157"/>
  <c r="AE48" i="157"/>
  <c r="AE50" i="157"/>
  <c r="AE52" i="157"/>
  <c r="U73" i="191"/>
  <c r="U70" i="191"/>
  <c r="U69" i="191"/>
  <c r="U68" i="191"/>
  <c r="U67" i="191"/>
  <c r="U66" i="191"/>
  <c r="U61" i="191"/>
  <c r="U60" i="191"/>
  <c r="F153" i="88"/>
  <c r="F142" i="88"/>
  <c r="F146" i="88"/>
  <c r="T67" i="191"/>
  <c r="T66" i="191"/>
  <c r="T61" i="191"/>
  <c r="T60" i="191"/>
  <c r="T57" i="191"/>
  <c r="T56" i="191"/>
  <c r="T55" i="191"/>
  <c r="T54" i="191"/>
  <c r="T53" i="191"/>
  <c r="T52" i="191"/>
  <c r="T51" i="191"/>
  <c r="T48" i="191"/>
  <c r="T47" i="191"/>
  <c r="T46" i="191"/>
  <c r="T45" i="191"/>
  <c r="T44" i="191"/>
  <c r="T43" i="191"/>
  <c r="T36" i="191"/>
  <c r="F154" i="88"/>
  <c r="F158" i="88"/>
  <c r="F156" i="88"/>
  <c r="AE43" i="157"/>
  <c r="S73" i="191"/>
  <c r="S70" i="191"/>
  <c r="S69" i="191"/>
  <c r="S67" i="191"/>
  <c r="S66" i="191"/>
  <c r="S61" i="191"/>
  <c r="S60" i="191"/>
  <c r="S57" i="191"/>
  <c r="S56" i="191"/>
  <c r="S55" i="191"/>
  <c r="S54" i="191"/>
  <c r="S53" i="191"/>
  <c r="S52" i="191"/>
  <c r="S51" i="191"/>
  <c r="S48" i="191"/>
  <c r="S47" i="191"/>
  <c r="S46" i="191"/>
  <c r="S45" i="191"/>
  <c r="S44" i="191"/>
  <c r="S43" i="191"/>
  <c r="S39" i="191"/>
  <c r="S36" i="191"/>
  <c r="F155" i="88"/>
  <c r="T69" i="191"/>
  <c r="T70" i="191"/>
  <c r="T73" i="191"/>
  <c r="AE42" i="157"/>
  <c r="R73" i="191"/>
  <c r="R70" i="191"/>
  <c r="R69" i="191"/>
  <c r="R67" i="191"/>
  <c r="R66" i="191"/>
  <c r="R61" i="191"/>
  <c r="R60" i="191"/>
  <c r="R57" i="191"/>
  <c r="R55" i="191"/>
  <c r="R54" i="191"/>
  <c r="R53" i="191"/>
  <c r="R52" i="191"/>
  <c r="R51" i="191"/>
  <c r="R48" i="191"/>
  <c r="R47" i="191"/>
  <c r="R46" i="191"/>
  <c r="R45" i="191"/>
  <c r="R44" i="191"/>
  <c r="R43" i="191"/>
  <c r="AE41" i="157"/>
  <c r="Q73" i="191"/>
  <c r="Q70" i="191"/>
  <c r="Q67" i="191"/>
  <c r="Q66" i="191"/>
  <c r="Q69" i="191"/>
  <c r="Q62" i="191"/>
  <c r="Q61" i="191"/>
  <c r="Q57" i="191"/>
  <c r="Q55" i="191"/>
  <c r="Q54" i="191"/>
  <c r="Q53" i="191"/>
  <c r="Q52" i="191"/>
  <c r="Q51" i="191"/>
  <c r="Q48" i="191"/>
  <c r="Q47" i="191"/>
  <c r="Q46" i="191"/>
  <c r="Q45" i="191"/>
  <c r="Q44" i="191"/>
  <c r="Q43" i="191"/>
  <c r="F82" i="88"/>
  <c r="F120" i="88"/>
  <c r="AE40" i="157"/>
  <c r="AE39" i="157"/>
  <c r="P89" i="191"/>
  <c r="F130" i="88"/>
  <c r="F151" i="88"/>
  <c r="F141" i="88"/>
  <c r="F140" i="88"/>
  <c r="F149" i="88"/>
  <c r="F132" i="88"/>
  <c r="F121" i="88"/>
  <c r="AE38" i="157"/>
  <c r="AE37" i="157"/>
  <c r="F138" i="88"/>
  <c r="F128" i="88"/>
  <c r="F126" i="88"/>
  <c r="F125" i="88"/>
  <c r="F127" i="88"/>
  <c r="F73" i="88"/>
  <c r="F123" i="88"/>
  <c r="BC153" i="157" a="1"/>
  <c r="BC136" i="157" a="1"/>
  <c r="AZ144" i="157" a="1"/>
  <c r="AZ142" i="157" a="1"/>
  <c r="BK146" i="157" a="1"/>
  <c r="AZ136" i="157" a="1"/>
  <c r="AZ143" i="157" a="1"/>
  <c r="BC153" i="157" l="1"/>
  <c r="AC97" i="195"/>
  <c r="AC107" i="195"/>
  <c r="AC101" i="195"/>
  <c r="AC106" i="195" s="1"/>
  <c r="AB107" i="195"/>
  <c r="AB101" i="195"/>
  <c r="AB106" i="195" s="1"/>
  <c r="AA107" i="195"/>
  <c r="AA101" i="195"/>
  <c r="AA106" i="195" s="1"/>
  <c r="Z107" i="195"/>
  <c r="Z101" i="195"/>
  <c r="Y107" i="195"/>
  <c r="Y101" i="195"/>
  <c r="Y106" i="195" s="1"/>
  <c r="X107" i="195"/>
  <c r="X101" i="195"/>
  <c r="W101" i="195"/>
  <c r="W106" i="195" s="1"/>
  <c r="BK146" i="157"/>
  <c r="V98" i="195"/>
  <c r="AZ144" i="157"/>
  <c r="T96" i="195"/>
  <c r="T101" i="195" s="1"/>
  <c r="T106" i="195" s="1"/>
  <c r="AZ143" i="157"/>
  <c r="S96" i="195"/>
  <c r="S101" i="195" s="1"/>
  <c r="S106" i="195" s="1"/>
  <c r="AZ142" i="157"/>
  <c r="R96" i="195"/>
  <c r="R101" i="195" s="1"/>
  <c r="R106" i="195" s="1"/>
  <c r="O101" i="195"/>
  <c r="O106" i="195" s="1"/>
  <c r="N101" i="195"/>
  <c r="N106" i="195" s="1"/>
  <c r="M107" i="195"/>
  <c r="M101" i="195"/>
  <c r="M106" i="195" s="1"/>
  <c r="BC136" i="157"/>
  <c r="L97" i="195"/>
  <c r="AZ136" i="157"/>
  <c r="L96" i="195"/>
  <c r="L101" i="195" s="1"/>
  <c r="L106" i="195" s="1"/>
  <c r="L107" i="195"/>
  <c r="K107" i="195"/>
  <c r="K101" i="195"/>
  <c r="J107" i="195"/>
  <c r="J101" i="195"/>
  <c r="I107" i="195"/>
  <c r="I101" i="195"/>
  <c r="I106" i="195" s="1"/>
  <c r="H107" i="195"/>
  <c r="H101" i="195"/>
  <c r="H106" i="195" s="1"/>
  <c r="G107" i="195"/>
  <c r="G101" i="195"/>
  <c r="F82" i="195"/>
  <c r="R82" i="195"/>
  <c r="T82" i="195"/>
  <c r="AC82" i="195"/>
  <c r="V82" i="195"/>
  <c r="S82" i="195"/>
  <c r="L82" i="195"/>
  <c r="X106" i="194"/>
  <c r="AA82" i="194"/>
  <c r="G82" i="194"/>
  <c r="F107" i="194"/>
  <c r="Y82" i="194"/>
  <c r="AB82" i="194"/>
  <c r="G106" i="195"/>
  <c r="F97" i="194"/>
  <c r="N89" i="193"/>
  <c r="AA81" i="193"/>
  <c r="AB81" i="193"/>
  <c r="V74" i="193"/>
  <c r="V89" i="193"/>
  <c r="V106" i="193" s="1"/>
  <c r="V81" i="193"/>
  <c r="X89" i="193"/>
  <c r="X106" i="193" s="1"/>
  <c r="X81" i="193"/>
  <c r="Y89" i="193"/>
  <c r="Y106" i="193" s="1"/>
  <c r="Y81" i="193"/>
  <c r="Z81" i="193"/>
  <c r="AC89" i="193"/>
  <c r="AC106" i="193" s="1"/>
  <c r="AC81" i="193"/>
  <c r="O89" i="193"/>
  <c r="O106" i="193" s="1"/>
  <c r="P89" i="193"/>
  <c r="P106" i="193" s="1"/>
  <c r="Q89" i="193"/>
  <c r="Q106" i="193" s="1"/>
  <c r="Q81" i="193"/>
  <c r="J89" i="193"/>
  <c r="J106" i="193" s="1"/>
  <c r="L89" i="193"/>
  <c r="L106" i="193" s="1"/>
  <c r="R89" i="193"/>
  <c r="R106" i="193" s="1"/>
  <c r="R81" i="193"/>
  <c r="S89" i="193"/>
  <c r="S81" i="193"/>
  <c r="T89" i="193"/>
  <c r="T106" i="193" s="1"/>
  <c r="T81" i="193"/>
  <c r="U89" i="193"/>
  <c r="U106" i="193" s="1"/>
  <c r="W89" i="193"/>
  <c r="W106" i="193" s="1"/>
  <c r="W81" i="193"/>
  <c r="L63" i="193"/>
  <c r="AH48" i="193"/>
  <c r="J74" i="193"/>
  <c r="AG54" i="193"/>
  <c r="AF65" i="193"/>
  <c r="O74" i="193"/>
  <c r="R97" i="194"/>
  <c r="Z98" i="194"/>
  <c r="Z106" i="194" s="1"/>
  <c r="AC98" i="194"/>
  <c r="AC106" i="194" s="1"/>
  <c r="S97" i="194"/>
  <c r="S106" i="194" s="1"/>
  <c r="Y97" i="194"/>
  <c r="Y106" i="194" s="1"/>
  <c r="AA98" i="194"/>
  <c r="AA106" i="194" s="1"/>
  <c r="F98" i="194"/>
  <c r="F106" i="194" s="1"/>
  <c r="F98" i="195"/>
  <c r="F101" i="195" s="1"/>
  <c r="Z106" i="195"/>
  <c r="K106" i="195"/>
  <c r="X106" i="195"/>
  <c r="J106" i="195"/>
  <c r="AB106" i="194"/>
  <c r="Q98" i="194"/>
  <c r="L98" i="194"/>
  <c r="S96" i="194"/>
  <c r="R96" i="194"/>
  <c r="G98" i="194"/>
  <c r="R98" i="194"/>
  <c r="L96" i="194"/>
  <c r="I98" i="194"/>
  <c r="J98" i="194"/>
  <c r="K98" i="194"/>
  <c r="Q96" i="194"/>
  <c r="V98" i="194"/>
  <c r="V106" i="194" s="1"/>
  <c r="T96" i="194"/>
  <c r="T106" i="194" s="1"/>
  <c r="U98" i="194"/>
  <c r="U106" i="194" s="1"/>
  <c r="P98" i="194"/>
  <c r="P96" i="194"/>
  <c r="N96" i="194"/>
  <c r="N106" i="194" s="1"/>
  <c r="L97" i="194"/>
  <c r="K97" i="194"/>
  <c r="J97" i="194"/>
  <c r="H98" i="194"/>
  <c r="H106" i="194" s="1"/>
  <c r="G97" i="194"/>
  <c r="AG63" i="194"/>
  <c r="AF63" i="194"/>
  <c r="AH63" i="194"/>
  <c r="I97" i="194"/>
  <c r="L87" i="193"/>
  <c r="AG65" i="193"/>
  <c r="B81" i="193"/>
  <c r="AF44" i="193"/>
  <c r="AG44" i="193"/>
  <c r="AH47" i="193"/>
  <c r="M63" i="193"/>
  <c r="L74" i="193"/>
  <c r="AF39" i="193"/>
  <c r="AG39" i="193"/>
  <c r="M74" i="193"/>
  <c r="AG55" i="193"/>
  <c r="P74" i="193"/>
  <c r="AG52" i="193"/>
  <c r="I74" i="193"/>
  <c r="N58" i="193"/>
  <c r="AG56" i="193"/>
  <c r="F74" i="193"/>
  <c r="F81" i="193" s="1"/>
  <c r="AH61" i="193"/>
  <c r="P87" i="193"/>
  <c r="N63" i="193"/>
  <c r="Q87" i="193"/>
  <c r="AH68" i="193"/>
  <c r="Y87" i="193"/>
  <c r="AG69" i="193"/>
  <c r="AG62" i="193"/>
  <c r="AF56" i="193"/>
  <c r="AF61" i="193"/>
  <c r="AG61" i="193"/>
  <c r="AB87" i="193"/>
  <c r="AH56" i="193"/>
  <c r="AC87" i="193"/>
  <c r="AH67" i="193"/>
  <c r="O58" i="193"/>
  <c r="O95" i="193" s="1"/>
  <c r="O87" i="193"/>
  <c r="N87" i="193"/>
  <c r="AF67" i="193"/>
  <c r="AG67" i="193"/>
  <c r="N74" i="193"/>
  <c r="M87" i="193"/>
  <c r="K74" i="193"/>
  <c r="H87" i="193"/>
  <c r="I87" i="193"/>
  <c r="F89" i="193"/>
  <c r="F106" i="193" s="1"/>
  <c r="K107" i="193"/>
  <c r="R87" i="193"/>
  <c r="Q107" i="193"/>
  <c r="R107" i="193"/>
  <c r="N107" i="193"/>
  <c r="X87" i="193"/>
  <c r="S87" i="193"/>
  <c r="W87" i="193"/>
  <c r="S107" i="193"/>
  <c r="O107" i="193"/>
  <c r="F87" i="193"/>
  <c r="Z87" i="193"/>
  <c r="S106" i="193"/>
  <c r="G87" i="193"/>
  <c r="AA87" i="193"/>
  <c r="J87" i="193"/>
  <c r="AH73" i="193"/>
  <c r="AF73" i="193"/>
  <c r="K87" i="193"/>
  <c r="V107" i="193"/>
  <c r="AF53" i="193"/>
  <c r="AG73" i="193"/>
  <c r="W107" i="193"/>
  <c r="AF48" i="193"/>
  <c r="AG53" i="193"/>
  <c r="AF70" i="193"/>
  <c r="AH70" i="193"/>
  <c r="X107" i="193"/>
  <c r="AG48" i="193"/>
  <c r="AG70" i="193"/>
  <c r="C81" i="193"/>
  <c r="Y107" i="193"/>
  <c r="AH36" i="193"/>
  <c r="AI33" i="193"/>
  <c r="AH62" i="193"/>
  <c r="AF62" i="193"/>
  <c r="N93" i="193"/>
  <c r="Z107" i="193"/>
  <c r="T87" i="193"/>
  <c r="AI59" i="193"/>
  <c r="U63" i="193"/>
  <c r="U81" i="193" s="1"/>
  <c r="G107" i="193"/>
  <c r="AA107" i="193"/>
  <c r="U107" i="193"/>
  <c r="H89" i="193"/>
  <c r="H106" i="193" s="1"/>
  <c r="H107" i="193"/>
  <c r="AB107" i="193"/>
  <c r="AB89" i="193"/>
  <c r="AB106" i="193" s="1"/>
  <c r="P58" i="193"/>
  <c r="AF68" i="193"/>
  <c r="G89" i="193"/>
  <c r="G106" i="193" s="1"/>
  <c r="I107" i="193"/>
  <c r="I89" i="193"/>
  <c r="I106" i="193" s="1"/>
  <c r="G58" i="193"/>
  <c r="AH45" i="193"/>
  <c r="R93" i="193"/>
  <c r="AF60" i="193"/>
  <c r="P107" i="193"/>
  <c r="F107" i="193"/>
  <c r="AI64" i="193"/>
  <c r="AH66" i="193"/>
  <c r="AF66" i="193"/>
  <c r="M107" i="193"/>
  <c r="M58" i="193"/>
  <c r="T107" i="193"/>
  <c r="H63" i="193"/>
  <c r="H81" i="193" s="1"/>
  <c r="AG40" i="193"/>
  <c r="I63" i="193"/>
  <c r="AA89" i="193"/>
  <c r="AA106" i="193" s="1"/>
  <c r="AH60" i="193"/>
  <c r="G74" i="193"/>
  <c r="AG66" i="193"/>
  <c r="AF40" i="193"/>
  <c r="AH57" i="193"/>
  <c r="AG57" i="193"/>
  <c r="Z89" i="193"/>
  <c r="Z106" i="193" s="1"/>
  <c r="U87" i="193"/>
  <c r="J63" i="193"/>
  <c r="AG60" i="193"/>
  <c r="AH69" i="193"/>
  <c r="AF69" i="193"/>
  <c r="AG45" i="193"/>
  <c r="N106" i="193"/>
  <c r="V87" i="193"/>
  <c r="AF57" i="193"/>
  <c r="K63" i="193"/>
  <c r="K81" i="193" s="1"/>
  <c r="AG42" i="193"/>
  <c r="AF54" i="193"/>
  <c r="AG37" i="193"/>
  <c r="K89" i="193"/>
  <c r="K106" i="193" s="1"/>
  <c r="AF46" i="193"/>
  <c r="AH54" i="193"/>
  <c r="AG46" i="193"/>
  <c r="AG38" i="193"/>
  <c r="AF43" i="193"/>
  <c r="AF55" i="193"/>
  <c r="AC107" i="193"/>
  <c r="AH46" i="193"/>
  <c r="AH43" i="193"/>
  <c r="AH55" i="193"/>
  <c r="J107" i="193"/>
  <c r="AH38" i="193"/>
  <c r="AF47" i="193"/>
  <c r="G63" i="193"/>
  <c r="AF52" i="193"/>
  <c r="L107" i="193"/>
  <c r="AF42" i="193"/>
  <c r="AF37" i="193"/>
  <c r="M89" i="193"/>
  <c r="M106" i="193" s="1"/>
  <c r="AG43" i="193"/>
  <c r="Y85" i="192"/>
  <c r="T103" i="192"/>
  <c r="R103" i="192"/>
  <c r="AG42" i="192"/>
  <c r="P104" i="192"/>
  <c r="Q104" i="192"/>
  <c r="M74" i="192"/>
  <c r="AH66" i="192"/>
  <c r="AH69" i="192"/>
  <c r="AH70" i="192"/>
  <c r="AG70" i="192"/>
  <c r="I85" i="192"/>
  <c r="H74" i="192"/>
  <c r="AH73" i="192"/>
  <c r="AI59" i="192"/>
  <c r="G63" i="192"/>
  <c r="AF61" i="192"/>
  <c r="I97" i="192"/>
  <c r="I102" i="192" s="1"/>
  <c r="AC79" i="192"/>
  <c r="J79" i="192"/>
  <c r="AB79" i="192"/>
  <c r="Y79" i="192"/>
  <c r="V103" i="192"/>
  <c r="W103" i="192"/>
  <c r="J104" i="192"/>
  <c r="S103" i="192"/>
  <c r="O103" i="192"/>
  <c r="X103" i="192"/>
  <c r="N103" i="192"/>
  <c r="P103" i="192"/>
  <c r="Q103" i="192"/>
  <c r="P79" i="192"/>
  <c r="R85" i="192"/>
  <c r="S85" i="192"/>
  <c r="S102" i="192" s="1"/>
  <c r="U85" i="192"/>
  <c r="V85" i="192"/>
  <c r="O104" i="192"/>
  <c r="W85" i="192"/>
  <c r="W97" i="192" s="1"/>
  <c r="W102" i="192" s="1"/>
  <c r="T85" i="192"/>
  <c r="X85" i="192"/>
  <c r="K104" i="192"/>
  <c r="U79" i="192"/>
  <c r="L104" i="192"/>
  <c r="M104" i="192"/>
  <c r="Z79" i="192"/>
  <c r="N104" i="192"/>
  <c r="R104" i="192"/>
  <c r="V97" i="192"/>
  <c r="V102" i="192" s="1"/>
  <c r="S104" i="192"/>
  <c r="T104" i="192"/>
  <c r="AA79" i="192"/>
  <c r="U104" i="192"/>
  <c r="V104" i="192"/>
  <c r="M79" i="192"/>
  <c r="W104" i="192"/>
  <c r="N79" i="192"/>
  <c r="X104" i="192"/>
  <c r="O79" i="192"/>
  <c r="I103" i="192"/>
  <c r="U97" i="192"/>
  <c r="U102" i="192" s="1"/>
  <c r="T97" i="192"/>
  <c r="G103" i="192"/>
  <c r="S79" i="192"/>
  <c r="X97" i="192"/>
  <c r="X102" i="192" s="1"/>
  <c r="T79" i="192"/>
  <c r="AC103" i="192"/>
  <c r="H103" i="192"/>
  <c r="Z97" i="192"/>
  <c r="Z102" i="192" s="1"/>
  <c r="R97" i="192"/>
  <c r="R102" i="192" s="1"/>
  <c r="W79" i="192"/>
  <c r="B79" i="192"/>
  <c r="X79" i="192"/>
  <c r="AF51" i="192"/>
  <c r="AG36" i="192"/>
  <c r="Q58" i="192"/>
  <c r="AG60" i="192"/>
  <c r="AG52" i="192"/>
  <c r="AG62" i="192"/>
  <c r="M85" i="192"/>
  <c r="AH52" i="192"/>
  <c r="AH62" i="192"/>
  <c r="R79" i="192"/>
  <c r="J87" i="192"/>
  <c r="J103" i="192" s="1"/>
  <c r="F89" i="192"/>
  <c r="F103" i="192" s="1"/>
  <c r="Z89" i="192"/>
  <c r="Z103" i="192" s="1"/>
  <c r="F104" i="192"/>
  <c r="Z104" i="192"/>
  <c r="AF39" i="192"/>
  <c r="AF46" i="192"/>
  <c r="AF55" i="192"/>
  <c r="O85" i="192"/>
  <c r="O97" i="192" s="1"/>
  <c r="O102" i="192" s="1"/>
  <c r="K87" i="192"/>
  <c r="K103" i="192" s="1"/>
  <c r="AA89" i="192"/>
  <c r="AA103" i="192" s="1"/>
  <c r="G104" i="192"/>
  <c r="AA104" i="192"/>
  <c r="H79" i="192"/>
  <c r="N85" i="192"/>
  <c r="N97" i="192" s="1"/>
  <c r="N102" i="192" s="1"/>
  <c r="AI33" i="192"/>
  <c r="AG39" i="192"/>
  <c r="AG46" i="192"/>
  <c r="AF69" i="192"/>
  <c r="P85" i="192"/>
  <c r="P97" i="192" s="1"/>
  <c r="P102" i="192" s="1"/>
  <c r="L87" i="192"/>
  <c r="L103" i="192" s="1"/>
  <c r="AB89" i="192"/>
  <c r="AB103" i="192" s="1"/>
  <c r="H104" i="192"/>
  <c r="AB104" i="192"/>
  <c r="AH47" i="192"/>
  <c r="AH36" i="192"/>
  <c r="AH45" i="192"/>
  <c r="F63" i="192"/>
  <c r="AG69" i="192"/>
  <c r="Q85" i="192"/>
  <c r="M87" i="192"/>
  <c r="M103" i="192" s="1"/>
  <c r="I104" i="192"/>
  <c r="AC104" i="192"/>
  <c r="AF47" i="192"/>
  <c r="AF36" i="192"/>
  <c r="Y104" i="192"/>
  <c r="V79" i="192"/>
  <c r="F74" i="192"/>
  <c r="G74" i="192"/>
  <c r="AF54" i="192"/>
  <c r="AF67" i="192"/>
  <c r="L79" i="192"/>
  <c r="J85" i="192"/>
  <c r="J97" i="192" s="1"/>
  <c r="J102" i="192" s="1"/>
  <c r="AF60" i="192"/>
  <c r="AF43" i="192"/>
  <c r="AH60" i="192"/>
  <c r="AF66" i="192"/>
  <c r="K79" i="192"/>
  <c r="AC85" i="192"/>
  <c r="AC97" i="192" s="1"/>
  <c r="AC102" i="192" s="1"/>
  <c r="Y87" i="192"/>
  <c r="Y103" i="192" s="1"/>
  <c r="AF48" i="192"/>
  <c r="AH57" i="192"/>
  <c r="AF73" i="192"/>
  <c r="AH68" i="192"/>
  <c r="AG51" i="192"/>
  <c r="I79" i="192"/>
  <c r="AF57" i="192"/>
  <c r="AG43" i="192"/>
  <c r="AI64" i="192"/>
  <c r="AE36" i="157"/>
  <c r="AF73" i="191"/>
  <c r="M63" i="191"/>
  <c r="M94" i="191" s="1"/>
  <c r="L74" i="191"/>
  <c r="L62" i="191"/>
  <c r="L61" i="191"/>
  <c r="F124" i="88"/>
  <c r="AE35" i="157"/>
  <c r="F83" i="88"/>
  <c r="L66" i="191"/>
  <c r="L69" i="191"/>
  <c r="L70" i="191"/>
  <c r="L73" i="191"/>
  <c r="K73" i="191"/>
  <c r="K70" i="191"/>
  <c r="K69" i="191"/>
  <c r="K66" i="191"/>
  <c r="AE34" i="157"/>
  <c r="F6" i="88"/>
  <c r="J73" i="191"/>
  <c r="J70" i="191"/>
  <c r="AG70" i="191" s="1"/>
  <c r="J69" i="191"/>
  <c r="J66" i="191"/>
  <c r="AE33" i="157"/>
  <c r="F114" i="88"/>
  <c r="I73" i="191"/>
  <c r="I70" i="191"/>
  <c r="I69" i="191"/>
  <c r="I66" i="191"/>
  <c r="I62" i="191"/>
  <c r="I60" i="191"/>
  <c r="F111" i="88"/>
  <c r="F122" i="88"/>
  <c r="AE32" i="157"/>
  <c r="H62" i="191"/>
  <c r="H60" i="191"/>
  <c r="F94" i="88"/>
  <c r="AE31" i="157"/>
  <c r="H66" i="191"/>
  <c r="H68" i="191"/>
  <c r="H69" i="191"/>
  <c r="H70" i="191"/>
  <c r="H73" i="191"/>
  <c r="G73" i="191"/>
  <c r="G70" i="191"/>
  <c r="G69" i="191"/>
  <c r="G68" i="191"/>
  <c r="G66" i="191"/>
  <c r="F97" i="88"/>
  <c r="F115" i="88"/>
  <c r="F92" i="88"/>
  <c r="F91" i="88"/>
  <c r="F89" i="88"/>
  <c r="F90" i="88"/>
  <c r="F87" i="88"/>
  <c r="AG62" i="191"/>
  <c r="G58" i="191"/>
  <c r="G93" i="191" s="1"/>
  <c r="AH55" i="191"/>
  <c r="F73" i="191"/>
  <c r="F70" i="191"/>
  <c r="F69" i="191"/>
  <c r="F68" i="191"/>
  <c r="F67" i="191"/>
  <c r="F66" i="191"/>
  <c r="AE30" i="157"/>
  <c r="AF68" i="191"/>
  <c r="F62" i="191"/>
  <c r="F60" i="191"/>
  <c r="F56" i="191"/>
  <c r="F55" i="191"/>
  <c r="F54" i="191"/>
  <c r="F48" i="191"/>
  <c r="F47" i="191"/>
  <c r="F45" i="191"/>
  <c r="F44" i="191"/>
  <c r="F84" i="88"/>
  <c r="F81" i="88"/>
  <c r="F103" i="88"/>
  <c r="AE28" i="157"/>
  <c r="F78" i="191"/>
  <c r="F96" i="191" s="1"/>
  <c r="F74" i="191"/>
  <c r="F95" i="191" s="1"/>
  <c r="AF61" i="191"/>
  <c r="F58" i="191"/>
  <c r="F32" i="191"/>
  <c r="F29" i="191"/>
  <c r="F89" i="191" s="1"/>
  <c r="F25" i="191"/>
  <c r="F22" i="191"/>
  <c r="F17" i="191"/>
  <c r="AC73" i="190"/>
  <c r="AC70" i="190"/>
  <c r="AC69" i="190"/>
  <c r="AC68" i="190"/>
  <c r="AC67" i="190"/>
  <c r="AC66" i="190"/>
  <c r="AC61" i="190"/>
  <c r="AC60" i="190"/>
  <c r="AB73" i="190"/>
  <c r="AB70" i="190"/>
  <c r="AB69" i="190"/>
  <c r="AB68" i="190"/>
  <c r="AB67" i="190"/>
  <c r="AB66" i="190"/>
  <c r="F85" i="88"/>
  <c r="F88" i="88"/>
  <c r="AC121" i="191"/>
  <c r="AB121" i="191"/>
  <c r="AA121" i="191"/>
  <c r="Z121" i="191"/>
  <c r="Y121" i="191"/>
  <c r="X121" i="191"/>
  <c r="W121" i="191"/>
  <c r="V121" i="191"/>
  <c r="U121" i="191"/>
  <c r="T121" i="191"/>
  <c r="S121" i="191"/>
  <c r="R121" i="191"/>
  <c r="Q121" i="191"/>
  <c r="P121" i="191"/>
  <c r="O121" i="191"/>
  <c r="N121" i="191"/>
  <c r="M121" i="191"/>
  <c r="L121" i="191"/>
  <c r="K121" i="191"/>
  <c r="J121" i="191"/>
  <c r="I121" i="191"/>
  <c r="H121" i="191"/>
  <c r="G121" i="191"/>
  <c r="F121" i="191"/>
  <c r="AC101" i="191"/>
  <c r="AB101" i="191"/>
  <c r="AA101" i="191"/>
  <c r="Z101" i="191"/>
  <c r="X101" i="191"/>
  <c r="W101" i="191"/>
  <c r="V101" i="191"/>
  <c r="U101" i="191"/>
  <c r="T101" i="191"/>
  <c r="S101" i="191"/>
  <c r="R101" i="191"/>
  <c r="Q101" i="191"/>
  <c r="P101" i="191"/>
  <c r="O101" i="191"/>
  <c r="N101" i="191"/>
  <c r="M101" i="191"/>
  <c r="L101" i="191"/>
  <c r="K101" i="191"/>
  <c r="J101" i="191"/>
  <c r="I101" i="191"/>
  <c r="H101" i="191"/>
  <c r="G101" i="191"/>
  <c r="F101" i="191"/>
  <c r="Y101" i="191"/>
  <c r="AB96" i="191"/>
  <c r="AA96" i="191"/>
  <c r="Y96" i="191"/>
  <c r="X96" i="191"/>
  <c r="T96" i="191"/>
  <c r="V95" i="191"/>
  <c r="AC94" i="191"/>
  <c r="AB94" i="191"/>
  <c r="AA94" i="191"/>
  <c r="K91" i="191"/>
  <c r="R89" i="191"/>
  <c r="Q89" i="191"/>
  <c r="AC78" i="191"/>
  <c r="AC96" i="191" s="1"/>
  <c r="AB78" i="191"/>
  <c r="AA78" i="191"/>
  <c r="Z78" i="191"/>
  <c r="Z96" i="191" s="1"/>
  <c r="Y78" i="191"/>
  <c r="X78" i="191"/>
  <c r="W78" i="191"/>
  <c r="W96" i="191" s="1"/>
  <c r="V78" i="191"/>
  <c r="V96" i="191" s="1"/>
  <c r="U78" i="191"/>
  <c r="U96" i="191" s="1"/>
  <c r="T78" i="191"/>
  <c r="S78" i="191"/>
  <c r="S96" i="191" s="1"/>
  <c r="R78" i="191"/>
  <c r="R96" i="191" s="1"/>
  <c r="Q78" i="191"/>
  <c r="Q96" i="191" s="1"/>
  <c r="P78" i="191"/>
  <c r="P96" i="191" s="1"/>
  <c r="O78" i="191"/>
  <c r="O96" i="191" s="1"/>
  <c r="N78" i="191"/>
  <c r="N96" i="191" s="1"/>
  <c r="M78" i="191"/>
  <c r="M96" i="191" s="1"/>
  <c r="L78" i="191"/>
  <c r="L96" i="191" s="1"/>
  <c r="K78" i="191"/>
  <c r="K96" i="191" s="1"/>
  <c r="J78" i="191"/>
  <c r="J96" i="191" s="1"/>
  <c r="I78" i="191"/>
  <c r="I96" i="191" s="1"/>
  <c r="H78" i="191"/>
  <c r="H96" i="191" s="1"/>
  <c r="G78" i="191"/>
  <c r="G96" i="191" s="1"/>
  <c r="C78" i="191"/>
  <c r="B78" i="191"/>
  <c r="AH77" i="191"/>
  <c r="AG77" i="191"/>
  <c r="AF77" i="191"/>
  <c r="AH76" i="191"/>
  <c r="AG76" i="191"/>
  <c r="AF76" i="191"/>
  <c r="AI75" i="191"/>
  <c r="AA74" i="191"/>
  <c r="AA95" i="191" s="1"/>
  <c r="Z74" i="191"/>
  <c r="Z95" i="191" s="1"/>
  <c r="Y74" i="191"/>
  <c r="Y95" i="191" s="1"/>
  <c r="X74" i="191"/>
  <c r="X95" i="191" s="1"/>
  <c r="V74" i="191"/>
  <c r="U74" i="191"/>
  <c r="U95" i="191" s="1"/>
  <c r="T74" i="191"/>
  <c r="T95" i="191" s="1"/>
  <c r="S74" i="191"/>
  <c r="S95" i="191" s="1"/>
  <c r="R74" i="191"/>
  <c r="R95" i="191" s="1"/>
  <c r="Q74" i="191"/>
  <c r="Q95" i="191" s="1"/>
  <c r="P74" i="191"/>
  <c r="P95" i="191" s="1"/>
  <c r="O74" i="191"/>
  <c r="O95" i="191" s="1"/>
  <c r="N74" i="191"/>
  <c r="N95" i="191" s="1"/>
  <c r="M74" i="191"/>
  <c r="M95" i="191" s="1"/>
  <c r="I74" i="191"/>
  <c r="I95" i="191" s="1"/>
  <c r="H74" i="191"/>
  <c r="H95" i="191" s="1"/>
  <c r="C74" i="191"/>
  <c r="B74" i="191"/>
  <c r="AH72" i="191"/>
  <c r="AG72" i="191"/>
  <c r="AF72" i="191"/>
  <c r="AH71" i="191"/>
  <c r="AG71" i="191"/>
  <c r="AF71" i="191"/>
  <c r="AH70" i="191"/>
  <c r="AF70" i="191"/>
  <c r="AH68" i="191"/>
  <c r="AG68" i="191"/>
  <c r="AH67" i="191"/>
  <c r="AC74" i="191"/>
  <c r="AC95" i="191" s="1"/>
  <c r="AB74" i="191"/>
  <c r="AB95" i="191" s="1"/>
  <c r="W74" i="191"/>
  <c r="W95" i="191" s="1"/>
  <c r="AH65" i="191"/>
  <c r="AC63" i="191"/>
  <c r="AB63" i="191"/>
  <c r="AA63" i="191"/>
  <c r="Z63" i="191"/>
  <c r="Z94" i="191" s="1"/>
  <c r="Y63" i="191"/>
  <c r="Y94" i="191" s="1"/>
  <c r="X63" i="191"/>
  <c r="X94" i="191" s="1"/>
  <c r="W63" i="191"/>
  <c r="W94" i="191" s="1"/>
  <c r="V63" i="191"/>
  <c r="V94" i="191" s="1"/>
  <c r="U63" i="191"/>
  <c r="U94" i="191" s="1"/>
  <c r="T63" i="191"/>
  <c r="T94" i="191" s="1"/>
  <c r="S63" i="191"/>
  <c r="S94" i="191" s="1"/>
  <c r="R63" i="191"/>
  <c r="R94" i="191" s="1"/>
  <c r="P63" i="191"/>
  <c r="P94" i="191" s="1"/>
  <c r="O63" i="191"/>
  <c r="O94" i="191" s="1"/>
  <c r="N63" i="191"/>
  <c r="N94" i="191" s="1"/>
  <c r="C63" i="191"/>
  <c r="B63" i="191"/>
  <c r="J63" i="191"/>
  <c r="J94" i="191" s="1"/>
  <c r="I63" i="191"/>
  <c r="I94" i="191" s="1"/>
  <c r="H63" i="191"/>
  <c r="H94" i="191" s="1"/>
  <c r="AG61" i="191"/>
  <c r="AG60" i="191"/>
  <c r="AF60" i="191"/>
  <c r="Q63" i="191"/>
  <c r="Q94" i="191" s="1"/>
  <c r="L63" i="191"/>
  <c r="L94" i="191" s="1"/>
  <c r="K63" i="191"/>
  <c r="K94" i="191" s="1"/>
  <c r="AI59" i="191"/>
  <c r="AC58" i="191"/>
  <c r="AC93" i="191" s="1"/>
  <c r="AB58" i="191"/>
  <c r="AB93" i="191" s="1"/>
  <c r="AA58" i="191"/>
  <c r="AA93" i="191" s="1"/>
  <c r="Z58" i="191"/>
  <c r="Z93" i="191" s="1"/>
  <c r="Y58" i="191"/>
  <c r="Y93" i="191" s="1"/>
  <c r="X58" i="191"/>
  <c r="X93" i="191" s="1"/>
  <c r="W58" i="191"/>
  <c r="W93" i="191" s="1"/>
  <c r="V58" i="191"/>
  <c r="V93" i="191" s="1"/>
  <c r="U58" i="191"/>
  <c r="U93" i="191" s="1"/>
  <c r="T58" i="191"/>
  <c r="T93" i="191" s="1"/>
  <c r="P58" i="191"/>
  <c r="P93" i="191" s="1"/>
  <c r="O58" i="191"/>
  <c r="O93" i="191" s="1"/>
  <c r="N58" i="191"/>
  <c r="N93" i="191" s="1"/>
  <c r="M58" i="191"/>
  <c r="M93" i="191" s="1"/>
  <c r="L58" i="191"/>
  <c r="L93" i="191" s="1"/>
  <c r="K58" i="191"/>
  <c r="K93" i="191" s="1"/>
  <c r="J58" i="191"/>
  <c r="J93" i="191" s="1"/>
  <c r="I58" i="191"/>
  <c r="I93" i="191" s="1"/>
  <c r="H58" i="191"/>
  <c r="H93" i="191" s="1"/>
  <c r="C58" i="191"/>
  <c r="B58" i="191"/>
  <c r="AH56" i="191"/>
  <c r="AG56" i="191"/>
  <c r="AH54" i="191"/>
  <c r="AH53" i="191"/>
  <c r="AH51" i="191"/>
  <c r="AH50" i="191"/>
  <c r="AH49" i="191"/>
  <c r="AG49" i="191"/>
  <c r="AF49" i="191"/>
  <c r="S58" i="191"/>
  <c r="S93" i="191" s="1"/>
  <c r="R58" i="191"/>
  <c r="R93" i="191" s="1"/>
  <c r="AH47" i="191"/>
  <c r="AG47" i="191"/>
  <c r="AG46" i="191"/>
  <c r="AF46" i="191"/>
  <c r="AF45" i="191"/>
  <c r="AH44" i="191"/>
  <c r="AG42" i="191"/>
  <c r="AH41" i="191"/>
  <c r="AG41" i="191"/>
  <c r="AF41" i="191"/>
  <c r="AH40" i="191"/>
  <c r="AG38" i="191"/>
  <c r="AH38" i="191"/>
  <c r="AF37" i="191"/>
  <c r="AH35" i="191"/>
  <c r="AG35" i="191"/>
  <c r="AF35" i="191"/>
  <c r="AH34" i="191"/>
  <c r="AG34" i="191"/>
  <c r="AF34" i="191"/>
  <c r="AC32" i="191"/>
  <c r="AC91" i="191" s="1"/>
  <c r="AB32" i="191"/>
  <c r="AB91" i="191" s="1"/>
  <c r="AA32" i="191"/>
  <c r="AA91" i="191" s="1"/>
  <c r="Z32" i="191"/>
  <c r="Z91" i="191" s="1"/>
  <c r="Y32" i="191"/>
  <c r="Y91" i="191" s="1"/>
  <c r="X32" i="191"/>
  <c r="X91" i="191" s="1"/>
  <c r="W32" i="191"/>
  <c r="W91" i="191" s="1"/>
  <c r="V32" i="191"/>
  <c r="V91" i="191" s="1"/>
  <c r="U32" i="191"/>
  <c r="U91" i="191" s="1"/>
  <c r="T32" i="191"/>
  <c r="T91" i="191" s="1"/>
  <c r="S32" i="191"/>
  <c r="S91" i="191" s="1"/>
  <c r="R32" i="191"/>
  <c r="Q32" i="191"/>
  <c r="Q91" i="191" s="1"/>
  <c r="P32" i="191"/>
  <c r="P91" i="191" s="1"/>
  <c r="O32" i="191"/>
  <c r="O91" i="191" s="1"/>
  <c r="N32" i="191"/>
  <c r="M32" i="191"/>
  <c r="L32" i="191"/>
  <c r="L91" i="191" s="1"/>
  <c r="K32" i="191"/>
  <c r="J32" i="191"/>
  <c r="J91" i="191" s="1"/>
  <c r="I32" i="191"/>
  <c r="I91" i="191" s="1"/>
  <c r="H32" i="191"/>
  <c r="H91" i="191" s="1"/>
  <c r="G32" i="191"/>
  <c r="G91" i="191" s="1"/>
  <c r="F91" i="191"/>
  <c r="C32" i="191"/>
  <c r="B32" i="191"/>
  <c r="AH31" i="191"/>
  <c r="AG31" i="191"/>
  <c r="AF31" i="191"/>
  <c r="AI30" i="191"/>
  <c r="AC29" i="191"/>
  <c r="AC89" i="191" s="1"/>
  <c r="AB29" i="191"/>
  <c r="AB89" i="191" s="1"/>
  <c r="AA29" i="191"/>
  <c r="AA89" i="191" s="1"/>
  <c r="Z29" i="191"/>
  <c r="Z89" i="191" s="1"/>
  <c r="Y29" i="191"/>
  <c r="Y89" i="191" s="1"/>
  <c r="X29" i="191"/>
  <c r="X89" i="191" s="1"/>
  <c r="W29" i="191"/>
  <c r="W89" i="191" s="1"/>
  <c r="V29" i="191"/>
  <c r="V89" i="191" s="1"/>
  <c r="U29" i="191"/>
  <c r="U89" i="191" s="1"/>
  <c r="T29" i="191"/>
  <c r="T89" i="191" s="1"/>
  <c r="S29" i="191"/>
  <c r="S89" i="191" s="1"/>
  <c r="R29" i="191"/>
  <c r="Q29" i="191"/>
  <c r="P29" i="191"/>
  <c r="O29" i="191"/>
  <c r="O89" i="191" s="1"/>
  <c r="N29" i="191"/>
  <c r="N89" i="191" s="1"/>
  <c r="M29" i="191"/>
  <c r="M89" i="191" s="1"/>
  <c r="L29" i="191"/>
  <c r="L89" i="191" s="1"/>
  <c r="K29" i="191"/>
  <c r="K89" i="191" s="1"/>
  <c r="J29" i="191"/>
  <c r="J89" i="191" s="1"/>
  <c r="I29" i="191"/>
  <c r="I89" i="191" s="1"/>
  <c r="H29" i="191"/>
  <c r="H89" i="191" s="1"/>
  <c r="G29" i="191"/>
  <c r="G89" i="191" s="1"/>
  <c r="C29" i="191"/>
  <c r="B29" i="191"/>
  <c r="AH28" i="191"/>
  <c r="AG28" i="191"/>
  <c r="AF28" i="191"/>
  <c r="AH27" i="191"/>
  <c r="AG27" i="191"/>
  <c r="AF27" i="191"/>
  <c r="AI26" i="191"/>
  <c r="AC25" i="191"/>
  <c r="AB25" i="191"/>
  <c r="AA25" i="191"/>
  <c r="Z25" i="191"/>
  <c r="Y25" i="191"/>
  <c r="X25" i="191"/>
  <c r="X85" i="191" s="1"/>
  <c r="W25" i="191"/>
  <c r="V25" i="191"/>
  <c r="U25" i="191"/>
  <c r="T25" i="191"/>
  <c r="S25" i="191"/>
  <c r="R25" i="191"/>
  <c r="Q25" i="191"/>
  <c r="P25" i="191"/>
  <c r="O25" i="191"/>
  <c r="N25" i="191"/>
  <c r="M25" i="191"/>
  <c r="L25" i="191"/>
  <c r="K25" i="191"/>
  <c r="J25" i="191"/>
  <c r="I25" i="191"/>
  <c r="H25" i="191"/>
  <c r="G25" i="191"/>
  <c r="C25" i="191"/>
  <c r="B25" i="191"/>
  <c r="AH24" i="191"/>
  <c r="AG24" i="191"/>
  <c r="AF24" i="191"/>
  <c r="AI23" i="191"/>
  <c r="AC22" i="191"/>
  <c r="AB22" i="191"/>
  <c r="AA22" i="191"/>
  <c r="Z22" i="191"/>
  <c r="Y22" i="191"/>
  <c r="X22" i="191"/>
  <c r="W22" i="191"/>
  <c r="V22" i="191"/>
  <c r="U22" i="191"/>
  <c r="T22" i="191"/>
  <c r="S22" i="191"/>
  <c r="R22" i="191"/>
  <c r="Q22" i="191"/>
  <c r="P22" i="191"/>
  <c r="O22" i="191"/>
  <c r="N22" i="191"/>
  <c r="N85" i="191" s="1"/>
  <c r="M22" i="191"/>
  <c r="M85" i="191" s="1"/>
  <c r="L22" i="191"/>
  <c r="K22" i="191"/>
  <c r="K85" i="191" s="1"/>
  <c r="J22" i="191"/>
  <c r="J85" i="191" s="1"/>
  <c r="I22" i="191"/>
  <c r="H22" i="191"/>
  <c r="G22" i="191"/>
  <c r="C22" i="191"/>
  <c r="B22" i="191"/>
  <c r="AH21" i="191"/>
  <c r="AG21" i="191"/>
  <c r="AF21" i="191"/>
  <c r="AH20" i="191"/>
  <c r="AG20" i="191"/>
  <c r="AF20" i="191"/>
  <c r="AH19" i="191"/>
  <c r="AG19" i="191"/>
  <c r="AF19" i="191"/>
  <c r="AI18" i="191"/>
  <c r="AC17" i="191"/>
  <c r="AB17" i="191"/>
  <c r="AA17" i="191"/>
  <c r="Z17" i="191"/>
  <c r="Y17" i="191"/>
  <c r="X17" i="191"/>
  <c r="W17" i="191"/>
  <c r="V17" i="191"/>
  <c r="V87" i="191" s="1"/>
  <c r="U17" i="191"/>
  <c r="U87" i="191" s="1"/>
  <c r="T17" i="191"/>
  <c r="T87" i="191" s="1"/>
  <c r="S17" i="191"/>
  <c r="S87" i="191" s="1"/>
  <c r="R17" i="191"/>
  <c r="R87" i="191" s="1"/>
  <c r="R103" i="191" s="1"/>
  <c r="Q17" i="191"/>
  <c r="Q87" i="191" s="1"/>
  <c r="P17" i="191"/>
  <c r="P87" i="191" s="1"/>
  <c r="O17" i="191"/>
  <c r="O87" i="191" s="1"/>
  <c r="N17" i="191"/>
  <c r="N87" i="191" s="1"/>
  <c r="M17" i="191"/>
  <c r="L17" i="191"/>
  <c r="K17" i="191"/>
  <c r="J17" i="191"/>
  <c r="J87" i="191" s="1"/>
  <c r="I17" i="191"/>
  <c r="H17" i="191"/>
  <c r="G17" i="191"/>
  <c r="C17" i="191"/>
  <c r="B17" i="191"/>
  <c r="AH16" i="191"/>
  <c r="AG16" i="191"/>
  <c r="AF16" i="191"/>
  <c r="AH15" i="191"/>
  <c r="AG15" i="191"/>
  <c r="AF15" i="191"/>
  <c r="AH14" i="191"/>
  <c r="AG14" i="191"/>
  <c r="AF14" i="191"/>
  <c r="AH13" i="191"/>
  <c r="AG13" i="191"/>
  <c r="AF13" i="191"/>
  <c r="AI12" i="191"/>
  <c r="M9" i="191" a="1"/>
  <c r="M9" i="191" s="1"/>
  <c r="F96" i="88"/>
  <c r="F95" i="88"/>
  <c r="AE27" i="157"/>
  <c r="F86" i="88"/>
  <c r="F99" i="88"/>
  <c r="F117" i="88"/>
  <c r="F100" i="88"/>
  <c r="F116" i="88"/>
  <c r="F118" i="88"/>
  <c r="AE26" i="157"/>
  <c r="AE25" i="157"/>
  <c r="F107" i="88"/>
  <c r="AE24" i="157"/>
  <c r="F119" i="88"/>
  <c r="Y98" i="190"/>
  <c r="AE23" i="157"/>
  <c r="F104" i="88"/>
  <c r="F79" i="88"/>
  <c r="F110" i="88"/>
  <c r="F105" i="88"/>
  <c r="AE22" i="157"/>
  <c r="AE21" i="157"/>
  <c r="W73" i="190"/>
  <c r="W70" i="190"/>
  <c r="W69" i="190"/>
  <c r="W68" i="190"/>
  <c r="W67" i="190"/>
  <c r="W66" i="190"/>
  <c r="F93" i="88"/>
  <c r="F16" i="88"/>
  <c r="F108" i="88"/>
  <c r="AE20" i="157"/>
  <c r="F106" i="88"/>
  <c r="AE19" i="157"/>
  <c r="P5" i="177" a="1"/>
  <c r="P5" i="177" l="1"/>
  <c r="V101" i="195"/>
  <c r="V106" i="195" s="1"/>
  <c r="F106" i="195"/>
  <c r="P106" i="194"/>
  <c r="N81" i="193"/>
  <c r="M81" i="193"/>
  <c r="J81" i="193"/>
  <c r="L81" i="193"/>
  <c r="Y105" i="193"/>
  <c r="G81" i="193"/>
  <c r="Q105" i="193"/>
  <c r="O81" i="193"/>
  <c r="I81" i="193"/>
  <c r="P81" i="193"/>
  <c r="V97" i="193"/>
  <c r="J97" i="193"/>
  <c r="L96" i="193"/>
  <c r="O97" i="193"/>
  <c r="O105" i="193"/>
  <c r="I106" i="194"/>
  <c r="Q106" i="194"/>
  <c r="L106" i="194"/>
  <c r="J106" i="194"/>
  <c r="G106" i="194"/>
  <c r="K106" i="194"/>
  <c r="R106" i="194"/>
  <c r="M97" i="193"/>
  <c r="L97" i="193"/>
  <c r="M96" i="193"/>
  <c r="Z105" i="193"/>
  <c r="V105" i="193"/>
  <c r="I97" i="193"/>
  <c r="AC105" i="193"/>
  <c r="W105" i="193"/>
  <c r="AA105" i="193"/>
  <c r="P97" i="193"/>
  <c r="AB105" i="193"/>
  <c r="S105" i="193"/>
  <c r="X105" i="193"/>
  <c r="T105" i="193"/>
  <c r="N95" i="193"/>
  <c r="N96" i="193"/>
  <c r="U96" i="193"/>
  <c r="P95" i="193"/>
  <c r="N97" i="193"/>
  <c r="K97" i="193"/>
  <c r="K96" i="193"/>
  <c r="J96" i="193"/>
  <c r="I96" i="193"/>
  <c r="F96" i="193"/>
  <c r="F97" i="193"/>
  <c r="R105" i="193"/>
  <c r="G97" i="193"/>
  <c r="G95" i="193"/>
  <c r="H96" i="193"/>
  <c r="G96" i="193"/>
  <c r="M95" i="193"/>
  <c r="AB97" i="192"/>
  <c r="AB102" i="192" s="1"/>
  <c r="Q93" i="192"/>
  <c r="Q97" i="192" s="1"/>
  <c r="Q102" i="192" s="1"/>
  <c r="M95" i="192"/>
  <c r="L97" i="192"/>
  <c r="L102" i="192" s="1"/>
  <c r="H95" i="192"/>
  <c r="H97" i="192" s="1"/>
  <c r="H102" i="192" s="1"/>
  <c r="G94" i="192"/>
  <c r="G95" i="192"/>
  <c r="G97" i="192" s="1"/>
  <c r="G102" i="192" s="1"/>
  <c r="F94" i="192"/>
  <c r="F95" i="192"/>
  <c r="F97" i="192"/>
  <c r="F102" i="192" s="1"/>
  <c r="M97" i="192"/>
  <c r="M102" i="192" s="1"/>
  <c r="Y97" i="192"/>
  <c r="Y102" i="192" s="1"/>
  <c r="G79" i="192"/>
  <c r="K97" i="192"/>
  <c r="K102" i="192" s="1"/>
  <c r="F79" i="192"/>
  <c r="AA97" i="192"/>
  <c r="AA102" i="192" s="1"/>
  <c r="Q79" i="192"/>
  <c r="AA85" i="191"/>
  <c r="W85" i="191"/>
  <c r="T103" i="191"/>
  <c r="S103" i="191"/>
  <c r="L85" i="191"/>
  <c r="J74" i="191"/>
  <c r="AB85" i="191"/>
  <c r="AH62" i="191"/>
  <c r="AF62" i="191"/>
  <c r="G74" i="191"/>
  <c r="F63" i="191"/>
  <c r="AH60" i="191"/>
  <c r="L104" i="191"/>
  <c r="N103" i="191"/>
  <c r="U85" i="191"/>
  <c r="V85" i="191"/>
  <c r="K104" i="191"/>
  <c r="Y85" i="191"/>
  <c r="N79" i="191"/>
  <c r="N104" i="191"/>
  <c r="V103" i="191"/>
  <c r="F85" i="191"/>
  <c r="Z85" i="191"/>
  <c r="P79" i="191"/>
  <c r="M79" i="191"/>
  <c r="G85" i="191"/>
  <c r="H85" i="191"/>
  <c r="AB79" i="191"/>
  <c r="R104" i="191"/>
  <c r="M104" i="191"/>
  <c r="U103" i="191"/>
  <c r="O79" i="191"/>
  <c r="AA79" i="191"/>
  <c r="I85" i="191"/>
  <c r="I97" i="191" s="1"/>
  <c r="I102" i="191" s="1"/>
  <c r="AC85" i="191"/>
  <c r="AG39" i="191"/>
  <c r="AF39" i="191"/>
  <c r="AH39" i="191"/>
  <c r="AH57" i="191"/>
  <c r="AG57" i="191"/>
  <c r="AI64" i="191"/>
  <c r="AG66" i="191"/>
  <c r="AH66" i="191"/>
  <c r="AF48" i="191"/>
  <c r="L79" i="191"/>
  <c r="W79" i="191"/>
  <c r="W104" i="191"/>
  <c r="X104" i="191"/>
  <c r="X79" i="191"/>
  <c r="H79" i="191"/>
  <c r="Y79" i="191"/>
  <c r="Y104" i="191"/>
  <c r="Y87" i="191"/>
  <c r="Y103" i="191" s="1"/>
  <c r="AF66" i="191"/>
  <c r="X87" i="191"/>
  <c r="X103" i="191" s="1"/>
  <c r="AH45" i="191"/>
  <c r="AB104" i="191"/>
  <c r="AC104" i="191"/>
  <c r="AF42" i="191"/>
  <c r="O85" i="191"/>
  <c r="O97" i="191" s="1"/>
  <c r="O102" i="191" s="1"/>
  <c r="P85" i="191"/>
  <c r="P97" i="191" s="1"/>
  <c r="P102" i="191" s="1"/>
  <c r="AH42" i="191"/>
  <c r="P104" i="191"/>
  <c r="Q85" i="191"/>
  <c r="AH43" i="191"/>
  <c r="AF43" i="191"/>
  <c r="AG43" i="191"/>
  <c r="K74" i="191"/>
  <c r="Q104" i="191"/>
  <c r="C79" i="191"/>
  <c r="S79" i="191"/>
  <c r="S104" i="191"/>
  <c r="AI33" i="191"/>
  <c r="AG36" i="191"/>
  <c r="AH36" i="191"/>
  <c r="AF36" i="191"/>
  <c r="AG45" i="191"/>
  <c r="G104" i="191"/>
  <c r="O104" i="191"/>
  <c r="R85" i="191"/>
  <c r="AF51" i="191"/>
  <c r="O103" i="191"/>
  <c r="S85" i="191"/>
  <c r="S97" i="191" s="1"/>
  <c r="S102" i="191" s="1"/>
  <c r="AG51" i="191"/>
  <c r="W87" i="191"/>
  <c r="W103" i="191" s="1"/>
  <c r="F104" i="191"/>
  <c r="F87" i="191"/>
  <c r="F103" i="191" s="1"/>
  <c r="AF54" i="191"/>
  <c r="AC79" i="191"/>
  <c r="P103" i="191"/>
  <c r="T85" i="191"/>
  <c r="T97" i="191" s="1"/>
  <c r="T102" i="191" s="1"/>
  <c r="AF38" i="191"/>
  <c r="M91" i="191"/>
  <c r="V104" i="191"/>
  <c r="V79" i="191"/>
  <c r="Z79" i="191"/>
  <c r="Z87" i="191"/>
  <c r="Z103" i="191" s="1"/>
  <c r="Z104" i="191"/>
  <c r="T79" i="191"/>
  <c r="T104" i="191"/>
  <c r="J79" i="191"/>
  <c r="AA104" i="191"/>
  <c r="J103" i="191"/>
  <c r="AG54" i="191"/>
  <c r="Q103" i="191"/>
  <c r="AH52" i="191"/>
  <c r="AG52" i="191"/>
  <c r="AF52" i="191"/>
  <c r="U104" i="191"/>
  <c r="U79" i="191"/>
  <c r="B79" i="191"/>
  <c r="AF57" i="191"/>
  <c r="I79" i="191"/>
  <c r="R79" i="191"/>
  <c r="H104" i="191"/>
  <c r="I104" i="191"/>
  <c r="U97" i="191"/>
  <c r="U102" i="191" s="1"/>
  <c r="AF69" i="191"/>
  <c r="AH69" i="191"/>
  <c r="AG69" i="191"/>
  <c r="N91" i="191"/>
  <c r="N97" i="191" s="1"/>
  <c r="N102" i="191" s="1"/>
  <c r="V97" i="191"/>
  <c r="V102" i="191" s="1"/>
  <c r="AH48" i="191"/>
  <c r="AG48" i="191"/>
  <c r="Q58" i="191"/>
  <c r="R91" i="191"/>
  <c r="G87" i="191"/>
  <c r="G103" i="191" s="1"/>
  <c r="AA87" i="191"/>
  <c r="AA103" i="191" s="1"/>
  <c r="G63" i="191"/>
  <c r="H87" i="191"/>
  <c r="H103" i="191" s="1"/>
  <c r="AB87" i="191"/>
  <c r="AB103" i="191" s="1"/>
  <c r="I87" i="191"/>
  <c r="I103" i="191" s="1"/>
  <c r="AC87" i="191"/>
  <c r="AC103" i="191" s="1"/>
  <c r="AG67" i="191"/>
  <c r="K87" i="191"/>
  <c r="K103" i="191" s="1"/>
  <c r="AF40" i="191"/>
  <c r="M87" i="191"/>
  <c r="M103" i="191" s="1"/>
  <c r="AF55" i="191"/>
  <c r="L87" i="191"/>
  <c r="L103" i="191" s="1"/>
  <c r="AG40" i="191"/>
  <c r="AF65" i="191"/>
  <c r="AG37" i="191"/>
  <c r="AF44" i="191"/>
  <c r="AG50" i="191"/>
  <c r="AF53" i="191"/>
  <c r="AG65" i="191"/>
  <c r="AG73" i="191"/>
  <c r="J104" i="191"/>
  <c r="AF67" i="191"/>
  <c r="AG55" i="191"/>
  <c r="AH46" i="191"/>
  <c r="AF50" i="191"/>
  <c r="AH37" i="191"/>
  <c r="AG44" i="191"/>
  <c r="AG53" i="191"/>
  <c r="AH61" i="191"/>
  <c r="AH73" i="191"/>
  <c r="AF47" i="191"/>
  <c r="AF56" i="191"/>
  <c r="Z55" i="157" a="1"/>
  <c r="R99" i="157" a="1"/>
  <c r="N80" i="157" a="1"/>
  <c r="V53" i="157" a="1"/>
  <c r="V58" i="157" a="1"/>
  <c r="Z46" i="157" a="1"/>
  <c r="G32" i="157" a="1"/>
  <c r="AH56" i="157" a="1"/>
  <c r="AQ44" i="157" a="1"/>
  <c r="AN78" i="157" a="1"/>
  <c r="G69" i="157" a="1"/>
  <c r="N68" i="157" a="1"/>
  <c r="G46" i="157" a="1"/>
  <c r="Z89" i="157" a="1"/>
  <c r="R40" i="157" a="1"/>
  <c r="G84" i="157" a="1"/>
  <c r="G41" i="157" a="1"/>
  <c r="G37" i="157" a="1"/>
  <c r="R57" i="157" a="1"/>
  <c r="R56" i="157" a="1"/>
  <c r="G68" i="157" a="1"/>
  <c r="AQ56" i="157" a="1"/>
  <c r="AQ65" i="157" a="1"/>
  <c r="Z83" i="157" a="1"/>
  <c r="G91" i="157" a="1"/>
  <c r="J50" i="157" a="1"/>
  <c r="Z66" i="157" a="1"/>
  <c r="Z52" i="157" a="1"/>
  <c r="AD98" i="157" a="1"/>
  <c r="J41" i="157" a="1"/>
  <c r="G49" i="157" a="1"/>
  <c r="Z90" i="157" a="1"/>
  <c r="AD93" i="157" a="1"/>
  <c r="N75" i="157" a="1"/>
  <c r="AH35" i="157" a="1"/>
  <c r="AH101" i="157" a="1"/>
  <c r="AQ69" i="157" a="1"/>
  <c r="AD94" i="157" a="1"/>
  <c r="AN42" i="157" a="1"/>
  <c r="V69" i="157" a="1"/>
  <c r="G30" i="157" a="1"/>
  <c r="N97" i="157" a="1"/>
  <c r="J55" i="157" a="1"/>
  <c r="R38" i="157" a="1"/>
  <c r="R36" i="157" a="1"/>
  <c r="Z37" i="157" a="1"/>
  <c r="N81" i="157" a="1"/>
  <c r="G89" i="157" a="1"/>
  <c r="Z65" i="157" a="1"/>
  <c r="R89" i="157" a="1"/>
  <c r="AH52" i="157" a="1"/>
  <c r="AH78" i="157" a="1"/>
  <c r="Z93" i="157" a="1"/>
  <c r="AQ84" i="157" a="1"/>
  <c r="J49" i="157" a="1"/>
  <c r="J70" i="157" a="1"/>
  <c r="R91" i="157" a="1"/>
  <c r="AQ36" i="157" a="1"/>
  <c r="V81" i="157" a="1"/>
  <c r="AN92" i="157" a="1"/>
  <c r="R95" i="157" a="1"/>
  <c r="AH102" i="157" a="1"/>
  <c r="AH97" i="157" a="1"/>
  <c r="AN75" i="157" a="1"/>
  <c r="AQ88" i="157" a="1"/>
  <c r="J65" i="157" a="1"/>
  <c r="Z39" i="157" a="1"/>
  <c r="V57" i="157" a="1"/>
  <c r="AD36" i="157" a="1"/>
  <c r="V46" i="157" a="1"/>
  <c r="J68" i="157" a="1"/>
  <c r="J44" i="157" a="1"/>
  <c r="R42" i="157" a="1"/>
  <c r="R32" i="157" a="1"/>
  <c r="AQ34" i="157" a="1"/>
  <c r="AQ98" i="157" a="1"/>
  <c r="N39" i="157" a="1"/>
  <c r="N46" i="157" a="1"/>
  <c r="R94" i="157" a="1"/>
  <c r="R63" i="157" a="1"/>
  <c r="AQ100" i="157" a="1"/>
  <c r="J88" i="157" a="1"/>
  <c r="R102" i="157" a="1"/>
  <c r="AH77" i="157" a="1"/>
  <c r="AQ40" i="157" a="1"/>
  <c r="J102" i="157" a="1"/>
  <c r="R66" i="157" a="1"/>
  <c r="AQ52" i="157" a="1"/>
  <c r="R59" i="157" a="1"/>
  <c r="AD35" i="157" a="1"/>
  <c r="AN77" i="157" a="1"/>
  <c r="G52" i="157" a="1"/>
  <c r="AN96" i="157" a="1"/>
  <c r="AD71" i="157" a="1"/>
  <c r="AH49" i="157" a="1"/>
  <c r="N65" i="157" a="1"/>
  <c r="AQ85" i="157" a="1"/>
  <c r="Z45" i="157" a="1"/>
  <c r="N66" i="157" a="1"/>
  <c r="Z81" i="157" a="1"/>
  <c r="J57" i="157" a="1"/>
  <c r="AD31" i="157" a="1"/>
  <c r="AN87" i="157" a="1"/>
  <c r="AN67" i="157" a="1"/>
  <c r="AD53" i="157" a="1"/>
  <c r="AH72" i="157" a="1"/>
  <c r="J80" i="157" a="1"/>
  <c r="AH43" i="157" a="1"/>
  <c r="AN33" i="157" a="1"/>
  <c r="N72" i="157" a="1"/>
  <c r="AH42" i="157" a="1"/>
  <c r="G57" i="157" a="1"/>
  <c r="N98" i="157" a="1"/>
  <c r="AH61" i="157" a="1"/>
  <c r="V68" i="157" a="1"/>
  <c r="AH67" i="157" a="1"/>
  <c r="J90" i="157" a="1"/>
  <c r="AQ73" i="157" a="1"/>
  <c r="V82" i="157" a="1"/>
  <c r="AN83" i="157" a="1"/>
  <c r="V42" i="157" a="1"/>
  <c r="R76" i="157" a="1"/>
  <c r="G99" i="157" a="1"/>
  <c r="N31" i="157" a="1"/>
  <c r="G36" i="157" a="1"/>
  <c r="AH58" i="157" a="1"/>
  <c r="AN68" i="157" a="1"/>
  <c r="V90" i="157" a="1"/>
  <c r="AH95" i="157" a="1"/>
  <c r="R45" i="157" a="1"/>
  <c r="N78" i="157" a="1"/>
  <c r="N89" i="157" a="1"/>
  <c r="AH68" i="157" a="1"/>
  <c r="BK126" i="157" a="1"/>
  <c r="AD43" i="157" a="1"/>
  <c r="Z87" i="157" a="1"/>
  <c r="AQ64" i="157" a="1"/>
  <c r="J40" i="157" a="1"/>
  <c r="V95" i="157" a="1"/>
  <c r="N53" i="157" a="1"/>
  <c r="AH63" i="157" a="1"/>
  <c r="V51" i="157" a="1"/>
  <c r="AH64" i="157" a="1"/>
  <c r="Z78" i="157" a="1"/>
  <c r="AN58" i="157" a="1"/>
  <c r="J47" i="157" a="1"/>
  <c r="G40" i="157" a="1"/>
  <c r="G39" i="157" a="1"/>
  <c r="AQ101" i="157" a="1"/>
  <c r="G45" i="157" a="1"/>
  <c r="R69" i="157" a="1"/>
  <c r="BC109" i="157" a="1"/>
  <c r="J51" i="157" a="1"/>
  <c r="AD45" i="157" a="1"/>
  <c r="N52" i="157" a="1"/>
  <c r="N37" i="157" a="1"/>
  <c r="AQ37" i="157" a="1"/>
  <c r="BK130" i="157" a="1"/>
  <c r="N32" i="157" a="1"/>
  <c r="N34" i="157" a="1"/>
  <c r="AD84" i="157" a="1"/>
  <c r="AH84" i="157" a="1"/>
  <c r="G65" i="157" a="1"/>
  <c r="BK117" i="157" a="1"/>
  <c r="AD89" i="157" a="1"/>
  <c r="AD64" i="157" a="1"/>
  <c r="AD88" i="157" a="1"/>
  <c r="Z94" i="157" a="1"/>
  <c r="AH103" i="157" a="1"/>
  <c r="AD82" i="157" a="1"/>
  <c r="AD85" i="157" a="1"/>
  <c r="AD52" i="157" a="1"/>
  <c r="R72" i="157" a="1"/>
  <c r="G100" i="157" a="1"/>
  <c r="V67" i="157" a="1"/>
  <c r="AQ82" i="157" a="1"/>
  <c r="BK116" i="157" a="1"/>
  <c r="AQ62" i="157" a="1"/>
  <c r="Z71" i="157" a="1"/>
  <c r="J31" i="157" a="1"/>
  <c r="AN100" i="157" a="1"/>
  <c r="G43" i="157" a="1"/>
  <c r="G70" i="157" a="1"/>
  <c r="N64" i="157" a="1"/>
  <c r="AN91" i="157" a="1"/>
  <c r="V91" i="157" a="1"/>
  <c r="J82" i="157" a="1"/>
  <c r="V73" i="157" a="1"/>
  <c r="AD72" i="157" a="1"/>
  <c r="N55" i="157" a="1"/>
  <c r="R41" i="157" a="1"/>
  <c r="J58" i="157" a="1"/>
  <c r="AD69" i="157" a="1"/>
  <c r="AQ74" i="157" a="1"/>
  <c r="Z74" i="157" a="1"/>
  <c r="AH99" i="157" a="1"/>
  <c r="G97" i="157" a="1"/>
  <c r="G61" i="157" a="1"/>
  <c r="Z53" i="157" a="1"/>
  <c r="AN84" i="157" a="1"/>
  <c r="AD90" i="157" a="1"/>
  <c r="J92" i="157" a="1"/>
  <c r="R65" i="157" a="1"/>
  <c r="N99" i="157" a="1"/>
  <c r="AH40" i="157" a="1"/>
  <c r="AQ93" i="157" a="1"/>
  <c r="AN39" i="157" a="1"/>
  <c r="N76" i="157" a="1"/>
  <c r="R98" i="157" a="1"/>
  <c r="Z33" i="157" a="1"/>
  <c r="AH74" i="157" a="1"/>
  <c r="G93" i="157" a="1"/>
  <c r="N100" i="157" a="1"/>
  <c r="Z97" i="157" a="1"/>
  <c r="Z91" i="157" a="1"/>
  <c r="AQ95" i="157" a="1"/>
  <c r="AD100" i="157" a="1"/>
  <c r="R90" i="157" a="1"/>
  <c r="R81" i="157" a="1"/>
  <c r="G50" i="157" a="1"/>
  <c r="AQ66" i="157" a="1"/>
  <c r="AH39" i="157" a="1"/>
  <c r="J36" i="157" a="1"/>
  <c r="G48" i="157" a="1"/>
  <c r="AD37" i="157" a="1"/>
  <c r="G62" i="157" a="1"/>
  <c r="AD51" i="157" a="1"/>
  <c r="AD33" i="157" a="1"/>
  <c r="AH38" i="157" a="1"/>
  <c r="V62" i="157" a="1"/>
  <c r="AD58" i="157" a="1"/>
  <c r="AN74" i="157" a="1"/>
  <c r="G87" i="157" a="1"/>
  <c r="BC106" i="157" a="1"/>
  <c r="Z59" i="157" a="1"/>
  <c r="AD81" i="157" a="1"/>
  <c r="Z64" i="157" a="1"/>
  <c r="Z61" i="157" a="1"/>
  <c r="AN73" i="157" a="1"/>
  <c r="R44" i="157" a="1"/>
  <c r="AD32" i="157" a="1"/>
  <c r="AD70" i="157" a="1"/>
  <c r="R60" i="157" a="1"/>
  <c r="AQ30" i="157" a="1"/>
  <c r="J67" i="157" a="1"/>
  <c r="G86" i="157" a="1"/>
  <c r="AN46" i="157" a="1"/>
  <c r="AD65" i="157" a="1"/>
  <c r="R47" i="157" a="1"/>
  <c r="Z88" i="157" a="1"/>
  <c r="Z49" i="157" a="1"/>
  <c r="V61" i="157" a="1"/>
  <c r="N93" i="157" a="1"/>
  <c r="G66" i="157" a="1"/>
  <c r="Z31" i="157" a="1"/>
  <c r="V43" i="157" a="1"/>
  <c r="R103" i="157" a="1"/>
  <c r="BK125" i="157" a="1"/>
  <c r="R30" i="157" a="1"/>
  <c r="G72" i="157" a="1"/>
  <c r="R52" i="157" a="1"/>
  <c r="BK110" i="157" a="1"/>
  <c r="AD103" i="157" a="1"/>
  <c r="Z47" i="157" a="1"/>
  <c r="G67" i="157" a="1"/>
  <c r="AD30" i="157" a="1"/>
  <c r="AD50" i="157" a="1"/>
  <c r="G51" i="157" a="1"/>
  <c r="R88" i="157" a="1"/>
  <c r="V50" i="157" a="1"/>
  <c r="AH94" i="157" a="1"/>
  <c r="Z80" i="157" a="1"/>
  <c r="Z63" i="157" a="1"/>
  <c r="J85" i="157" a="1"/>
  <c r="J52" i="157" a="1"/>
  <c r="R86" i="157" a="1"/>
  <c r="AH71" i="157" a="1"/>
  <c r="AQ61" i="157" a="1"/>
  <c r="AQ33" i="157" a="1"/>
  <c r="N92" i="157" a="1"/>
  <c r="V63" i="157" a="1"/>
  <c r="R31" i="157" a="1"/>
  <c r="G76" i="157" a="1"/>
  <c r="AH88" i="157" a="1"/>
  <c r="AQ67" i="157" a="1"/>
  <c r="BK109" i="157" a="1"/>
  <c r="AQ92" i="157" a="1"/>
  <c r="N62" i="157" a="1"/>
  <c r="V44" i="157" a="1"/>
  <c r="V94" i="157" a="1"/>
  <c r="J37" i="157" a="1"/>
  <c r="J45" i="157" a="1"/>
  <c r="AD91" i="157" a="1"/>
  <c r="AN45" i="157" a="1"/>
  <c r="J59" i="157" a="1"/>
  <c r="AD61" i="157" a="1"/>
  <c r="N63" i="157" a="1"/>
  <c r="R82" i="157" a="1"/>
  <c r="V100" i="157" a="1"/>
  <c r="Z36" i="157" a="1"/>
  <c r="AQ77" i="157" a="1"/>
  <c r="V65" i="157" a="1"/>
  <c r="J89" i="157" a="1"/>
  <c r="G35" i="157" a="1"/>
  <c r="AQ89" i="157" a="1"/>
  <c r="AD80" i="157" a="1"/>
  <c r="Z96" i="157" a="1"/>
  <c r="N36" i="157" a="1"/>
  <c r="N40" i="157" a="1"/>
  <c r="AQ42" i="157" a="1"/>
  <c r="J81" i="157" a="1"/>
  <c r="AN38" i="157" a="1"/>
  <c r="G74" i="157" a="1"/>
  <c r="AQ63" i="157" a="1"/>
  <c r="N61" i="157" a="1"/>
  <c r="R68" i="157" a="1"/>
  <c r="J32" i="157" a="1"/>
  <c r="R51" i="157" a="1"/>
  <c r="AH33" i="157" a="1"/>
  <c r="J94" i="157" a="1"/>
  <c r="AN35" i="157" a="1"/>
  <c r="AH59" i="157" a="1"/>
  <c r="AH92" i="157" a="1"/>
  <c r="G92" i="157" a="1"/>
  <c r="J53" i="157" a="1"/>
  <c r="AN88" i="157" a="1"/>
  <c r="AH66" i="157" a="1"/>
  <c r="G95" i="157" a="1"/>
  <c r="R85" i="157" a="1"/>
  <c r="AQ57" i="157" a="1"/>
  <c r="AD97" i="157" a="1"/>
  <c r="G53" i="157" a="1"/>
  <c r="AD49" i="157" a="1"/>
  <c r="AH87" i="157" a="1"/>
  <c r="AQ43" i="157" a="1"/>
  <c r="BC110" i="157" a="1"/>
  <c r="V32" i="157" a="1"/>
  <c r="V93" i="157" a="1"/>
  <c r="N87" i="157" a="1"/>
  <c r="AQ50" i="157" a="1"/>
  <c r="N38" i="157" a="1"/>
  <c r="V71" i="157" a="1"/>
  <c r="AQ94" i="157" a="1"/>
  <c r="V39" i="157" a="1"/>
  <c r="AQ99" i="157" a="1"/>
  <c r="AH96" i="157" a="1"/>
  <c r="J73" i="157" a="1"/>
  <c r="AD41" i="157" a="1"/>
  <c r="AD63" i="157" a="1"/>
  <c r="N70" i="157" a="1"/>
  <c r="N82" i="157" a="1"/>
  <c r="V78" i="157" a="1"/>
  <c r="AD83" i="157" a="1"/>
  <c r="V36" i="157" a="1"/>
  <c r="N84" i="157" a="1"/>
  <c r="AN60" i="157" a="1"/>
  <c r="R53" i="157" a="1"/>
  <c r="G78" i="157" a="1"/>
  <c r="Z98" i="157" a="1"/>
  <c r="AH62" i="157" a="1"/>
  <c r="AN90" i="157" a="1"/>
  <c r="G103" i="157" a="1"/>
  <c r="V80" i="157" a="1"/>
  <c r="J74" i="157" a="1"/>
  <c r="N96" i="157" a="1"/>
  <c r="AH98" i="157" a="1"/>
  <c r="Z70" i="157" a="1"/>
  <c r="R97" i="157" a="1"/>
  <c r="Z40" i="157" a="1"/>
  <c r="AD73" i="157" a="1"/>
  <c r="AD95" i="157" a="1"/>
  <c r="AN32" i="157" a="1"/>
  <c r="V52" i="157" a="1"/>
  <c r="J61" i="157" a="1"/>
  <c r="R58" i="157" a="1"/>
  <c r="Z72" i="157" a="1"/>
  <c r="J33" i="157" a="1"/>
  <c r="AD62" i="157" a="1"/>
  <c r="G83" i="157" a="1"/>
  <c r="V47" i="157" a="1"/>
  <c r="V97" i="157" a="1"/>
  <c r="AH41" i="157" a="1"/>
  <c r="Z102" i="157" a="1"/>
  <c r="AD48" i="157" a="1"/>
  <c r="AN98" i="157" a="1"/>
  <c r="AQ75" i="157" a="1"/>
  <c r="AQ70" i="157" a="1"/>
  <c r="Z30" i="157" a="1"/>
  <c r="R71" i="157" a="1"/>
  <c r="Z56" i="157" a="1"/>
  <c r="AN55" i="157" a="1"/>
  <c r="V41" i="157" a="1"/>
  <c r="R75" i="157" a="1"/>
  <c r="R48" i="157" a="1"/>
  <c r="R87" i="157" a="1"/>
  <c r="AH36" i="157" a="1"/>
  <c r="R73" i="157" a="1"/>
  <c r="G64" i="157" a="1"/>
  <c r="Z35" i="157" a="1"/>
  <c r="J99" i="157" a="1"/>
  <c r="AN65" i="157" a="1"/>
  <c r="R34" i="157" a="1"/>
  <c r="N71" i="157" a="1"/>
  <c r="AD78" i="157" a="1"/>
  <c r="J86" i="157" a="1"/>
  <c r="AH45" i="157" a="1"/>
  <c r="J95" i="157" a="1"/>
  <c r="N30" i="157" a="1"/>
  <c r="G90" i="157" a="1"/>
  <c r="AN103" i="157" a="1"/>
  <c r="BK108" i="157" a="1"/>
  <c r="AH37" i="157" a="1"/>
  <c r="J76" i="157" a="1"/>
  <c r="BK115" i="157" a="1"/>
  <c r="N95" i="157" a="1"/>
  <c r="AQ96" i="157" a="1"/>
  <c r="AQ45" i="157" a="1"/>
  <c r="AD39" i="157" a="1"/>
  <c r="J30" i="157" a="1"/>
  <c r="AD76" i="157" a="1"/>
  <c r="N86" i="157" a="1"/>
  <c r="R62" i="157" a="1"/>
  <c r="J91" i="157" a="1"/>
  <c r="AQ86" i="157" a="1"/>
  <c r="Z58" i="157" a="1"/>
  <c r="R93" i="157" a="1"/>
  <c r="BC118" i="157" a="1"/>
  <c r="AH85" i="157" a="1"/>
  <c r="AN40" i="157" a="1"/>
  <c r="AD42" i="157" a="1"/>
  <c r="AH83" i="157" a="1"/>
  <c r="J64" i="157" a="1"/>
  <c r="V35" i="157" a="1"/>
  <c r="N57" i="157" a="1"/>
  <c r="Z43" i="157" a="1"/>
  <c r="N45" i="157" a="1"/>
  <c r="AN34" i="157" a="1"/>
  <c r="J42" i="157" a="1"/>
  <c r="J100" i="157" a="1"/>
  <c r="V30" i="157" a="1"/>
  <c r="AN61" i="157" a="1"/>
  <c r="AN94" i="157" a="1"/>
  <c r="AQ81" i="157" a="1"/>
  <c r="G85" i="157" a="1"/>
  <c r="N47" i="157" a="1"/>
  <c r="BK107" i="157" a="1"/>
  <c r="AH57" i="157" a="1"/>
  <c r="V64" i="157" a="1"/>
  <c r="BK105" i="157" a="1"/>
  <c r="J93" i="157" a="1"/>
  <c r="AN50" i="157" a="1"/>
  <c r="AN97" i="157" a="1"/>
  <c r="G42" i="157" a="1"/>
  <c r="AH50" i="157" a="1"/>
  <c r="AN62" i="157" a="1"/>
  <c r="V49" i="157" a="1"/>
  <c r="Z84" i="157" a="1"/>
  <c r="J35" i="157" a="1"/>
  <c r="AN64" i="157" a="1"/>
  <c r="AQ72" i="157" a="1"/>
  <c r="N74" i="157" a="1"/>
  <c r="G94" i="157" a="1"/>
  <c r="AN89" i="157" a="1"/>
  <c r="J78" i="157" a="1"/>
  <c r="G80" i="157" a="1"/>
  <c r="V40" i="157" a="1"/>
  <c r="BK128" i="157" a="1"/>
  <c r="AD68" i="157" a="1"/>
  <c r="AN36" i="157" a="1"/>
  <c r="R46" i="157" a="1"/>
  <c r="AN59" i="157" a="1"/>
  <c r="R39" i="157" a="1"/>
  <c r="AQ38" i="157" a="1"/>
  <c r="N101" i="157" a="1"/>
  <c r="J101" i="157" a="1"/>
  <c r="Z101" i="157" a="1"/>
  <c r="AQ76" i="157" a="1"/>
  <c r="AQ47" i="157" a="1"/>
  <c r="AN49" i="157" a="1"/>
  <c r="N33" i="157" a="1"/>
  <c r="J77" i="157" a="1"/>
  <c r="AD67" i="157" a="1"/>
  <c r="AD55" i="157" a="1"/>
  <c r="AD57" i="157" a="1"/>
  <c r="N42" i="157" a="1"/>
  <c r="R67" i="157" a="1"/>
  <c r="R77" i="157" a="1"/>
  <c r="G75" i="157" a="1"/>
  <c r="AD99" i="157" a="1"/>
  <c r="V87" i="157" a="1"/>
  <c r="AH32" i="157" a="1"/>
  <c r="AN82" i="157" a="1"/>
  <c r="J97" i="157" a="1"/>
  <c r="N67" i="157" a="1"/>
  <c r="BK106" i="157" a="1"/>
  <c r="AD96" i="157" a="1"/>
  <c r="G31" i="157" a="1"/>
  <c r="AN80" i="157" a="1"/>
  <c r="Z41" i="157" a="1"/>
  <c r="Z34" i="157" a="1"/>
  <c r="AN85" i="157" a="1"/>
  <c r="N58" i="157" a="1"/>
  <c r="J46" i="157" a="1"/>
  <c r="G58" i="157" a="1"/>
  <c r="G101" i="157" a="1"/>
  <c r="AD47" i="157" a="1"/>
  <c r="AN63" i="157" a="1"/>
  <c r="J62" i="157" a="1"/>
  <c r="V55" i="157" a="1"/>
  <c r="V70" i="157" a="1"/>
  <c r="V37" i="157" a="1"/>
  <c r="BK111" i="157" a="1"/>
  <c r="V85" i="157" a="1"/>
  <c r="AQ80" i="157" a="1"/>
  <c r="J87" i="157" a="1"/>
  <c r="AD74" i="157" a="1"/>
  <c r="AN53" i="157" a="1"/>
  <c r="AN70" i="157" a="1"/>
  <c r="V33" i="157" a="1"/>
  <c r="Z99" i="157" a="1"/>
  <c r="Z103" i="157" a="1"/>
  <c r="N35" i="157" a="1"/>
  <c r="AH70" i="157" a="1"/>
  <c r="G77" i="157" a="1"/>
  <c r="AQ49" i="157" a="1"/>
  <c r="AQ53" i="157" a="1"/>
  <c r="AH75" i="157" a="1"/>
  <c r="N43" i="157" a="1"/>
  <c r="N94" i="157" a="1"/>
  <c r="AH51" i="157" a="1"/>
  <c r="AH100" i="157" a="1"/>
  <c r="G34" i="157" a="1"/>
  <c r="J96" i="157" a="1"/>
  <c r="R74" i="157" a="1"/>
  <c r="AQ78" i="157" a="1"/>
  <c r="AD60" i="157" a="1"/>
  <c r="AQ71" i="157" a="1"/>
  <c r="Z44" i="157" a="1"/>
  <c r="AH47" i="157" a="1"/>
  <c r="AH53" i="157" a="1"/>
  <c r="G82" i="157" a="1"/>
  <c r="AN37" i="157" a="1"/>
  <c r="AQ103" i="157" a="1"/>
  <c r="V60" i="157" a="1"/>
  <c r="R50" i="157" a="1"/>
  <c r="Z38" i="157" a="1"/>
  <c r="AN31" i="157" a="1"/>
  <c r="R33" i="157" a="1"/>
  <c r="G81" i="157" a="1"/>
  <c r="V101" i="157" a="1"/>
  <c r="AD102" i="157" a="1"/>
  <c r="J98" i="157" a="1"/>
  <c r="J43" i="157" a="1"/>
  <c r="AN86" i="157" a="1"/>
  <c r="R55" i="157" a="1"/>
  <c r="G63" i="157" a="1"/>
  <c r="N91" i="157" a="1"/>
  <c r="R70" i="157" a="1"/>
  <c r="AH86" i="157" a="1"/>
  <c r="G56" i="157" a="1"/>
  <c r="R83" i="157" a="1"/>
  <c r="AH76" i="157" a="1"/>
  <c r="N102" i="157" a="1"/>
  <c r="N85" i="157" a="1"/>
  <c r="J56" i="157" a="1"/>
  <c r="V99" i="157" a="1"/>
  <c r="AH44" i="157" a="1"/>
  <c r="R100" i="157" a="1"/>
  <c r="N41" i="157" a="1"/>
  <c r="AN51" i="157" a="1"/>
  <c r="AH60" i="157" a="1"/>
  <c r="J60" i="157" a="1"/>
  <c r="AH73" i="157" a="1"/>
  <c r="AN48" i="157" a="1"/>
  <c r="AQ68" i="157" a="1"/>
  <c r="R49" i="157" a="1"/>
  <c r="AN52" i="157" a="1"/>
  <c r="G102" i="157" a="1"/>
  <c r="AQ55" i="157" a="1"/>
  <c r="J83" i="157" a="1"/>
  <c r="BC117" i="157" a="1"/>
  <c r="V103" i="157" a="1"/>
  <c r="N48" i="157" a="1"/>
  <c r="G59" i="157" a="1"/>
  <c r="AN99" i="157" a="1"/>
  <c r="G98" i="157" a="1"/>
  <c r="N77" i="157" a="1"/>
  <c r="AD87" i="157" a="1"/>
  <c r="BK120" i="157" a="1"/>
  <c r="V66" i="157" a="1"/>
  <c r="AD38" i="157" a="1"/>
  <c r="V96" i="157" a="1"/>
  <c r="R43" i="157" a="1"/>
  <c r="J75" i="157" a="1"/>
  <c r="V102" i="157" a="1"/>
  <c r="AH65" i="157" a="1"/>
  <c r="Z77" i="157" a="1"/>
  <c r="R78" i="157" a="1"/>
  <c r="AH69" i="157" a="1"/>
  <c r="BC111" i="157" a="1"/>
  <c r="N51" i="157" a="1"/>
  <c r="AN47" i="157" a="1"/>
  <c r="AH30" i="157" a="1"/>
  <c r="J38" i="157" a="1"/>
  <c r="AH31" i="157" a="1"/>
  <c r="Z85" i="157" a="1"/>
  <c r="V75" i="157" a="1"/>
  <c r="AQ59" i="157" a="1"/>
  <c r="J69" i="157" a="1"/>
  <c r="J72" i="157" a="1"/>
  <c r="N103" i="157" a="1"/>
  <c r="AH80" i="157" a="1"/>
  <c r="R101" i="157" a="1"/>
  <c r="G55" i="157" a="1"/>
  <c r="AN69" i="157" a="1"/>
  <c r="AN81" i="157" a="1"/>
  <c r="N50" i="157" a="1"/>
  <c r="N56" i="157" a="1"/>
  <c r="V92" i="157" a="1"/>
  <c r="AN41" i="157" a="1"/>
  <c r="BC108" i="157" a="1"/>
  <c r="J103" i="157" a="1"/>
  <c r="V84" i="157" a="1"/>
  <c r="N49" i="157" a="1"/>
  <c r="N90" i="157" a="1"/>
  <c r="Z62" i="157" a="1"/>
  <c r="AD75" i="157" a="1"/>
  <c r="G88" i="157" a="1"/>
  <c r="Z76" i="157" a="1"/>
  <c r="R92" i="157" a="1"/>
  <c r="J39" i="157" a="1"/>
  <c r="R64" i="157" a="1"/>
  <c r="AQ91" i="157" a="1"/>
  <c r="Z50" i="157" a="1"/>
  <c r="G38" i="157" a="1"/>
  <c r="AN71" i="157" a="1"/>
  <c r="V98" i="157" a="1"/>
  <c r="AQ102" i="157" a="1"/>
  <c r="V89" i="157" a="1"/>
  <c r="V48" i="157" a="1"/>
  <c r="V34" i="157" a="1"/>
  <c r="AN30" i="157" a="1"/>
  <c r="V38" i="157" a="1"/>
  <c r="AD77" i="157" a="1"/>
  <c r="AQ60" i="157" a="1"/>
  <c r="N60" i="157" a="1"/>
  <c r="AD101" i="157" a="1"/>
  <c r="V76" i="157" a="1"/>
  <c r="AH89" i="157" a="1"/>
  <c r="R80" i="157" a="1"/>
  <c r="J66" i="157" a="1"/>
  <c r="AH90" i="157" a="1"/>
  <c r="AQ31" i="157" a="1"/>
  <c r="AQ90" i="157" a="1"/>
  <c r="N44" i="157" a="1"/>
  <c r="AN44" i="157" a="1"/>
  <c r="Z95" i="157" a="1"/>
  <c r="Z68" i="157" a="1"/>
  <c r="AQ51" i="157" a="1"/>
  <c r="AN95" i="157" a="1"/>
  <c r="AH81" i="157" a="1"/>
  <c r="V56" i="157" a="1"/>
  <c r="AQ87" i="157" a="1"/>
  <c r="V86" i="157" a="1"/>
  <c r="G73" i="157" a="1"/>
  <c r="AN102" i="157" a="1"/>
  <c r="V77" i="157" a="1"/>
  <c r="Z51" i="157" a="1"/>
  <c r="J84" i="157" a="1"/>
  <c r="Z75" i="157" a="1"/>
  <c r="V45" i="157" a="1"/>
  <c r="G33" i="157" a="1"/>
  <c r="N73" i="157" a="1"/>
  <c r="Z67" i="157" a="1"/>
  <c r="V88" i="157" a="1"/>
  <c r="AN72" i="157" a="1"/>
  <c r="G60" i="157" a="1"/>
  <c r="N88" i="157" a="1"/>
  <c r="N59" i="157" a="1"/>
  <c r="AQ41" i="157" a="1"/>
  <c r="J71" i="157" a="1"/>
  <c r="Z69" i="157" a="1"/>
  <c r="AQ32" i="157" a="1"/>
  <c r="AQ48" i="157" a="1"/>
  <c r="R84" i="157" a="1"/>
  <c r="V83" i="157" a="1"/>
  <c r="V31" i="157" a="1"/>
  <c r="AN101" i="157" a="1"/>
  <c r="AQ58" i="157" a="1"/>
  <c r="R37" i="157" a="1"/>
  <c r="AQ35" i="157" a="1"/>
  <c r="AD86" i="157" a="1"/>
  <c r="AH93" i="157" a="1"/>
  <c r="Z60" i="157" a="1"/>
  <c r="V59" i="157" a="1"/>
  <c r="BK121" i="157" a="1"/>
  <c r="G71" i="157" a="1"/>
  <c r="AH82" i="157" a="1"/>
  <c r="AQ46" i="157" a="1"/>
  <c r="J34" i="157" a="1"/>
  <c r="AD40" i="157" a="1"/>
  <c r="AQ39" i="157" a="1"/>
  <c r="J63" i="157" a="1"/>
  <c r="AH91" i="157" a="1"/>
  <c r="V74" i="157" a="1"/>
  <c r="G47" i="157" a="1"/>
  <c r="AH34" i="157" a="1"/>
  <c r="AQ83" i="157" a="1"/>
  <c r="AN93" i="157" a="1"/>
  <c r="AD46" i="157" a="1"/>
  <c r="AD59" i="157" a="1"/>
  <c r="Z42" i="157" a="1"/>
  <c r="AN76" i="157" a="1"/>
  <c r="AN66" i="157" a="1"/>
  <c r="AH48" i="157" a="1"/>
  <c r="Z48" i="157" a="1"/>
  <c r="AD66" i="157" a="1"/>
  <c r="G44" i="157" a="1"/>
  <c r="Z100" i="157" a="1"/>
  <c r="AN56" i="157" a="1"/>
  <c r="Z92" i="157" a="1"/>
  <c r="AN43" i="157" a="1"/>
  <c r="R35" i="157" a="1"/>
  <c r="AH46" i="157" a="1"/>
  <c r="J48" i="157" a="1"/>
  <c r="AD44" i="157" a="1"/>
  <c r="AN57" i="157" a="1"/>
  <c r="AD92" i="157" a="1"/>
  <c r="N69" i="157" a="1"/>
  <c r="V72" i="157" a="1"/>
  <c r="N83" i="157" a="1"/>
  <c r="AH55" i="157" a="1"/>
  <c r="R96" i="157" a="1"/>
  <c r="Z86" i="157" a="1"/>
  <c r="AD56" i="157" a="1"/>
  <c r="AQ97" i="157" a="1"/>
  <c r="BC124" i="157" a="1"/>
  <c r="Z73" i="157" a="1"/>
  <c r="R61" i="157" a="1"/>
  <c r="AD34" i="157" a="1"/>
  <c r="J50" i="157" l="1"/>
  <c r="Z53" i="157"/>
  <c r="R47" i="157"/>
  <c r="AN45" i="157"/>
  <c r="G37" i="157"/>
  <c r="R42" i="157"/>
  <c r="Z44" i="157"/>
  <c r="Z51" i="157"/>
  <c r="G44" i="157"/>
  <c r="Z38" i="157"/>
  <c r="G33" i="157"/>
  <c r="V49" i="157"/>
  <c r="J41" i="157"/>
  <c r="AH35" i="157"/>
  <c r="J39" i="157"/>
  <c r="AH47" i="157"/>
  <c r="V38" i="157"/>
  <c r="AD45" i="157"/>
  <c r="J37" i="157"/>
  <c r="N46" i="157"/>
  <c r="AH34" i="157"/>
  <c r="AH48" i="157"/>
  <c r="V50" i="157"/>
  <c r="R48" i="157"/>
  <c r="R46" i="157"/>
  <c r="AQ39" i="157"/>
  <c r="AN34" i="157"/>
  <c r="J31" i="157"/>
  <c r="AD31" i="157"/>
  <c r="N32" i="157"/>
  <c r="Z47" i="157"/>
  <c r="G35" i="157"/>
  <c r="Z52" i="157"/>
  <c r="V48" i="157"/>
  <c r="AD53" i="157"/>
  <c r="J38" i="157"/>
  <c r="AD32" i="157"/>
  <c r="AD36" i="157"/>
  <c r="G46" i="157"/>
  <c r="J49" i="157"/>
  <c r="N43" i="157"/>
  <c r="N40" i="157"/>
  <c r="J44" i="157"/>
  <c r="Z45" i="157"/>
  <c r="AQ35" i="157"/>
  <c r="N42" i="157"/>
  <c r="V44" i="157"/>
  <c r="N34" i="157"/>
  <c r="AD46" i="157"/>
  <c r="R39" i="157"/>
  <c r="J46" i="157"/>
  <c r="V35" i="157"/>
  <c r="G51" i="157"/>
  <c r="G42" i="157"/>
  <c r="AN43" i="157"/>
  <c r="AQ33" i="157"/>
  <c r="V30" i="157"/>
  <c r="V37" i="157"/>
  <c r="R38" i="157"/>
  <c r="R43" i="157"/>
  <c r="AQ45" i="157"/>
  <c r="J35" i="157"/>
  <c r="Z48" i="157"/>
  <c r="G53" i="157"/>
  <c r="N49" i="157"/>
  <c r="AN53" i="157"/>
  <c r="AH42" i="157"/>
  <c r="AN39" i="157"/>
  <c r="AQ42" i="157"/>
  <c r="R35" i="157"/>
  <c r="G49" i="157"/>
  <c r="V39" i="157"/>
  <c r="AD48" i="157"/>
  <c r="V53" i="157"/>
  <c r="AN49" i="157"/>
  <c r="J52" i="157"/>
  <c r="AQ51" i="157"/>
  <c r="V36" i="157"/>
  <c r="AD47" i="157"/>
  <c r="R44" i="157"/>
  <c r="Z39" i="157"/>
  <c r="AD44" i="157"/>
  <c r="J47" i="157"/>
  <c r="AQ30" i="157"/>
  <c r="G52" i="157"/>
  <c r="AH36" i="157"/>
  <c r="J53" i="157"/>
  <c r="AD49" i="157"/>
  <c r="R31" i="157"/>
  <c r="Z49" i="157"/>
  <c r="AN35" i="157"/>
  <c r="AH45" i="157"/>
  <c r="G38" i="157"/>
  <c r="AN33" i="157"/>
  <c r="AN38" i="157"/>
  <c r="N50" i="157"/>
  <c r="AN36" i="157"/>
  <c r="AH46" i="157"/>
  <c r="AN44" i="157"/>
  <c r="N47" i="157"/>
  <c r="AQ31" i="157"/>
  <c r="AH33" i="157"/>
  <c r="R36" i="157"/>
  <c r="Z58" i="157"/>
  <c r="AD66" i="157"/>
  <c r="BK120" i="157"/>
  <c r="AQ94" i="157"/>
  <c r="N67" i="157"/>
  <c r="R73" i="157"/>
  <c r="V64" i="157"/>
  <c r="AQ56" i="157"/>
  <c r="V99" i="157"/>
  <c r="J78" i="157"/>
  <c r="Z83" i="157"/>
  <c r="N80" i="157"/>
  <c r="R85" i="157"/>
  <c r="J81" i="157"/>
  <c r="R55" i="157"/>
  <c r="J70" i="157"/>
  <c r="R65" i="157"/>
  <c r="AH70" i="157"/>
  <c r="AQ75" i="157"/>
  <c r="G68" i="157"/>
  <c r="R59" i="157"/>
  <c r="AD95" i="157"/>
  <c r="R95" i="157"/>
  <c r="Z61" i="157"/>
  <c r="Z89" i="157"/>
  <c r="Z101" i="157"/>
  <c r="AH103" i="157"/>
  <c r="AH84" i="157"/>
  <c r="AQ67" i="157"/>
  <c r="R76" i="157"/>
  <c r="G91" i="157"/>
  <c r="AH76" i="157"/>
  <c r="R84" i="157"/>
  <c r="V56" i="157"/>
  <c r="R69" i="157"/>
  <c r="N59" i="157"/>
  <c r="J102" i="157"/>
  <c r="G55" i="157"/>
  <c r="R102" i="157"/>
  <c r="R88" i="157"/>
  <c r="AH66" i="157"/>
  <c r="AD68" i="157"/>
  <c r="N99" i="157"/>
  <c r="N86" i="157"/>
  <c r="J90" i="157"/>
  <c r="J77" i="157"/>
  <c r="V88" i="157"/>
  <c r="AH67" i="157"/>
  <c r="Z86" i="157"/>
  <c r="V83" i="157"/>
  <c r="BK116" i="157"/>
  <c r="AD94" i="157"/>
  <c r="AN68" i="157"/>
  <c r="AH92" i="157"/>
  <c r="J94" i="157"/>
  <c r="AQ86" i="157"/>
  <c r="G56" i="157"/>
  <c r="N73" i="157"/>
  <c r="J92" i="157"/>
  <c r="G70" i="157"/>
  <c r="J67" i="157"/>
  <c r="AN86" i="157"/>
  <c r="AQ100" i="157"/>
  <c r="R62" i="157"/>
  <c r="V45" i="157"/>
  <c r="N44" i="157"/>
  <c r="AN42" i="157"/>
  <c r="AQ47" i="157"/>
  <c r="AQ53" i="157"/>
  <c r="AH52" i="157"/>
  <c r="AH49" i="157"/>
  <c r="AN52" i="157"/>
  <c r="AD50" i="157"/>
  <c r="Z46" i="157"/>
  <c r="V40" i="157"/>
  <c r="G47" i="157"/>
  <c r="G39" i="157"/>
  <c r="AQ37" i="157"/>
  <c r="V33" i="157"/>
  <c r="AH53" i="157"/>
  <c r="Z40" i="157"/>
  <c r="AH50" i="157"/>
  <c r="Z36" i="157"/>
  <c r="AN37" i="157"/>
  <c r="Z50" i="157"/>
  <c r="J36" i="157"/>
  <c r="Z33" i="157"/>
  <c r="Z34" i="157"/>
  <c r="J32" i="157"/>
  <c r="AH32" i="157"/>
  <c r="N51" i="157"/>
  <c r="AN32" i="157"/>
  <c r="AD35" i="157"/>
  <c r="AD71" i="157"/>
  <c r="AN66" i="157"/>
  <c r="Z94" i="157"/>
  <c r="AD86" i="157"/>
  <c r="AN71" i="157"/>
  <c r="BK106" i="157"/>
  <c r="Z60" i="157"/>
  <c r="AQ59" i="157"/>
  <c r="AD88" i="157"/>
  <c r="V69" i="157"/>
  <c r="AQ87" i="157"/>
  <c r="V82" i="157"/>
  <c r="AN100" i="157"/>
  <c r="J58" i="157"/>
  <c r="G73" i="157"/>
  <c r="AH99" i="157"/>
  <c r="N66" i="157"/>
  <c r="AH98" i="157"/>
  <c r="AN75" i="157"/>
  <c r="G93" i="157"/>
  <c r="G74" i="157"/>
  <c r="J65" i="157"/>
  <c r="Z59" i="157"/>
  <c r="V78" i="157"/>
  <c r="G60" i="157"/>
  <c r="R66" i="157"/>
  <c r="AH88" i="157"/>
  <c r="AN101" i="157"/>
  <c r="AN73" i="157"/>
  <c r="AN70" i="157"/>
  <c r="AD72" i="157"/>
  <c r="R96" i="157"/>
  <c r="AQ96" i="157"/>
  <c r="AQ68" i="157"/>
  <c r="N96" i="157"/>
  <c r="AQ78" i="157"/>
  <c r="V100" i="157"/>
  <c r="AD92" i="157"/>
  <c r="N87" i="157"/>
  <c r="N102" i="157"/>
  <c r="Z93" i="157"/>
  <c r="R98" i="157"/>
  <c r="Z97" i="157"/>
  <c r="AD78" i="157"/>
  <c r="Z63" i="157"/>
  <c r="AD102" i="157"/>
  <c r="N94" i="157"/>
  <c r="AQ69" i="157"/>
  <c r="AH91" i="157"/>
  <c r="AD62" i="157"/>
  <c r="Z64" i="157"/>
  <c r="G87" i="157"/>
  <c r="AH71" i="157"/>
  <c r="V91" i="157"/>
  <c r="N63" i="157"/>
  <c r="AN77" i="157"/>
  <c r="G77" i="157"/>
  <c r="G63" i="157"/>
  <c r="R94" i="157"/>
  <c r="BC106" i="157"/>
  <c r="AD70" i="157"/>
  <c r="G61" i="157"/>
  <c r="AH65" i="157"/>
  <c r="V86" i="157"/>
  <c r="G32" i="157"/>
  <c r="V31" i="157"/>
  <c r="G43" i="157"/>
  <c r="R49" i="157"/>
  <c r="V41" i="157"/>
  <c r="N37" i="157"/>
  <c r="R40" i="157"/>
  <c r="AD33" i="157"/>
  <c r="AQ46" i="157"/>
  <c r="R53" i="157"/>
  <c r="V46" i="157"/>
  <c r="AD38" i="157"/>
  <c r="R41" i="157"/>
  <c r="AQ32" i="157"/>
  <c r="J33" i="157"/>
  <c r="N36" i="157"/>
  <c r="N52" i="157"/>
  <c r="Z42" i="157"/>
  <c r="AQ50" i="157"/>
  <c r="V47" i="157"/>
  <c r="AN48" i="157"/>
  <c r="R78" i="157"/>
  <c r="AN61" i="157"/>
  <c r="R70" i="157"/>
  <c r="AH64" i="157"/>
  <c r="BC118" i="157"/>
  <c r="AN102" i="157"/>
  <c r="AN96" i="157"/>
  <c r="G72" i="157"/>
  <c r="V94" i="157"/>
  <c r="V70" i="157"/>
  <c r="AQ83" i="157"/>
  <c r="BC108" i="157"/>
  <c r="V84" i="157"/>
  <c r="AN76" i="157"/>
  <c r="AN67" i="157"/>
  <c r="N77" i="157"/>
  <c r="AN97" i="157"/>
  <c r="R90" i="157"/>
  <c r="N60" i="157"/>
  <c r="AD57" i="157"/>
  <c r="N70" i="157"/>
  <c r="AQ71" i="157"/>
  <c r="J74" i="157"/>
  <c r="N103" i="157"/>
  <c r="R92" i="157"/>
  <c r="Z76" i="157"/>
  <c r="AQ57" i="157"/>
  <c r="V89" i="157"/>
  <c r="AN87" i="157"/>
  <c r="Z74" i="157"/>
  <c r="G90" i="157"/>
  <c r="AN72" i="157"/>
  <c r="Z55" i="157"/>
  <c r="J69" i="157"/>
  <c r="N58" i="157"/>
  <c r="N82" i="157"/>
  <c r="AH85" i="157"/>
  <c r="AH60" i="157"/>
  <c r="G81" i="157"/>
  <c r="Z69" i="157"/>
  <c r="G75" i="157"/>
  <c r="AN103" i="157"/>
  <c r="AN64" i="157"/>
  <c r="Z81" i="157"/>
  <c r="Z102" i="157"/>
  <c r="N68" i="157"/>
  <c r="AQ82" i="157"/>
  <c r="AQ62" i="157"/>
  <c r="AQ102" i="157"/>
  <c r="AN58" i="157"/>
  <c r="R83" i="157"/>
  <c r="J91" i="157"/>
  <c r="AH81" i="157"/>
  <c r="AH63" i="157"/>
  <c r="R56" i="157"/>
  <c r="AH62" i="157"/>
  <c r="J73" i="157"/>
  <c r="AD63" i="157"/>
  <c r="AN65" i="157"/>
  <c r="R82" i="157"/>
  <c r="V76" i="157"/>
  <c r="V51" i="157"/>
  <c r="V32" i="157"/>
  <c r="G30" i="157"/>
  <c r="AN41" i="157"/>
  <c r="AQ36" i="157"/>
  <c r="AN47" i="157"/>
  <c r="R87" i="157"/>
  <c r="AQ92" i="157"/>
  <c r="AQ90" i="157"/>
  <c r="AD91" i="157"/>
  <c r="AQ89" i="157"/>
  <c r="AQ84" i="157"/>
  <c r="R81" i="157"/>
  <c r="Z75" i="157"/>
  <c r="G98" i="157"/>
  <c r="G58" i="157"/>
  <c r="AQ72" i="157"/>
  <c r="AN69" i="157"/>
  <c r="AD60" i="157"/>
  <c r="V87" i="157"/>
  <c r="AH61" i="157"/>
  <c r="V67" i="157"/>
  <c r="AD87" i="157"/>
  <c r="G78" i="157"/>
  <c r="J100" i="157"/>
  <c r="J80" i="157"/>
  <c r="J96" i="157"/>
  <c r="R67" i="157"/>
  <c r="AD61" i="157"/>
  <c r="V59" i="157"/>
  <c r="V66" i="157"/>
  <c r="V101" i="157"/>
  <c r="AH95" i="157"/>
  <c r="J83" i="157"/>
  <c r="Z85" i="157"/>
  <c r="R100" i="157"/>
  <c r="N85" i="157"/>
  <c r="AH72" i="157"/>
  <c r="G95" i="157"/>
  <c r="R74" i="157"/>
  <c r="AQ88" i="157"/>
  <c r="AD55" i="157"/>
  <c r="Z72" i="157"/>
  <c r="AH102" i="157"/>
  <c r="Z66" i="157"/>
  <c r="AH101" i="157"/>
  <c r="V60" i="157"/>
  <c r="Z70" i="157"/>
  <c r="AD97" i="157"/>
  <c r="N84" i="157"/>
  <c r="V98" i="157"/>
  <c r="N71" i="157"/>
  <c r="J76" i="157"/>
  <c r="Z73" i="157"/>
  <c r="AD100" i="157"/>
  <c r="AN94" i="157"/>
  <c r="AQ61" i="157"/>
  <c r="BK128" i="157"/>
  <c r="J85" i="157"/>
  <c r="J56" i="157"/>
  <c r="N65" i="157"/>
  <c r="AH51" i="157"/>
  <c r="V52" i="157"/>
  <c r="AD43" i="157"/>
  <c r="N31" i="157"/>
  <c r="AQ49" i="157"/>
  <c r="V43" i="157"/>
  <c r="R51" i="157"/>
  <c r="AN50" i="157"/>
  <c r="AQ48" i="157"/>
  <c r="G31" i="157"/>
  <c r="N41" i="157"/>
  <c r="AH37" i="157"/>
  <c r="V42" i="157"/>
  <c r="J45" i="157"/>
  <c r="AN62" i="157"/>
  <c r="R93" i="157"/>
  <c r="G82" i="157"/>
  <c r="N61" i="157"/>
  <c r="N89" i="157"/>
  <c r="R60" i="157"/>
  <c r="AN90" i="157"/>
  <c r="AQ70" i="157"/>
  <c r="J101" i="157"/>
  <c r="R64" i="157"/>
  <c r="AD65" i="157"/>
  <c r="J98" i="157"/>
  <c r="V96" i="157"/>
  <c r="AD103" i="157"/>
  <c r="R103" i="157"/>
  <c r="AD59" i="157"/>
  <c r="AN83" i="157"/>
  <c r="Z87" i="157"/>
  <c r="AQ64" i="157"/>
  <c r="AQ97" i="157"/>
  <c r="V65" i="157"/>
  <c r="BK125" i="157"/>
  <c r="AN93" i="157"/>
  <c r="AQ85" i="157"/>
  <c r="G62" i="157"/>
  <c r="J95" i="157"/>
  <c r="N97" i="157"/>
  <c r="AN95" i="157"/>
  <c r="AD83" i="157"/>
  <c r="BK108" i="157"/>
  <c r="AQ63" i="157"/>
  <c r="AD101" i="157"/>
  <c r="AN74" i="157"/>
  <c r="V80" i="157"/>
  <c r="N83" i="157"/>
  <c r="V81" i="157"/>
  <c r="AN63" i="157"/>
  <c r="AH78" i="157"/>
  <c r="G89" i="157"/>
  <c r="AH74" i="157"/>
  <c r="G88" i="157"/>
  <c r="J68" i="157"/>
  <c r="AD75" i="157"/>
  <c r="Z77" i="157"/>
  <c r="AN59" i="157"/>
  <c r="N101" i="157"/>
  <c r="BC117" i="157"/>
  <c r="R75" i="157"/>
  <c r="Z84" i="157"/>
  <c r="J86" i="157"/>
  <c r="AN92" i="157"/>
  <c r="AQ74" i="157"/>
  <c r="BK105" i="157"/>
  <c r="N74" i="157"/>
  <c r="AD73" i="157"/>
  <c r="AQ91" i="157"/>
  <c r="Z96" i="157"/>
  <c r="AN56" i="157"/>
  <c r="AN55" i="157"/>
  <c r="R86" i="157"/>
  <c r="G102" i="157"/>
  <c r="AN88" i="157"/>
  <c r="AQ95" i="157"/>
  <c r="AH39" i="157"/>
  <c r="G50" i="157"/>
  <c r="J42" i="157"/>
  <c r="AD52" i="157"/>
  <c r="V34" i="157"/>
  <c r="N38" i="157"/>
  <c r="R30" i="157"/>
  <c r="G41" i="157"/>
  <c r="N45" i="157"/>
  <c r="J48" i="157"/>
  <c r="AD51" i="157"/>
  <c r="N30" i="157"/>
  <c r="AN30" i="157"/>
  <c r="Z30" i="157"/>
  <c r="N53" i="157"/>
  <c r="R45" i="157"/>
  <c r="G40" i="157"/>
  <c r="G45" i="157"/>
  <c r="AH30" i="157"/>
  <c r="R33" i="157"/>
  <c r="G101" i="157"/>
  <c r="N76" i="157"/>
  <c r="J57" i="157"/>
  <c r="AH87" i="157"/>
  <c r="R99" i="157"/>
  <c r="G100" i="157"/>
  <c r="R101" i="157"/>
  <c r="N91" i="157"/>
  <c r="J64" i="157"/>
  <c r="V77" i="157"/>
  <c r="G85" i="157"/>
  <c r="Z71" i="157"/>
  <c r="AN80" i="157"/>
  <c r="AH58" i="157"/>
  <c r="G59" i="157"/>
  <c r="J60" i="157"/>
  <c r="N56" i="157"/>
  <c r="AD85" i="157"/>
  <c r="N55" i="157"/>
  <c r="Z80" i="157"/>
  <c r="G83" i="157"/>
  <c r="R63" i="157"/>
  <c r="R80" i="157"/>
  <c r="N62" i="157"/>
  <c r="N69" i="157"/>
  <c r="AD96" i="157"/>
  <c r="V103" i="157"/>
  <c r="V90" i="157"/>
  <c r="J63" i="157"/>
  <c r="BC109" i="157"/>
  <c r="R58" i="157"/>
  <c r="Z95" i="157"/>
  <c r="AH93" i="157"/>
  <c r="V102" i="157"/>
  <c r="J62" i="157"/>
  <c r="AN89" i="157"/>
  <c r="Z56" i="157"/>
  <c r="G84" i="157"/>
  <c r="J75" i="157"/>
  <c r="G64" i="157"/>
  <c r="AH100" i="157"/>
  <c r="V62" i="157"/>
  <c r="V63" i="157"/>
  <c r="J89" i="157"/>
  <c r="R61" i="157"/>
  <c r="BC110" i="157"/>
  <c r="AQ103" i="157"/>
  <c r="AH55" i="157"/>
  <c r="V58" i="157"/>
  <c r="AN85" i="157"/>
  <c r="AD99" i="157"/>
  <c r="BK117" i="157"/>
  <c r="AD90" i="157"/>
  <c r="N98" i="157"/>
  <c r="J55" i="157"/>
  <c r="AQ58" i="157"/>
  <c r="Z68" i="157"/>
  <c r="AH57" i="157"/>
  <c r="AD93" i="157"/>
  <c r="AD69" i="157"/>
  <c r="G76" i="157"/>
  <c r="Z65" i="157"/>
  <c r="J66" i="157"/>
  <c r="AQ52" i="157"/>
  <c r="AQ40" i="157"/>
  <c r="AN40" i="157"/>
  <c r="AH38" i="157"/>
  <c r="AN51" i="157"/>
  <c r="R50" i="157"/>
  <c r="N48" i="157"/>
  <c r="AN31" i="157"/>
  <c r="AN46" i="157"/>
  <c r="AD34" i="157"/>
  <c r="AQ44" i="157"/>
  <c r="Z31" i="157"/>
  <c r="AQ41" i="157"/>
  <c r="Z43" i="157"/>
  <c r="AD30" i="157"/>
  <c r="R37" i="157"/>
  <c r="AD42" i="157"/>
  <c r="J43" i="157"/>
  <c r="R52" i="157"/>
  <c r="N39" i="157"/>
  <c r="N92" i="157"/>
  <c r="V55" i="157"/>
  <c r="G99" i="157"/>
  <c r="AQ55" i="157"/>
  <c r="R89" i="157"/>
  <c r="V85" i="157"/>
  <c r="Z67" i="157"/>
  <c r="AQ93" i="157"/>
  <c r="J72" i="157"/>
  <c r="AD77" i="157"/>
  <c r="AH94" i="157"/>
  <c r="AH96" i="157"/>
  <c r="AD64" i="157"/>
  <c r="J103" i="157"/>
  <c r="V73" i="157"/>
  <c r="AH83" i="157"/>
  <c r="AN84" i="157"/>
  <c r="AH56" i="157"/>
  <c r="AD80" i="157"/>
  <c r="V57" i="157"/>
  <c r="AH75" i="157"/>
  <c r="Z103" i="157"/>
  <c r="BC124" i="157"/>
  <c r="N64" i="157"/>
  <c r="AQ80" i="157"/>
  <c r="N95" i="157"/>
  <c r="R77" i="157"/>
  <c r="AD56" i="157"/>
  <c r="AN99" i="157"/>
  <c r="V97" i="157"/>
  <c r="G69" i="157"/>
  <c r="AH73" i="157"/>
  <c r="AQ65" i="157"/>
  <c r="V95" i="157"/>
  <c r="G103" i="157"/>
  <c r="Z78" i="157"/>
  <c r="R57" i="157"/>
  <c r="G86" i="157"/>
  <c r="AN98" i="157"/>
  <c r="J84" i="157"/>
  <c r="AH90" i="157"/>
  <c r="R91" i="157"/>
  <c r="BK126" i="157"/>
  <c r="AD84" i="157"/>
  <c r="G80" i="157"/>
  <c r="N81" i="157"/>
  <c r="BK111" i="157"/>
  <c r="AQ81" i="157"/>
  <c r="V72" i="157"/>
  <c r="AN60" i="157"/>
  <c r="N90" i="157"/>
  <c r="BK109" i="157"/>
  <c r="J71" i="157"/>
  <c r="R72" i="157"/>
  <c r="J99" i="157"/>
  <c r="G71" i="157"/>
  <c r="R97" i="157"/>
  <c r="BK130" i="157"/>
  <c r="AN57" i="157"/>
  <c r="N88" i="157"/>
  <c r="Z100" i="157"/>
  <c r="G57" i="157"/>
  <c r="V68" i="157"/>
  <c r="AD67" i="157"/>
  <c r="AD74" i="157"/>
  <c r="J40" i="157"/>
  <c r="N33" i="157"/>
  <c r="J30" i="157"/>
  <c r="AQ34" i="157"/>
  <c r="AD37" i="157"/>
  <c r="AH41" i="157"/>
  <c r="AD39" i="157"/>
  <c r="G34" i="157"/>
  <c r="AD41" i="157"/>
  <c r="N35" i="157"/>
  <c r="AQ38" i="157"/>
  <c r="Z35" i="157"/>
  <c r="R32" i="157"/>
  <c r="AD40" i="157"/>
  <c r="R34" i="157"/>
  <c r="AH43" i="157"/>
  <c r="J34" i="157"/>
  <c r="Z37" i="157"/>
  <c r="G48" i="157"/>
  <c r="AH31" i="157"/>
  <c r="AH40" i="157"/>
  <c r="AQ43" i="157"/>
  <c r="Z41" i="157"/>
  <c r="J51" i="157"/>
  <c r="G36" i="157"/>
  <c r="AH44" i="157"/>
  <c r="V75" i="157"/>
  <c r="N78" i="157"/>
  <c r="Z90" i="157"/>
  <c r="AH77" i="157"/>
  <c r="BK115" i="157"/>
  <c r="J82" i="157"/>
  <c r="AQ77" i="157"/>
  <c r="AH82" i="157"/>
  <c r="N75" i="157"/>
  <c r="AD98" i="157"/>
  <c r="V93" i="157"/>
  <c r="AN91" i="157"/>
  <c r="AQ98" i="157"/>
  <c r="AD81" i="157"/>
  <c r="Z92" i="157"/>
  <c r="AH80" i="157"/>
  <c r="BC111" i="157"/>
  <c r="G66" i="157"/>
  <c r="AQ66" i="157"/>
  <c r="AQ99" i="157"/>
  <c r="AQ60" i="157"/>
  <c r="J59" i="157"/>
  <c r="AH97" i="157"/>
  <c r="Z98" i="157"/>
  <c r="J61" i="157"/>
  <c r="BK110" i="157"/>
  <c r="N72" i="157"/>
  <c r="N93" i="157"/>
  <c r="J88" i="157"/>
  <c r="AQ101" i="157"/>
  <c r="Z91" i="157"/>
  <c r="AD76" i="157"/>
  <c r="AH86" i="157"/>
  <c r="J93" i="157"/>
  <c r="V92" i="157"/>
  <c r="AQ76" i="157"/>
  <c r="AH68" i="157"/>
  <c r="Z99" i="157"/>
  <c r="Z88" i="157"/>
  <c r="R71" i="157"/>
  <c r="G94" i="157"/>
  <c r="AN82" i="157"/>
  <c r="G92" i="157"/>
  <c r="AN78" i="157"/>
  <c r="AN81" i="157"/>
  <c r="AD82" i="157"/>
  <c r="J87" i="157"/>
  <c r="AQ73" i="157"/>
  <c r="AH59" i="157"/>
  <c r="AH69" i="157"/>
  <c r="V71" i="157"/>
  <c r="G67" i="157"/>
  <c r="J97" i="157"/>
  <c r="AD89" i="157"/>
  <c r="V61" i="157"/>
  <c r="BK121" i="157"/>
  <c r="G65" i="157"/>
  <c r="N57" i="157"/>
  <c r="N100" i="157"/>
  <c r="BK107" i="157"/>
  <c r="AH89" i="157"/>
  <c r="G97" i="157"/>
  <c r="AD58" i="157"/>
  <c r="R68" i="157"/>
  <c r="V74" i="157"/>
  <c r="Z62" i="157"/>
  <c r="L105" i="193"/>
  <c r="I105" i="193"/>
  <c r="J105" i="193"/>
  <c r="M105" i="193"/>
  <c r="K105" i="193"/>
  <c r="N105" i="193"/>
  <c r="P105" i="193"/>
  <c r="H105" i="193"/>
  <c r="U105" i="193"/>
  <c r="G105" i="193"/>
  <c r="J95" i="191"/>
  <c r="J97" i="191" s="1"/>
  <c r="J102" i="191" s="1"/>
  <c r="G95" i="191"/>
  <c r="X97" i="191"/>
  <c r="X102" i="191" s="1"/>
  <c r="G94" i="191"/>
  <c r="Q93" i="191"/>
  <c r="Q97" i="191" s="1"/>
  <c r="Q102" i="191" s="1"/>
  <c r="F94" i="191"/>
  <c r="F93" i="191"/>
  <c r="L95" i="191"/>
  <c r="L97" i="191" s="1"/>
  <c r="L102" i="191" s="1"/>
  <c r="AA97" i="191"/>
  <c r="AA102" i="191" s="1"/>
  <c r="AC97" i="191"/>
  <c r="AC102" i="191" s="1"/>
  <c r="F97" i="191"/>
  <c r="F102" i="191" s="1"/>
  <c r="F79" i="191"/>
  <c r="W97" i="191"/>
  <c r="W102" i="191" s="1"/>
  <c r="M97" i="191"/>
  <c r="M102" i="191" s="1"/>
  <c r="K95" i="191"/>
  <c r="K97" i="191" s="1"/>
  <c r="K102" i="191" s="1"/>
  <c r="K79" i="191"/>
  <c r="G79" i="191"/>
  <c r="Q79" i="191"/>
  <c r="AB97" i="191"/>
  <c r="AB102" i="191" s="1"/>
  <c r="Y97" i="191"/>
  <c r="Y102" i="191" s="1"/>
  <c r="H97" i="191"/>
  <c r="H102" i="191" s="1"/>
  <c r="Z97" i="191"/>
  <c r="Z102" i="191" s="1"/>
  <c r="R97" i="191"/>
  <c r="R102" i="191" s="1"/>
  <c r="G97" i="191"/>
  <c r="G102" i="191" s="1"/>
  <c r="T62" i="190"/>
  <c r="T61" i="190"/>
  <c r="T57" i="190"/>
  <c r="T56" i="190"/>
  <c r="T55" i="190"/>
  <c r="T54" i="190"/>
  <c r="T53" i="190"/>
  <c r="T52" i="190"/>
  <c r="T51" i="190"/>
  <c r="T50" i="190"/>
  <c r="T48" i="190"/>
  <c r="T47" i="190"/>
  <c r="T46" i="190"/>
  <c r="T45" i="190"/>
  <c r="T44" i="190"/>
  <c r="T43" i="190"/>
  <c r="T42" i="190"/>
  <c r="T40" i="190"/>
  <c r="T39" i="190"/>
  <c r="T38" i="190"/>
  <c r="T36" i="190"/>
  <c r="F102" i="88"/>
  <c r="F101" i="88"/>
  <c r="AE18" i="157"/>
  <c r="S62" i="190"/>
  <c r="S61" i="190"/>
  <c r="S57" i="190"/>
  <c r="S56" i="190"/>
  <c r="S55" i="190"/>
  <c r="S54" i="190"/>
  <c r="S53" i="190"/>
  <c r="S52" i="190"/>
  <c r="S51" i="190"/>
  <c r="S50" i="190"/>
  <c r="S48" i="190"/>
  <c r="S47" i="190"/>
  <c r="S46" i="190"/>
  <c r="S45" i="190"/>
  <c r="S44" i="190"/>
  <c r="S43" i="190"/>
  <c r="S42" i="190"/>
  <c r="S40" i="190"/>
  <c r="S39" i="190"/>
  <c r="S38" i="190"/>
  <c r="S37" i="190"/>
  <c r="S36" i="190"/>
  <c r="AE17" i="157"/>
  <c r="R62" i="190"/>
  <c r="R61" i="190"/>
  <c r="R57" i="190"/>
  <c r="R56" i="190"/>
  <c r="R55" i="190"/>
  <c r="R54" i="190"/>
  <c r="R53" i="190"/>
  <c r="R52" i="190"/>
  <c r="R51" i="190"/>
  <c r="R50" i="190"/>
  <c r="R48" i="190"/>
  <c r="R47" i="190"/>
  <c r="R46" i="190"/>
  <c r="R45" i="190"/>
  <c r="R44" i="190"/>
  <c r="R43" i="190"/>
  <c r="R39" i="190"/>
  <c r="R38" i="190"/>
  <c r="R37" i="190"/>
  <c r="R36" i="190"/>
  <c r="AE16" i="157"/>
  <c r="Q62" i="190"/>
  <c r="Q60" i="190"/>
  <c r="Q57" i="190"/>
  <c r="Q56" i="190"/>
  <c r="Q55" i="190"/>
  <c r="Q54" i="190"/>
  <c r="Q53" i="190"/>
  <c r="Q52" i="190"/>
  <c r="Q51" i="190"/>
  <c r="Q50" i="190"/>
  <c r="Q48" i="190"/>
  <c r="Q47" i="190"/>
  <c r="Q46" i="190"/>
  <c r="Q45" i="190"/>
  <c r="Q44" i="190"/>
  <c r="Q43" i="190"/>
  <c r="Q39" i="190"/>
  <c r="Q38" i="190"/>
  <c r="Q37" i="190"/>
  <c r="Q36" i="190"/>
  <c r="F71" i="88"/>
  <c r="AE15" i="157"/>
  <c r="AE14" i="157"/>
  <c r="AE13" i="157"/>
  <c r="AE12" i="157"/>
  <c r="F72" i="88"/>
  <c r="F75" i="88"/>
  <c r="F78" i="88"/>
  <c r="F76" i="88"/>
  <c r="F74" i="88"/>
  <c r="F77" i="88"/>
  <c r="AE11" i="157"/>
  <c r="L73" i="190"/>
  <c r="L70" i="190"/>
  <c r="L69" i="190"/>
  <c r="L68" i="190"/>
  <c r="L66" i="190"/>
  <c r="L65" i="190"/>
  <c r="L62" i="190"/>
  <c r="L60" i="190"/>
  <c r="F80" i="88"/>
  <c r="F7" i="88"/>
  <c r="F5" i="88"/>
  <c r="F70" i="88"/>
  <c r="I66" i="190"/>
  <c r="I69" i="190"/>
  <c r="I70" i="190"/>
  <c r="I73" i="190"/>
  <c r="J73" i="190"/>
  <c r="J66" i="190"/>
  <c r="J70" i="190"/>
  <c r="J69" i="190"/>
  <c r="K73" i="190"/>
  <c r="K70" i="190"/>
  <c r="K69" i="190"/>
  <c r="K68" i="190"/>
  <c r="K66" i="190"/>
  <c r="K65" i="190"/>
  <c r="F67" i="88"/>
  <c r="K61" i="190"/>
  <c r="K60" i="190"/>
  <c r="AE10" i="157"/>
  <c r="AE9" i="157"/>
  <c r="J60" i="190"/>
  <c r="J61" i="190"/>
  <c r="AE8" i="157"/>
  <c r="I60" i="190"/>
  <c r="I61" i="190"/>
  <c r="AE7" i="157"/>
  <c r="H61" i="190"/>
  <c r="H60" i="190"/>
  <c r="F62" i="88"/>
  <c r="AE6" i="157"/>
  <c r="J6" i="157" a="1"/>
  <c r="J6" i="157" l="1"/>
  <c r="G61" i="190"/>
  <c r="G60" i="190"/>
  <c r="F63" i="88"/>
  <c r="F40" i="88"/>
  <c r="F39" i="88"/>
  <c r="AE5" i="157"/>
  <c r="F85" i="190"/>
  <c r="F61" i="190" l="1"/>
  <c r="F60" i="190"/>
  <c r="F17" i="88"/>
  <c r="F15" i="88"/>
  <c r="F34" i="88"/>
  <c r="F33" i="88"/>
  <c r="F32" i="88"/>
  <c r="F49" i="88"/>
  <c r="F14" i="88"/>
  <c r="F31" i="88" l="1"/>
  <c r="F54" i="190"/>
  <c r="F46" i="190"/>
  <c r="AH54" i="190" l="1"/>
  <c r="F28" i="88"/>
  <c r="F27" i="88"/>
  <c r="F42" i="88"/>
  <c r="F41" i="88"/>
  <c r="AG47" i="190"/>
  <c r="F29" i="88"/>
  <c r="F58" i="88"/>
  <c r="F60" i="88"/>
  <c r="F59" i="88"/>
  <c r="F65" i="88"/>
  <c r="F66" i="88"/>
  <c r="AG70" i="190"/>
  <c r="F57" i="88"/>
  <c r="AG45" i="190"/>
  <c r="AF44" i="190"/>
  <c r="F61" i="88"/>
  <c r="F69" i="88"/>
  <c r="F68" i="88"/>
  <c r="P2" i="137"/>
  <c r="P7" i="137"/>
  <c r="P6" i="137"/>
  <c r="P5" i="137"/>
  <c r="P4" i="137"/>
  <c r="P3" i="137"/>
  <c r="Q32" i="137"/>
  <c r="Q31" i="137"/>
  <c r="G9" i="137"/>
  <c r="F25" i="88"/>
  <c r="AH50" i="190"/>
  <c r="Y58" i="190"/>
  <c r="F64" i="88"/>
  <c r="F48" i="88"/>
  <c r="F43" i="88"/>
  <c r="F46" i="88"/>
  <c r="F45" i="88"/>
  <c r="F44" i="88"/>
  <c r="F52" i="88"/>
  <c r="F53" i="88"/>
  <c r="F54" i="88"/>
  <c r="X74" i="190"/>
  <c r="X95" i="190" s="1"/>
  <c r="AH62" i="190"/>
  <c r="F47" i="88"/>
  <c r="AG66" i="190"/>
  <c r="F51" i="88"/>
  <c r="F56" i="88"/>
  <c r="T74" i="190"/>
  <c r="T95" i="190" s="1"/>
  <c r="V74" i="190"/>
  <c r="V95" i="190" s="1"/>
  <c r="F55" i="88"/>
  <c r="F50" i="88"/>
  <c r="F24" i="88"/>
  <c r="F26" i="88"/>
  <c r="F23" i="88"/>
  <c r="F22" i="88"/>
  <c r="F21" i="88"/>
  <c r="F35" i="88"/>
  <c r="F36" i="88"/>
  <c r="F37" i="88"/>
  <c r="F19" i="88"/>
  <c r="F20" i="88"/>
  <c r="AG61" i="190"/>
  <c r="F12" i="88"/>
  <c r="F11" i="88"/>
  <c r="F10" i="88"/>
  <c r="F9" i="88"/>
  <c r="AC121" i="190"/>
  <c r="AB121" i="190"/>
  <c r="AA121" i="190"/>
  <c r="Z121" i="190"/>
  <c r="Y121" i="190"/>
  <c r="X121" i="190"/>
  <c r="W121" i="190"/>
  <c r="V121" i="190"/>
  <c r="U121" i="190"/>
  <c r="T121" i="190"/>
  <c r="S121" i="190"/>
  <c r="R121" i="190"/>
  <c r="Q121" i="190"/>
  <c r="P121" i="190"/>
  <c r="O121" i="190"/>
  <c r="N121" i="190"/>
  <c r="M121" i="190"/>
  <c r="L121" i="190"/>
  <c r="K121" i="190"/>
  <c r="J121" i="190"/>
  <c r="I121" i="190"/>
  <c r="H121" i="190"/>
  <c r="G121" i="190"/>
  <c r="F121" i="190"/>
  <c r="AC101" i="190"/>
  <c r="AB101" i="190"/>
  <c r="AA101" i="190"/>
  <c r="Z101" i="190"/>
  <c r="Y101" i="190"/>
  <c r="X101" i="190"/>
  <c r="W101" i="190"/>
  <c r="V101" i="190"/>
  <c r="U101" i="190"/>
  <c r="S101" i="190"/>
  <c r="R101" i="190"/>
  <c r="Q101" i="190"/>
  <c r="P101" i="190"/>
  <c r="O101" i="190"/>
  <c r="N101" i="190"/>
  <c r="M101" i="190"/>
  <c r="L101" i="190"/>
  <c r="K101" i="190"/>
  <c r="J101" i="190"/>
  <c r="I101" i="190"/>
  <c r="H101" i="190"/>
  <c r="G101" i="190"/>
  <c r="F101" i="190"/>
  <c r="T101" i="190"/>
  <c r="AC78" i="190"/>
  <c r="AC96" i="190" s="1"/>
  <c r="AB78" i="190"/>
  <c r="AB96" i="190" s="1"/>
  <c r="AA78" i="190"/>
  <c r="AA96" i="190" s="1"/>
  <c r="Z78" i="190"/>
  <c r="Z96" i="190" s="1"/>
  <c r="Y78" i="190"/>
  <c r="Y96" i="190" s="1"/>
  <c r="X78" i="190"/>
  <c r="X96" i="190" s="1"/>
  <c r="W78" i="190"/>
  <c r="W96" i="190" s="1"/>
  <c r="V78" i="190"/>
  <c r="V96" i="190" s="1"/>
  <c r="U78" i="190"/>
  <c r="U96" i="190" s="1"/>
  <c r="T78" i="190"/>
  <c r="T96" i="190" s="1"/>
  <c r="S78" i="190"/>
  <c r="S96" i="190" s="1"/>
  <c r="R78" i="190"/>
  <c r="R96" i="190" s="1"/>
  <c r="Q78" i="190"/>
  <c r="Q96" i="190" s="1"/>
  <c r="P78" i="190"/>
  <c r="P96" i="190" s="1"/>
  <c r="O78" i="190"/>
  <c r="O96" i="190" s="1"/>
  <c r="N78" i="190"/>
  <c r="N96" i="190" s="1"/>
  <c r="M78" i="190"/>
  <c r="M96" i="190" s="1"/>
  <c r="L78" i="190"/>
  <c r="L96" i="190" s="1"/>
  <c r="K78" i="190"/>
  <c r="K96" i="190" s="1"/>
  <c r="J78" i="190"/>
  <c r="J96" i="190" s="1"/>
  <c r="I78" i="190"/>
  <c r="I96" i="190" s="1"/>
  <c r="H78" i="190"/>
  <c r="H96" i="190" s="1"/>
  <c r="G78" i="190"/>
  <c r="G96" i="190" s="1"/>
  <c r="F78" i="190"/>
  <c r="F96" i="190" s="1"/>
  <c r="C78" i="190"/>
  <c r="B78" i="190"/>
  <c r="B25" i="190" s="1"/>
  <c r="AH77" i="190"/>
  <c r="AG77" i="190"/>
  <c r="AF77" i="190"/>
  <c r="AH76" i="190"/>
  <c r="AG76" i="190"/>
  <c r="AF76" i="190"/>
  <c r="AI75" i="190"/>
  <c r="AC74" i="190"/>
  <c r="AC95" i="190" s="1"/>
  <c r="U74" i="190"/>
  <c r="U95" i="190" s="1"/>
  <c r="S74" i="190"/>
  <c r="S95" i="190" s="1"/>
  <c r="R74" i="190"/>
  <c r="R95" i="190" s="1"/>
  <c r="Q74" i="190"/>
  <c r="Q95" i="190" s="1"/>
  <c r="P74" i="190"/>
  <c r="P95" i="190" s="1"/>
  <c r="O74" i="190"/>
  <c r="O95" i="190" s="1"/>
  <c r="N74" i="190"/>
  <c r="N95" i="190" s="1"/>
  <c r="L74" i="190"/>
  <c r="L95" i="190" s="1"/>
  <c r="K74" i="190"/>
  <c r="K95" i="190" s="1"/>
  <c r="I74" i="190"/>
  <c r="I95" i="190" s="1"/>
  <c r="H74" i="190"/>
  <c r="H95" i="190" s="1"/>
  <c r="G74" i="190"/>
  <c r="G95" i="190" s="1"/>
  <c r="F74" i="190"/>
  <c r="F95" i="190" s="1"/>
  <c r="C74" i="190"/>
  <c r="B74" i="190"/>
  <c r="AH72" i="190"/>
  <c r="AG72" i="190"/>
  <c r="AF72" i="190"/>
  <c r="AH71" i="190"/>
  <c r="AG71" i="190"/>
  <c r="AF71" i="190"/>
  <c r="AB74" i="190"/>
  <c r="AB95" i="190" s="1"/>
  <c r="AA74" i="190"/>
  <c r="AA95" i="190" s="1"/>
  <c r="Z74" i="190"/>
  <c r="Z95" i="190" s="1"/>
  <c r="Y74" i="190"/>
  <c r="Y95" i="190" s="1"/>
  <c r="AH68" i="190"/>
  <c r="AG68" i="190"/>
  <c r="AF68" i="190"/>
  <c r="AH67" i="190"/>
  <c r="AG67" i="190"/>
  <c r="AF67" i="190"/>
  <c r="AH65" i="190"/>
  <c r="AG65" i="190"/>
  <c r="AF65" i="190"/>
  <c r="T63" i="190"/>
  <c r="T94" i="190" s="1"/>
  <c r="S63" i="190"/>
  <c r="S94" i="190" s="1"/>
  <c r="R63" i="190"/>
  <c r="R94" i="190" s="1"/>
  <c r="Q63" i="190"/>
  <c r="Q94" i="190" s="1"/>
  <c r="P63" i="190"/>
  <c r="P94" i="190" s="1"/>
  <c r="O63" i="190"/>
  <c r="O94" i="190" s="1"/>
  <c r="N63" i="190"/>
  <c r="N94" i="190" s="1"/>
  <c r="I63" i="190"/>
  <c r="I94" i="190" s="1"/>
  <c r="G63" i="190"/>
  <c r="G94" i="190" s="1"/>
  <c r="F63" i="190"/>
  <c r="F94" i="190" s="1"/>
  <c r="C63" i="190"/>
  <c r="B63" i="190"/>
  <c r="AC63" i="190"/>
  <c r="AC94" i="190" s="1"/>
  <c r="AB63" i="190"/>
  <c r="AB94" i="190" s="1"/>
  <c r="AA63" i="190"/>
  <c r="AA94" i="190" s="1"/>
  <c r="Y63" i="190"/>
  <c r="Y94" i="190" s="1"/>
  <c r="X63" i="190"/>
  <c r="X94" i="190" s="1"/>
  <c r="K63" i="190"/>
  <c r="K94" i="190" s="1"/>
  <c r="J63" i="190"/>
  <c r="J94" i="190" s="1"/>
  <c r="H63" i="190"/>
  <c r="H94" i="190" s="1"/>
  <c r="W63" i="190"/>
  <c r="W94" i="190" s="1"/>
  <c r="V63" i="190"/>
  <c r="V94" i="190" s="1"/>
  <c r="U63" i="190"/>
  <c r="U94" i="190" s="1"/>
  <c r="M63" i="190"/>
  <c r="M94" i="190" s="1"/>
  <c r="AC58" i="190"/>
  <c r="AA58" i="190"/>
  <c r="Z58" i="190"/>
  <c r="T58" i="190"/>
  <c r="T93" i="190" s="1"/>
  <c r="S58" i="190"/>
  <c r="S93" i="190" s="1"/>
  <c r="R58" i="190"/>
  <c r="R93" i="190" s="1"/>
  <c r="Q58" i="190"/>
  <c r="Q93" i="190" s="1"/>
  <c r="P58" i="190"/>
  <c r="P93" i="190" s="1"/>
  <c r="O58" i="190"/>
  <c r="O93" i="190" s="1"/>
  <c r="N58" i="190"/>
  <c r="N93" i="190" s="1"/>
  <c r="M58" i="190"/>
  <c r="M93" i="190" s="1"/>
  <c r="L58" i="190"/>
  <c r="L93" i="190" s="1"/>
  <c r="K58" i="190"/>
  <c r="K93" i="190" s="1"/>
  <c r="J58" i="190"/>
  <c r="J93" i="190" s="1"/>
  <c r="I58" i="190"/>
  <c r="I93" i="190" s="1"/>
  <c r="H58" i="190"/>
  <c r="H93" i="190" s="1"/>
  <c r="G58" i="190"/>
  <c r="G93" i="190" s="1"/>
  <c r="C58" i="190"/>
  <c r="B58" i="190"/>
  <c r="AG57" i="190"/>
  <c r="AH56" i="190"/>
  <c r="AH55" i="190"/>
  <c r="AG55" i="190"/>
  <c r="AF55" i="190"/>
  <c r="AH53" i="190"/>
  <c r="AH52" i="190"/>
  <c r="AH51" i="190"/>
  <c r="AG51" i="190"/>
  <c r="AF51" i="190"/>
  <c r="AH49" i="190"/>
  <c r="AG49" i="190"/>
  <c r="AF49" i="190"/>
  <c r="AG48" i="190"/>
  <c r="AH48" i="190"/>
  <c r="AF46" i="190"/>
  <c r="W58" i="190"/>
  <c r="V58" i="190"/>
  <c r="V93" i="190" s="1"/>
  <c r="AG43" i="190"/>
  <c r="AH43" i="190"/>
  <c r="AG42" i="190"/>
  <c r="AF42" i="190"/>
  <c r="AH41" i="190"/>
  <c r="AG41" i="190"/>
  <c r="AF41" i="190"/>
  <c r="AH40" i="190"/>
  <c r="AG40" i="190"/>
  <c r="AF40" i="190"/>
  <c r="AG39" i="190"/>
  <c r="F58" i="190"/>
  <c r="F93" i="190" s="1"/>
  <c r="AH38" i="190"/>
  <c r="AG38" i="190"/>
  <c r="AF38" i="190"/>
  <c r="AH37" i="190"/>
  <c r="AG37" i="190"/>
  <c r="AF37" i="190"/>
  <c r="X58" i="190"/>
  <c r="U58" i="190"/>
  <c r="U93" i="190" s="1"/>
  <c r="AH35" i="190"/>
  <c r="AG35" i="190"/>
  <c r="AF35" i="190"/>
  <c r="AH34" i="190"/>
  <c r="AG34" i="190"/>
  <c r="AF34" i="190"/>
  <c r="AC32" i="190"/>
  <c r="AC91" i="190" s="1"/>
  <c r="AB32" i="190"/>
  <c r="AB91" i="190" s="1"/>
  <c r="AA32" i="190"/>
  <c r="AA91" i="190" s="1"/>
  <c r="Z32" i="190"/>
  <c r="Z91" i="190" s="1"/>
  <c r="Y32" i="190"/>
  <c r="Y91" i="190" s="1"/>
  <c r="X32" i="190"/>
  <c r="X91" i="190" s="1"/>
  <c r="W32" i="190"/>
  <c r="W91" i="190" s="1"/>
  <c r="V32" i="190"/>
  <c r="V91" i="190" s="1"/>
  <c r="U32" i="190"/>
  <c r="U91" i="190" s="1"/>
  <c r="T32" i="190"/>
  <c r="T91" i="190" s="1"/>
  <c r="S32" i="190"/>
  <c r="S91" i="190" s="1"/>
  <c r="R32" i="190"/>
  <c r="R91" i="190" s="1"/>
  <c r="Q32" i="190"/>
  <c r="Q91" i="190" s="1"/>
  <c r="P32" i="190"/>
  <c r="P91" i="190" s="1"/>
  <c r="O32" i="190"/>
  <c r="O91" i="190" s="1"/>
  <c r="N32" i="190"/>
  <c r="N91" i="190" s="1"/>
  <c r="M32" i="190"/>
  <c r="M91" i="190" s="1"/>
  <c r="L32" i="190"/>
  <c r="L91" i="190" s="1"/>
  <c r="K32" i="190"/>
  <c r="K91" i="190" s="1"/>
  <c r="J32" i="190"/>
  <c r="J91" i="190" s="1"/>
  <c r="I32" i="190"/>
  <c r="I91" i="190" s="1"/>
  <c r="H32" i="190"/>
  <c r="H91" i="190" s="1"/>
  <c r="G32" i="190"/>
  <c r="G91" i="190" s="1"/>
  <c r="F32" i="190"/>
  <c r="F91" i="190" s="1"/>
  <c r="C32" i="190"/>
  <c r="B32" i="190"/>
  <c r="AH31" i="190"/>
  <c r="AG31" i="190"/>
  <c r="AF31" i="190"/>
  <c r="AI30" i="190"/>
  <c r="AC29" i="190"/>
  <c r="AC89" i="190" s="1"/>
  <c r="AB29" i="190"/>
  <c r="AB89" i="190" s="1"/>
  <c r="AA29" i="190"/>
  <c r="AA89" i="190" s="1"/>
  <c r="Z29" i="190"/>
  <c r="Z89" i="190" s="1"/>
  <c r="Y29" i="190"/>
  <c r="Y89" i="190" s="1"/>
  <c r="X29" i="190"/>
  <c r="X89" i="190" s="1"/>
  <c r="W29" i="190"/>
  <c r="W89" i="190" s="1"/>
  <c r="V29" i="190"/>
  <c r="V89" i="190" s="1"/>
  <c r="U29" i="190"/>
  <c r="U89" i="190" s="1"/>
  <c r="T29" i="190"/>
  <c r="T89" i="190" s="1"/>
  <c r="S29" i="190"/>
  <c r="S89" i="190" s="1"/>
  <c r="R29" i="190"/>
  <c r="R89" i="190" s="1"/>
  <c r="Q29" i="190"/>
  <c r="Q89" i="190" s="1"/>
  <c r="P29" i="190"/>
  <c r="P89" i="190" s="1"/>
  <c r="O29" i="190"/>
  <c r="O89" i="190" s="1"/>
  <c r="N29" i="190"/>
  <c r="N89" i="190" s="1"/>
  <c r="M29" i="190"/>
  <c r="M89" i="190" s="1"/>
  <c r="L29" i="190"/>
  <c r="L89" i="190" s="1"/>
  <c r="K29" i="190"/>
  <c r="K89" i="190" s="1"/>
  <c r="J29" i="190"/>
  <c r="J89" i="190" s="1"/>
  <c r="I29" i="190"/>
  <c r="I89" i="190" s="1"/>
  <c r="H29" i="190"/>
  <c r="H89" i="190" s="1"/>
  <c r="G29" i="190"/>
  <c r="G89" i="190" s="1"/>
  <c r="F29" i="190"/>
  <c r="F89" i="190" s="1"/>
  <c r="C29" i="190"/>
  <c r="B29" i="190"/>
  <c r="AH28" i="190"/>
  <c r="AG28" i="190"/>
  <c r="AF28" i="190"/>
  <c r="AH27" i="190"/>
  <c r="AG27" i="190"/>
  <c r="AF27" i="190"/>
  <c r="AI26" i="190"/>
  <c r="AC25" i="190"/>
  <c r="AB25" i="190"/>
  <c r="AA25" i="190"/>
  <c r="Z25" i="190"/>
  <c r="Y25" i="190"/>
  <c r="X25" i="190"/>
  <c r="W25" i="190"/>
  <c r="V25" i="190"/>
  <c r="U25" i="190"/>
  <c r="T25" i="190"/>
  <c r="S25" i="190"/>
  <c r="R25" i="190"/>
  <c r="Q25" i="190"/>
  <c r="P25" i="190"/>
  <c r="O25" i="190"/>
  <c r="N25" i="190"/>
  <c r="M25" i="190"/>
  <c r="L25" i="190"/>
  <c r="K25" i="190"/>
  <c r="J25" i="190"/>
  <c r="I25" i="190"/>
  <c r="H25" i="190"/>
  <c r="G25" i="190"/>
  <c r="F25" i="190"/>
  <c r="C25" i="190"/>
  <c r="AH24" i="190"/>
  <c r="AG24" i="190"/>
  <c r="AF24" i="190"/>
  <c r="AI23" i="190"/>
  <c r="AC22" i="190"/>
  <c r="AB22" i="190"/>
  <c r="AA22" i="190"/>
  <c r="Z22" i="190"/>
  <c r="Y22" i="190"/>
  <c r="X22" i="190"/>
  <c r="W22" i="190"/>
  <c r="V22" i="190"/>
  <c r="U22" i="190"/>
  <c r="U85" i="190" s="1"/>
  <c r="T22" i="190"/>
  <c r="T85" i="190" s="1"/>
  <c r="S22" i="190"/>
  <c r="S85" i="190" s="1"/>
  <c r="R22" i="190"/>
  <c r="R85" i="190" s="1"/>
  <c r="Q22" i="190"/>
  <c r="Q85" i="190" s="1"/>
  <c r="P22" i="190"/>
  <c r="P85" i="190" s="1"/>
  <c r="O22" i="190"/>
  <c r="O85" i="190" s="1"/>
  <c r="N22" i="190"/>
  <c r="N85" i="190" s="1"/>
  <c r="M22" i="190"/>
  <c r="M85" i="190" s="1"/>
  <c r="L22" i="190"/>
  <c r="L85" i="190" s="1"/>
  <c r="K22" i="190"/>
  <c r="K85" i="190" s="1"/>
  <c r="J22" i="190"/>
  <c r="I22" i="190"/>
  <c r="H22" i="190"/>
  <c r="G22" i="190"/>
  <c r="F22" i="190"/>
  <c r="C22" i="190"/>
  <c r="B22" i="190"/>
  <c r="AH21" i="190"/>
  <c r="AG21" i="190"/>
  <c r="AF21" i="190"/>
  <c r="AH20" i="190"/>
  <c r="AG20" i="190"/>
  <c r="AF20" i="190"/>
  <c r="AH19" i="190"/>
  <c r="AG19" i="190"/>
  <c r="AF19" i="190"/>
  <c r="AI18" i="190"/>
  <c r="AC17" i="190"/>
  <c r="AC87" i="190" s="1"/>
  <c r="AB17" i="190"/>
  <c r="AA17" i="190"/>
  <c r="Z17" i="190"/>
  <c r="Z87" i="190" s="1"/>
  <c r="Y17" i="190"/>
  <c r="Y87" i="190" s="1"/>
  <c r="X17" i="190"/>
  <c r="W17" i="190"/>
  <c r="W87" i="190" s="1"/>
  <c r="V17" i="190"/>
  <c r="V87" i="190" s="1"/>
  <c r="U17" i="190"/>
  <c r="U87" i="190" s="1"/>
  <c r="T17" i="190"/>
  <c r="T87" i="190" s="1"/>
  <c r="S17" i="190"/>
  <c r="S87" i="190" s="1"/>
  <c r="R17" i="190"/>
  <c r="R87" i="190" s="1"/>
  <c r="Q17" i="190"/>
  <c r="P17" i="190"/>
  <c r="O17" i="190"/>
  <c r="N17" i="190"/>
  <c r="M17" i="190"/>
  <c r="M87" i="190" s="1"/>
  <c r="L17" i="190"/>
  <c r="K17" i="190"/>
  <c r="J17" i="190"/>
  <c r="I17" i="190"/>
  <c r="H17" i="190"/>
  <c r="G17" i="190"/>
  <c r="F17" i="190"/>
  <c r="F87" i="190" s="1"/>
  <c r="C17" i="190"/>
  <c r="C79" i="190" s="1"/>
  <c r="B17" i="190"/>
  <c r="B79" i="190" s="1"/>
  <c r="AH16" i="190"/>
  <c r="AG16" i="190"/>
  <c r="AF16" i="190"/>
  <c r="AH15" i="190"/>
  <c r="AG15" i="190"/>
  <c r="AF15" i="190"/>
  <c r="AH14" i="190"/>
  <c r="AG14" i="190"/>
  <c r="AF14" i="190"/>
  <c r="AH13" i="190"/>
  <c r="AG13" i="190"/>
  <c r="AF13" i="190"/>
  <c r="AI12" i="190"/>
  <c r="M9" i="190" a="1"/>
  <c r="M9" i="190" s="1"/>
  <c r="AC93" i="190" l="1"/>
  <c r="AC85" i="190"/>
  <c r="AB85" i="190"/>
  <c r="AA93" i="190"/>
  <c r="AA85" i="190"/>
  <c r="Z93" i="190"/>
  <c r="Z85" i="190"/>
  <c r="Y93" i="190"/>
  <c r="Y85" i="190"/>
  <c r="X93" i="190"/>
  <c r="X85" i="190"/>
  <c r="W93" i="190"/>
  <c r="W85" i="190"/>
  <c r="V85" i="190"/>
  <c r="J85" i="190"/>
  <c r="I85" i="190"/>
  <c r="H85" i="190"/>
  <c r="G85" i="190"/>
  <c r="W104" i="190"/>
  <c r="AH47" i="190"/>
  <c r="AB58" i="190"/>
  <c r="AF47" i="190"/>
  <c r="AF60" i="190"/>
  <c r="AB104" i="190"/>
  <c r="Z63" i="190"/>
  <c r="Z94" i="190" s="1"/>
  <c r="AH44" i="190"/>
  <c r="AF45" i="190"/>
  <c r="AA104" i="190"/>
  <c r="P17" i="137"/>
  <c r="AG44" i="190"/>
  <c r="W74" i="190"/>
  <c r="W95" i="190" s="1"/>
  <c r="AH66" i="190"/>
  <c r="AF66" i="190"/>
  <c r="Q104" i="190"/>
  <c r="P104" i="190"/>
  <c r="O104" i="190"/>
  <c r="M74" i="190"/>
  <c r="M95" i="190" s="1"/>
  <c r="M97" i="190" s="1"/>
  <c r="M102" i="190" s="1"/>
  <c r="AH70" i="190"/>
  <c r="AF70" i="190"/>
  <c r="AG73" i="190"/>
  <c r="M103" i="190"/>
  <c r="J74" i="190"/>
  <c r="J95" i="190" s="1"/>
  <c r="AF73" i="190"/>
  <c r="AH73" i="190"/>
  <c r="H79" i="190"/>
  <c r="G104" i="190"/>
  <c r="AC103" i="190"/>
  <c r="AC104" i="190"/>
  <c r="J104" i="190"/>
  <c r="K104" i="190"/>
  <c r="G87" i="190"/>
  <c r="G103" i="190" s="1"/>
  <c r="H87" i="190"/>
  <c r="H103" i="190" s="1"/>
  <c r="N79" i="190"/>
  <c r="S103" i="190"/>
  <c r="N87" i="190"/>
  <c r="N103" i="190" s="1"/>
  <c r="O87" i="190"/>
  <c r="O103" i="190" s="1"/>
  <c r="N104" i="190"/>
  <c r="P87" i="190"/>
  <c r="P103" i="190" s="1"/>
  <c r="Y97" i="190"/>
  <c r="Y102" i="190" s="1"/>
  <c r="Q87" i="190"/>
  <c r="I104" i="190"/>
  <c r="Q97" i="190"/>
  <c r="Q102" i="190" s="1"/>
  <c r="M104" i="190"/>
  <c r="J87" i="190"/>
  <c r="J103" i="190" s="1"/>
  <c r="R103" i="190"/>
  <c r="W103" i="190"/>
  <c r="X104" i="190"/>
  <c r="S104" i="190"/>
  <c r="L104" i="190"/>
  <c r="I87" i="190"/>
  <c r="I103" i="190" s="1"/>
  <c r="K87" i="190"/>
  <c r="K103" i="190" s="1"/>
  <c r="L87" i="190"/>
  <c r="L103" i="190" s="1"/>
  <c r="T103" i="190"/>
  <c r="F97" i="190"/>
  <c r="F102" i="190" s="1"/>
  <c r="R104" i="190"/>
  <c r="AA87" i="190"/>
  <c r="AA103" i="190" s="1"/>
  <c r="Z97" i="190"/>
  <c r="Z102" i="190" s="1"/>
  <c r="Y103" i="190"/>
  <c r="AC97" i="190"/>
  <c r="AC102" i="190" s="1"/>
  <c r="T97" i="190"/>
  <c r="T102" i="190" s="1"/>
  <c r="AB87" i="190"/>
  <c r="AB103" i="190" s="1"/>
  <c r="U103" i="190"/>
  <c r="V103" i="190"/>
  <c r="Q103" i="190"/>
  <c r="Z103" i="190"/>
  <c r="F103" i="190"/>
  <c r="U79" i="190"/>
  <c r="V79" i="190"/>
  <c r="O79" i="190"/>
  <c r="AI59" i="190"/>
  <c r="R79" i="190"/>
  <c r="AF36" i="190"/>
  <c r="AG52" i="190"/>
  <c r="T79" i="190"/>
  <c r="T104" i="190"/>
  <c r="R97" i="190"/>
  <c r="R102" i="190" s="1"/>
  <c r="AF53" i="190"/>
  <c r="AF61" i="190"/>
  <c r="Y79" i="190"/>
  <c r="AG60" i="190"/>
  <c r="V97" i="190"/>
  <c r="V102" i="190" s="1"/>
  <c r="Y104" i="190"/>
  <c r="AF43" i="190"/>
  <c r="AH61" i="190"/>
  <c r="Q79" i="190"/>
  <c r="AG36" i="190"/>
  <c r="AF56" i="190"/>
  <c r="U104" i="190"/>
  <c r="S97" i="190"/>
  <c r="S102" i="190" s="1"/>
  <c r="F79" i="190"/>
  <c r="AH60" i="190"/>
  <c r="AF39" i="190"/>
  <c r="AH46" i="190"/>
  <c r="AH57" i="190"/>
  <c r="I79" i="190"/>
  <c r="AC79" i="190"/>
  <c r="H104" i="190"/>
  <c r="P79" i="190"/>
  <c r="AH36" i="190"/>
  <c r="AH42" i="190"/>
  <c r="AH45" i="190"/>
  <c r="U97" i="190"/>
  <c r="U102" i="190" s="1"/>
  <c r="AI33" i="190"/>
  <c r="AF50" i="190"/>
  <c r="AF69" i="190"/>
  <c r="V104" i="190"/>
  <c r="AG53" i="190"/>
  <c r="AF57" i="190"/>
  <c r="G79" i="190"/>
  <c r="Z104" i="190"/>
  <c r="AH39" i="190"/>
  <c r="AG50" i="190"/>
  <c r="AF54" i="190"/>
  <c r="AI64" i="190"/>
  <c r="AG69" i="190"/>
  <c r="K79" i="190"/>
  <c r="AF52" i="190"/>
  <c r="AG62" i="190"/>
  <c r="F104" i="190"/>
  <c r="AG46" i="190"/>
  <c r="AG54" i="190"/>
  <c r="AH69" i="190"/>
  <c r="X87" i="190"/>
  <c r="X103" i="190" s="1"/>
  <c r="S79" i="190"/>
  <c r="L63" i="190"/>
  <c r="L94" i="190" s="1"/>
  <c r="AF48" i="190"/>
  <c r="AG56" i="190"/>
  <c r="AF62" i="190"/>
  <c r="X79" i="190"/>
  <c r="AA79" i="190"/>
  <c r="P18" i="137" l="1"/>
  <c r="P19" i="137" s="1"/>
  <c r="AB93" i="190"/>
  <c r="AB97" i="190" s="1"/>
  <c r="AB102" i="190" s="1"/>
  <c r="P97" i="190"/>
  <c r="P102" i="190" s="1"/>
  <c r="I97" i="190"/>
  <c r="I102" i="190" s="1"/>
  <c r="W97" i="190"/>
  <c r="W102" i="190" s="1"/>
  <c r="Z79" i="190"/>
  <c r="J79" i="190"/>
  <c r="W79" i="190"/>
  <c r="G97" i="190"/>
  <c r="G102" i="190" s="1"/>
  <c r="AB79" i="190"/>
  <c r="X97" i="190"/>
  <c r="X102" i="190" s="1"/>
  <c r="M79" i="190"/>
  <c r="K97" i="190"/>
  <c r="K102" i="190" s="1"/>
  <c r="AA97" i="190"/>
  <c r="AA102" i="190" s="1"/>
  <c r="H97" i="190"/>
  <c r="H102" i="190" s="1"/>
  <c r="J97" i="190"/>
  <c r="J102" i="190" s="1"/>
  <c r="N97" i="190"/>
  <c r="N102" i="190" s="1"/>
  <c r="O97" i="190"/>
  <c r="O102" i="190" s="1"/>
  <c r="L97" i="190"/>
  <c r="L102" i="190" s="1"/>
  <c r="L79" i="190"/>
  <c r="G8" i="137" l="1"/>
  <c r="G7" i="137"/>
  <c r="H32" i="137"/>
  <c r="H31" i="137"/>
  <c r="G6" i="137"/>
  <c r="G5" i="137"/>
  <c r="G4" i="137"/>
  <c r="AG3" i="102" l="1"/>
  <c r="G3" i="137" l="1"/>
  <c r="G2" i="137"/>
  <c r="G17" i="137" s="1"/>
  <c r="A1" i="157" l="1"/>
  <c r="AG5" i="102" l="1"/>
  <c r="C10" i="156" l="1"/>
  <c r="D10" i="156"/>
  <c r="B10" i="156"/>
  <c r="C8" i="156"/>
  <c r="D8" i="156"/>
  <c r="B8" i="156"/>
  <c r="G18" i="137" l="1"/>
  <c r="G19" i="137" s="1"/>
  <c r="X28" i="112" l="1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 s="1"/>
  <c r="D5" i="127" s="1"/>
  <c r="D6" i="127" s="1"/>
  <c r="D7" i="127" s="1"/>
  <c r="D8" i="127" s="1"/>
  <c r="D9" i="127" s="1"/>
  <c r="D10" i="127" s="1"/>
  <c r="D11" i="127" s="1"/>
  <c r="D12" i="127" s="1"/>
  <c r="D13" i="127" s="1"/>
  <c r="D14" i="127" s="1"/>
  <c r="D15" i="127" s="1"/>
  <c r="D16" i="127" s="1"/>
  <c r="A3" i="127"/>
  <c r="A4" i="127" s="1"/>
  <c r="A5" i="127" s="1"/>
  <c r="A6" i="127" s="1"/>
  <c r="A7" i="127" s="1"/>
  <c r="A8" i="127" s="1"/>
  <c r="A9" i="127" s="1"/>
  <c r="A10" i="127" s="1"/>
  <c r="A11" i="127" s="1"/>
  <c r="A12" i="127" s="1"/>
  <c r="A13" i="127" s="1"/>
  <c r="A14" i="127" s="1"/>
  <c r="A15" i="127" s="1"/>
  <c r="A16" i="127" s="1"/>
  <c r="E2" i="127"/>
  <c r="D63" i="102"/>
  <c r="H36" i="102"/>
  <c r="D36" i="102"/>
  <c r="T36" i="102" s="1"/>
  <c r="H25" i="102"/>
  <c r="D25" i="102"/>
  <c r="T25" i="102" s="1"/>
  <c r="H17" i="102"/>
  <c r="D17" i="102"/>
  <c r="T17" i="102" s="1"/>
  <c r="H9" i="102"/>
  <c r="D9" i="102"/>
  <c r="T9" i="102" s="1"/>
  <c r="A8" i="79"/>
  <c r="A11" i="79" s="1"/>
  <c r="A14" i="79" s="1"/>
  <c r="A20" i="79" s="1"/>
  <c r="A7" i="79"/>
  <c r="A10" i="79" s="1"/>
  <c r="A13" i="79" s="1"/>
  <c r="A19" i="79" s="1"/>
  <c r="C50" i="105"/>
  <c r="C49" i="105"/>
  <c r="C48" i="105"/>
  <c r="C47" i="105"/>
  <c r="B47" i="105"/>
  <c r="C46" i="105"/>
  <c r="B46" i="105"/>
  <c r="C45" i="105"/>
  <c r="C44" i="105"/>
  <c r="C43" i="105"/>
  <c r="C42" i="105"/>
  <c r="B42" i="105"/>
  <c r="C41" i="105"/>
  <c r="C40" i="105"/>
  <c r="C39" i="105"/>
  <c r="C38" i="105"/>
  <c r="B38" i="105"/>
  <c r="C37" i="105"/>
  <c r="C36" i="105"/>
  <c r="C35" i="105"/>
  <c r="C34" i="105"/>
  <c r="C33" i="105"/>
  <c r="C32" i="105"/>
  <c r="C31" i="105"/>
  <c r="C30" i="105"/>
  <c r="C29" i="105"/>
  <c r="C28" i="105"/>
  <c r="C26" i="105"/>
  <c r="C25" i="105"/>
  <c r="C24" i="105"/>
  <c r="C22" i="105"/>
  <c r="C21" i="105"/>
  <c r="B21" i="105"/>
  <c r="C20" i="105"/>
  <c r="B20" i="105"/>
  <c r="C19" i="105"/>
  <c r="B19" i="105"/>
  <c r="C18" i="105"/>
  <c r="C17" i="105"/>
  <c r="C16" i="105"/>
  <c r="B16" i="105"/>
  <c r="C15" i="105"/>
  <c r="C14" i="105"/>
  <c r="B14" i="105"/>
  <c r="C13" i="105"/>
  <c r="B13" i="105"/>
  <c r="C12" i="105"/>
  <c r="C11" i="105"/>
  <c r="C7" i="105"/>
  <c r="B7" i="105"/>
  <c r="C6" i="105"/>
  <c r="B6" i="105"/>
  <c r="C2" i="105"/>
  <c r="B18" i="105"/>
  <c r="C23" i="105"/>
  <c r="C5" i="105"/>
  <c r="B40" i="105"/>
  <c r="C4" i="105"/>
  <c r="B12" i="105"/>
  <c r="A1" i="112" a="1"/>
  <c r="A1" i="112" l="1"/>
  <c r="C20" i="79"/>
  <c r="A23" i="79"/>
  <c r="A22" i="79"/>
  <c r="C19" i="79"/>
  <c r="C9" i="105"/>
  <c r="C3" i="105"/>
  <c r="I36" i="102"/>
  <c r="E9" i="102"/>
  <c r="E36" i="102"/>
  <c r="E17" i="102"/>
  <c r="B9" i="105"/>
  <c r="B5" i="105"/>
  <c r="B15" i="105"/>
  <c r="B17" i="105"/>
  <c r="B4" i="105"/>
  <c r="B10" i="105"/>
  <c r="C27" i="105"/>
  <c r="B48" i="105"/>
  <c r="C10" i="105"/>
  <c r="B49" i="105"/>
  <c r="B30" i="105"/>
  <c r="B31" i="105"/>
  <c r="B41" i="105"/>
  <c r="B3" i="105"/>
  <c r="B44" i="105"/>
  <c r="B22" i="105"/>
  <c r="B23" i="105"/>
  <c r="B2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C8" i="105"/>
  <c r="B24" i="105"/>
  <c r="I25" i="102"/>
  <c r="I17" i="102"/>
  <c r="I9" i="102"/>
  <c r="N65" i="177" a="1"/>
  <c r="M46" i="177" a="1"/>
  <c r="R63" i="177" a="1"/>
  <c r="S45" i="177" a="1"/>
  <c r="Z37" i="177" a="1"/>
  <c r="C57" i="177" a="1"/>
  <c r="Q41" i="177" a="1"/>
  <c r="H59" i="177" a="1"/>
  <c r="Q57" i="177" a="1"/>
  <c r="C62" i="177" a="1"/>
  <c r="D48" i="177" a="1"/>
  <c r="K40" i="177" a="1"/>
  <c r="AN6" i="157" a="1"/>
  <c r="AQ11" i="157" a="1"/>
  <c r="D65" i="177" a="1"/>
  <c r="Q44" i="177" a="1"/>
  <c r="Y63" i="177" a="1"/>
  <c r="U40" i="177" a="1"/>
  <c r="I37" i="177" a="1"/>
  <c r="G20" i="157" a="1"/>
  <c r="N63" i="177" a="1"/>
  <c r="P38" i="177" a="1"/>
  <c r="N17" i="157" a="1"/>
  <c r="N6" i="157" a="1"/>
  <c r="AQ13" i="157" a="1"/>
  <c r="Q60" i="177" a="1"/>
  <c r="Y64" i="177" a="1"/>
  <c r="AN10" i="157" a="1"/>
  <c r="L51" i="177" a="1"/>
  <c r="V19" i="157" a="1"/>
  <c r="W42" i="177" a="1"/>
  <c r="L43" i="177" a="1"/>
  <c r="M47" i="177" a="1"/>
  <c r="G25" i="157" a="1"/>
  <c r="I43" i="177" a="1"/>
  <c r="G61" i="177" a="1"/>
  <c r="C47" i="177" a="1"/>
  <c r="O50" i="177" a="1"/>
  <c r="AD9" i="157" a="1"/>
  <c r="X43" i="177" a="1"/>
  <c r="K35" i="177" a="1"/>
  <c r="M38" i="177" a="1"/>
  <c r="G39" i="177" a="1"/>
  <c r="X57" i="177" a="1"/>
  <c r="AH20" i="157" a="1"/>
  <c r="X40" i="177" a="1"/>
  <c r="V47" i="177" a="1"/>
  <c r="L44" i="177" a="1"/>
  <c r="AN26" i="157" a="1"/>
  <c r="AQ16" i="157" a="1"/>
  <c r="P37" i="177" a="1"/>
  <c r="S35" i="177" a="1"/>
  <c r="N57" i="177" a="1"/>
  <c r="E39" i="177" a="1"/>
  <c r="AN17" i="157" a="1"/>
  <c r="U35" i="177" a="1"/>
  <c r="G42" i="177" a="1"/>
  <c r="G60" i="177" a="1"/>
  <c r="AH6" i="157" a="1"/>
  <c r="K62" i="177" a="1"/>
  <c r="AQ27" i="157" a="1"/>
  <c r="O47" i="177" a="1"/>
  <c r="X56" i="177" a="1"/>
  <c r="F51" i="177" a="1"/>
  <c r="AD23" i="157" a="1"/>
  <c r="F36" i="177" a="1"/>
  <c r="O62" i="177" a="1"/>
  <c r="W50" i="177" a="1"/>
  <c r="C51" i="177" a="1"/>
  <c r="E37" i="177" a="1"/>
  <c r="G24" i="157" a="1"/>
  <c r="AQ10" i="157" a="1"/>
  <c r="I53" i="177" a="1"/>
  <c r="I45" i="177" a="1"/>
  <c r="I44" i="177" a="1"/>
  <c r="N7" i="157" a="1"/>
  <c r="O46" i="177" a="1"/>
  <c r="J38" i="177" a="1"/>
  <c r="R17" i="157" a="1"/>
  <c r="C44" i="177" a="1"/>
  <c r="N18" i="157" a="1"/>
  <c r="S65" i="177" a="1"/>
  <c r="L62" i="177" a="1"/>
  <c r="AD14" i="157" a="1"/>
  <c r="N16" i="157" a="1"/>
  <c r="J48" i="177" a="1"/>
  <c r="E47" i="177" a="1"/>
  <c r="N14" i="157" a="1"/>
  <c r="G57" i="177" a="1"/>
  <c r="G11" i="157" a="1"/>
  <c r="E61" i="177" a="1"/>
  <c r="O45" i="177" a="1"/>
  <c r="M35" i="177" a="1"/>
  <c r="X35" i="177" a="1"/>
  <c r="M45" i="177" a="1"/>
  <c r="AH10" i="157" a="1"/>
  <c r="X36" i="177" a="1"/>
  <c r="R23" i="157" a="1"/>
  <c r="W44" i="177" a="1"/>
  <c r="H40" i="177" a="1"/>
  <c r="V26" i="157" a="1"/>
  <c r="D37" i="177" a="1"/>
  <c r="F45" i="177" a="1"/>
  <c r="I42" i="177" a="1"/>
  <c r="N42" i="177" a="1"/>
  <c r="R19" i="157" a="1"/>
  <c r="F56" i="177" a="1"/>
  <c r="G58" i="177" a="1"/>
  <c r="U64" i="177" a="1"/>
  <c r="N46" i="177" a="1"/>
  <c r="U40" i="102" a="1"/>
  <c r="L56" i="177" a="1"/>
  <c r="R56" i="177" a="1"/>
  <c r="H37" i="177" a="1"/>
  <c r="K59" i="177" a="1"/>
  <c r="F62" i="177" a="1"/>
  <c r="Q51" i="177" a="1"/>
  <c r="D41" i="177" a="1"/>
  <c r="Z53" i="177" a="1"/>
  <c r="P62" i="177" a="1"/>
  <c r="T57" i="177" a="1"/>
  <c r="N51" i="177" a="1"/>
  <c r="P53" i="177" a="1"/>
  <c r="Z12" i="157" a="1"/>
  <c r="AD22" i="157" a="1"/>
  <c r="D50" i="177" a="1"/>
  <c r="J11" i="157" a="1"/>
  <c r="Q54" i="177" a="1"/>
  <c r="M59" i="177" a="1"/>
  <c r="F57" i="177" a="1"/>
  <c r="K43" i="177" a="1"/>
  <c r="AN20" i="157" a="1"/>
  <c r="S49" i="177" a="1"/>
  <c r="G49" i="177" a="1"/>
  <c r="P60" i="177" a="1"/>
  <c r="G62" i="177" a="1"/>
  <c r="N13" i="157" a="1"/>
  <c r="W56" i="177" a="1"/>
  <c r="AH16" i="157" a="1"/>
  <c r="F55" i="177" a="1"/>
  <c r="Y58" i="177" a="1"/>
  <c r="AH26" i="157" a="1"/>
  <c r="Z48" i="177" a="1"/>
  <c r="G38" i="177" a="1"/>
  <c r="J7" i="157" a="1"/>
  <c r="M43" i="177" a="1"/>
  <c r="Z50" i="177" a="1"/>
  <c r="N52" i="177" a="1"/>
  <c r="H56" i="177" a="1"/>
  <c r="L39" i="177" a="1"/>
  <c r="G43" i="177" a="1"/>
  <c r="M55" i="177" a="1"/>
  <c r="AD7" i="157" a="1"/>
  <c r="U46" i="177" a="1"/>
  <c r="Z18" i="157" a="1"/>
  <c r="O36" i="177" a="1"/>
  <c r="AN7" i="157" a="1"/>
  <c r="D38" i="177" a="1"/>
  <c r="D44" i="177" a="1"/>
  <c r="AH28" i="157" a="1"/>
  <c r="L53" i="177" a="1"/>
  <c r="J14" i="157" a="1"/>
  <c r="H65" i="177" a="1"/>
  <c r="C50" i="177" a="1"/>
  <c r="S36" i="177" a="1"/>
  <c r="AH15" i="157" a="1"/>
  <c r="F50" i="177" a="1"/>
  <c r="AQ5" i="157" a="1"/>
  <c r="S51" i="177" a="1"/>
  <c r="AN27" i="157" a="1"/>
  <c r="Q63" i="177" a="1"/>
  <c r="I36" i="177" a="1"/>
  <c r="D40" i="177" a="1"/>
  <c r="U57" i="177" a="1"/>
  <c r="E35" i="177" a="1"/>
  <c r="K56" i="177" a="1"/>
  <c r="F59" i="177" a="1"/>
  <c r="N40" i="177" a="1"/>
  <c r="L46" i="177" a="1"/>
  <c r="V51" i="177" a="1"/>
  <c r="R10" i="157" a="1"/>
  <c r="J64" i="177" a="1"/>
  <c r="C61" i="177" a="1"/>
  <c r="R5" i="157" a="1"/>
  <c r="C36" i="177" a="1"/>
  <c r="Z23" i="157" a="1"/>
  <c r="G5" i="157" a="1"/>
  <c r="N11" i="157" a="1"/>
  <c r="U51" i="177" a="1"/>
  <c r="G21" i="157" a="1"/>
  <c r="AH27" i="157" a="1"/>
  <c r="Y42" i="177" a="1"/>
  <c r="M41" i="177" a="1"/>
  <c r="AN14" i="157" a="1"/>
  <c r="O53" i="177" a="1"/>
  <c r="W48" i="177" a="1"/>
  <c r="N43" i="177" a="1"/>
  <c r="S60" i="177" a="1"/>
  <c r="T36" i="177" a="1"/>
  <c r="U61" i="177" a="1"/>
  <c r="K41" i="177" a="1"/>
  <c r="V28" i="157" a="1"/>
  <c r="Q42" i="177" a="1"/>
  <c r="Z16" i="157" a="1"/>
  <c r="J35" i="177" a="1"/>
  <c r="V13" i="157" a="1"/>
  <c r="D49" i="177" a="1"/>
  <c r="X44" i="177" a="1"/>
  <c r="O55" i="177" a="1"/>
  <c r="Q43" i="177" a="1"/>
  <c r="AQ9" i="157" a="1"/>
  <c r="AH7" i="157" a="1"/>
  <c r="W45" i="177" a="1"/>
  <c r="T65" i="177" a="1"/>
  <c r="J47" i="177" a="1"/>
  <c r="E48" i="177" a="1"/>
  <c r="Z21" i="157" a="1"/>
  <c r="L49" i="177" a="1"/>
  <c r="L60" i="177" a="1"/>
  <c r="Z58" i="177" a="1"/>
  <c r="S38" i="177" a="1"/>
  <c r="AQ17" i="157" a="1"/>
  <c r="AN24" i="157" a="1"/>
  <c r="AN25" i="157" a="1"/>
  <c r="V17" i="157" a="1"/>
  <c r="E45" i="177" a="1"/>
  <c r="M53" i="177" a="1"/>
  <c r="C42" i="177" a="1"/>
  <c r="Y53" i="177" a="1"/>
  <c r="Z9" i="157" a="1"/>
  <c r="C58" i="177" a="1"/>
  <c r="V18" i="157" a="1"/>
  <c r="M61" i="177" a="1"/>
  <c r="P46" i="177" a="1"/>
  <c r="E65" i="177" a="1"/>
  <c r="U20" i="102" a="1"/>
  <c r="AN12" i="157" a="1"/>
  <c r="Y49" i="177" a="1"/>
  <c r="Z64" i="177" a="1"/>
  <c r="T39" i="177" a="1"/>
  <c r="W55" i="177" a="1"/>
  <c r="Y45" i="177" a="1"/>
  <c r="V11" i="157" a="1"/>
  <c r="Q52" i="177" a="1"/>
  <c r="O61" i="177" a="1"/>
  <c r="N38" i="177" a="1"/>
  <c r="V46" i="177" a="1"/>
  <c r="Q48" i="177" a="1"/>
  <c r="V50" i="177" a="1"/>
  <c r="V41" i="177" a="1"/>
  <c r="P44" i="177" a="1"/>
  <c r="P54" i="177" a="1"/>
  <c r="Q59" i="177" a="1"/>
  <c r="F40" i="177" a="1"/>
  <c r="O40" i="177" a="1"/>
  <c r="F38" i="177" a="1"/>
  <c r="N56" i="177" a="1"/>
  <c r="X46" i="177" a="1"/>
  <c r="H62" i="177" a="1"/>
  <c r="U39" i="177" a="1"/>
  <c r="S44" i="177" a="1"/>
  <c r="AN8" i="157" a="1"/>
  <c r="M64" i="177" a="1"/>
  <c r="H63" i="177" a="1"/>
  <c r="H49" i="177" a="1"/>
  <c r="T46" i="177" a="1"/>
  <c r="P63" i="177" a="1"/>
  <c r="AN18" i="157" a="1"/>
  <c r="I54" i="177" a="1"/>
  <c r="V45" i="177" a="1"/>
  <c r="F37" i="177" a="1"/>
  <c r="AH18" i="157" a="1"/>
  <c r="J65" i="177" a="1"/>
  <c r="M54" i="177" a="1"/>
  <c r="L36" i="177" a="1"/>
  <c r="I38" i="177" a="1"/>
  <c r="E62" i="177" a="1"/>
  <c r="AD10" i="157" a="1"/>
  <c r="E49" i="177" a="1"/>
  <c r="R44" i="177" a="1"/>
  <c r="P42" i="177" a="1"/>
  <c r="T60" i="177" a="1"/>
  <c r="C39" i="177" a="1"/>
  <c r="N55" i="177" a="1"/>
  <c r="N24" i="157" a="1"/>
  <c r="J40" i="177" a="1"/>
  <c r="L42" i="177" a="1"/>
  <c r="G7" i="157" a="1"/>
  <c r="I58" i="177" a="1"/>
  <c r="Y35" i="177" a="1"/>
  <c r="C64" i="177" a="1"/>
  <c r="M51" i="177" a="1"/>
  <c r="T41" i="177" a="1"/>
  <c r="D64" i="177" a="1"/>
  <c r="U63" i="177" a="1"/>
  <c r="Z49" i="177" a="1"/>
  <c r="M42" i="177" a="1"/>
  <c r="AQ19" i="157" a="1"/>
  <c r="J16" i="157" a="1"/>
  <c r="Y40" i="177" a="1"/>
  <c r="Y37" i="177" a="1"/>
  <c r="AQ14" i="157" a="1"/>
  <c r="H52" i="177" a="1"/>
  <c r="C49" i="177" a="1"/>
  <c r="Z27" i="157" a="1"/>
  <c r="H54" i="177" a="1"/>
  <c r="F39" i="177" a="1"/>
  <c r="S42" i="177" a="1"/>
  <c r="Z14" i="157" a="1"/>
  <c r="I51" i="177" a="1"/>
  <c r="N28" i="157" a="1"/>
  <c r="C46" i="177" a="1"/>
  <c r="Z57" i="177" a="1"/>
  <c r="K42" i="177" a="1"/>
  <c r="X60" i="177" a="1"/>
  <c r="AQ12" i="157" a="1"/>
  <c r="G44" i="177" a="1"/>
  <c r="E64" i="177" a="1"/>
  <c r="F58" i="177" a="1"/>
  <c r="E54" i="177" a="1"/>
  <c r="O65" i="177" a="1"/>
  <c r="O39" i="177" a="1"/>
  <c r="K45" i="177" a="1"/>
  <c r="I56" i="177" a="1"/>
  <c r="S53" i="177" a="1"/>
  <c r="L61" i="177" a="1"/>
  <c r="P61" i="177" a="1"/>
  <c r="S40" i="177" a="1"/>
  <c r="N15" i="157" a="1"/>
  <c r="Q47" i="177" a="1"/>
  <c r="J25" i="157" a="1"/>
  <c r="R58" i="177" a="1"/>
  <c r="W54" i="177" a="1"/>
  <c r="E59" i="177" a="1"/>
  <c r="T45" i="177" a="1"/>
  <c r="C40" i="177" a="1"/>
  <c r="Q65" i="177" a="1"/>
  <c r="D42" i="177" a="1"/>
  <c r="H47" i="177" a="1"/>
  <c r="J53" i="177" a="1"/>
  <c r="M40" i="177" a="1"/>
  <c r="V59" i="177" a="1"/>
  <c r="J39" i="177" a="1"/>
  <c r="X52" i="177" a="1"/>
  <c r="K61" i="177" a="1"/>
  <c r="L59" i="177" a="1"/>
  <c r="U30" i="102" a="1"/>
  <c r="Z61" i="177" a="1"/>
  <c r="W61" i="177" a="1"/>
  <c r="Y59" i="177" a="1"/>
  <c r="N22" i="157" a="1"/>
  <c r="R46" i="177" a="1"/>
  <c r="D43" i="177" a="1"/>
  <c r="C45" i="177" a="1"/>
  <c r="V23" i="157" a="1"/>
  <c r="E36" i="177" a="1"/>
  <c r="T43" i="177" a="1"/>
  <c r="Y41" i="177" a="1"/>
  <c r="V6" i="157" a="1"/>
  <c r="R38" i="177" a="1"/>
  <c r="D47" i="177" a="1"/>
  <c r="Z19" i="157" a="1"/>
  <c r="H61" i="177" a="1"/>
  <c r="U47" i="177" a="1"/>
  <c r="G35" i="177" a="1"/>
  <c r="O41" i="177" a="1"/>
  <c r="Y57" i="177" a="1"/>
  <c r="Z51" i="177" a="1"/>
  <c r="O57" i="177" a="1"/>
  <c r="X61" i="177" a="1"/>
  <c r="Y38" i="177" a="1"/>
  <c r="V60" i="177" a="1"/>
  <c r="L45" i="177" a="1"/>
  <c r="I52" i="177" a="1"/>
  <c r="AQ23" i="157" a="1"/>
  <c r="G64" i="177" a="1"/>
  <c r="X59" i="177" a="1"/>
  <c r="AH25" i="157" a="1"/>
  <c r="D45" i="177" a="1"/>
  <c r="AQ15" i="157" a="1"/>
  <c r="R51" i="177" a="1"/>
  <c r="K51" i="177" a="1"/>
  <c r="R39" i="177" a="1"/>
  <c r="D57" i="177" a="1"/>
  <c r="J12" i="157" a="1"/>
  <c r="X49" i="177" a="1"/>
  <c r="L41" i="177" a="1"/>
  <c r="X42" i="177" a="1"/>
  <c r="S64" i="177" a="1"/>
  <c r="P35" i="177" a="1"/>
  <c r="T50" i="177" a="1"/>
  <c r="Q39" i="177" a="1"/>
  <c r="AN28" i="157" a="1"/>
  <c r="J42" i="177" a="1"/>
  <c r="U50" i="177" a="1"/>
  <c r="S59" i="177" a="1"/>
  <c r="J57" i="177" a="1"/>
  <c r="AH5" i="157" a="1"/>
  <c r="W63" i="177" a="1"/>
  <c r="AQ6" i="157" a="1"/>
  <c r="T44" i="177" a="1"/>
  <c r="Q49" i="177" a="1"/>
  <c r="AQ22" i="157" a="1"/>
  <c r="K38" i="177" a="1"/>
  <c r="V12" i="157" a="1"/>
  <c r="S41" i="177" a="1"/>
  <c r="AQ18" i="157" a="1"/>
  <c r="J55" i="177" a="1"/>
  <c r="V42" i="177" a="1"/>
  <c r="J15" i="157" a="1"/>
  <c r="E40" i="177" a="1"/>
  <c r="W59" i="177" a="1"/>
  <c r="R36" i="177" a="1"/>
  <c r="V15" i="157" a="1"/>
  <c r="J19" i="157" a="1"/>
  <c r="J27" i="157" a="1"/>
  <c r="K60" i="177" a="1"/>
  <c r="P43" i="177" a="1"/>
  <c r="P39" i="177" a="1"/>
  <c r="N45" i="177" a="1"/>
  <c r="R7" i="157" a="1"/>
  <c r="U29" i="102" a="1"/>
  <c r="P57" i="177" a="1"/>
  <c r="F63" i="177" a="1"/>
  <c r="AQ28" i="157" a="1"/>
  <c r="H44" i="177" a="1"/>
  <c r="AN9" i="157" a="1"/>
  <c r="G22" i="157" a="1"/>
  <c r="N35" i="177" a="1"/>
  <c r="T61" i="177" a="1"/>
  <c r="N19" i="157" a="1"/>
  <c r="N49" i="177" a="1"/>
  <c r="H53" i="177" a="1"/>
  <c r="G63" i="177" a="1"/>
  <c r="N10" i="157" a="1"/>
  <c r="D35" i="177" a="1"/>
  <c r="V56" i="177" a="1"/>
  <c r="R59" i="177" a="1"/>
  <c r="T35" i="177" a="1"/>
  <c r="AD20" i="157" a="1"/>
  <c r="J62" i="177" a="1"/>
  <c r="Y36" i="177" a="1"/>
  <c r="AH11" i="157" a="1"/>
  <c r="G23" i="157" a="1"/>
  <c r="J8" i="157" a="1"/>
  <c r="M58" i="177" a="1"/>
  <c r="O59" i="177" a="1"/>
  <c r="R62" i="177" a="1"/>
  <c r="Z11" i="157" a="1"/>
  <c r="J37" i="177" a="1"/>
  <c r="N50" i="177" a="1"/>
  <c r="AH19" i="157" a="1"/>
  <c r="W51" i="177" a="1"/>
  <c r="N41" i="177" a="1"/>
  <c r="W36" i="177" a="1"/>
  <c r="M63" i="177" a="1"/>
  <c r="V39" i="177" a="1"/>
  <c r="U9" i="102" a="1"/>
  <c r="H45" i="177" a="1"/>
  <c r="AD19" i="157" a="1"/>
  <c r="U38" i="177" a="1"/>
  <c r="U55" i="177" a="1"/>
  <c r="S37" i="177" a="1"/>
  <c r="Z43" i="177" a="1"/>
  <c r="AD26" i="157" a="1"/>
  <c r="J49" i="177" a="1"/>
  <c r="C37" i="177" a="1"/>
  <c r="S57" i="177" a="1"/>
  <c r="Z56" i="177" a="1"/>
  <c r="R15" i="157" a="1"/>
  <c r="AD27" i="157" a="1"/>
  <c r="J50" i="177" a="1"/>
  <c r="U52" i="177" a="1"/>
  <c r="V20" i="157" a="1"/>
  <c r="W57" i="177" a="1"/>
  <c r="P41" i="177" a="1"/>
  <c r="L37" i="177" a="1"/>
  <c r="J22" i="157" a="1"/>
  <c r="Y43" i="177" a="1"/>
  <c r="Z20" i="157" a="1"/>
  <c r="M56" i="177" a="1"/>
  <c r="D55" i="177" a="1"/>
  <c r="Q55" i="177" a="1"/>
  <c r="X47" i="177" a="1"/>
  <c r="G9" i="157" a="1"/>
  <c r="Q35" i="177" a="1"/>
  <c r="Y65" i="177" a="1"/>
  <c r="Z42" i="177" a="1"/>
  <c r="U54" i="177" a="1"/>
  <c r="S58" i="177" a="1"/>
  <c r="K39" i="177" a="1"/>
  <c r="E53" i="177" a="1"/>
  <c r="T56" i="177" a="1"/>
  <c r="J26" i="157" a="1"/>
  <c r="Y39" i="177" a="1"/>
  <c r="D61" i="177" a="1"/>
  <c r="X63" i="177" a="1"/>
  <c r="F42" i="177" a="1"/>
  <c r="X64" i="177" a="1"/>
  <c r="M52" i="177" a="1"/>
  <c r="O60" i="177" a="1"/>
  <c r="D60" i="177" a="1"/>
  <c r="F43" i="177" a="1"/>
  <c r="I57" i="177" a="1"/>
  <c r="U53" i="177" a="1"/>
  <c r="O37" i="177" a="1"/>
  <c r="K64" i="177" a="1"/>
  <c r="Q38" i="177" a="1"/>
  <c r="J41" i="177" a="1"/>
  <c r="AD21" i="157" a="1"/>
  <c r="AD28" i="157" a="1"/>
  <c r="I64" i="177" a="1"/>
  <c r="L54" i="177" a="1"/>
  <c r="Q46" i="177" a="1"/>
  <c r="O44" i="177" a="1"/>
  <c r="N60" i="177" a="1"/>
  <c r="O52" i="177" a="1"/>
  <c r="J10" i="157" a="1"/>
  <c r="Y61" i="177" a="1"/>
  <c r="N44" i="177" a="1"/>
  <c r="R64" i="177" a="1"/>
  <c r="W35" i="177" a="1"/>
  <c r="AH9" i="157" a="1"/>
  <c r="AH17" i="157" a="1"/>
  <c r="V48" i="177" a="1"/>
  <c r="AQ25" i="157" a="1"/>
  <c r="Y56" i="177" a="1"/>
  <c r="L64" i="177" a="1"/>
  <c r="G27" i="157" a="1"/>
  <c r="N37" i="177" a="1"/>
  <c r="R25" i="157" a="1"/>
  <c r="R12" i="157" a="1"/>
  <c r="Z17" i="157" a="1"/>
  <c r="V21" i="157" a="1"/>
  <c r="G12" i="157" a="1"/>
  <c r="P59" i="177" a="1"/>
  <c r="AD25" i="157" a="1"/>
  <c r="O38" i="177" a="1"/>
  <c r="S52" i="177" a="1"/>
  <c r="G37" i="177" a="1"/>
  <c r="Q64" i="177" a="1"/>
  <c r="T62" i="177" a="1"/>
  <c r="W53" i="177" a="1"/>
  <c r="K44" i="177" a="1"/>
  <c r="Z6" i="157" a="1"/>
  <c r="L55" i="177" a="1"/>
  <c r="W58" i="177" a="1"/>
  <c r="W37" i="177" a="1"/>
  <c r="W47" i="177" a="1"/>
  <c r="H36" i="177" a="1"/>
  <c r="N61" i="177" a="1"/>
  <c r="M62" i="177" a="1"/>
  <c r="J44" i="177" a="1"/>
  <c r="G8" i="157" a="1"/>
  <c r="D62" i="177" a="1"/>
  <c r="T42" i="177" a="1"/>
  <c r="P64" i="177" a="1"/>
  <c r="K49" i="177" a="1"/>
  <c r="G47" i="177" a="1"/>
  <c r="W38" i="177" a="1"/>
  <c r="T53" i="177" a="1"/>
  <c r="U41" i="177" a="1"/>
  <c r="Z22" i="157" a="1"/>
  <c r="R45" i="177" a="1"/>
  <c r="Y55" i="177" a="1"/>
  <c r="Y48" i="177" a="1"/>
  <c r="C56" i="177" a="1"/>
  <c r="F54" i="177" a="1"/>
  <c r="Y51" i="177" a="1"/>
  <c r="N9" i="157" a="1"/>
  <c r="AD13" i="157" a="1"/>
  <c r="L65" i="177" a="1"/>
  <c r="Y52" i="177" a="1"/>
  <c r="I39" i="177" a="1"/>
  <c r="U62" i="177" a="1"/>
  <c r="AH23" i="157" a="1"/>
  <c r="X45" i="177" a="1"/>
  <c r="H41" i="177" a="1"/>
  <c r="H60" i="177" a="1"/>
  <c r="P47" i="177" a="1"/>
  <c r="T59" i="177" a="1"/>
  <c r="T58" i="177" a="1"/>
  <c r="Q45" i="177" a="1"/>
  <c r="T55" i="177" a="1"/>
  <c r="V65" i="177" a="1"/>
  <c r="E63" i="177" a="1"/>
  <c r="K58" i="177" a="1"/>
  <c r="G26" i="157" a="1"/>
  <c r="F41" i="177" a="1"/>
  <c r="C53" i="177" a="1"/>
  <c r="G14" i="157" a="1"/>
  <c r="F46" i="177" a="1"/>
  <c r="K52" i="177" a="1"/>
  <c r="X48" i="177" a="1"/>
  <c r="C59" i="177" a="1"/>
  <c r="J9" i="157" a="1"/>
  <c r="Q61" i="177" a="1"/>
  <c r="R6" i="157" a="1"/>
  <c r="AQ7" i="157" a="1"/>
  <c r="R24" i="157" a="1"/>
  <c r="V44" i="177" a="1"/>
  <c r="V37" i="177" a="1"/>
  <c r="Z5" i="157" a="1"/>
  <c r="N47" i="177" a="1"/>
  <c r="N62" i="177" a="1"/>
  <c r="U45" i="177" a="1"/>
  <c r="K54" i="177" a="1"/>
  <c r="Y54" i="177" a="1"/>
  <c r="M36" i="177" a="1"/>
  <c r="I48" i="177" a="1"/>
  <c r="K50" i="177" a="1"/>
  <c r="V52" i="177" a="1"/>
  <c r="E60" i="177" a="1"/>
  <c r="E52" i="177" a="1"/>
  <c r="U21" i="102" a="1"/>
  <c r="K55" i="177" a="1"/>
  <c r="F64" i="177" a="1"/>
  <c r="R22" i="157" a="1"/>
  <c r="H51" i="177" a="1"/>
  <c r="X39" i="177" a="1"/>
  <c r="J63" i="177" a="1"/>
  <c r="P65" i="177" a="1"/>
  <c r="AD18" i="157" a="1"/>
  <c r="P52" i="177" a="1"/>
  <c r="AQ8" i="157" a="1"/>
  <c r="Z45" i="177" a="1"/>
  <c r="R43" i="177" a="1"/>
  <c r="Q56" i="177" a="1"/>
  <c r="K47" i="177" a="1"/>
  <c r="AN15" i="157" a="1"/>
  <c r="R48" i="177" a="1"/>
  <c r="P50" i="177" a="1"/>
  <c r="N26" i="157" a="1"/>
  <c r="V35" i="177" a="1"/>
  <c r="AH22" i="157" a="1"/>
  <c r="R41" i="177" a="1"/>
  <c r="I46" i="177" a="1"/>
  <c r="W60" i="177" a="1"/>
  <c r="Z46" i="177" a="1"/>
  <c r="O43" i="177" a="1"/>
  <c r="R52" i="177" a="1"/>
  <c r="R60" i="177" a="1"/>
  <c r="F48" i="177" a="1"/>
  <c r="K36" i="177" a="1"/>
  <c r="G51" i="177" a="1"/>
  <c r="Z25" i="157" a="1"/>
  <c r="W43" i="177" a="1"/>
  <c r="P55" i="177" a="1"/>
  <c r="J21" i="157" a="1"/>
  <c r="J56" i="177" a="1"/>
  <c r="Z36" i="177" a="1"/>
  <c r="G45" i="177" a="1"/>
  <c r="J23" i="157" a="1"/>
  <c r="R65" i="177" a="1"/>
  <c r="S47" i="177" a="1"/>
  <c r="V22" i="157" a="1"/>
  <c r="H42" i="177" a="1"/>
  <c r="U49" i="177" a="1"/>
  <c r="J28" i="157" a="1"/>
  <c r="N21" i="157" a="1"/>
  <c r="Q58" i="177" a="1"/>
  <c r="Y50" i="177" a="1"/>
  <c r="P40" i="177" a="1"/>
  <c r="W62" i="177" a="1"/>
  <c r="P58" i="177" a="1"/>
  <c r="R20" i="157" a="1"/>
  <c r="AQ21" i="157" a="1"/>
  <c r="M50" i="177" a="1"/>
  <c r="E41" i="177" a="1"/>
  <c r="C60" i="177" a="1"/>
  <c r="H58" i="177" a="1"/>
  <c r="AH14" i="157" a="1"/>
  <c r="AN16" i="157" a="1"/>
  <c r="U42" i="177" a="1"/>
  <c r="L40" i="177" a="1"/>
  <c r="I62" i="177" a="1"/>
  <c r="V57" i="177" a="1"/>
  <c r="R18" i="157" a="1"/>
  <c r="S48" i="177" a="1"/>
  <c r="AD12" i="157" a="1"/>
  <c r="G56" i="177" a="1"/>
  <c r="Z10" i="157" a="1"/>
  <c r="N12" i="157" a="1"/>
  <c r="R14" i="157" a="1"/>
  <c r="P48" i="177" a="1"/>
  <c r="G15" i="157" a="1"/>
  <c r="G53" i="177" a="1"/>
  <c r="S63" i="177" a="1"/>
  <c r="Q50" i="177" a="1"/>
  <c r="C54" i="177" a="1"/>
  <c r="D39" i="177" a="1"/>
  <c r="X37" i="177" a="1"/>
  <c r="V40" i="177" a="1"/>
  <c r="R57" i="177" a="1"/>
  <c r="H64" i="177" a="1"/>
  <c r="D59" i="177" a="1"/>
  <c r="M44" i="177" a="1"/>
  <c r="Z60" i="177" a="1"/>
  <c r="T51" i="177" a="1"/>
  <c r="C63" i="177" a="1"/>
  <c r="P45" i="177" a="1"/>
  <c r="O42" i="177" a="1"/>
  <c r="V58" i="177" a="1"/>
  <c r="V10" i="157" a="1"/>
  <c r="E55" i="177" a="1"/>
  <c r="W46" i="177" a="1"/>
  <c r="K57" i="177" a="1"/>
  <c r="AH12" i="157" a="1"/>
  <c r="K37" i="177" a="1"/>
  <c r="U31" i="102" a="1"/>
  <c r="V14" i="157" a="1"/>
  <c r="V43" i="177" a="1"/>
  <c r="AH13" i="157" a="1"/>
  <c r="M60" i="177" a="1"/>
  <c r="X65" i="177" a="1"/>
  <c r="D54" i="177" a="1"/>
  <c r="X54" i="177" a="1"/>
  <c r="AD15" i="157" a="1"/>
  <c r="L47" i="177" a="1"/>
  <c r="V49" i="177" a="1"/>
  <c r="S55" i="177" a="1"/>
  <c r="V25" i="157" a="1"/>
  <c r="N23" i="157" a="1"/>
  <c r="S39" i="177" a="1"/>
  <c r="D53" i="177" a="1"/>
  <c r="L35" i="177" a="1"/>
  <c r="E57" i="177" a="1"/>
  <c r="O35" i="177" a="1"/>
  <c r="Q40" i="177" a="1"/>
  <c r="U36" i="177" a="1"/>
  <c r="K53" i="177" a="1"/>
  <c r="O56" i="177" a="1"/>
  <c r="D46" i="177" a="1"/>
  <c r="R37" i="177" a="1"/>
  <c r="W52" i="177" a="1"/>
  <c r="S46" i="177" a="1"/>
  <c r="I50" i="177" a="1"/>
  <c r="V62" i="177" a="1"/>
  <c r="L48" i="177" a="1"/>
  <c r="R26" i="157" a="1"/>
  <c r="F47" i="177" a="1"/>
  <c r="G55" i="177" a="1"/>
  <c r="V24" i="157" a="1"/>
  <c r="AN22" i="157" a="1"/>
  <c r="Z47" i="177" a="1"/>
  <c r="D51" i="177" a="1"/>
  <c r="G36" i="177" a="1"/>
  <c r="D63" i="177" a="1"/>
  <c r="R50" i="177" a="1"/>
  <c r="P49" i="177" a="1"/>
  <c r="R13" i="157" a="1"/>
  <c r="U44" i="177" a="1"/>
  <c r="R55" i="177" a="1"/>
  <c r="R21" i="157" a="1"/>
  <c r="J61" i="177" a="1"/>
  <c r="M57" i="177" a="1"/>
  <c r="N8" i="157" a="1"/>
  <c r="Z28" i="157" a="1"/>
  <c r="G48" i="177" a="1"/>
  <c r="F52" i="177" a="1"/>
  <c r="O54" i="177" a="1"/>
  <c r="X51" i="177" a="1"/>
  <c r="U65" i="177" a="1"/>
  <c r="O58" i="177" a="1"/>
  <c r="G16" i="157" a="1"/>
  <c r="D36" i="177" a="1"/>
  <c r="S54" i="177" a="1"/>
  <c r="J59" i="177" a="1"/>
  <c r="Z8" i="157" a="1"/>
  <c r="E43" i="177" a="1"/>
  <c r="R42" i="177" a="1"/>
  <c r="V27" i="157" a="1"/>
  <c r="F44" i="177" a="1"/>
  <c r="G28" i="157" a="1"/>
  <c r="F65" i="177" a="1"/>
  <c r="O51" i="177" a="1"/>
  <c r="AN23" i="157" a="1"/>
  <c r="T47" i="177" a="1"/>
  <c r="I40" i="177" a="1"/>
  <c r="E58" i="177" a="1"/>
  <c r="F61" i="177" a="1"/>
  <c r="Z38" i="177" a="1"/>
  <c r="C65" i="177" a="1"/>
  <c r="Z59" i="177" a="1"/>
  <c r="C41" i="177" a="1"/>
  <c r="C55" i="177" a="1"/>
  <c r="U28" i="102" a="1"/>
  <c r="AN13" i="157" a="1"/>
  <c r="H46" i="177" a="1"/>
  <c r="AD24" i="157" a="1"/>
  <c r="Z52" i="177" a="1"/>
  <c r="Z24" i="157" a="1"/>
  <c r="H55" i="177" a="1"/>
  <c r="U37" i="177" a="1"/>
  <c r="N5" i="157" a="1"/>
  <c r="M65" i="177" a="1"/>
  <c r="W39" i="177" a="1"/>
  <c r="G65" i="177" a="1"/>
  <c r="S61" i="177" a="1"/>
  <c r="AN11" i="157" a="1"/>
  <c r="H39" i="177" a="1"/>
  <c r="L57" i="177" a="1"/>
  <c r="N53" i="177" a="1"/>
  <c r="T64" i="177" a="1"/>
  <c r="AH24" i="157" a="1"/>
  <c r="R11" i="157" a="1"/>
  <c r="J43" i="177" a="1"/>
  <c r="P36" i="177" a="1"/>
  <c r="V54" i="177" a="1"/>
  <c r="V9" i="157" a="1"/>
  <c r="Y47" i="177" a="1"/>
  <c r="AN21" i="157" a="1"/>
  <c r="AQ24" i="157" a="1"/>
  <c r="E50" i="177" a="1"/>
  <c r="E56" i="177" a="1"/>
  <c r="H48" i="177" a="1"/>
  <c r="R49" i="177" a="1"/>
  <c r="P51" i="177" a="1"/>
  <c r="X41" i="177" a="1"/>
  <c r="T37" i="177" a="1"/>
  <c r="V55" i="177" a="1"/>
  <c r="N27" i="157" a="1"/>
  <c r="H35" i="177" a="1"/>
  <c r="O63" i="177" a="1"/>
  <c r="V61" i="177" a="1"/>
  <c r="T54" i="177" a="1"/>
  <c r="G18" i="157" a="1"/>
  <c r="P56" i="177" a="1"/>
  <c r="N48" i="177" a="1"/>
  <c r="G54" i="177" a="1"/>
  <c r="X38" i="177" a="1"/>
  <c r="J5" i="157" a="1"/>
  <c r="X58" i="177" a="1"/>
  <c r="K65" i="177" a="1"/>
  <c r="X55" i="177" a="1"/>
  <c r="F35" i="177" a="1"/>
  <c r="Z44" i="177" a="1"/>
  <c r="I55" i="177" a="1"/>
  <c r="M49" i="177" a="1"/>
  <c r="V63" i="177" a="1"/>
  <c r="J46" i="177" a="1"/>
  <c r="E42" i="177" a="1"/>
  <c r="N64" i="177" a="1"/>
  <c r="R53" i="177" a="1"/>
  <c r="Z65" i="177" a="1"/>
  <c r="I65" i="177" a="1"/>
  <c r="W40" i="177" a="1"/>
  <c r="X50" i="177" a="1"/>
  <c r="M37" i="177" a="1"/>
  <c r="W41" i="177" a="1"/>
  <c r="AN5" i="157" a="1"/>
  <c r="R61" i="177" a="1"/>
  <c r="Z39" i="177" a="1"/>
  <c r="V5" i="157" a="1"/>
  <c r="I60" i="177" a="1"/>
  <c r="Z13" i="157" a="1"/>
  <c r="J20" i="157" a="1"/>
  <c r="Q62" i="177" a="1"/>
  <c r="G13" i="157" a="1"/>
  <c r="G19" i="157" a="1"/>
  <c r="S43" i="177" a="1"/>
  <c r="Q36" i="177" a="1"/>
  <c r="Y60" i="177" a="1"/>
  <c r="J36" i="177" a="1"/>
  <c r="J60" i="177" a="1"/>
  <c r="Z35" i="177" a="1"/>
  <c r="I41" i="177" a="1"/>
  <c r="R9" i="157" a="1"/>
  <c r="E51" i="177" a="1"/>
  <c r="U58" i="177" a="1"/>
  <c r="AQ26" i="157" a="1"/>
  <c r="AD6" i="157" a="1"/>
  <c r="I49" i="177" a="1"/>
  <c r="AH21" i="157" a="1"/>
  <c r="K63" i="177" a="1"/>
  <c r="V16" i="157" a="1"/>
  <c r="H57" i="177" a="1"/>
  <c r="H38" i="177" a="1"/>
  <c r="E46" i="177" a="1"/>
  <c r="S56" i="177" a="1"/>
  <c r="V38" i="177" a="1"/>
  <c r="G59" i="177" a="1"/>
  <c r="U48" i="177" a="1"/>
  <c r="G40" i="177" a="1"/>
  <c r="AD8" i="157" a="1"/>
  <c r="T40" i="177" a="1"/>
  <c r="Z63" i="177" a="1"/>
  <c r="F53" i="177" a="1"/>
  <c r="I35" i="177" a="1"/>
  <c r="G41" i="177" a="1"/>
  <c r="Z15" i="157" a="1"/>
  <c r="W64" i="177" a="1"/>
  <c r="O48" i="177" a="1"/>
  <c r="R28" i="157" a="1"/>
  <c r="N25" i="157" a="1"/>
  <c r="J51" i="177" a="1"/>
  <c r="AD5" i="157" a="1"/>
  <c r="X62" i="177" a="1"/>
  <c r="N39" i="177" a="1"/>
  <c r="N20" i="157" a="1"/>
  <c r="J17" i="157" a="1"/>
  <c r="R27" i="157" a="1"/>
  <c r="Y44" i="177" a="1"/>
  <c r="U60" i="177" a="1"/>
  <c r="I63" i="177" a="1"/>
  <c r="V64" i="177" a="1"/>
  <c r="L58" i="177" a="1"/>
  <c r="D52" i="177" a="1"/>
  <c r="T49" i="177" a="1"/>
  <c r="T63" i="177" a="1"/>
  <c r="T38" i="177" a="1"/>
  <c r="N54" i="177" a="1"/>
  <c r="Z40" i="177" a="1"/>
  <c r="O49" i="177" a="1"/>
  <c r="U43" i="177" a="1"/>
  <c r="G10" i="157" a="1"/>
  <c r="Y46" i="177" a="1"/>
  <c r="X53" i="177" a="1"/>
  <c r="Z41" i="177" a="1"/>
  <c r="L50" i="177" a="1"/>
  <c r="T48" i="177" a="1"/>
  <c r="W49" i="177" a="1"/>
  <c r="N36" i="177" a="1"/>
  <c r="M39" i="177" a="1"/>
  <c r="J18" i="157" a="1"/>
  <c r="D56" i="177" a="1"/>
  <c r="N59" i="177" a="1"/>
  <c r="R35" i="177" a="1"/>
  <c r="J54" i="177" a="1"/>
  <c r="AQ20" i="157" a="1"/>
  <c r="G46" i="177" a="1"/>
  <c r="U59" i="177" a="1"/>
  <c r="G50" i="177" a="1"/>
  <c r="R16" i="157" a="1"/>
  <c r="J52" i="177" a="1"/>
  <c r="U56" i="177" a="1"/>
  <c r="D58" i="177" a="1"/>
  <c r="C48" i="177" a="1"/>
  <c r="E44" i="177" a="1"/>
  <c r="V8" i="157" a="1"/>
  <c r="J13" i="157" a="1"/>
  <c r="L52" i="177" a="1"/>
  <c r="J58" i="177" a="1"/>
  <c r="G52" i="177" a="1"/>
  <c r="V36" i="177" a="1"/>
  <c r="R8" i="157" a="1"/>
  <c r="V53" i="177" a="1"/>
  <c r="J45" i="177" a="1"/>
  <c r="R40" i="177" a="1"/>
  <c r="G17" i="157" a="1"/>
  <c r="O64" i="177" a="1"/>
  <c r="F49" i="177" a="1"/>
  <c r="H50" i="177" a="1"/>
  <c r="L63" i="177" a="1"/>
  <c r="H43" i="177" a="1"/>
  <c r="K48" i="177" a="1"/>
  <c r="N58" i="177" a="1"/>
  <c r="T52" i="177" a="1"/>
  <c r="J24" i="157" a="1"/>
  <c r="W65" i="177" a="1"/>
  <c r="F60" i="177" a="1"/>
  <c r="Q53" i="177" a="1"/>
  <c r="G6" i="157" a="1"/>
  <c r="Y62" i="177" a="1"/>
  <c r="AD11" i="157" a="1"/>
  <c r="C52" i="177" a="1"/>
  <c r="Z26" i="157" a="1"/>
  <c r="C43" i="177" a="1"/>
  <c r="I59" i="177" a="1"/>
  <c r="M48" i="177" a="1"/>
  <c r="S50" i="177" a="1"/>
  <c r="AD16" i="157" a="1"/>
  <c r="AD17" i="157" a="1"/>
  <c r="E38" i="177" a="1"/>
  <c r="I47" i="177" a="1"/>
  <c r="L38" i="177" a="1"/>
  <c r="R54" i="177" a="1"/>
  <c r="R47" i="177" a="1"/>
  <c r="V7" i="157" a="1"/>
  <c r="S62" i="177" a="1"/>
  <c r="I61" i="177" a="1"/>
  <c r="AH8" i="157" a="1"/>
  <c r="Z54" i="177" a="1"/>
  <c r="Q37" i="177" a="1"/>
  <c r="Z55" i="177" a="1"/>
  <c r="Z62" i="177" a="1"/>
  <c r="K46" i="177" a="1"/>
  <c r="AN19" i="157" a="1"/>
  <c r="M48" i="177" l="1"/>
  <c r="K36" i="177"/>
  <c r="G45" i="177"/>
  <c r="M58" i="177"/>
  <c r="E50" i="177"/>
  <c r="D52" i="177"/>
  <c r="M54" i="177"/>
  <c r="V38" i="177"/>
  <c r="C45" i="177"/>
  <c r="T55" i="177"/>
  <c r="H38" i="177"/>
  <c r="K49" i="177"/>
  <c r="G35" i="177"/>
  <c r="C59" i="177"/>
  <c r="K39" i="177"/>
  <c r="V52" i="177"/>
  <c r="N38" i="177"/>
  <c r="M36" i="177"/>
  <c r="K62" i="177"/>
  <c r="U39" i="177"/>
  <c r="W63" i="177"/>
  <c r="O51" i="177"/>
  <c r="R64" i="177"/>
  <c r="H52" i="177"/>
  <c r="W52" i="177"/>
  <c r="F51" i="177"/>
  <c r="U65" i="177"/>
  <c r="N57" i="177"/>
  <c r="X35" i="177"/>
  <c r="U64" i="177"/>
  <c r="E37" i="177"/>
  <c r="C56" i="177"/>
  <c r="Z50" i="177"/>
  <c r="C48" i="177"/>
  <c r="S63" i="177"/>
  <c r="D48" i="177"/>
  <c r="O49" i="177"/>
  <c r="F43" i="177"/>
  <c r="C54" i="177"/>
  <c r="T48" i="177"/>
  <c r="N63" i="177"/>
  <c r="C62" i="177"/>
  <c r="T60" i="177"/>
  <c r="N58" i="177"/>
  <c r="E36" i="177"/>
  <c r="I62" i="177"/>
  <c r="J44" i="177"/>
  <c r="T56" i="177"/>
  <c r="I46" i="177"/>
  <c r="L55" i="177"/>
  <c r="F48" i="177"/>
  <c r="L41" i="177"/>
  <c r="U57" i="177"/>
  <c r="F35" i="177"/>
  <c r="Z59" i="177"/>
  <c r="R53" i="177"/>
  <c r="F63" i="177"/>
  <c r="M42" i="177"/>
  <c r="S49" i="177"/>
  <c r="K56" i="177"/>
  <c r="G50" i="177"/>
  <c r="D35" i="177"/>
  <c r="S35" i="177"/>
  <c r="K52" i="177"/>
  <c r="X45" i="177"/>
  <c r="L56" i="177"/>
  <c r="Q59" i="177"/>
  <c r="N62" i="177"/>
  <c r="Q57" i="177"/>
  <c r="M46" i="177"/>
  <c r="P62" i="177"/>
  <c r="Y42" i="177"/>
  <c r="K35" i="177"/>
  <c r="H46" i="177"/>
  <c r="Y60" i="177"/>
  <c r="I59" i="177"/>
  <c r="O41" i="177"/>
  <c r="V62" i="177"/>
  <c r="F37" i="177"/>
  <c r="R54" i="177"/>
  <c r="U51" i="177"/>
  <c r="T64" i="177"/>
  <c r="E60" i="177"/>
  <c r="H41" i="177"/>
  <c r="J65" i="177"/>
  <c r="H48" i="177"/>
  <c r="F64" i="177"/>
  <c r="O35" i="177"/>
  <c r="H35" i="177"/>
  <c r="F56" i="177"/>
  <c r="I57" i="177"/>
  <c r="F50" i="177"/>
  <c r="J47" i="177"/>
  <c r="P41" i="177"/>
  <c r="O37" i="177"/>
  <c r="T65" i="177"/>
  <c r="P61" i="177"/>
  <c r="C53" i="177"/>
  <c r="Z43" i="177"/>
  <c r="X59" i="177"/>
  <c r="X61" i="177"/>
  <c r="D61" i="177"/>
  <c r="E58" i="177"/>
  <c r="U46" i="177"/>
  <c r="C63" i="177"/>
  <c r="I45" i="177"/>
  <c r="U50" i="177"/>
  <c r="G39" i="177"/>
  <c r="P63" i="177"/>
  <c r="P50" i="177"/>
  <c r="T47" i="177"/>
  <c r="X57" i="177"/>
  <c r="R63" i="177"/>
  <c r="N39" i="177"/>
  <c r="K46" i="177"/>
  <c r="I52" i="177"/>
  <c r="M60" i="177"/>
  <c r="F52" i="177"/>
  <c r="D65" i="177"/>
  <c r="E64" i="177"/>
  <c r="C40" i="177"/>
  <c r="Y59" i="177"/>
  <c r="Z42" i="177"/>
  <c r="E61" i="177"/>
  <c r="Q62" i="177"/>
  <c r="Y62" i="177"/>
  <c r="W42" i="177"/>
  <c r="K37" i="177"/>
  <c r="S40" i="177"/>
  <c r="R52" i="177"/>
  <c r="U60" i="177"/>
  <c r="M47" i="177"/>
  <c r="T44" i="177"/>
  <c r="H42" i="177"/>
  <c r="Q61" i="177"/>
  <c r="R47" i="177"/>
  <c r="O60" i="177"/>
  <c r="Y46" i="177"/>
  <c r="K53" i="177"/>
  <c r="J55" i="177"/>
  <c r="J63" i="177"/>
  <c r="D43" i="177"/>
  <c r="E44" i="177"/>
  <c r="X64" i="177"/>
  <c r="D64" i="177"/>
  <c r="J49" i="177"/>
  <c r="V63" i="177"/>
  <c r="S54" i="177"/>
  <c r="Z57" i="177"/>
  <c r="J41" i="177"/>
  <c r="L57" i="177"/>
  <c r="Q39" i="177"/>
  <c r="V35" i="177"/>
  <c r="P54" i="177"/>
  <c r="R62" i="177"/>
  <c r="K50" i="177"/>
  <c r="L45" i="177"/>
  <c r="W65" i="177"/>
  <c r="D50" i="177"/>
  <c r="H56" i="177"/>
  <c r="R51" i="177"/>
  <c r="D53" i="177"/>
  <c r="M65" i="177"/>
  <c r="G57" i="177"/>
  <c r="C64" i="177"/>
  <c r="N54" i="177"/>
  <c r="O57" i="177"/>
  <c r="F36" i="177"/>
  <c r="C65" i="177"/>
  <c r="I39" i="177"/>
  <c r="Z61" i="177"/>
  <c r="N52" i="177"/>
  <c r="I56" i="177"/>
  <c r="W64" i="177"/>
  <c r="U62" i="177"/>
  <c r="I58" i="177"/>
  <c r="X38" i="177"/>
  <c r="D55" i="177"/>
  <c r="Z49" i="177"/>
  <c r="C49" i="177"/>
  <c r="H65" i="177"/>
  <c r="P45" i="177"/>
  <c r="Y50" i="177"/>
  <c r="J54" i="177"/>
  <c r="O56" i="177"/>
  <c r="P38" i="177"/>
  <c r="Q43" i="177"/>
  <c r="O47" i="177"/>
  <c r="C51" i="177"/>
  <c r="V47" i="177"/>
  <c r="M56" i="177"/>
  <c r="E40" i="177"/>
  <c r="F47" i="177"/>
  <c r="T45" i="177"/>
  <c r="P55" i="177"/>
  <c r="N45" i="177"/>
  <c r="F46" i="177"/>
  <c r="W55" i="177"/>
  <c r="J39" i="177"/>
  <c r="X36" i="177"/>
  <c r="Y53" i="177"/>
  <c r="U55" i="177"/>
  <c r="E59" i="177"/>
  <c r="O36" i="177"/>
  <c r="I64" i="177"/>
  <c r="V61" i="177"/>
  <c r="W43" i="177"/>
  <c r="Y56" i="177"/>
  <c r="W37" i="177"/>
  <c r="Z64" i="177"/>
  <c r="Z40" i="177"/>
  <c r="M57" i="177"/>
  <c r="X52" i="177"/>
  <c r="I63" i="177"/>
  <c r="E53" i="177"/>
  <c r="Z56" i="177"/>
  <c r="R57" i="177"/>
  <c r="Q63" i="177"/>
  <c r="H36" i="177"/>
  <c r="L48" i="177"/>
  <c r="G47" i="177"/>
  <c r="Q54" i="177"/>
  <c r="X44" i="177"/>
  <c r="Q47" i="177"/>
  <c r="E52" i="177"/>
  <c r="X51" i="177"/>
  <c r="K45" i="177"/>
  <c r="Q60" i="177"/>
  <c r="P65" i="177"/>
  <c r="V42" i="177"/>
  <c r="S46" i="177"/>
  <c r="I41" i="177"/>
  <c r="Z53" i="177"/>
  <c r="V43" i="177"/>
  <c r="U48" i="177"/>
  <c r="S65" i="177"/>
  <c r="M59" i="177"/>
  <c r="K57" i="177"/>
  <c r="N49" i="177"/>
  <c r="J56" i="177"/>
  <c r="D42" i="177"/>
  <c r="T58" i="177"/>
  <c r="M50" i="177"/>
  <c r="Q40" i="177"/>
  <c r="P60" i="177"/>
  <c r="L39" i="177"/>
  <c r="D60" i="177"/>
  <c r="E38" i="177"/>
  <c r="O43" i="177"/>
  <c r="J40" i="177"/>
  <c r="T59" i="177"/>
  <c r="Z46" i="177"/>
  <c r="G51" i="177"/>
  <c r="M51" i="177"/>
  <c r="E56" i="177"/>
  <c r="L65" i="177"/>
  <c r="U35" i="177"/>
  <c r="W39" i="177"/>
  <c r="S50" i="177"/>
  <c r="V56" i="177"/>
  <c r="W47" i="177"/>
  <c r="T46" i="177"/>
  <c r="P46" i="177"/>
  <c r="N64" i="177"/>
  <c r="D59" i="177"/>
  <c r="G37" i="177"/>
  <c r="I35" i="177"/>
  <c r="V40" i="177"/>
  <c r="Y40" i="177"/>
  <c r="G52" i="177"/>
  <c r="Z48" i="177"/>
  <c r="T49" i="177"/>
  <c r="Z38" i="177"/>
  <c r="S39" i="177"/>
  <c r="L50" i="177"/>
  <c r="U49" i="177"/>
  <c r="G49" i="177"/>
  <c r="I43" i="177"/>
  <c r="R36" i="177"/>
  <c r="Q36" i="177"/>
  <c r="S59" i="177"/>
  <c r="N50" i="177"/>
  <c r="E42" i="177"/>
  <c r="G58" i="177"/>
  <c r="V46" i="177"/>
  <c r="R41" i="177"/>
  <c r="S43" i="177"/>
  <c r="Z58" i="177"/>
  <c r="H54" i="177"/>
  <c r="C37" i="177"/>
  <c r="H55" i="177"/>
  <c r="T50" i="177"/>
  <c r="G44" i="177"/>
  <c r="J38" i="177"/>
  <c r="L63" i="177"/>
  <c r="K55" i="177"/>
  <c r="S64" i="177"/>
  <c r="W59" i="177"/>
  <c r="E45" i="177"/>
  <c r="T43" i="177"/>
  <c r="R65" i="177"/>
  <c r="C52" i="177"/>
  <c r="K48" i="177"/>
  <c r="G55" i="177"/>
  <c r="P44" i="177"/>
  <c r="W57" i="177"/>
  <c r="I37" i="177"/>
  <c r="O48" i="177"/>
  <c r="T63" i="177"/>
  <c r="N37" i="177"/>
  <c r="J62" i="177"/>
  <c r="O53" i="177"/>
  <c r="D39" i="177"/>
  <c r="J58" i="177"/>
  <c r="O46" i="177"/>
  <c r="W35" i="177"/>
  <c r="E57" i="177"/>
  <c r="I51" i="177"/>
  <c r="Q46" i="177"/>
  <c r="N44" i="177"/>
  <c r="O62" i="177"/>
  <c r="Y45" i="177"/>
  <c r="U42" i="177"/>
  <c r="J46" i="177"/>
  <c r="X56" i="177"/>
  <c r="K60" i="177"/>
  <c r="P53" i="177"/>
  <c r="R49" i="177"/>
  <c r="V59" i="177"/>
  <c r="O40" i="177"/>
  <c r="U43" i="177"/>
  <c r="X53" i="177"/>
  <c r="L43" i="177"/>
  <c r="K64" i="177"/>
  <c r="I53" i="177"/>
  <c r="H53" i="177"/>
  <c r="Y48" i="177"/>
  <c r="S45" i="177"/>
  <c r="X54" i="177"/>
  <c r="U40" i="177"/>
  <c r="V39" i="177"/>
  <c r="J35" i="177"/>
  <c r="C41" i="177"/>
  <c r="Y63" i="177"/>
  <c r="V36" i="177"/>
  <c r="L62" i="177"/>
  <c r="Q37" i="177"/>
  <c r="N43" i="177"/>
  <c r="I36" i="177"/>
  <c r="V53" i="177"/>
  <c r="Y44" i="177"/>
  <c r="I54" i="177"/>
  <c r="F41" i="177"/>
  <c r="D44" i="177"/>
  <c r="C39" i="177"/>
  <c r="F60" i="177"/>
  <c r="T52" i="177"/>
  <c r="I48" i="177"/>
  <c r="U56" i="177"/>
  <c r="D62" i="177"/>
  <c r="J60" i="177"/>
  <c r="T37" i="177"/>
  <c r="S48" i="177"/>
  <c r="X37" i="177"/>
  <c r="I49" i="177"/>
  <c r="N48" i="177"/>
  <c r="L42" i="177"/>
  <c r="P49" i="177"/>
  <c r="H44" i="177"/>
  <c r="C43" i="177"/>
  <c r="H51" i="177"/>
  <c r="J57" i="177"/>
  <c r="X60" i="177"/>
  <c r="I40" i="177"/>
  <c r="D63" i="177"/>
  <c r="P40" i="177"/>
  <c r="W51" i="177"/>
  <c r="F45" i="177"/>
  <c r="F59" i="177"/>
  <c r="H47" i="177"/>
  <c r="R48" i="177"/>
  <c r="Z51" i="177"/>
  <c r="J45" i="177"/>
  <c r="G56" i="177"/>
  <c r="P59" i="177"/>
  <c r="X62" i="177"/>
  <c r="W54" i="177"/>
  <c r="E39" i="177"/>
  <c r="H62" i="177"/>
  <c r="C46" i="177"/>
  <c r="V45" i="177"/>
  <c r="X65" i="177"/>
  <c r="Y61" i="177"/>
  <c r="H61" i="177"/>
  <c r="C36" i="177"/>
  <c r="O64" i="177"/>
  <c r="K61" i="177"/>
  <c r="W61" i="177"/>
  <c r="H64" i="177"/>
  <c r="C58" i="177"/>
  <c r="L54" i="177"/>
  <c r="I65" i="177"/>
  <c r="G54" i="177"/>
  <c r="D40" i="177"/>
  <c r="D46" i="177"/>
  <c r="S57" i="177"/>
  <c r="Z37" i="177"/>
  <c r="J43" i="177"/>
  <c r="G38" i="177"/>
  <c r="W53" i="177"/>
  <c r="G41" i="177"/>
  <c r="J51" i="177"/>
  <c r="O45" i="177"/>
  <c r="S51" i="177"/>
  <c r="Z39" i="177"/>
  <c r="F61" i="177"/>
  <c r="D47" i="177"/>
  <c r="Z54" i="177"/>
  <c r="K41" i="177"/>
  <c r="E35" i="177"/>
  <c r="O58" i="177"/>
  <c r="X43" i="177"/>
  <c r="U37" i="177"/>
  <c r="F53" i="177"/>
  <c r="U45" i="177"/>
  <c r="E51" i="177"/>
  <c r="V51" i="177"/>
  <c r="G61" i="177"/>
  <c r="D58" i="177"/>
  <c r="Y54" i="177"/>
  <c r="T35" i="177"/>
  <c r="W45" i="177"/>
  <c r="O55" i="177"/>
  <c r="I60" i="177"/>
  <c r="X63" i="177"/>
  <c r="K43" i="177"/>
  <c r="M55" i="177"/>
  <c r="P35" i="177"/>
  <c r="Q41" i="177"/>
  <c r="L52" i="177"/>
  <c r="R59" i="177"/>
  <c r="L37" i="177"/>
  <c r="S41" i="177"/>
  <c r="R55" i="177"/>
  <c r="T39" i="177"/>
  <c r="W36" i="177"/>
  <c r="X40" i="177"/>
  <c r="H49" i="177"/>
  <c r="L49" i="177"/>
  <c r="M49" i="177"/>
  <c r="W40" i="177"/>
  <c r="V65" i="177"/>
  <c r="I50" i="177"/>
  <c r="Y39" i="177"/>
  <c r="J64" i="177"/>
  <c r="Z45" i="177"/>
  <c r="F49" i="177"/>
  <c r="E49" i="177"/>
  <c r="X41" i="177"/>
  <c r="P57" i="177"/>
  <c r="J50" i="177"/>
  <c r="G65" i="177"/>
  <c r="E41" i="177"/>
  <c r="Z52" i="177"/>
  <c r="O54" i="177"/>
  <c r="K59" i="177"/>
  <c r="U61" i="177"/>
  <c r="J53" i="177"/>
  <c r="G36" i="177"/>
  <c r="X39" i="177"/>
  <c r="M52" i="177"/>
  <c r="W60" i="177"/>
  <c r="T53" i="177"/>
  <c r="W62" i="177"/>
  <c r="Z55" i="177"/>
  <c r="W49" i="177"/>
  <c r="G48" i="177"/>
  <c r="U63" i="177"/>
  <c r="O52" i="177"/>
  <c r="F65" i="177"/>
  <c r="X49" i="177"/>
  <c r="M43" i="177"/>
  <c r="J48" i="177"/>
  <c r="S42" i="177"/>
  <c r="L58" i="177"/>
  <c r="Q64" i="177"/>
  <c r="Y57" i="177"/>
  <c r="R56" i="177"/>
  <c r="W44" i="177"/>
  <c r="T38" i="177"/>
  <c r="K44" i="177"/>
  <c r="U41" i="177"/>
  <c r="M41" i="177"/>
  <c r="C60" i="177"/>
  <c r="P48" i="177"/>
  <c r="S61" i="177"/>
  <c r="J37" i="177"/>
  <c r="F38" i="177"/>
  <c r="I42" i="177"/>
  <c r="W56" i="177"/>
  <c r="G60" i="177"/>
  <c r="S62" i="177"/>
  <c r="W50" i="177"/>
  <c r="V54" i="177"/>
  <c r="Z62" i="177"/>
  <c r="Z36" i="177"/>
  <c r="U52" i="177"/>
  <c r="X48" i="177"/>
  <c r="H58" i="177"/>
  <c r="G46" i="177"/>
  <c r="G63" i="177"/>
  <c r="R44" i="177"/>
  <c r="O65" i="177"/>
  <c r="M35" i="177"/>
  <c r="O50" i="177"/>
  <c r="R43" i="177"/>
  <c r="T62" i="177"/>
  <c r="F40" i="177"/>
  <c r="N59" i="177"/>
  <c r="U44" i="177"/>
  <c r="O61" i="177"/>
  <c r="N46" i="177"/>
  <c r="N36" i="177"/>
  <c r="M44" i="177"/>
  <c r="M63" i="177"/>
  <c r="L36" i="177"/>
  <c r="M53" i="177"/>
  <c r="L59" i="177"/>
  <c r="Q45" i="177"/>
  <c r="J42" i="177"/>
  <c r="R58" i="177"/>
  <c r="X47" i="177"/>
  <c r="V58" i="177"/>
  <c r="S38" i="177"/>
  <c r="W41" i="177"/>
  <c r="K58" i="177"/>
  <c r="Q52" i="177"/>
  <c r="W58" i="177"/>
  <c r="N55" i="177"/>
  <c r="D54" i="177"/>
  <c r="C44" i="177"/>
  <c r="L60" i="177"/>
  <c r="H57" i="177"/>
  <c r="Y64" i="177"/>
  <c r="M37" i="177"/>
  <c r="I38" i="177"/>
  <c r="C57" i="177"/>
  <c r="U54" i="177"/>
  <c r="P39" i="177"/>
  <c r="R35" i="177"/>
  <c r="Y41" i="177"/>
  <c r="F44" i="177"/>
  <c r="W38" i="177"/>
  <c r="P36" i="177"/>
  <c r="V60" i="177"/>
  <c r="Z60" i="177"/>
  <c r="V49" i="177"/>
  <c r="S37" i="177"/>
  <c r="D38" i="177"/>
  <c r="D41" i="177"/>
  <c r="N41" i="177"/>
  <c r="V44" i="177"/>
  <c r="D36" i="177"/>
  <c r="S52" i="177"/>
  <c r="S44" i="177"/>
  <c r="D37" i="177"/>
  <c r="G40" i="177"/>
  <c r="H39" i="177"/>
  <c r="K42" i="177"/>
  <c r="Y36" i="177"/>
  <c r="K40" i="177"/>
  <c r="P47" i="177"/>
  <c r="V48" i="177"/>
  <c r="U59" i="177"/>
  <c r="Y52" i="177"/>
  <c r="U38" i="177"/>
  <c r="J36" i="177"/>
  <c r="G64" i="177"/>
  <c r="L40" i="177"/>
  <c r="N35" i="177"/>
  <c r="R40" i="177"/>
  <c r="D51" i="177"/>
  <c r="Y38" i="177"/>
  <c r="P51" i="177"/>
  <c r="K65" i="177"/>
  <c r="F57" i="177"/>
  <c r="T61" i="177"/>
  <c r="S58" i="177"/>
  <c r="U47" i="177"/>
  <c r="T57" i="177"/>
  <c r="E43" i="177"/>
  <c r="R61" i="177"/>
  <c r="K38" i="177"/>
  <c r="Q49" i="177"/>
  <c r="X46" i="177"/>
  <c r="C61" i="177"/>
  <c r="M45" i="177"/>
  <c r="G62" i="177"/>
  <c r="Q44" i="177"/>
  <c r="S53" i="177"/>
  <c r="F42" i="177"/>
  <c r="L53" i="177"/>
  <c r="F39" i="177"/>
  <c r="Q58" i="177"/>
  <c r="Z41" i="177"/>
  <c r="D45" i="177"/>
  <c r="F55" i="177"/>
  <c r="G53" i="177"/>
  <c r="L46" i="177"/>
  <c r="S47" i="177"/>
  <c r="I61" i="177"/>
  <c r="C42" i="177"/>
  <c r="V41" i="177"/>
  <c r="M62" i="177"/>
  <c r="R60" i="177"/>
  <c r="H37" i="177"/>
  <c r="Q35" i="177"/>
  <c r="C47" i="177"/>
  <c r="Q53" i="177"/>
  <c r="Q56" i="177"/>
  <c r="H60" i="177"/>
  <c r="C55" i="177"/>
  <c r="V50" i="177"/>
  <c r="Y65" i="177"/>
  <c r="D49" i="177"/>
  <c r="R46" i="177"/>
  <c r="R42" i="177"/>
  <c r="W46" i="177"/>
  <c r="W48" i="177"/>
  <c r="N51" i="177"/>
  <c r="M64" i="177"/>
  <c r="N53" i="177"/>
  <c r="M40" i="177"/>
  <c r="L51" i="177"/>
  <c r="T41" i="177"/>
  <c r="G43" i="177"/>
  <c r="M39" i="177"/>
  <c r="V37" i="177"/>
  <c r="J52" i="177"/>
  <c r="O59" i="177"/>
  <c r="S36" i="177"/>
  <c r="R45" i="177"/>
  <c r="N61" i="177"/>
  <c r="Z65" i="177"/>
  <c r="E55" i="177"/>
  <c r="F62" i="177"/>
  <c r="E63" i="177"/>
  <c r="I47" i="177"/>
  <c r="R39" i="177"/>
  <c r="Z35" i="177"/>
  <c r="T36" i="177"/>
  <c r="Z47" i="177"/>
  <c r="X58" i="177"/>
  <c r="N56" i="177"/>
  <c r="E62" i="177"/>
  <c r="L61" i="177"/>
  <c r="X42" i="177"/>
  <c r="T42" i="177"/>
  <c r="E48" i="177"/>
  <c r="N47" i="177"/>
  <c r="Q65" i="177"/>
  <c r="F54" i="177"/>
  <c r="X50" i="177"/>
  <c r="Q42" i="177"/>
  <c r="E54" i="177"/>
  <c r="Q48" i="177"/>
  <c r="E47" i="177"/>
  <c r="Q50" i="177"/>
  <c r="P56" i="177"/>
  <c r="Y51" i="177"/>
  <c r="S60" i="177"/>
  <c r="L38" i="177"/>
  <c r="L35" i="177"/>
  <c r="V57" i="177"/>
  <c r="Z44" i="177"/>
  <c r="C50" i="177"/>
  <c r="N60" i="177"/>
  <c r="L44" i="177"/>
  <c r="K51" i="177"/>
  <c r="I44" i="177"/>
  <c r="Q55" i="177"/>
  <c r="T40" i="177"/>
  <c r="Y55" i="177"/>
  <c r="O42" i="177"/>
  <c r="D57" i="177"/>
  <c r="P58" i="177"/>
  <c r="H63" i="177"/>
  <c r="Y47" i="177"/>
  <c r="P37" i="177"/>
  <c r="H50" i="177"/>
  <c r="Z63" i="177"/>
  <c r="O39" i="177"/>
  <c r="O44" i="177"/>
  <c r="U58" i="177"/>
  <c r="Y43" i="177"/>
  <c r="K47" i="177"/>
  <c r="P42" i="177"/>
  <c r="N40" i="177"/>
  <c r="F58" i="177"/>
  <c r="R37" i="177"/>
  <c r="H45" i="177"/>
  <c r="H43" i="177"/>
  <c r="Q51" i="177"/>
  <c r="M38" i="177"/>
  <c r="G42" i="177"/>
  <c r="K63" i="177"/>
  <c r="O38" i="177"/>
  <c r="T51" i="177"/>
  <c r="U36" i="177"/>
  <c r="Y49" i="177"/>
  <c r="V55" i="177"/>
  <c r="K54" i="177"/>
  <c r="Y58" i="177"/>
  <c r="V64" i="177"/>
  <c r="N42" i="177"/>
  <c r="M61" i="177"/>
  <c r="Y37" i="177"/>
  <c r="J61" i="177"/>
  <c r="T54" i="177"/>
  <c r="S55" i="177"/>
  <c r="H59" i="177"/>
  <c r="E65" i="177"/>
  <c r="X55" i="177"/>
  <c r="J59" i="177"/>
  <c r="G59" i="177"/>
  <c r="I55" i="177"/>
  <c r="L64" i="177"/>
  <c r="D56" i="177"/>
  <c r="R38" i="177"/>
  <c r="P64" i="177"/>
  <c r="H40" i="177"/>
  <c r="O63" i="177"/>
  <c r="L47" i="177"/>
  <c r="R50" i="177"/>
  <c r="P52" i="177"/>
  <c r="Y35" i="177"/>
  <c r="N65" i="177"/>
  <c r="P43" i="177"/>
  <c r="E46" i="177"/>
  <c r="S56" i="177"/>
  <c r="Q38" i="177"/>
  <c r="U53" i="177"/>
  <c r="V15" i="157"/>
  <c r="N5" i="157"/>
  <c r="AH22" i="157"/>
  <c r="V23" i="157"/>
  <c r="G19" i="157"/>
  <c r="AQ10" i="157"/>
  <c r="AQ21" i="157"/>
  <c r="AQ20" i="157"/>
  <c r="AQ7" i="157"/>
  <c r="AQ5" i="157"/>
  <c r="N22" i="157"/>
  <c r="AN15" i="157"/>
  <c r="R7" i="157"/>
  <c r="AD23" i="157"/>
  <c r="AH19" i="157"/>
  <c r="AD21" i="157"/>
  <c r="R15" i="157"/>
  <c r="AQ23" i="157"/>
  <c r="AD27" i="157"/>
  <c r="R16" i="157"/>
  <c r="G13" i="157"/>
  <c r="G6" i="157"/>
  <c r="V20" i="157"/>
  <c r="J14" i="157"/>
  <c r="AN12" i="157"/>
  <c r="G21" i="157"/>
  <c r="V26" i="157"/>
  <c r="N7" i="157"/>
  <c r="N10" i="157"/>
  <c r="AQ15" i="157"/>
  <c r="AH6" i="157"/>
  <c r="J7" i="157"/>
  <c r="Z22" i="157"/>
  <c r="AH13" i="157"/>
  <c r="Z12" i="157"/>
  <c r="AN10" i="157"/>
  <c r="V8" i="157"/>
  <c r="AD14" i="157"/>
  <c r="R12" i="157"/>
  <c r="R19" i="157"/>
  <c r="AD19" i="157"/>
  <c r="Z9" i="157"/>
  <c r="AQ26" i="157"/>
  <c r="AH26" i="157"/>
  <c r="V5" i="157"/>
  <c r="Z18" i="157"/>
  <c r="AN6" i="157"/>
  <c r="AH5" i="157"/>
  <c r="AD20" i="157"/>
  <c r="AH12" i="157"/>
  <c r="Z6" i="157"/>
  <c r="J22" i="157"/>
  <c r="N28" i="157"/>
  <c r="AQ11" i="157"/>
  <c r="V14" i="157"/>
  <c r="G23" i="157"/>
  <c r="Z16" i="157"/>
  <c r="V27" i="157"/>
  <c r="J18" i="157"/>
  <c r="J20" i="157"/>
  <c r="AQ9" i="157"/>
  <c r="G14" i="157"/>
  <c r="AD24" i="157"/>
  <c r="V25" i="157"/>
  <c r="AN22" i="157"/>
  <c r="N23" i="157"/>
  <c r="AN19" i="157"/>
  <c r="V17" i="157"/>
  <c r="R23" i="157"/>
  <c r="AN24" i="157"/>
  <c r="R22" i="157"/>
  <c r="AD26" i="157"/>
  <c r="J26" i="157"/>
  <c r="N15" i="157"/>
  <c r="Z13" i="157"/>
  <c r="J10" i="157"/>
  <c r="J11" i="157"/>
  <c r="Z8" i="157"/>
  <c r="AD17" i="157"/>
  <c r="AN28" i="157"/>
  <c r="AD11" i="157"/>
  <c r="AN20" i="157"/>
  <c r="AQ12" i="157"/>
  <c r="AH24" i="157"/>
  <c r="R6" i="157"/>
  <c r="AD16" i="157"/>
  <c r="Z10" i="157"/>
  <c r="AH10" i="157"/>
  <c r="AQ13" i="157"/>
  <c r="V16" i="157"/>
  <c r="AN18" i="157"/>
  <c r="N11" i="157"/>
  <c r="AH8" i="157"/>
  <c r="G26" i="157"/>
  <c r="J24" i="157"/>
  <c r="AN23" i="157"/>
  <c r="V9" i="157"/>
  <c r="AN27" i="157"/>
  <c r="AN26" i="157"/>
  <c r="V11" i="157"/>
  <c r="G8" i="157"/>
  <c r="AQ28" i="157"/>
  <c r="G11" i="157"/>
  <c r="AQ16" i="157"/>
  <c r="V13" i="157"/>
  <c r="J12" i="157"/>
  <c r="N16" i="157"/>
  <c r="AH14" i="157"/>
  <c r="AH15" i="157"/>
  <c r="G16" i="157"/>
  <c r="AH25" i="157"/>
  <c r="AH9" i="157"/>
  <c r="AQ14" i="157"/>
  <c r="J5" i="157"/>
  <c r="G25" i="157"/>
  <c r="R8" i="157"/>
  <c r="V19" i="157"/>
  <c r="J21" i="157"/>
  <c r="N25" i="157"/>
  <c r="AH23" i="157"/>
  <c r="G15" i="157"/>
  <c r="AD12" i="157"/>
  <c r="J13" i="157"/>
  <c r="G10" i="157"/>
  <c r="R26" i="157"/>
  <c r="N24" i="157"/>
  <c r="R20" i="157"/>
  <c r="J28" i="157"/>
  <c r="N6" i="157"/>
  <c r="Z25" i="157"/>
  <c r="V18" i="157"/>
  <c r="Z15" i="157"/>
  <c r="J16" i="157"/>
  <c r="G24" i="157"/>
  <c r="G17" i="157"/>
  <c r="AD10" i="157"/>
  <c r="AQ8" i="157"/>
  <c r="G18" i="157"/>
  <c r="Z23" i="157"/>
  <c r="AH16" i="157"/>
  <c r="Z5" i="157"/>
  <c r="J19" i="157"/>
  <c r="R28" i="157"/>
  <c r="Z17" i="157"/>
  <c r="R13" i="157"/>
  <c r="V24" i="157"/>
  <c r="J25" i="157"/>
  <c r="Z11" i="157"/>
  <c r="AQ6" i="157"/>
  <c r="AH28" i="157"/>
  <c r="V6" i="157"/>
  <c r="N21" i="157"/>
  <c r="AN7" i="157"/>
  <c r="G5" i="157"/>
  <c r="G9" i="157"/>
  <c r="G28" i="157"/>
  <c r="G12" i="157"/>
  <c r="AN25" i="157"/>
  <c r="AQ25" i="157"/>
  <c r="AD28" i="157"/>
  <c r="Z19" i="157"/>
  <c r="AD18" i="157"/>
  <c r="AD8" i="157"/>
  <c r="R17" i="157"/>
  <c r="AD15" i="157"/>
  <c r="R9" i="157"/>
  <c r="N19" i="157"/>
  <c r="AN16" i="157"/>
  <c r="N18" i="157"/>
  <c r="AH17" i="157"/>
  <c r="Z28" i="157"/>
  <c r="AN21" i="157"/>
  <c r="V22" i="157"/>
  <c r="AN14" i="157"/>
  <c r="R10" i="157"/>
  <c r="AQ27" i="157"/>
  <c r="AQ24" i="157"/>
  <c r="AH11" i="157"/>
  <c r="V10" i="157"/>
  <c r="N13" i="157"/>
  <c r="AH18" i="157"/>
  <c r="Z14" i="157"/>
  <c r="AN8" i="157"/>
  <c r="J15" i="157"/>
  <c r="AH21" i="157"/>
  <c r="N8" i="157"/>
  <c r="Z20" i="157"/>
  <c r="R18" i="157"/>
  <c r="G22" i="157"/>
  <c r="V28" i="157"/>
  <c r="AD13" i="157"/>
  <c r="AD6" i="157"/>
  <c r="AN9" i="157"/>
  <c r="AN17" i="157"/>
  <c r="N12" i="157"/>
  <c r="Z27" i="157"/>
  <c r="AH27" i="157"/>
  <c r="AQ17" i="157"/>
  <c r="AH20" i="157"/>
  <c r="AN5" i="157"/>
  <c r="G27" i="157"/>
  <c r="AD22" i="157"/>
  <c r="N26" i="157"/>
  <c r="R25" i="157"/>
  <c r="Z26" i="157"/>
  <c r="N14" i="157"/>
  <c r="R24" i="157"/>
  <c r="V12" i="157"/>
  <c r="AQ22" i="157"/>
  <c r="AN11" i="157"/>
  <c r="R27" i="157"/>
  <c r="J17" i="157"/>
  <c r="J9" i="157"/>
  <c r="J8" i="157"/>
  <c r="AD7" i="157"/>
  <c r="AD9" i="157"/>
  <c r="AN13" i="157"/>
  <c r="G7" i="157"/>
  <c r="Z24" i="157"/>
  <c r="N27" i="157"/>
  <c r="Z21" i="157"/>
  <c r="J23" i="157"/>
  <c r="N20" i="157"/>
  <c r="V21" i="157"/>
  <c r="AH7" i="157"/>
  <c r="R5" i="157"/>
  <c r="R21" i="157"/>
  <c r="J27" i="157"/>
  <c r="R14" i="157"/>
  <c r="N9" i="157"/>
  <c r="G20" i="157"/>
  <c r="R11" i="157"/>
  <c r="N17" i="157"/>
  <c r="AQ19" i="157"/>
  <c r="V7" i="157"/>
  <c r="AQ18" i="157"/>
  <c r="AD25" i="157"/>
  <c r="AD5" i="157"/>
  <c r="U29" i="102"/>
  <c r="U30" i="102"/>
  <c r="U40" i="102"/>
  <c r="U21" i="102"/>
  <c r="U20" i="102"/>
  <c r="U28" i="102"/>
  <c r="U31" i="102"/>
  <c r="U9" i="102"/>
  <c r="A25" i="79"/>
  <c r="C22" i="79"/>
  <c r="A26" i="79"/>
  <c r="C23" i="79"/>
  <c r="U36" i="102" l="1"/>
  <c r="U17" i="102"/>
  <c r="U25" i="102"/>
  <c r="C26" i="79"/>
  <c r="A29" i="79"/>
  <c r="A28" i="79"/>
  <c r="C25" i="79"/>
  <c r="C28" i="79" l="1"/>
  <c r="A31" i="79"/>
  <c r="A32" i="79"/>
  <c r="C29" i="79"/>
  <c r="A34" i="79" l="1"/>
  <c r="C31" i="79"/>
  <c r="C32" i="79"/>
  <c r="A35" i="79"/>
  <c r="A38" i="79" l="1"/>
  <c r="C35" i="79"/>
  <c r="A37" i="79"/>
  <c r="C34" i="79"/>
  <c r="A40" i="79" l="1"/>
  <c r="C37" i="79"/>
  <c r="C38" i="79"/>
  <c r="A41" i="79"/>
  <c r="A44" i="79" l="1"/>
  <c r="C41" i="79"/>
  <c r="C40" i="79"/>
  <c r="A43" i="79"/>
  <c r="C44" i="79" l="1"/>
  <c r="A47" i="79"/>
  <c r="A46" i="79"/>
  <c r="C43" i="79"/>
  <c r="C46" i="79" l="1"/>
  <c r="A49" i="79"/>
  <c r="A50" i="79"/>
  <c r="C47" i="79"/>
  <c r="A52" i="79" l="1"/>
  <c r="C49" i="79"/>
  <c r="C50" i="79"/>
  <c r="A53" i="79"/>
  <c r="A56" i="79" l="1"/>
  <c r="C53" i="79"/>
  <c r="A55" i="79"/>
  <c r="C52" i="79"/>
  <c r="A58" i="79" l="1"/>
  <c r="C55" i="79"/>
  <c r="C56" i="79"/>
  <c r="A59" i="79"/>
  <c r="C59" i="79" l="1"/>
  <c r="A62" i="79"/>
  <c r="C58" i="79"/>
  <c r="A61" i="79"/>
  <c r="A64" i="79" l="1"/>
  <c r="C61" i="79"/>
  <c r="C62" i="79"/>
  <c r="A65" i="79"/>
  <c r="A68" i="79" l="1"/>
  <c r="C65" i="79"/>
  <c r="A67" i="79"/>
  <c r="C64" i="79"/>
  <c r="A70" i="79" l="1"/>
  <c r="C67" i="79"/>
  <c r="C68" i="79"/>
  <c r="A71" i="79"/>
  <c r="A74" i="79" l="1"/>
  <c r="C71" i="79"/>
  <c r="A73" i="79"/>
  <c r="C70" i="79"/>
  <c r="A76" i="79" l="1"/>
  <c r="C73" i="79"/>
  <c r="C74" i="79"/>
  <c r="A77" i="79"/>
  <c r="A80" i="79" l="1"/>
  <c r="C77" i="79"/>
  <c r="C76" i="79"/>
  <c r="A79" i="79"/>
  <c r="A82" i="79" l="1"/>
  <c r="C79" i="79"/>
  <c r="C80" i="79"/>
  <c r="A83" i="79"/>
  <c r="A86" i="79" l="1"/>
  <c r="C83" i="79"/>
  <c r="C82" i="79"/>
  <c r="A85" i="79"/>
  <c r="A88" i="79" l="1"/>
  <c r="C85" i="79"/>
  <c r="C86" i="79"/>
  <c r="A89" i="79"/>
  <c r="A92" i="79" l="1"/>
  <c r="C89" i="79"/>
  <c r="C88" i="79"/>
  <c r="A91" i="79"/>
  <c r="A94" i="79" l="1"/>
  <c r="C91" i="79"/>
  <c r="A95" i="79"/>
  <c r="C92" i="79"/>
  <c r="A98" i="79" l="1"/>
  <c r="C95" i="79"/>
  <c r="A97" i="79"/>
  <c r="C94" i="79"/>
  <c r="A100" i="79" l="1"/>
  <c r="C97" i="79"/>
  <c r="C98" i="79"/>
  <c r="A101" i="79"/>
  <c r="A104" i="79" l="1"/>
  <c r="C101" i="79"/>
  <c r="A103" i="79"/>
  <c r="C100" i="79"/>
  <c r="A106" i="79" l="1"/>
  <c r="C103" i="79"/>
  <c r="C104" i="79"/>
  <c r="A107" i="79"/>
  <c r="A110" i="79" l="1"/>
  <c r="C107" i="79"/>
  <c r="C106" i="79"/>
  <c r="A109" i="79"/>
  <c r="A112" i="79" l="1"/>
  <c r="C109" i="79"/>
  <c r="C110" i="79"/>
  <c r="A113" i="79"/>
  <c r="C113" i="79" l="1"/>
  <c r="A116" i="79"/>
  <c r="A115" i="79"/>
  <c r="C112" i="79"/>
  <c r="A118" i="79" l="1"/>
  <c r="C115" i="79"/>
  <c r="C116" i="79"/>
  <c r="A119" i="79"/>
  <c r="A122" i="79" l="1"/>
  <c r="C119" i="79"/>
  <c r="C118" i="79"/>
  <c r="A121" i="79"/>
  <c r="A124" i="79" l="1"/>
  <c r="C121" i="79"/>
  <c r="C122" i="79"/>
  <c r="A125" i="79"/>
  <c r="A128" i="79" l="1"/>
  <c r="C125" i="79"/>
  <c r="C124" i="79"/>
  <c r="A127" i="79"/>
  <c r="A130" i="79" l="1"/>
  <c r="C127" i="79"/>
  <c r="C128" i="79"/>
  <c r="A131" i="79"/>
  <c r="A134" i="79" l="1"/>
  <c r="C131" i="79"/>
  <c r="A133" i="79"/>
  <c r="C130" i="79"/>
  <c r="A136" i="79" l="1"/>
  <c r="C133" i="79"/>
  <c r="C134" i="79"/>
  <c r="A137" i="79"/>
  <c r="A140" i="79" l="1"/>
  <c r="C137" i="79"/>
  <c r="C136" i="79"/>
  <c r="A139" i="79"/>
  <c r="A142" i="79" l="1"/>
  <c r="C139" i="79"/>
  <c r="C140" i="79"/>
  <c r="A143" i="79"/>
  <c r="A146" i="79" l="1"/>
  <c r="C143" i="79"/>
  <c r="A145" i="79"/>
  <c r="C142" i="79"/>
  <c r="A148" i="79" l="1"/>
  <c r="C145" i="79"/>
  <c r="C146" i="79"/>
  <c r="A149" i="79"/>
  <c r="A152" i="79" l="1"/>
  <c r="C149" i="79"/>
  <c r="C148" i="79"/>
  <c r="A151" i="79"/>
  <c r="A154" i="79" l="1"/>
  <c r="C151" i="79"/>
  <c r="C152" i="79"/>
  <c r="A155" i="79"/>
  <c r="A158" i="79" l="1"/>
  <c r="C155" i="79"/>
  <c r="C154" i="79"/>
  <c r="A157" i="79"/>
  <c r="A160" i="79" l="1"/>
  <c r="C157" i="79"/>
  <c r="C158" i="79"/>
  <c r="A161" i="79"/>
  <c r="A164" i="79" l="1"/>
  <c r="C161" i="79"/>
  <c r="A163" i="79"/>
  <c r="C160" i="79"/>
  <c r="A166" i="79" l="1"/>
  <c r="C163" i="79"/>
  <c r="C164" i="79"/>
  <c r="A167" i="79"/>
  <c r="A170" i="79" l="1"/>
  <c r="C167" i="79"/>
  <c r="C166" i="79"/>
  <c r="A169" i="79"/>
  <c r="A172" i="79" l="1"/>
  <c r="C169" i="79"/>
  <c r="C170" i="79"/>
  <c r="A173" i="79"/>
  <c r="A176" i="79" l="1"/>
  <c r="C173" i="79"/>
  <c r="C172" i="79"/>
  <c r="A175" i="79"/>
  <c r="A178" i="79" l="1"/>
  <c r="C175" i="79"/>
  <c r="C176" i="79"/>
  <c r="A179" i="79"/>
  <c r="A182" i="79" l="1"/>
  <c r="C179" i="79"/>
  <c r="C178" i="79"/>
  <c r="A181" i="79"/>
  <c r="A184" i="79" l="1"/>
  <c r="C181" i="79"/>
  <c r="C182" i="79"/>
  <c r="A185" i="79"/>
  <c r="A188" i="79" l="1"/>
  <c r="C185" i="79"/>
  <c r="A187" i="79"/>
  <c r="C184" i="79"/>
  <c r="A190" i="79" l="1"/>
  <c r="C187" i="79"/>
  <c r="A191" i="79"/>
  <c r="C188" i="79"/>
  <c r="A194" i="79" l="1"/>
  <c r="C191" i="79"/>
  <c r="A193" i="79"/>
  <c r="C190" i="79"/>
  <c r="C193" i="79" l="1"/>
  <c r="A196" i="79"/>
  <c r="C194" i="79"/>
  <c r="A197" i="79"/>
  <c r="A200" i="79" l="1"/>
  <c r="C197" i="79"/>
  <c r="A199" i="79"/>
  <c r="C196" i="79"/>
  <c r="C199" i="79" l="1"/>
  <c r="A202" i="79"/>
  <c r="A203" i="79"/>
  <c r="C200" i="79"/>
  <c r="A206" i="79" l="1"/>
  <c r="C203" i="79"/>
  <c r="A205" i="79"/>
  <c r="C202" i="79"/>
  <c r="C205" i="79" l="1"/>
  <c r="A208" i="79"/>
  <c r="A209" i="79"/>
  <c r="C206" i="79"/>
  <c r="A212" i="79" l="1"/>
  <c r="C209" i="79"/>
  <c r="A211" i="79"/>
  <c r="C208" i="79"/>
  <c r="C211" i="79" l="1"/>
  <c r="A214" i="79"/>
  <c r="A215" i="79"/>
  <c r="C212" i="79"/>
  <c r="A217" i="79" l="1"/>
  <c r="C214" i="79"/>
  <c r="A218" i="79"/>
  <c r="C215" i="79"/>
  <c r="A221" i="79" l="1"/>
  <c r="C218" i="79"/>
  <c r="C217" i="79"/>
  <c r="A220" i="79"/>
  <c r="A223" i="79" l="1"/>
  <c r="C220" i="79"/>
  <c r="A224" i="79"/>
  <c r="C221" i="79"/>
  <c r="A227" i="79" l="1"/>
  <c r="C224" i="79"/>
  <c r="C223" i="79"/>
  <c r="A226" i="79"/>
  <c r="A229" i="79" l="1"/>
  <c r="C226" i="79"/>
  <c r="A230" i="79"/>
  <c r="C227" i="79"/>
  <c r="A233" i="79" l="1"/>
  <c r="C230" i="79"/>
  <c r="C229" i="79"/>
  <c r="A232" i="79"/>
  <c r="A235" i="79" l="1"/>
  <c r="C232" i="79"/>
  <c r="A236" i="79"/>
  <c r="C233" i="79"/>
  <c r="A239" i="79" l="1"/>
  <c r="C236" i="79"/>
  <c r="C235" i="79"/>
  <c r="A238" i="79"/>
  <c r="A241" i="79" l="1"/>
  <c r="C238" i="79"/>
  <c r="A242" i="79"/>
  <c r="C239" i="79"/>
  <c r="A245" i="79" l="1"/>
  <c r="C242" i="79"/>
  <c r="C241" i="79"/>
  <c r="A244" i="79"/>
  <c r="A247" i="79" l="1"/>
  <c r="C244" i="79"/>
  <c r="A248" i="79"/>
  <c r="C245" i="79"/>
  <c r="A251" i="79" l="1"/>
  <c r="C248" i="79"/>
  <c r="C247" i="79"/>
  <c r="A250" i="79"/>
  <c r="A253" i="79" l="1"/>
  <c r="C250" i="79"/>
  <c r="A254" i="79"/>
  <c r="C251" i="79"/>
  <c r="A257" i="79" l="1"/>
  <c r="C254" i="79"/>
  <c r="C253" i="79"/>
  <c r="A256" i="79"/>
  <c r="A259" i="79" l="1"/>
  <c r="C256" i="79"/>
  <c r="A260" i="79"/>
  <c r="C257" i="79"/>
  <c r="A263" i="79" l="1"/>
  <c r="C260" i="79"/>
  <c r="C259" i="79"/>
  <c r="A262" i="79"/>
  <c r="A265" i="79" l="1"/>
  <c r="C262" i="79"/>
  <c r="A266" i="79"/>
  <c r="C263" i="79"/>
  <c r="A269" i="79" l="1"/>
  <c r="C266" i="79"/>
  <c r="C265" i="79"/>
  <c r="A268" i="79"/>
  <c r="A271" i="79" l="1"/>
  <c r="C268" i="79"/>
  <c r="A272" i="79"/>
  <c r="C269" i="79"/>
  <c r="A275" i="79" l="1"/>
  <c r="C272" i="79"/>
  <c r="C271" i="79"/>
  <c r="A274" i="79"/>
  <c r="A277" i="79" l="1"/>
  <c r="C274" i="79"/>
  <c r="A278" i="79"/>
  <c r="C275" i="79"/>
  <c r="C278" i="79" l="1"/>
  <c r="A281" i="79"/>
  <c r="C277" i="79"/>
  <c r="A280" i="79"/>
  <c r="R39" i="102"/>
  <c r="S40" i="102"/>
  <c r="R9" i="102"/>
  <c r="Q29" i="102"/>
  <c r="P29" i="102"/>
  <c r="S20" i="102"/>
  <c r="Q9" i="102"/>
  <c r="R40" i="102"/>
  <c r="S9" i="102"/>
  <c r="S31" i="102"/>
  <c r="S39" i="102"/>
  <c r="S32" i="102"/>
  <c r="S21" i="102"/>
  <c r="Q39" i="102"/>
  <c r="S30" i="102"/>
  <c r="P39" i="102"/>
  <c r="Q28" i="102"/>
  <c r="R32" i="102"/>
  <c r="R21" i="102"/>
  <c r="R30" i="102"/>
  <c r="P28" i="102"/>
  <c r="R31" i="102"/>
  <c r="C280" i="79" l="1"/>
  <c r="A283" i="79"/>
  <c r="C281" i="79"/>
  <c r="A284" i="79"/>
  <c r="A287" i="79" l="1"/>
  <c r="C284" i="79"/>
  <c r="A286" i="79"/>
  <c r="C283" i="79"/>
  <c r="C286" i="79" l="1"/>
  <c r="A289" i="79"/>
  <c r="C287" i="79"/>
  <c r="A290" i="79"/>
  <c r="C290" i="79" l="1"/>
  <c r="A293" i="79"/>
  <c r="C289" i="79"/>
  <c r="A292" i="79"/>
  <c r="C292" i="79" l="1"/>
  <c r="A295" i="79"/>
  <c r="C293" i="79"/>
  <c r="A296" i="79"/>
  <c r="C296" i="79" l="1"/>
  <c r="A299" i="79"/>
  <c r="C295" i="79"/>
  <c r="A298" i="79"/>
  <c r="A301" i="79" l="1"/>
  <c r="C298" i="79"/>
  <c r="A302" i="79"/>
  <c r="C299" i="79"/>
  <c r="C302" i="79" l="1"/>
  <c r="A305" i="79"/>
  <c r="C301" i="79"/>
  <c r="A304" i="79"/>
  <c r="A307" i="79" l="1"/>
  <c r="C304" i="79"/>
  <c r="C305" i="79"/>
  <c r="A308" i="79"/>
  <c r="C308" i="79" l="1"/>
  <c r="A311" i="79"/>
  <c r="C307" i="79"/>
  <c r="A310" i="79"/>
  <c r="C310" i="79" l="1"/>
  <c r="A313" i="79"/>
  <c r="C311" i="79"/>
  <c r="A314" i="79"/>
  <c r="C313" i="79" l="1"/>
  <c r="A316" i="79"/>
  <c r="C314" i="79"/>
  <c r="A317" i="79"/>
  <c r="A320" i="79" l="1"/>
  <c r="C317" i="79"/>
  <c r="A319" i="79"/>
  <c r="C316" i="79"/>
  <c r="C319" i="79" l="1"/>
  <c r="A322" i="79"/>
  <c r="A323" i="79"/>
  <c r="C320" i="79"/>
  <c r="A326" i="79" l="1"/>
  <c r="C323" i="79"/>
  <c r="C322" i="79"/>
  <c r="A325" i="79"/>
  <c r="C325" i="79" l="1"/>
  <c r="A328" i="79"/>
  <c r="C326" i="79"/>
  <c r="A329" i="79"/>
  <c r="C329" i="79" l="1"/>
  <c r="A332" i="79"/>
  <c r="A331" i="79"/>
  <c r="C328" i="79"/>
  <c r="C332" i="79" l="1"/>
  <c r="A335" i="79"/>
  <c r="C331" i="79"/>
  <c r="A334" i="79"/>
  <c r="A338" i="79" l="1"/>
  <c r="C335" i="79"/>
  <c r="C334" i="79"/>
  <c r="A337" i="79"/>
  <c r="C337" i="79" l="1"/>
  <c r="A340" i="79"/>
  <c r="C338" i="79"/>
  <c r="A341" i="79"/>
  <c r="C340" i="79" l="1"/>
  <c r="A343" i="79"/>
  <c r="C341" i="79"/>
  <c r="A344" i="79"/>
  <c r="C344" i="79" l="1"/>
  <c r="A347" i="79"/>
  <c r="C343" i="79"/>
  <c r="A346" i="79"/>
  <c r="C346" i="79" l="1"/>
  <c r="A349" i="79"/>
  <c r="C347" i="79"/>
  <c r="A350" i="79"/>
  <c r="C349" i="79" l="1"/>
  <c r="A352" i="79"/>
  <c r="C350" i="79"/>
  <c r="A353" i="79"/>
  <c r="A356" i="79" l="1"/>
  <c r="C353" i="79"/>
  <c r="C352" i="79"/>
  <c r="A355" i="79"/>
  <c r="C355" i="79" l="1"/>
  <c r="A358" i="79"/>
  <c r="A359" i="79"/>
  <c r="C356" i="79"/>
  <c r="A362" i="79" l="1"/>
  <c r="C359" i="79"/>
  <c r="A361" i="79"/>
  <c r="C358" i="79"/>
  <c r="C361" i="79" l="1"/>
  <c r="A364" i="79"/>
  <c r="A365" i="79"/>
  <c r="C362" i="79"/>
  <c r="A368" i="79" l="1"/>
  <c r="C365" i="79"/>
  <c r="A367" i="79"/>
  <c r="C364" i="79"/>
  <c r="C367" i="79" l="1"/>
  <c r="A370" i="79"/>
  <c r="C368" i="79"/>
  <c r="A371" i="79"/>
  <c r="A374" i="79" l="1"/>
  <c r="C371" i="79"/>
  <c r="A373" i="79"/>
  <c r="C370" i="79"/>
  <c r="A376" i="79" l="1"/>
  <c r="C373" i="79"/>
  <c r="A377" i="79"/>
  <c r="C374" i="79"/>
  <c r="A380" i="79" l="1"/>
  <c r="C377" i="79"/>
  <c r="C376" i="79"/>
  <c r="A379" i="79"/>
  <c r="A382" i="79" l="1"/>
  <c r="C379" i="79"/>
  <c r="C380" i="79"/>
  <c r="A383" i="79"/>
  <c r="C383" i="79" l="1"/>
  <c r="A386" i="79"/>
  <c r="C382" i="79"/>
  <c r="A385" i="79"/>
  <c r="C385" i="79" l="1"/>
  <c r="A388" i="79"/>
  <c r="C386" i="79"/>
  <c r="A389" i="79"/>
  <c r="C389" i="79" l="1"/>
  <c r="A392" i="79"/>
  <c r="C388" i="79"/>
  <c r="A391" i="79"/>
  <c r="C391" i="79" l="1"/>
  <c r="A394" i="79"/>
  <c r="C392" i="79"/>
  <c r="A395" i="79"/>
  <c r="A397" i="79" l="1"/>
  <c r="C394" i="79"/>
  <c r="C395" i="79"/>
  <c r="A398" i="79"/>
  <c r="C398" i="79" l="1"/>
  <c r="A401" i="79"/>
  <c r="C397" i="79"/>
  <c r="A400" i="79"/>
  <c r="C400" i="79" l="1"/>
  <c r="A403" i="79"/>
  <c r="A404" i="79"/>
  <c r="C401" i="79"/>
  <c r="C403" i="79" l="1"/>
  <c r="A406" i="79"/>
  <c r="C404" i="79"/>
  <c r="A407" i="79"/>
  <c r="C407" i="79" l="1"/>
  <c r="A410" i="79"/>
  <c r="C406" i="79"/>
  <c r="A409" i="79"/>
  <c r="P9" i="102"/>
  <c r="R20" i="102"/>
  <c r="C409" i="79" l="1"/>
  <c r="A412" i="79"/>
  <c r="C410" i="79"/>
  <c r="A413" i="79"/>
  <c r="C412" i="79" l="1"/>
  <c r="A415" i="79"/>
  <c r="C413" i="79"/>
  <c r="A416" i="79"/>
  <c r="C416" i="79" l="1"/>
  <c r="A419" i="79"/>
  <c r="C415" i="79"/>
  <c r="A418" i="79"/>
  <c r="Y30" i="102" l="1"/>
  <c r="Z28" i="102"/>
  <c r="AA30" i="102"/>
  <c r="AA39" i="102"/>
  <c r="Z31" i="102"/>
  <c r="AA20" i="102"/>
  <c r="Z30" i="102"/>
  <c r="Z32" i="102"/>
  <c r="AA29" i="102"/>
  <c r="Z40" i="102"/>
  <c r="AA40" i="102"/>
  <c r="Z20" i="102"/>
  <c r="Z39" i="102"/>
  <c r="Y29" i="102"/>
  <c r="AA31" i="102"/>
  <c r="Z29" i="102"/>
  <c r="AA21" i="102"/>
  <c r="C419" i="79"/>
  <c r="A422" i="79"/>
  <c r="C422" i="79" s="1"/>
  <c r="AA32" i="102" s="1"/>
  <c r="C418" i="79"/>
  <c r="Y31" i="102" s="1"/>
  <c r="A421" i="79"/>
  <c r="C421" i="79" s="1"/>
  <c r="Z36" i="102" l="1"/>
  <c r="AD36" i="102" s="1"/>
  <c r="AA36" i="102"/>
  <c r="Z25" i="102"/>
  <c r="Y28" i="102"/>
  <c r="Y25" i="102" s="1"/>
  <c r="AA17" i="102"/>
  <c r="Z21" i="102"/>
  <c r="Z17" i="102" s="1"/>
  <c r="AD17" i="102" s="1"/>
  <c r="AA9" i="102"/>
  <c r="AA28" i="102"/>
  <c r="AA25" i="102" s="1"/>
  <c r="X36" i="102" l="1"/>
  <c r="V36" i="102"/>
  <c r="W36" i="102" s="1"/>
  <c r="AK36" i="102"/>
  <c r="AD39" i="102"/>
  <c r="AD28" i="102"/>
  <c r="V25" i="102"/>
  <c r="W25" i="102" s="1"/>
  <c r="X25" i="102"/>
  <c r="X9" i="102"/>
  <c r="V9" i="102"/>
  <c r="W9" i="102" s="1"/>
  <c r="AD9" i="102"/>
  <c r="AD12" i="102"/>
  <c r="AD20" i="102"/>
  <c r="X17" i="102"/>
  <c r="V17" i="102"/>
  <c r="W17" i="102" s="1"/>
  <c r="AD25" i="102"/>
  <c r="AK25" i="10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ARQUERO, STEPHANIE JANE</author>
  </authors>
  <commentList>
    <comment ref="C6" authorId="0" shapeId="0" xr:uid="{394B9868-1AED-429D-A320-1D858F82DAC5}">
      <text/>
    </comment>
    <comment ref="C7" authorId="0" shapeId="0" xr:uid="{A923A732-C55A-44B3-93D5-AE05480DB37B}">
      <text/>
    </comment>
    <comment ref="AJ7" authorId="0" shapeId="0" xr:uid="{365C6BDD-C4ED-488F-968C-7A6763946E03}">
      <text/>
    </comment>
    <comment ref="AJ8" authorId="0" shapeId="0" xr:uid="{782B4E16-166B-438A-97B2-5380BFCD29E5}">
      <text/>
    </comment>
    <comment ref="Q27" authorId="1" shapeId="0" xr:uid="{110C19A4-CCFD-48E0-9224-AE472292D6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expansion (Man 1)= .800MW</t>
        </r>
      </text>
    </comment>
    <comment ref="AY77" authorId="0" shapeId="0" xr:uid="{AAF8A577-0D7C-44E9-85D4-A27A8C50328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4565F8F-34BE-456A-9E6C-4832FEA85EE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6D4AD637-81B2-43AE-856E-57DEA39D5BC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T98" authorId="1" shapeId="0" xr:uid="{B24FDFE7-2CF0-4810-9853-DA8350A2AE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U98" authorId="1" shapeId="0" xr:uid="{7E0AA01D-7508-4486-8B61-9FF660B629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V98" authorId="1" shapeId="0" xr:uid="{3F6E2386-9F15-4B36-BCA0-2184F64A4A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Y98" authorId="1" shapeId="0" xr:uid="{0333D0F7-AEBD-40BE-AFD7-D7C2D902C5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LS R10 AND R6
</t>
        </r>
      </text>
    </comment>
    <comment ref="O99" authorId="2" shapeId="0" xr:uid="{C1D77F71-80B6-4A47-BE7D-09D5EEFDB25E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P99" authorId="2" shapeId="0" xr:uid="{B51AF719-36E1-419D-B4C5-3CC5ECF5F278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Q99" authorId="2" shapeId="0" xr:uid="{78FE61F1-06C3-40D7-BE30-F0F26B04C5DF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R99" authorId="2" shapeId="0" xr:uid="{7C9F47AF-D702-417F-88F2-676BC673ECEC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S99" authorId="2" shapeId="0" xr:uid="{1E58122A-CB53-440E-9229-9162ACD8CC8C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T99" authorId="2" shapeId="0" xr:uid="{E1EF25E1-6058-477D-9A4C-4C8F6CC109B4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U99" authorId="2" shapeId="0" xr:uid="{57E6BA77-FF50-4E5C-A6F0-4619D565D7BE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V99" authorId="2" shapeId="0" xr:uid="{789BE4D0-ED57-4003-873B-330727263641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J100" authorId="1" shapeId="0" xr:uid="{77FCFCDB-2493-4DEB-9660-8F064ADC16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
</t>
        </r>
      </text>
    </comment>
    <comment ref="K100" authorId="1" shapeId="0" xr:uid="{4DBC2D65-D6EF-4F5A-B9C2-2CFBF0A01D2C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L100" authorId="1" shapeId="0" xr:uid="{E67A2BA1-708F-42BE-927E-1958994CA2BD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M100" authorId="1" shapeId="0" xr:uid="{26BC6ECD-19C2-428C-924B-DE6E8A26B999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J105" authorId="1" shapeId="0" xr:uid="{4E7BE7D2-EC31-4F71-9CA5-84AC2E167D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ISOLATION OF SOUTH DUE TO DMCI ACTIVITY</t>
        </r>
      </text>
    </comment>
    <comment ref="K105" authorId="1" shapeId="0" xr:uid="{45D2C568-5527-4500-9A9C-01D80247AD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ISOLATION OF SOUTH DUE TO DMCI ACTIVITY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tc={4AA660E2-4226-4C57-BCBB-AB80C50CC439}</author>
  </authors>
  <commentList>
    <comment ref="C6" authorId="0" shapeId="0" xr:uid="{E49E585D-3F2F-448F-A940-99393C6FF096}">
      <text/>
    </comment>
    <comment ref="C7" authorId="0" shapeId="0" xr:uid="{0CA7EC05-112A-411F-A399-0D392365F99E}">
      <text/>
    </comment>
    <comment ref="AJ7" authorId="0" shapeId="0" xr:uid="{A4F773EC-14B3-46ED-89FB-51F51BBD087E}">
      <text/>
    </comment>
    <comment ref="AJ8" authorId="0" shapeId="0" xr:uid="{D361EF45-7AFE-469F-93DE-5AA84D21DCC1}">
      <text/>
    </comment>
    <comment ref="Q27" authorId="1" shapeId="0" xr:uid="{2CD470F6-0503-4835-B663-D450599459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expansion (Man 1)= .800MW</t>
        </r>
      </text>
    </comment>
    <comment ref="CG61" authorId="0" shapeId="0" xr:uid="{02A9EFA7-8174-42AC-AF31-3DFE58F663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5240AFC-8680-4BA0-A84B-9281F5E89E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EF09F2A8-DF86-4C88-8F3C-79FA0E2A9E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6B48E52-A8DB-4BD7-A81A-DB2B95638E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6AA29B8-B00F-4E9B-A4DA-41D21FD10E1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BE7864F-FAC1-462E-A16A-D31C1E3C3C0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9480813-0956-4D38-990F-531DF4B26913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3742E6C-92E9-435C-9630-4AA5A3C613D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9D3CC4F-DDFC-4CEE-A373-9A22CE88B0A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3840FB72-44B6-4794-B537-2B2EA6C9D4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B03E833-2821-4C58-ACE5-257C7B4CA2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1DAF1C7-4339-4BA3-B0BB-C9E2B31A1A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2F698D4-E6D5-4315-8F60-9A651613E7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6F4043A0-96AA-4402-A668-50BCA4E6B9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5F21B311-6CEA-42F2-8E09-D2320654AF0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98" authorId="1" shapeId="0" xr:uid="{89077D96-3B7A-410E-8506-C1CCEC0759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F1-LU &amp; 21ML4 
</t>
        </r>
      </text>
    </comment>
    <comment ref="X99" authorId="2" shapeId="0" xr:uid="{4AA660E2-4226-4C57-BCBB-AB80C50CC4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Resuma</t>
      </text>
    </comment>
    <comment ref="L100" authorId="1" shapeId="0" xr:uid="{76F14954-BD38-4C40-BB47-57E787B493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
</t>
        </r>
      </text>
    </comment>
    <comment ref="R100" authorId="1" shapeId="0" xr:uid="{659B4420-18A4-44D8-A070-2DCD562EDF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S100" authorId="1" shapeId="0" xr:uid="{CF408E91-F0DE-47BD-A81A-559DBAB380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T100" authorId="1" shapeId="0" xr:uid="{8969B56B-3DC9-47A2-B96E-3B4B891B96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5FC2358-67BE-4E8D-83E2-4952C3A6F3CF}">
      <text/>
    </comment>
    <comment ref="C7" authorId="0" shapeId="0" xr:uid="{C32A1F61-7ADB-4C5D-9483-AF4C4BCBD70B}">
      <text/>
    </comment>
    <comment ref="AJ7" authorId="0" shapeId="0" xr:uid="{29BEC8C1-0D63-41B2-8A9B-FF3BDB726D21}">
      <text/>
    </comment>
    <comment ref="AJ8" authorId="0" shapeId="0" xr:uid="{FC0FF9DE-4D3A-4BEB-BC22-CAE028FC35CC}">
      <text/>
    </comment>
    <comment ref="R51" authorId="1" shapeId="0" xr:uid="{D6E4F3EB-06F5-4C6C-B1A7-F9AAE944C5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1" authorId="0" shapeId="0" xr:uid="{3762DB1A-6F01-4817-AC89-FAA356B0AF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25C943A-FBF8-4DDB-BC66-4F5BF47D18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26A7C93D-9B43-47CC-8882-44D24C30C8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4BF3B8CE-AD88-4DD0-B758-8B11860387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44ACC6D8-D8FD-49C7-AB68-44D3A57BDCE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3F5FEE9-41D8-403D-87B3-EF369C40022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781861DA-C9BD-42F7-A5AF-42E60A4A840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83B8BA6-C231-440A-9C81-5A156E39A4A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7433B66-BC47-49C5-8250-0A521139B50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67E3FD1A-E4EB-4477-8419-AE5FA49CF4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93013DE-9367-450B-A841-D6B67F4118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A60C892-1C69-4DAD-A261-0AC50A3F70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6CF675C-31F0-4F18-87CD-CA523C36FF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9CC5ADF-E058-487F-B9B4-45AE6FD71FB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F0DBF80-E75D-4B5B-8C1B-823315EBE2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98" authorId="1" shapeId="0" xr:uid="{EDF2FE11-35ED-4CA7-B597-C20A57E6375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  <comment ref="R98" authorId="1" shapeId="0" xr:uid="{228488B0-E171-4E7F-964D-F9F580648C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  <comment ref="S98" authorId="1" shapeId="0" xr:uid="{AFA8AC0B-8984-481A-8279-F1E2010E35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R10, 22BP4</t>
        </r>
      </text>
    </comment>
    <comment ref="T98" authorId="1" shapeId="0" xr:uid="{ACB2E2C2-6155-4F9B-A6CA-79DAE41B9A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B3, 21RO4, Lu F2</t>
        </r>
      </text>
    </comment>
    <comment ref="U98" authorId="1" shapeId="0" xr:uid="{AD9F0884-00A8-4904-B2F4-4A05DE8C193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B3, Lu F2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9DE5B39-AE7C-4886-BD3E-90F15CC92A02}">
      <text/>
    </comment>
    <comment ref="C7" authorId="0" shapeId="0" xr:uid="{D263FE56-AE8E-49D8-AC84-E3BC7CB62063}">
      <text/>
    </comment>
    <comment ref="AJ7" authorId="0" shapeId="0" xr:uid="{585DFA9F-1541-4E4F-AC7D-5F538A99B9F0}">
      <text/>
    </comment>
    <comment ref="AJ8" authorId="0" shapeId="0" xr:uid="{9722BC3D-4239-48AC-AF8A-466624375041}">
      <text/>
    </comment>
    <comment ref="O27" authorId="1" shapeId="0" xr:uid="{ABBA8A5D-F65C-4547-B2CE-7E9FBC6F13A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derated 0901H
</t>
        </r>
      </text>
    </comment>
    <comment ref="P27" authorId="1" shapeId="0" xr:uid="{A1939D92-396B-4694-AD76-B3CA291733B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derated starting 0901H
*for 1hr request</t>
        </r>
      </text>
    </comment>
    <comment ref="R51" authorId="1" shapeId="0" xr:uid="{ABC26C33-B9C7-4D53-8ECD-4039431501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1" authorId="0" shapeId="0" xr:uid="{76C98DBD-3EFB-4743-A731-6F1502E0A4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A37B1D4-1BCA-431C-B849-251B420A2F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2BACFD32-523A-4738-A9F8-BCF14BE212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AA82C75A-DF89-4616-A959-3D8BCDDD21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44B7F1E-66D2-48EA-B15C-5087686A44A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DEEC863D-25C8-4477-8C55-B29B170F4C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2A807B22-59D4-44F9-8D22-ECBDC4D38B9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228A480-8D78-46C4-8FEB-FACED59CBC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E3C0A5C6-07FB-47C1-97AF-4FF63A0F670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C82DED3-E536-484F-8957-3CA02B576B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88DBD40-4557-43A9-BFB8-A4C1A3F1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7EBCA3B6-1E2A-47A4-9175-A445CA0BE8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152BC29A-9FDE-4BC7-9788-73A6697C66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B1EB10D-9E91-4645-8F35-AC4BB0C26D8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E02E7848-A2E1-43EE-AD90-9F74A11B4A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79" authorId="1" shapeId="0" xr:uid="{DF283105-44ED-4404-9D4F-4989BF9DFCA4}">
      <text>
        <r>
          <rPr>
            <b/>
            <sz val="16"/>
            <color indexed="81"/>
            <rFont val="Tahoma"/>
            <family val="2"/>
          </rPr>
          <t>1040H - OL</t>
        </r>
      </text>
    </comment>
    <comment ref="Y79" authorId="1" shapeId="0" xr:uid="{932977EC-B747-42A1-8F31-7F511683DBEF}">
      <text>
        <r>
          <rPr>
            <b/>
            <sz val="16"/>
            <color indexed="81"/>
            <rFont val="Tahoma"/>
            <family val="2"/>
          </rPr>
          <t>1920H - UL</t>
        </r>
      </text>
    </comment>
    <comment ref="Q80" authorId="1" shapeId="0" xr:uid="{E2BA408E-2A03-4348-B54B-66E2CBFE6D10}">
      <text>
        <r>
          <rPr>
            <b/>
            <sz val="16"/>
            <color indexed="81"/>
            <rFont val="Tahoma"/>
            <family val="2"/>
          </rPr>
          <t>1040H - OL</t>
        </r>
      </text>
    </comment>
    <comment ref="Y80" authorId="1" shapeId="0" xr:uid="{B14813D3-9CC8-40C4-AE87-3CF9AD227637}">
      <text>
        <r>
          <rPr>
            <b/>
            <sz val="16"/>
            <color indexed="81"/>
            <rFont val="Tahoma"/>
            <family val="2"/>
          </rPr>
          <t>1920H - UL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tc={DD548B4E-7D45-4300-AC68-A02B98716EE8}</author>
    <author>TransCo-IGSOD-OccMin</author>
  </authors>
  <commentList>
    <comment ref="C6" authorId="0" shapeId="0" xr:uid="{13A9EA46-64B0-41EB-81BE-8737505F28A0}">
      <text/>
    </comment>
    <comment ref="C7" authorId="0" shapeId="0" xr:uid="{B3D33CF1-7AF6-4AFA-A799-64368E72BA5D}">
      <text/>
    </comment>
    <comment ref="AJ7" authorId="0" shapeId="0" xr:uid="{01C890B4-11A5-4B5B-8DC1-92072885EB15}">
      <text/>
    </comment>
    <comment ref="AJ8" authorId="0" shapeId="0" xr:uid="{D275FEE9-61D8-459B-BCEE-F613444D20FB}">
      <text/>
    </comment>
    <comment ref="Y29" authorId="1" shapeId="0" xr:uid="{DD548B4E-7D45-4300-AC68-A02B98716EE8}">
      <text>
        <t>[Threaded comment]
Your version of Excel allows you to read this threaded comment; however, any edits to it will get removed if the file is opened in a newer version of Excel. Learn more: https://go.microsoft.com/fwlink/?linkid=870924
Comment:
    1841H online</t>
      </text>
    </comment>
    <comment ref="R52" authorId="2" shapeId="0" xr:uid="{AD14C62C-D5EE-41C9-B6C1-1238DA93AE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7CFB8788-1DA4-4B56-80EE-85548A0A97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872D5FD5-55C9-4978-90E1-5C2B89ECC9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9550B8B7-56D9-4883-9EF1-50D0FA3C91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A7BE7572-3500-443F-9D84-06D9E8261B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94BA9B51-55F8-46ED-9CEB-17FCE49F6A1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26AF0B3-D205-4D67-9925-94893679D52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91084645-75F7-4452-A5B9-7ADCFA279D1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C5B86B08-A459-4963-BAB0-BA8380EAAE0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C93F1ABC-8234-4788-83C4-9611896E58A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7575F34E-7052-408A-AA82-210CA94E54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FA6640AA-1A49-45AE-ACCC-56F4535F82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2C11792-847E-4DC4-A63F-CE7A8D5E85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5092DAF-735E-4DD0-8F5A-5BB52C74AC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7F89CD8-23CF-4D2F-AF02-2C6F2AEF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D36FE2E-1914-43EA-ADD9-B0A0E4A03D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81" authorId="2" shapeId="0" xr:uid="{EAAC5DAE-1322-497F-9A6E-F2B604ADB4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1552H VP UNLOADED
</t>
        </r>
      </text>
    </comment>
    <comment ref="W104" authorId="2" shapeId="0" xr:uid="{084AF641-DFEF-4BDD-96CC-440961DB72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KALIKASAN
</t>
        </r>
      </text>
    </comment>
    <comment ref="AB104" authorId="2" shapeId="0" xr:uid="{F8A08611-69F4-4DC2-8B67-0A2A4D384B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</t>
        </r>
      </text>
    </comment>
    <comment ref="AC104" authorId="2" shapeId="0" xr:uid="{1B579ACC-6AD7-441B-ADA5-156552262B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tc={6EA2FBCB-4DC6-4EA9-BC4F-61FA8D146158}</author>
    <author>tc={C16E0813-354C-45DE-BA03-41BA53E9425B}</author>
    <author>tc={B835718D-F6F4-4C35-9FD4-B47E042F70E8}</author>
  </authors>
  <commentList>
    <comment ref="C6" authorId="0" shapeId="0" xr:uid="{47932A92-21AA-4D05-8F9D-86F211074EA5}">
      <text/>
    </comment>
    <comment ref="C7" authorId="0" shapeId="0" xr:uid="{115EED05-4D0B-4B7B-A38D-09B12EB55550}">
      <text/>
    </comment>
    <comment ref="AJ7" authorId="0" shapeId="0" xr:uid="{38A4095C-CEFA-4A4C-A562-7D182DC22F66}">
      <text/>
    </comment>
    <comment ref="AJ8" authorId="0" shapeId="0" xr:uid="{90F7123B-6A45-456A-BDF4-CCAD92A94654}">
      <text/>
    </comment>
    <comment ref="R52" authorId="1" shapeId="0" xr:uid="{46F07798-DF7B-480A-A898-F9C14D730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33D080D6-4D1E-454E-A41E-7E39F6380E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DBFA8C8-904A-4A54-8819-4CD3D5F707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DAF6A87-DC35-4B5F-AA24-9AD32B9356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E364027C-2E68-40C6-AD67-09BFC22A08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5DD0C84-75EB-4302-A54D-1FE13FE3A26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5C7486B-5C59-438C-99AD-9DD1BE7922E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859159B3-E7B7-484A-8482-68766908F0A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588B40AF-304C-4AC1-B460-471B57650A1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58DD9DD4-EB14-4D81-9EF9-0806082592E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B206B8C7-7362-4D0F-976F-381F0F61AC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A32119B9-749A-4F30-BB72-5556114FC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011172E-1AB9-4659-89E0-A35993345F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2ED64519-DD85-47B7-BA3C-24CBD7F2E4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7903A78-5155-4958-91EE-6B28EEBFAA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E2286DEF-CA56-408C-A4EB-07ED86DC1B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D3014622-9FC8-43C2-9348-B1D31AF5CCCF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W81" authorId="2" shapeId="0" xr:uid="{6EA2FBCB-4DC6-4EA9-BC4F-61FA8D146158}">
      <text>
        <t>[Threaded comment]
Your version of Excel allows you to read this threaded comment; however, any edits to it will get removed if the file is opened in a newer version of Excel. Learn more: https://go.microsoft.com/fwlink/?linkid=870924
Comment:
    1641H UL</t>
      </text>
    </comment>
    <comment ref="Y81" authorId="3" shapeId="0" xr:uid="{C16E0813-354C-45DE-BA03-41BA53E9425B}">
      <text>
        <t>[Threaded comment]
Your version of Excel allows you to read this threaded comment; however, any edits to it will get removed if the file is opened in a newer version of Excel. Learn more: https://go.microsoft.com/fwlink/?linkid=870924
Comment:
    1817H OL</t>
      </text>
    </comment>
    <comment ref="Z81" authorId="4" shapeId="0" xr:uid="{B835718D-F6F4-4C35-9FD4-B47E042F70E8}">
      <text>
        <t>[Threaded comment]
Your version of Excel allows you to read this threaded comment; however, any edits to it will get removed if the file is opened in a newer version of Excel. Learn more: https://go.microsoft.com/fwlink/?linkid=870924
Comment:
    1912H UL
FD: 81.32 
FB: 0.23</t>
      </text>
    </comment>
    <comment ref="T104" authorId="1" shapeId="0" xr:uid="{25C70009-D88D-4A5B-991B-5AD38DA61B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Permanent Fault (failed to reclose 1353H</t>
        </r>
      </text>
    </comment>
    <comment ref="R109" authorId="1" shapeId="0" xr:uid="{9D67DA06-A71E-4761-91A9-FE36D95734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BAGO UMANGAT FEQ NG 60.28 LOAD NG DELTA 6.7X4
ABO 3.8 X 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A65D97F-0C02-4847-ADC1-E76A5DF269CC}">
      <text/>
    </comment>
    <comment ref="C7" authorId="0" shapeId="0" xr:uid="{AAB44CE4-E175-4B9A-966E-252D50F5B5EC}">
      <text/>
    </comment>
    <comment ref="AJ7" authorId="0" shapeId="0" xr:uid="{3CBAE905-E314-4B5C-AE63-A7A31A4584A0}">
      <text/>
    </comment>
    <comment ref="AJ8" authorId="0" shapeId="0" xr:uid="{EF9B0E5B-67FC-45E0-B42B-9D46C8012FD2}">
      <text/>
    </comment>
    <comment ref="CG62" authorId="0" shapeId="0" xr:uid="{5EC1BE8F-4000-4363-BFC0-70F041CD12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0A406BDF-CFC7-496F-BF9F-E5CD2066E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2D0C80F-8E49-45E4-A559-42226DBB70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B72E7094-313C-403E-80A7-A30653DB9F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403D9DBA-3177-45AA-921F-3C598E35487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2047E99-D8B0-4EC9-9934-C745908F312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048A7207-2883-43B7-97E5-08B28AC1BE0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7BC5D1A9-7187-4CA7-9609-9B5D9F93A018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8DAC3B02-BE98-4E4F-8BB8-4A07B8500D6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3EC5AE5F-CAFD-4BDE-AABA-FA76C88056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5F996112-E33E-428E-88C9-E213041516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578537D7-716A-42AA-88B6-271E6189E4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699E553C-DFEF-40E6-BF53-0FF552F496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2E2C4D24-B217-4175-BEC3-B10E6F9408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9463742-123C-445A-9D0D-B361584D7C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026DC99C-7F03-4448-A618-BE7F85052272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3" authorId="1" shapeId="0" xr:uid="{C0504480-62A6-4C85-985A-A5A4A65E0AB9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P103" authorId="1" shapeId="0" xr:uid="{8D811B01-5651-4F86-9007-95BED0DE10C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Q103" authorId="1" shapeId="0" xr:uid="{58FDDE13-2D07-4AA0-8F17-CCF061500A33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R103" authorId="1" shapeId="0" xr:uid="{67F8767E-41A8-4679-9A46-C955366E4745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S103" authorId="1" shapeId="0" xr:uid="{00449056-C0EE-4AC8-A644-D032357824E2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T103" authorId="1" shapeId="0" xr:uid="{D6712A11-612D-42AB-B0FF-45FCD5E4C8F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U103" authorId="1" shapeId="0" xr:uid="{D5C044A8-F4E4-4665-A8A8-0966BDC2B36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V103" authorId="1" shapeId="0" xr:uid="{B9273A48-07B3-4A21-88E5-92A793E3EDB2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W103" authorId="1" shapeId="0" xr:uid="{B5CA6425-C3E0-4F7E-9E44-13D00699E66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Z104" authorId="1" shapeId="0" xr:uid="{6D157015-690B-4EF9-B315-DDA0F6CE9E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AND R6
</t>
        </r>
      </text>
    </comment>
    <comment ref="AA104" authorId="1" shapeId="0" xr:uid="{4533F7B1-4D10-4328-B9BC-B84616215C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FACTOR, MENDOZA AND R6
</t>
        </r>
      </text>
    </comment>
    <comment ref="AB104" authorId="1" shapeId="0" xr:uid="{A526947D-41B2-4915-B413-073A1CF007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  <comment ref="AA109" authorId="1" shapeId="0" xr:uid="{A6E02700-C8FA-40C1-BC19-9533AAEC13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ALD
clearance for r6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FE9B8F0-3692-40A8-B866-921EF30358C4}">
      <text/>
    </comment>
    <comment ref="C7" authorId="0" shapeId="0" xr:uid="{41ABA340-722E-427A-8C53-97FC263C4B9A}">
      <text/>
    </comment>
    <comment ref="AJ7" authorId="0" shapeId="0" xr:uid="{F6E98F2A-F587-4ACB-A6B7-3BCC477DF0D6}">
      <text/>
    </comment>
    <comment ref="AJ8" authorId="0" shapeId="0" xr:uid="{FD556EF4-180A-4401-8FBC-246E9334BD83}">
      <text/>
    </comment>
    <comment ref="X14" authorId="1" shapeId="0" xr:uid="{AADFD095-E0A6-48A8-B454-45C7F4AE97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DE021BF0-A6E6-44AE-BADE-106A07244F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4F758D9-19CE-4B1D-95C1-20799615E1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CC7F900F-BD4A-492B-9431-9AC53A1522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FEF825A-6FA6-4BEC-A2C0-4F37BD7ACE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13E7CB1-41EF-40B9-98BC-A35177083BF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62EE0BFA-542E-482F-B1AB-6B15057B12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FAB57AD9-C3F1-47E4-AD4F-CFF8623DEED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D1C56F2A-577F-4AC9-A278-44B239B995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F772980E-57B2-4448-A6BC-B32B3E9C891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14476886-171B-444F-B389-69384853F7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AD64C5FB-3786-4043-82E0-DE36DEBFB3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AC30C57-547B-4F48-9B0D-43132C6AD5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8895E39C-64CC-4B40-AB28-4C881E94F6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272E024-5B9E-477E-BF75-F2BBEDFFB53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8E4B8477-DC1A-4AF1-B80D-CCBD5C5D68F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DDF040A2-9832-43CD-A1B2-D828904A1729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2998AFE8-1FBD-4E73-A41F-728D3702AD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</t>
        </r>
      </text>
    </comment>
    <comment ref="T104" authorId="1" shapeId="0" xr:uid="{D144151E-C1BD-412A-B1FD-93BFD27C19EA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1336h A/T R9</t>
        </r>
      </text>
    </comment>
    <comment ref="AC109" authorId="1" shapeId="0" xr:uid="{9DB04077-8D74-4771-B0AD-C025C2C30D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 u3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A18058D-9FB2-46ED-ACED-56F7578C6B76}">
      <text/>
    </comment>
    <comment ref="C7" authorId="0" shapeId="0" xr:uid="{9893AB92-C5EE-44F0-9ACD-5DDD4026CD65}">
      <text/>
    </comment>
    <comment ref="AJ7" authorId="0" shapeId="0" xr:uid="{F262F416-646E-4792-B195-CB355C5A5E3A}">
      <text/>
    </comment>
    <comment ref="AJ8" authorId="0" shapeId="0" xr:uid="{D24F65B4-E67C-4763-816F-4B0F63D59C06}">
      <text/>
    </comment>
    <comment ref="X14" authorId="1" shapeId="0" xr:uid="{2A088C2F-F447-4943-98F9-F4A8F96B33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Y38" authorId="1" shapeId="0" xr:uid="{9DDE898B-7FF2-4243-90F3-CB588028B1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FA61C1E7-DAB0-47E1-85A4-056B791F3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DA7BD77-8D6C-44BB-8ECE-10BAD046FE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E537436B-B60F-47C5-87D9-AD9FF7018B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37818285-6AD8-4357-B2E8-95B60B7036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9CD84FDA-8BCB-4318-922C-43E96B91EDE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28D53D4B-EB7C-4F86-85D0-0D90437BB2F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06582799-D5AB-4626-BC3B-71F28B5182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8BF1AEB3-E89C-4808-BE97-9F2C45AFE4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EF30748A-D624-4843-89A7-CE8A3CE3D2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CFBC8ADD-CA8D-4641-8664-CF4B762A0B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46984BDE-1007-400E-B621-A654AC7F74F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0F0FC3F-264A-4659-81CB-E11A38E6F6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776EFAE4-2341-4E1C-944A-DA6A02EDDDD2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CEADA274-41A5-484D-80DE-327F9B327E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  <comment ref="P104" authorId="1" shapeId="0" xr:uid="{1F02D2AF-E436-4FB2-9C77-D513F927FF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  <comment ref="Q104" authorId="1" shapeId="0" xr:uid="{A1CC96E2-6D26-482D-9A4D-78BCD16155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 &amp; R4</t>
        </r>
      </text>
    </comment>
    <comment ref="R104" authorId="1" shapeId="0" xr:uid="{D8B4A26D-A11B-4C9B-9374-5AA49C5475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04" authorId="1" shapeId="0" xr:uid="{26622FE4-FA38-4FF1-B314-8CB52BEA2E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T104" authorId="1" shapeId="0" xr:uid="{9992A164-A29C-4898-941D-4054E13825A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1303h Factor M/O due to flooding of wescom; for isolation &amp; R4</t>
        </r>
      </text>
    </comment>
    <comment ref="U104" authorId="1" shapeId="0" xr:uid="{C09BB385-D112-4EB2-A4E2-B85E7F1B0F3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1303h Factor M/O due to flooding of wescom; for isolation &amp; R4</t>
        </r>
      </text>
    </comment>
    <comment ref="V104" authorId="1" shapeId="0" xr:uid="{8E56625D-6E84-4438-965D-A402DBDF892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W104" authorId="1" shapeId="0" xr:uid="{816B85E8-8D9D-4D0D-B2B6-C0C342789B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A104" authorId="1" shapeId="0" xr:uid="{9F181694-9C6E-413E-BF21-07E0883244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Interrupted demand prior to PSB
</t>
        </r>
      </text>
    </comment>
    <comment ref="AA109" authorId="1" shapeId="0" xr:uid="{4CA984A2-862D-43A8-AAF0-7E21DFB1A5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monitoring
</t>
        </r>
      </text>
    </comment>
    <comment ref="AB109" authorId="1" shapeId="0" xr:uid="{32AC97A8-656E-42DD-9FC2-2A1F6605D4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
</t>
        </r>
      </text>
    </comment>
    <comment ref="AC109" authorId="1" shapeId="0" xr:uid="{42CBDE34-871E-46B9-9E15-BD7B6EAFD8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 at taytay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BCF388E-B26B-41F5-BF56-7135DD64F327}">
      <text/>
    </comment>
    <comment ref="C7" authorId="0" shapeId="0" xr:uid="{4562AC50-8054-4200-8144-5D9F779753FE}">
      <text/>
    </comment>
    <comment ref="AJ7" authorId="0" shapeId="0" xr:uid="{8F52F1FE-EB03-490C-9F2E-0D68E7EC7516}">
      <text/>
    </comment>
    <comment ref="AJ8" authorId="0" shapeId="0" xr:uid="{A7B47969-8FBD-40EE-97A0-D81A27163199}">
      <text/>
    </comment>
    <comment ref="T13" authorId="1" shapeId="0" xr:uid="{DA517930-C3BE-4888-AB2B-5FF5D547EA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O14" authorId="1" shapeId="0" xr:uid="{1F1EEEC7-15E3-4533-A779-B77F687948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Y38" authorId="1" shapeId="0" xr:uid="{3EA6D2E8-1499-49F1-AF7A-4AC2E2658F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E6651EDD-35B0-4083-A48F-959531C431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E2773172-AF0B-4E3C-8EAE-708C4167E4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62012BA4-90F6-4609-805B-A1A629EF6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44DE062-F633-42F0-A33E-878FB2E598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B3653BE-8D0E-485C-90F5-A3FA0C36B9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DB4EB09-E504-4059-8FBC-086AF7797B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A78DE933-57FF-4B44-9DCB-708E2E9F4E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63C0D49A-BD1B-4503-9796-50C8C17425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6D3640F7-C7CE-4A4A-951E-63B7382A2B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D133070D-9ADC-4DB5-9211-A99AEB142F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0E48F695-4D09-4762-8519-657DEC3F7EC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76973F3-7D41-43BC-B3DE-8C2D92954DC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950749B9-CD96-448D-8847-EB45EC4A716E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6801715D-0703-46E6-B52E-72FD894264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P104" authorId="1" shapeId="0" xr:uid="{2A6EA1A9-0D07-4561-AC31-7257E65482E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Q104" authorId="1" shapeId="0" xr:uid="{09860D8D-9685-4EED-9DEB-1DC262A64F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
21ML4</t>
        </r>
      </text>
    </comment>
    <comment ref="Q109" authorId="1" shapeId="0" xr:uid="{867645D4-D2C0-415E-AA33-3E4833DB30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  <comment ref="R109" authorId="1" shapeId="0" xr:uid="{4D31AD7A-3B77-4585-AD2E-2B19E10934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  <comment ref="S109" authorId="1" shapeId="0" xr:uid="{192FCA7E-DC5F-4911-B83F-5B5090FBD7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BCDF77A-A36D-4409-B261-4AF25558D0C9}">
      <text/>
    </comment>
    <comment ref="C7" authorId="0" shapeId="0" xr:uid="{037CFD02-B77C-4ED3-82EA-9B5F44DD553B}">
      <text/>
    </comment>
    <comment ref="AJ7" authorId="0" shapeId="0" xr:uid="{67908755-7C62-4CD6-AF94-13A3AC338F45}">
      <text/>
    </comment>
    <comment ref="AJ8" authorId="0" shapeId="0" xr:uid="{D252BFEA-D4D8-49F8-8775-0B6D8CA135E7}">
      <text/>
    </comment>
    <comment ref="N13" authorId="1" shapeId="0" xr:uid="{1FE895F9-C302-46DB-B432-4C1673E1FEF7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LOAD TEST</t>
        </r>
      </text>
    </comment>
    <comment ref="O14" authorId="1" shapeId="0" xr:uid="{0B709FDB-1F51-4C70-87EF-9F7DC16220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O24" authorId="1" shapeId="0" xr:uid="{E7948E97-912C-49F8-982E-D8C622A8E4E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X38" authorId="1" shapeId="0" xr:uid="{806E1F50-1637-4527-AB1D-274B0CFB11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alarm when started, for checking</t>
        </r>
      </text>
    </comment>
    <comment ref="Y38" authorId="1" shapeId="0" xr:uid="{E990AC34-6C73-4485-B42A-B5D545AA9E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2EDAF885-D699-4B36-B5F8-E3EAEEF88D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181DDC0B-2683-496C-B11A-B29EAA188C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82FEA97F-672D-46FB-874C-5059AADCE1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345CDE0-F83D-4DC6-9036-0AB36E4327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742444E-27EE-401D-AA69-5D71ECF6F75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A529172C-717B-4D1E-B13E-A18C6BEA67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2C057F6-FB5B-462D-A1A5-43F26B6052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2187AFA5-C93A-46A2-BF66-080A39011B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7147CEF-243D-41A2-8805-3FAB1A0195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3420702C-D98B-4CDF-8CE5-5D43D78C04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9E5EA2FE-F4E4-4EEA-8AE3-17E2B40D2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8393714D-FFE8-4FC2-8DE1-1EA5E30AB37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4E0E06E8-BA8E-4C69-A3BE-03B0E3880211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N104" authorId="1" shapeId="0" xr:uid="{7247260C-41DE-412F-A0F6-DDED27F2E08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R104" authorId="1" shapeId="0" xr:uid="{53B64DCE-5C6D-4CCA-BC05-25E7A796422A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R1</t>
        </r>
      </text>
    </comment>
    <comment ref="T104" authorId="1" shapeId="0" xr:uid="{B11333DE-155C-40D4-AD3B-A639D16C5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
</t>
        </r>
      </text>
    </comment>
    <comment ref="U104" authorId="1" shapeId="0" xr:uid="{A329E398-27D8-4FB5-8C7C-889AAE451A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
putol na jumper sa wescom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BC55EF9-0908-4CEF-8B7E-F7B972EC1666}">
      <text/>
    </comment>
    <comment ref="C7" authorId="0" shapeId="0" xr:uid="{75024BDF-143B-4BB7-AFB7-75968B0F80FA}">
      <text/>
    </comment>
    <comment ref="AJ7" authorId="0" shapeId="0" xr:uid="{9C8AA438-C2A3-4D3B-BB3E-2709CD09E894}">
      <text/>
    </comment>
    <comment ref="AJ8" authorId="0" shapeId="0" xr:uid="{A57AFEBB-ACB6-49BE-A6DA-7CBEE943BC6D}">
      <text/>
    </comment>
    <comment ref="R16" authorId="1" shapeId="0" xr:uid="{95905CEA-7C75-4F02-B6D2-4A0B62BD331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LOAD TEST</t>
        </r>
      </text>
    </comment>
    <comment ref="Y38" authorId="1" shapeId="0" xr:uid="{7ED4068A-7C47-4814-B24B-720707AA92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2BBCB23E-2C12-438D-9749-19ED5D68B2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FCF3CE9F-9908-4EF2-86D3-AA91DB235E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C12BF94-A713-4706-9647-04383D2901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F8E25E70-AF51-404C-AD83-CB12300422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0F3D87F-1B84-40EC-AB71-5CDB7BC2C68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C1B8AF0-3948-465E-A65F-1423602D656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0225DBA4-3CBF-483B-B9F7-EB2A3F3D99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98781F6-3149-4997-B9B7-E7D1C40E06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B261FB33-7A7F-4EBD-9F10-C5DB246FF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16C905CE-2B72-4E70-9963-1021307758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7C431715-7E0D-4826-B746-BAD78B28F70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DF48C1AB-471C-4635-9109-A6FA109B6C0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5B50FFDB-478B-437A-B633-CC24012F42BF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R9 recloser 0844h A/T
R9 recloser 1023h M/C</t>
        </r>
      </text>
    </comment>
    <comment ref="P104" authorId="1" shapeId="0" xr:uid="{83E858C1-7FB5-4459-A438-94A7BEA7A07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R9 recloser 0844h A/T
R9 recloser 1023h M/C</t>
        </r>
      </text>
    </comment>
    <comment ref="T104" authorId="1" shapeId="0" xr:uid="{2F600116-2ADB-407A-AA7D-DE6C0E4169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1357h Narra Feeders not energized, Factor ALD</t>
        </r>
      </text>
    </comment>
    <comment ref="U104" authorId="1" shapeId="0" xr:uid="{F1E02FD1-63B0-4789-8E63-04F4191D2C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1357h Narra Feeders not energized, Factor ALD</t>
        </r>
      </text>
    </comment>
    <comment ref="V104" authorId="1" shapeId="0" xr:uid="{46DBFC50-2EAE-472B-9163-2E894C6189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F2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A6D1C79-A64F-4E01-91A2-F9A07E11F07B}">
      <text/>
    </comment>
    <comment ref="C7" authorId="0" shapeId="0" xr:uid="{54CAF001-BD21-4458-8E10-F440612500C1}">
      <text/>
    </comment>
    <comment ref="AJ7" authorId="0" shapeId="0" xr:uid="{DB2D90A3-D60D-4B07-B1AD-D7C64AAF6A3D}">
      <text/>
    </comment>
    <comment ref="AJ8" authorId="0" shapeId="0" xr:uid="{88186F85-0B6B-4D5D-8C77-FDC63A24DFBF}">
      <text/>
    </comment>
    <comment ref="AB14" authorId="1" shapeId="0" xr:uid="{5C4762CC-914F-4206-99BD-0926952B85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Rectify Gas Leak</t>
        </r>
      </text>
    </comment>
    <comment ref="Y38" authorId="1" shapeId="0" xr:uid="{AB21A73F-B197-4CD5-8300-7681AE46D4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AC41" authorId="1" shapeId="0" xr:uid="{BB38BA0E-5F50-4B79-9B64-A367E625EB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</t>
        </r>
      </text>
    </comment>
    <comment ref="AA43" authorId="1" shapeId="0" xr:uid="{E4DB4BD8-B03D-4415-85AF-18D4F9FFD6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
</t>
        </r>
      </text>
    </comment>
    <comment ref="AB49" authorId="1" shapeId="0" xr:uid="{65CF56CD-6F23-4B66-B8EE-440730C793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73332C63-02A4-4A23-AFE2-4AB3D03D00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187B8FB-546F-4D8D-AF5D-5BC6821DC8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10567BDE-DA88-4F25-BA34-63EDA96C7A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2C0B745-B545-422C-85A3-AF4F6C00B7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FACDA5D9-AEB1-4F3C-900F-64CE0F0A2E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EF8803A-EBF5-4AA4-8C84-A659A5EED1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D1587BD-91B0-40FB-8D18-1C1B5C1D80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82DA9DF4-A49B-481F-91CF-3E98561AC2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C4D07232-2398-4BFF-9AF6-5D735F0F6C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348908FB-3646-42D1-9F3B-831A2A5B4D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E6DBB219-7E04-442F-8D96-7432CAC637F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68FEEC6-636E-4E75-BE57-D3097218490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9" authorId="1" shapeId="0" xr:uid="{DC0F0FBF-6328-40EC-82A1-4617060C0A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 U3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558975F-33A9-4FD3-A3EE-9ABA84337DC0}">
      <text/>
    </comment>
    <comment ref="C7" authorId="0" shapeId="0" xr:uid="{8AE4B99E-E9CB-45CE-BB88-ABA3F857D4EE}">
      <text/>
    </comment>
    <comment ref="AJ7" authorId="0" shapeId="0" xr:uid="{80CB444F-936E-422E-82CC-82EBC2F12D52}">
      <text/>
    </comment>
    <comment ref="AJ8" authorId="0" shapeId="0" xr:uid="{C174D11F-0353-4D86-B55E-BE1E7528DE68}">
      <text/>
    </comment>
    <comment ref="F41" authorId="1" shapeId="0" xr:uid="{6EB3E50A-08E6-4371-A30A-B944D135C6D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</t>
        </r>
      </text>
    </comment>
    <comment ref="AA43" authorId="1" shapeId="0" xr:uid="{DCDB6CBB-4EE7-4931-98D9-EB1CD05F6E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AB49" authorId="1" shapeId="0" xr:uid="{4ECA969D-3A5A-4D0F-9801-C675F61C24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51057198-2DCF-4271-8944-B956B9DCBC1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427E2E14-2D41-4A73-B269-DD5160A380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BE8FDD3B-80C6-4B8A-ACE5-12683589A7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B6EDD6B2-A6B9-4106-9A64-DC2F6A3E88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5B690372-8D72-4B7A-89C2-D8D8122F80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2C0C6D80-4089-4607-A896-C9CED61ACE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C38B05A-60E7-4496-B39C-DC5AC8919F1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9835FF0F-897A-47D1-830F-67BF4FD29A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6355440-33CE-4E04-9269-F1204473FD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50E5466-9B65-461F-860E-E03C564CB0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7FC3EEAB-13EA-45D4-A343-FC786C7C54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162BE5E7-4C70-4312-B6F2-0D7F8E60E5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13E6FE8-8B51-4689-8B96-CB2E78715D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B104" authorId="1" shapeId="0" xr:uid="{9DB2705B-8BCF-4E91-84B9-CCCB92C5A17A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AC104" authorId="1" shapeId="0" xr:uid="{606A7140-4370-4416-98BF-661A38C7A3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05ADA76-B964-402D-84D5-C8CBE4D39C45}">
      <text/>
    </comment>
    <comment ref="C7" authorId="0" shapeId="0" xr:uid="{F41C640C-C811-436B-BAC2-C28104029437}">
      <text/>
    </comment>
    <comment ref="AJ7" authorId="0" shapeId="0" xr:uid="{96AAFEC7-0C02-4567-8DD8-276F4A421F97}">
      <text/>
    </comment>
    <comment ref="AJ8" authorId="0" shapeId="0" xr:uid="{75B01829-ADE5-4C16-AB27-40E91AB38CE6}">
      <text/>
    </comment>
    <comment ref="AA43" authorId="1" shapeId="0" xr:uid="{7805F86E-4F08-4D4D-9550-6905A64908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A301BB8E-1E03-4EE8-8B76-3019BEB1C8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80282A98-C47C-40AA-86C1-C0C57976ED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E612F42E-7F61-4CEB-A8CD-EAD1DF40C6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6C807E9A-0825-4286-9CBD-7C1E3ADA1F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A009179-4CB9-4E76-A916-03806D38CF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2BF0DFD-D3C2-47BC-99B1-ABC856323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3704FE4A-F8D1-4315-96D3-BE52202A2B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6D41F8F-E161-4F12-A2D0-C0B6042BDEF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75FF618-8CF9-4F20-B199-DEB98DD5DA9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14006870-AB43-4587-A5CB-2B38BC7828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9199ADF9-CC79-434A-B391-562C69F209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489A3343-1B5E-4694-9BF2-6383570AE4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DF2F3C3E-B56B-4B0A-86C7-B9029C3C5A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1774801A-5843-40D5-B25F-D1969F679D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FD1A7569-E766-405A-B233-6A1AC6A9A1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4" authorId="1" shapeId="0" xr:uid="{CA33432E-6E3B-4FB8-A5CD-7AD723DA130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G104" authorId="1" shapeId="0" xr:uid="{755E2CF7-F47B-475A-AA6D-625972348CA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Y109" authorId="1" shapeId="0" xr:uid="{52E0DBCE-DDB2-4C56-B7DE-DB4B858188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RTR OF MAN 1 STARTS AT 1605H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C81807E-4AEC-46DD-BA45-CF5FAA15BA85}">
      <text/>
    </comment>
    <comment ref="C7" authorId="0" shapeId="0" xr:uid="{675FB3C3-4E86-4C5A-AB95-AF03F3169034}">
      <text/>
    </comment>
    <comment ref="AJ7" authorId="0" shapeId="0" xr:uid="{31E530C2-34E0-4A91-9661-579423199236}">
      <text/>
    </comment>
    <comment ref="AJ8" authorId="0" shapeId="0" xr:uid="{66626C2F-08B4-4590-9DF5-57A10AE896FA}">
      <text/>
    </comment>
    <comment ref="X14" authorId="1" shapeId="0" xr:uid="{B0BF567B-9990-48D5-9EF4-D2167C3BB1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G21" authorId="1" shapeId="0" xr:uid="{1C513BD4-6F20-4C49-8FA3-EFFEAC000BF0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15ED7862-298B-413E-84A8-C135FFCD9A4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E36F0727-AE9A-4706-8912-C583B546FC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F9AB38D-82A5-4718-A1AF-ECEFE77C476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73085630-D4E6-4F29-BA8E-6B40F0FFEE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50CA93FB-C5CC-45A7-8460-5E30E49EFE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8140489E-AC74-4F26-BA15-8D60FB3709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42747413-CC4E-4B80-8DBE-1E5297FDBD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0B263971-625F-4AF0-BB39-EEAED42FD9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9088ED6-F267-4370-A8F9-401EC0F2A97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957C5E5-EFDA-422B-9A1F-1EC9E6AB5DA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5D566204-4258-4347-BBC9-0CD92B904B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4EAB7947-10F7-497E-A9AA-F695FC7E0C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AD53AE5-55E4-4569-B4BF-D4C6D66F0E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9F0833A2-BF3B-43E0-BDF1-919389BC92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A97955DD-856D-4259-AB4E-C1DB25F976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3461E8EA-2E54-4175-8842-AF55F88A57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9" authorId="1" shapeId="0" xr:uid="{0B7497F9-5E5A-44E1-B71F-F90369DE74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of Delta P 3rd Unit, PALAGI DAW TO. Susumod na paunload wag na itanong pa purge na…...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B1DA9A6-A972-44A2-9C41-AEC8BBC378E5}">
      <text/>
    </comment>
    <comment ref="C7" authorId="0" shapeId="0" xr:uid="{7B6FB769-2B18-42F1-AF4D-794912A800FD}">
      <text/>
    </comment>
    <comment ref="AJ7" authorId="0" shapeId="0" xr:uid="{2E559B79-9EC0-43F0-ADE5-ABFA463E9BCC}">
      <text/>
    </comment>
    <comment ref="AJ8" authorId="0" shapeId="0" xr:uid="{20FAB79C-81FE-452C-B729-F34D77C5949E}">
      <text/>
    </comment>
    <comment ref="G21" authorId="1" shapeId="0" xr:uid="{CABFA16D-BC57-477B-AAB7-E1F17506AB2D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ACEAA715-BA27-4D75-8169-725F49680C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BB6BE063-D428-48D5-AFD5-ACB1282FA5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AD1B3899-7BC3-4D06-BFF0-D4287D305B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A267DB6C-972A-4604-B5AA-B1BC160885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484AC0A5-E400-43A8-B745-9B16DAC36E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D9026C9-0DEC-4D22-BD81-335D45D927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40FC83DE-958E-4730-91E2-C0B61C17F6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BE5AA391-2DB9-418B-BDF0-3B701596ED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4678AA58-D354-4D4D-94A2-9FE832F050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FBF32C7-C57D-4D2E-B183-CF29002538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344FA7B0-C64B-48EE-B6F4-676545E3DE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1F7CF61-547A-4D80-B5F8-61D4232AFB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A0A7DB6-058D-43C5-BFD7-E5786E74A3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0D5536FA-1EF1-4E9C-AE2D-37397363D2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F156F844-6545-4F59-932D-D538FA6AAE6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D895F9D-1B18-44F1-B669-AD9411C636B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4" authorId="1" shapeId="0" xr:uid="{7AD78FF8-CEA4-4316-95C8-AC6F32A21171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Q104" authorId="1" shapeId="0" xr:uid="{B4DEBDAB-767C-4269-B043-FD0DC27998D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R104" authorId="1" shapeId="0" xr:uid="{25D974CC-EBBD-402C-9B59-45D259692C99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S104" authorId="1" shapeId="0" xr:uid="{642E501B-1D48-40BB-94A7-37061D9D1AE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T104" authorId="1" shapeId="0" xr:uid="{F1F61F67-204C-46E4-A77C-0BE8F2613C9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U104" authorId="1" shapeId="0" xr:uid="{702E80F5-3ED9-4460-B71B-BC8C5CBD50D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V104" authorId="1" shapeId="0" xr:uid="{49957648-B96F-4ABA-A7E5-28978C752AE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Z104" authorId="1" shapeId="0" xr:uid="{0EAC1A4F-C846-491E-B984-0CC3BE18A576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LUCBUAN FEEDER 1 A/T 1933H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C1583F2-39B8-4C1F-8BEF-FC740ADB2EEB}">
      <text/>
    </comment>
    <comment ref="C7" authorId="0" shapeId="0" xr:uid="{02E27A96-714A-4655-9368-93922B1EBBFE}">
      <text/>
    </comment>
    <comment ref="AJ7" authorId="0" shapeId="0" xr:uid="{F2E9167E-2EE8-4992-B4D5-A03A2AD95CA2}">
      <text/>
    </comment>
    <comment ref="AJ8" authorId="0" shapeId="0" xr:uid="{CDB9A3C3-7CA0-4460-B917-10D416E8FF93}">
      <text/>
    </comment>
    <comment ref="G21" authorId="1" shapeId="0" xr:uid="{0194C21A-A564-42D0-8D77-FAC80525D07D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AF18688F-0E7B-472A-AE6D-3979A88B18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CA62C436-FE66-4866-B73C-B3475CE96E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5EF69F28-7127-457A-848A-D18BCEBEB1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199AC1DB-5456-41C8-B16B-893E3D88F3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A52E762E-8AA8-456B-BAA0-21AFA127A3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6D4BFD8-1BD4-4C74-AC8A-C8A5907AB4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4674B19-9980-488D-BDDE-A7A3098F41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8679D2B2-1295-4C51-96BD-1864227A27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DEC85098-CD66-4C7D-A1DC-D4A12C5F1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0A6829F-A4EF-46A8-B1CF-74DDFC4B43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8A4222C-9CE5-4AE2-B423-22EA34E6C2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7C32E45F-A6F0-4FE7-94D7-0C276D564C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D0E27D1A-648E-4AF9-B314-13881EDC5B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6D9375A4-0A6F-4E73-BFFC-28B9107E8C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CE77F9FC-AFC3-4753-B63B-EB0C6D7AB8F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BB9F9D1-D5C4-4E15-A067-621EC469CA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3" authorId="1" shapeId="0" xr:uid="{20850876-320E-46E2-BFEC-4C72BF44849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</t>
        </r>
      </text>
    </comment>
    <comment ref="Q103" authorId="1" shapeId="0" xr:uid="{D6A12701-6250-42D3-944C-186669AD7C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R103" authorId="1" shapeId="0" xr:uid="{E4A1C4F4-F0F6-4496-A560-A7A502F046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S103" authorId="1" shapeId="0" xr:uid="{CD641C69-28A4-4E2B-8E88-030C3C36F8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22BP4, </t>
        </r>
      </text>
    </comment>
    <comment ref="T103" authorId="1" shapeId="0" xr:uid="{076C483F-45D2-4056-BC0F-3FFB928709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U103" authorId="1" shapeId="0" xr:uid="{CC18C06A-0B85-4169-9A1D-12DDF9DDA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V103" authorId="1" shapeId="0" xr:uid="{73027870-D213-4D60-B402-4F2A12AE21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W103" authorId="1" shapeId="0" xr:uid="{98A40889-BBF9-4549-9462-C84FE6B698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X103" authorId="1" shapeId="0" xr:uid="{6F16A943-4DB7-415D-9B47-B89615B752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</t>
        </r>
      </text>
    </comment>
    <comment ref="I104" authorId="1" shapeId="0" xr:uid="{8E1FEE79-2DD5-48D5-8DA5-E2F21E7A72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L104" authorId="1" shapeId="0" xr:uid="{EE3E7AE6-4AE1-4641-982F-3BD7AB5295F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T104" authorId="1" shapeId="0" xr:uid="{D4211444-945F-4B97-BB65-CB02A544AD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U104" authorId="1" shapeId="0" xr:uid="{12343D17-11F1-40E2-A49B-A1BC237596F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W104" authorId="1" shapeId="0" xr:uid="{B94EC4A5-23E6-4467-9378-C214AA9AF7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ALD AT 1649H</t>
        </r>
      </text>
    </comment>
    <comment ref="AA109" authorId="1" shapeId="0" xr:uid="{E75C5AFC-12C8-4B0F-94F7-8B97064C83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GUCT OF DMCI ABORLAN MAN 1 8.8MW, STARTS AT 1918H</t>
        </r>
      </text>
    </comment>
    <comment ref="AB109" authorId="1" shapeId="0" xr:uid="{126969DC-890F-4E80-A7DA-8134DF6982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GUCT OF DMCI ABORLAN MAN 1 8.8MW, STARTS AT 1918H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B1D7583-CF60-42F2-B58B-3484146D0A56}">
      <text/>
    </comment>
    <comment ref="C7" authorId="0" shapeId="0" xr:uid="{3C7570F8-BEC1-4E95-A2B3-B799E6A0FC54}">
      <text/>
    </comment>
    <comment ref="AJ7" authorId="0" shapeId="0" xr:uid="{8794E1DF-F333-40C1-B621-E698FCC7AED8}">
      <text/>
    </comment>
    <comment ref="AJ8" authorId="0" shapeId="0" xr:uid="{E419CB24-D36B-4466-87FA-A473CCA96E1C}">
      <text/>
    </comment>
    <comment ref="L14" authorId="1" shapeId="0" xr:uid="{DBA0EF4A-EE82-48BF-B473-8281D0777CA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T16" authorId="1" shapeId="0" xr:uid="{98583246-2274-4176-B829-2F0A3F9AA3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U16" authorId="1" shapeId="0" xr:uid="{A0389C54-C30F-4555-BAEC-F75CE14605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SUCCESSFUL LOAD TESTING, REPLACED TO U2</t>
        </r>
      </text>
    </comment>
    <comment ref="G21" authorId="1" shapeId="0" xr:uid="{D1F601BD-FF85-4517-BE61-CA3FE6D9F27B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D4E26146-CC9C-419A-9FAC-4C50900046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2690BBB5-32BD-45AB-BB30-B498BB9570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1A4FE34-4428-478C-93DF-2FDFC3D7A2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266E3615-8D3D-44B5-9DC6-752DF0CE2B4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E09CAE65-5053-4475-9C93-26CB8D5999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342AB1FE-A03A-4CC7-AE0C-F56611E340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87A7DE7-6914-42CD-A93C-516C23320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76A63DE-B9C4-4871-A2EA-D80D972F21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A26522ED-A03F-49AB-BBF9-C903EFCCD2B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7B49472-4855-4391-8C3F-A1734FC6AE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BC739331-095A-40F2-AE2E-DDFDB6BD5E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63DB2EE-D88F-430D-8FB0-426878243C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5F391849-6A69-4F77-88D4-0AE03B744D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8B784CBB-21A7-4CD9-9685-597EA2E57E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AD237558-2252-4B1E-8BF7-7D257D7431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72F5D768-E64B-477F-84FC-0E922917E4B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02" authorId="1" shapeId="0" xr:uid="{6A901EAA-0744-454B-9926-95D5893FED7B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BROOKE'S POINT FEEDER 2 - UP39 ONGOING TROUBLESHOOTING</t>
        </r>
      </text>
    </comment>
    <comment ref="AA102" authorId="1" shapeId="0" xr:uid="{82CA98D7-26E9-4578-8011-D96B961D92F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BROOKE'S POINT FEEDER 2 - UP39 ONGOING TROUBLESHOOTING</t>
        </r>
      </text>
    </comment>
    <comment ref="AB102" authorId="1" shapeId="0" xr:uid="{F907ECEB-56FA-4ECB-B3F7-138A815C29F8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BROOKE'S POINT FEEDER 2 - UP39 ONGOING TROUBLESHOOTING</t>
        </r>
      </text>
    </comment>
    <comment ref="P103" authorId="1" shapeId="0" xr:uid="{A3E70946-5C4A-46BF-BCFD-2CF3DF8DE7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Q103" authorId="1" shapeId="0" xr:uid="{E615B83B-8F65-4C71-950B-F9ED4FF11A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R103" authorId="1" shapeId="0" xr:uid="{AA37710B-09DB-4881-A615-9AB637D9E3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S103" authorId="1" shapeId="0" xr:uid="{48AB2CB6-ECA2-4A0A-BF7D-74141D1C6B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T103" authorId="1" shapeId="0" xr:uid="{4EE22C6A-066C-4563-A8AB-F032E51FAA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U103" authorId="1" shapeId="0" xr:uid="{4D36BF11-3E4F-4209-99B0-A2EA509E02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V103" authorId="1" shapeId="0" xr:uid="{B8CD4C98-0EE1-4DEA-BBA5-017E1749D5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W103" authorId="1" shapeId="0" xr:uid="{AD1FBE25-2022-4F5B-BD04-1D5523B175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X103" authorId="1" shapeId="0" xr:uid="{FBA8C839-4AE1-475E-8922-50FDF4DEF8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H104" authorId="1" shapeId="0" xr:uid="{797B891B-1596-4A32-9CBE-306971FD13D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U104" authorId="1" shapeId="0" xr:uid="{1683D7CF-79CF-4923-8EF0-3411C7FDF5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MANALO REC
</t>
        </r>
      </text>
    </comment>
    <comment ref="X104" authorId="1" shapeId="0" xr:uid="{1B88882B-DB18-4875-9E8B-EADE1DD2AF54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1745h A/T MALIGAYA</t>
        </r>
      </text>
    </comment>
    <comment ref="Y104" authorId="1" shapeId="0" xr:uid="{B47007E4-C1B5-4689-9C6E-386306C7225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1745h A/T MALIGAYA
1848H A/T DMCI BROOKE'S (OVERLOAD)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961E322-57CC-422E-8F5C-30104698B6DE}">
      <text/>
    </comment>
    <comment ref="C7" authorId="0" shapeId="0" xr:uid="{874C89FE-5421-4A80-A5A5-2BD932D45F3E}">
      <text/>
    </comment>
    <comment ref="AJ7" authorId="0" shapeId="0" xr:uid="{3B959517-5CF8-400F-A816-23C1CDE459D3}">
      <text/>
    </comment>
    <comment ref="AJ8" authorId="0" shapeId="0" xr:uid="{6F7B4E9A-6286-47A7-AC90-DA88825E48EE}">
      <text/>
    </comment>
    <comment ref="J14" authorId="1" shapeId="0" xr:uid="{F7099D81-ECA6-4963-B600-755A15CEF3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L14" authorId="1" shapeId="0" xr:uid="{E7E85CEE-A3FA-4749-BC38-DA13674B3A3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G21" authorId="1" shapeId="0" xr:uid="{3EFC9BBB-5DE9-4689-AD0C-BDF46D53BA2C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608E6305-E5C5-4EEE-AE08-EEAB4631A42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A5056893-22F8-48B4-B0D7-16B8D8A957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15A670E-3032-4EE1-9995-24E6145124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9880D82A-2029-41E9-8947-A36A09C984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9209F313-3C50-4A62-B94F-158CC8C502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4E8711BD-FACD-46E4-BD68-E74FF982D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BCD55F5E-460F-408D-AB0C-1AEB18AC5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89D9782E-CE17-4044-94C9-C80BF0F7A4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456FB02-CD22-4E87-8D10-8F94E316D5F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0F25B364-AEF2-4DB2-B864-C1C25B358F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BBD12244-BD23-4878-8EA1-01BB7BDDE5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DBC7A632-0AE2-49EA-AF3A-7EAE91AE2F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C069E091-576F-46B1-B900-DACFBDF82D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96A457A6-11D8-43CE-95F7-7E1423790D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21518FE-078D-4329-A634-AD56EF5750D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077A9F7-4FD4-49E4-B612-3E1B6AB938E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2" authorId="1" shapeId="0" xr:uid="{EE18A561-6B71-44B7-9917-AB3ADDC9BE9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BUNCAG recloser
LUCBUAN Feeder 2</t>
        </r>
      </text>
    </comment>
    <comment ref="P103" authorId="1" shapeId="0" xr:uid="{E5911967-859B-4816-B1A5-8F7E406F3D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</t>
        </r>
      </text>
    </comment>
    <comment ref="Q103" authorId="1" shapeId="0" xr:uid="{F2832642-A9BC-4145-BB2D-86E6E17A138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R103" authorId="1" shapeId="0" xr:uid="{70466082-ECCD-4360-8087-6431B908E9C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S103" authorId="1" shapeId="0" xr:uid="{366460BF-DAB0-4B75-8AC8-75061D4BE8B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T103" authorId="1" shapeId="0" xr:uid="{69B45AF0-F70B-40BC-ABCE-7999F07383FF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U103" authorId="1" shapeId="0" xr:uid="{DC454731-6351-434E-A240-1E2BF5280529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V103" authorId="1" shapeId="0" xr:uid="{D6B1F3C7-0AB2-4D00-8F66-19A69832D80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W103" authorId="1" shapeId="0" xr:uid="{FAE93C53-E748-4A49-B0C6-3E1A4A05256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X103" authorId="1" shapeId="0" xr:uid="{96CD2EDE-16DD-46CD-BDE1-DEF456C3E0C5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Y103" authorId="1" shapeId="0" xr:uid="{03DA08DC-ED6E-4B6F-8F41-BE50BB02375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I104" authorId="1" shapeId="0" xr:uid="{FE622AC7-1D90-4235-A1B7-EFB1428DEA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J104" authorId="1" shapeId="0" xr:uid="{0B8738A5-5FD2-4E5F-8CDD-08F21B4008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M104" authorId="1" shapeId="0" xr:uid="{BDA39FF5-14D3-4625-80E4-8AD4D8B6CB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 recloser, failed to reclose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367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39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401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00000000-0000-0000-0000-000000000000}">
    <initialization>
      <code/>
    </initialization>
  </environmentDefinition>
  <pythonScripts>
    <pythonScript>
      <code xml:space="preserve">import pandas as pd
demand = xl(%P2%, headers=True)
</code>
    </pythonScript>
  </pythonScripts>
</python>
</file>

<file path=xl/sharedStrings.xml><?xml version="1.0" encoding="utf-8"?>
<sst xmlns="http://schemas.openxmlformats.org/spreadsheetml/2006/main" count="29033" uniqueCount="3349">
  <si>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</si>
  <si>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</si>
  <si>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</si>
  <si>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</si>
  <si>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</si>
  <si>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</si>
  <si>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</si>
  <si>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</si>
  <si>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</si>
  <si>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</si>
  <si>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</si>
  <si>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</si>
  <si>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</si>
  <si>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</si>
  <si>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</si>
  <si>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</si>
  <si>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</si>
  <si>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</si>
  <si>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</si>
  <si>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</si>
  <si>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</si>
  <si>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</si>
  <si>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</si>
  <si>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</si>
  <si>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</si>
  <si>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</si>
  <si>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</si>
  <si>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</si>
  <si>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</si>
  <si>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</si>
  <si>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</si>
  <si>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</si>
  <si>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</si>
  <si>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</si>
  <si>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</si>
  <si>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</si>
  <si>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</si>
  <si>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</si>
  <si>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</si>
  <si>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</si>
  <si>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</si>
  <si>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</si>
  <si>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</si>
  <si>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</si>
  <si>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</si>
  <si>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</si>
  <si>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</si>
  <si>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</si>
  <si>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</si>
  <si>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</si>
  <si>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</si>
  <si>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</si>
  <si>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</si>
  <si>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</si>
  <si>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</si>
  <si>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</si>
  <si>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</si>
  <si>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</si>
  <si>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</si>
  <si>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</si>
  <si>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</si>
  <si>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</si>
  <si>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</si>
  <si>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</si>
  <si>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</si>
  <si>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</si>
  <si>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</si>
  <si>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</si>
  <si>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</si>
  <si>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</si>
  <si>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</si>
  <si>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</si>
  <si>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</si>
  <si>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</si>
  <si>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</si>
  <si>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</si>
  <si>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</si>
  <si>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</si>
  <si>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</si>
  <si>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</si>
  <si>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</si>
  <si>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</si>
  <si>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</si>
  <si>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</si>
  <si>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SYSTEM FREQUENCY</t>
  </si>
  <si>
    <t>TEMPERATURE</t>
  </si>
  <si>
    <t>WEATHER CONDITION</t>
  </si>
  <si>
    <t>HOURLY DEPENDABLE CAPACITY</t>
  </si>
  <si>
    <t>TOTAL SUPPLY</t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</si>
  <si>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</si>
  <si>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</si>
  <si>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</si>
  <si>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</si>
  <si>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</si>
  <si>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</si>
  <si>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</si>
  <si>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</si>
  <si>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</si>
  <si>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</si>
  <si>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</si>
  <si>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</si>
  <si>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</si>
  <si>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</si>
  <si>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</si>
  <si>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</si>
  <si>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</si>
  <si>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</si>
  <si>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</si>
  <si>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</si>
  <si>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</si>
  <si>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</si>
  <si>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</si>
  <si>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</si>
  <si>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</si>
  <si>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</si>
  <si>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</si>
  <si>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</si>
  <si>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</si>
  <si>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</si>
  <si>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</si>
  <si>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</si>
  <si>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</si>
  <si>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</si>
  <si>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</si>
  <si>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</si>
  <si>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</si>
  <si>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</si>
  <si>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</si>
  <si>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</si>
  <si>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</si>
  <si>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</si>
  <si>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</si>
  <si>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</si>
  <si>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</si>
  <si>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</si>
  <si>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</si>
  <si>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</si>
  <si>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</si>
  <si>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</si>
  <si>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</si>
  <si>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</si>
  <si>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</si>
  <si>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PPGI_Unit 1</t>
  </si>
  <si>
    <t>1534H</t>
  </si>
  <si>
    <t>DMCI IRAWAN_34</t>
  </si>
  <si>
    <t>DMCI IRAWAN_38</t>
  </si>
  <si>
    <t>1430H</t>
  </si>
  <si>
    <t>1200H</t>
  </si>
  <si>
    <t>DMCI IRAWAN_CAT 41</t>
  </si>
  <si>
    <t>DMCI IRAWAN_CAT 40</t>
  </si>
  <si>
    <t>DMCI NARRA_Unit 1</t>
  </si>
  <si>
    <t>PPGI_Unit 3</t>
  </si>
  <si>
    <t>0808H</t>
  </si>
  <si>
    <t>DMCI ABORLAN_Unit 2</t>
  </si>
  <si>
    <t>DMCI ABORLAN_Unit 1</t>
  </si>
  <si>
    <t>DMCI QUEZON_UP 17</t>
  </si>
  <si>
    <t>1101H</t>
  </si>
  <si>
    <t>e-Delta P_Unit 1</t>
  </si>
  <si>
    <t>e-Delta P_Unit 3</t>
  </si>
  <si>
    <t>DMCI RIO TUBA_UP 38</t>
  </si>
  <si>
    <t>DMCI QUEZON_UP 18A</t>
  </si>
  <si>
    <t>DMCI IRAWAN_UP 7</t>
  </si>
  <si>
    <t>DMCI IRAWAN_UP 28</t>
  </si>
  <si>
    <t>DMCI IRAWAN_UP 8A</t>
  </si>
  <si>
    <t>DMCI IRAWAN_UP 9</t>
  </si>
  <si>
    <t>DMCI IRAWAN_UP 14</t>
  </si>
  <si>
    <t>DMCI QUEZON_UP 24</t>
  </si>
  <si>
    <t>1102H</t>
  </si>
  <si>
    <t>DMCI IRAWAN_UP 27</t>
  </si>
  <si>
    <t>DMCI RIO TUBA_UP 37</t>
  </si>
  <si>
    <t>DMCI IRAWAN_UP 11</t>
  </si>
  <si>
    <t>0804H</t>
  </si>
  <si>
    <t>DMCI IRAWAN_UP 22</t>
  </si>
  <si>
    <t>DMCI IRAWAN_UP 12</t>
  </si>
  <si>
    <t>DMCI IRAWAN_UP 21</t>
  </si>
  <si>
    <t>P4_Unit 1</t>
  </si>
  <si>
    <t>DMCI IRAWAN_UP 18C</t>
  </si>
  <si>
    <t>DMCI IRAWAN_UP 30</t>
  </si>
  <si>
    <t>DMCI IRAWAN_UP 29</t>
  </si>
  <si>
    <t>1148H</t>
  </si>
  <si>
    <t>1752H</t>
  </si>
  <si>
    <t>2130H</t>
  </si>
  <si>
    <t>1816H</t>
  </si>
  <si>
    <t>2205H</t>
  </si>
  <si>
    <t>DMCI IRAWAN_UP 15</t>
  </si>
  <si>
    <t>1902H</t>
  </si>
  <si>
    <t>e-Delta P_Unit 4</t>
  </si>
  <si>
    <t>0837H</t>
  </si>
  <si>
    <t>1037H</t>
  </si>
  <si>
    <t>1718H</t>
  </si>
  <si>
    <t>1750H</t>
  </si>
  <si>
    <t>1903H</t>
  </si>
  <si>
    <t>2113H</t>
  </si>
  <si>
    <t>2153H</t>
  </si>
  <si>
    <t>e-Delta P_Unit 2</t>
  </si>
  <si>
    <t>0828H</t>
  </si>
  <si>
    <t>0935H</t>
  </si>
  <si>
    <t>0955H</t>
  </si>
  <si>
    <t>1946H</t>
  </si>
  <si>
    <t>2229H</t>
  </si>
  <si>
    <t>0036H</t>
  </si>
  <si>
    <t>0248H</t>
  </si>
  <si>
    <t>DMCI IRAWAN_UP 18D</t>
  </si>
  <si>
    <t>1035H</t>
  </si>
  <si>
    <t>1742H</t>
  </si>
  <si>
    <t>2005H</t>
  </si>
  <si>
    <t>0839H</t>
  </si>
  <si>
    <t>0921H</t>
  </si>
  <si>
    <t>2138H</t>
  </si>
  <si>
    <t>1038H</t>
  </si>
  <si>
    <t>1032H</t>
  </si>
  <si>
    <t>1310H</t>
  </si>
  <si>
    <t>1838H</t>
  </si>
  <si>
    <t>2013H</t>
  </si>
  <si>
    <t>2116H</t>
  </si>
  <si>
    <t>0756H</t>
  </si>
  <si>
    <t>0947H</t>
  </si>
  <si>
    <t>2249H</t>
  </si>
  <si>
    <t>1322H</t>
  </si>
  <si>
    <t>0621H</t>
  </si>
  <si>
    <t>2156H</t>
  </si>
  <si>
    <t>0421H</t>
  </si>
  <si>
    <t>0942H</t>
  </si>
  <si>
    <t>1231H</t>
  </si>
  <si>
    <t>1709H</t>
  </si>
  <si>
    <t>1755H</t>
  </si>
  <si>
    <t>1756H</t>
  </si>
  <si>
    <t>0602H</t>
  </si>
  <si>
    <t>0832H</t>
  </si>
  <si>
    <t>0751H</t>
  </si>
  <si>
    <t>0754H</t>
  </si>
  <si>
    <t>0817H</t>
  </si>
  <si>
    <t>1202H</t>
  </si>
  <si>
    <t>0941H</t>
  </si>
  <si>
    <t>0758H</t>
  </si>
  <si>
    <t>0215H</t>
  </si>
  <si>
    <t>1005H</t>
  </si>
  <si>
    <t>0927H</t>
  </si>
  <si>
    <t>1050H</t>
  </si>
  <si>
    <t>1804H</t>
  </si>
  <si>
    <t>2207H</t>
  </si>
  <si>
    <t>0042H</t>
  </si>
  <si>
    <t>1736H</t>
  </si>
  <si>
    <t>1107H</t>
  </si>
  <si>
    <t>1712H</t>
  </si>
  <si>
    <t>0508H</t>
  </si>
  <si>
    <t>0528H</t>
  </si>
  <si>
    <t>1421H</t>
  </si>
  <si>
    <t>0514H</t>
  </si>
  <si>
    <t>1023H</t>
  </si>
  <si>
    <t>0755H</t>
  </si>
  <si>
    <t>DMCI IRAWAN_CAT 42</t>
  </si>
  <si>
    <t>DMCI IRAWAN_36</t>
  </si>
  <si>
    <t>1809H</t>
  </si>
  <si>
    <t>0655H</t>
  </si>
  <si>
    <t>0803H</t>
  </si>
  <si>
    <t>1017H</t>
  </si>
  <si>
    <t>1008H</t>
  </si>
  <si>
    <t>2213H</t>
  </si>
  <si>
    <t>1725H</t>
  </si>
  <si>
    <t>DMCI BROOKES_UP 40</t>
  </si>
  <si>
    <t>DMCI BROOKES_UP 44</t>
  </si>
  <si>
    <t>DMCI BROOKES_UP 47</t>
  </si>
  <si>
    <t>DMCI BROOKES_UP 41</t>
  </si>
  <si>
    <t>DMCI BROOKES_UP 42</t>
  </si>
  <si>
    <t>DMCI BROOKES_UP 43</t>
  </si>
  <si>
    <t>0547H</t>
  </si>
  <si>
    <t>2114H</t>
  </si>
  <si>
    <t>DMCI BROOKES_UP 39</t>
  </si>
  <si>
    <t>0936H</t>
  </si>
  <si>
    <t>1810H</t>
  </si>
  <si>
    <t>1938H</t>
  </si>
  <si>
    <t>DMCI IRAWAN_37</t>
  </si>
  <si>
    <t>DMCI IRAWAN_39</t>
  </si>
  <si>
    <t>1133H</t>
  </si>
  <si>
    <t>1826H</t>
  </si>
  <si>
    <t>1848H</t>
  </si>
  <si>
    <t>1647H</t>
  </si>
  <si>
    <t>0133H</t>
  </si>
  <si>
    <t>1827H</t>
  </si>
  <si>
    <t>2238H</t>
  </si>
  <si>
    <t>0603H</t>
  </si>
  <si>
    <t>2311H</t>
  </si>
  <si>
    <t>2310H</t>
  </si>
  <si>
    <t>0219H</t>
  </si>
  <si>
    <t>0559H</t>
  </si>
  <si>
    <t>1010H</t>
  </si>
  <si>
    <t>2059H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</si>
  <si>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</si>
  <si>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</si>
  <si>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</si>
  <si>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</si>
  <si>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</si>
  <si>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</si>
  <si>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</si>
  <si>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LogCode</t>
  </si>
  <si>
    <t>$L$27 27</t>
  </si>
  <si>
    <t>Total Run Time</t>
  </si>
  <si>
    <t>Total Down Time</t>
  </si>
  <si>
    <t>Start Date</t>
  </si>
  <si>
    <t>Start Time</t>
  </si>
  <si>
    <t>PPGI_Unit 2</t>
  </si>
  <si>
    <t>DMCI IRAWAN_35</t>
  </si>
  <si>
    <t>DMCI QUEZON_UP 18B</t>
  </si>
  <si>
    <t>DMCI BROOKES_UP 45</t>
  </si>
  <si>
    <t>DMCI BROOKES_UP 46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</si>
  <si>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</si>
  <si>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</si>
  <si>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</si>
  <si>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</si>
  <si>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</si>
  <si>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</si>
  <si>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</si>
  <si>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</si>
  <si>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</si>
  <si>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</t>
  </si>
  <si>
    <t>CODE</t>
  </si>
  <si>
    <t>FD</t>
  </si>
  <si>
    <t>FB</t>
  </si>
  <si>
    <t>0000H</t>
  </si>
  <si>
    <t>07/25/2024</t>
  </si>
  <si>
    <t>09/25/2024</t>
  </si>
  <si>
    <t>Feeder Multipliers</t>
  </si>
  <si>
    <t>PP S/S (PALECO)</t>
  </si>
  <si>
    <t>DELTAP (13.8kV)</t>
  </si>
  <si>
    <t>DMCI IRAWAN (13.8kV)</t>
  </si>
  <si>
    <t>DMCI IRAWAN (69kV)</t>
  </si>
  <si>
    <t>DMCI RIOTUBA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</si>
  <si>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</si>
  <si>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</si>
  <si>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</si>
  <si>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</si>
  <si>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</si>
  <si>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</si>
  <si>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</si>
  <si>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2024
(69kV)</t>
  </si>
  <si>
    <t>JAN 1, 2024
(13.8kV)</t>
  </si>
  <si>
    <t>JULY 25, 2024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</si>
  <si>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</si>
  <si>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</si>
  <si>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</si>
  <si>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</si>
  <si>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</si>
  <si>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</si>
  <si>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</si>
  <si>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</si>
  <si>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</si>
  <si>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</si>
  <si>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</si>
  <si>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</si>
  <si>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</si>
  <si>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</si>
  <si>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(EPSA 1)</t>
  </si>
  <si>
    <t>YEARLY</t>
  </si>
  <si>
    <t>MONTHLY</t>
  </si>
  <si>
    <t xml:space="preserve">PPGI </t>
  </si>
  <si>
    <t>`</t>
  </si>
  <si>
    <t>DMCI PSA</t>
  </si>
  <si>
    <t>JULY 25, 2012</t>
  </si>
  <si>
    <t>BROOKES (NARRA N-1)</t>
  </si>
  <si>
    <t>DMCI EPSA 2</t>
  </si>
  <si>
    <t>DELTAP (69kV)</t>
  </si>
  <si>
    <t>DMCI ABORLAN (69 kV)</t>
  </si>
  <si>
    <t>PPGI 3</t>
  </si>
  <si>
    <t>PPGI 4</t>
  </si>
  <si>
    <t>DMCI BROOKE'S POINT (N-1)</t>
  </si>
  <si>
    <t>PREV CUT OFF</t>
  </si>
  <si>
    <t>NEXT CUT OFF</t>
  </si>
  <si>
    <t>MAX</t>
  </si>
  <si>
    <t>DEMAND</t>
  </si>
  <si>
    <t>ABORLAN1</t>
  </si>
  <si>
    <t>ABORLAN2</t>
  </si>
  <si>
    <t>DEP CAP</t>
  </si>
  <si>
    <t>Unit No.</t>
  </si>
  <si>
    <t>LACK OF SUPPLY DUE TO HIGH DEMAND AND LOW COST</t>
  </si>
  <si>
    <t>TOTAL Remaining HR</t>
  </si>
  <si>
    <t>HR/DAY Remaining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</si>
  <si>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</si>
  <si>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</si>
  <si>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</si>
  <si>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</si>
  <si>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</si>
  <si>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</si>
  <si>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</si>
  <si>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</si>
  <si>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</si>
  <si>
    <t>0722H</t>
  </si>
  <si>
    <t>1011H</t>
  </si>
  <si>
    <t>2139H</t>
  </si>
  <si>
    <t>$I$13 29</t>
  </si>
  <si>
    <t>N-1 (New Meter)</t>
  </si>
  <si>
    <t>1947H</t>
  </si>
  <si>
    <t>$Z$24 29</t>
  </si>
  <si>
    <t>0017H</t>
  </si>
  <si>
    <t>PMS UNTIL FEBRUARY 14, 2025</t>
  </si>
  <si>
    <t>$G$55 31</t>
  </si>
  <si>
    <t>$G$47 31</t>
  </si>
  <si>
    <t>$G$44 31</t>
  </si>
  <si>
    <t>$G$45 31</t>
  </si>
  <si>
    <t>0019H</t>
  </si>
  <si>
    <t>$G$15 31</t>
  </si>
  <si>
    <t>0047H</t>
  </si>
  <si>
    <t>0111H</t>
  </si>
  <si>
    <t>$H$15 31</t>
  </si>
  <si>
    <t>0126H</t>
  </si>
  <si>
    <t>$H$44 31</t>
  </si>
  <si>
    <t>$H$14 31</t>
  </si>
  <si>
    <t>$I$45 31</t>
  </si>
  <si>
    <t>0205H</t>
  </si>
  <si>
    <t>$I$60 31</t>
  </si>
  <si>
    <t>0206H</t>
  </si>
  <si>
    <t>$I$62 31</t>
  </si>
  <si>
    <t>0406H</t>
  </si>
  <si>
    <t>$K$73 31</t>
  </si>
  <si>
    <t>$I$65 31</t>
  </si>
  <si>
    <t>$I$67 31</t>
  </si>
  <si>
    <t>$I$68 31</t>
  </si>
  <si>
    <t>$I$72 31</t>
  </si>
  <si>
    <t>RED HOT TURBO</t>
  </si>
  <si>
    <t>UNABLE TO SYNCH</t>
  </si>
  <si>
    <t>LOAD HUNTING</t>
  </si>
  <si>
    <t>RAD FAN TRIP</t>
  </si>
  <si>
    <t>$L$48 31</t>
  </si>
  <si>
    <t>$L$54 31</t>
  </si>
  <si>
    <t>$L$46 31</t>
  </si>
  <si>
    <t>$L$52 31</t>
  </si>
  <si>
    <t>$L$53 31</t>
  </si>
  <si>
    <t>$M$77 31</t>
  </si>
  <si>
    <t>$M$76 31</t>
  </si>
  <si>
    <t>$M$57 31</t>
  </si>
  <si>
    <t>RADIATOR FAN TRIP</t>
  </si>
  <si>
    <t>$M$48 31</t>
  </si>
  <si>
    <t>0725H</t>
  </si>
  <si>
    <t>$N$50 31</t>
  </si>
  <si>
    <t>0735H</t>
  </si>
  <si>
    <t>$N$56 31</t>
  </si>
  <si>
    <t>$N$43 31</t>
  </si>
  <si>
    <t>$N$28 31</t>
  </si>
  <si>
    <t>TRIPPED DUE TO ENGINE 2 SPEED CONTROL (OVERSPEEDING)</t>
  </si>
  <si>
    <t>$N$55 31</t>
  </si>
  <si>
    <t>$N$47 31</t>
  </si>
  <si>
    <t>$N$44 31</t>
  </si>
  <si>
    <t>$N$45 31</t>
  </si>
  <si>
    <t>$N$69 31</t>
  </si>
  <si>
    <t>$N$48 31</t>
  </si>
  <si>
    <t>$N$70 31</t>
  </si>
  <si>
    <t>$N$73 31</t>
  </si>
  <si>
    <t>$O$36 31</t>
  </si>
  <si>
    <t>$O$38 31</t>
  </si>
  <si>
    <t>$O$14 31</t>
  </si>
  <si>
    <t>$O$48 31</t>
  </si>
  <si>
    <t>$O$54 31</t>
  </si>
  <si>
    <t>$O$46 31</t>
  </si>
  <si>
    <t>$O$52 31</t>
  </si>
  <si>
    <t>$P$57 31</t>
  </si>
  <si>
    <t>$P$48 31</t>
  </si>
  <si>
    <t>$P$54 31</t>
  </si>
  <si>
    <t>$P$46 31</t>
  </si>
  <si>
    <t>$P$52 31</t>
  </si>
  <si>
    <t>$Q$57 31</t>
  </si>
  <si>
    <t>$Q$36 31</t>
  </si>
  <si>
    <t>$Q$69 31</t>
  </si>
  <si>
    <t>$Q$70 31</t>
  </si>
  <si>
    <t>$Q$73 31</t>
  </si>
  <si>
    <t>In Island Mode Operation</t>
  </si>
  <si>
    <t>$Q$38 31</t>
  </si>
  <si>
    <t>$Q$51 31</t>
  </si>
  <si>
    <t>$Q$53 31</t>
  </si>
  <si>
    <t>$R$62 31</t>
  </si>
  <si>
    <t>$R$61 31</t>
  </si>
  <si>
    <t>$R$37 31</t>
  </si>
  <si>
    <t>$R$39 31</t>
  </si>
  <si>
    <t>$S$66 31</t>
  </si>
  <si>
    <t>1234H</t>
  </si>
  <si>
    <t>$S$42 31</t>
  </si>
  <si>
    <t>$S$40 31</t>
  </si>
  <si>
    <t>1255H</t>
  </si>
  <si>
    <t>$S$37 31</t>
  </si>
  <si>
    <t>$T$37 31</t>
  </si>
  <si>
    <t>$U$37 31</t>
  </si>
  <si>
    <t>1542H</t>
  </si>
  <si>
    <t>$V$37 31</t>
  </si>
  <si>
    <t>1609H</t>
  </si>
  <si>
    <t>$W$39 31</t>
  </si>
  <si>
    <t>$W$38 31</t>
  </si>
  <si>
    <t>$X$40 31</t>
  </si>
  <si>
    <t>TRIPPED HIGH TEMP</t>
  </si>
  <si>
    <t>1728H</t>
  </si>
  <si>
    <t>$X$42 31</t>
  </si>
  <si>
    <t>1717H</t>
  </si>
  <si>
    <t>$X$66 31</t>
  </si>
  <si>
    <t>$X$69 31</t>
  </si>
  <si>
    <t>$X$70 31</t>
  </si>
  <si>
    <t>$X$73 31</t>
  </si>
  <si>
    <t>$X$36 31</t>
  </si>
  <si>
    <t>$X$51 31</t>
  </si>
  <si>
    <t>$X$53 31</t>
  </si>
  <si>
    <t>$X$38 31</t>
  </si>
  <si>
    <t>$Y$36 31</t>
  </si>
  <si>
    <t>$Y$39 31</t>
  </si>
  <si>
    <t>$Y$73 31</t>
  </si>
  <si>
    <t>$Y$70 31</t>
  </si>
  <si>
    <t>$Y$69 31</t>
  </si>
  <si>
    <t>$Y$40 31</t>
  </si>
  <si>
    <t>$Y$42 31</t>
  </si>
  <si>
    <t>$Y$66 31</t>
  </si>
  <si>
    <t>$Z$76 31</t>
  </si>
  <si>
    <t>$Z$77 31</t>
  </si>
  <si>
    <t>$Z$66 31</t>
  </si>
  <si>
    <t>$Z$69 31</t>
  </si>
  <si>
    <t>$AA$39 31</t>
  </si>
  <si>
    <t>2049H</t>
  </si>
  <si>
    <t>$AA$51 31</t>
  </si>
  <si>
    <t>$AB$42 31</t>
  </si>
  <si>
    <t>$AB$40 31</t>
  </si>
  <si>
    <t>$AB$38 31</t>
  </si>
  <si>
    <t>$AB$36 31</t>
  </si>
  <si>
    <t>$AB$53 31</t>
  </si>
  <si>
    <t>$AC$43 31</t>
  </si>
  <si>
    <t>2222H</t>
  </si>
  <si>
    <t>$AC$52 31</t>
  </si>
  <si>
    <t>$AC$57 31</t>
  </si>
  <si>
    <t>2241H</t>
  </si>
  <si>
    <t>$AC$50 31</t>
  </si>
  <si>
    <t>$AC$56 31</t>
  </si>
  <si>
    <t>$F$55 1</t>
  </si>
  <si>
    <t>1701H</t>
  </si>
  <si>
    <t>$F$61 1</t>
  </si>
  <si>
    <t>1702H</t>
  </si>
  <si>
    <t>$F$60 1</t>
  </si>
  <si>
    <t>2305H</t>
  </si>
  <si>
    <t>2306H</t>
  </si>
  <si>
    <t>$F$62 1</t>
  </si>
  <si>
    <t>2328H</t>
  </si>
  <si>
    <t>$F$47 1</t>
  </si>
  <si>
    <t>2329H</t>
  </si>
  <si>
    <t>$F$44 1</t>
  </si>
  <si>
    <t>2341H</t>
  </si>
  <si>
    <t>$F$45 1</t>
  </si>
  <si>
    <t>2350H</t>
  </si>
  <si>
    <t>$F$48 1</t>
  </si>
  <si>
    <t>2322H</t>
  </si>
  <si>
    <t>$F$65 1</t>
  </si>
  <si>
    <t>$F$68 1</t>
  </si>
  <si>
    <t>DECLARED COMMERCIAL</t>
  </si>
  <si>
    <t>0011H</t>
  </si>
  <si>
    <t>$G$54 1</t>
  </si>
  <si>
    <t>0023H</t>
  </si>
  <si>
    <t>$G$46 1</t>
  </si>
  <si>
    <t>0044H</t>
  </si>
  <si>
    <t>$G$70 1</t>
  </si>
  <si>
    <t>0108H</t>
  </si>
  <si>
    <t>$G$16 1</t>
  </si>
  <si>
    <t>0123H</t>
  </si>
  <si>
    <t>$H$73 1</t>
  </si>
  <si>
    <t>0351H</t>
  </si>
  <si>
    <t>$I$66 1</t>
  </si>
  <si>
    <t>$I$69 1</t>
  </si>
  <si>
    <t>$I$73 1</t>
  </si>
  <si>
    <t>0459H</t>
  </si>
  <si>
    <t>$K$68 1</t>
  </si>
  <si>
    <t>$K$65 1</t>
  </si>
  <si>
    <t>$I$70 1</t>
  </si>
  <si>
    <t>0505H</t>
  </si>
  <si>
    <t>$L$62 1</t>
  </si>
  <si>
    <t>0506H</t>
  </si>
  <si>
    <t>$L$61 1</t>
  </si>
  <si>
    <t>0513H</t>
  </si>
  <si>
    <t>$L$27 1</t>
  </si>
  <si>
    <t>0408H</t>
  </si>
  <si>
    <t>$K$24 1</t>
  </si>
  <si>
    <t>0437H</t>
  </si>
  <si>
    <t>0516H</t>
  </si>
  <si>
    <t>$L$24 1</t>
  </si>
  <si>
    <t>TRIPPED DUE TO UNDER VOLTAGE</t>
  </si>
  <si>
    <t>ONLINE FOR ISLAND MODE OPERATION</t>
  </si>
  <si>
    <t>TRIPPED DUE TO UNDER VOLTAGE / 22ML4 PICK UP IND: IC-1,172A, IN-1,198A</t>
  </si>
  <si>
    <t>0745H</t>
  </si>
  <si>
    <t>$N$52 1</t>
  </si>
  <si>
    <t>0739H</t>
  </si>
  <si>
    <t>$N$77 1</t>
  </si>
  <si>
    <t>0740H</t>
  </si>
  <si>
    <t>$N$76 1</t>
  </si>
  <si>
    <t>0759H</t>
  </si>
  <si>
    <t>$N$57 1</t>
  </si>
  <si>
    <t>$O$53 1</t>
  </si>
  <si>
    <t>0812H</t>
  </si>
  <si>
    <t>$O$50 1</t>
  </si>
  <si>
    <t>0813H</t>
  </si>
  <si>
    <t>$O$56 1</t>
  </si>
  <si>
    <t>0815H</t>
  </si>
  <si>
    <t>$O$43 1</t>
  </si>
  <si>
    <t>0833H</t>
  </si>
  <si>
    <t>$O$47 1</t>
  </si>
  <si>
    <t>$O$55 1</t>
  </si>
  <si>
    <t>0847H</t>
  </si>
  <si>
    <t>$O$44 1</t>
  </si>
  <si>
    <t>$O$45 1</t>
  </si>
  <si>
    <t>$O$65 1</t>
  </si>
  <si>
    <t>$O$66 1</t>
  </si>
  <si>
    <t>$O$68 1</t>
  </si>
  <si>
    <t>$O$69 1</t>
  </si>
  <si>
    <t>$O$70 1</t>
  </si>
  <si>
    <t>$O$73 1</t>
  </si>
  <si>
    <t>0907H</t>
  </si>
  <si>
    <t>$P$48 1</t>
  </si>
  <si>
    <t>$P$54 1</t>
  </si>
  <si>
    <t>0919H</t>
  </si>
  <si>
    <t>$P$46 1</t>
  </si>
  <si>
    <t>$P$51 1</t>
  </si>
  <si>
    <t>0700H</t>
  </si>
  <si>
    <t>$M$24 1</t>
  </si>
  <si>
    <t>0714H</t>
  </si>
  <si>
    <t>$N$27 1</t>
  </si>
  <si>
    <t>$P$36 1</t>
  </si>
  <si>
    <t>$P$38 1</t>
  </si>
  <si>
    <t>0958H</t>
  </si>
  <si>
    <t>$P$39 1</t>
  </si>
  <si>
    <t>1057H</t>
  </si>
  <si>
    <t>$Q$37 1</t>
  </si>
  <si>
    <t>$R$60 1</t>
  </si>
  <si>
    <t>$R$61 1</t>
  </si>
  <si>
    <t>1243H</t>
  </si>
  <si>
    <t>$S$40 1</t>
  </si>
  <si>
    <t>1259H</t>
  </si>
  <si>
    <t>$S$42 1</t>
  </si>
  <si>
    <t>$T$39 1</t>
  </si>
  <si>
    <t>1350H</t>
  </si>
  <si>
    <t>$T$37 1</t>
  </si>
  <si>
    <t>1356H</t>
  </si>
  <si>
    <t>1456H</t>
  </si>
  <si>
    <t>$U$37 1</t>
  </si>
  <si>
    <t>1634H</t>
  </si>
  <si>
    <t>$W$37 1</t>
  </si>
  <si>
    <t>1640H</t>
  </si>
  <si>
    <t>$W$66 1</t>
  </si>
  <si>
    <t>$W$67 1</t>
  </si>
  <si>
    <t>$W$68 1</t>
  </si>
  <si>
    <t>$W$69 1</t>
  </si>
  <si>
    <t>$W$70 1</t>
  </si>
  <si>
    <t>$W$73 1</t>
  </si>
  <si>
    <t>1703H</t>
  </si>
  <si>
    <t>$X$42 1</t>
  </si>
  <si>
    <t>1704H</t>
  </si>
  <si>
    <t>$X$67 1</t>
  </si>
  <si>
    <t>$X$60 1</t>
  </si>
  <si>
    <t>$X$62 1</t>
  </si>
  <si>
    <t>1714H</t>
  </si>
  <si>
    <t>$X$40 1</t>
  </si>
  <si>
    <t>1735H</t>
  </si>
  <si>
    <t>1754H</t>
  </si>
  <si>
    <t>1759H</t>
  </si>
  <si>
    <t>1813H</t>
  </si>
  <si>
    <t>$Y$37 1</t>
  </si>
  <si>
    <t>1842H</t>
  </si>
  <si>
    <t>$Y$65 1</t>
  </si>
  <si>
    <t>1927H</t>
  </si>
  <si>
    <t>$Z$65 1</t>
  </si>
  <si>
    <t>1956H</t>
  </si>
  <si>
    <t>$Z$39 1</t>
  </si>
  <si>
    <t>2101H</t>
  </si>
  <si>
    <t>$AB$37 1</t>
  </si>
  <si>
    <t>2124H</t>
  </si>
  <si>
    <t>$AB$40 1</t>
  </si>
  <si>
    <t>2135H</t>
  </si>
  <si>
    <t>$AB$38 1</t>
  </si>
  <si>
    <t>$AB$42 1</t>
  </si>
  <si>
    <t>2201H</t>
  </si>
  <si>
    <t>$AC$36 1</t>
  </si>
  <si>
    <t>2202H</t>
  </si>
  <si>
    <t>$AC$50 1</t>
  </si>
  <si>
    <t>A/T DUE TO AVR BREAK FAILED</t>
  </si>
  <si>
    <t>2220H</t>
  </si>
  <si>
    <t>$AC$46 1</t>
  </si>
  <si>
    <t>2227H</t>
  </si>
  <si>
    <t>$AC$51 1</t>
  </si>
  <si>
    <t>2243H</t>
  </si>
  <si>
    <t>$AC$43 1</t>
  </si>
  <si>
    <t>2258H</t>
  </si>
  <si>
    <t>$AC$53 1</t>
  </si>
  <si>
    <t>2301H</t>
  </si>
  <si>
    <t>$F$62 2</t>
  </si>
  <si>
    <t>2302H</t>
  </si>
  <si>
    <t>$F$61 2</t>
  </si>
  <si>
    <t>2332H</t>
  </si>
  <si>
    <t>$F$52 2</t>
  </si>
  <si>
    <t>2343H</t>
  </si>
  <si>
    <t>$F$57 2</t>
  </si>
  <si>
    <t>0004H</t>
  </si>
  <si>
    <t>$G$56 2</t>
  </si>
  <si>
    <t>0012H</t>
  </si>
  <si>
    <t>$G$55 2</t>
  </si>
  <si>
    <t>0026H</t>
  </si>
  <si>
    <t>$G$47 2</t>
  </si>
  <si>
    <t>0039H</t>
  </si>
  <si>
    <t>$G$44 2</t>
  </si>
  <si>
    <t>0045H</t>
  </si>
  <si>
    <t>$G$45 2</t>
  </si>
  <si>
    <t>0030H</t>
  </si>
  <si>
    <t>$G$67 2</t>
  </si>
  <si>
    <t>0014H</t>
  </si>
  <si>
    <t>$G$48 2</t>
  </si>
  <si>
    <t>$G$24 2</t>
  </si>
  <si>
    <t>0121H</t>
  </si>
  <si>
    <t>$H$54 2</t>
  </si>
  <si>
    <t>LOADTEST</t>
  </si>
  <si>
    <t>0223H</t>
  </si>
  <si>
    <t>$I$24 2</t>
  </si>
  <si>
    <t>HEAVY OIL LEAK AT CRANKCASE DOOR B4</t>
  </si>
  <si>
    <t>0227H</t>
  </si>
  <si>
    <t>$I$68 2</t>
  </si>
  <si>
    <t>0302H</t>
  </si>
  <si>
    <t>$J$60 2</t>
  </si>
  <si>
    <t>0422H</t>
  </si>
  <si>
    <t>$K$46 2</t>
  </si>
  <si>
    <t>$K$52 2</t>
  </si>
  <si>
    <t>$K$53 2</t>
  </si>
  <si>
    <t>$K$51 2</t>
  </si>
  <si>
    <t>$K$57 2</t>
  </si>
  <si>
    <t>0424H</t>
  </si>
  <si>
    <t>$K$13 2</t>
  </si>
  <si>
    <t>0503H</t>
  </si>
  <si>
    <t>$L$76 2</t>
  </si>
  <si>
    <t>$L$61 2</t>
  </si>
  <si>
    <t>0545H</t>
  </si>
  <si>
    <t>$L$56 2</t>
  </si>
  <si>
    <t>0550H</t>
  </si>
  <si>
    <t>$L$46 2</t>
  </si>
  <si>
    <t>$M$43 2</t>
  </si>
  <si>
    <t>0705H</t>
  </si>
  <si>
    <t>$N$13 2</t>
  </si>
  <si>
    <t>$N$67 2</t>
  </si>
  <si>
    <t>$N$55 2</t>
  </si>
  <si>
    <t>0711H</t>
  </si>
  <si>
    <t>0712H</t>
  </si>
  <si>
    <t>0747H</t>
  </si>
  <si>
    <t>$N$16 2</t>
  </si>
  <si>
    <t>0748H</t>
  </si>
  <si>
    <t>$N$47 2</t>
  </si>
  <si>
    <t>0801H</t>
  </si>
  <si>
    <t>$O$16 2</t>
  </si>
  <si>
    <t>0753H</t>
  </si>
  <si>
    <t>$N$44 2</t>
  </si>
  <si>
    <t>$N$51 2</t>
  </si>
  <si>
    <t>0822H</t>
  </si>
  <si>
    <t>$O$51 2</t>
  </si>
  <si>
    <t>0825H</t>
  </si>
  <si>
    <t>$O$45 2</t>
  </si>
  <si>
    <t>0831H</t>
  </si>
  <si>
    <t>$O$52 2</t>
  </si>
  <si>
    <t>0836H</t>
  </si>
  <si>
    <t>$O$53 2</t>
  </si>
  <si>
    <t>0843H</t>
  </si>
  <si>
    <t>$O$57 2</t>
  </si>
  <si>
    <t>0909H</t>
  </si>
  <si>
    <t>$O$42 2</t>
  </si>
  <si>
    <t>$O$39 2</t>
  </si>
  <si>
    <t>$O$48 2</t>
  </si>
  <si>
    <t>$O$54 2</t>
  </si>
  <si>
    <t>$O$46 2</t>
  </si>
  <si>
    <t>$P$13 2</t>
  </si>
  <si>
    <t>0920H</t>
  </si>
  <si>
    <t>$P$38 2</t>
  </si>
  <si>
    <t>Excessive Fuel Leak on Fuel Filter</t>
  </si>
  <si>
    <t>0932H</t>
  </si>
  <si>
    <t>0939H</t>
  </si>
  <si>
    <t>$P$42 2</t>
  </si>
  <si>
    <t>0940H</t>
  </si>
  <si>
    <t>$P$39 2</t>
  </si>
  <si>
    <t>$P$36 2</t>
  </si>
  <si>
    <t>0945H</t>
  </si>
  <si>
    <t>0952H</t>
  </si>
  <si>
    <t>$P$56 2</t>
  </si>
  <si>
    <t>$R$60 2</t>
  </si>
  <si>
    <t>$R$62 2</t>
  </si>
  <si>
    <t>$R$77 2</t>
  </si>
  <si>
    <t>1244H</t>
  </si>
  <si>
    <t>$S$56 2</t>
  </si>
  <si>
    <t>1256H</t>
  </si>
  <si>
    <t>$S$36 2</t>
  </si>
  <si>
    <t>1258H</t>
  </si>
  <si>
    <t>$S$39 2</t>
  </si>
  <si>
    <t>1309H</t>
  </si>
  <si>
    <t>$T$39 2</t>
  </si>
  <si>
    <t>1307H</t>
  </si>
  <si>
    <t>$T$77 2</t>
  </si>
  <si>
    <t>$T$76 2</t>
  </si>
  <si>
    <t>1324H</t>
  </si>
  <si>
    <t>1338H</t>
  </si>
  <si>
    <t>$T$42 2</t>
  </si>
  <si>
    <t>1349H</t>
  </si>
  <si>
    <t>1402H</t>
  </si>
  <si>
    <t>$U$68 2</t>
  </si>
  <si>
    <t>1401H</t>
  </si>
  <si>
    <t>$U$24 2</t>
  </si>
  <si>
    <t>1408H</t>
  </si>
  <si>
    <t>$U$36 2</t>
  </si>
  <si>
    <t>1415H</t>
  </si>
  <si>
    <t>$U$77 2</t>
  </si>
  <si>
    <t>1426H</t>
  </si>
  <si>
    <t>$U$76 2</t>
  </si>
  <si>
    <t>1427H</t>
  </si>
  <si>
    <t>1436H</t>
  </si>
  <si>
    <t>$U$57 2</t>
  </si>
  <si>
    <t>1439H</t>
  </si>
  <si>
    <t>$U$51 2</t>
  </si>
  <si>
    <t>1451H</t>
  </si>
  <si>
    <t>$U$56 2</t>
  </si>
  <si>
    <t>1512H</t>
  </si>
  <si>
    <t>$V$56 2</t>
  </si>
  <si>
    <t>$V$57 2</t>
  </si>
  <si>
    <t>$V$51 2</t>
  </si>
  <si>
    <t>$V$24 2</t>
  </si>
  <si>
    <t>1515H</t>
  </si>
  <si>
    <t>$V$36 2</t>
  </si>
  <si>
    <t>1517H</t>
  </si>
  <si>
    <t>1519H</t>
  </si>
  <si>
    <t>$V$39 2</t>
  </si>
  <si>
    <t>1521H</t>
  </si>
  <si>
    <t>$V$42 2</t>
  </si>
  <si>
    <t>1522H</t>
  </si>
  <si>
    <t>1530H</t>
  </si>
  <si>
    <t>$V$43 2</t>
  </si>
  <si>
    <t>1535H</t>
  </si>
  <si>
    <t>$V$67 2</t>
  </si>
  <si>
    <t>LOW LUBE OIL PRESSURE</t>
  </si>
  <si>
    <t>1540H</t>
  </si>
  <si>
    <t>1607H</t>
  </si>
  <si>
    <t>$W$68 2</t>
  </si>
  <si>
    <t>1650H</t>
  </si>
  <si>
    <t>$X$62 2</t>
  </si>
  <si>
    <t>$X$61 2</t>
  </si>
  <si>
    <t>1805H</t>
  </si>
  <si>
    <t>$Y$43 2</t>
  </si>
  <si>
    <t>$U$55 2</t>
  </si>
  <si>
    <t>1811H</t>
  </si>
  <si>
    <t>$Y$55 2</t>
  </si>
  <si>
    <t>1821H</t>
  </si>
  <si>
    <t>$Y$37 2</t>
  </si>
  <si>
    <t>1818H</t>
  </si>
  <si>
    <t>$Y$38 2</t>
  </si>
  <si>
    <t>1828H</t>
  </si>
  <si>
    <t>$Y$40 2</t>
  </si>
  <si>
    <t>1941H</t>
  </si>
  <si>
    <t>$Z$51 2</t>
  </si>
  <si>
    <t>2011H</t>
  </si>
  <si>
    <t>$AA$28 2</t>
  </si>
  <si>
    <t>Loadtest</t>
  </si>
  <si>
    <t>2020H</t>
  </si>
  <si>
    <t>$AA$39 2</t>
  </si>
  <si>
    <t>$AA$42 2</t>
  </si>
  <si>
    <t>$AA$37 2</t>
  </si>
  <si>
    <t>2102H</t>
  </si>
  <si>
    <t>$AB$40 2</t>
  </si>
  <si>
    <t>2103H</t>
  </si>
  <si>
    <t>$AB$38 2</t>
  </si>
  <si>
    <t>2115H</t>
  </si>
  <si>
    <t>$AB$36 2</t>
  </si>
  <si>
    <t>2118H</t>
  </si>
  <si>
    <t>$AB$55 2</t>
  </si>
  <si>
    <t>2122H</t>
  </si>
  <si>
    <t>$AB$47 2</t>
  </si>
  <si>
    <t>2132H</t>
  </si>
  <si>
    <t>$AB$44 2</t>
  </si>
  <si>
    <t>2147H</t>
  </si>
  <si>
    <t>$AB$45 2</t>
  </si>
  <si>
    <t>$AC$48 2</t>
  </si>
  <si>
    <t>2217H</t>
  </si>
  <si>
    <t>$AC$54 2</t>
  </si>
  <si>
    <t>$AC$46 2</t>
  </si>
  <si>
    <t>2247H</t>
  </si>
  <si>
    <t>$AC$53 2</t>
  </si>
  <si>
    <t>$F$52 3</t>
  </si>
  <si>
    <t>$F$57 3</t>
  </si>
  <si>
    <t>$F$61 3</t>
  </si>
  <si>
    <t>$F$60 3</t>
  </si>
  <si>
    <t>2318H</t>
  </si>
  <si>
    <t>$F$56 3</t>
  </si>
  <si>
    <t>2331H</t>
  </si>
  <si>
    <t>$F$43 3</t>
  </si>
  <si>
    <t>0029H</t>
  </si>
  <si>
    <t>$G$55 3</t>
  </si>
  <si>
    <t>$G$45 3</t>
  </si>
  <si>
    <t>$G$47 3</t>
  </si>
  <si>
    <t>$G$48 3</t>
  </si>
  <si>
    <t>$G$14 3</t>
  </si>
  <si>
    <t>0041H</t>
  </si>
  <si>
    <t>0110H</t>
  </si>
  <si>
    <t>$H$47 3</t>
  </si>
  <si>
    <t>0125H</t>
  </si>
  <si>
    <t>$H$45 3</t>
  </si>
  <si>
    <t>0101H</t>
  </si>
  <si>
    <t>$H$68 3</t>
  </si>
  <si>
    <t>$H$14 3</t>
  </si>
  <si>
    <t>0136H</t>
  </si>
  <si>
    <t>$H$15 3</t>
  </si>
  <si>
    <t>0211H</t>
  </si>
  <si>
    <t>$I$15 3</t>
  </si>
  <si>
    <t>0214H</t>
  </si>
  <si>
    <t>$I$48 3</t>
  </si>
  <si>
    <t>0229H</t>
  </si>
  <si>
    <t>LOW EGT CYL B6</t>
  </si>
  <si>
    <t>0313H</t>
  </si>
  <si>
    <t>$J$15 3</t>
  </si>
  <si>
    <t>0326H</t>
  </si>
  <si>
    <t>$J$16 3</t>
  </si>
  <si>
    <t>0428H</t>
  </si>
  <si>
    <t>$K$44 3</t>
  </si>
  <si>
    <t>0501H</t>
  </si>
  <si>
    <t>$L$60 3</t>
  </si>
  <si>
    <t>0502H</t>
  </si>
  <si>
    <t>$L$62 3</t>
  </si>
  <si>
    <t>0504H</t>
  </si>
  <si>
    <t>$L$54 3</t>
  </si>
  <si>
    <t>$L$46 3</t>
  </si>
  <si>
    <t>$L$53 3</t>
  </si>
  <si>
    <t>0554H</t>
  </si>
  <si>
    <t>$L$51 3</t>
  </si>
  <si>
    <t>0527H</t>
  </si>
  <si>
    <t>$L$52 3</t>
  </si>
  <si>
    <t>0649H</t>
  </si>
  <si>
    <t>$M$44 3</t>
  </si>
  <si>
    <t>0657H</t>
  </si>
  <si>
    <t>$M$54 3</t>
  </si>
  <si>
    <t>0609H</t>
  </si>
  <si>
    <t>$M$56 3</t>
  </si>
  <si>
    <t>0741H</t>
  </si>
  <si>
    <t>$N$55 3</t>
  </si>
  <si>
    <t>$N$43 3</t>
  </si>
  <si>
    <t>0738H</t>
  </si>
  <si>
    <t>$N$66 3</t>
  </si>
  <si>
    <t>0752H</t>
  </si>
  <si>
    <t>$N$16 3</t>
  </si>
  <si>
    <t>$N$46 3</t>
  </si>
  <si>
    <t>$N$69 3</t>
  </si>
  <si>
    <t>$N$70 3</t>
  </si>
  <si>
    <t>$N$73 3</t>
  </si>
  <si>
    <t>$O$44 3</t>
  </si>
  <si>
    <t>$O$45 3</t>
  </si>
  <si>
    <t>$O$46 3</t>
  </si>
  <si>
    <t>$O$47 3</t>
  </si>
  <si>
    <t>$O$48 3</t>
  </si>
  <si>
    <t>$O$54 3</t>
  </si>
  <si>
    <t>0816H</t>
  </si>
  <si>
    <t>$O$52 3</t>
  </si>
  <si>
    <t>$O$53 3</t>
  </si>
  <si>
    <t>0814H</t>
  </si>
  <si>
    <t>$O$70 3</t>
  </si>
  <si>
    <t>0820H</t>
  </si>
  <si>
    <t>$O$56 3</t>
  </si>
  <si>
    <t>$O$57 3</t>
  </si>
  <si>
    <t>0826H</t>
  </si>
  <si>
    <t>$O$43 3</t>
  </si>
  <si>
    <t>0834H</t>
  </si>
  <si>
    <t>$O$73 3</t>
  </si>
  <si>
    <t>0838H</t>
  </si>
  <si>
    <t>$O$69 3</t>
  </si>
  <si>
    <t>0853H</t>
  </si>
  <si>
    <t>0859H</t>
  </si>
  <si>
    <t>0903H</t>
  </si>
  <si>
    <t>$P$36 3</t>
  </si>
  <si>
    <t>0918H</t>
  </si>
  <si>
    <t>$P$39 3</t>
  </si>
  <si>
    <t>0917H</t>
  </si>
  <si>
    <t>$P$66 3</t>
  </si>
  <si>
    <t>$P$42 3</t>
  </si>
  <si>
    <t>$P$40 3</t>
  </si>
  <si>
    <t>0938H</t>
  </si>
  <si>
    <t>$P$37 3</t>
  </si>
  <si>
    <t>0956H</t>
  </si>
  <si>
    <t>$P$38 3</t>
  </si>
  <si>
    <t>1007H</t>
  </si>
  <si>
    <t>$Q$55 3</t>
  </si>
  <si>
    <t>$R$55 3</t>
  </si>
  <si>
    <t>1116H</t>
  </si>
  <si>
    <t>$R$51 3</t>
  </si>
  <si>
    <t>1207H</t>
  </si>
  <si>
    <t>$S$77 3</t>
  </si>
  <si>
    <t>1209H</t>
  </si>
  <si>
    <t>$S$76 3</t>
  </si>
  <si>
    <t>1305H</t>
  </si>
  <si>
    <t>$T$51 3</t>
  </si>
  <si>
    <t>Loadhunting</t>
  </si>
  <si>
    <t>1419H</t>
  </si>
  <si>
    <t>$U$47 3</t>
  </si>
  <si>
    <t>1514H</t>
  </si>
  <si>
    <t>$V$66 3</t>
  </si>
  <si>
    <t>$V$69 3</t>
  </si>
  <si>
    <t>$V$70 3</t>
  </si>
  <si>
    <t>1518H</t>
  </si>
  <si>
    <t>$V$73 3</t>
  </si>
  <si>
    <t>$V$47 3</t>
  </si>
  <si>
    <t>1541H</t>
  </si>
  <si>
    <t>$V$67 3</t>
  </si>
  <si>
    <t>$W$62 3</t>
  </si>
  <si>
    <t>1610H</t>
  </si>
  <si>
    <t>$W$61 3</t>
  </si>
  <si>
    <t>$W$44 3</t>
  </si>
  <si>
    <t>$W$45 3</t>
  </si>
  <si>
    <t>1658H</t>
  </si>
  <si>
    <t>$W$36 3</t>
  </si>
  <si>
    <t>1707H</t>
  </si>
  <si>
    <t>$X$48 3</t>
  </si>
  <si>
    <t>$X$54 3</t>
  </si>
  <si>
    <t>1757H</t>
  </si>
  <si>
    <t>$X$44 3</t>
  </si>
  <si>
    <t>1815H</t>
  </si>
  <si>
    <t>$Y$45 3</t>
  </si>
  <si>
    <t>1823H</t>
  </si>
  <si>
    <t>$Y$48 3</t>
  </si>
  <si>
    <t>$Y$54 3</t>
  </si>
  <si>
    <t>1831H</t>
  </si>
  <si>
    <t>$Y$36 3</t>
  </si>
  <si>
    <t>1951H</t>
  </si>
  <si>
    <t>$Z$46 3</t>
  </si>
  <si>
    <t>2001H</t>
  </si>
  <si>
    <t>$AA$36 3</t>
  </si>
  <si>
    <t>$AA$38 3</t>
  </si>
  <si>
    <t>2038H</t>
  </si>
  <si>
    <t>$AA$37 3</t>
  </si>
  <si>
    <t>2047H</t>
  </si>
  <si>
    <t>$AA$39 3</t>
  </si>
  <si>
    <t>$AB$42 3</t>
  </si>
  <si>
    <t>2108H</t>
  </si>
  <si>
    <t>$AB$40 3</t>
  </si>
  <si>
    <t>2126H</t>
  </si>
  <si>
    <t>$AB$53 3</t>
  </si>
  <si>
    <t>$AB$52 3</t>
  </si>
  <si>
    <t>2155H</t>
  </si>
  <si>
    <t>$AB$57 3</t>
  </si>
  <si>
    <t>2223H</t>
  </si>
  <si>
    <t>$AC$56 3</t>
  </si>
  <si>
    <t>2232H</t>
  </si>
  <si>
    <t>$AC$43 3</t>
  </si>
  <si>
    <t>$AC$55 3</t>
  </si>
  <si>
    <t>$AC$47 3</t>
  </si>
  <si>
    <t>2323H</t>
  </si>
  <si>
    <t>$F$44 4</t>
  </si>
  <si>
    <t>$F$67 4</t>
  </si>
  <si>
    <t>$F$61 4</t>
  </si>
  <si>
    <t>$F$60 4</t>
  </si>
  <si>
    <t>$F$45 4</t>
  </si>
  <si>
    <t>$F$48 4</t>
  </si>
  <si>
    <t>2354H</t>
  </si>
  <si>
    <t>$F$54 4</t>
  </si>
  <si>
    <t>0118H</t>
  </si>
  <si>
    <t>$H$46 4</t>
  </si>
  <si>
    <t>0119H</t>
  </si>
  <si>
    <t>$H$15 4</t>
  </si>
  <si>
    <t>0149H</t>
  </si>
  <si>
    <t>0420H</t>
  </si>
  <si>
    <t>$K$15 4</t>
  </si>
  <si>
    <t>0419H</t>
  </si>
  <si>
    <t>$K$52 4</t>
  </si>
  <si>
    <t>0434H</t>
  </si>
  <si>
    <t>$K$14 4</t>
  </si>
  <si>
    <t>$L$60 4</t>
  </si>
  <si>
    <t>$L$62 4</t>
  </si>
  <si>
    <t>$L$53 4</t>
  </si>
  <si>
    <t>0529H</t>
  </si>
  <si>
    <t>$L$57 4</t>
  </si>
  <si>
    <t>0546H</t>
  </si>
  <si>
    <t>$L$56 4</t>
  </si>
  <si>
    <t>0558H</t>
  </si>
  <si>
    <t>$L$43 4</t>
  </si>
  <si>
    <t>0617H</t>
  </si>
  <si>
    <t>$M$55 4</t>
  </si>
  <si>
    <t>0623H</t>
  </si>
  <si>
    <t>$M$67 4</t>
  </si>
  <si>
    <t>0653H</t>
  </si>
  <si>
    <t>$M$53 4</t>
  </si>
  <si>
    <t>0658H</t>
  </si>
  <si>
    <t>$M$52 4</t>
  </si>
  <si>
    <t>0719H</t>
  </si>
  <si>
    <t>$N$57 4</t>
  </si>
  <si>
    <t>0743H</t>
  </si>
  <si>
    <t>$N$47 4</t>
  </si>
  <si>
    <t>0702H</t>
  </si>
  <si>
    <t>$N$76 4</t>
  </si>
  <si>
    <t>0703H</t>
  </si>
  <si>
    <t>$N$77 4</t>
  </si>
  <si>
    <t>0749H</t>
  </si>
  <si>
    <t>$N$24 4</t>
  </si>
  <si>
    <t>$N$44 4</t>
  </si>
  <si>
    <t>$N$45 4</t>
  </si>
  <si>
    <t>$O$54 4</t>
  </si>
  <si>
    <t>0805H</t>
  </si>
  <si>
    <t>$O$48 4</t>
  </si>
  <si>
    <t>$O$39 4</t>
  </si>
  <si>
    <t>$O$42 4</t>
  </si>
  <si>
    <t>0821H</t>
  </si>
  <si>
    <t>$O$56 4</t>
  </si>
  <si>
    <t>$O$43 4</t>
  </si>
  <si>
    <t>$O$40 4</t>
  </si>
  <si>
    <t>$O$37 4</t>
  </si>
  <si>
    <t>$O$55 4</t>
  </si>
  <si>
    <t>$O$46 4</t>
  </si>
  <si>
    <t>0844H</t>
  </si>
  <si>
    <t>$O$47 4</t>
  </si>
  <si>
    <t>0850H</t>
  </si>
  <si>
    <t>$O$44 4</t>
  </si>
  <si>
    <t>$O$45 4</t>
  </si>
  <si>
    <t>0856H</t>
  </si>
  <si>
    <t>$O$68 4</t>
  </si>
  <si>
    <t>0811H</t>
  </si>
  <si>
    <t>$O$14 4</t>
  </si>
  <si>
    <t>0910H</t>
  </si>
  <si>
    <t>$P$52 4</t>
  </si>
  <si>
    <t>0913H</t>
  </si>
  <si>
    <t>$P$53 4</t>
  </si>
  <si>
    <t>$P$57 4</t>
  </si>
  <si>
    <t>0929H</t>
  </si>
  <si>
    <t>$P$56 4</t>
  </si>
  <si>
    <t>$P$43 4</t>
  </si>
  <si>
    <t>0957H</t>
  </si>
  <si>
    <t>$P$55 4</t>
  </si>
  <si>
    <t>1043H</t>
  </si>
  <si>
    <t>$Q$48 4</t>
  </si>
  <si>
    <t>1045H</t>
  </si>
  <si>
    <t>1152H</t>
  </si>
  <si>
    <t>$R$68 4</t>
  </si>
  <si>
    <t>1154H</t>
  </si>
  <si>
    <t>1201H</t>
  </si>
  <si>
    <t>$S$62 4</t>
  </si>
  <si>
    <t>$S$61 4</t>
  </si>
  <si>
    <t>1223H</t>
  </si>
  <si>
    <t>$S$65 4</t>
  </si>
  <si>
    <t>1224H</t>
  </si>
  <si>
    <t>$S$68 4</t>
  </si>
  <si>
    <t>VPOWER</t>
  </si>
  <si>
    <t>1316H</t>
  </si>
  <si>
    <t>$T$47 4</t>
  </si>
  <si>
    <t>1317H</t>
  </si>
  <si>
    <t>$T$44 4</t>
  </si>
  <si>
    <t>1351H</t>
  </si>
  <si>
    <t>$T$45 4</t>
  </si>
  <si>
    <t>1445H</t>
  </si>
  <si>
    <t>$U$46 4</t>
  </si>
  <si>
    <t>$Q$54 4</t>
  </si>
  <si>
    <t>1452H</t>
  </si>
  <si>
    <t>$U$48 4</t>
  </si>
  <si>
    <t>$U$54 4</t>
  </si>
  <si>
    <t>1455H</t>
  </si>
  <si>
    <t>$U$21 4</t>
  </si>
  <si>
    <t>1501H</t>
  </si>
  <si>
    <t>$V$36 4</t>
  </si>
  <si>
    <t>1529H</t>
  </si>
  <si>
    <t>$V$46 4</t>
  </si>
  <si>
    <t>1525H</t>
  </si>
  <si>
    <t>$V$51 4</t>
  </si>
  <si>
    <t>1544H</t>
  </si>
  <si>
    <t>$V$68 4</t>
  </si>
  <si>
    <t>1643H</t>
  </si>
  <si>
    <t>$W$52 4</t>
  </si>
  <si>
    <t>1622H</t>
  </si>
  <si>
    <t>$W$46 4</t>
  </si>
  <si>
    <t>$W$38 4</t>
  </si>
  <si>
    <t>1630H</t>
  </si>
  <si>
    <t>$W$53 4</t>
  </si>
  <si>
    <t>1632H</t>
  </si>
  <si>
    <t>$W$65 4</t>
  </si>
  <si>
    <t>$W$56 4</t>
  </si>
  <si>
    <t>V-POWER</t>
  </si>
  <si>
    <t>$X$43 4</t>
  </si>
  <si>
    <t>1710H</t>
  </si>
  <si>
    <t>$X$55 4</t>
  </si>
  <si>
    <t>$X$47 4</t>
  </si>
  <si>
    <t>1746H</t>
  </si>
  <si>
    <t>$X$57 4</t>
  </si>
  <si>
    <t>$X$61 4</t>
  </si>
  <si>
    <t>$X$60 4</t>
  </si>
  <si>
    <t>$X$46 4</t>
  </si>
  <si>
    <t>1729H</t>
  </si>
  <si>
    <t>$X$51 4</t>
  </si>
  <si>
    <t>1803H</t>
  </si>
  <si>
    <t>$Y$77 4</t>
  </si>
  <si>
    <t>$Y$76 4</t>
  </si>
  <si>
    <t>1812H</t>
  </si>
  <si>
    <t>$Y$52 4</t>
  </si>
  <si>
    <t>1817H</t>
  </si>
  <si>
    <t>$Y$53 4</t>
  </si>
  <si>
    <t>$Y$57 4</t>
  </si>
  <si>
    <t>$Y$51 4</t>
  </si>
  <si>
    <t>1819H</t>
  </si>
  <si>
    <t>1839H</t>
  </si>
  <si>
    <t>$Y$56 4</t>
  </si>
  <si>
    <t>1847H</t>
  </si>
  <si>
    <t>$Y$43 4</t>
  </si>
  <si>
    <t>1913H</t>
  </si>
  <si>
    <t>$Z$76 4</t>
  </si>
  <si>
    <t>$Z$77 4</t>
  </si>
  <si>
    <t>1915H</t>
  </si>
  <si>
    <t>1924H</t>
  </si>
  <si>
    <t>$Z$38 4</t>
  </si>
  <si>
    <t>1933H</t>
  </si>
  <si>
    <t>$Z$36 4</t>
  </si>
  <si>
    <t>$Z$44 4</t>
  </si>
  <si>
    <t>1948H</t>
  </si>
  <si>
    <t>$Z$45 4</t>
  </si>
  <si>
    <t>1912H</t>
  </si>
  <si>
    <t>$Z$55 4</t>
  </si>
  <si>
    <t>2002H</t>
  </si>
  <si>
    <t>$AA$51 4</t>
  </si>
  <si>
    <t>2034H</t>
  </si>
  <si>
    <t>$AA$54 4</t>
  </si>
  <si>
    <t>$AA$46 4</t>
  </si>
  <si>
    <t>$AB$52 4</t>
  </si>
  <si>
    <t>2120H</t>
  </si>
  <si>
    <t>$AB$57 4</t>
  </si>
  <si>
    <t>2142H</t>
  </si>
  <si>
    <t>$AB$56 4</t>
  </si>
  <si>
    <t>2145H</t>
  </si>
  <si>
    <t>$AB$43 4</t>
  </si>
  <si>
    <t>$AB$53 4</t>
  </si>
  <si>
    <t>2210H</t>
  </si>
  <si>
    <t>$AC$55 4</t>
  </si>
  <si>
    <t>$AC$48 4</t>
  </si>
  <si>
    <t>2237H</t>
  </si>
  <si>
    <t>$AC$37 4</t>
  </si>
  <si>
    <t>2244H</t>
  </si>
  <si>
    <t>$AC$39 4</t>
  </si>
  <si>
    <t>$F$42 5</t>
  </si>
  <si>
    <t>$F$68 5</t>
  </si>
  <si>
    <t>$F$60 5</t>
  </si>
  <si>
    <t>$F$62 5</t>
  </si>
  <si>
    <t>$F$40 5</t>
  </si>
  <si>
    <t>0150H</t>
  </si>
  <si>
    <t>$H$67 5</t>
  </si>
  <si>
    <t>0204H</t>
  </si>
  <si>
    <t>$I$15 5</t>
  </si>
  <si>
    <t>0332H</t>
  </si>
  <si>
    <t>$J$15 5</t>
  </si>
  <si>
    <t>0359H</t>
  </si>
  <si>
    <t>$J$13 5</t>
  </si>
  <si>
    <t>0507H</t>
  </si>
  <si>
    <t>$L$13 5</t>
  </si>
  <si>
    <t>$L$62 5</t>
  </si>
  <si>
    <t>$L$61 5</t>
  </si>
  <si>
    <t>0531H</t>
  </si>
  <si>
    <t>$L$44 5</t>
  </si>
  <si>
    <t>$L$45 5</t>
  </si>
  <si>
    <t>0553H</t>
  </si>
  <si>
    <t>$L$16 5</t>
  </si>
  <si>
    <t>$L$42 5</t>
  </si>
  <si>
    <t>$M$39 5</t>
  </si>
  <si>
    <t>0605H</t>
  </si>
  <si>
    <t>$M$44 5</t>
  </si>
  <si>
    <t>0613H</t>
  </si>
  <si>
    <t>$M$37 5</t>
  </si>
  <si>
    <t>0614H</t>
  </si>
  <si>
    <t>$M$45 5</t>
  </si>
  <si>
    <t>0608H</t>
  </si>
  <si>
    <t>$M$40 5</t>
  </si>
  <si>
    <t>$M$54 5</t>
  </si>
  <si>
    <t>0642H</t>
  </si>
  <si>
    <t>$M$67 5</t>
  </si>
  <si>
    <t>0650H</t>
  </si>
  <si>
    <t>0723H</t>
  </si>
  <si>
    <t>$N$37 5</t>
  </si>
  <si>
    <t>$N$52 5</t>
  </si>
  <si>
    <t>$O$46 5</t>
  </si>
  <si>
    <t>$N$76 5</t>
  </si>
  <si>
    <t>$N$77 5</t>
  </si>
  <si>
    <t>0818H</t>
  </si>
  <si>
    <t>$O$53 5</t>
  </si>
  <si>
    <t>$P$46 5</t>
  </si>
  <si>
    <t>0819H</t>
  </si>
  <si>
    <t>$P$16 5</t>
  </si>
  <si>
    <t>0845H</t>
  </si>
  <si>
    <t>$O$52 5</t>
  </si>
  <si>
    <t>$P$47 5</t>
  </si>
  <si>
    <t>0911H</t>
  </si>
  <si>
    <t>$P$55 5</t>
  </si>
  <si>
    <t>0912H</t>
  </si>
  <si>
    <t>$P$44 5</t>
  </si>
  <si>
    <t>0924H</t>
  </si>
  <si>
    <t>$P$45 5</t>
  </si>
  <si>
    <t>0922H</t>
  </si>
  <si>
    <t>$P$68 5</t>
  </si>
  <si>
    <t>$O$56 5</t>
  </si>
  <si>
    <t>$O$57 5</t>
  </si>
  <si>
    <t>0946H</t>
  </si>
  <si>
    <t>$P$48 5</t>
  </si>
  <si>
    <t>$P$54 5</t>
  </si>
  <si>
    <t>0953H</t>
  </si>
  <si>
    <t>1006H</t>
  </si>
  <si>
    <t>$Q$52 5</t>
  </si>
  <si>
    <t>1025H</t>
  </si>
  <si>
    <t>$Q$53 5</t>
  </si>
  <si>
    <t>0600H</t>
  </si>
  <si>
    <t>$M$49 5</t>
  </si>
  <si>
    <t>$M$50 5</t>
  </si>
  <si>
    <t>$M$51 5</t>
  </si>
  <si>
    <t>$M$41 5</t>
  </si>
  <si>
    <t>Not declared</t>
  </si>
  <si>
    <t>1040H</t>
  </si>
  <si>
    <t>$Q$43 5</t>
  </si>
  <si>
    <t>$R$60 5</t>
  </si>
  <si>
    <t>$R$61 5</t>
  </si>
  <si>
    <t>1138H</t>
  </si>
  <si>
    <t>$R$37 5</t>
  </si>
  <si>
    <t>1212H</t>
  </si>
  <si>
    <t>$S$57 5</t>
  </si>
  <si>
    <t>1248H</t>
  </si>
  <si>
    <t>$S$36 5</t>
  </si>
  <si>
    <t>1303H</t>
  </si>
  <si>
    <t>$T$35 5</t>
  </si>
  <si>
    <t>1304H</t>
  </si>
  <si>
    <t>$T$36 5</t>
  </si>
  <si>
    <t>Emergency unload for inspection</t>
  </si>
  <si>
    <t>1315H</t>
  </si>
  <si>
    <t>$T$38 5</t>
  </si>
  <si>
    <t>1342H</t>
  </si>
  <si>
    <t>$T$68 5</t>
  </si>
  <si>
    <t>1414H</t>
  </si>
  <si>
    <t>1416H</t>
  </si>
  <si>
    <t>$U$56 5</t>
  </si>
  <si>
    <t>$U$65 5</t>
  </si>
  <si>
    <t>1434H</t>
  </si>
  <si>
    <t>$U$51 5</t>
  </si>
  <si>
    <t>Load test</t>
  </si>
  <si>
    <t>1440H</t>
  </si>
  <si>
    <t>$U$68 5</t>
  </si>
  <si>
    <t>1502H</t>
  </si>
  <si>
    <t>$V$38 5</t>
  </si>
  <si>
    <t>$V$56 5</t>
  </si>
  <si>
    <t>1554H</t>
  </si>
  <si>
    <t>1558H</t>
  </si>
  <si>
    <t>1648H</t>
  </si>
  <si>
    <t>$W$43 5</t>
  </si>
  <si>
    <t>1659H</t>
  </si>
  <si>
    <t>$W$55 5</t>
  </si>
  <si>
    <t>$X$47 5</t>
  </si>
  <si>
    <t>$X$44 5</t>
  </si>
  <si>
    <t>$X$45 5</t>
  </si>
  <si>
    <t>$X$48 5</t>
  </si>
  <si>
    <t>$X$60 5</t>
  </si>
  <si>
    <t>$X$62 5</t>
  </si>
  <si>
    <t>1732H</t>
  </si>
  <si>
    <t>$X$54 5</t>
  </si>
  <si>
    <t>1743H</t>
  </si>
  <si>
    <t>$X$56 5</t>
  </si>
  <si>
    <t>$X$55 5</t>
  </si>
  <si>
    <t>$X$43 5</t>
  </si>
  <si>
    <t>1801H</t>
  </si>
  <si>
    <t>$Y$77 5</t>
  </si>
  <si>
    <t>1802H</t>
  </si>
  <si>
    <t>$Y$76 5</t>
  </si>
  <si>
    <t>$Y$47 5</t>
  </si>
  <si>
    <t>1814H</t>
  </si>
  <si>
    <t>$Y$44 5</t>
  </si>
  <si>
    <t>$Y$45 5</t>
  </si>
  <si>
    <t>$Y$48 5</t>
  </si>
  <si>
    <t>1832H</t>
  </si>
  <si>
    <t>$Y$54 5</t>
  </si>
  <si>
    <t>MAN 1</t>
  </si>
  <si>
    <t>$AA$54 5</t>
  </si>
  <si>
    <t>2010H</t>
  </si>
  <si>
    <t>$AA$46 5</t>
  </si>
  <si>
    <t>2015H</t>
  </si>
  <si>
    <t>$AA$51 5</t>
  </si>
  <si>
    <t>$AB$24 5</t>
  </si>
  <si>
    <t>to rectify exhaust flange gas leak at cylinder A1</t>
  </si>
  <si>
    <t>$F$62 6</t>
  </si>
  <si>
    <t>$F$61 6</t>
  </si>
  <si>
    <t>$F$14 6</t>
  </si>
  <si>
    <t>inspection of turbocharger leak</t>
  </si>
  <si>
    <t>2325H</t>
  </si>
  <si>
    <t>$F$38 6</t>
  </si>
  <si>
    <t>$F$53 6</t>
  </si>
  <si>
    <t>$F$52 6</t>
  </si>
  <si>
    <t>$F$57 6</t>
  </si>
  <si>
    <t>2339H</t>
  </si>
  <si>
    <t>$F$69 6</t>
  </si>
  <si>
    <t>2352H</t>
  </si>
  <si>
    <t>$F$24 6</t>
  </si>
  <si>
    <t>0005H</t>
  </si>
  <si>
    <t>$G$44 6</t>
  </si>
  <si>
    <t>0013H</t>
  </si>
  <si>
    <t>$G$56 6</t>
  </si>
  <si>
    <t>0015H</t>
  </si>
  <si>
    <t>$G$48 6</t>
  </si>
  <si>
    <t>0020H</t>
  </si>
  <si>
    <t>$G$45 6</t>
  </si>
  <si>
    <t>$G$46 6</t>
  </si>
  <si>
    <t>0027H</t>
  </si>
  <si>
    <t>$G$49 6</t>
  </si>
  <si>
    <t>0037H</t>
  </si>
  <si>
    <t>$G$40 6</t>
  </si>
  <si>
    <t>$G$38 6</t>
  </si>
  <si>
    <t>0141H</t>
  </si>
  <si>
    <t>$G$41 6</t>
  </si>
  <si>
    <t>0222H</t>
  </si>
  <si>
    <t>$I$43 6</t>
  </si>
  <si>
    <t>0201H</t>
  </si>
  <si>
    <t>$I$61 6</t>
  </si>
  <si>
    <t>0452H</t>
  </si>
  <si>
    <t>$K$55 6</t>
  </si>
  <si>
    <t>0433H</t>
  </si>
  <si>
    <t>$K$62 6</t>
  </si>
  <si>
    <t>0517H</t>
  </si>
  <si>
    <t>$L$47 6</t>
  </si>
  <si>
    <t>0520H</t>
  </si>
  <si>
    <t>$L$43 6</t>
  </si>
  <si>
    <t>$L$55 6</t>
  </si>
  <si>
    <t>0524H</t>
  </si>
  <si>
    <t>$L$41 6</t>
  </si>
  <si>
    <t>$L$38 6</t>
  </si>
  <si>
    <t>$M$77 6</t>
  </si>
  <si>
    <t>0610H</t>
  </si>
  <si>
    <t>$M$78 6</t>
  </si>
  <si>
    <t>0625H</t>
  </si>
  <si>
    <t>$M$40 6</t>
  </si>
  <si>
    <t>$M$55 6</t>
  </si>
  <si>
    <t>0646H</t>
  </si>
  <si>
    <t>0656H</t>
  </si>
  <si>
    <t>$M$47 6</t>
  </si>
  <si>
    <t>$M$38 6</t>
  </si>
  <si>
    <t>0737H</t>
  </si>
  <si>
    <t>$N$14 6</t>
  </si>
  <si>
    <t>$N$38 6</t>
  </si>
  <si>
    <t>0757H</t>
  </si>
  <si>
    <t>$N$53 6</t>
  </si>
  <si>
    <t>0802H</t>
  </si>
  <si>
    <t>$O$58 6</t>
  </si>
  <si>
    <t>$O$57 6</t>
  </si>
  <si>
    <t>$O$44 6</t>
  </si>
  <si>
    <t>0809H</t>
  </si>
  <si>
    <t>$O$54 6</t>
  </si>
  <si>
    <t>0830H</t>
  </si>
  <si>
    <t>$O$48 6</t>
  </si>
  <si>
    <t>0601H</t>
  </si>
  <si>
    <t>$L$52 6</t>
  </si>
  <si>
    <t>$O$45 6</t>
  </si>
  <si>
    <t>0852H</t>
  </si>
  <si>
    <t>$O$53 6</t>
  </si>
  <si>
    <t>0858H</t>
  </si>
  <si>
    <t>0857H</t>
  </si>
  <si>
    <t>$O$69 6</t>
  </si>
  <si>
    <t>$P$44 6</t>
  </si>
  <si>
    <t>$O$56 6</t>
  </si>
  <si>
    <t>$P$49 6</t>
  </si>
  <si>
    <t>$P$55 6</t>
  </si>
  <si>
    <t>$P$46 6</t>
  </si>
  <si>
    <t>0930H</t>
  </si>
  <si>
    <t>$P$47 6</t>
  </si>
  <si>
    <t>$P$53 6</t>
  </si>
  <si>
    <t>$P$54 6</t>
  </si>
  <si>
    <t>1030H</t>
  </si>
  <si>
    <t>$Q$57 6</t>
  </si>
  <si>
    <t>1019H</t>
  </si>
  <si>
    <t>$Q$58 6</t>
  </si>
  <si>
    <t>$R$61 6</t>
  </si>
  <si>
    <t>$R$63 6</t>
  </si>
  <si>
    <t>1159H</t>
  </si>
  <si>
    <t>$R$56 6</t>
  </si>
  <si>
    <t>1150H</t>
  </si>
  <si>
    <t>$R$44 6</t>
  </si>
  <si>
    <t>$S$48 6</t>
  </si>
  <si>
    <t>1232H</t>
  </si>
  <si>
    <t>$S$45 6</t>
  </si>
  <si>
    <t>1253H</t>
  </si>
  <si>
    <t>$S$56 6</t>
  </si>
  <si>
    <t>$T$48 6</t>
  </si>
  <si>
    <t>1313H</t>
  </si>
  <si>
    <t>$T$45 6</t>
  </si>
  <si>
    <t>$V$52 6</t>
  </si>
  <si>
    <t>1528H</t>
  </si>
  <si>
    <t>1543H</t>
  </si>
  <si>
    <t>$V$46 6</t>
  </si>
  <si>
    <t>$W$49 6</t>
  </si>
  <si>
    <t>$W$46 6</t>
  </si>
  <si>
    <t>1637H</t>
  </si>
  <si>
    <t>1649H</t>
  </si>
  <si>
    <t>DMCI ABORLAN_MAN 1</t>
  </si>
  <si>
    <t>$W$29 6</t>
  </si>
  <si>
    <t>1708H</t>
  </si>
  <si>
    <t>$X$63 6</t>
  </si>
  <si>
    <t>$X$62 6</t>
  </si>
  <si>
    <t>1730H</t>
  </si>
  <si>
    <t>$X$67 6</t>
  </si>
  <si>
    <t>1807H</t>
  </si>
  <si>
    <t>$Y$49 6</t>
  </si>
  <si>
    <t>$Y$52 6</t>
  </si>
  <si>
    <t>$Y$67 6</t>
  </si>
  <si>
    <t>$Y$39 6</t>
  </si>
  <si>
    <t>1852H</t>
  </si>
  <si>
    <t>$Y$29 6</t>
  </si>
  <si>
    <t>EMERGENCY STOP DUE TO OIL LEAK @ TURBO CHARGER A BANK</t>
  </si>
  <si>
    <t>1917H</t>
  </si>
  <si>
    <t>$Z$52 6</t>
  </si>
  <si>
    <t>$Z$55 6</t>
  </si>
  <si>
    <t>1925H</t>
  </si>
  <si>
    <t>$Z$29 6</t>
  </si>
  <si>
    <t>2045H</t>
  </si>
  <si>
    <t>$Z$39 6</t>
  </si>
  <si>
    <t>2104H</t>
  </si>
  <si>
    <t>$AB$48 6</t>
  </si>
  <si>
    <t>2110H</t>
  </si>
  <si>
    <t>$AB$45 6</t>
  </si>
  <si>
    <t>$AB$47 6</t>
  </si>
  <si>
    <t>$AB$54 6</t>
  </si>
  <si>
    <t>2133H</t>
  </si>
  <si>
    <t>$AB$53 6</t>
  </si>
  <si>
    <t>$AB$58 6</t>
  </si>
  <si>
    <t>$AB$57 6</t>
  </si>
  <si>
    <t>2158H</t>
  </si>
  <si>
    <t>$AB$44 6</t>
  </si>
  <si>
    <t>$AC$56 6</t>
  </si>
  <si>
    <t>$AC$74 6</t>
  </si>
  <si>
    <t>2259H</t>
  </si>
  <si>
    <t>$AC$46 6</t>
  </si>
  <si>
    <t>$F$62 7</t>
  </si>
  <si>
    <t>$F$61 7</t>
  </si>
  <si>
    <t>2307H</t>
  </si>
  <si>
    <t>$F$29 7</t>
  </si>
  <si>
    <t>2309H</t>
  </si>
  <si>
    <t>$F$49 7</t>
  </si>
  <si>
    <t>2315H</t>
  </si>
  <si>
    <t>$F$38 7</t>
  </si>
  <si>
    <t>2319H</t>
  </si>
  <si>
    <t>$F$40 7</t>
  </si>
  <si>
    <t>$F$43 7</t>
  </si>
  <si>
    <t>2330H</t>
  </si>
  <si>
    <t>$F$41 7</t>
  </si>
  <si>
    <t>$F$47 7</t>
  </si>
  <si>
    <t>$F$53 7</t>
  </si>
  <si>
    <t>$F$54 7</t>
  </si>
  <si>
    <t>$F$57 7</t>
  </si>
  <si>
    <t>$F$58 7</t>
  </si>
  <si>
    <t>2346H</t>
  </si>
  <si>
    <t>$F$44 7</t>
  </si>
  <si>
    <t>$F$15 7</t>
  </si>
  <si>
    <t>2351H</t>
  </si>
  <si>
    <t>$G$54 7</t>
  </si>
  <si>
    <t>0031H</t>
  </si>
  <si>
    <t>$G$53 7</t>
  </si>
  <si>
    <t>$H$15 7</t>
  </si>
  <si>
    <t>0122H</t>
  </si>
  <si>
    <t>$H$16 7</t>
  </si>
  <si>
    <t>$H$58 7</t>
  </si>
  <si>
    <t>$I$74 7</t>
  </si>
  <si>
    <t>0207H</t>
  </si>
  <si>
    <t>$I$67 7</t>
  </si>
  <si>
    <t>0210H</t>
  </si>
  <si>
    <t>$I$57 7</t>
  </si>
  <si>
    <t>0240H</t>
  </si>
  <si>
    <t>$I$44 7</t>
  </si>
  <si>
    <t>0435H</t>
  </si>
  <si>
    <t>$K$46 7</t>
  </si>
  <si>
    <t>0512H</t>
  </si>
  <si>
    <t>$L$48 7</t>
  </si>
  <si>
    <t>$L$61 7</t>
  </si>
  <si>
    <t>$L$63 7</t>
  </si>
  <si>
    <t>$L$45 7</t>
  </si>
  <si>
    <t>0521H</t>
  </si>
  <si>
    <t>$L$43 7</t>
  </si>
  <si>
    <t>$L$40 7</t>
  </si>
  <si>
    <t>0530H</t>
  </si>
  <si>
    <t>$L$46 7</t>
  </si>
  <si>
    <t>0533H</t>
  </si>
  <si>
    <t>$L$41 7</t>
  </si>
  <si>
    <t>0535H</t>
  </si>
  <si>
    <t>0538H</t>
  </si>
  <si>
    <t>0537H</t>
  </si>
  <si>
    <t>$L$38 7</t>
  </si>
  <si>
    <t>$M$46 7</t>
  </si>
  <si>
    <t>0628H</t>
  </si>
  <si>
    <t>$M$49 7</t>
  </si>
  <si>
    <t>1901H</t>
  </si>
  <si>
    <t>$Y$77 6</t>
  </si>
  <si>
    <t>$Y$78 6</t>
  </si>
  <si>
    <t>0615H</t>
  </si>
  <si>
    <t>$M$77 7</t>
  </si>
  <si>
    <t>0616H</t>
  </si>
  <si>
    <t>$M$78 7</t>
  </si>
  <si>
    <t>$N$46 7</t>
  </si>
  <si>
    <t>$N$49 7</t>
  </si>
  <si>
    <t>$N$55 7</t>
  </si>
  <si>
    <t>$N$53 7</t>
  </si>
  <si>
    <t>$N$54 7</t>
  </si>
  <si>
    <t>$O$58 7</t>
  </si>
  <si>
    <t>$O$57 7</t>
  </si>
  <si>
    <t>$O$44 7</t>
  </si>
  <si>
    <t>$O$56 7</t>
  </si>
  <si>
    <t>$O$16 7</t>
  </si>
  <si>
    <t>$O$55 7</t>
  </si>
  <si>
    <t>$O$54 7</t>
  </si>
  <si>
    <t>$O$53 7</t>
  </si>
  <si>
    <t>0849H</t>
  </si>
  <si>
    <t>$P$48 7</t>
  </si>
  <si>
    <t>$P$45 7</t>
  </si>
  <si>
    <t>0925H</t>
  </si>
  <si>
    <t>$P$67 7</t>
  </si>
  <si>
    <t>$P$49 7</t>
  </si>
  <si>
    <t>$Q$55 7</t>
  </si>
  <si>
    <t>0943H</t>
  </si>
  <si>
    <t>$P$46 7</t>
  </si>
  <si>
    <t>1047H</t>
  </si>
  <si>
    <t>$Q$56 7</t>
  </si>
  <si>
    <t>$R$63 7</t>
  </si>
  <si>
    <t>1103H</t>
  </si>
  <si>
    <t>$R$62 7</t>
  </si>
  <si>
    <t>1241H</t>
  </si>
  <si>
    <t>$S$53 7</t>
  </si>
  <si>
    <t>1254H</t>
  </si>
  <si>
    <t>$S$54 7</t>
  </si>
  <si>
    <t>$T$58 7</t>
  </si>
  <si>
    <t>1340H</t>
  </si>
  <si>
    <t>$T$57 7</t>
  </si>
  <si>
    <t>1411H</t>
  </si>
  <si>
    <t>$U$29 7</t>
  </si>
  <si>
    <t>1555H</t>
  </si>
  <si>
    <t>$V$21 7</t>
  </si>
  <si>
    <t>$W$29 7</t>
  </si>
  <si>
    <t>$W$48 7</t>
  </si>
  <si>
    <t>$W$45 7</t>
  </si>
  <si>
    <t>$W$46 7</t>
  </si>
  <si>
    <t>1657H</t>
  </si>
  <si>
    <t>$W$49 7</t>
  </si>
  <si>
    <t>$X$62 7</t>
  </si>
  <si>
    <t>$X$61 7</t>
  </si>
  <si>
    <t>$X$55 7</t>
  </si>
  <si>
    <t>$X$54 7</t>
  </si>
  <si>
    <t>1716H</t>
  </si>
  <si>
    <t>$X$53 7</t>
  </si>
  <si>
    <t>1727H</t>
  </si>
  <si>
    <t>$X$58 7</t>
  </si>
  <si>
    <t>1734H</t>
  </si>
  <si>
    <t>$X$57 7</t>
  </si>
  <si>
    <t>$X$44 7</t>
  </si>
  <si>
    <t>$X$46 7</t>
  </si>
  <si>
    <t>$Y$48 7</t>
  </si>
  <si>
    <t>$Y$56 7</t>
  </si>
  <si>
    <t>1824H</t>
  </si>
  <si>
    <t>$Y$47 7</t>
  </si>
  <si>
    <t>$Y$49 7</t>
  </si>
  <si>
    <t>$Y$55 7</t>
  </si>
  <si>
    <t>1829H</t>
  </si>
  <si>
    <t>$Y$53 7</t>
  </si>
  <si>
    <t>$Y$54 7</t>
  </si>
  <si>
    <t>1835H</t>
  </si>
  <si>
    <t>$Y$39 7</t>
  </si>
  <si>
    <t>$Y$58 7</t>
  </si>
  <si>
    <t>1837H</t>
  </si>
  <si>
    <t>$Y$52 7</t>
  </si>
  <si>
    <t>1855H</t>
  </si>
  <si>
    <t>1840H</t>
  </si>
  <si>
    <t>$Y$45 7</t>
  </si>
  <si>
    <t>1907H</t>
  </si>
  <si>
    <t>$Z$57 7</t>
  </si>
  <si>
    <t>$Y$29 7</t>
  </si>
  <si>
    <t>$Y$78 7</t>
  </si>
  <si>
    <t>$Y$77 7</t>
  </si>
  <si>
    <t>1914H</t>
  </si>
  <si>
    <t>$Z$44 7</t>
  </si>
  <si>
    <t>1921H</t>
  </si>
  <si>
    <t>$Z$56 7</t>
  </si>
  <si>
    <t>1931H</t>
  </si>
  <si>
    <t>$Z$52 7</t>
  </si>
  <si>
    <t>$Z$58 7</t>
  </si>
  <si>
    <t xml:space="preserve">Temporary shutdown due to low EGT </t>
  </si>
  <si>
    <t>1958H</t>
  </si>
  <si>
    <t>2004H</t>
  </si>
  <si>
    <t>$AA$13 7</t>
  </si>
  <si>
    <t>Emergency unload due to lube oil leakage of Unit 2 reached the manifold of Unit 1</t>
  </si>
  <si>
    <t>$AA$52 7</t>
  </si>
  <si>
    <t>$AA$56 7</t>
  </si>
  <si>
    <t>2117H</t>
  </si>
  <si>
    <t>$AB$69 7</t>
  </si>
  <si>
    <t>2149H</t>
  </si>
  <si>
    <t>$AB$52 7</t>
  </si>
  <si>
    <t>$AB$39 7</t>
  </si>
  <si>
    <t>2230H</t>
  </si>
  <si>
    <t>$AC$69 7</t>
  </si>
  <si>
    <t>$AC$58 7</t>
  </si>
  <si>
    <t>2235H</t>
  </si>
  <si>
    <t>$AC$48 7</t>
  </si>
  <si>
    <t>$AC$46 7</t>
  </si>
  <si>
    <t>$F$49 8</t>
  </si>
  <si>
    <t>$F$61 8</t>
  </si>
  <si>
    <t>$F$63 8</t>
  </si>
  <si>
    <t>$F$13 8</t>
  </si>
  <si>
    <t>2313H</t>
  </si>
  <si>
    <t>$F$55 8</t>
  </si>
  <si>
    <t>2316H</t>
  </si>
  <si>
    <t>$F$47 8</t>
  </si>
  <si>
    <t>$F$54 8</t>
  </si>
  <si>
    <t>2326H</t>
  </si>
  <si>
    <t>$F$53 8</t>
  </si>
  <si>
    <t>$F$57 8</t>
  </si>
  <si>
    <t>$F$56 8</t>
  </si>
  <si>
    <t>$F$44 8</t>
  </si>
  <si>
    <t>2336H</t>
  </si>
  <si>
    <t>$F$38 8</t>
  </si>
  <si>
    <t>2337H</t>
  </si>
  <si>
    <t>$F$40 8</t>
  </si>
  <si>
    <t>$F$43 8</t>
  </si>
  <si>
    <t>$F$41 8</t>
  </si>
  <si>
    <t>0202H</t>
  </si>
  <si>
    <t>$I$62 8</t>
  </si>
  <si>
    <t>0226H</t>
  </si>
  <si>
    <t>$I$46 8</t>
  </si>
  <si>
    <t>$I$48 8</t>
  </si>
  <si>
    <t>0230H</t>
  </si>
  <si>
    <t>$I$49 8</t>
  </si>
  <si>
    <t>$I$15 8</t>
  </si>
  <si>
    <t>0301H</t>
  </si>
  <si>
    <t>$J$69 8</t>
  </si>
  <si>
    <t>0347H</t>
  </si>
  <si>
    <t>$J$48 8</t>
  </si>
  <si>
    <t>$L$43 8</t>
  </si>
  <si>
    <t>$L$46 8</t>
  </si>
  <si>
    <t>$L$41 8</t>
  </si>
  <si>
    <t>$L$49 8</t>
  </si>
  <si>
    <t>$L$38 8</t>
  </si>
  <si>
    <t>0525H</t>
  </si>
  <si>
    <t>$L$63 8</t>
  </si>
  <si>
    <t>0631H</t>
  </si>
  <si>
    <t>$M$40 8</t>
  </si>
  <si>
    <t>0715H</t>
  </si>
  <si>
    <t>$N$55 8</t>
  </si>
  <si>
    <t>$N$53 8</t>
  </si>
  <si>
    <t>$N$69 8</t>
  </si>
  <si>
    <t>$N$54 8</t>
  </si>
  <si>
    <t>$N$58 8</t>
  </si>
  <si>
    <t>$O$54 8</t>
  </si>
  <si>
    <t>$O$55 8</t>
  </si>
  <si>
    <t>$O$15 8</t>
  </si>
  <si>
    <t>0840H</t>
  </si>
  <si>
    <t>$O$53 8</t>
  </si>
  <si>
    <t>0906H</t>
  </si>
  <si>
    <t>$P$52 8</t>
  </si>
  <si>
    <t>0904H</t>
  </si>
  <si>
    <t>$P$61 8</t>
  </si>
  <si>
    <t>$P$63 8</t>
  </si>
  <si>
    <t>$O$58 8</t>
  </si>
  <si>
    <t>0908H</t>
  </si>
  <si>
    <t>$P$57 8</t>
  </si>
  <si>
    <t>$O$69 8</t>
  </si>
  <si>
    <t>$P$56 8</t>
  </si>
  <si>
    <t>$P$48 8</t>
  </si>
  <si>
    <t>$P$46 8</t>
  </si>
  <si>
    <t>$P$55 8</t>
  </si>
  <si>
    <t>0914H</t>
  </si>
  <si>
    <t>$P$44 8</t>
  </si>
  <si>
    <t>$Q$57 8</t>
  </si>
  <si>
    <t>1044H</t>
  </si>
  <si>
    <t>$Q$44 8</t>
  </si>
  <si>
    <t>$R$62 8</t>
  </si>
  <si>
    <t>$R$61 8</t>
  </si>
  <si>
    <t>1113H</t>
  </si>
  <si>
    <t>$R$56 8</t>
  </si>
  <si>
    <t>1127H</t>
  </si>
  <si>
    <t>$R$48 8</t>
  </si>
  <si>
    <t>$R$53 8</t>
  </si>
  <si>
    <t>1144H</t>
  </si>
  <si>
    <t>$R$58 8</t>
  </si>
  <si>
    <t>1157H</t>
  </si>
  <si>
    <t>$R$54 8</t>
  </si>
  <si>
    <t>1357H</t>
  </si>
  <si>
    <t>$T$70 8</t>
  </si>
  <si>
    <t>$T$29 8</t>
  </si>
  <si>
    <t>LOAD TEST</t>
  </si>
  <si>
    <t>$U$77 8</t>
  </si>
  <si>
    <t>$U$78 8</t>
  </si>
  <si>
    <t>1433H</t>
  </si>
  <si>
    <t>$U$70 8</t>
  </si>
  <si>
    <t>$U$29 8</t>
  </si>
  <si>
    <t>$U$46 8</t>
  </si>
  <si>
    <t>1516H</t>
  </si>
  <si>
    <t>$U$55 8</t>
  </si>
  <si>
    <t>1526H</t>
  </si>
  <si>
    <t>$V$57 8</t>
  </si>
  <si>
    <t>$V$54 8</t>
  </si>
  <si>
    <t>1618H</t>
  </si>
  <si>
    <t>$W$56 8</t>
  </si>
  <si>
    <t>1620H</t>
  </si>
  <si>
    <t>$W$48 8</t>
  </si>
  <si>
    <t>1627H</t>
  </si>
  <si>
    <t>$W$44 8</t>
  </si>
  <si>
    <t>1642H</t>
  </si>
  <si>
    <t>$W$45 8</t>
  </si>
  <si>
    <t>$X$61 8</t>
  </si>
  <si>
    <t>$X$62 8</t>
  </si>
  <si>
    <t>1753H</t>
  </si>
  <si>
    <t>$X$14 8</t>
  </si>
  <si>
    <t>$X$46 8</t>
  </si>
  <si>
    <t>1841H</t>
  </si>
  <si>
    <t>$Y$53 8</t>
  </si>
  <si>
    <t>$Y$62 8</t>
  </si>
  <si>
    <t>$Y$63 8</t>
  </si>
  <si>
    <t>1910H</t>
  </si>
  <si>
    <t>$Z$57 8</t>
  </si>
  <si>
    <t>$Z$58 8</t>
  </si>
  <si>
    <t>$Z$44 8</t>
  </si>
  <si>
    <t>$Z$56 8</t>
  </si>
  <si>
    <t>1919H</t>
  </si>
  <si>
    <t>$Z$45 8</t>
  </si>
  <si>
    <t>$Z$48 8</t>
  </si>
  <si>
    <t>$Z$46 8</t>
  </si>
  <si>
    <t>$Z$38 8</t>
  </si>
  <si>
    <t>1936H</t>
  </si>
  <si>
    <t>$Z$40 8</t>
  </si>
  <si>
    <t>$Z$43 8</t>
  </si>
  <si>
    <t>1954H</t>
  </si>
  <si>
    <t>$Z$41 8</t>
  </si>
  <si>
    <t>$AA$29 8</t>
  </si>
  <si>
    <t>2111H</t>
  </si>
  <si>
    <t>$AB$68 8</t>
  </si>
  <si>
    <t>2234H</t>
  </si>
  <si>
    <t>$AC$29 8</t>
  </si>
  <si>
    <t>$AC$21 8</t>
  </si>
  <si>
    <t>$H$63 9</t>
  </si>
  <si>
    <t>$H$62 9</t>
  </si>
  <si>
    <t>$H$15 9</t>
  </si>
  <si>
    <t>0043H</t>
  </si>
  <si>
    <t>$G$61 9</t>
  </si>
  <si>
    <t>$H$67 9</t>
  </si>
  <si>
    <t>0252H</t>
  </si>
  <si>
    <t>$H$55 9</t>
  </si>
  <si>
    <t>0256H</t>
  </si>
  <si>
    <t>$H$53 9</t>
  </si>
  <si>
    <t>$I$14 9</t>
  </si>
  <si>
    <t>$I$47 9</t>
  </si>
  <si>
    <t>0413H</t>
  </si>
  <si>
    <t>$K$43 9</t>
  </si>
  <si>
    <t>0416H</t>
  </si>
  <si>
    <t>$K$53 9</t>
  </si>
  <si>
    <t>$K$41 9</t>
  </si>
  <si>
    <t>$K$55 9</t>
  </si>
  <si>
    <t>$K$40 9</t>
  </si>
  <si>
    <t>0426H</t>
  </si>
  <si>
    <t>$K$47 9</t>
  </si>
  <si>
    <t>$L$38 9</t>
  </si>
  <si>
    <t>0622H</t>
  </si>
  <si>
    <t>$M$54 9</t>
  </si>
  <si>
    <t>$M$62 9</t>
  </si>
  <si>
    <t>$M$53 9</t>
  </si>
  <si>
    <t>0708H</t>
  </si>
  <si>
    <t>$N$58 9</t>
  </si>
  <si>
    <t>0732H</t>
  </si>
  <si>
    <t>$N$21 9</t>
  </si>
  <si>
    <t>$N$54 9</t>
  </si>
  <si>
    <t>$O$53 9</t>
  </si>
  <si>
    <t>$O$58 9</t>
  </si>
  <si>
    <t>$O$67 9</t>
  </si>
  <si>
    <t>$O$57 9</t>
  </si>
  <si>
    <t>$O$44 9</t>
  </si>
  <si>
    <t>$P$56 9</t>
  </si>
  <si>
    <t>$P$15 9</t>
  </si>
  <si>
    <t>$P$62 9</t>
  </si>
  <si>
    <t>$P$63 9</t>
  </si>
  <si>
    <t>$P$44 9</t>
  </si>
  <si>
    <t>$P$57 9</t>
  </si>
  <si>
    <t>$P$40 9</t>
  </si>
  <si>
    <t>$P$38 9</t>
  </si>
  <si>
    <t>0951H</t>
  </si>
  <si>
    <t>$P$43 9</t>
  </si>
  <si>
    <t>1052H</t>
  </si>
  <si>
    <t>$Q$41 9</t>
  </si>
  <si>
    <t>$R$63 9</t>
  </si>
  <si>
    <t>$R$61 9</t>
  </si>
  <si>
    <t>1119H</t>
  </si>
  <si>
    <t>$R$46 9</t>
  </si>
  <si>
    <t>1128H</t>
  </si>
  <si>
    <t>$R$49 9</t>
  </si>
  <si>
    <t>1227H</t>
  </si>
  <si>
    <t>$S$46 9</t>
  </si>
  <si>
    <t>$S$49 9</t>
  </si>
  <si>
    <t>1208H</t>
  </si>
  <si>
    <t>$S$78 9</t>
  </si>
  <si>
    <t>$S$77 9</t>
  </si>
  <si>
    <t>$W$55 9</t>
  </si>
  <si>
    <t>1629H</t>
  </si>
  <si>
    <t>$W$47 9</t>
  </si>
  <si>
    <t>$W$53 9</t>
  </si>
  <si>
    <t>$X$56 9</t>
  </si>
  <si>
    <t>$X$63 9</t>
  </si>
  <si>
    <t>$X$62 9</t>
  </si>
  <si>
    <t>1713H</t>
  </si>
  <si>
    <t>$X$55 9</t>
  </si>
  <si>
    <t>1722H</t>
  </si>
  <si>
    <t>$X$40 9</t>
  </si>
  <si>
    <t>1723H</t>
  </si>
  <si>
    <t>$X$47 9</t>
  </si>
  <si>
    <t>1724H</t>
  </si>
  <si>
    <t>$X$43 9</t>
  </si>
  <si>
    <t>$X$41 9</t>
  </si>
  <si>
    <t>1726H</t>
  </si>
  <si>
    <t>$X$53 9</t>
  </si>
  <si>
    <t>$X$38 9</t>
  </si>
  <si>
    <t>1806H</t>
  </si>
  <si>
    <t>$Y$58 9</t>
  </si>
  <si>
    <t>$Y$57 9</t>
  </si>
  <si>
    <t>1820H</t>
  </si>
  <si>
    <t>$Y$44 9</t>
  </si>
  <si>
    <t>1833H</t>
  </si>
  <si>
    <t>$Y$56 9</t>
  </si>
  <si>
    <t>1527H</t>
  </si>
  <si>
    <t>$Y$38 9</t>
  </si>
  <si>
    <t>1851H</t>
  </si>
  <si>
    <t>$Y$46 9</t>
  </si>
  <si>
    <t>$Z$58 9</t>
  </si>
  <si>
    <t>1923H</t>
  </si>
  <si>
    <t>$Z$57 9</t>
  </si>
  <si>
    <t>1934H</t>
  </si>
  <si>
    <t>$Z$44 9</t>
  </si>
  <si>
    <t>$Z$56 9</t>
  </si>
  <si>
    <t>$AA$46 9</t>
  </si>
  <si>
    <t>2021H</t>
  </si>
  <si>
    <t>$AA$13 9</t>
  </si>
  <si>
    <t>$AA$15 9</t>
  </si>
  <si>
    <t>$AA$16 9</t>
  </si>
  <si>
    <t>$AA$21 9</t>
  </si>
  <si>
    <t>$AA$24 9</t>
  </si>
  <si>
    <t>$AA$40 9</t>
  </si>
  <si>
    <t>$AA$41 9</t>
  </si>
  <si>
    <t>$AA$43 9</t>
  </si>
  <si>
    <t>2154H</t>
  </si>
  <si>
    <t>$AB$13 9</t>
  </si>
  <si>
    <t>$AB$15 9</t>
  </si>
  <si>
    <t>2112H</t>
  </si>
  <si>
    <t>$AB$16 9</t>
  </si>
  <si>
    <t>$F$62 10</t>
  </si>
  <si>
    <t>$F$61 10</t>
  </si>
  <si>
    <t>$F$67 10</t>
  </si>
  <si>
    <t>2340H</t>
  </si>
  <si>
    <t>$F$74 10</t>
  </si>
  <si>
    <t>$F$70 10</t>
  </si>
  <si>
    <t>$F$71 10</t>
  </si>
  <si>
    <t>A/T undervoltage</t>
  </si>
  <si>
    <t>$AC$21 9</t>
  </si>
  <si>
    <t>0008H</t>
  </si>
  <si>
    <t>$G$63 10</t>
  </si>
  <si>
    <t>$H$49 10</t>
  </si>
  <si>
    <t>0120H</t>
  </si>
  <si>
    <t>$H$40 10</t>
  </si>
  <si>
    <t>$H$43 10</t>
  </si>
  <si>
    <t>$H$41 10</t>
  </si>
  <si>
    <t>0129H</t>
  </si>
  <si>
    <t>$H$13 10</t>
  </si>
  <si>
    <t>0247H</t>
  </si>
  <si>
    <t>$I$49 10</t>
  </si>
  <si>
    <t>0448H</t>
  </si>
  <si>
    <t>$K$40 10</t>
  </si>
  <si>
    <t>$K$27 10</t>
  </si>
  <si>
    <t>$K$28 10</t>
  </si>
  <si>
    <t>$L$13 10</t>
  </si>
  <si>
    <t>$L$47 10</t>
  </si>
  <si>
    <t>$L$61 10</t>
  </si>
  <si>
    <t>0511H</t>
  </si>
  <si>
    <t>$L$53 10</t>
  </si>
  <si>
    <t>$L$57 10</t>
  </si>
  <si>
    <t>0604H</t>
  </si>
  <si>
    <t>0611H</t>
  </si>
  <si>
    <t>$M$40 10</t>
  </si>
  <si>
    <t>$M$77 10</t>
  </si>
  <si>
    <t>$M$78 10</t>
  </si>
  <si>
    <t>$M$47 10</t>
  </si>
  <si>
    <t>$M$53 10</t>
  </si>
  <si>
    <t>$M$57 10</t>
  </si>
  <si>
    <t>0626H</t>
  </si>
  <si>
    <t>$M$41 10</t>
  </si>
  <si>
    <t>$M$43 10</t>
  </si>
  <si>
    <t>0644H</t>
  </si>
  <si>
    <t>$M$58 10</t>
  </si>
  <si>
    <t>0643H</t>
  </si>
  <si>
    <t>$M$70 10</t>
  </si>
  <si>
    <t>$M$71 10</t>
  </si>
  <si>
    <t>$M$74 10</t>
  </si>
  <si>
    <t>0716H</t>
  </si>
  <si>
    <t>$N$67 10</t>
  </si>
  <si>
    <t>$N$69 10</t>
  </si>
  <si>
    <t>0607H</t>
  </si>
  <si>
    <t>$M$28 10</t>
  </si>
  <si>
    <t>0733H</t>
  </si>
  <si>
    <t>$N$38 10</t>
  </si>
  <si>
    <t>$N$40 10</t>
  </si>
  <si>
    <t>$N$58 10</t>
  </si>
  <si>
    <t>$N$43 10</t>
  </si>
  <si>
    <t>$N$24 10</t>
  </si>
  <si>
    <t>0806H</t>
  </si>
  <si>
    <t>$O$14 10</t>
  </si>
  <si>
    <t>$O$41 10</t>
  </si>
  <si>
    <t>$O$52 10</t>
  </si>
  <si>
    <t>$N$27 10</t>
  </si>
  <si>
    <t>0841H</t>
  </si>
  <si>
    <t>$O$56 10</t>
  </si>
  <si>
    <t>0846H</t>
  </si>
  <si>
    <t>0848H</t>
  </si>
  <si>
    <t>$O$38 10</t>
  </si>
  <si>
    <t>A/T IND: UNDER VOLTAGE</t>
  </si>
  <si>
    <t>$O$40 10</t>
  </si>
  <si>
    <t>$O$43 10</t>
  </si>
  <si>
    <t>0901H</t>
  </si>
  <si>
    <t>$P$68 10</t>
  </si>
  <si>
    <t>0902H</t>
  </si>
  <si>
    <t>$P$41 10</t>
  </si>
  <si>
    <t>$P$44 10</t>
  </si>
  <si>
    <t>$P$46 10</t>
  </si>
  <si>
    <t>0950H</t>
  </si>
  <si>
    <t>$P$49 10</t>
  </si>
  <si>
    <t>$Q$24 10</t>
  </si>
  <si>
    <t>1021H</t>
  </si>
  <si>
    <t>$Q$40 10</t>
  </si>
  <si>
    <t>1022H</t>
  </si>
  <si>
    <t>$Q$13 10</t>
  </si>
  <si>
    <t>$Q$49 10</t>
  </si>
  <si>
    <t>A/T IND:VECTOR JUMP</t>
  </si>
  <si>
    <t>$Q$68 10</t>
  </si>
  <si>
    <t>$Q$67 10</t>
  </si>
  <si>
    <t>$Q$69 10</t>
  </si>
  <si>
    <t>$Q$70 10</t>
  </si>
  <si>
    <t>$Q$71 10</t>
  </si>
  <si>
    <t>$Q$74 10</t>
  </si>
  <si>
    <t>$R$43 10</t>
  </si>
  <si>
    <t>1105H</t>
  </si>
  <si>
    <t>$R$41 10</t>
  </si>
  <si>
    <t>$R$61 10</t>
  </si>
  <si>
    <t>$R$62 10</t>
  </si>
  <si>
    <t>1122H</t>
  </si>
  <si>
    <t>$R$47 10</t>
  </si>
  <si>
    <t>$R$55 10</t>
  </si>
  <si>
    <t>1143H</t>
  </si>
  <si>
    <t>$R$63 10</t>
  </si>
  <si>
    <t>$S$56 10</t>
  </si>
  <si>
    <t>$S$57 10</t>
  </si>
  <si>
    <t>$S$61 10</t>
  </si>
  <si>
    <t>$S$63 10</t>
  </si>
  <si>
    <t>$S$49 10</t>
  </si>
  <si>
    <t>1205H</t>
  </si>
  <si>
    <t>$S$53 10</t>
  </si>
  <si>
    <t>$S$54 10</t>
  </si>
  <si>
    <t>$S$58 10</t>
  </si>
  <si>
    <t>1249H</t>
  </si>
  <si>
    <t>1301H</t>
  </si>
  <si>
    <t>$T$67 10</t>
  </si>
  <si>
    <t>$T$70 10</t>
  </si>
  <si>
    <t>$T$71 10</t>
  </si>
  <si>
    <t>$T$74 10</t>
  </si>
  <si>
    <t>$T$39 10</t>
  </si>
  <si>
    <t>1341H</t>
  </si>
  <si>
    <t>$T$52 10</t>
  </si>
  <si>
    <t>$T$46 10</t>
  </si>
  <si>
    <t>1250H</t>
  </si>
  <si>
    <t>$S$44 10</t>
  </si>
  <si>
    <t>1325H</t>
  </si>
  <si>
    <t>$T$13 10</t>
  </si>
  <si>
    <t>1410H</t>
  </si>
  <si>
    <t>$U$71 10</t>
  </si>
  <si>
    <t>1412H</t>
  </si>
  <si>
    <t>$U$66 10</t>
  </si>
  <si>
    <t>UNDER VOLTAGE</t>
  </si>
  <si>
    <t>1355H</t>
  </si>
  <si>
    <t>$U$39 10</t>
  </si>
  <si>
    <t>$U$52 10</t>
  </si>
  <si>
    <t>1443H</t>
  </si>
  <si>
    <t>$U$49 10</t>
  </si>
  <si>
    <t>$U$47 10</t>
  </si>
  <si>
    <t>$U$55 10</t>
  </si>
  <si>
    <t>$U$54 10</t>
  </si>
  <si>
    <t>1503H</t>
  </si>
  <si>
    <t>$V$53 10</t>
  </si>
  <si>
    <t>1354H</t>
  </si>
  <si>
    <t>$V$44 10</t>
  </si>
  <si>
    <t>1507H</t>
  </si>
  <si>
    <t>$V$52 10</t>
  </si>
  <si>
    <t>$V$71 10</t>
  </si>
  <si>
    <t>$V$69 10</t>
  </si>
  <si>
    <t>$V$56 10</t>
  </si>
  <si>
    <t>1559H</t>
  </si>
  <si>
    <t>$V$46 10</t>
  </si>
  <si>
    <t>$V$68 10</t>
  </si>
  <si>
    <t>$W$66 10</t>
  </si>
  <si>
    <t>1524H</t>
  </si>
  <si>
    <t>$V$49 10</t>
  </si>
  <si>
    <t>$V$57 10</t>
  </si>
  <si>
    <t>1510H</t>
  </si>
  <si>
    <t>$V$58 10</t>
  </si>
  <si>
    <t>$W$49 10</t>
  </si>
  <si>
    <t>1652H</t>
  </si>
  <si>
    <t>$X$62 10</t>
  </si>
  <si>
    <t>$X$61 10</t>
  </si>
  <si>
    <t>$X$71 10</t>
  </si>
  <si>
    <t>1715H</t>
  </si>
  <si>
    <t>$X$74 10</t>
  </si>
  <si>
    <t>$X$27 10</t>
  </si>
  <si>
    <t>$X$40 10</t>
  </si>
  <si>
    <t>$X$43 10</t>
  </si>
  <si>
    <t>$Y$74 10</t>
  </si>
  <si>
    <t>$Y$66 10</t>
  </si>
  <si>
    <t>$Y$43 10</t>
  </si>
  <si>
    <t>$Z$41 10</t>
  </si>
  <si>
    <t>$Z$43 10</t>
  </si>
  <si>
    <t>$Z$78 10</t>
  </si>
  <si>
    <t>1937H</t>
  </si>
  <si>
    <t>$Z$77 10</t>
  </si>
  <si>
    <t>$AB$13 10</t>
  </si>
  <si>
    <t>$AB$47 10</t>
  </si>
  <si>
    <t>$AB$53 10</t>
  </si>
  <si>
    <t>$AB$55 10</t>
  </si>
  <si>
    <t>$AB$68 10</t>
  </si>
  <si>
    <t>$AB$54 10</t>
  </si>
  <si>
    <t>2128H</t>
  </si>
  <si>
    <t>2141H</t>
  </si>
  <si>
    <t>$AB$24 10</t>
  </si>
  <si>
    <t>2157H</t>
  </si>
  <si>
    <t>2240H</t>
  </si>
  <si>
    <t>$AC$57 10</t>
  </si>
  <si>
    <t>$AC$58 10</t>
  </si>
  <si>
    <t>$AC$14 10</t>
  </si>
  <si>
    <t>2255H</t>
  </si>
  <si>
    <t>$AC$38 10</t>
  </si>
  <si>
    <t>2303H</t>
  </si>
  <si>
    <t>$AC$40 10</t>
  </si>
  <si>
    <t>$AC$43 10</t>
  </si>
  <si>
    <t>2314H</t>
  </si>
  <si>
    <t>$AC$44 10</t>
  </si>
  <si>
    <t>$AC$62 10</t>
  </si>
  <si>
    <t>2344H</t>
  </si>
  <si>
    <t>$G$43 11</t>
  </si>
  <si>
    <t>$F$24 11</t>
  </si>
  <si>
    <t>0059H</t>
  </si>
  <si>
    <t>$G$40 11</t>
  </si>
  <si>
    <t>$L$56 11</t>
  </si>
  <si>
    <t>0532H</t>
  </si>
  <si>
    <t>$L$68 11</t>
  </si>
  <si>
    <t>0536H</t>
  </si>
  <si>
    <t>$L$40 11</t>
  </si>
  <si>
    <t>0539H</t>
  </si>
  <si>
    <t>$L$43 11</t>
  </si>
  <si>
    <t>0541H</t>
  </si>
  <si>
    <t>$L$41 11</t>
  </si>
  <si>
    <t>$L$71 11</t>
  </si>
  <si>
    <t>A/T IND: LOW COOLANT</t>
  </si>
  <si>
    <t>$F$61 11</t>
  </si>
  <si>
    <t>$F$63 11</t>
  </si>
  <si>
    <t>$M$63 11</t>
  </si>
  <si>
    <t>$M$77 11</t>
  </si>
  <si>
    <t>$M$78 11</t>
  </si>
  <si>
    <t>$M$46 11</t>
  </si>
  <si>
    <t>$M$55 11</t>
  </si>
  <si>
    <t>0641H</t>
  </si>
  <si>
    <t>$M$47 11</t>
  </si>
  <si>
    <t>$N$38 11</t>
  </si>
  <si>
    <t>0707H</t>
  </si>
  <si>
    <t>$N$46 11</t>
  </si>
  <si>
    <t>0709H</t>
  </si>
  <si>
    <t>$N$55 11</t>
  </si>
  <si>
    <t>$N$13 11</t>
  </si>
  <si>
    <t>$N$53 11</t>
  </si>
  <si>
    <t>0736H</t>
  </si>
  <si>
    <t>0742H</t>
  </si>
  <si>
    <t>$N$54 11</t>
  </si>
  <si>
    <t>$N$71 11</t>
  </si>
  <si>
    <t>$O$47 11</t>
  </si>
  <si>
    <t>$O$54 11</t>
  </si>
  <si>
    <t>$O$58 11</t>
  </si>
  <si>
    <t>$O$24 11</t>
  </si>
  <si>
    <t>$O$57 11</t>
  </si>
  <si>
    <t>$O$44 11</t>
  </si>
  <si>
    <t>$O$14 11</t>
  </si>
  <si>
    <t>$O$53 11</t>
  </si>
  <si>
    <t>$P$57 11</t>
  </si>
  <si>
    <t>0931H</t>
  </si>
  <si>
    <t>$P$38 11</t>
  </si>
  <si>
    <t>$P$44 11</t>
  </si>
  <si>
    <t>$P$58 11</t>
  </si>
  <si>
    <t>0934H</t>
  </si>
  <si>
    <t>$P$40 11</t>
  </si>
  <si>
    <t>$P$43 11</t>
  </si>
  <si>
    <t>$Q$43 11</t>
  </si>
  <si>
    <t>1028H</t>
  </si>
  <si>
    <t>$Q$40 11</t>
  </si>
  <si>
    <t>1056H</t>
  </si>
  <si>
    <t>1135H</t>
  </si>
  <si>
    <t>$R$43 11</t>
  </si>
  <si>
    <t>$P$69 11</t>
  </si>
  <si>
    <t>1126H</t>
  </si>
  <si>
    <t>$R$69 11</t>
  </si>
  <si>
    <t>$R$62 11</t>
  </si>
  <si>
    <t>$R$61 11</t>
  </si>
  <si>
    <t>$R$41 11</t>
  </si>
  <si>
    <t>1215H</t>
  </si>
  <si>
    <t>$S$56 11</t>
  </si>
  <si>
    <t>1251H</t>
  </si>
  <si>
    <t>$S$41 11</t>
  </si>
  <si>
    <t>$T$43 11</t>
  </si>
  <si>
    <t>$T$38 11</t>
  </si>
  <si>
    <t>1328H</t>
  </si>
  <si>
    <t>$T$46 11</t>
  </si>
  <si>
    <t>$U$46 11</t>
  </si>
  <si>
    <t>1431H</t>
  </si>
  <si>
    <t>$U$38 11</t>
  </si>
  <si>
    <t>1432H</t>
  </si>
  <si>
    <t>$U$43 11</t>
  </si>
  <si>
    <t>1435H</t>
  </si>
  <si>
    <t>$U$40 11</t>
  </si>
  <si>
    <t>$V$43 11</t>
  </si>
  <si>
    <t>1546H</t>
  </si>
  <si>
    <t>$V$69 11</t>
  </si>
  <si>
    <t>$W$43 11</t>
  </si>
  <si>
    <t>1636H</t>
  </si>
  <si>
    <t>$W$40 11</t>
  </si>
  <si>
    <t>1623H</t>
  </si>
  <si>
    <t>$W$66 11</t>
  </si>
  <si>
    <t>$W$71 11</t>
  </si>
  <si>
    <t>$X$66 11</t>
  </si>
  <si>
    <t>$X$61 11</t>
  </si>
  <si>
    <t>$X$63 11</t>
  </si>
  <si>
    <t>1747H</t>
  </si>
  <si>
    <t>$X$43 11</t>
  </si>
  <si>
    <t>$X$38 11</t>
  </si>
  <si>
    <t>$X$49 11</t>
  </si>
  <si>
    <t>$Y$55 11</t>
  </si>
  <si>
    <t>$Y$71 11</t>
  </si>
  <si>
    <t>$Y$70 11</t>
  </si>
  <si>
    <t>$Y$78 11</t>
  </si>
  <si>
    <t>$Y$77 11</t>
  </si>
  <si>
    <t>$Y$49 11</t>
  </si>
  <si>
    <t>1856H</t>
  </si>
  <si>
    <t>$Y$47 11</t>
  </si>
  <si>
    <t>$Z$53 11</t>
  </si>
  <si>
    <t>$Z$54 11</t>
  </si>
  <si>
    <t>$Z$58 11</t>
  </si>
  <si>
    <t>$Z$57 11</t>
  </si>
  <si>
    <t>$Z$44 11</t>
  </si>
  <si>
    <t>1940H</t>
  </si>
  <si>
    <t>$Z$16 11</t>
  </si>
  <si>
    <t>$AA$55 11</t>
  </si>
  <si>
    <t>$AA$47 11</t>
  </si>
  <si>
    <t>2037H</t>
  </si>
  <si>
    <t>$AA$54 11</t>
  </si>
  <si>
    <t>2055H</t>
  </si>
  <si>
    <t>$AA$53 11</t>
  </si>
  <si>
    <t>$AB$58 11</t>
  </si>
  <si>
    <t>$AB$57 11</t>
  </si>
  <si>
    <t>$AB$44 11</t>
  </si>
  <si>
    <t>2159H</t>
  </si>
  <si>
    <t>$AB$43 11</t>
  </si>
  <si>
    <t>2206H</t>
  </si>
  <si>
    <t>$AC$69 11</t>
  </si>
  <si>
    <t>2225H</t>
  </si>
  <si>
    <t>$AC$41 11</t>
  </si>
  <si>
    <t>2251H</t>
  </si>
  <si>
    <t>$AC$40 11</t>
  </si>
  <si>
    <t>$F$63 12</t>
  </si>
  <si>
    <t>$F$62 12</t>
  </si>
  <si>
    <t>$F$67 12</t>
  </si>
  <si>
    <t>PMS OF Turbo Charger</t>
  </si>
  <si>
    <t>0028H</t>
  </si>
  <si>
    <t>$G$56 12</t>
  </si>
  <si>
    <t>$G$55 12</t>
  </si>
  <si>
    <t>$G$46 12</t>
  </si>
  <si>
    <t>$G$47 12</t>
  </si>
  <si>
    <t>$G$49 12</t>
  </si>
  <si>
    <t>$G$14 12</t>
  </si>
  <si>
    <t>0034H</t>
  </si>
  <si>
    <t>0135H</t>
  </si>
  <si>
    <t>$H$49 12</t>
  </si>
  <si>
    <t>$H$61 12</t>
  </si>
  <si>
    <t>0241H</t>
  </si>
  <si>
    <t>$I$55 12</t>
  </si>
  <si>
    <t>$L$62 12</t>
  </si>
  <si>
    <t>$L$54 12</t>
  </si>
  <si>
    <t>$L$40 12</t>
  </si>
  <si>
    <t>0540H</t>
  </si>
  <si>
    <t>$L$41 12</t>
  </si>
  <si>
    <t>$M$43 12</t>
  </si>
  <si>
    <t>$M$77 12</t>
  </si>
  <si>
    <t>$M$78 12</t>
  </si>
  <si>
    <t>$M$38 12</t>
  </si>
  <si>
    <t>$M$53 12</t>
  </si>
  <si>
    <t>$M$45 12</t>
  </si>
  <si>
    <t>$M$48 12</t>
  </si>
  <si>
    <t>0727H</t>
  </si>
  <si>
    <t>$N$14 12</t>
  </si>
  <si>
    <t>0730H</t>
  </si>
  <si>
    <t>$N$54 12</t>
  </si>
  <si>
    <t>$N$53 12</t>
  </si>
  <si>
    <t>$N$38 12</t>
  </si>
  <si>
    <t>$N$40 12</t>
  </si>
  <si>
    <t>$N$41 12</t>
  </si>
  <si>
    <t>$O$40 12</t>
  </si>
  <si>
    <t>$O$41 12</t>
  </si>
  <si>
    <t>$O$38 12</t>
  </si>
  <si>
    <t>0823H</t>
  </si>
  <si>
    <t>0835H</t>
  </si>
  <si>
    <t>$O$44 12</t>
  </si>
  <si>
    <t>$O$57 12</t>
  </si>
  <si>
    <t>$O$56 12</t>
  </si>
  <si>
    <t>$O$67 12</t>
  </si>
  <si>
    <t>$O$66 12</t>
  </si>
  <si>
    <t>TRIPPED
INDICATION: GCB TRIP</t>
  </si>
  <si>
    <t>$O$68 12</t>
  </si>
  <si>
    <t>$O$71 12</t>
  </si>
  <si>
    <t>$M$69 12</t>
  </si>
  <si>
    <t>$O$69 12</t>
  </si>
  <si>
    <t>$P$46 12</t>
  </si>
  <si>
    <t>$P$55 12</t>
  </si>
  <si>
    <t>$P$49 12</t>
  </si>
  <si>
    <t>$P$47 12</t>
  </si>
  <si>
    <t>0923H</t>
  </si>
  <si>
    <t>$P$66 12</t>
  </si>
  <si>
    <t>$P$54 12</t>
  </si>
  <si>
    <t>$P$53 12</t>
  </si>
  <si>
    <t>$O$58 12</t>
  </si>
  <si>
    <t>0959H</t>
  </si>
  <si>
    <t>$P$52 12</t>
  </si>
  <si>
    <t>$Q$68 12</t>
  </si>
  <si>
    <t>$Q$39 12</t>
  </si>
  <si>
    <t>1016H</t>
  </si>
  <si>
    <t>$Q$71 12</t>
  </si>
  <si>
    <t>$Q$69 12</t>
  </si>
  <si>
    <t>$R$16 12</t>
  </si>
  <si>
    <t>$R$61 12</t>
  </si>
  <si>
    <t>$R$63 12</t>
  </si>
  <si>
    <t>LOAD TEST
DECLARED COMMERCIAL AT 1207h</t>
  </si>
  <si>
    <t>1211H</t>
  </si>
  <si>
    <t>$S$52 12</t>
  </si>
  <si>
    <t>$S$39 12</t>
  </si>
  <si>
    <t>1217H</t>
  </si>
  <si>
    <t>$S$58 12</t>
  </si>
  <si>
    <t>$S$57 12</t>
  </si>
  <si>
    <t>1221H</t>
  </si>
  <si>
    <t>$S$44 12</t>
  </si>
  <si>
    <t>$S$56 12</t>
  </si>
  <si>
    <t>$S$46 12</t>
  </si>
  <si>
    <t>$S$49 12</t>
  </si>
  <si>
    <t>$T$58 12</t>
  </si>
  <si>
    <t>$T$55 12</t>
  </si>
  <si>
    <t>1339H</t>
  </si>
  <si>
    <t>$T$57 12</t>
  </si>
  <si>
    <t>$T$24 12</t>
  </si>
  <si>
    <t>$T$27 12</t>
  </si>
  <si>
    <t>$T$28 12</t>
  </si>
  <si>
    <t>$U$44 12</t>
  </si>
  <si>
    <t>$U$56 12</t>
  </si>
  <si>
    <t>1403H</t>
  </si>
  <si>
    <t>$U$46 12</t>
  </si>
  <si>
    <t>1438H</t>
  </si>
  <si>
    <t>$U$47 12</t>
  </si>
  <si>
    <t>1458H</t>
  </si>
  <si>
    <t>$U$28 12</t>
  </si>
  <si>
    <t>1625H</t>
  </si>
  <si>
    <t>$V$47 12</t>
  </si>
  <si>
    <t>1453H</t>
  </si>
  <si>
    <t>$U$49 12</t>
  </si>
  <si>
    <t>$U$55 12</t>
  </si>
  <si>
    <t>$V$52 12</t>
  </si>
  <si>
    <t>$V$39 12</t>
  </si>
  <si>
    <t>1628H</t>
  </si>
  <si>
    <t>$W$24 12</t>
  </si>
  <si>
    <t>$W$53 12</t>
  </si>
  <si>
    <t>$W$54 12</t>
  </si>
  <si>
    <t>$X$63 12</t>
  </si>
  <si>
    <t>$X$62 12</t>
  </si>
  <si>
    <t>1705H</t>
  </si>
  <si>
    <t>$X$52 12</t>
  </si>
  <si>
    <t>$X$58 12</t>
  </si>
  <si>
    <t>1711H</t>
  </si>
  <si>
    <t>$X$57 12</t>
  </si>
  <si>
    <t>$X$44 12</t>
  </si>
  <si>
    <t>$Y$54 12</t>
  </si>
  <si>
    <t>1808H</t>
  </si>
  <si>
    <t>$Y$53 12</t>
  </si>
  <si>
    <t>$Y$52 12</t>
  </si>
  <si>
    <t>$Y$78 12</t>
  </si>
  <si>
    <t>$Y$77 12</t>
  </si>
  <si>
    <t>$Y$58 12</t>
  </si>
  <si>
    <t>1846H</t>
  </si>
  <si>
    <t>$Y$39 12</t>
  </si>
  <si>
    <t>1850H</t>
  </si>
  <si>
    <t>$Y$56 12</t>
  </si>
  <si>
    <t>$Y$46 12</t>
  </si>
  <si>
    <t>$Y$49 12</t>
  </si>
  <si>
    <t>1906H</t>
  </si>
  <si>
    <t>$Z$47 12</t>
  </si>
  <si>
    <t>1909H</t>
  </si>
  <si>
    <t>$Z$55 12</t>
  </si>
  <si>
    <t>$Y$27 12</t>
  </si>
  <si>
    <t>$Z$54 12</t>
  </si>
  <si>
    <t>1918H</t>
  </si>
  <si>
    <t>$Z$53 12</t>
  </si>
  <si>
    <t>$Z$52 12</t>
  </si>
  <si>
    <t>$Z$58 12</t>
  </si>
  <si>
    <t>2023H</t>
  </si>
  <si>
    <t>$AA$38 12</t>
  </si>
  <si>
    <t>$AA$40 12</t>
  </si>
  <si>
    <t>2029H</t>
  </si>
  <si>
    <t>$AA$66 12</t>
  </si>
  <si>
    <t>$AA$71 12</t>
  </si>
  <si>
    <t>2054H</t>
  </si>
  <si>
    <t>$AA$43 12</t>
  </si>
  <si>
    <t>2050H</t>
  </si>
  <si>
    <t>$AB$66 12</t>
  </si>
  <si>
    <t>2105H</t>
  </si>
  <si>
    <t>$AB$41 12</t>
  </si>
  <si>
    <t>$AB$55 12</t>
  </si>
  <si>
    <t>$AB$56 12</t>
  </si>
  <si>
    <t>$AB$57 12</t>
  </si>
  <si>
    <t>$AB$16 12</t>
  </si>
  <si>
    <t>2216H</t>
  </si>
  <si>
    <t>$AC$57 12</t>
  </si>
  <si>
    <t>$AC$55 12</t>
  </si>
  <si>
    <t>2248H</t>
  </si>
  <si>
    <t>$AC$56 12</t>
  </si>
  <si>
    <t>$AC$71 12</t>
  </si>
  <si>
    <t>$AC$70 12</t>
  </si>
  <si>
    <t>$F$62 13</t>
  </si>
  <si>
    <t>$F$61 13</t>
  </si>
  <si>
    <t>$F$69 13</t>
  </si>
  <si>
    <t>$G$55 13</t>
  </si>
  <si>
    <t>$G$49 13</t>
  </si>
  <si>
    <t>$G$15 13</t>
  </si>
  <si>
    <t>0053H</t>
  </si>
  <si>
    <t>$G$40 13</t>
  </si>
  <si>
    <t>$G$46 13</t>
  </si>
  <si>
    <t>0054H</t>
  </si>
  <si>
    <t>0055H</t>
  </si>
  <si>
    <t>$G$41 13</t>
  </si>
  <si>
    <t>0057H</t>
  </si>
  <si>
    <t>$H$40 13</t>
  </si>
  <si>
    <t>0158H</t>
  </si>
  <si>
    <t>$H$41 13</t>
  </si>
  <si>
    <t>0143H</t>
  </si>
  <si>
    <t>$H$63 13</t>
  </si>
  <si>
    <t>0407H</t>
  </si>
  <si>
    <t>$K$61 13</t>
  </si>
  <si>
    <t>0436H</t>
  </si>
  <si>
    <t>$K$47 13</t>
  </si>
  <si>
    <t>0454H</t>
  </si>
  <si>
    <t>$K$40 13</t>
  </si>
  <si>
    <t>0455H</t>
  </si>
  <si>
    <t>$L$41 13</t>
  </si>
  <si>
    <t>$L$43 13</t>
  </si>
  <si>
    <t>$M$54 13</t>
  </si>
  <si>
    <t>$M$58 13</t>
  </si>
  <si>
    <t>$M$77 13</t>
  </si>
  <si>
    <t>$M$78 13</t>
  </si>
  <si>
    <t>$M$53 13</t>
  </si>
  <si>
    <t>0630H</t>
  </si>
  <si>
    <t>$M$38 13</t>
  </si>
  <si>
    <t>0651H</t>
  </si>
  <si>
    <t>$M$70 13</t>
  </si>
  <si>
    <t>$N$53 13</t>
  </si>
  <si>
    <t>$N$16 13</t>
  </si>
  <si>
    <t>$N$58 13</t>
  </si>
  <si>
    <t>$N$40 13</t>
  </si>
  <si>
    <t>$O$57 13</t>
  </si>
  <si>
    <t>$O$44 13</t>
  </si>
  <si>
    <t>$O$40 13</t>
  </si>
  <si>
    <t>$O$15 13</t>
  </si>
  <si>
    <t>$O$56 13</t>
  </si>
  <si>
    <t>$O$69 13</t>
  </si>
  <si>
    <t>$P$40 13</t>
  </si>
  <si>
    <t>$P$49 13</t>
  </si>
  <si>
    <t>$P$47 13</t>
  </si>
  <si>
    <t>$P$46 13</t>
  </si>
  <si>
    <t>$P$55 13</t>
  </si>
  <si>
    <t>0915H</t>
  </si>
  <si>
    <t>$P$24 13</t>
  </si>
  <si>
    <t>EMERGENCY UNLOAD DUE TO EXHAUST GAS LEAK AT CY. A1</t>
  </si>
  <si>
    <t>$P$53 13</t>
  </si>
  <si>
    <t>$P$54 13</t>
  </si>
  <si>
    <t>$P$52 13</t>
  </si>
  <si>
    <t>0954H</t>
  </si>
  <si>
    <t>$P$58 13</t>
  </si>
  <si>
    <t>1001H</t>
  </si>
  <si>
    <t>$P$57 13</t>
  </si>
  <si>
    <t>$Q$44 13</t>
  </si>
  <si>
    <t>1029H</t>
  </si>
  <si>
    <t>$Q$46 13</t>
  </si>
  <si>
    <t>$Q$49 13</t>
  </si>
  <si>
    <t>$Q$24 13</t>
  </si>
  <si>
    <t>$Q$55 13</t>
  </si>
  <si>
    <t>$Q$47 13</t>
  </si>
  <si>
    <t>1049H</t>
  </si>
  <si>
    <t>$Q$54 13</t>
  </si>
  <si>
    <t>1108H</t>
  </si>
  <si>
    <t>$R$56 13</t>
  </si>
  <si>
    <t>$R$63 13</t>
  </si>
  <si>
    <t>$R$62 13</t>
  </si>
  <si>
    <t>1134H</t>
  </si>
  <si>
    <t>$R$53 13</t>
  </si>
  <si>
    <t>$R$46 13</t>
  </si>
  <si>
    <t>$S$66 13</t>
  </si>
  <si>
    <t>$S$56 13</t>
  </si>
  <si>
    <t>1239H</t>
  </si>
  <si>
    <t>$S$49 13</t>
  </si>
  <si>
    <t>1242H</t>
  </si>
  <si>
    <t>1306H</t>
  </si>
  <si>
    <t>$T$55 13</t>
  </si>
  <si>
    <t>$T$47 13</t>
  </si>
  <si>
    <t>$T$53 13</t>
  </si>
  <si>
    <t>$U$52 13</t>
  </si>
  <si>
    <t>1447H</t>
  </si>
  <si>
    <t>$U$54 13</t>
  </si>
  <si>
    <t>$V$46 13</t>
  </si>
  <si>
    <t>$V$49 13</t>
  </si>
  <si>
    <t>$V$55 13</t>
  </si>
  <si>
    <t>1545H</t>
  </si>
  <si>
    <t>$V$56 13</t>
  </si>
  <si>
    <t>1614H</t>
  </si>
  <si>
    <t>$W$47 13</t>
  </si>
  <si>
    <t>$W$54 13</t>
  </si>
  <si>
    <t>1706H</t>
  </si>
  <si>
    <t>$X$53 13</t>
  </si>
  <si>
    <t>$X$58 13</t>
  </si>
  <si>
    <t>$X$57 13</t>
  </si>
  <si>
    <t>$X$62 13</t>
  </si>
  <si>
    <t>$X$61 13</t>
  </si>
  <si>
    <t>1737H</t>
  </si>
  <si>
    <t>$X$44 13</t>
  </si>
  <si>
    <t>$X$46 13</t>
  </si>
  <si>
    <t>$Y$49 13</t>
  </si>
  <si>
    <t>$Y$55 13</t>
  </si>
  <si>
    <t>$Y$47 13</t>
  </si>
  <si>
    <t>$Y$53 13</t>
  </si>
  <si>
    <t>$Y$54 13</t>
  </si>
  <si>
    <t>$Z$56 13</t>
  </si>
  <si>
    <t>$Z$66 13</t>
  </si>
  <si>
    <t>$Z$46 13</t>
  </si>
  <si>
    <t>$Z$49 13</t>
  </si>
  <si>
    <t>1945H</t>
  </si>
  <si>
    <t>$Z$55 13</t>
  </si>
  <si>
    <t>1939H</t>
  </si>
  <si>
    <t>2006H</t>
  </si>
  <si>
    <t>$AA$43 13</t>
  </si>
  <si>
    <t>2018H</t>
  </si>
  <si>
    <t>$AA$24 13</t>
  </si>
  <si>
    <t>$AA$28 13</t>
  </si>
  <si>
    <t>2053H</t>
  </si>
  <si>
    <t>2051H</t>
  </si>
  <si>
    <t>$AA$58 13</t>
  </si>
  <si>
    <t>$AB$57 13</t>
  </si>
  <si>
    <t>$AB$14 13</t>
  </si>
  <si>
    <t>$AB$47 13</t>
  </si>
  <si>
    <t>$AB$53 13</t>
  </si>
  <si>
    <t>$AB$54 13</t>
  </si>
  <si>
    <t>$AB$44 13</t>
  </si>
  <si>
    <t>$AB$56 13</t>
  </si>
  <si>
    <t>2148H</t>
  </si>
  <si>
    <t>$AB$46 13</t>
  </si>
  <si>
    <t>$AB$49 13</t>
  </si>
  <si>
    <t>$AB$58 13</t>
  </si>
  <si>
    <t>2211H</t>
  </si>
  <si>
    <t>$AC$57 13</t>
  </si>
  <si>
    <t>$AC$48 13</t>
  </si>
  <si>
    <t>$AC$43 13</t>
  </si>
  <si>
    <t>2221H</t>
  </si>
  <si>
    <t>$AC$44 13</t>
  </si>
  <si>
    <t>$AC$41 13</t>
  </si>
  <si>
    <t>Change Oil , Change Filter</t>
  </si>
  <si>
    <t>2242H</t>
  </si>
  <si>
    <t>$AC$46 13</t>
  </si>
  <si>
    <t>2233H</t>
  </si>
  <si>
    <t>$AC$68 13</t>
  </si>
  <si>
    <t>2250H</t>
  </si>
  <si>
    <t>$F$56 14</t>
  </si>
  <si>
    <t>$F$61 14</t>
  </si>
  <si>
    <t>2312H</t>
  </si>
  <si>
    <t>$F$63 14</t>
  </si>
  <si>
    <t>$F$40 14</t>
  </si>
  <si>
    <t>$F$24 14</t>
  </si>
  <si>
    <t>Rectify Fuel Leak at Feul line header</t>
  </si>
  <si>
    <t>2338H</t>
  </si>
  <si>
    <t>$F$55 14</t>
  </si>
  <si>
    <t>$F$47 14</t>
  </si>
  <si>
    <t>2353H</t>
  </si>
  <si>
    <t>2356H</t>
  </si>
  <si>
    <t>$Y$78 13</t>
  </si>
  <si>
    <t>$Y$77 13</t>
  </si>
  <si>
    <t>0025H</t>
  </si>
  <si>
    <t>$G$43 14</t>
  </si>
  <si>
    <t>0139H</t>
  </si>
  <si>
    <t>$H$67 14</t>
  </si>
  <si>
    <t>$L$63 14</t>
  </si>
  <si>
    <t>$L$62 14</t>
  </si>
  <si>
    <t>0543H</t>
  </si>
  <si>
    <t>$L$67 14</t>
  </si>
  <si>
    <t>0549H</t>
  </si>
  <si>
    <t>$L$43 14</t>
  </si>
  <si>
    <t>0606H</t>
  </si>
  <si>
    <t>$M$41 14</t>
  </si>
  <si>
    <t>$M$43 14</t>
  </si>
  <si>
    <t>0629H</t>
  </si>
  <si>
    <t>$M$54 14</t>
  </si>
  <si>
    <t>0652H</t>
  </si>
  <si>
    <t>0701H</t>
  </si>
  <si>
    <t>$N$40 14</t>
  </si>
  <si>
    <t>$N$77 14</t>
  </si>
  <si>
    <t>0706H</t>
  </si>
  <si>
    <t>$N$78 14</t>
  </si>
  <si>
    <t>$N$53 14</t>
  </si>
  <si>
    <t>$N$58 14</t>
  </si>
  <si>
    <t>$O$57 14</t>
  </si>
  <si>
    <t>$O$44 14</t>
  </si>
  <si>
    <t>$O$56 14</t>
  </si>
  <si>
    <t>$O$48 14</t>
  </si>
  <si>
    <t>$O$46 14</t>
  </si>
  <si>
    <t>$O$68 14</t>
  </si>
  <si>
    <t>$O$53 14</t>
  </si>
  <si>
    <t>$O$58 14</t>
  </si>
  <si>
    <t>$O$14 14</t>
  </si>
  <si>
    <t>$P$49 14</t>
  </si>
  <si>
    <t>$P$55 14</t>
  </si>
  <si>
    <t>$P$47 14</t>
  </si>
  <si>
    <t>0926H</t>
  </si>
  <si>
    <t>$P$54 14</t>
  </si>
  <si>
    <t>$P$53 14</t>
  </si>
  <si>
    <t>$P$58 14</t>
  </si>
  <si>
    <t>$P$57 14</t>
  </si>
  <si>
    <t>$Q$24 14</t>
  </si>
  <si>
    <t>$Q$56 14</t>
  </si>
  <si>
    <t>$Q$48 14</t>
  </si>
  <si>
    <t>$Q$46 14</t>
  </si>
  <si>
    <t>1053H</t>
  </si>
  <si>
    <t>$Q$44 14</t>
  </si>
  <si>
    <t>$R$52 14</t>
  </si>
  <si>
    <t>1106H</t>
  </si>
  <si>
    <t>$R$46 14</t>
  </si>
  <si>
    <t>$R$48 14</t>
  </si>
  <si>
    <t>$R$56 14</t>
  </si>
  <si>
    <t>1115H</t>
  </si>
  <si>
    <t>$R$49 14</t>
  </si>
  <si>
    <t>1118H</t>
  </si>
  <si>
    <t>$R$55 14</t>
  </si>
  <si>
    <t>1121H</t>
  </si>
  <si>
    <t>$R$47 14</t>
  </si>
  <si>
    <t>$R$62 14</t>
  </si>
  <si>
    <t>$R$61 14</t>
  </si>
  <si>
    <t>$R$66 14</t>
  </si>
  <si>
    <t>$R$24 14</t>
  </si>
  <si>
    <t>EMERGENCY UNLOAD DUE TO EXCESSIVE FUEL OIL LEAK AT CY. A5</t>
  </si>
  <si>
    <t>1145H</t>
  </si>
  <si>
    <t>$R$54 14</t>
  </si>
  <si>
    <t>1155H</t>
  </si>
  <si>
    <t>1111H</t>
  </si>
  <si>
    <t>$R$32 14</t>
  </si>
  <si>
    <t>$R$53 14</t>
  </si>
  <si>
    <t>$S$24 14</t>
  </si>
  <si>
    <t>$S$44 14</t>
  </si>
  <si>
    <t>$S$57 14</t>
  </si>
  <si>
    <t>$S$56 14</t>
  </si>
  <si>
    <t>$S$48 14</t>
  </si>
  <si>
    <t>$S$49 14</t>
  </si>
  <si>
    <t>$S$55 14</t>
  </si>
  <si>
    <t>$S$52 14</t>
  </si>
  <si>
    <t>$S$58 14</t>
  </si>
  <si>
    <t>$T$47 14</t>
  </si>
  <si>
    <t>1428H</t>
  </si>
  <si>
    <t>$U$54 14</t>
  </si>
  <si>
    <t>$U$46 14</t>
  </si>
  <si>
    <t>$U$49 14</t>
  </si>
  <si>
    <t>$U$55 14</t>
  </si>
  <si>
    <t>$U$47 14</t>
  </si>
  <si>
    <t>1504H</t>
  </si>
  <si>
    <t>$U$53 14</t>
  </si>
  <si>
    <t>$V$53 14</t>
  </si>
  <si>
    <t>$V$54 14</t>
  </si>
  <si>
    <t>$V$40 14</t>
  </si>
  <si>
    <t>1604H</t>
  </si>
  <si>
    <t>$W$43 14</t>
  </si>
  <si>
    <t>$W$41 14</t>
  </si>
  <si>
    <t>1631H</t>
  </si>
  <si>
    <t>$W$66 14</t>
  </si>
  <si>
    <t>$W$29 14</t>
  </si>
  <si>
    <t>$X$61 14</t>
  </si>
  <si>
    <t>$X$63 14</t>
  </si>
  <si>
    <t>$Y$78 14</t>
  </si>
  <si>
    <t>$Y$77 14</t>
  </si>
  <si>
    <t>$Y$58 14</t>
  </si>
  <si>
    <t>$Y$52 14</t>
  </si>
  <si>
    <t>1830H</t>
  </si>
  <si>
    <t>$Y$57 14</t>
  </si>
  <si>
    <t>1834H</t>
  </si>
  <si>
    <t>2016H</t>
  </si>
  <si>
    <t>$AA$48 14</t>
  </si>
  <si>
    <t>$AA$56 14</t>
  </si>
  <si>
    <t>$AA$44 14</t>
  </si>
  <si>
    <t>$AA$46 14</t>
  </si>
  <si>
    <t>$AA$16 14</t>
  </si>
  <si>
    <t>2028H</t>
  </si>
  <si>
    <t>2058H</t>
  </si>
  <si>
    <t>$AB$46 14</t>
  </si>
  <si>
    <t>2150H</t>
  </si>
  <si>
    <t>$AB$29 14</t>
  </si>
  <si>
    <t>GCB54 TRIPPED 
INDICATION: TRANSFORMER DIFFERENTIAL</t>
  </si>
  <si>
    <t>FLUSHING</t>
  </si>
  <si>
    <t>$Y$29 14</t>
  </si>
  <si>
    <t>$AA$29 14</t>
  </si>
  <si>
    <t>$AC$13 14</t>
  </si>
  <si>
    <t>$AC$49 14</t>
  </si>
  <si>
    <t>$AC$69 14</t>
  </si>
  <si>
    <t>$F$27 15</t>
  </si>
  <si>
    <t>$G$21 15</t>
  </si>
  <si>
    <t>$G$63 15</t>
  </si>
  <si>
    <t>0021H</t>
  </si>
  <si>
    <t>$G$62 15</t>
  </si>
  <si>
    <t>$I$69 15</t>
  </si>
  <si>
    <t>0451H</t>
  </si>
  <si>
    <t>$J$62 15</t>
  </si>
  <si>
    <t>$J$61 15</t>
  </si>
  <si>
    <t>0542H</t>
  </si>
  <si>
    <t>$L$16 15</t>
  </si>
  <si>
    <t>$L$14 15</t>
  </si>
  <si>
    <t>0619H</t>
  </si>
  <si>
    <t>$M$77 15</t>
  </si>
  <si>
    <t>0620H</t>
  </si>
  <si>
    <t>$M$78 15</t>
  </si>
  <si>
    <t>$N$49 15</t>
  </si>
  <si>
    <t>$O$55 15</t>
  </si>
  <si>
    <t>$O$53 15</t>
  </si>
  <si>
    <t>$O$54 15</t>
  </si>
  <si>
    <t>$O$21 15</t>
  </si>
  <si>
    <t>$O$49 15</t>
  </si>
  <si>
    <t>$O$69 15</t>
  </si>
  <si>
    <t>0854H</t>
  </si>
  <si>
    <t>$P$53 15</t>
  </si>
  <si>
    <t>$P$52 15</t>
  </si>
  <si>
    <t>$P$58 15</t>
  </si>
  <si>
    <t>$P$57 15</t>
  </si>
  <si>
    <t>$P$27 15</t>
  </si>
  <si>
    <t>$O$47 15</t>
  </si>
  <si>
    <t>$P$47 15</t>
  </si>
  <si>
    <t>$P$74 15</t>
  </si>
  <si>
    <t>1051H</t>
  </si>
  <si>
    <t>$Q$44 15</t>
  </si>
  <si>
    <t>1156H</t>
  </si>
  <si>
    <t>$R$54 15</t>
  </si>
  <si>
    <t>$T$54 15</t>
  </si>
  <si>
    <t>$T$56 15</t>
  </si>
  <si>
    <t>$T$45 15</t>
  </si>
  <si>
    <t>$U$14 15</t>
  </si>
  <si>
    <t>1424H</t>
  </si>
  <si>
    <t>$U$53 15</t>
  </si>
  <si>
    <t>$U$54 15</t>
  </si>
  <si>
    <t>$U$52 15</t>
  </si>
  <si>
    <t>$U$58 15</t>
  </si>
  <si>
    <t>1413H</t>
  </si>
  <si>
    <t>$U$66 15</t>
  </si>
  <si>
    <t>1437H</t>
  </si>
  <si>
    <t>$U$44 15</t>
  </si>
  <si>
    <t>$U$57 15</t>
  </si>
  <si>
    <t>$U$45 15</t>
  </si>
  <si>
    <t>$U$56 15</t>
  </si>
  <si>
    <t>1506H</t>
  </si>
  <si>
    <t>$V$13 15</t>
  </si>
  <si>
    <t>1605H</t>
  </si>
  <si>
    <t>$W$29 15</t>
  </si>
  <si>
    <t>$R$61 15</t>
  </si>
  <si>
    <t>$R$63 15</t>
  </si>
  <si>
    <t>$X$63 15</t>
  </si>
  <si>
    <t>$X$62 15</t>
  </si>
  <si>
    <t>$Y$78 15</t>
  </si>
  <si>
    <t>$Y$77 15</t>
  </si>
  <si>
    <t>$AB$15 15</t>
  </si>
  <si>
    <t>$AC$68 15</t>
  </si>
  <si>
    <t>$F$27 16</t>
  </si>
  <si>
    <t>0016H</t>
  </si>
  <si>
    <t>$G$14 16</t>
  </si>
  <si>
    <t>$G$47 16</t>
  </si>
  <si>
    <t>$G$48 16</t>
  </si>
  <si>
    <t>$G$46 16</t>
  </si>
  <si>
    <t>$G$49 16</t>
  </si>
  <si>
    <t>$G$55 16</t>
  </si>
  <si>
    <t>0022H</t>
  </si>
  <si>
    <t>0040H</t>
  </si>
  <si>
    <t>$G$21 16</t>
  </si>
  <si>
    <t>0107H</t>
  </si>
  <si>
    <t>$H$67 16</t>
  </si>
  <si>
    <t>$L$66 16</t>
  </si>
  <si>
    <t>$L$69 16</t>
  </si>
  <si>
    <t>$L$70 16</t>
  </si>
  <si>
    <t>$L$71 16</t>
  </si>
  <si>
    <t>$L$74 16</t>
  </si>
  <si>
    <t>$M$53 16</t>
  </si>
  <si>
    <t>0638H</t>
  </si>
  <si>
    <t>$M$67 16</t>
  </si>
  <si>
    <t>$M$69 16</t>
  </si>
  <si>
    <t>$M$70 16</t>
  </si>
  <si>
    <t>$M$71 16</t>
  </si>
  <si>
    <t>$N$68 16</t>
  </si>
  <si>
    <t>0713H</t>
  </si>
  <si>
    <t>$N$54 16</t>
  </si>
  <si>
    <t>$N$15 16</t>
  </si>
  <si>
    <t>$N$52 16</t>
  </si>
  <si>
    <t>$N$13 16</t>
  </si>
  <si>
    <t>$O$77 16</t>
  </si>
  <si>
    <t>$O$78 16</t>
  </si>
  <si>
    <t>0810H</t>
  </si>
  <si>
    <t>$O$58 16</t>
  </si>
  <si>
    <t>$O$57 16</t>
  </si>
  <si>
    <t>$P$62 16</t>
  </si>
  <si>
    <t>$P$61 16</t>
  </si>
  <si>
    <t>$P$74 16</t>
  </si>
  <si>
    <t>$P$44 16</t>
  </si>
  <si>
    <t>$Q$14 16</t>
  </si>
  <si>
    <t>$Q$56 16</t>
  </si>
  <si>
    <t>$Q$48 16</t>
  </si>
  <si>
    <t>1020H</t>
  </si>
  <si>
    <t>$Q$45 16</t>
  </si>
  <si>
    <t>$Q$46 16</t>
  </si>
  <si>
    <t>$Q$54 16</t>
  </si>
  <si>
    <t>$Q$52 16</t>
  </si>
  <si>
    <t>$Q$53 16</t>
  </si>
  <si>
    <t>1048H</t>
  </si>
  <si>
    <t>$Q$57 16</t>
  </si>
  <si>
    <t>$Q$58 16</t>
  </si>
  <si>
    <t>$R$13 16</t>
  </si>
  <si>
    <t>$R$44 16</t>
  </si>
  <si>
    <t>1131H</t>
  </si>
  <si>
    <t>$R$56 16</t>
  </si>
  <si>
    <t>1139H</t>
  </si>
  <si>
    <t>$R$45 16</t>
  </si>
  <si>
    <t>$R$48 16</t>
  </si>
  <si>
    <t>1142H</t>
  </si>
  <si>
    <t>$R$46 16</t>
  </si>
  <si>
    <t>1409H</t>
  </si>
  <si>
    <t>$U$69 16</t>
  </si>
  <si>
    <t>$W$14 16</t>
  </si>
  <si>
    <t>1633H</t>
  </si>
  <si>
    <t>$W$21 16</t>
  </si>
  <si>
    <t>1601H</t>
  </si>
  <si>
    <t>$W$29 16</t>
  </si>
  <si>
    <t>1645H</t>
  </si>
  <si>
    <t>$W$27 16</t>
  </si>
  <si>
    <t>$X$13 16</t>
  </si>
  <si>
    <t>$X$49 16</t>
  </si>
  <si>
    <t>$X$55 16</t>
  </si>
  <si>
    <t>$X$47 16</t>
  </si>
  <si>
    <t>$X$14 16</t>
  </si>
  <si>
    <t>LOAD TEST AND WASHING</t>
  </si>
  <si>
    <t>$Y$54 16</t>
  </si>
  <si>
    <t>$Y$53 16</t>
  </si>
  <si>
    <t>1822H</t>
  </si>
  <si>
    <t>$Y$69 16</t>
  </si>
  <si>
    <t>$Y$57 16</t>
  </si>
  <si>
    <t>$Y$14 16</t>
  </si>
  <si>
    <t>1836H</t>
  </si>
  <si>
    <t>$Y$44 16</t>
  </si>
  <si>
    <t>$Z$49 16</t>
  </si>
  <si>
    <t>$Z$55 16</t>
  </si>
  <si>
    <t>$Z$78 16</t>
  </si>
  <si>
    <t>$Z$77 16</t>
  </si>
  <si>
    <t>1957H</t>
  </si>
  <si>
    <t>$Z$47 16</t>
  </si>
  <si>
    <t>2026H</t>
  </si>
  <si>
    <t>$AA$54 16</t>
  </si>
  <si>
    <t>$AB$53 16</t>
  </si>
  <si>
    <t>2106H</t>
  </si>
  <si>
    <t>$AB$57 16</t>
  </si>
  <si>
    <t>$AB$44 16</t>
  </si>
  <si>
    <t>$AC$24 16</t>
  </si>
  <si>
    <t>2214H</t>
  </si>
  <si>
    <t>$AC$48 16</t>
  </si>
  <si>
    <t>$AC$56 16</t>
  </si>
  <si>
    <t>2226H</t>
  </si>
  <si>
    <t>$AC$69 16</t>
  </si>
  <si>
    <t>$I$13 17</t>
  </si>
  <si>
    <t>$F$45 17</t>
  </si>
  <si>
    <t>2327H</t>
  </si>
  <si>
    <t>$F$16 17</t>
  </si>
  <si>
    <t>$AA$61 16</t>
  </si>
  <si>
    <t>$AA$63 16</t>
  </si>
  <si>
    <t>0002H</t>
  </si>
  <si>
    <t>$G$61 17</t>
  </si>
  <si>
    <t>0001H</t>
  </si>
  <si>
    <t>$G$63 17</t>
  </si>
  <si>
    <t>0007H</t>
  </si>
  <si>
    <t>$G$27 17</t>
  </si>
  <si>
    <t>$H$28 17</t>
  </si>
  <si>
    <t>0303H</t>
  </si>
  <si>
    <t>$J$68 17</t>
  </si>
  <si>
    <t>0334H</t>
  </si>
  <si>
    <t>$J$14 17</t>
  </si>
  <si>
    <t>0353H</t>
  </si>
  <si>
    <t>$L$28 17</t>
  </si>
  <si>
    <t>$L$69 17</t>
  </si>
  <si>
    <t>$M$46 17</t>
  </si>
  <si>
    <t>$M$49 17</t>
  </si>
  <si>
    <t>$N$77 17</t>
  </si>
  <si>
    <t>$N$78 17</t>
  </si>
  <si>
    <t>$N$55 17</t>
  </si>
  <si>
    <t>$O$24 17</t>
  </si>
  <si>
    <t>$O$47 17</t>
  </si>
  <si>
    <t>GCB TRIP</t>
  </si>
  <si>
    <t>$O$54 17</t>
  </si>
  <si>
    <t>$O$53 17</t>
  </si>
  <si>
    <t>$O$52 17</t>
  </si>
  <si>
    <t>$O$27 17</t>
  </si>
  <si>
    <t>$O$58 17</t>
  </si>
  <si>
    <t>$O$55 17</t>
  </si>
  <si>
    <t>$O$68 17</t>
  </si>
  <si>
    <t>$O$14 17</t>
  </si>
  <si>
    <t>$P$16 17</t>
  </si>
  <si>
    <t>$P$52 17</t>
  </si>
  <si>
    <t>0916H</t>
  </si>
  <si>
    <t>$P$67 17</t>
  </si>
  <si>
    <t>$P$68 17</t>
  </si>
  <si>
    <t>$P$69 17</t>
  </si>
  <si>
    <t>$P$70 17</t>
  </si>
  <si>
    <t>$P$71 17</t>
  </si>
  <si>
    <t>$P$74 17</t>
  </si>
  <si>
    <t>0933H</t>
  </si>
  <si>
    <t>$P$58 17</t>
  </si>
  <si>
    <t>1015H</t>
  </si>
  <si>
    <t>$Q$57 17</t>
  </si>
  <si>
    <t>$R$44 17</t>
  </si>
  <si>
    <t>$R$61 17</t>
  </si>
  <si>
    <t>$R$62 17</t>
  </si>
  <si>
    <t>$R$14 17</t>
  </si>
  <si>
    <t>1132H</t>
  </si>
  <si>
    <t>$R$56 17</t>
  </si>
  <si>
    <t>$R$16 17</t>
  </si>
  <si>
    <t>Water leak gen line A5</t>
  </si>
  <si>
    <t>1203H</t>
  </si>
  <si>
    <t>$S$57 17</t>
  </si>
  <si>
    <t>1229H</t>
  </si>
  <si>
    <t>$S$48 17</t>
  </si>
  <si>
    <t>$S$45 17</t>
  </si>
  <si>
    <t>$S$46 17</t>
  </si>
  <si>
    <t>$T$49 17</t>
  </si>
  <si>
    <t>1348H</t>
  </si>
  <si>
    <t>$T$44 17</t>
  </si>
  <si>
    <t>$T$56 17</t>
  </si>
  <si>
    <t>1344H</t>
  </si>
  <si>
    <t>$T$16 17</t>
  </si>
  <si>
    <t>1404H</t>
  </si>
  <si>
    <t>$U$45 17</t>
  </si>
  <si>
    <t>$U$48 17</t>
  </si>
  <si>
    <t>$U$46 17</t>
  </si>
  <si>
    <t>$U$49 17</t>
  </si>
  <si>
    <t>$W$74 17</t>
  </si>
  <si>
    <t>$W$71 17</t>
  </si>
  <si>
    <t>$W$70 17</t>
  </si>
  <si>
    <t>$W$69 17</t>
  </si>
  <si>
    <t>$W$67 17</t>
  </si>
  <si>
    <t>$X$62 17</t>
  </si>
  <si>
    <t>$X$63 17</t>
  </si>
  <si>
    <t>$X$68 17</t>
  </si>
  <si>
    <t>$Y$66 17</t>
  </si>
  <si>
    <t>$Y$63 17</t>
  </si>
  <si>
    <t>$AA$14 17</t>
  </si>
  <si>
    <t>2003H</t>
  </si>
  <si>
    <t>$AA$63 17</t>
  </si>
  <si>
    <t>$AA$55 17</t>
  </si>
  <si>
    <t>$AA$78 17</t>
  </si>
  <si>
    <t>$AA$77 17</t>
  </si>
  <si>
    <t>2033H</t>
  </si>
  <si>
    <t>$AB$47 17</t>
  </si>
  <si>
    <t>$AB$53 17</t>
  </si>
  <si>
    <t>$AB$54 17</t>
  </si>
  <si>
    <t>$AB$13 17</t>
  </si>
  <si>
    <t>2152H</t>
  </si>
  <si>
    <t>2209H</t>
  </si>
  <si>
    <t>$AC$54 17</t>
  </si>
  <si>
    <t>$AC$66 17</t>
  </si>
  <si>
    <t>2215H</t>
  </si>
  <si>
    <t>$AC$53 17</t>
  </si>
  <si>
    <t>$F$24 18</t>
  </si>
  <si>
    <t>$F$14 18</t>
  </si>
  <si>
    <t>2342H</t>
  </si>
  <si>
    <t>$F$16 18</t>
  </si>
  <si>
    <t>$G$61 18</t>
  </si>
  <si>
    <t>$G$63 18</t>
  </si>
  <si>
    <t>0106H</t>
  </si>
  <si>
    <t>$H$27 18</t>
  </si>
  <si>
    <t>$I$52 18</t>
  </si>
  <si>
    <t>0304H</t>
  </si>
  <si>
    <t>$J$52 18</t>
  </si>
  <si>
    <t>0259H</t>
  </si>
  <si>
    <t>$I$28 18</t>
  </si>
  <si>
    <t>0409H</t>
  </si>
  <si>
    <t>$J$58 18</t>
  </si>
  <si>
    <t>$J$57 18</t>
  </si>
  <si>
    <t>$L$44 18</t>
  </si>
  <si>
    <t>$L$61 18</t>
  </si>
  <si>
    <t>$L$62 18</t>
  </si>
  <si>
    <t>$L$57 18</t>
  </si>
  <si>
    <t>$L$58 18</t>
  </si>
  <si>
    <t>$L$28 18</t>
  </si>
  <si>
    <t>0519H</t>
  </si>
  <si>
    <t>$M$44 18</t>
  </si>
  <si>
    <t>$M$56 18</t>
  </si>
  <si>
    <t>$M$57 18</t>
  </si>
  <si>
    <t>$N$77 18</t>
  </si>
  <si>
    <t>$N$78 18</t>
  </si>
  <si>
    <t>$N$56 18</t>
  </si>
  <si>
    <t>$N$48 18</t>
  </si>
  <si>
    <t>$N$45 18</t>
  </si>
  <si>
    <t>$N$46 18</t>
  </si>
  <si>
    <t>$N$49 18</t>
  </si>
  <si>
    <t>$O$55 18</t>
  </si>
  <si>
    <t>$O$47 18</t>
  </si>
  <si>
    <t>$O$53 18</t>
  </si>
  <si>
    <t>$O$54 18</t>
  </si>
  <si>
    <t>$O$24 18</t>
  </si>
  <si>
    <t>$O$48 18</t>
  </si>
  <si>
    <t>0824H</t>
  </si>
  <si>
    <t>$O$45 18</t>
  </si>
  <si>
    <t>$O$46 18</t>
  </si>
  <si>
    <t>$O$52 18</t>
  </si>
  <si>
    <t>$O$58 18</t>
  </si>
  <si>
    <t>$O$57 18</t>
  </si>
  <si>
    <t>$O$49 18</t>
  </si>
  <si>
    <t>$O$27 18</t>
  </si>
  <si>
    <t>$O$13 18</t>
  </si>
  <si>
    <t>$P$57 18</t>
  </si>
  <si>
    <t>0905H</t>
  </si>
  <si>
    <t>$P$66 18</t>
  </si>
  <si>
    <t>1014H</t>
  </si>
  <si>
    <t>$Q$44 18</t>
  </si>
  <si>
    <t>$Q$16 18</t>
  </si>
  <si>
    <t>1031H</t>
  </si>
  <si>
    <t>$Q$66 18</t>
  </si>
  <si>
    <t>1039H</t>
  </si>
  <si>
    <t>$Q$56 18</t>
  </si>
  <si>
    <t>$R$48 18</t>
  </si>
  <si>
    <t>$R$14 18</t>
  </si>
  <si>
    <t>1112H</t>
  </si>
  <si>
    <t>$R$44 18</t>
  </si>
  <si>
    <t>1140H</t>
  </si>
  <si>
    <t>$R$56 18</t>
  </si>
  <si>
    <t>$R$62 18</t>
  </si>
  <si>
    <t>$R$63 18</t>
  </si>
  <si>
    <t>$S$45 18</t>
  </si>
  <si>
    <t>LOW EGT CYL A3 &amp; A9</t>
  </si>
  <si>
    <t>$T$46 18</t>
  </si>
  <si>
    <t>1311H</t>
  </si>
  <si>
    <t>$T$48 18</t>
  </si>
  <si>
    <t>1337H</t>
  </si>
  <si>
    <t>$T$49 18</t>
  </si>
  <si>
    <t>$T$14 18</t>
  </si>
  <si>
    <t>$T$55 18</t>
  </si>
  <si>
    <t>$U$13 18</t>
  </si>
  <si>
    <t>1425H</t>
  </si>
  <si>
    <t>$U$47 18</t>
  </si>
  <si>
    <t>$U$66 18</t>
  </si>
  <si>
    <t>LOW EGT</t>
  </si>
  <si>
    <t>1508H</t>
  </si>
  <si>
    <t>$V$45 18</t>
  </si>
  <si>
    <t>$V$46 18</t>
  </si>
  <si>
    <t>$V$66 18</t>
  </si>
  <si>
    <t>$V$13 18</t>
  </si>
  <si>
    <t>$V$53 18</t>
  </si>
  <si>
    <t>$V$54 18</t>
  </si>
  <si>
    <t>1608H</t>
  </si>
  <si>
    <t>$W$55 18</t>
  </si>
  <si>
    <t>1612H</t>
  </si>
  <si>
    <t>$W$47 18</t>
  </si>
  <si>
    <t>$W$54 18</t>
  </si>
  <si>
    <t>$W$53 18</t>
  </si>
  <si>
    <t>$Y$66 18</t>
  </si>
  <si>
    <t>$Y$78 18</t>
  </si>
  <si>
    <t>$Y$77 18</t>
  </si>
  <si>
    <t>$W$29 18</t>
  </si>
  <si>
    <t>$Z$29 18</t>
  </si>
  <si>
    <t>$AB$24 18</t>
  </si>
  <si>
    <t>2208H</t>
  </si>
  <si>
    <t>$AC$69 18</t>
  </si>
  <si>
    <t>$AC$14 18</t>
  </si>
  <si>
    <t>2257H</t>
  </si>
  <si>
    <t>$AC$29 18</t>
  </si>
  <si>
    <t>$X$63 18</t>
  </si>
  <si>
    <t>$X$61 18</t>
  </si>
  <si>
    <t>$F$62 19</t>
  </si>
  <si>
    <t>$F$61 19</t>
  </si>
  <si>
    <t>$F$16 19</t>
  </si>
  <si>
    <t>$F$27 19</t>
  </si>
  <si>
    <t>$F$66 19</t>
  </si>
  <si>
    <t>$L$62 19</t>
  </si>
  <si>
    <t>$L$63 19</t>
  </si>
  <si>
    <t>$L$14 19</t>
  </si>
  <si>
    <t>$L$52 19</t>
  </si>
  <si>
    <t>$L$24 19</t>
  </si>
  <si>
    <t>$M$57 19</t>
  </si>
  <si>
    <t>$M$14 19</t>
  </si>
  <si>
    <t>$M$69 19</t>
  </si>
  <si>
    <t>$M$77 19</t>
  </si>
  <si>
    <t>$M$78 19</t>
  </si>
  <si>
    <t>0627H</t>
  </si>
  <si>
    <t>$M$45 19</t>
  </si>
  <si>
    <t>$M$56 19</t>
  </si>
  <si>
    <t>$M$52 19</t>
  </si>
  <si>
    <t>$M$44 19</t>
  </si>
  <si>
    <t>0721H</t>
  </si>
  <si>
    <t>$N$56 19</t>
  </si>
  <si>
    <t>0728H</t>
  </si>
  <si>
    <t>$N$45 19</t>
  </si>
  <si>
    <t>0726H</t>
  </si>
  <si>
    <t>$N$24 19</t>
  </si>
  <si>
    <t>$O$46 19</t>
  </si>
  <si>
    <t>$O$55 19</t>
  </si>
  <si>
    <t>$O$49 19</t>
  </si>
  <si>
    <t>$O$47 19</t>
  </si>
  <si>
    <t>$O$53 19</t>
  </si>
  <si>
    <t>0842H</t>
  </si>
  <si>
    <t>$O$52 19</t>
  </si>
  <si>
    <t>$O$58 19</t>
  </si>
  <si>
    <t>$O$16 19</t>
  </si>
  <si>
    <t>0851H</t>
  </si>
  <si>
    <t>$O$27 19</t>
  </si>
  <si>
    <t>$O$66 19</t>
  </si>
  <si>
    <t>$P$52 19</t>
  </si>
  <si>
    <t>$P$58 19</t>
  </si>
  <si>
    <t>$P$66 19</t>
  </si>
  <si>
    <t>$P$53 19</t>
  </si>
  <si>
    <t>$S$21 19</t>
  </si>
  <si>
    <t>fuel leak at cyl A5</t>
  </si>
  <si>
    <t>$S$57 19</t>
  </si>
  <si>
    <t>$S$14 19</t>
  </si>
  <si>
    <t>$T$21 19</t>
  </si>
  <si>
    <t>1331H</t>
  </si>
  <si>
    <t>$T$44 19</t>
  </si>
  <si>
    <t>1333H</t>
  </si>
  <si>
    <t>$T$16 19</t>
  </si>
  <si>
    <t>1417H</t>
  </si>
  <si>
    <t>1442H</t>
  </si>
  <si>
    <t>$T$14 19</t>
  </si>
  <si>
    <t>1449H</t>
  </si>
  <si>
    <t>$U$57 19</t>
  </si>
  <si>
    <t>EMERGENCY UNLOAD DUE TO GAS LEAK AT EXHAUST MANIFOLD B-BANK</t>
  </si>
  <si>
    <t>$V$56 19</t>
  </si>
  <si>
    <t>1531H</t>
  </si>
  <si>
    <t>$V$45 19</t>
  </si>
  <si>
    <t>$V$46 19</t>
  </si>
  <si>
    <t>$V$44 19</t>
  </si>
  <si>
    <t>1613H</t>
  </si>
  <si>
    <t>$W$56 19</t>
  </si>
  <si>
    <t>1619H</t>
  </si>
  <si>
    <t>$W$66 19</t>
  </si>
  <si>
    <t>$W$68 19</t>
  </si>
  <si>
    <t>$W$45 19</t>
  </si>
  <si>
    <t>$W$46 19</t>
  </si>
  <si>
    <t>$R$63 19</t>
  </si>
  <si>
    <t>$R$61 19</t>
  </si>
  <si>
    <t>$X$61 19</t>
  </si>
  <si>
    <t>$X$62 19</t>
  </si>
  <si>
    <t>1720H</t>
  </si>
  <si>
    <t>$X$69 19</t>
  </si>
  <si>
    <t>$Y$49 19</t>
  </si>
  <si>
    <t>$Y$55 19</t>
  </si>
  <si>
    <t>$Y$68 19</t>
  </si>
  <si>
    <t>1843H</t>
  </si>
  <si>
    <t>$Y$54 19</t>
  </si>
  <si>
    <t>1845H</t>
  </si>
  <si>
    <t>$Y$53 19</t>
  </si>
  <si>
    <t>1844H</t>
  </si>
  <si>
    <t>$Y$69 19</t>
  </si>
  <si>
    <t>$Y$66 19</t>
  </si>
  <si>
    <t>$Y$67 19</t>
  </si>
  <si>
    <t>$Y$70 19</t>
  </si>
  <si>
    <t>$Y$71 19</t>
  </si>
  <si>
    <t>$Y$74 19</t>
  </si>
  <si>
    <t>TRIPPED
INDICATION: OVERCURRENT</t>
  </si>
  <si>
    <t>TRIPPED
INDICATION: OVERPOWER AND OVERCURRENT</t>
  </si>
  <si>
    <t>1922H</t>
  </si>
  <si>
    <t>$Z$55 19</t>
  </si>
  <si>
    <t>$Z$54 19</t>
  </si>
  <si>
    <t>$Z$67 19</t>
  </si>
  <si>
    <t>$Z$69 19</t>
  </si>
  <si>
    <t>$Z$70 19</t>
  </si>
  <si>
    <t>$Z$71 19</t>
  </si>
  <si>
    <t>$Z$74 19</t>
  </si>
  <si>
    <t>$Z$68 19</t>
  </si>
  <si>
    <t>$Z$53 19</t>
  </si>
  <si>
    <t>2056H</t>
  </si>
  <si>
    <t>$AA$56 19</t>
  </si>
  <si>
    <t>2057H</t>
  </si>
  <si>
    <t>$AA$52 19</t>
  </si>
  <si>
    <t>$AA$58 19</t>
  </si>
  <si>
    <t>$AA$44 19</t>
  </si>
  <si>
    <t>$AA$13 19</t>
  </si>
  <si>
    <t>FOR TROUBLESHOOTING AFTER TRIPPING OF 
DMCI BROOKE'S POINT</t>
  </si>
  <si>
    <t>2109H</t>
  </si>
  <si>
    <t>$AB$52 19</t>
  </si>
  <si>
    <t>$AB$58 19</t>
  </si>
  <si>
    <t>$Y$78 19</t>
  </si>
  <si>
    <t>$Y$77 19</t>
  </si>
  <si>
    <t>2129H</t>
  </si>
  <si>
    <t>$AB$44 19</t>
  </si>
  <si>
    <t>$AB$56 19</t>
  </si>
  <si>
    <t>$AC$24 19</t>
  </si>
  <si>
    <t>$F$62 20</t>
  </si>
  <si>
    <t>$F$63 20</t>
  </si>
  <si>
    <t>$G$27 20</t>
  </si>
  <si>
    <t>0234H</t>
  </si>
  <si>
    <t>$I$28 20</t>
  </si>
  <si>
    <t>0233H</t>
  </si>
  <si>
    <t>$J$69 20</t>
  </si>
  <si>
    <t>0349H</t>
  </si>
  <si>
    <t>$J$14 20</t>
  </si>
  <si>
    <t>0418H</t>
  </si>
  <si>
    <t>$K$45 20</t>
  </si>
  <si>
    <t>0443H</t>
  </si>
  <si>
    <t>$K$28 20</t>
  </si>
  <si>
    <t>0458H</t>
  </si>
  <si>
    <t>$K$14 20</t>
  </si>
  <si>
    <t>$M$46 20</t>
  </si>
  <si>
    <t>$M$77 20</t>
  </si>
  <si>
    <t>$M$78 20</t>
  </si>
  <si>
    <t>$M$49 20</t>
  </si>
  <si>
    <t>$M$14 20</t>
  </si>
  <si>
    <t>$M$55 20</t>
  </si>
  <si>
    <t>0624H</t>
  </si>
  <si>
    <t>$M$47 20</t>
  </si>
  <si>
    <t>0636H</t>
  </si>
  <si>
    <t>0654H</t>
  </si>
  <si>
    <t>$M$27 20</t>
  </si>
  <si>
    <t>0659H</t>
  </si>
  <si>
    <t>$N$66 20</t>
  </si>
  <si>
    <t>$N$24 20</t>
  </si>
  <si>
    <t>$O$53 20</t>
  </si>
  <si>
    <t>$O$54 20</t>
  </si>
  <si>
    <t>$O$52 20</t>
  </si>
  <si>
    <t>$O$21 20</t>
  </si>
  <si>
    <t>putol na stud bolt sa cyl A5</t>
  </si>
  <si>
    <t>0829H</t>
  </si>
  <si>
    <t>$O$58 20</t>
  </si>
  <si>
    <t>$O$44 20</t>
  </si>
  <si>
    <t>$O$13 20</t>
  </si>
  <si>
    <t>$O$45 20</t>
  </si>
  <si>
    <t>$O$46 20</t>
  </si>
  <si>
    <t>$O$49 20</t>
  </si>
  <si>
    <t>$O$55 20</t>
  </si>
  <si>
    <t>$O$24 20</t>
  </si>
  <si>
    <t>very high diff'l pressure of lube oil filter</t>
  </si>
  <si>
    <t>$O$56 20</t>
  </si>
  <si>
    <t>$P$66 20</t>
  </si>
  <si>
    <t>$P$67 20</t>
  </si>
  <si>
    <t>$P$68 20</t>
  </si>
  <si>
    <t>$P$70 20</t>
  </si>
  <si>
    <t>$P$71 20</t>
  </si>
  <si>
    <t>$P$74 20</t>
  </si>
  <si>
    <t>$P$44 20</t>
  </si>
  <si>
    <t>0948H</t>
  </si>
  <si>
    <t>$P$47 20</t>
  </si>
  <si>
    <t>$P$54 20</t>
  </si>
  <si>
    <t>$P$53 20</t>
  </si>
  <si>
    <t>$Q$67 20</t>
  </si>
  <si>
    <t>$Q$69 20</t>
  </si>
  <si>
    <t>$Q$70 20</t>
  </si>
  <si>
    <t>$Q$71 20</t>
  </si>
  <si>
    <t>$Q$74 20</t>
  </si>
  <si>
    <t>$Q$52 20</t>
  </si>
  <si>
    <t>1033H</t>
  </si>
  <si>
    <t>$Q$58 20</t>
  </si>
  <si>
    <t>1036H</t>
  </si>
  <si>
    <t>$R$24 20</t>
  </si>
  <si>
    <t>$R$56 20</t>
  </si>
  <si>
    <t>$R$45 20</t>
  </si>
  <si>
    <t>$R$46 20</t>
  </si>
  <si>
    <t>$R$49 20</t>
  </si>
  <si>
    <t>$L$63 20</t>
  </si>
  <si>
    <t>$L$61 20</t>
  </si>
  <si>
    <t>$R$61 20</t>
  </si>
  <si>
    <t>$R$62 20</t>
  </si>
  <si>
    <t>1120H</t>
  </si>
  <si>
    <t>$R$55 20</t>
  </si>
  <si>
    <t>1124H</t>
  </si>
  <si>
    <t>$R$14 20</t>
  </si>
  <si>
    <t>$R$47 20</t>
  </si>
  <si>
    <t>$R$74 20</t>
  </si>
  <si>
    <t>$R$57 20</t>
  </si>
  <si>
    <t>load test</t>
  </si>
  <si>
    <t>Neutralize PH as part of PMS activity load up to 3MW for 15mins</t>
  </si>
  <si>
    <t xml:space="preserve">load test
1218h Declared Commercial </t>
  </si>
  <si>
    <t>1226H</t>
  </si>
  <si>
    <t>$S$14 20</t>
  </si>
  <si>
    <t>$T$48 20</t>
  </si>
  <si>
    <t>1327H</t>
  </si>
  <si>
    <t>$T$45 20</t>
  </si>
  <si>
    <t>1321H</t>
  </si>
  <si>
    <t>$T$56 20</t>
  </si>
  <si>
    <t>$T$44 20</t>
  </si>
  <si>
    <t>1346H</t>
  </si>
  <si>
    <t>$T$53 20</t>
  </si>
  <si>
    <t>$T$54 20</t>
  </si>
  <si>
    <t>$T$32 20</t>
  </si>
  <si>
    <t>TRIPPED
INDICATION: VECTOR JUMP</t>
  </si>
  <si>
    <t>TRIPPED
INDICATION: CONDENSER HOT WELL WATER HIGH</t>
  </si>
  <si>
    <t>$U$40 20</t>
  </si>
  <si>
    <t>$U$43 20</t>
  </si>
  <si>
    <t>$U$46 20</t>
  </si>
  <si>
    <t>$U$49 20</t>
  </si>
  <si>
    <t>$U$45 20</t>
  </si>
  <si>
    <t>$U$47 20</t>
  </si>
  <si>
    <t>$U$48 20</t>
  </si>
  <si>
    <t>$U$53 20</t>
  </si>
  <si>
    <t>$U$54 20</t>
  </si>
  <si>
    <t>$U$55 20</t>
  </si>
  <si>
    <t>$U$39 20</t>
  </si>
  <si>
    <t>$U$41 20</t>
  </si>
  <si>
    <t>$V$32 20</t>
  </si>
  <si>
    <t>$V$48 20</t>
  </si>
  <si>
    <t>$V$52 20</t>
  </si>
  <si>
    <t>1557H</t>
  </si>
  <si>
    <t>$V$57 20</t>
  </si>
  <si>
    <t>$V$58 20</t>
  </si>
  <si>
    <t>$V$44 20</t>
  </si>
  <si>
    <t>$V$56 20</t>
  </si>
  <si>
    <t>1617H</t>
  </si>
  <si>
    <t>$W$40 20</t>
  </si>
  <si>
    <t>$W$43 20</t>
  </si>
  <si>
    <t>1654H</t>
  </si>
  <si>
    <t>$W$45 20</t>
  </si>
  <si>
    <t>$W$77 20</t>
  </si>
  <si>
    <t>TRIPPED
INDICATION: UNDERFREQUENCY</t>
  </si>
  <si>
    <t>$X$46 20</t>
  </si>
  <si>
    <t>$X$62 20</t>
  </si>
  <si>
    <t>$X$63 20</t>
  </si>
  <si>
    <t>$X$49 20</t>
  </si>
  <si>
    <t>$X$55 20</t>
  </si>
  <si>
    <t>1719H</t>
  </si>
  <si>
    <t>$X$47 20</t>
  </si>
  <si>
    <t>$X$77 20</t>
  </si>
  <si>
    <t>$X$78 20</t>
  </si>
  <si>
    <t>$X$67 20</t>
  </si>
  <si>
    <t>$X$68 20</t>
  </si>
  <si>
    <t>$Y$52 20</t>
  </si>
  <si>
    <t>$Y$58 20</t>
  </si>
  <si>
    <t>$Y$68 20</t>
  </si>
  <si>
    <t>$Y$57 20</t>
  </si>
  <si>
    <t>$Y$78 20</t>
  </si>
  <si>
    <t>$Y$77 20</t>
  </si>
  <si>
    <t>$Y$67 20</t>
  </si>
  <si>
    <t>$Y$70 20</t>
  </si>
  <si>
    <t>$Y$71 20</t>
  </si>
  <si>
    <t>$Y$74 20</t>
  </si>
  <si>
    <t>$Y$44 20</t>
  </si>
  <si>
    <t>1859H</t>
  </si>
  <si>
    <t>$Y$54 20</t>
  </si>
  <si>
    <t>1900H</t>
  </si>
  <si>
    <t>$Z$74 20</t>
  </si>
  <si>
    <t>$Z$71 20</t>
  </si>
  <si>
    <t>$Z$70 20</t>
  </si>
  <si>
    <t>$Z$69 20</t>
  </si>
  <si>
    <t>$Z$67 20</t>
  </si>
  <si>
    <t>$Z$53 20</t>
  </si>
  <si>
    <t>$Z$52 20</t>
  </si>
  <si>
    <t>$Z$68 20</t>
  </si>
  <si>
    <t>1935H</t>
  </si>
  <si>
    <t>$Z$66 20</t>
  </si>
  <si>
    <t>$Z$58 20</t>
  </si>
  <si>
    <t>1949H</t>
  </si>
  <si>
    <t>$Z$57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</si>
</sst>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</numFmts>
  <fonts count="6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sz val="20"/>
      <color rgb="FF000000"/>
      <name val="Calibri"/>
      <family val="2"/>
    </font>
    <font>
      <b/>
      <sz val="16"/>
      <color indexed="81"/>
      <name val="Tahoma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8"/>
      <color indexed="81"/>
      <name val="Tahoma"/>
      <family val="2"/>
    </font>
    <font>
      <b/>
      <sz val="10"/>
      <color theme="1"/>
      <name val="Arial"/>
      <family val="2"/>
    </font>
    <font>
      <u/>
      <sz val="9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511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171" fontId="12" fillId="0" borderId="2" xfId="1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43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6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43" fontId="44" fillId="18" borderId="1" xfId="1" applyFont="1" applyFill="1" applyBorder="1" applyAlignment="1">
      <alignment horizontal="center" vertical="center"/>
    </xf>
    <xf numFmtId="43" fontId="44" fillId="17" borderId="0" xfId="1" applyFont="1" applyFill="1" applyAlignment="1">
      <alignment horizontal="center"/>
    </xf>
    <xf numFmtId="43" fontId="44" fillId="18" borderId="11" xfId="1" applyFont="1" applyFill="1" applyBorder="1" applyAlignment="1">
      <alignment horizontal="center" vertical="center"/>
    </xf>
    <xf numFmtId="43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43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43" fontId="7" fillId="14" borderId="39" xfId="1" applyFont="1" applyFill="1" applyBorder="1" applyAlignment="1">
      <alignment horizontal="center"/>
    </xf>
    <xf numFmtId="43" fontId="7" fillId="14" borderId="0" xfId="1" applyFont="1" applyFill="1" applyBorder="1" applyAlignment="1">
      <alignment horizontal="center"/>
    </xf>
    <xf numFmtId="43" fontId="7" fillId="14" borderId="0" xfId="1" applyFont="1" applyFill="1" applyAlignment="1">
      <alignment horizontal="center"/>
    </xf>
    <xf numFmtId="43" fontId="7" fillId="14" borderId="2" xfId="1" applyFont="1" applyFill="1" applyBorder="1" applyAlignment="1">
      <alignment horizontal="center"/>
    </xf>
    <xf numFmtId="43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43" fontId="44" fillId="18" borderId="0" xfId="0" applyNumberFormat="1" applyFont="1" applyFill="1" applyAlignment="1">
      <alignment horizontal="center" vertical="center"/>
    </xf>
    <xf numFmtId="43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43" fontId="44" fillId="22" borderId="0" xfId="1" applyFont="1" applyFill="1" applyBorder="1" applyAlignment="1">
      <alignment horizontal="center" vertical="center"/>
    </xf>
    <xf numFmtId="43" fontId="44" fillId="8" borderId="0" xfId="1" applyFont="1" applyFill="1" applyBorder="1" applyAlignment="1">
      <alignment horizontal="center" vertical="center"/>
    </xf>
    <xf numFmtId="164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43" fontId="7" fillId="14" borderId="18" xfId="1" applyFont="1" applyFill="1" applyBorder="1" applyAlignment="1">
      <alignment horizontal="center"/>
    </xf>
    <xf numFmtId="43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1" fontId="14" fillId="0" borderId="2" xfId="1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43" fontId="7" fillId="0" borderId="18" xfId="1" applyFont="1" applyFill="1" applyBorder="1" applyAlignment="1">
      <alignment horizontal="center"/>
    </xf>
    <xf numFmtId="43" fontId="7" fillId="0" borderId="3" xfId="1" applyFont="1" applyFill="1" applyBorder="1" applyAlignment="1">
      <alignment horizontal="center"/>
    </xf>
    <xf numFmtId="43" fontId="7" fillId="0" borderId="19" xfId="1" applyFont="1" applyFill="1" applyBorder="1" applyAlignment="1">
      <alignment horizontal="center"/>
    </xf>
    <xf numFmtId="43" fontId="7" fillId="0" borderId="39" xfId="1" applyFont="1" applyFill="1" applyBorder="1" applyAlignment="1">
      <alignment horizontal="center"/>
    </xf>
    <xf numFmtId="43" fontId="7" fillId="0" borderId="0" xfId="1" applyFont="1" applyFill="1" applyAlignment="1">
      <alignment horizontal="center"/>
    </xf>
    <xf numFmtId="43" fontId="7" fillId="0" borderId="0" xfId="1" applyFont="1" applyFill="1" applyBorder="1" applyAlignment="1">
      <alignment horizontal="center"/>
    </xf>
    <xf numFmtId="43" fontId="7" fillId="0" borderId="40" xfId="1" applyFont="1" applyFill="1" applyBorder="1" applyAlignment="1">
      <alignment horizontal="center"/>
    </xf>
    <xf numFmtId="43" fontId="52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25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171" fontId="12" fillId="4" borderId="2" xfId="1" applyNumberFormat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43" fontId="7" fillId="26" borderId="2" xfId="1" applyFont="1" applyFill="1" applyBorder="1" applyAlignment="1">
      <alignment horizontal="center"/>
    </xf>
    <xf numFmtId="43" fontId="7" fillId="26" borderId="19" xfId="1" applyFont="1" applyFill="1" applyBorder="1" applyAlignment="1">
      <alignment horizont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3" fontId="0" fillId="0" borderId="0" xfId="0" applyNumberFormat="1"/>
    <xf numFmtId="43" fontId="7" fillId="14" borderId="3" xfId="1" applyFont="1" applyFill="1" applyBorder="1" applyAlignment="1">
      <alignment horizontal="center"/>
    </xf>
    <xf numFmtId="43" fontId="26" fillId="16" borderId="89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43" fontId="7" fillId="0" borderId="6" xfId="1" applyFont="1" applyFill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72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3" fillId="6" borderId="4" xfId="0" applyFont="1" applyFill="1" applyBorder="1" applyAlignment="1">
      <alignment vertical="center"/>
    </xf>
    <xf numFmtId="0" fontId="63" fillId="6" borderId="2" xfId="0" applyFont="1" applyFill="1" applyBorder="1" applyAlignment="1">
      <alignment vertical="center"/>
    </xf>
    <xf numFmtId="2" fontId="64" fillId="6" borderId="2" xfId="0" applyNumberFormat="1" applyFont="1" applyFill="1" applyBorder="1" applyAlignment="1">
      <alignment horizontal="center" vertical="center"/>
    </xf>
    <xf numFmtId="0" fontId="63" fillId="0" borderId="2" xfId="0" applyFont="1" applyBorder="1" applyAlignment="1">
      <alignment vertical="center"/>
    </xf>
    <xf numFmtId="0" fontId="63" fillId="0" borderId="4" xfId="0" applyFont="1" applyBorder="1" applyAlignment="1">
      <alignment vertical="center"/>
    </xf>
    <xf numFmtId="2" fontId="64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171" fontId="66" fillId="0" borderId="2" xfId="1" applyNumberFormat="1" applyFont="1" applyFill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2" fontId="30" fillId="12" borderId="2" xfId="0" applyNumberFormat="1" applyFont="1" applyFill="1" applyBorder="1" applyAlignment="1">
      <alignment horizontal="center" vertical="center"/>
    </xf>
    <xf numFmtId="0" fontId="60" fillId="15" borderId="17" xfId="0" applyFont="1" applyFill="1" applyBorder="1" applyAlignment="1">
      <alignment horizontal="center" vertical="center"/>
    </xf>
    <xf numFmtId="2" fontId="7" fillId="11" borderId="26" xfId="0" applyNumberFormat="1" applyFont="1" applyFill="1" applyBorder="1" applyAlignment="1">
      <alignment horizontal="center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0" borderId="72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0" fontId="7" fillId="27" borderId="0" xfId="0" applyFont="1" applyFill="1" applyAlignment="1">
      <alignment horizontal="center" vertical="center"/>
    </xf>
    <xf numFmtId="172" fontId="7" fillId="27" borderId="0" xfId="0" applyNumberFormat="1" applyFont="1" applyFill="1" applyAlignment="1">
      <alignment horizontal="center" vertical="center"/>
    </xf>
    <xf numFmtId="46" fontId="7" fillId="27" borderId="0" xfId="0" applyNumberFormat="1" applyFont="1" applyFill="1" applyAlignment="1">
      <alignment horizontal="center" vertical="center"/>
    </xf>
    <xf numFmtId="0" fontId="7" fillId="27" borderId="0" xfId="0" applyFont="1" applyFill="1" applyAlignment="1">
      <alignment horizontal="center" vertical="center" wrapText="1"/>
    </xf>
    <xf numFmtId="0" fontId="7" fillId="27" borderId="0" xfId="0" applyFont="1" applyFill="1" applyAlignment="1">
      <alignment vertical="center"/>
    </xf>
    <xf numFmtId="43" fontId="7" fillId="5" borderId="2" xfId="1" applyFont="1" applyFill="1" applyBorder="1" applyAlignment="1">
      <alignment horizontal="center"/>
    </xf>
    <xf numFmtId="0" fontId="35" fillId="0" borderId="0" xfId="4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52" fillId="0" borderId="0" xfId="0" applyFont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43" fontId="26" fillId="16" borderId="39" xfId="1" applyFont="1" applyFill="1" applyBorder="1" applyAlignment="1">
      <alignment horizontal="center" vertical="center"/>
    </xf>
    <xf numFmtId="43" fontId="26" fillId="16" borderId="35" xfId="1" applyFont="1" applyFill="1" applyBorder="1" applyAlignment="1">
      <alignment horizontal="center" vertical="center"/>
    </xf>
    <xf numFmtId="43" fontId="26" fillId="16" borderId="37" xfId="1" applyFont="1" applyFill="1" applyBorder="1" applyAlignment="1">
      <alignment horizontal="center" vertical="center"/>
    </xf>
    <xf numFmtId="43" fontId="26" fillId="16" borderId="34" xfId="1" applyFont="1" applyFill="1" applyBorder="1" applyAlignment="1">
      <alignment horizontal="center" vertical="center"/>
    </xf>
    <xf numFmtId="43" fontId="26" fillId="16" borderId="41" xfId="1" applyFont="1" applyFill="1" applyBorder="1" applyAlignment="1">
      <alignment horizontal="center" vertical="center"/>
    </xf>
    <xf numFmtId="43" fontId="26" fillId="16" borderId="40" xfId="1" applyFont="1" applyFill="1" applyBorder="1" applyAlignment="1">
      <alignment horizontal="center" vertical="center"/>
    </xf>
    <xf numFmtId="43" fontId="26" fillId="16" borderId="0" xfId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338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9B0F2"/>
      <color rgb="FFCF8BDD"/>
      <color rgb="FFCC99FF"/>
      <color rgb="FFCCCCFF"/>
      <color rgb="FF99FF66"/>
      <color rgb="FF99FF46"/>
      <color rgb="FF66FF33"/>
      <color rgb="FFFF3300"/>
      <color rgb="FFFFFF99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Array" Target="richData/rdarray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17/06/relationships/rdRichValueTypes" Target="richData/rdRichValueType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1.xml"/><Relationship Id="rId37" Type="http://schemas.microsoft.com/office/2017/06/relationships/rdRichValue" Target="richData/rdrichvalue.xml"/><Relationship Id="rId40" Type="http://schemas.microsoft.com/office/2017/06/relationships/rdSupportingPropertyBagStructure" Target="richData/rdsupportingpropertybagstructure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17/10/relationships/person" Target="persons/person.xml"/><Relationship Id="rId48" Type="http://schemas.microsoft.com/office/2023/09/relationships/Python" Target="pyth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'1'!$A$97:$C$97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'1'!$F$97:$AC$97</c:f>
              <c:numCache>
                <c:formatCode>0.00</c:formatCode>
                <c:ptCount val="24"/>
                <c:pt idx="0">
                  <c:v>42.730000000000004</c:v>
                </c:pt>
                <c:pt idx="1">
                  <c:v>40.700000000000003</c:v>
                </c:pt>
                <c:pt idx="2">
                  <c:v>38.749999999999993</c:v>
                </c:pt>
                <c:pt idx="3">
                  <c:v>39.159999999999997</c:v>
                </c:pt>
                <c:pt idx="4">
                  <c:v>34.630000000000003</c:v>
                </c:pt>
                <c:pt idx="5">
                  <c:v>33.32</c:v>
                </c:pt>
                <c:pt idx="6">
                  <c:v>32.839999999999996</c:v>
                </c:pt>
                <c:pt idx="7">
                  <c:v>33.69</c:v>
                </c:pt>
                <c:pt idx="8">
                  <c:v>41.790000000000006</c:v>
                </c:pt>
                <c:pt idx="9">
                  <c:v>43.79</c:v>
                </c:pt>
                <c:pt idx="10">
                  <c:v>49.13000000000001</c:v>
                </c:pt>
                <c:pt idx="11">
                  <c:v>50.800000000000011</c:v>
                </c:pt>
                <c:pt idx="12">
                  <c:v>49.88</c:v>
                </c:pt>
                <c:pt idx="13">
                  <c:v>52.209999999999994</c:v>
                </c:pt>
                <c:pt idx="14">
                  <c:v>51.059999999999995</c:v>
                </c:pt>
                <c:pt idx="15">
                  <c:v>51.6</c:v>
                </c:pt>
                <c:pt idx="16">
                  <c:v>51.160000000000011</c:v>
                </c:pt>
                <c:pt idx="17">
                  <c:v>53.160000000000004</c:v>
                </c:pt>
                <c:pt idx="18">
                  <c:v>55.6</c:v>
                </c:pt>
                <c:pt idx="19">
                  <c:v>57.160000000000011</c:v>
                </c:pt>
                <c:pt idx="20">
                  <c:v>57.36</c:v>
                </c:pt>
                <c:pt idx="21">
                  <c:v>55.580000000000005</c:v>
                </c:pt>
                <c:pt idx="22">
                  <c:v>52.16</c:v>
                </c:pt>
                <c:pt idx="23">
                  <c:v>47.329999999999991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E-4749-947B-CDB4546B3884}"/>
            </c:ext>
          </c:extLst>
        </c:ser>
        <c:ser>
          <c:idx val="4"/>
          <c:order val="1"/>
          <c:tx>
            <c:strRef>
              <c:f>'1'!$A$101:$C$101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1.6</c:v>
                </c:pt>
                <c:pt idx="5">
                  <c:v>1.6</c:v>
                </c:pt>
                <c:pt idx="6">
                  <c:v>1.6</c:v>
                </c:pt>
                <c:pt idx="7">
                  <c:v>1.6</c:v>
                </c:pt>
                <c:pt idx="8">
                  <c:v>0</c:v>
                </c:pt>
                <c:pt idx="9">
                  <c:v>3.78</c:v>
                </c:pt>
                <c:pt idx="10">
                  <c:v>3.78</c:v>
                </c:pt>
                <c:pt idx="11">
                  <c:v>3.78</c:v>
                </c:pt>
                <c:pt idx="12">
                  <c:v>3.78</c:v>
                </c:pt>
                <c:pt idx="13">
                  <c:v>3.78</c:v>
                </c:pt>
                <c:pt idx="14">
                  <c:v>4.7799999999999994</c:v>
                </c:pt>
                <c:pt idx="15">
                  <c:v>4.7799999999999994</c:v>
                </c:pt>
                <c:pt idx="16">
                  <c:v>4.7799999999999994</c:v>
                </c:pt>
                <c:pt idx="17">
                  <c:v>0</c:v>
                </c:pt>
                <c:pt idx="18">
                  <c:v>0</c:v>
                </c:pt>
                <c:pt idx="19">
                  <c:v>2.2399999999999998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E-4749-947B-CDB4546B38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D3E-4749-947B-CDB4546B3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'2'!$A$97:$C$97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'2'!$F$97:$AC$97</c:f>
              <c:numCache>
                <c:formatCode>0.00</c:formatCode>
                <c:ptCount val="24"/>
                <c:pt idx="0">
                  <c:v>43.959999999999994</c:v>
                </c:pt>
                <c:pt idx="1">
                  <c:v>40.189999999999991</c:v>
                </c:pt>
                <c:pt idx="2">
                  <c:v>38.090000000000003</c:v>
                </c:pt>
                <c:pt idx="3">
                  <c:v>37.239999999999995</c:v>
                </c:pt>
                <c:pt idx="4">
                  <c:v>36.39</c:v>
                </c:pt>
                <c:pt idx="5">
                  <c:v>36.010000000000005</c:v>
                </c:pt>
                <c:pt idx="6">
                  <c:v>36.170000000000009</c:v>
                </c:pt>
                <c:pt idx="7">
                  <c:v>37.419999999999995</c:v>
                </c:pt>
                <c:pt idx="8">
                  <c:v>39.299999999999997</c:v>
                </c:pt>
                <c:pt idx="9">
                  <c:v>44.150000000000006</c:v>
                </c:pt>
                <c:pt idx="10">
                  <c:v>48.78</c:v>
                </c:pt>
                <c:pt idx="11">
                  <c:v>48.860000000000007</c:v>
                </c:pt>
                <c:pt idx="12">
                  <c:v>47.78</c:v>
                </c:pt>
                <c:pt idx="13">
                  <c:v>49.500000000000007</c:v>
                </c:pt>
                <c:pt idx="14">
                  <c:v>49.271999999999998</c:v>
                </c:pt>
                <c:pt idx="15">
                  <c:v>50.54</c:v>
                </c:pt>
                <c:pt idx="16">
                  <c:v>50.300000000000004</c:v>
                </c:pt>
                <c:pt idx="17">
                  <c:v>49.830000000000005</c:v>
                </c:pt>
                <c:pt idx="18">
                  <c:v>50.338000000000001</c:v>
                </c:pt>
                <c:pt idx="19">
                  <c:v>55.179999999999986</c:v>
                </c:pt>
                <c:pt idx="20">
                  <c:v>54.639999999999993</c:v>
                </c:pt>
                <c:pt idx="21">
                  <c:v>53.719999999999992</c:v>
                </c:pt>
                <c:pt idx="22">
                  <c:v>49.06</c:v>
                </c:pt>
                <c:pt idx="23">
                  <c:v>43.930000000000007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5-427A-A271-C1CF632B3ABA}"/>
            </c:ext>
          </c:extLst>
        </c:ser>
        <c:ser>
          <c:idx val="4"/>
          <c:order val="1"/>
          <c:tx>
            <c:strRef>
              <c:f>'2'!$A$101:$C$101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0.84</c:v>
                </c:pt>
                <c:pt idx="13">
                  <c:v>0.84</c:v>
                </c:pt>
                <c:pt idx="14">
                  <c:v>0.84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</c:v>
                </c:pt>
                <c:pt idx="19">
                  <c:v>2.17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5-427A-A271-C1CF632B3AB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F05-427A-A271-C1CF632B3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'3'!$A$97:$C$97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'3'!$F$97:$AC$97</c:f>
              <c:numCache>
                <c:formatCode>0.00</c:formatCode>
                <c:ptCount val="24"/>
                <c:pt idx="0">
                  <c:v>40.539999999999992</c:v>
                </c:pt>
                <c:pt idx="1">
                  <c:v>37.689999999999991</c:v>
                </c:pt>
                <c:pt idx="2">
                  <c:v>35.93</c:v>
                </c:pt>
                <c:pt idx="3">
                  <c:v>34.889999999999993</c:v>
                </c:pt>
                <c:pt idx="4">
                  <c:v>34.69</c:v>
                </c:pt>
                <c:pt idx="5">
                  <c:v>36.860000000000007</c:v>
                </c:pt>
                <c:pt idx="6">
                  <c:v>41.440000000000005</c:v>
                </c:pt>
                <c:pt idx="7">
                  <c:v>38.949999999999996</c:v>
                </c:pt>
                <c:pt idx="8">
                  <c:v>38.76</c:v>
                </c:pt>
                <c:pt idx="9">
                  <c:v>51.56</c:v>
                </c:pt>
                <c:pt idx="10">
                  <c:v>58.38</c:v>
                </c:pt>
                <c:pt idx="11">
                  <c:v>57.980000000000004</c:v>
                </c:pt>
                <c:pt idx="12">
                  <c:v>58.27999999999998</c:v>
                </c:pt>
                <c:pt idx="13">
                  <c:v>58.569999999999993</c:v>
                </c:pt>
                <c:pt idx="14">
                  <c:v>59.059999999999995</c:v>
                </c:pt>
                <c:pt idx="15">
                  <c:v>57.491111111111103</c:v>
                </c:pt>
                <c:pt idx="16">
                  <c:v>59.437222222222218</c:v>
                </c:pt>
                <c:pt idx="17">
                  <c:v>56.603333333333339</c:v>
                </c:pt>
                <c:pt idx="18">
                  <c:v>55.373333333333328</c:v>
                </c:pt>
                <c:pt idx="19">
                  <c:v>59.25555555555556</c:v>
                </c:pt>
                <c:pt idx="20">
                  <c:v>58.427777777777777</c:v>
                </c:pt>
                <c:pt idx="21">
                  <c:v>54.009999999999991</c:v>
                </c:pt>
                <c:pt idx="22">
                  <c:v>48.579999999999991</c:v>
                </c:pt>
                <c:pt idx="23">
                  <c:v>42.872500000000002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2-40D5-B6A4-B6C696941015}"/>
            </c:ext>
          </c:extLst>
        </c:ser>
        <c:ser>
          <c:idx val="4"/>
          <c:order val="1"/>
          <c:tx>
            <c:strRef>
              <c:f>'3'!$A$101:$C$101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2.66</c:v>
                </c:pt>
                <c:pt idx="14">
                  <c:v>5.31</c:v>
                </c:pt>
                <c:pt idx="15">
                  <c:v>4.83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F2-40D5-B6A4-B6C6969410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5F2-40D5-B6A4-B6C696941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'4'!$A$100:$C$100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'4'!$F$100:$AC$100</c:f>
              <c:numCache>
                <c:formatCode>0.00</c:formatCode>
                <c:ptCount val="24"/>
                <c:pt idx="0">
                  <c:v>36.82</c:v>
                </c:pt>
                <c:pt idx="1">
                  <c:v>38.010000000000005</c:v>
                </c:pt>
                <c:pt idx="2">
                  <c:v>35.67</c:v>
                </c:pt>
                <c:pt idx="3">
                  <c:v>35.299999999999997</c:v>
                </c:pt>
                <c:pt idx="4">
                  <c:v>35.22</c:v>
                </c:pt>
                <c:pt idx="5">
                  <c:v>36.67</c:v>
                </c:pt>
                <c:pt idx="6">
                  <c:v>40.28</c:v>
                </c:pt>
                <c:pt idx="7">
                  <c:v>40.85</c:v>
                </c:pt>
                <c:pt idx="8">
                  <c:v>42.57</c:v>
                </c:pt>
                <c:pt idx="9">
                  <c:v>53</c:v>
                </c:pt>
                <c:pt idx="10">
                  <c:v>58.38</c:v>
                </c:pt>
                <c:pt idx="11">
                  <c:v>59.286999999999999</c:v>
                </c:pt>
                <c:pt idx="12">
                  <c:v>58.640000000000008</c:v>
                </c:pt>
                <c:pt idx="13">
                  <c:v>58.48</c:v>
                </c:pt>
                <c:pt idx="14">
                  <c:v>61.163863636363637</c:v>
                </c:pt>
                <c:pt idx="15">
                  <c:v>61.000181818181829</c:v>
                </c:pt>
                <c:pt idx="16">
                  <c:v>60.861999999999995</c:v>
                </c:pt>
                <c:pt idx="17">
                  <c:v>58.517999999999994</c:v>
                </c:pt>
                <c:pt idx="18">
                  <c:v>55.741</c:v>
                </c:pt>
                <c:pt idx="19">
                  <c:v>59.98</c:v>
                </c:pt>
                <c:pt idx="20">
                  <c:v>57.181666666666658</c:v>
                </c:pt>
                <c:pt idx="21">
                  <c:v>54.881666666666668</c:v>
                </c:pt>
                <c:pt idx="22">
                  <c:v>49.836666666666666</c:v>
                </c:pt>
                <c:pt idx="23">
                  <c:v>45.26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2-4A7A-86E7-5D038762F005}"/>
            </c:ext>
          </c:extLst>
        </c:ser>
        <c:ser>
          <c:idx val="4"/>
          <c:order val="1"/>
          <c:tx>
            <c:strRef>
              <c:f>'4'!$A$104:$C$104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'4'!$F$104:$AC$104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52-4A7A-86E7-5D038762F00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452-4A7A-86E7-5D038762F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'5'!$F$101:$AC$101</c:f>
              <c:numCache>
                <c:formatCode>0.00</c:formatCode>
                <c:ptCount val="24"/>
                <c:pt idx="0">
                  <c:v>40.860000000000014</c:v>
                </c:pt>
                <c:pt idx="1">
                  <c:v>37.93</c:v>
                </c:pt>
                <c:pt idx="2">
                  <c:v>37.960000000000008</c:v>
                </c:pt>
                <c:pt idx="3">
                  <c:v>34.19</c:v>
                </c:pt>
                <c:pt idx="4">
                  <c:v>34.25</c:v>
                </c:pt>
                <c:pt idx="5">
                  <c:v>35.449999999999996</c:v>
                </c:pt>
                <c:pt idx="6">
                  <c:v>41.254999999999995</c:v>
                </c:pt>
                <c:pt idx="7">
                  <c:v>38.78</c:v>
                </c:pt>
                <c:pt idx="8">
                  <c:v>41.929999999999993</c:v>
                </c:pt>
                <c:pt idx="9">
                  <c:v>50.57</c:v>
                </c:pt>
                <c:pt idx="10">
                  <c:v>57.09</c:v>
                </c:pt>
                <c:pt idx="11">
                  <c:v>59.49</c:v>
                </c:pt>
                <c:pt idx="12">
                  <c:v>58.259999999999991</c:v>
                </c:pt>
                <c:pt idx="13">
                  <c:v>59.5</c:v>
                </c:pt>
                <c:pt idx="14">
                  <c:v>60.808</c:v>
                </c:pt>
                <c:pt idx="15">
                  <c:v>61.133000000000003</c:v>
                </c:pt>
                <c:pt idx="16">
                  <c:v>60.59</c:v>
                </c:pt>
                <c:pt idx="17">
                  <c:v>56.720000000000006</c:v>
                </c:pt>
                <c:pt idx="18">
                  <c:v>55.660000000000011</c:v>
                </c:pt>
                <c:pt idx="19">
                  <c:v>60.960000000000008</c:v>
                </c:pt>
                <c:pt idx="20">
                  <c:v>59.15</c:v>
                </c:pt>
                <c:pt idx="21">
                  <c:v>57.57</c:v>
                </c:pt>
                <c:pt idx="22">
                  <c:v>50.550000000000004</c:v>
                </c:pt>
                <c:pt idx="23">
                  <c:v>48.36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5-4BCF-A068-EC7905573002}"/>
            </c:ext>
          </c:extLst>
        </c:ser>
        <c:ser>
          <c:idx val="4"/>
          <c:order val="1"/>
          <c:tx>
            <c:strRef>
              <c:f>'5'!$A$105:$C$105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1.1859999999999999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1.04</c:v>
                </c:pt>
                <c:pt idx="23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5-4BCF-A068-EC790557300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55-4BCF-A068-EC7905573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'6'!$F$101:$AC$101</c:f>
              <c:numCache>
                <c:formatCode>0.00</c:formatCode>
                <c:ptCount val="24"/>
                <c:pt idx="0">
                  <c:v>39.859999999999992</c:v>
                </c:pt>
                <c:pt idx="1">
                  <c:v>38.980000000000004</c:v>
                </c:pt>
                <c:pt idx="2">
                  <c:v>37.340000000000003</c:v>
                </c:pt>
                <c:pt idx="3">
                  <c:v>36.6</c:v>
                </c:pt>
                <c:pt idx="4">
                  <c:v>35.589999999999996</c:v>
                </c:pt>
                <c:pt idx="5">
                  <c:v>37.450000000000003</c:v>
                </c:pt>
                <c:pt idx="6">
                  <c:v>40.880000000000003</c:v>
                </c:pt>
                <c:pt idx="7">
                  <c:v>39.700000000000003</c:v>
                </c:pt>
                <c:pt idx="8">
                  <c:v>42.879999999999988</c:v>
                </c:pt>
                <c:pt idx="9">
                  <c:v>51.370000000000005</c:v>
                </c:pt>
                <c:pt idx="10">
                  <c:v>56.8</c:v>
                </c:pt>
                <c:pt idx="11">
                  <c:v>58.38</c:v>
                </c:pt>
                <c:pt idx="12">
                  <c:v>57.389999999999993</c:v>
                </c:pt>
                <c:pt idx="13">
                  <c:v>58.370000000000005</c:v>
                </c:pt>
                <c:pt idx="14">
                  <c:v>60.139000000000003</c:v>
                </c:pt>
                <c:pt idx="15">
                  <c:v>60.571000000000012</c:v>
                </c:pt>
                <c:pt idx="16">
                  <c:v>59.954000000000001</c:v>
                </c:pt>
                <c:pt idx="17">
                  <c:v>57.060000000000009</c:v>
                </c:pt>
                <c:pt idx="18">
                  <c:v>55.32</c:v>
                </c:pt>
                <c:pt idx="19">
                  <c:v>61.146000000000001</c:v>
                </c:pt>
                <c:pt idx="20">
                  <c:v>57.110000000000007</c:v>
                </c:pt>
                <c:pt idx="21">
                  <c:v>53.690000000000012</c:v>
                </c:pt>
                <c:pt idx="22">
                  <c:v>50.309999999999995</c:v>
                </c:pt>
                <c:pt idx="23">
                  <c:v>45.58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8-441A-BBF1-240A951DEDE2}"/>
            </c:ext>
          </c:extLst>
        </c:ser>
        <c:ser>
          <c:idx val="4"/>
          <c:order val="1"/>
          <c:tx>
            <c:strRef>
              <c:f>'6'!$A$105:$C$105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0.96</c:v>
                </c:pt>
                <c:pt idx="15">
                  <c:v>0.96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8-441A-BBF1-240A951DEDE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378-441A-BBF1-240A951DE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'7'!$F$101:$AC$101</c:f>
              <c:numCache>
                <c:formatCode>0.00</c:formatCode>
                <c:ptCount val="24"/>
                <c:pt idx="0">
                  <c:v>41.600000000000009</c:v>
                </c:pt>
                <c:pt idx="1">
                  <c:v>39.25</c:v>
                </c:pt>
                <c:pt idx="2">
                  <c:v>37.869999999999997</c:v>
                </c:pt>
                <c:pt idx="3">
                  <c:v>36.930000000000007</c:v>
                </c:pt>
                <c:pt idx="4">
                  <c:v>36.069999999999993</c:v>
                </c:pt>
                <c:pt idx="5">
                  <c:v>38.07</c:v>
                </c:pt>
                <c:pt idx="6">
                  <c:v>41.470000000000006</c:v>
                </c:pt>
                <c:pt idx="7">
                  <c:v>42.39</c:v>
                </c:pt>
                <c:pt idx="8">
                  <c:v>43.46</c:v>
                </c:pt>
                <c:pt idx="9">
                  <c:v>48.9</c:v>
                </c:pt>
                <c:pt idx="10">
                  <c:v>52.480000000000004</c:v>
                </c:pt>
                <c:pt idx="11">
                  <c:v>53.040000000000006</c:v>
                </c:pt>
                <c:pt idx="12">
                  <c:v>52.45000000000001</c:v>
                </c:pt>
                <c:pt idx="13">
                  <c:v>54.949999999999996</c:v>
                </c:pt>
                <c:pt idx="14">
                  <c:v>56.05</c:v>
                </c:pt>
                <c:pt idx="15">
                  <c:v>55.740000000000009</c:v>
                </c:pt>
                <c:pt idx="16">
                  <c:v>56.53</c:v>
                </c:pt>
                <c:pt idx="17">
                  <c:v>53.82</c:v>
                </c:pt>
                <c:pt idx="18">
                  <c:v>51.94</c:v>
                </c:pt>
                <c:pt idx="19">
                  <c:v>58.610000000000007</c:v>
                </c:pt>
                <c:pt idx="20">
                  <c:v>54.600000000000009</c:v>
                </c:pt>
                <c:pt idx="21">
                  <c:v>48.46</c:v>
                </c:pt>
                <c:pt idx="22">
                  <c:v>46.32</c:v>
                </c:pt>
                <c:pt idx="23">
                  <c:v>44.160000000000004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70-42CB-B621-75427822DBB7}"/>
            </c:ext>
          </c:extLst>
        </c:ser>
        <c:ser>
          <c:idx val="4"/>
          <c:order val="1"/>
          <c:tx>
            <c:strRef>
              <c:f>'7'!$A$105:$C$105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0.99</c:v>
                </c:pt>
                <c:pt idx="11">
                  <c:v>0.99</c:v>
                </c:pt>
                <c:pt idx="12">
                  <c:v>0.99</c:v>
                </c:pt>
                <c:pt idx="13">
                  <c:v>0.99</c:v>
                </c:pt>
                <c:pt idx="14">
                  <c:v>0.99</c:v>
                </c:pt>
                <c:pt idx="15">
                  <c:v>0.99</c:v>
                </c:pt>
                <c:pt idx="16">
                  <c:v>0.99</c:v>
                </c:pt>
                <c:pt idx="17">
                  <c:v>0.99</c:v>
                </c:pt>
                <c:pt idx="18">
                  <c:v>0.99</c:v>
                </c:pt>
                <c:pt idx="19">
                  <c:v>0</c:v>
                </c:pt>
                <c:pt idx="20">
                  <c:v>1.1200000000000001</c:v>
                </c:pt>
                <c:pt idx="21">
                  <c:v>6.8109999999999999</c:v>
                </c:pt>
                <c:pt idx="22">
                  <c:v>0.8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70-42CB-B621-75427822DBB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70-42CB-B621-75427822D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'8'!$F$101:$AC$101</c:f>
              <c:numCache>
                <c:formatCode>0.00</c:formatCode>
                <c:ptCount val="24"/>
                <c:pt idx="0">
                  <c:v>40.14</c:v>
                </c:pt>
                <c:pt idx="1">
                  <c:v>37.67</c:v>
                </c:pt>
                <c:pt idx="2">
                  <c:v>35.42</c:v>
                </c:pt>
                <c:pt idx="3">
                  <c:v>35.629999999999995</c:v>
                </c:pt>
                <c:pt idx="4">
                  <c:v>34.979999999999997</c:v>
                </c:pt>
                <c:pt idx="5">
                  <c:v>35.080000000000005</c:v>
                </c:pt>
                <c:pt idx="6">
                  <c:v>36.4</c:v>
                </c:pt>
                <c:pt idx="7">
                  <c:v>37.630000000000003</c:v>
                </c:pt>
                <c:pt idx="8">
                  <c:v>41.589999999999996</c:v>
                </c:pt>
                <c:pt idx="9">
                  <c:v>44.290000000000006</c:v>
                </c:pt>
                <c:pt idx="10">
                  <c:v>48.870000000000005</c:v>
                </c:pt>
                <c:pt idx="11">
                  <c:v>47.11</c:v>
                </c:pt>
                <c:pt idx="12">
                  <c:v>48.240000000000009</c:v>
                </c:pt>
                <c:pt idx="13">
                  <c:v>48</c:v>
                </c:pt>
                <c:pt idx="14">
                  <c:v>46.410000000000004</c:v>
                </c:pt>
                <c:pt idx="15">
                  <c:v>46.999999999999993</c:v>
                </c:pt>
                <c:pt idx="16">
                  <c:v>46.449999999999996</c:v>
                </c:pt>
                <c:pt idx="17">
                  <c:v>49.96</c:v>
                </c:pt>
                <c:pt idx="18">
                  <c:v>49.589999999999996</c:v>
                </c:pt>
                <c:pt idx="19">
                  <c:v>50.400000000000006</c:v>
                </c:pt>
                <c:pt idx="20">
                  <c:v>46.039999999999992</c:v>
                </c:pt>
                <c:pt idx="21">
                  <c:v>46.49</c:v>
                </c:pt>
                <c:pt idx="22">
                  <c:v>40.81</c:v>
                </c:pt>
                <c:pt idx="23">
                  <c:v>38.15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6F-49E8-9C8A-EEBFA1C3903D}"/>
            </c:ext>
          </c:extLst>
        </c:ser>
        <c:ser>
          <c:idx val="4"/>
          <c:order val="1"/>
          <c:tx>
            <c:strRef>
              <c:f>'8'!$A$105:$C$105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6F-49E8-9C8A-EEBFA1C3903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46F-49E8-9C8A-EEBFA1C39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'9'!$F$101:$AC$101</c:f>
              <c:numCache>
                <c:formatCode>0.00</c:formatCode>
                <c:ptCount val="24"/>
                <c:pt idx="0">
                  <c:v>35.29</c:v>
                </c:pt>
                <c:pt idx="1">
                  <c:v>33.489999999999995</c:v>
                </c:pt>
                <c:pt idx="2">
                  <c:v>32.479999999999997</c:v>
                </c:pt>
                <c:pt idx="3">
                  <c:v>30.92</c:v>
                </c:pt>
                <c:pt idx="4">
                  <c:v>31.3</c:v>
                </c:pt>
                <c:pt idx="5">
                  <c:v>31.759999999999998</c:v>
                </c:pt>
                <c:pt idx="6">
                  <c:v>32.65</c:v>
                </c:pt>
                <c:pt idx="7">
                  <c:v>33.61</c:v>
                </c:pt>
                <c:pt idx="8">
                  <c:v>36.72</c:v>
                </c:pt>
                <c:pt idx="9">
                  <c:v>37.93</c:v>
                </c:pt>
                <c:pt idx="10">
                  <c:v>39.929999999999993</c:v>
                </c:pt>
                <c:pt idx="11">
                  <c:v>40.299999999999997</c:v>
                </c:pt>
                <c:pt idx="12">
                  <c:v>41.17</c:v>
                </c:pt>
                <c:pt idx="13">
                  <c:v>39.369999999999997</c:v>
                </c:pt>
                <c:pt idx="14">
                  <c:v>36.250000000000007</c:v>
                </c:pt>
                <c:pt idx="15">
                  <c:v>34.909999999999997</c:v>
                </c:pt>
                <c:pt idx="16">
                  <c:v>40.120000000000005</c:v>
                </c:pt>
                <c:pt idx="17">
                  <c:v>42.8</c:v>
                </c:pt>
                <c:pt idx="18">
                  <c:v>43.510000000000012</c:v>
                </c:pt>
                <c:pt idx="19">
                  <c:v>46.57</c:v>
                </c:pt>
                <c:pt idx="20">
                  <c:v>43.84</c:v>
                </c:pt>
                <c:pt idx="21">
                  <c:v>8.98</c:v>
                </c:pt>
                <c:pt idx="22">
                  <c:v>11.87</c:v>
                </c:pt>
                <c:pt idx="23">
                  <c:v>31.599999999999998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D-4509-B711-7FCA89F1EF7A}"/>
            </c:ext>
          </c:extLst>
        </c:ser>
        <c:ser>
          <c:idx val="4"/>
          <c:order val="1"/>
          <c:tx>
            <c:strRef>
              <c:f>'9'!$A$105:$C$105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0.99</c:v>
                </c:pt>
                <c:pt idx="11">
                  <c:v>1.29</c:v>
                </c:pt>
                <c:pt idx="12">
                  <c:v>0.3</c:v>
                </c:pt>
                <c:pt idx="13">
                  <c:v>0.3</c:v>
                </c:pt>
                <c:pt idx="14">
                  <c:v>2.94</c:v>
                </c:pt>
                <c:pt idx="15">
                  <c:v>2.94</c:v>
                </c:pt>
                <c:pt idx="16">
                  <c:v>0.3</c:v>
                </c:pt>
                <c:pt idx="17">
                  <c:v>0.3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26.07</c:v>
                </c:pt>
                <c:pt idx="22">
                  <c:v>22.51</c:v>
                </c:pt>
                <c:pt idx="23">
                  <c:v>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0D-4509-B711-7FCA89F1EF7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0D-4509-B711-7FCA89F1E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'10'!$F$101:$AC$101</c:f>
              <c:numCache>
                <c:formatCode>0.00</c:formatCode>
                <c:ptCount val="24"/>
                <c:pt idx="0">
                  <c:v>29.56</c:v>
                </c:pt>
                <c:pt idx="1">
                  <c:v>28.41</c:v>
                </c:pt>
                <c:pt idx="2">
                  <c:v>27.39</c:v>
                </c:pt>
                <c:pt idx="3">
                  <c:v>26.929999999999996</c:v>
                </c:pt>
                <c:pt idx="4">
                  <c:v>26.31</c:v>
                </c:pt>
                <c:pt idx="5">
                  <c:v>19.579999999999998</c:v>
                </c:pt>
                <c:pt idx="6">
                  <c:v>23.54</c:v>
                </c:pt>
                <c:pt idx="7">
                  <c:v>27.7</c:v>
                </c:pt>
                <c:pt idx="8">
                  <c:v>34.500000000000007</c:v>
                </c:pt>
                <c:pt idx="9">
                  <c:v>36.89</c:v>
                </c:pt>
                <c:pt idx="10">
                  <c:v>41.230000000000004</c:v>
                </c:pt>
                <c:pt idx="11">
                  <c:v>29.39</c:v>
                </c:pt>
                <c:pt idx="12">
                  <c:v>30.15</c:v>
                </c:pt>
                <c:pt idx="13">
                  <c:v>35.56</c:v>
                </c:pt>
                <c:pt idx="14">
                  <c:v>43.45</c:v>
                </c:pt>
                <c:pt idx="15">
                  <c:v>42.789999999999992</c:v>
                </c:pt>
                <c:pt idx="16">
                  <c:v>40.049999999999997</c:v>
                </c:pt>
                <c:pt idx="17">
                  <c:v>39.31</c:v>
                </c:pt>
                <c:pt idx="18">
                  <c:v>42.930000000000007</c:v>
                </c:pt>
                <c:pt idx="19">
                  <c:v>45.220000000000006</c:v>
                </c:pt>
                <c:pt idx="20">
                  <c:v>42.410000000000004</c:v>
                </c:pt>
                <c:pt idx="21">
                  <c:v>39.769999999999996</c:v>
                </c:pt>
                <c:pt idx="22">
                  <c:v>35.06</c:v>
                </c:pt>
                <c:pt idx="23">
                  <c:v>30.71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22-4237-8676-E22D105B7881}"/>
            </c:ext>
          </c:extLst>
        </c:ser>
        <c:ser>
          <c:idx val="4"/>
          <c:order val="1"/>
          <c:tx>
            <c:strRef>
              <c:f>'10'!$A$105:$C$105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'10'!$F$105:$AC$105</c:f>
              <c:numCache>
                <c:formatCode>0.00</c:formatCode>
                <c:ptCount val="24"/>
                <c:pt idx="0">
                  <c:v>5.2299999999999995</c:v>
                </c:pt>
                <c:pt idx="1">
                  <c:v>5.2299999999999995</c:v>
                </c:pt>
                <c:pt idx="2">
                  <c:v>5.2299999999999995</c:v>
                </c:pt>
                <c:pt idx="3">
                  <c:v>5.2299999999999995</c:v>
                </c:pt>
                <c:pt idx="4">
                  <c:v>5.3</c:v>
                </c:pt>
                <c:pt idx="5">
                  <c:v>10.62</c:v>
                </c:pt>
                <c:pt idx="6">
                  <c:v>8.6199999999999992</c:v>
                </c:pt>
                <c:pt idx="7">
                  <c:v>7.7299999999999995</c:v>
                </c:pt>
                <c:pt idx="8">
                  <c:v>4.04</c:v>
                </c:pt>
                <c:pt idx="9">
                  <c:v>1</c:v>
                </c:pt>
                <c:pt idx="10">
                  <c:v>1</c:v>
                </c:pt>
                <c:pt idx="11">
                  <c:v>13.6</c:v>
                </c:pt>
                <c:pt idx="12">
                  <c:v>13.6</c:v>
                </c:pt>
                <c:pt idx="13">
                  <c:v>9.6</c:v>
                </c:pt>
                <c:pt idx="14">
                  <c:v>2.1</c:v>
                </c:pt>
                <c:pt idx="15">
                  <c:v>3.1</c:v>
                </c:pt>
                <c:pt idx="16">
                  <c:v>1.4</c:v>
                </c:pt>
                <c:pt idx="17">
                  <c:v>3.15</c:v>
                </c:pt>
                <c:pt idx="18">
                  <c:v>0.4</c:v>
                </c:pt>
                <c:pt idx="19">
                  <c:v>0.4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22-4237-8676-E22D105B788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D22-4237-8676-E22D105B7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'11'!$F$101:$AC$101</c:f>
              <c:numCache>
                <c:formatCode>0.00</c:formatCode>
                <c:ptCount val="24"/>
                <c:pt idx="0">
                  <c:v>29.920000000000005</c:v>
                </c:pt>
                <c:pt idx="1">
                  <c:v>27.73</c:v>
                </c:pt>
                <c:pt idx="2">
                  <c:v>27.169999999999998</c:v>
                </c:pt>
                <c:pt idx="3">
                  <c:v>26.630000000000003</c:v>
                </c:pt>
                <c:pt idx="4">
                  <c:v>26.4</c:v>
                </c:pt>
                <c:pt idx="5">
                  <c:v>28.194999999999997</c:v>
                </c:pt>
                <c:pt idx="6">
                  <c:v>31.210000000000004</c:v>
                </c:pt>
                <c:pt idx="7">
                  <c:v>32.809999999999995</c:v>
                </c:pt>
                <c:pt idx="8">
                  <c:v>37.449999999999996</c:v>
                </c:pt>
                <c:pt idx="9">
                  <c:v>44.070000000000007</c:v>
                </c:pt>
                <c:pt idx="10">
                  <c:v>48.240000000000009</c:v>
                </c:pt>
                <c:pt idx="11">
                  <c:v>49.870000000000005</c:v>
                </c:pt>
                <c:pt idx="12">
                  <c:v>47.87</c:v>
                </c:pt>
                <c:pt idx="13">
                  <c:v>49</c:v>
                </c:pt>
                <c:pt idx="14">
                  <c:v>49.860000000000007</c:v>
                </c:pt>
                <c:pt idx="15">
                  <c:v>47.97</c:v>
                </c:pt>
                <c:pt idx="16">
                  <c:v>48.999999999999993</c:v>
                </c:pt>
                <c:pt idx="17">
                  <c:v>48.449999999999996</c:v>
                </c:pt>
                <c:pt idx="18">
                  <c:v>50.53</c:v>
                </c:pt>
                <c:pt idx="19">
                  <c:v>51.77</c:v>
                </c:pt>
                <c:pt idx="20">
                  <c:v>50.25</c:v>
                </c:pt>
                <c:pt idx="21">
                  <c:v>46.38</c:v>
                </c:pt>
                <c:pt idx="22">
                  <c:v>42.42</c:v>
                </c:pt>
                <c:pt idx="23">
                  <c:v>39.78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D-4FA8-9B33-811074A76385}"/>
            </c:ext>
          </c:extLst>
        </c:ser>
        <c:ser>
          <c:idx val="4"/>
          <c:order val="1"/>
          <c:tx>
            <c:strRef>
              <c:f>'11'!$A$105:$C$105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1.44</c:v>
                </c:pt>
                <c:pt idx="13">
                  <c:v>0</c:v>
                </c:pt>
                <c:pt idx="14">
                  <c:v>0.63</c:v>
                </c:pt>
                <c:pt idx="15">
                  <c:v>0.96299999999999997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4D-4FA8-9B33-811074A7638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64D-4FA8-9B33-811074A76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'12'!$F$101:$AC$101</c:f>
              <c:numCache>
                <c:formatCode>0.00</c:formatCode>
                <c:ptCount val="24"/>
                <c:pt idx="0">
                  <c:v>36.32</c:v>
                </c:pt>
                <c:pt idx="1">
                  <c:v>34.51</c:v>
                </c:pt>
                <c:pt idx="2">
                  <c:v>33.65</c:v>
                </c:pt>
                <c:pt idx="3">
                  <c:v>32.619999999999997</c:v>
                </c:pt>
                <c:pt idx="4">
                  <c:v>32.11</c:v>
                </c:pt>
                <c:pt idx="5">
                  <c:v>33.049999999999997</c:v>
                </c:pt>
                <c:pt idx="6">
                  <c:v>36.130000000000003</c:v>
                </c:pt>
                <c:pt idx="7">
                  <c:v>38.800000000000004</c:v>
                </c:pt>
                <c:pt idx="8">
                  <c:v>41.7</c:v>
                </c:pt>
                <c:pt idx="9">
                  <c:v>46.76</c:v>
                </c:pt>
                <c:pt idx="10">
                  <c:v>53</c:v>
                </c:pt>
                <c:pt idx="11">
                  <c:v>55.31</c:v>
                </c:pt>
                <c:pt idx="12">
                  <c:v>54.860000000000007</c:v>
                </c:pt>
                <c:pt idx="13">
                  <c:v>55.539999999999992</c:v>
                </c:pt>
                <c:pt idx="14">
                  <c:v>45.28</c:v>
                </c:pt>
                <c:pt idx="15">
                  <c:v>48.33</c:v>
                </c:pt>
                <c:pt idx="16">
                  <c:v>49.89</c:v>
                </c:pt>
                <c:pt idx="17">
                  <c:v>54.38</c:v>
                </c:pt>
                <c:pt idx="18">
                  <c:v>52.699999999999996</c:v>
                </c:pt>
                <c:pt idx="19">
                  <c:v>55.882999999999996</c:v>
                </c:pt>
                <c:pt idx="20">
                  <c:v>51.97</c:v>
                </c:pt>
                <c:pt idx="21">
                  <c:v>46.94</c:v>
                </c:pt>
                <c:pt idx="22">
                  <c:v>43.219999999999992</c:v>
                </c:pt>
                <c:pt idx="23">
                  <c:v>39.979999999999997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AC8-AEDA-1865FE4517A7}"/>
            </c:ext>
          </c:extLst>
        </c:ser>
        <c:ser>
          <c:idx val="4"/>
          <c:order val="1"/>
          <c:tx>
            <c:strRef>
              <c:f>'12'!$A$105:$C$105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9.92</c:v>
                </c:pt>
                <c:pt idx="15">
                  <c:v>9.92</c:v>
                </c:pt>
                <c:pt idx="16">
                  <c:v>4.04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D5-4AC8-AEDA-1865FE4517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D5-4AC8-AEDA-1865FE451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'13'!$F$101:$AC$101</c:f>
              <c:numCache>
                <c:formatCode>0.00</c:formatCode>
                <c:ptCount val="24"/>
                <c:pt idx="0">
                  <c:v>36.31</c:v>
                </c:pt>
                <c:pt idx="1">
                  <c:v>34.519999999999996</c:v>
                </c:pt>
                <c:pt idx="2">
                  <c:v>32.949999999999996</c:v>
                </c:pt>
                <c:pt idx="3">
                  <c:v>32.67</c:v>
                </c:pt>
                <c:pt idx="4">
                  <c:v>32.04</c:v>
                </c:pt>
                <c:pt idx="5">
                  <c:v>33.630000000000003</c:v>
                </c:pt>
                <c:pt idx="6">
                  <c:v>36.49</c:v>
                </c:pt>
                <c:pt idx="7">
                  <c:v>37.770000000000003</c:v>
                </c:pt>
                <c:pt idx="8">
                  <c:v>41.789999999999992</c:v>
                </c:pt>
                <c:pt idx="9">
                  <c:v>50.480000000000004</c:v>
                </c:pt>
                <c:pt idx="10">
                  <c:v>55.05</c:v>
                </c:pt>
                <c:pt idx="11">
                  <c:v>56.93</c:v>
                </c:pt>
                <c:pt idx="12">
                  <c:v>56.16</c:v>
                </c:pt>
                <c:pt idx="13">
                  <c:v>56.949999999999996</c:v>
                </c:pt>
                <c:pt idx="14">
                  <c:v>58.63</c:v>
                </c:pt>
                <c:pt idx="15">
                  <c:v>59.629999999999995</c:v>
                </c:pt>
                <c:pt idx="16">
                  <c:v>57.46</c:v>
                </c:pt>
                <c:pt idx="17">
                  <c:v>55.089999999999996</c:v>
                </c:pt>
                <c:pt idx="18">
                  <c:v>53.280000000000008</c:v>
                </c:pt>
                <c:pt idx="19">
                  <c:v>56.78</c:v>
                </c:pt>
                <c:pt idx="20">
                  <c:v>54.27</c:v>
                </c:pt>
                <c:pt idx="21">
                  <c:v>41.199999999999996</c:v>
                </c:pt>
                <c:pt idx="22">
                  <c:v>46.519999999999996</c:v>
                </c:pt>
                <c:pt idx="23">
                  <c:v>42.38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B-436B-B28B-EEE9BDEBF38D}"/>
            </c:ext>
          </c:extLst>
        </c:ser>
        <c:ser>
          <c:idx val="4"/>
          <c:order val="1"/>
          <c:tx>
            <c:strRef>
              <c:f>'13'!$A$105:$C$105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0B-436B-B28B-EEE9BDEBF38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0B-436B-B28B-EEE9BDEBF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'14'!$F$101:$AC$101</c:f>
              <c:numCache>
                <c:formatCode>0.00</c:formatCode>
                <c:ptCount val="24"/>
                <c:pt idx="0">
                  <c:v>38.300000000000004</c:v>
                </c:pt>
                <c:pt idx="1">
                  <c:v>35.609999999999992</c:v>
                </c:pt>
                <c:pt idx="2">
                  <c:v>34.06</c:v>
                </c:pt>
                <c:pt idx="3">
                  <c:v>33.65</c:v>
                </c:pt>
                <c:pt idx="4">
                  <c:v>32.92</c:v>
                </c:pt>
                <c:pt idx="5">
                  <c:v>33.78</c:v>
                </c:pt>
                <c:pt idx="6">
                  <c:v>37.75</c:v>
                </c:pt>
                <c:pt idx="7">
                  <c:v>38.600000000000009</c:v>
                </c:pt>
                <c:pt idx="8">
                  <c:v>41.22</c:v>
                </c:pt>
                <c:pt idx="9">
                  <c:v>50.080000000000005</c:v>
                </c:pt>
                <c:pt idx="10">
                  <c:v>56.060000000000009</c:v>
                </c:pt>
                <c:pt idx="11">
                  <c:v>57.05</c:v>
                </c:pt>
                <c:pt idx="12">
                  <c:v>55.52</c:v>
                </c:pt>
                <c:pt idx="13">
                  <c:v>57.129999999999995</c:v>
                </c:pt>
                <c:pt idx="14">
                  <c:v>58.4</c:v>
                </c:pt>
                <c:pt idx="15">
                  <c:v>58.33</c:v>
                </c:pt>
                <c:pt idx="16">
                  <c:v>58.21</c:v>
                </c:pt>
                <c:pt idx="17">
                  <c:v>55.210000000000008</c:v>
                </c:pt>
                <c:pt idx="18">
                  <c:v>52.970000000000006</c:v>
                </c:pt>
                <c:pt idx="19">
                  <c:v>54.86</c:v>
                </c:pt>
                <c:pt idx="20">
                  <c:v>52.1</c:v>
                </c:pt>
                <c:pt idx="21">
                  <c:v>51.13</c:v>
                </c:pt>
                <c:pt idx="22">
                  <c:v>45.09</c:v>
                </c:pt>
                <c:pt idx="23">
                  <c:v>41.58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70-41A8-9B64-97FCAECA534E}"/>
            </c:ext>
          </c:extLst>
        </c:ser>
        <c:ser>
          <c:idx val="4"/>
          <c:order val="1"/>
          <c:tx>
            <c:strRef>
              <c:f>'14'!$A$105:$C$105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1.81</c:v>
                </c:pt>
                <c:pt idx="23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70-41A8-9B64-97FCAECA534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270-41A8-9B64-97FCAECA5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'15'!$F$101:$AC$101</c:f>
              <c:numCache>
                <c:formatCode>0.00</c:formatCode>
                <c:ptCount val="24"/>
                <c:pt idx="0">
                  <c:v>37.620000000000005</c:v>
                </c:pt>
                <c:pt idx="1">
                  <c:v>35.380000000000003</c:v>
                </c:pt>
                <c:pt idx="2">
                  <c:v>35.31</c:v>
                </c:pt>
                <c:pt idx="3">
                  <c:v>33.86</c:v>
                </c:pt>
                <c:pt idx="4">
                  <c:v>33.270000000000003</c:v>
                </c:pt>
                <c:pt idx="5">
                  <c:v>33.430000000000007</c:v>
                </c:pt>
                <c:pt idx="6">
                  <c:v>34.72</c:v>
                </c:pt>
                <c:pt idx="7">
                  <c:v>36.04</c:v>
                </c:pt>
                <c:pt idx="8">
                  <c:v>39</c:v>
                </c:pt>
                <c:pt idx="9">
                  <c:v>45.330000000000005</c:v>
                </c:pt>
                <c:pt idx="10">
                  <c:v>51.140000000000008</c:v>
                </c:pt>
                <c:pt idx="11">
                  <c:v>52.189999999999991</c:v>
                </c:pt>
                <c:pt idx="12">
                  <c:v>52.139999999999993</c:v>
                </c:pt>
                <c:pt idx="13">
                  <c:v>53.45</c:v>
                </c:pt>
                <c:pt idx="14">
                  <c:v>55.499999999999993</c:v>
                </c:pt>
                <c:pt idx="15">
                  <c:v>55.39</c:v>
                </c:pt>
                <c:pt idx="16">
                  <c:v>54.339999999999996</c:v>
                </c:pt>
                <c:pt idx="17">
                  <c:v>53.16</c:v>
                </c:pt>
                <c:pt idx="18">
                  <c:v>53.36999999999999</c:v>
                </c:pt>
                <c:pt idx="19">
                  <c:v>56.97</c:v>
                </c:pt>
                <c:pt idx="20">
                  <c:v>54.080000000000005</c:v>
                </c:pt>
                <c:pt idx="21">
                  <c:v>52.49</c:v>
                </c:pt>
                <c:pt idx="22">
                  <c:v>48.02000000000001</c:v>
                </c:pt>
                <c:pt idx="23">
                  <c:v>44.47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4-466D-92D8-EC268D5B8BB1}"/>
            </c:ext>
          </c:extLst>
        </c:ser>
        <c:ser>
          <c:idx val="4"/>
          <c:order val="1"/>
          <c:tx>
            <c:strRef>
              <c:f>'15'!$A$105:$C$105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'15'!$F$105:$AC$105</c:f>
              <c:numCache>
                <c:formatCode>0.00</c:formatCode>
                <c:ptCount val="24"/>
                <c:pt idx="0">
                  <c:v>1.81</c:v>
                </c:pt>
                <c:pt idx="1">
                  <c:v>1.81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4-466D-92D8-EC268D5B8BB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24-466D-92D8-EC268D5B8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'16'!$F$101:$AC$101</c:f>
              <c:numCache>
                <c:formatCode>0.00</c:formatCode>
                <c:ptCount val="24"/>
                <c:pt idx="0">
                  <c:v>38.079999999999991</c:v>
                </c:pt>
                <c:pt idx="1">
                  <c:v>37.46</c:v>
                </c:pt>
                <c:pt idx="2">
                  <c:v>38.090000000000003</c:v>
                </c:pt>
                <c:pt idx="3">
                  <c:v>34.53</c:v>
                </c:pt>
                <c:pt idx="4">
                  <c:v>34</c:v>
                </c:pt>
                <c:pt idx="5">
                  <c:v>33.76</c:v>
                </c:pt>
                <c:pt idx="6">
                  <c:v>30.92</c:v>
                </c:pt>
                <c:pt idx="7">
                  <c:v>35.64</c:v>
                </c:pt>
                <c:pt idx="8">
                  <c:v>38.29</c:v>
                </c:pt>
                <c:pt idx="9">
                  <c:v>42.669999999999995</c:v>
                </c:pt>
                <c:pt idx="10">
                  <c:v>45.42</c:v>
                </c:pt>
                <c:pt idx="11">
                  <c:v>47.876666666666665</c:v>
                </c:pt>
                <c:pt idx="12">
                  <c:v>48.916666666666671</c:v>
                </c:pt>
                <c:pt idx="13">
                  <c:v>46.674999999999997</c:v>
                </c:pt>
                <c:pt idx="14">
                  <c:v>46.129999999999995</c:v>
                </c:pt>
                <c:pt idx="15">
                  <c:v>46.9</c:v>
                </c:pt>
                <c:pt idx="16">
                  <c:v>48.470000000000006</c:v>
                </c:pt>
                <c:pt idx="17">
                  <c:v>48.77</c:v>
                </c:pt>
                <c:pt idx="18">
                  <c:v>50.930000000000007</c:v>
                </c:pt>
                <c:pt idx="19">
                  <c:v>54.79</c:v>
                </c:pt>
                <c:pt idx="20">
                  <c:v>52.23</c:v>
                </c:pt>
                <c:pt idx="21">
                  <c:v>50.529999999999994</c:v>
                </c:pt>
                <c:pt idx="22">
                  <c:v>46.949999999999996</c:v>
                </c:pt>
                <c:pt idx="23">
                  <c:v>42.39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8-4C70-9FCE-F58230BDBE77}"/>
            </c:ext>
          </c:extLst>
        </c:ser>
        <c:ser>
          <c:idx val="4"/>
          <c:order val="1"/>
          <c:tx>
            <c:strRef>
              <c:f>'16'!$A$105:$C$105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8-4C70-9FCE-F58230BDBE7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8A8-4C70-9FCE-F58230BDB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'17'!$F$101:$AC$101</c:f>
              <c:numCache>
                <c:formatCode>0.00</c:formatCode>
                <c:ptCount val="24"/>
                <c:pt idx="0">
                  <c:v>38.660000000000004</c:v>
                </c:pt>
                <c:pt idx="1">
                  <c:v>34.81</c:v>
                </c:pt>
                <c:pt idx="2">
                  <c:v>33.450000000000003</c:v>
                </c:pt>
                <c:pt idx="3">
                  <c:v>32.199999999999996</c:v>
                </c:pt>
                <c:pt idx="4">
                  <c:v>32.67</c:v>
                </c:pt>
                <c:pt idx="5">
                  <c:v>33.869999999999997</c:v>
                </c:pt>
                <c:pt idx="6">
                  <c:v>38.58</c:v>
                </c:pt>
                <c:pt idx="7">
                  <c:v>38.769999999999996</c:v>
                </c:pt>
                <c:pt idx="8">
                  <c:v>40.33</c:v>
                </c:pt>
                <c:pt idx="9">
                  <c:v>49.83</c:v>
                </c:pt>
                <c:pt idx="10">
                  <c:v>50.9</c:v>
                </c:pt>
                <c:pt idx="11">
                  <c:v>52.41</c:v>
                </c:pt>
                <c:pt idx="12">
                  <c:v>52.690000000000005</c:v>
                </c:pt>
                <c:pt idx="13">
                  <c:v>52.47</c:v>
                </c:pt>
                <c:pt idx="14">
                  <c:v>56.129999999999995</c:v>
                </c:pt>
                <c:pt idx="15">
                  <c:v>56.210000000000008</c:v>
                </c:pt>
                <c:pt idx="16">
                  <c:v>55.919999999999995</c:v>
                </c:pt>
                <c:pt idx="17">
                  <c:v>57.480000000000011</c:v>
                </c:pt>
                <c:pt idx="18">
                  <c:v>55.870000000000005</c:v>
                </c:pt>
                <c:pt idx="19">
                  <c:v>60.55</c:v>
                </c:pt>
                <c:pt idx="20">
                  <c:v>57.88</c:v>
                </c:pt>
                <c:pt idx="21">
                  <c:v>54.440000000000005</c:v>
                </c:pt>
                <c:pt idx="22">
                  <c:v>50.37</c:v>
                </c:pt>
                <c:pt idx="23">
                  <c:v>46.43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3-408B-A2DD-9DB0EC8EDF5A}"/>
            </c:ext>
          </c:extLst>
        </c:ser>
        <c:ser>
          <c:idx val="4"/>
          <c:order val="1"/>
          <c:tx>
            <c:strRef>
              <c:f>'17'!$A$105:$C$105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4.45</c:v>
                </c:pt>
                <c:pt idx="11">
                  <c:v>4.3966666666666665</c:v>
                </c:pt>
                <c:pt idx="12">
                  <c:v>4.3966666666666665</c:v>
                </c:pt>
                <c:pt idx="13">
                  <c:v>4.4749999999999996</c:v>
                </c:pt>
                <c:pt idx="14">
                  <c:v>3.9</c:v>
                </c:pt>
                <c:pt idx="15">
                  <c:v>4.1399999999999997</c:v>
                </c:pt>
                <c:pt idx="16">
                  <c:v>3.91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1.29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83-408B-A2DD-9DB0EC8EDF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A83-408B-A2DD-9DB0EC8ED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'18'!$F$101:$AC$101</c:f>
              <c:numCache>
                <c:formatCode>0.00</c:formatCode>
                <c:ptCount val="24"/>
                <c:pt idx="0">
                  <c:v>42.600000000000009</c:v>
                </c:pt>
                <c:pt idx="1">
                  <c:v>40.71</c:v>
                </c:pt>
                <c:pt idx="2">
                  <c:v>37.97</c:v>
                </c:pt>
                <c:pt idx="3">
                  <c:v>36.29</c:v>
                </c:pt>
                <c:pt idx="4">
                  <c:v>36.39</c:v>
                </c:pt>
                <c:pt idx="5">
                  <c:v>37.619999999999997</c:v>
                </c:pt>
                <c:pt idx="6">
                  <c:v>40.99</c:v>
                </c:pt>
                <c:pt idx="7">
                  <c:v>41.22</c:v>
                </c:pt>
                <c:pt idx="8">
                  <c:v>43.359999999999992</c:v>
                </c:pt>
                <c:pt idx="9">
                  <c:v>51.609999999999992</c:v>
                </c:pt>
                <c:pt idx="10">
                  <c:v>56.02</c:v>
                </c:pt>
                <c:pt idx="11">
                  <c:v>57.516666666666673</c:v>
                </c:pt>
                <c:pt idx="12">
                  <c:v>56.615000000000002</c:v>
                </c:pt>
                <c:pt idx="13">
                  <c:v>57.78</c:v>
                </c:pt>
                <c:pt idx="14">
                  <c:v>58.609666666666662</c:v>
                </c:pt>
                <c:pt idx="15">
                  <c:v>58.180000000000007</c:v>
                </c:pt>
                <c:pt idx="16">
                  <c:v>58.34</c:v>
                </c:pt>
                <c:pt idx="17">
                  <c:v>48.51</c:v>
                </c:pt>
                <c:pt idx="18">
                  <c:v>54.78</c:v>
                </c:pt>
                <c:pt idx="19">
                  <c:v>61.39</c:v>
                </c:pt>
                <c:pt idx="20">
                  <c:v>58.2</c:v>
                </c:pt>
                <c:pt idx="21">
                  <c:v>55.24</c:v>
                </c:pt>
                <c:pt idx="22">
                  <c:v>48.84</c:v>
                </c:pt>
                <c:pt idx="23">
                  <c:v>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3-48C1-ABAB-6F88CB507424}"/>
            </c:ext>
          </c:extLst>
        </c:ser>
        <c:ser>
          <c:idx val="4"/>
          <c:order val="1"/>
          <c:tx>
            <c:strRef>
              <c:f>'18'!$A$105:$C$105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0.46</c:v>
                </c:pt>
                <c:pt idx="4">
                  <c:v>0</c:v>
                </c:pt>
                <c:pt idx="5">
                  <c:v>0</c:v>
                </c:pt>
                <c:pt idx="6">
                  <c:v>1.1000000000000001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</c:v>
                </c:pt>
                <c:pt idx="11">
                  <c:v>2.4700000000000002</c:v>
                </c:pt>
                <c:pt idx="12">
                  <c:v>2.4700000000000002</c:v>
                </c:pt>
                <c:pt idx="13">
                  <c:v>2.4700000000000002</c:v>
                </c:pt>
                <c:pt idx="14">
                  <c:v>3.7300000000000004</c:v>
                </c:pt>
                <c:pt idx="15">
                  <c:v>3.7300000000000004</c:v>
                </c:pt>
                <c:pt idx="16">
                  <c:v>2.4700000000000002</c:v>
                </c:pt>
                <c:pt idx="17">
                  <c:v>8.1037999999999997</c:v>
                </c:pt>
                <c:pt idx="18">
                  <c:v>1.6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83-48C1-ABAB-6F88CB5074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883-48C1-ABAB-6F88CB507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'19'!$F$101:$AC$101</c:f>
              <c:numCache>
                <c:formatCode>0.00</c:formatCode>
                <c:ptCount val="24"/>
                <c:pt idx="0">
                  <c:v>40.930000000000007</c:v>
                </c:pt>
                <c:pt idx="1">
                  <c:v>39.44</c:v>
                </c:pt>
                <c:pt idx="2">
                  <c:v>37.25</c:v>
                </c:pt>
                <c:pt idx="3">
                  <c:v>35.840000000000003</c:v>
                </c:pt>
                <c:pt idx="4">
                  <c:v>35.809999999999995</c:v>
                </c:pt>
                <c:pt idx="5">
                  <c:v>37.869999999999997</c:v>
                </c:pt>
                <c:pt idx="6">
                  <c:v>41.490000000000009</c:v>
                </c:pt>
                <c:pt idx="7">
                  <c:v>42.6</c:v>
                </c:pt>
                <c:pt idx="8">
                  <c:v>45.089999999999996</c:v>
                </c:pt>
                <c:pt idx="9">
                  <c:v>52.749999999999993</c:v>
                </c:pt>
                <c:pt idx="10">
                  <c:v>51.199999999999996</c:v>
                </c:pt>
                <c:pt idx="11">
                  <c:v>53.06</c:v>
                </c:pt>
                <c:pt idx="12">
                  <c:v>51.86</c:v>
                </c:pt>
                <c:pt idx="13">
                  <c:v>52.25</c:v>
                </c:pt>
                <c:pt idx="14">
                  <c:v>57.940000000000005</c:v>
                </c:pt>
                <c:pt idx="15">
                  <c:v>55.64</c:v>
                </c:pt>
                <c:pt idx="16">
                  <c:v>58.169999999999987</c:v>
                </c:pt>
                <c:pt idx="17">
                  <c:v>54.36</c:v>
                </c:pt>
                <c:pt idx="18">
                  <c:v>53.1</c:v>
                </c:pt>
                <c:pt idx="19">
                  <c:v>54.129999999999995</c:v>
                </c:pt>
                <c:pt idx="20">
                  <c:v>56.35</c:v>
                </c:pt>
                <c:pt idx="21">
                  <c:v>52.730000000000004</c:v>
                </c:pt>
                <c:pt idx="22">
                  <c:v>48.309999999999995</c:v>
                </c:pt>
                <c:pt idx="23">
                  <c:v>45.260000000000005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D-44F3-8D1C-96B0939A432C}"/>
            </c:ext>
          </c:extLst>
        </c:ser>
        <c:ser>
          <c:idx val="4"/>
          <c:order val="1"/>
          <c:tx>
            <c:strRef>
              <c:f>'19'!$A$105:$C$105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2.79</c:v>
                </c:pt>
                <c:pt idx="16">
                  <c:v>1</c:v>
                </c:pt>
                <c:pt idx="17">
                  <c:v>1</c:v>
                </c:pt>
                <c:pt idx="18">
                  <c:v>1.5</c:v>
                </c:pt>
                <c:pt idx="19">
                  <c:v>5.2</c:v>
                </c:pt>
                <c:pt idx="20">
                  <c:v>0.93</c:v>
                </c:pt>
                <c:pt idx="21">
                  <c:v>0.93</c:v>
                </c:pt>
                <c:pt idx="22">
                  <c:v>0.93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D-44F3-8D1C-96B0939A43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7FD-44F3-8D1C-96B0939A4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'20'!$F$101:$AC$101</c:f>
              <c:numCache>
                <c:formatCode>0.00</c:formatCode>
                <c:ptCount val="24"/>
                <c:pt idx="0">
                  <c:v>41.339999999999996</c:v>
                </c:pt>
                <c:pt idx="1">
                  <c:v>39.22</c:v>
                </c:pt>
                <c:pt idx="2">
                  <c:v>37.1</c:v>
                </c:pt>
                <c:pt idx="3">
                  <c:v>35.93</c:v>
                </c:pt>
                <c:pt idx="4">
                  <c:v>36.020000000000003</c:v>
                </c:pt>
                <c:pt idx="5">
                  <c:v>37.579999999999991</c:v>
                </c:pt>
                <c:pt idx="6">
                  <c:v>41.27</c:v>
                </c:pt>
                <c:pt idx="7">
                  <c:v>41.70000000000001</c:v>
                </c:pt>
                <c:pt idx="8">
                  <c:v>46.44</c:v>
                </c:pt>
                <c:pt idx="9">
                  <c:v>51.72</c:v>
                </c:pt>
                <c:pt idx="10">
                  <c:v>50.75</c:v>
                </c:pt>
                <c:pt idx="11">
                  <c:v>52.169999999999995</c:v>
                </c:pt>
                <c:pt idx="12">
                  <c:v>53.04</c:v>
                </c:pt>
                <c:pt idx="13">
                  <c:v>53.780000000000008</c:v>
                </c:pt>
                <c:pt idx="14">
                  <c:v>28.150000000000002</c:v>
                </c:pt>
                <c:pt idx="15">
                  <c:v>49.370000000000005</c:v>
                </c:pt>
                <c:pt idx="16">
                  <c:v>50.519999999999996</c:v>
                </c:pt>
                <c:pt idx="17">
                  <c:v>52.289999999999992</c:v>
                </c:pt>
                <c:pt idx="18">
                  <c:v>51.09</c:v>
                </c:pt>
                <c:pt idx="19">
                  <c:v>52.14</c:v>
                </c:pt>
                <c:pt idx="20">
                  <c:v>55.259999999999991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1-495E-987C-4979B9733855}"/>
            </c:ext>
          </c:extLst>
        </c:ser>
        <c:ser>
          <c:idx val="4"/>
          <c:order val="1"/>
          <c:tx>
            <c:strRef>
              <c:f>'20'!$A$105:$C$105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0.83</c:v>
                </c:pt>
                <c:pt idx="4">
                  <c:v>0.83</c:v>
                </c:pt>
                <c:pt idx="5">
                  <c:v>0</c:v>
                </c:pt>
                <c:pt idx="6">
                  <c:v>0</c:v>
                </c:pt>
                <c:pt idx="7">
                  <c:v>0.9</c:v>
                </c:pt>
                <c:pt idx="8">
                  <c:v>0</c:v>
                </c:pt>
                <c:pt idx="9">
                  <c:v>0</c:v>
                </c:pt>
                <c:pt idx="10">
                  <c:v>5.3</c:v>
                </c:pt>
                <c:pt idx="11">
                  <c:v>4.1900000000000004</c:v>
                </c:pt>
                <c:pt idx="12">
                  <c:v>4.1900000000000004</c:v>
                </c:pt>
                <c:pt idx="13">
                  <c:v>4.1900000000000004</c:v>
                </c:pt>
                <c:pt idx="14">
                  <c:v>32.017000000000003</c:v>
                </c:pt>
                <c:pt idx="15">
                  <c:v>7.7900000000000009</c:v>
                </c:pt>
                <c:pt idx="16">
                  <c:v>4.1900000000000004</c:v>
                </c:pt>
                <c:pt idx="17">
                  <c:v>4.1900000000000004</c:v>
                </c:pt>
                <c:pt idx="18">
                  <c:v>4.1900000000000004</c:v>
                </c:pt>
                <c:pt idx="19">
                  <c:v>4.1900000000000004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81-495E-987C-4979B973385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781-495E-987C-4979B9733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'17'!$A$77</c:f>
              <c:strCache>
                <c:ptCount val="1"/>
                <c:pt idx="0">
                  <c:v>UP 37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'17'!$B$77:$AC$77</c:f>
              <c:numCache>
                <c:formatCode>0.00</c:formatCode>
                <c:ptCount val="28"/>
                <c:pt idx="1">
                  <c:v>1</c:v>
                </c:pt>
                <c:pt idx="12" formatCode="0.00;\-0.00;;@">
                  <c:v>0.71</c:v>
                </c:pt>
                <c:pt idx="13" formatCode="0.00;\-0.00;;@">
                  <c:v>0.73</c:v>
                </c:pt>
                <c:pt idx="14" formatCode="0.00;\-0.00;;@">
                  <c:v>0.79</c:v>
                </c:pt>
                <c:pt idx="15" formatCode="0.00;\-0.00;;@">
                  <c:v>0.82</c:v>
                </c:pt>
                <c:pt idx="16" formatCode="0.00;\-0.00;;@">
                  <c:v>0.84</c:v>
                </c:pt>
                <c:pt idx="17" formatCode="0.00;\-0.00;;@">
                  <c:v>0.88</c:v>
                </c:pt>
                <c:pt idx="18" formatCode="0.00;\-0.00;;@">
                  <c:v>0.9</c:v>
                </c:pt>
                <c:pt idx="19" formatCode="0.00;\-0.00;;@">
                  <c:v>0.89</c:v>
                </c:pt>
                <c:pt idx="20" formatCode="0.00;\-0.00;;@">
                  <c:v>0.87</c:v>
                </c:pt>
                <c:pt idx="21" formatCode="0.00;\-0.00;;@">
                  <c:v>0.88</c:v>
                </c:pt>
                <c:pt idx="22" formatCode="0.00;\-0.00;;@">
                  <c:v>0.89</c:v>
                </c:pt>
                <c:pt idx="23" formatCode="0.00;\-0.00;;@">
                  <c:v>1.01</c:v>
                </c:pt>
                <c:pt idx="24" formatCode="0.00;\-0.00;;@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tx>
            <c:strRef>
              <c:f>'17'!$A$78</c:f>
              <c:strCache>
                <c:ptCount val="1"/>
                <c:pt idx="0">
                  <c:v>UP 38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'17'!$B$78:$AC$78</c:f>
              <c:numCache>
                <c:formatCode>0.00</c:formatCode>
                <c:ptCount val="28"/>
                <c:pt idx="1">
                  <c:v>1</c:v>
                </c:pt>
                <c:pt idx="4" formatCode="0.00;\-0.00;;@">
                  <c:v>0.79</c:v>
                </c:pt>
                <c:pt idx="5" formatCode="0.00;\-0.00;;@">
                  <c:v>0.77</c:v>
                </c:pt>
                <c:pt idx="6" formatCode="0.00;\-0.00;;@">
                  <c:v>0.73</c:v>
                </c:pt>
                <c:pt idx="7" formatCode="0.00;\-0.00;;@">
                  <c:v>0.73</c:v>
                </c:pt>
                <c:pt idx="8" formatCode="0.00;\-0.00;;@">
                  <c:v>0.71</c:v>
                </c:pt>
                <c:pt idx="9" formatCode="0.00;\-0.00;;@">
                  <c:v>0.73</c:v>
                </c:pt>
                <c:pt idx="10" formatCode="0.00;\-0.00;;@">
                  <c:v>0.78</c:v>
                </c:pt>
                <c:pt idx="11" formatCode="0.00;\-0.00;;@">
                  <c:v>0.81</c:v>
                </c:pt>
                <c:pt idx="25" formatCode="0.00;\-0.00;;@">
                  <c:v>0.99</c:v>
                </c:pt>
                <c:pt idx="26" formatCode="0.00;\-0.00;;@">
                  <c:v>0.91</c:v>
                </c:pt>
                <c:pt idx="27" formatCode="0.00;\-0.00;;@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tx>
            <c:strRef>
              <c:f>'17'!$A$79</c:f>
              <c:strCache>
                <c:ptCount val="1"/>
                <c:pt idx="0">
                  <c:v>Subtotal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'17'!$B$79:$AC$79</c:f>
              <c:numCache>
                <c:formatCode>0.00</c:formatCode>
                <c:ptCount val="28"/>
                <c:pt idx="0">
                  <c:v>0</c:v>
                </c:pt>
                <c:pt idx="1">
                  <c:v>2</c:v>
                </c:pt>
                <c:pt idx="4">
                  <c:v>0.79</c:v>
                </c:pt>
                <c:pt idx="5">
                  <c:v>0.77</c:v>
                </c:pt>
                <c:pt idx="6">
                  <c:v>0.73</c:v>
                </c:pt>
                <c:pt idx="7">
                  <c:v>0.73</c:v>
                </c:pt>
                <c:pt idx="8">
                  <c:v>0.71</c:v>
                </c:pt>
                <c:pt idx="9">
                  <c:v>0.73</c:v>
                </c:pt>
                <c:pt idx="10">
                  <c:v>0.78</c:v>
                </c:pt>
                <c:pt idx="11">
                  <c:v>0.81</c:v>
                </c:pt>
                <c:pt idx="12">
                  <c:v>0.71</c:v>
                </c:pt>
                <c:pt idx="13">
                  <c:v>0.73</c:v>
                </c:pt>
                <c:pt idx="14">
                  <c:v>0.79</c:v>
                </c:pt>
                <c:pt idx="15">
                  <c:v>0.82</c:v>
                </c:pt>
                <c:pt idx="16">
                  <c:v>0.84</c:v>
                </c:pt>
                <c:pt idx="17">
                  <c:v>0.88</c:v>
                </c:pt>
                <c:pt idx="18">
                  <c:v>0.9</c:v>
                </c:pt>
                <c:pt idx="19">
                  <c:v>0.89</c:v>
                </c:pt>
                <c:pt idx="20">
                  <c:v>0.87</c:v>
                </c:pt>
                <c:pt idx="21">
                  <c:v>0.88</c:v>
                </c:pt>
                <c:pt idx="22">
                  <c:v>0.89</c:v>
                </c:pt>
                <c:pt idx="23">
                  <c:v>1.01</c:v>
                </c:pt>
                <c:pt idx="24">
                  <c:v>1.01</c:v>
                </c:pt>
                <c:pt idx="25">
                  <c:v>0.99</c:v>
                </c:pt>
                <c:pt idx="26">
                  <c:v>0.91</c:v>
                </c:pt>
                <c:pt idx="27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tx>
            <c:strRef>
              <c:f>'17'!$A$80</c:f>
              <c:strCache>
                <c:ptCount val="1"/>
                <c:pt idx="0">
                  <c:v>VPOWER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'17'!$B$80:$AC$80</c:f>
              <c:numCache>
                <c:formatCode>0.00</c:formatCode>
                <c:ptCount val="28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/>
  <sheetViews>
    <sheetView zoomScale="11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9F74F6F-C6D1-48B8-AEAC-13C143730871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3C974E-6DFB-0EB6-6095-AEC331DC879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F666A80-29BF-C9F2-DB0E-F95B4490B1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0A5291-711D-466D-B182-34B65B86D7C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55C06E-1D54-445C-BB74-8550DCA253C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44097" name="Button 1" hidden="1">
              <a:extLst>
                <a:ext uri="{63B3BB69-23CF-44E3-9099-C40C66FF867C}">
                  <a14:compatExt spid="_x0000_s644097"/>
                </a:ext>
                <a:ext uri="{FF2B5EF4-FFF2-40B4-BE49-F238E27FC236}">
                  <a16:creationId xmlns:a16="http://schemas.microsoft.com/office/drawing/2014/main" id="{00000000-0008-0000-0100-000001D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3D683E-F0A7-4324-9643-EDD86EBB233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2977D0A-1462-49BA-851B-18DBD2E3F60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972F903-A5B3-4AEC-BC73-747C864F61A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31ED54-D65C-472F-9EDC-B0BCA8E71ADF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2A47382-58C0-1981-36D1-C04FBBA0FEA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8697DB-8485-CB00-F7E3-3A1C7E4B8B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1E8BC4D-591D-44B8-B94A-A38EA7F3641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07944D-5B37-4F1E-9BF9-BB1F6753FFD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56385" name="Button 1" hidden="1">
              <a:extLst>
                <a:ext uri="{63B3BB69-23CF-44E3-9099-C40C66FF867C}">
                  <a14:compatExt spid="_x0000_s656385"/>
                </a:ext>
                <a:ext uri="{FF2B5EF4-FFF2-40B4-BE49-F238E27FC236}">
                  <a16:creationId xmlns:a16="http://schemas.microsoft.com/office/drawing/2014/main" id="{00000000-0008-0000-0200-0000010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0DFA868-5844-4C2A-9CBD-DDB3F9C274D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083C03-DA55-4954-AEF1-C219BD150FF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9AC2E82-018A-45BC-B97F-4E5E2CBD859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63AEA7B-9356-4268-B60A-D90136949F68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FD49CE9-797B-9930-1B70-61C46A653B9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28094A1-E72D-667E-C88E-9E523D328B3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15E91DB-12DB-49FE-B08F-AC1DD67D7F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9B9DF58-A335-44D7-9F25-9E1D6CF6D86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68673" name="Button 1" hidden="1">
              <a:extLst>
                <a:ext uri="{63B3BB69-23CF-44E3-9099-C40C66FF867C}">
                  <a14:compatExt spid="_x0000_s668673"/>
                </a:ext>
                <a:ext uri="{FF2B5EF4-FFF2-40B4-BE49-F238E27FC236}">
                  <a16:creationId xmlns:a16="http://schemas.microsoft.com/office/drawing/2014/main" id="{00000000-0008-0000-0300-0000013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B9C288-1AC9-4ABB-8DE5-D079F3AF9EE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826332A-2E03-4604-AC6B-600B8713797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A34179-3504-4485-A0AE-A126A954E40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8E98355-6847-4F52-A7D9-C6416C6CB9CF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A60242D-0197-F3E0-1304-6FF8D671B10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4C0DE1-0526-ABC5-05BD-92670CFAD8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125</xdr:row>
      <xdr:rowOff>185057</xdr:rowOff>
    </xdr:from>
    <xdr:to>
      <xdr:col>28</xdr:col>
      <xdr:colOff>593272</xdr:colOff>
      <xdr:row>154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FEA539-AA44-4FEE-98C8-31AE64B359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2AAB3C-DD2B-44F0-A9AF-C8C7C6585C9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80961" name="Button 1" hidden="1">
              <a:extLst>
                <a:ext uri="{63B3BB69-23CF-44E3-9099-C40C66FF867C}">
                  <a14:compatExt spid="_x0000_s680961"/>
                </a:ext>
                <a:ext uri="{FF2B5EF4-FFF2-40B4-BE49-F238E27FC236}">
                  <a16:creationId xmlns:a16="http://schemas.microsoft.com/office/drawing/2014/main" id="{00000000-0008-0000-0400-000001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B6EEC0-6AB4-40E3-97A4-190CF07A4E1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54668A-9B08-4C4E-8873-1791B39797A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586ABE5-3469-49BF-9FE6-9703F4EF438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216BE5-452C-415C-98DB-391BD30423E4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B7EABF8-8657-67EB-1D38-FD5265F8780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BCCA89B-B824-FEB2-252A-3CE54E7EE64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B0DA9E-1998-4A1F-B788-69B91387243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6B57F2-50A1-46C9-9599-3F517A679B8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81985" name="Button 1" hidden="1">
              <a:extLst>
                <a:ext uri="{63B3BB69-23CF-44E3-9099-C40C66FF867C}">
                  <a14:compatExt spid="_x0000_s681985"/>
                </a:ext>
                <a:ext uri="{FF2B5EF4-FFF2-40B4-BE49-F238E27FC236}">
                  <a16:creationId xmlns:a16="http://schemas.microsoft.com/office/drawing/2014/main" id="{00000000-0008-0000-0500-000001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963EDC-26FA-48F7-8BD3-0DB32A9E481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4AE082E-C203-4494-B426-6167E1F21B0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F5D946A-88F0-420D-A000-F7FD85C4387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D83030-D622-48A2-9971-EBA5DFBF5A61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B371AF5-8D49-987D-F03B-097CEBC286C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0B73619-7D16-DB1C-3C65-6CF8B0D456B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E2165CE-B612-4364-9D82-70F9C5AC90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3B3DC4-C428-4C56-A8D1-3BEAA7908416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94273" name="Button 1" hidden="1">
              <a:extLst>
                <a:ext uri="{63B3BB69-23CF-44E3-9099-C40C66FF867C}">
                  <a14:compatExt spid="_x0000_s694273"/>
                </a:ext>
                <a:ext uri="{FF2B5EF4-FFF2-40B4-BE49-F238E27FC236}">
                  <a16:creationId xmlns:a16="http://schemas.microsoft.com/office/drawing/2014/main" id="{00000000-0008-0000-0600-000001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993CC4E-DA6C-4D1A-9396-895057F2028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81BAB9-0EFE-4101-9A0B-56945B1C196B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DCFE009-254C-4980-BE9A-0169DE048B2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6CE9B6B-2D4E-4DFB-98D1-A30F950FFD41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CC0AB-3CA8-D19A-D58D-A4EB2173FC2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C4ED30A-FAE8-32AB-69DC-0026C2E0A3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9CD30AE-03EC-4C3F-B00F-EDB840A683A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50B41C0-5141-484C-A0F1-B1309B20EC3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06561" name="Button 1" hidden="1">
              <a:extLst>
                <a:ext uri="{63B3BB69-23CF-44E3-9099-C40C66FF867C}">
                  <a14:compatExt spid="_x0000_s706561"/>
                </a:ext>
                <a:ext uri="{FF2B5EF4-FFF2-40B4-BE49-F238E27FC236}">
                  <a16:creationId xmlns:a16="http://schemas.microsoft.com/office/drawing/2014/main" id="{00000000-0008-0000-0700-000001C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9E12D9-B41A-4997-8B36-C364D6FA0DC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4772DCB-41A4-4028-AFA6-65987E71A50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40C57A9-86C0-4040-A964-809B7518782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D49423-961D-4B1B-9F85-4D40BCB3CEB0}"/>
            </a:ext>
          </a:extLst>
        </xdr:cNvPr>
        <xdr:cNvGrpSpPr/>
      </xdr:nvGrpSpPr>
      <xdr:grpSpPr>
        <a:xfrm>
          <a:off x="7220291" y="447696"/>
          <a:ext cx="6879202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A4D4417-6F22-2A4F-C418-4F3338ED0F8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F11F7DF-D968-3480-803C-DB9A5BD6B64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D6E539-ACC9-410F-982F-31B1F626CEF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32AB4E-AB99-41EB-AF4E-6FCA7661E5C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07585" name="Button 1" hidden="1">
              <a:extLst>
                <a:ext uri="{63B3BB69-23CF-44E3-9099-C40C66FF867C}">
                  <a14:compatExt spid="_x0000_s707585"/>
                </a:ext>
                <a:ext uri="{FF2B5EF4-FFF2-40B4-BE49-F238E27FC236}">
                  <a16:creationId xmlns:a16="http://schemas.microsoft.com/office/drawing/2014/main" id="{00000000-0008-0000-0800-000001C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A47A72-5BFC-4C27-A754-8EAC62A866A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A835C4-E626-4CC9-A1E9-85E6CDB096E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676BD13-B4DB-4961-8917-45C3895947A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F0BBF7D-FBC5-409D-A148-8EB9E819BCFA}"/>
            </a:ext>
          </a:extLst>
        </xdr:cNvPr>
        <xdr:cNvGrpSpPr/>
      </xdr:nvGrpSpPr>
      <xdr:grpSpPr>
        <a:xfrm>
          <a:off x="7220291" y="447696"/>
          <a:ext cx="6879202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0DCB25-75DB-7EF2-0A96-1786FBD9338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1F8251E-B2CD-FA08-2904-52FE06F53F7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CF4F90F-1412-4461-A6CA-85E072C887C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BA2ADD8-7C17-48A0-A9A1-2CC81F8F2B4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19873" name="Button 1" hidden="1">
              <a:extLst>
                <a:ext uri="{63B3BB69-23CF-44E3-9099-C40C66FF867C}">
                  <a14:compatExt spid="_x0000_s719873"/>
                </a:ext>
                <a:ext uri="{FF2B5EF4-FFF2-40B4-BE49-F238E27FC236}">
                  <a16:creationId xmlns:a16="http://schemas.microsoft.com/office/drawing/2014/main" id="{00000000-0008-0000-0900-000001F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9061B-E2B8-42BC-999F-13FDC30EE7D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F883A2-895F-4505-8422-E23D4A94404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1BC7EC5-24EA-4464-ABD8-9F150995AD2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6651E5-7E19-4EE6-AD90-8127D725E84F}"/>
            </a:ext>
          </a:extLst>
        </xdr:cNvPr>
        <xdr:cNvGrpSpPr/>
      </xdr:nvGrpSpPr>
      <xdr:grpSpPr>
        <a:xfrm>
          <a:off x="7220291" y="447696"/>
          <a:ext cx="6879202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949942-5F70-27FF-399E-4899CF1B3CB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1F5930-1947-D289-9075-A911A7CB9D1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7FFD4FF-DDCC-4383-9B7D-8A1A99CC4E9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E32ACC-E076-4B49-ADBC-D3650A566C7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2161" name="Button 1" hidden="1">
              <a:extLst>
                <a:ext uri="{63B3BB69-23CF-44E3-9099-C40C66FF867C}">
                  <a14:compatExt spid="_x0000_s732161"/>
                </a:ext>
                <a:ext uri="{FF2B5EF4-FFF2-40B4-BE49-F238E27FC236}">
                  <a16:creationId xmlns:a16="http://schemas.microsoft.com/office/drawing/2014/main" id="{00000000-0008-0000-0A00-0000012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B446A9-1484-4DA0-94AA-FEF0FCF9FC8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1304B92-B7A6-4695-9BA7-3D0B5BAD532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8442CD2-C68D-4459-BADE-041284ECF50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3CE014E-35D9-4D81-8852-1C517F8CA18C}"/>
            </a:ext>
          </a:extLst>
        </xdr:cNvPr>
        <xdr:cNvGrpSpPr/>
      </xdr:nvGrpSpPr>
      <xdr:grpSpPr>
        <a:xfrm>
          <a:off x="7220291" y="447696"/>
          <a:ext cx="6879202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C6A7857-03A3-2AC8-0A0C-A26DF52A7DC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45EB3CC-268C-9FFF-2DD8-C634C99750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41C632A-E7A1-43B9-BE54-3745C3D028B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DE0BA9-07DA-4642-A3EF-E7F94A862E2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4209" name="Button 1" hidden="1">
              <a:extLst>
                <a:ext uri="{63B3BB69-23CF-44E3-9099-C40C66FF867C}">
                  <a14:compatExt spid="_x0000_s734209"/>
                </a:ext>
                <a:ext uri="{FF2B5EF4-FFF2-40B4-BE49-F238E27FC236}">
                  <a16:creationId xmlns:a16="http://schemas.microsoft.com/office/drawing/2014/main" id="{00000000-0008-0000-0B00-0000013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36EB4B8-1DF9-46C7-9C14-352F474DFE4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C8F2F0-34BD-432A-8020-4A74156519F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0D7E75C-B61B-49D0-BE9C-4AC6BCEA818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010A5F7-14D0-43BF-BC4A-72C25A0716E2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F307C72-921B-EC0E-82C4-05B0401222A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BF3AAEE-A517-2D82-EFB1-4F0A917B91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1C12E24-2721-493A-B055-C3B528F6692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81CE41-9DD0-4111-B0B0-18ED6A776E5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6257" name="Button 1" hidden="1">
              <a:extLst>
                <a:ext uri="{63B3BB69-23CF-44E3-9099-C40C66FF867C}">
                  <a14:compatExt spid="_x0000_s736257"/>
                </a:ext>
                <a:ext uri="{FF2B5EF4-FFF2-40B4-BE49-F238E27FC236}">
                  <a16:creationId xmlns:a16="http://schemas.microsoft.com/office/drawing/2014/main" id="{00000000-0008-0000-0C00-0000013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5F1104-3244-4464-B870-EB060DB6B0D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C3DC72-F530-4BB7-AA4D-F430792A390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BC678BB-FCED-46F3-B98B-C304EAF6E48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607B86-DF5C-43BE-B24F-3043B2BCE198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28172EA-7CB2-C603-8575-236DB4EE15E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EC14966-2269-783B-8DF1-6098C6E1FB7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595C3CE-5B7E-40F0-BE85-8977AF6A399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5A0908-725F-4643-A8B1-CA75BACA366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7281" name="Button 1" hidden="1">
              <a:extLst>
                <a:ext uri="{63B3BB69-23CF-44E3-9099-C40C66FF867C}">
                  <a14:compatExt spid="_x0000_s737281"/>
                </a:ext>
                <a:ext uri="{FF2B5EF4-FFF2-40B4-BE49-F238E27FC236}">
                  <a16:creationId xmlns:a16="http://schemas.microsoft.com/office/drawing/2014/main" id="{00000000-0008-0000-0D00-0000014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4BD7A9-2444-485D-892A-9D5DE49F388E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805FAC-1BDC-4431-9AE1-5FD83FE7964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01FD5FF-61CE-4302-9411-41A5341C711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21C935F-E82C-48F9-8CCF-59BBAA6B7295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0814D25-7DD4-EBBC-B965-2FEA85C4C87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C3E4822-34FB-5D81-591F-7C96653769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B3FD768-B706-42FE-AA7E-9B8DF1DCEF7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35D42C5-5A10-4DED-BD87-142C97C61DD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8305" name="Button 1" hidden="1">
              <a:extLst>
                <a:ext uri="{63B3BB69-23CF-44E3-9099-C40C66FF867C}">
                  <a14:compatExt spid="_x0000_s738305"/>
                </a:ext>
                <a:ext uri="{FF2B5EF4-FFF2-40B4-BE49-F238E27FC236}">
                  <a16:creationId xmlns:a16="http://schemas.microsoft.com/office/drawing/2014/main" id="{00000000-0008-0000-0E00-0000014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9C0E387-2CD5-4DA3-A32A-EE819577B32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D1CC3FF-A4A7-44A2-951E-0E2D81A6526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FE4FE24-C25C-417E-BF24-2AF106484E1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A342E67-D515-4F76-BC41-05E0A34D2635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715A5B8-9384-6FF2-D35F-30065746212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2F58DC3-047E-4827-8A47-E7B4A59995E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B977B7-55AC-4274-BAC9-D30EFEC81C4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AFE0C4-3801-4080-9AA5-3A91C7E3EC9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F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3CE338E-5B95-4906-81A9-08E61C22832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658AEA-D09D-420C-B425-61D0D5F2DCB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6A32AD-B9DC-4A3E-8001-75667CC627A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F695310-EC1B-40C7-952D-6393A91B2A36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56E51FE-BE12-8D8A-A3C0-C0CF8F986E3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7D17090-CA36-14EE-0E6A-E5154CA90E7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6EAB45F-52B1-41F8-A486-4B350D35758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DBE44E-43C2-4EFE-BDC3-3C59B3DBAD3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40353" name="Button 1" hidden="1">
              <a:extLst>
                <a:ext uri="{63B3BB69-23CF-44E3-9099-C40C66FF867C}">
                  <a14:compatExt spid="_x0000_s740353"/>
                </a:ext>
                <a:ext uri="{FF2B5EF4-FFF2-40B4-BE49-F238E27FC236}">
                  <a16:creationId xmlns:a16="http://schemas.microsoft.com/office/drawing/2014/main" id="{00000000-0008-0000-1000-0000014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4AE3DE-493F-4FF7-9776-F8A7BE2E10F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8DB9E3-3BDB-454E-A198-9522648660A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F64BAB3-869B-41A3-B6CF-5B7AFADFC8C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5BAC862-D168-4FDF-A54D-53FB806267CF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EE94721-0A69-B8C8-6B03-A35012E5252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DD496D3-5016-F255-7B33-01CEDCC761E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0D6006C-E0EA-4C2B-B5C4-A3D54A634C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424771-63ED-4D3F-8E3F-8589AA4C2F0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41377" name="Button 1" hidden="1">
              <a:extLst>
                <a:ext uri="{63B3BB69-23CF-44E3-9099-C40C66FF867C}">
                  <a14:compatExt spid="_x0000_s741377"/>
                </a:ext>
                <a:ext uri="{FF2B5EF4-FFF2-40B4-BE49-F238E27FC236}">
                  <a16:creationId xmlns:a16="http://schemas.microsoft.com/office/drawing/2014/main" id="{00000000-0008-0000-1100-0000015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8080FD3-489C-4C4E-A6CB-7DB939F2380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622626C-D1EE-4944-A2E2-23850A385E3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4C68051-75C9-477C-8F1E-D36295516E3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5AA3039-A6B9-4331-866C-69ED8848F1CA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71A7949-F793-9681-2971-7BF6ACCF57B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6084BD6-6D23-490A-5FF6-BB5E3B1377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DF6526-DF4B-40FC-85A9-C66465FB79F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BF009D-72B5-4637-A876-B9EB0547DD6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43425" name="Button 1" hidden="1">
              <a:extLst>
                <a:ext uri="{63B3BB69-23CF-44E3-9099-C40C66FF867C}">
                  <a14:compatExt spid="_x0000_s743425"/>
                </a:ext>
                <a:ext uri="{FF2B5EF4-FFF2-40B4-BE49-F238E27FC236}">
                  <a16:creationId xmlns:a16="http://schemas.microsoft.com/office/drawing/2014/main" id="{00000000-0008-0000-1200-0000015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6253D9-2196-4BFD-8A82-417426F086A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E3EEBD4-4A63-43D2-9552-718EEF25DB8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C04130-4847-4ECE-933F-984F0731400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E96CC0-30AC-4D81-A4A5-594320A751D2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7F98FEC-E76D-F7F7-DD64-E78A0E97A2F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C4176CC-B6D3-C792-ADC4-C7D0B444C9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84BA931-E005-4840-97A5-CD3D29AB488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1C445C-0A14-4539-BEF0-2430C092471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56737" name="Button 1" hidden="1">
              <a:extLst>
                <a:ext uri="{63B3BB69-23CF-44E3-9099-C40C66FF867C}">
                  <a14:compatExt spid="_x0000_s756737"/>
                </a:ext>
                <a:ext uri="{FF2B5EF4-FFF2-40B4-BE49-F238E27FC236}">
                  <a16:creationId xmlns:a16="http://schemas.microsoft.com/office/drawing/2014/main" id="{00000000-0008-0000-1300-0000018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42DF58-7CB0-4150-A958-43A5CFFEF92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BD351D-CCC0-4904-8951-BC7D5365846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3DBDAA4-CBE2-435C-8DD9-0A9205C374D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736E61-E2A3-418A-8270-B62176065FB6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0FE65C7-DBF5-7A47-597B-CCC88966680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A1ED4F6-5690-225A-542D-D1609498E9A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11EF98C-B9FB-4409-998E-C13713FE6F0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BD3B80B-3BC9-495F-908C-CEE92355B13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70049" name="Button 1" hidden="1">
              <a:extLst>
                <a:ext uri="{63B3BB69-23CF-44E3-9099-C40C66FF867C}">
                  <a14:compatExt spid="_x0000_s770049"/>
                </a:ext>
                <a:ext uri="{FF2B5EF4-FFF2-40B4-BE49-F238E27FC236}">
                  <a16:creationId xmlns:a16="http://schemas.microsoft.com/office/drawing/2014/main" id="{3702042F-9BEB-4969-BD9B-82DB326F1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5D93D4C-468F-4DDC-8233-DFBAB729356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442901-C844-4FC9-A291-1803D76221A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1D64BE-0B3E-4AD8-84E0-9EF51F78C20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E91C86F6-B1C4-421C-929A-470182FF7B1C}" userId="S::bfbungcag@transco.ph::283a4cac-f4d1-4b0c-862c-6c30c814df12" providerId="AD"/>
  <person displayName="ARQUERO, STEPHANIE JANE" id="{857D859D-9153-4290-925D-E548A33317F4}" userId="S::sgarquero@transco.ph::0918a0e7-6f79-4d55-bde8-cc123d3372d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99" dT="2025-02-02T10:14:55.19" personId="{E91C86F6-B1C4-421C-929A-470182FF7B1C}" id="{4AA660E2-4226-4C57-BCBB-AB80C50CC439}">
    <text>Resuma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Y29" dT="2025-02-05T12:31:23.78" personId="{857D859D-9153-4290-925D-E548A33317F4}" id="{DD548B4E-7D45-4300-AC68-A02B98716EE8}">
    <text>1841H online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W81" dT="2025-02-06T08:56:47.76" personId="{857D859D-9153-4290-925D-E548A33317F4}" id="{6EA2FBCB-4DC6-4EA9-BC4F-61FA8D146158}">
    <text>1641H UL</text>
  </threadedComment>
  <threadedComment ref="Y81" dT="2025-02-06T10:26:36.76" personId="{857D859D-9153-4290-925D-E548A33317F4}" id="{C16E0813-354C-45DE-BA03-41BA53E9425B}">
    <text>1817H OL</text>
  </threadedComment>
  <threadedComment ref="Z81" dT="2025-02-06T11:45:59.44" personId="{857D859D-9153-4290-925D-E548A33317F4}" id="{B835718D-F6F4-4C35-9FD4-B47E042F70E8}">
    <text>1912H UL
FD: 81.32 
FB: 0.23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6" Type="http://schemas.openxmlformats.org/officeDocument/2006/relationships/hyperlink" Target="../4" TargetMode="External"/><Relationship Id="rId21" Type="http://schemas.openxmlformats.org/officeDocument/2006/relationships/hyperlink" Target="../3" TargetMode="External"/><Relationship Id="rId42" Type="http://schemas.openxmlformats.org/officeDocument/2006/relationships/hyperlink" Target="../7" TargetMode="External"/><Relationship Id="rId47" Type="http://schemas.openxmlformats.org/officeDocument/2006/relationships/hyperlink" Target="../9" TargetMode="External"/><Relationship Id="rId63" Type="http://schemas.openxmlformats.org/officeDocument/2006/relationships/hyperlink" Target="../11" TargetMode="External"/><Relationship Id="rId68" Type="http://schemas.openxmlformats.org/officeDocument/2006/relationships/hyperlink" Target="../12" TargetMode="External"/><Relationship Id="rId84" Type="http://schemas.openxmlformats.org/officeDocument/2006/relationships/hyperlink" Target="../18" TargetMode="External"/><Relationship Id="rId89" Type="http://schemas.openxmlformats.org/officeDocument/2006/relationships/hyperlink" Target="../19" TargetMode="External"/><Relationship Id="rId16" Type="http://schemas.openxmlformats.org/officeDocument/2006/relationships/hyperlink" Target="../2" TargetMode="External"/><Relationship Id="rId11" Type="http://schemas.openxmlformats.org/officeDocument/2006/relationships/hyperlink" Target="../1" TargetMode="External"/><Relationship Id="rId32" Type="http://schemas.openxmlformats.org/officeDocument/2006/relationships/hyperlink" Target="../5" TargetMode="External"/><Relationship Id="rId37" Type="http://schemas.openxmlformats.org/officeDocument/2006/relationships/hyperlink" Target="../7" TargetMode="External"/><Relationship Id="rId53" Type="http://schemas.openxmlformats.org/officeDocument/2006/relationships/hyperlink" Target="../10" TargetMode="External"/><Relationship Id="rId58" Type="http://schemas.openxmlformats.org/officeDocument/2006/relationships/hyperlink" Target="../10" TargetMode="External"/><Relationship Id="rId74" Type="http://schemas.openxmlformats.org/officeDocument/2006/relationships/hyperlink" Target="../14" TargetMode="External"/><Relationship Id="rId79" Type="http://schemas.openxmlformats.org/officeDocument/2006/relationships/hyperlink" Target="../14" TargetMode="External"/><Relationship Id="rId5" Type="http://schemas.openxmlformats.org/officeDocument/2006/relationships/hyperlink" Target="file:///C:/Users/TransCo-IGSOD-OccMin/AppData/Local/Microsoft/Excel/TemporaryBackupFile/30" TargetMode="External"/><Relationship Id="rId90" Type="http://schemas.openxmlformats.org/officeDocument/2006/relationships/hyperlink" Target="../20" TargetMode="External"/><Relationship Id="rId22" Type="http://schemas.openxmlformats.org/officeDocument/2006/relationships/hyperlink" Target="../3" TargetMode="External"/><Relationship Id="rId27" Type="http://schemas.openxmlformats.org/officeDocument/2006/relationships/hyperlink" Target="../4" TargetMode="External"/><Relationship Id="rId43" Type="http://schemas.openxmlformats.org/officeDocument/2006/relationships/hyperlink" Target="../7" TargetMode="External"/><Relationship Id="rId48" Type="http://schemas.openxmlformats.org/officeDocument/2006/relationships/hyperlink" Target="../9" TargetMode="External"/><Relationship Id="rId64" Type="http://schemas.openxmlformats.org/officeDocument/2006/relationships/hyperlink" Target="../11" TargetMode="External"/><Relationship Id="rId69" Type="http://schemas.openxmlformats.org/officeDocument/2006/relationships/hyperlink" Target="../13" TargetMode="External"/><Relationship Id="rId8" Type="http://schemas.openxmlformats.org/officeDocument/2006/relationships/hyperlink" Target="../1" TargetMode="External"/><Relationship Id="rId51" Type="http://schemas.openxmlformats.org/officeDocument/2006/relationships/hyperlink" Target="../10" TargetMode="External"/><Relationship Id="rId72" Type="http://schemas.openxmlformats.org/officeDocument/2006/relationships/hyperlink" Target="../13" TargetMode="External"/><Relationship Id="rId80" Type="http://schemas.openxmlformats.org/officeDocument/2006/relationships/hyperlink" Target="../14" TargetMode="External"/><Relationship Id="rId85" Type="http://schemas.openxmlformats.org/officeDocument/2006/relationships/hyperlink" Target="../18" TargetMode="External"/><Relationship Id="rId93" Type="http://schemas.openxmlformats.org/officeDocument/2006/relationships/hyperlink" Target="../20" TargetMode="External"/><Relationship Id="rId3" Type="http://schemas.openxmlformats.org/officeDocument/2006/relationships/hyperlink" Target="../31" TargetMode="External"/><Relationship Id="rId12" Type="http://schemas.openxmlformats.org/officeDocument/2006/relationships/hyperlink" Target="../2" TargetMode="External"/><Relationship Id="rId17" Type="http://schemas.openxmlformats.org/officeDocument/2006/relationships/hyperlink" Target="../3" TargetMode="External"/><Relationship Id="rId25" Type="http://schemas.openxmlformats.org/officeDocument/2006/relationships/hyperlink" Target="../3" TargetMode="External"/><Relationship Id="rId33" Type="http://schemas.openxmlformats.org/officeDocument/2006/relationships/hyperlink" Target="../5" TargetMode="External"/><Relationship Id="rId38" Type="http://schemas.openxmlformats.org/officeDocument/2006/relationships/hyperlink" Target="../7" TargetMode="External"/><Relationship Id="rId46" Type="http://schemas.openxmlformats.org/officeDocument/2006/relationships/hyperlink" Target="../8" TargetMode="External"/><Relationship Id="rId59" Type="http://schemas.openxmlformats.org/officeDocument/2006/relationships/hyperlink" Target="../10" TargetMode="External"/><Relationship Id="rId67" Type="http://schemas.openxmlformats.org/officeDocument/2006/relationships/hyperlink" Target="../12" TargetMode="External"/><Relationship Id="rId20" Type="http://schemas.openxmlformats.org/officeDocument/2006/relationships/hyperlink" Target="../3" TargetMode="External"/><Relationship Id="rId41" Type="http://schemas.openxmlformats.org/officeDocument/2006/relationships/hyperlink" Target="../7" TargetMode="External"/><Relationship Id="rId54" Type="http://schemas.openxmlformats.org/officeDocument/2006/relationships/hyperlink" Target="../10" TargetMode="External"/><Relationship Id="rId62" Type="http://schemas.openxmlformats.org/officeDocument/2006/relationships/hyperlink" Target="../11" TargetMode="External"/><Relationship Id="rId70" Type="http://schemas.openxmlformats.org/officeDocument/2006/relationships/hyperlink" Target="../13" TargetMode="External"/><Relationship Id="rId75" Type="http://schemas.openxmlformats.org/officeDocument/2006/relationships/hyperlink" Target="../14" TargetMode="External"/><Relationship Id="rId83" Type="http://schemas.openxmlformats.org/officeDocument/2006/relationships/hyperlink" Target="../15" TargetMode="External"/><Relationship Id="rId88" Type="http://schemas.openxmlformats.org/officeDocument/2006/relationships/hyperlink" Target="../19" TargetMode="External"/><Relationship Id="rId91" Type="http://schemas.openxmlformats.org/officeDocument/2006/relationships/hyperlink" Target="../20" TargetMode="External"/><Relationship Id="rId1" Type="http://schemas.openxmlformats.org/officeDocument/2006/relationships/hyperlink" Target="file:///C:/Users/TransCo-IGSOD-OccMin/AppData/Local/Microsoft/Excel/TemporaryBackupFile/31" TargetMode="External"/><Relationship Id="rId6" Type="http://schemas.openxmlformats.org/officeDocument/2006/relationships/hyperlink" Target="../1" TargetMode="External"/><Relationship Id="rId15" Type="http://schemas.openxmlformats.org/officeDocument/2006/relationships/hyperlink" Target="../2" TargetMode="External"/><Relationship Id="rId23" Type="http://schemas.openxmlformats.org/officeDocument/2006/relationships/hyperlink" Target="../3" TargetMode="External"/><Relationship Id="rId28" Type="http://schemas.openxmlformats.org/officeDocument/2006/relationships/hyperlink" Target="../5" TargetMode="External"/><Relationship Id="rId36" Type="http://schemas.openxmlformats.org/officeDocument/2006/relationships/hyperlink" Target="../6" TargetMode="External"/><Relationship Id="rId49" Type="http://schemas.openxmlformats.org/officeDocument/2006/relationships/hyperlink" Target="../10" TargetMode="External"/><Relationship Id="rId57" Type="http://schemas.openxmlformats.org/officeDocument/2006/relationships/hyperlink" Target="../10" TargetMode="External"/><Relationship Id="rId10" Type="http://schemas.openxmlformats.org/officeDocument/2006/relationships/hyperlink" Target="../1" TargetMode="External"/><Relationship Id="rId31" Type="http://schemas.openxmlformats.org/officeDocument/2006/relationships/hyperlink" Target="../5" TargetMode="External"/><Relationship Id="rId44" Type="http://schemas.openxmlformats.org/officeDocument/2006/relationships/hyperlink" Target="../8" TargetMode="External"/><Relationship Id="rId52" Type="http://schemas.openxmlformats.org/officeDocument/2006/relationships/hyperlink" Target="../10" TargetMode="External"/><Relationship Id="rId60" Type="http://schemas.openxmlformats.org/officeDocument/2006/relationships/hyperlink" Target="../10" TargetMode="External"/><Relationship Id="rId65" Type="http://schemas.openxmlformats.org/officeDocument/2006/relationships/hyperlink" Target="../11" TargetMode="External"/><Relationship Id="rId73" Type="http://schemas.openxmlformats.org/officeDocument/2006/relationships/hyperlink" Target="../13" TargetMode="External"/><Relationship Id="rId78" Type="http://schemas.openxmlformats.org/officeDocument/2006/relationships/hyperlink" Target="../14" TargetMode="External"/><Relationship Id="rId81" Type="http://schemas.openxmlformats.org/officeDocument/2006/relationships/hyperlink" Target="../14" TargetMode="External"/><Relationship Id="rId86" Type="http://schemas.openxmlformats.org/officeDocument/2006/relationships/hyperlink" Target="../19" TargetMode="External"/><Relationship Id="rId94" Type="http://schemas.openxmlformats.org/officeDocument/2006/relationships/hyperlink" Target="../20" TargetMode="External"/><Relationship Id="rId4" Type="http://schemas.openxmlformats.org/officeDocument/2006/relationships/hyperlink" Target="file:///C:/Users/TransCo-IGSOD-OccMin/AppData/Local/Microsoft/Excel/TemporaryBackupFile/26" TargetMode="External"/><Relationship Id="rId9" Type="http://schemas.openxmlformats.org/officeDocument/2006/relationships/hyperlink" Target="../1" TargetMode="External"/><Relationship Id="rId13" Type="http://schemas.openxmlformats.org/officeDocument/2006/relationships/hyperlink" Target="../2" TargetMode="External"/><Relationship Id="rId18" Type="http://schemas.openxmlformats.org/officeDocument/2006/relationships/hyperlink" Target="../3" TargetMode="External"/><Relationship Id="rId39" Type="http://schemas.openxmlformats.org/officeDocument/2006/relationships/hyperlink" Target="../7" TargetMode="External"/><Relationship Id="rId34" Type="http://schemas.openxmlformats.org/officeDocument/2006/relationships/hyperlink" Target="../6" TargetMode="External"/><Relationship Id="rId50" Type="http://schemas.openxmlformats.org/officeDocument/2006/relationships/hyperlink" Target="../10" TargetMode="External"/><Relationship Id="rId55" Type="http://schemas.openxmlformats.org/officeDocument/2006/relationships/hyperlink" Target="../10" TargetMode="External"/><Relationship Id="rId76" Type="http://schemas.openxmlformats.org/officeDocument/2006/relationships/hyperlink" Target="../14" TargetMode="External"/><Relationship Id="rId7" Type="http://schemas.openxmlformats.org/officeDocument/2006/relationships/hyperlink" Target="../1" TargetMode="External"/><Relationship Id="rId71" Type="http://schemas.openxmlformats.org/officeDocument/2006/relationships/hyperlink" Target="../13" TargetMode="External"/><Relationship Id="rId92" Type="http://schemas.openxmlformats.org/officeDocument/2006/relationships/hyperlink" Target="../20" TargetMode="External"/><Relationship Id="rId2" Type="http://schemas.openxmlformats.org/officeDocument/2006/relationships/hyperlink" Target="../31" TargetMode="External"/><Relationship Id="rId29" Type="http://schemas.openxmlformats.org/officeDocument/2006/relationships/hyperlink" Target="../5" TargetMode="External"/><Relationship Id="rId24" Type="http://schemas.openxmlformats.org/officeDocument/2006/relationships/hyperlink" Target="../3" TargetMode="External"/><Relationship Id="rId40" Type="http://schemas.openxmlformats.org/officeDocument/2006/relationships/hyperlink" Target="../7" TargetMode="External"/><Relationship Id="rId45" Type="http://schemas.openxmlformats.org/officeDocument/2006/relationships/hyperlink" Target="../8" TargetMode="External"/><Relationship Id="rId66" Type="http://schemas.openxmlformats.org/officeDocument/2006/relationships/hyperlink" Target="../12" TargetMode="External"/><Relationship Id="rId87" Type="http://schemas.openxmlformats.org/officeDocument/2006/relationships/hyperlink" Target="../19" TargetMode="External"/><Relationship Id="rId61" Type="http://schemas.openxmlformats.org/officeDocument/2006/relationships/hyperlink" Target="../10" TargetMode="External"/><Relationship Id="rId82" Type="http://schemas.openxmlformats.org/officeDocument/2006/relationships/hyperlink" Target="../15" TargetMode="External"/><Relationship Id="rId19" Type="http://schemas.openxmlformats.org/officeDocument/2006/relationships/hyperlink" Target="../3" TargetMode="External"/><Relationship Id="rId14" Type="http://schemas.openxmlformats.org/officeDocument/2006/relationships/hyperlink" Target="../2" TargetMode="External"/><Relationship Id="rId30" Type="http://schemas.openxmlformats.org/officeDocument/2006/relationships/hyperlink" Target="../5" TargetMode="External"/><Relationship Id="rId35" Type="http://schemas.openxmlformats.org/officeDocument/2006/relationships/hyperlink" Target="../6" TargetMode="External"/><Relationship Id="rId56" Type="http://schemas.openxmlformats.org/officeDocument/2006/relationships/hyperlink" Target="../10" TargetMode="External"/><Relationship Id="rId77" Type="http://schemas.openxmlformats.org/officeDocument/2006/relationships/hyperlink" Target="../14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workbookViewId="0">
      <selection activeCell="H43" sqref="H43"/>
    </sheetView>
  </sheetViews>
  <sheetFormatPr defaultRowHeight="15" x14ac:dyDescent="0.25"/>
  <cols>
    <col min="1" max="2" width="9.140625" style="80"/>
  </cols>
  <sheetData>
    <row r="2" spans="1:27" ht="15.75" x14ac:dyDescent="0.25">
      <c r="A2" s="80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6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 x14ac:dyDescent="0.25">
      <c r="A3" s="80">
        <v>1</v>
      </c>
      <c r="B3" s="80">
        <v>102</v>
      </c>
      <c r="C3" s="324" cm="1">
        <f t="array" aca="1" ref="C3" ca="1">INDIRECT("'"&amp;$A3&amp;"'!"&amp; "F" &amp; $B3)</f>
        <v>42.730000000000004</v>
      </c>
      <c r="D3" s="324" cm="1">
        <f t="array" aca="1" ref="D3" ca="1">INDIRECT("'"&amp;$A3&amp;"'!"&amp; "g" &amp; $B3)</f>
        <v>40.700000000000003</v>
      </c>
      <c r="E3" s="324" cm="1">
        <f t="array" aca="1" ref="E3" ca="1">INDIRECT("'"&amp;$A3&amp;"'!"&amp; "H" &amp; $B3)</f>
        <v>38.749999999999993</v>
      </c>
      <c r="F3" s="324" cm="1">
        <f t="array" aca="1" ref="F3" ca="1">INDIRECT("'"&amp;$A3&amp;"'!"&amp; "I" &amp; $B3)</f>
        <v>39.159999999999997</v>
      </c>
      <c r="G3" s="324" cm="1">
        <f t="array" aca="1" ref="G3" ca="1">INDIRECT("'"&amp;$A3&amp;"'!"&amp; "J" &amp; $B3)</f>
        <v>36.230000000000004</v>
      </c>
      <c r="H3" s="324" cm="1">
        <f t="array" aca="1" ref="H3" ca="1">INDIRECT("'"&amp;$A3&amp;"'!"&amp; "K" &amp; $B3)</f>
        <v>34.92</v>
      </c>
      <c r="I3" s="324" cm="1">
        <f t="array" aca="1" ref="I3" ca="1">INDIRECT("'"&amp;$A3&amp;"'!"&amp; "L" &amp; $B3)</f>
        <v>34.44</v>
      </c>
      <c r="J3" s="324" cm="1">
        <f t="array" aca="1" ref="J3" ca="1">INDIRECT("'"&amp;$A3&amp;"'!"&amp; "M" &amp; $B3)</f>
        <v>35.29</v>
      </c>
      <c r="K3" s="324" cm="1">
        <f t="array" aca="1" ref="K3" ca="1">INDIRECT("'"&amp;$A3&amp;"'!"&amp; "N" &amp; $B3)</f>
        <v>41.790000000000006</v>
      </c>
      <c r="L3" s="324" cm="1">
        <f t="array" aca="1" ref="L3" ca="1">INDIRECT("'"&amp;$A3&amp;"'!"&amp; "O" &amp; $B3)</f>
        <v>47.57</v>
      </c>
      <c r="M3" s="324" cm="1">
        <f t="array" aca="1" ref="M3" ca="1">INDIRECT("'"&amp;$A3&amp;"'!"&amp; "P" &amp; $B3)</f>
        <v>52.910000000000011</v>
      </c>
      <c r="N3" s="324" cm="1">
        <f t="array" aca="1" ref="N3" ca="1">INDIRECT("'"&amp;$A3&amp;"'!"&amp; "Q" &amp; $B3)</f>
        <v>54.580000000000013</v>
      </c>
      <c r="O3" s="324" cm="1">
        <f t="array" aca="1" ref="O3" ca="1">INDIRECT("'"&amp;$A3&amp;"'!"&amp; "R" &amp; $B3)</f>
        <v>53.660000000000004</v>
      </c>
      <c r="P3" s="324" cm="1">
        <f t="array" aca="1" ref="P3" ca="1">INDIRECT("'"&amp;$A3&amp;"'!"&amp; "S" &amp; $B3)</f>
        <v>55.989999999999995</v>
      </c>
      <c r="Q3" s="324" cm="1">
        <f t="array" aca="1" ref="Q3" ca="1">INDIRECT("'"&amp;$A3&amp;"'!"&amp; "T" &amp; $B3)</f>
        <v>55.839999999999996</v>
      </c>
      <c r="R3" s="324" cm="1">
        <f t="array" aca="1" ref="R3" ca="1">INDIRECT("'"&amp;$A3&amp;"'!"&amp; "U" &amp; $B3)</f>
        <v>56.38</v>
      </c>
      <c r="S3" s="324" cm="1">
        <f t="array" aca="1" ref="S3" ca="1">INDIRECT("'"&amp;$A3&amp;"'!"&amp; "V" &amp; $B3)</f>
        <v>55.940000000000012</v>
      </c>
      <c r="T3" s="324" cm="1">
        <f t="array" aca="1" ref="T3" ca="1">INDIRECT("'"&amp;$A3&amp;"'!"&amp; "W" &amp; $B3)</f>
        <v>53.160000000000004</v>
      </c>
      <c r="U3" s="324" cm="1">
        <f t="array" aca="1" ref="U3" ca="1">INDIRECT("'"&amp;$A3&amp;"'!"&amp; "X" &amp; $B3)</f>
        <v>55.6</v>
      </c>
      <c r="V3" s="324" cm="1">
        <f t="array" aca="1" ref="V3" ca="1">INDIRECT("'"&amp;$A3&amp;"'!"&amp; "Y" &amp; $B3)</f>
        <v>59.400000000000013</v>
      </c>
      <c r="W3" s="324" cm="1">
        <f t="array" aca="1" ref="W3" ca="1">INDIRECT("'"&amp;$A3&amp;"'!"&amp; "Z" &amp; $B3)</f>
        <v>57.36</v>
      </c>
      <c r="X3" s="324" cm="1">
        <f t="array" aca="1" ref="X3" ca="1">INDIRECT("'"&amp;$A3&amp;"'!"&amp; "AA" &amp; $B3)</f>
        <v>55.580000000000005</v>
      </c>
      <c r="Y3" s="324" cm="1">
        <f t="array" aca="1" ref="Y3" ca="1">INDIRECT("'"&amp;$A3&amp;"'!"&amp; "AB" &amp; $B3)</f>
        <v>52.16</v>
      </c>
      <c r="Z3" s="324" cm="1">
        <f t="array" aca="1" ref="Z3" ca="1">INDIRECT("'"&amp;$A3&amp;"'!"&amp; "AC" &amp; $B3)</f>
        <v>47.329999999999991</v>
      </c>
      <c r="AA3" s="76"/>
    </row>
    <row r="4" spans="1:27" x14ac:dyDescent="0.25">
      <c r="A4" s="80">
        <v>2</v>
      </c>
      <c r="B4" s="80">
        <v>102</v>
      </c>
      <c r="C4" s="324" cm="1">
        <f t="array" aca="1" ref="C4" ca="1">INDIRECT("'"&amp;$A4&amp;"'!"&amp; "F" &amp; $B4)</f>
        <v>43.959999999999994</v>
      </c>
      <c r="D4" s="324" cm="1">
        <f t="array" aca="1" ref="D4" ca="1">INDIRECT("'"&amp;$A4&amp;"'!"&amp; "g" &amp; $B4)</f>
        <v>40.189999999999991</v>
      </c>
      <c r="E4" s="324" cm="1">
        <f t="array" aca="1" ref="E4" ca="1">INDIRECT("'"&amp;$A4&amp;"'!"&amp; "H" &amp; $B4)</f>
        <v>38.090000000000003</v>
      </c>
      <c r="F4" s="324" cm="1">
        <f t="array" aca="1" ref="F4" ca="1">INDIRECT("'"&amp;$A4&amp;"'!"&amp; "I" &amp; $B4)</f>
        <v>37.239999999999995</v>
      </c>
      <c r="G4" s="324" cm="1">
        <f t="array" aca="1" ref="G4" ca="1">INDIRECT("'"&amp;$A4&amp;"'!"&amp; "J" &amp; $B4)</f>
        <v>36.39</v>
      </c>
      <c r="H4" s="324" cm="1">
        <f t="array" aca="1" ref="H4" ca="1">INDIRECT("'"&amp;$A4&amp;"'!"&amp; "K" &amp; $B4)</f>
        <v>36.010000000000005</v>
      </c>
      <c r="I4" s="324" cm="1">
        <f t="array" aca="1" ref="I4" ca="1">INDIRECT("'"&amp;$A4&amp;"'!"&amp; "L" &amp; $B4)</f>
        <v>36.870000000000012</v>
      </c>
      <c r="J4" s="324" cm="1">
        <f t="array" aca="1" ref="J4" ca="1">INDIRECT("'"&amp;$A4&amp;"'!"&amp; "M" &amp; $B4)</f>
        <v>37.419999999999995</v>
      </c>
      <c r="K4" s="324" cm="1">
        <f t="array" aca="1" ref="K4" ca="1">INDIRECT("'"&amp;$A4&amp;"'!"&amp; "N" &amp; $B4)</f>
        <v>39.299999999999997</v>
      </c>
      <c r="L4" s="324" cm="1">
        <f t="array" aca="1" ref="L4" ca="1">INDIRECT("'"&amp;$A4&amp;"'!"&amp; "O" &amp; $B4)</f>
        <v>44.150000000000006</v>
      </c>
      <c r="M4" s="324" cm="1">
        <f t="array" aca="1" ref="M4" ca="1">INDIRECT("'"&amp;$A4&amp;"'!"&amp; "P" &amp; $B4)</f>
        <v>48.78</v>
      </c>
      <c r="N4" s="324" cm="1">
        <f t="array" aca="1" ref="N4" ca="1">INDIRECT("'"&amp;$A4&amp;"'!"&amp; "Q" &amp; $B4)</f>
        <v>48.860000000000007</v>
      </c>
      <c r="O4" s="324" cm="1">
        <f t="array" aca="1" ref="O4" ca="1">INDIRECT("'"&amp;$A4&amp;"'!"&amp; "R" &amp; $B4)</f>
        <v>48.620000000000005</v>
      </c>
      <c r="P4" s="324" cm="1">
        <f t="array" aca="1" ref="P4" ca="1">INDIRECT("'"&amp;$A4&amp;"'!"&amp; "S" &amp; $B4)</f>
        <v>50.340000000000011</v>
      </c>
      <c r="Q4" s="324" cm="1">
        <f t="array" aca="1" ref="Q4" ca="1">INDIRECT("'"&amp;$A4&amp;"'!"&amp; "T" &amp; $B4)</f>
        <v>50.112000000000002</v>
      </c>
      <c r="R4" s="324" cm="1">
        <f t="array" aca="1" ref="R4" ca="1">INDIRECT("'"&amp;$A4&amp;"'!"&amp; "U" &amp; $B4)</f>
        <v>50.54</v>
      </c>
      <c r="S4" s="324" cm="1">
        <f t="array" aca="1" ref="S4" ca="1">INDIRECT("'"&amp;$A4&amp;"'!"&amp; "V" &amp; $B4)</f>
        <v>50.300000000000004</v>
      </c>
      <c r="T4" s="324" cm="1">
        <f t="array" aca="1" ref="T4" ca="1">INDIRECT("'"&amp;$A4&amp;"'!"&amp; "W" &amp; $B4)</f>
        <v>49.830000000000005</v>
      </c>
      <c r="U4" s="324" cm="1">
        <f t="array" aca="1" ref="U4" ca="1">INDIRECT("'"&amp;$A4&amp;"'!"&amp; "X" &amp; $B4)</f>
        <v>50.938000000000002</v>
      </c>
      <c r="V4" s="324" cm="1">
        <f t="array" aca="1" ref="V4" ca="1">INDIRECT("'"&amp;$A4&amp;"'!"&amp; "Y" &amp; $B4)</f>
        <v>57.349999999999987</v>
      </c>
      <c r="W4" s="324" cm="1">
        <f t="array" aca="1" ref="W4" ca="1">INDIRECT("'"&amp;$A4&amp;"'!"&amp; "Z" &amp; $B4)</f>
        <v>54.639999999999993</v>
      </c>
      <c r="X4" s="324" cm="1">
        <f t="array" aca="1" ref="X4" ca="1">INDIRECT("'"&amp;$A4&amp;"'!"&amp; "AA" &amp; $B4)</f>
        <v>53.719999999999992</v>
      </c>
      <c r="Y4" s="324" cm="1">
        <f t="array" aca="1" ref="Y4" ca="1">INDIRECT("'"&amp;$A4&amp;"'!"&amp; "AB" &amp; $B4)</f>
        <v>49.06</v>
      </c>
      <c r="Z4" s="324" cm="1">
        <f t="array" aca="1" ref="Z4" ca="1">INDIRECT("'"&amp;$A4&amp;"'!"&amp; "AC" &amp; $B4)</f>
        <v>43.930000000000007</v>
      </c>
    </row>
    <row r="5" spans="1:27" x14ac:dyDescent="0.25">
      <c r="A5" s="80">
        <v>3</v>
      </c>
      <c r="B5" s="80">
        <v>102</v>
      </c>
      <c r="C5" s="324" cm="1">
        <f t="array" aca="1" ref="C5" ca="1">INDIRECT("'"&amp;$A5&amp;"'!"&amp; "F" &amp; $B5)</f>
        <v>40.539999999999992</v>
      </c>
      <c r="D5" s="324" cm="1">
        <f t="array" aca="1" ref="D5" ca="1">INDIRECT("'"&amp;$A5&amp;"'!"&amp; "g" &amp; $B5)</f>
        <v>37.689999999999991</v>
      </c>
      <c r="E5" s="324" cm="1">
        <f t="array" aca="1" ref="E5" ca="1">INDIRECT("'"&amp;$A5&amp;"'!"&amp; "H" &amp; $B5)</f>
        <v>35.93</v>
      </c>
      <c r="F5" s="324" cm="1">
        <f t="array" aca="1" ref="F5" ca="1">INDIRECT("'"&amp;$A5&amp;"'!"&amp; "I" &amp; $B5)</f>
        <v>34.889999999999993</v>
      </c>
      <c r="G5" s="324" cm="1">
        <f t="array" aca="1" ref="G5" ca="1">INDIRECT("'"&amp;$A5&amp;"'!"&amp; "J" &amp; $B5)</f>
        <v>34.69</v>
      </c>
      <c r="H5" s="324" cm="1">
        <f t="array" aca="1" ref="H5" ca="1">INDIRECT("'"&amp;$A5&amp;"'!"&amp; "K" &amp; $B5)</f>
        <v>36.860000000000007</v>
      </c>
      <c r="I5" s="324" cm="1">
        <f t="array" aca="1" ref="I5" ca="1">INDIRECT("'"&amp;$A5&amp;"'!"&amp; "L" &amp; $B5)</f>
        <v>41.440000000000005</v>
      </c>
      <c r="J5" s="324" cm="1">
        <f t="array" aca="1" ref="J5" ca="1">INDIRECT("'"&amp;$A5&amp;"'!"&amp; "M" &amp; $B5)</f>
        <v>38.949999999999996</v>
      </c>
      <c r="K5" s="324" cm="1">
        <f t="array" aca="1" ref="K5" ca="1">INDIRECT("'"&amp;$A5&amp;"'!"&amp; "N" &amp; $B5)</f>
        <v>38.76</v>
      </c>
      <c r="L5" s="324" cm="1">
        <f t="array" aca="1" ref="L5" ca="1">INDIRECT("'"&amp;$A5&amp;"'!"&amp; "O" &amp; $B5)</f>
        <v>51.56</v>
      </c>
      <c r="M5" s="324" cm="1">
        <f t="array" aca="1" ref="M5" ca="1">INDIRECT("'"&amp;$A5&amp;"'!"&amp; "P" &amp; $B5)</f>
        <v>58.38</v>
      </c>
      <c r="N5" s="324" cm="1">
        <f t="array" aca="1" ref="N5" ca="1">INDIRECT("'"&amp;$A5&amp;"'!"&amp; "Q" &amp; $B5)</f>
        <v>59.64</v>
      </c>
      <c r="O5" s="324" cm="1">
        <f t="array" aca="1" ref="O5" ca="1">INDIRECT("'"&amp;$A5&amp;"'!"&amp; "R" &amp; $B5)</f>
        <v>59.939999999999976</v>
      </c>
      <c r="P5" s="324" cm="1">
        <f t="array" aca="1" ref="P5" ca="1">INDIRECT("'"&amp;$A5&amp;"'!"&amp; "S" &amp; $B5)</f>
        <v>61.22999999999999</v>
      </c>
      <c r="Q5" s="324" cm="1">
        <f t="array" aca="1" ref="Q5" ca="1">INDIRECT("'"&amp;$A5&amp;"'!"&amp; "T" &amp; $B5)</f>
        <v>64.36999999999999</v>
      </c>
      <c r="R5" s="324" cm="1">
        <f t="array" aca="1" ref="R5" ca="1">INDIRECT("'"&amp;$A5&amp;"'!"&amp; "U" &amp; $B5)</f>
        <v>62.321111111111101</v>
      </c>
      <c r="S5" s="324" cm="1">
        <f t="array" aca="1" ref="S5" ca="1">INDIRECT("'"&amp;$A5&amp;"'!"&amp; "V" &amp; $B5)</f>
        <v>59.437222222222218</v>
      </c>
      <c r="T5" s="324" cm="1">
        <f t="array" aca="1" ref="T5" ca="1">INDIRECT("'"&amp;$A5&amp;"'!"&amp; "W" &amp; $B5)</f>
        <v>56.603333333333339</v>
      </c>
      <c r="U5" s="324" cm="1">
        <f t="array" aca="1" ref="U5" ca="1">INDIRECT("'"&amp;$A5&amp;"'!"&amp; "X" &amp; $B5)</f>
        <v>55.373333333333328</v>
      </c>
      <c r="V5" s="324" cm="1">
        <f t="array" aca="1" ref="V5" ca="1">INDIRECT("'"&amp;$A5&amp;"'!"&amp; "Y" &amp; $B5)</f>
        <v>59.25555555555556</v>
      </c>
      <c r="W5" s="324" cm="1">
        <f t="array" aca="1" ref="W5" ca="1">INDIRECT("'"&amp;$A5&amp;"'!"&amp; "Z" &amp; $B5)</f>
        <v>58.427777777777777</v>
      </c>
      <c r="X5" s="324" cm="1">
        <f t="array" aca="1" ref="X5" ca="1">INDIRECT("'"&amp;$A5&amp;"'!"&amp; "AA" &amp; $B5)</f>
        <v>54.009999999999991</v>
      </c>
      <c r="Y5" s="324" cm="1">
        <f t="array" aca="1" ref="Y5" ca="1">INDIRECT("'"&amp;$A5&amp;"'!"&amp; "AB" &amp; $B5)</f>
        <v>48.579999999999991</v>
      </c>
      <c r="Z5" s="324" cm="1">
        <f t="array" aca="1" ref="Z5" ca="1">INDIRECT("'"&amp;$A5&amp;"'!"&amp; "AC" &amp; $B5)</f>
        <v>42.872500000000002</v>
      </c>
    </row>
    <row r="6" spans="1:27" x14ac:dyDescent="0.25">
      <c r="A6" s="80">
        <v>4</v>
      </c>
      <c r="B6" s="80">
        <v>105</v>
      </c>
      <c r="C6" s="324" cm="1">
        <f t="array" aca="1" ref="C6" ca="1">INDIRECT("'"&amp;$A6&amp;"'!"&amp; "F" &amp; $B6)</f>
        <v>36.82</v>
      </c>
      <c r="D6" s="324" cm="1">
        <f t="array" aca="1" ref="D6" ca="1">INDIRECT("'"&amp;$A6&amp;"'!"&amp; "g" &amp; $B6)</f>
        <v>38.010000000000005</v>
      </c>
      <c r="E6" s="324" cm="1">
        <f t="array" aca="1" ref="E6" ca="1">INDIRECT("'"&amp;$A6&amp;"'!"&amp; "H" &amp; $B6)</f>
        <v>35.67</v>
      </c>
      <c r="F6" s="324" cm="1">
        <f t="array" aca="1" ref="F6" ca="1">INDIRECT("'"&amp;$A6&amp;"'!"&amp; "I" &amp; $B6)</f>
        <v>35.299999999999997</v>
      </c>
      <c r="G6" s="324" cm="1">
        <f t="array" aca="1" ref="G6" ca="1">INDIRECT("'"&amp;$A6&amp;"'!"&amp; "J" &amp; $B6)</f>
        <v>35.22</v>
      </c>
      <c r="H6" s="324" cm="1">
        <f t="array" aca="1" ref="H6" ca="1">INDIRECT("'"&amp;$A6&amp;"'!"&amp; "K" &amp; $B6)</f>
        <v>36.67</v>
      </c>
      <c r="I6" s="324" cm="1">
        <f t="array" aca="1" ref="I6" ca="1">INDIRECT("'"&amp;$A6&amp;"'!"&amp; "L" &amp; $B6)</f>
        <v>40.28</v>
      </c>
      <c r="J6" s="324" cm="1">
        <f t="array" aca="1" ref="J6" ca="1">INDIRECT("'"&amp;$A6&amp;"'!"&amp; "M" &amp; $B6)</f>
        <v>40.85</v>
      </c>
      <c r="K6" s="324" cm="1">
        <f t="array" aca="1" ref="K6" ca="1">INDIRECT("'"&amp;$A6&amp;"'!"&amp; "N" &amp; $B6)</f>
        <v>42.57</v>
      </c>
      <c r="L6" s="324" cm="1">
        <f t="array" aca="1" ref="L6" ca="1">INDIRECT("'"&amp;$A6&amp;"'!"&amp; "O" &amp; $B6)</f>
        <v>53</v>
      </c>
      <c r="M6" s="324" cm="1">
        <f t="array" aca="1" ref="M6" ca="1">INDIRECT("'"&amp;$A6&amp;"'!"&amp; "P" &amp; $B6)</f>
        <v>58.38</v>
      </c>
      <c r="N6" s="324" cm="1">
        <f t="array" aca="1" ref="N6" ca="1">INDIRECT("'"&amp;$A6&amp;"'!"&amp; "Q" &amp; $B6)</f>
        <v>59.286999999999999</v>
      </c>
      <c r="O6" s="324" cm="1">
        <f t="array" aca="1" ref="O6" ca="1">INDIRECT("'"&amp;$A6&amp;"'!"&amp; "R" &amp; $B6)</f>
        <v>58.640000000000008</v>
      </c>
      <c r="P6" s="324" cm="1">
        <f t="array" aca="1" ref="P6" ca="1">INDIRECT("'"&amp;$A6&amp;"'!"&amp; "S" &amp; $B6)</f>
        <v>58.48</v>
      </c>
      <c r="Q6" s="324" cm="1">
        <f t="array" aca="1" ref="Q6" ca="1">INDIRECT("'"&amp;$A6&amp;"'!"&amp; "T" &amp; $B6)</f>
        <v>61.163863636363637</v>
      </c>
      <c r="R6" s="324" cm="1">
        <f t="array" aca="1" ref="R6" ca="1">INDIRECT("'"&amp;$A6&amp;"'!"&amp; "U" &amp; $B6)</f>
        <v>61.000181818181829</v>
      </c>
      <c r="S6" s="324" cm="1">
        <f t="array" aca="1" ref="S6" ca="1">INDIRECT("'"&amp;$A6&amp;"'!"&amp; "V" &amp; $B6)</f>
        <v>60.861999999999995</v>
      </c>
      <c r="T6" s="324" cm="1">
        <f t="array" aca="1" ref="T6" ca="1">INDIRECT("'"&amp;$A6&amp;"'!"&amp; "W" &amp; $B6)</f>
        <v>58.517999999999994</v>
      </c>
      <c r="U6" s="324" cm="1">
        <f t="array" aca="1" ref="U6" ca="1">INDIRECT("'"&amp;$A6&amp;"'!"&amp; "X" &amp; $B6)</f>
        <v>55.741</v>
      </c>
      <c r="V6" s="324" cm="1">
        <f t="array" aca="1" ref="V6" ca="1">INDIRECT("'"&amp;$A6&amp;"'!"&amp; "Y" &amp; $B6)</f>
        <v>59.98</v>
      </c>
      <c r="W6" s="324" cm="1">
        <f t="array" aca="1" ref="W6" ca="1">INDIRECT("'"&amp;$A6&amp;"'!"&amp; "Z" &amp; $B6)</f>
        <v>57.181666666666658</v>
      </c>
      <c r="X6" s="324" cm="1">
        <f t="array" aca="1" ref="X6" ca="1">INDIRECT("'"&amp;$A6&amp;"'!"&amp; "AA" &amp; $B6)</f>
        <v>54.881666666666668</v>
      </c>
      <c r="Y6" s="324" cm="1">
        <f t="array" aca="1" ref="Y6" ca="1">INDIRECT("'"&amp;$A6&amp;"'!"&amp; "AB" &amp; $B6)</f>
        <v>49.836666666666666</v>
      </c>
      <c r="Z6" s="324" cm="1">
        <f t="array" aca="1" ref="Z6" ca="1">INDIRECT("'"&amp;$A6&amp;"'!"&amp; "AC" &amp; $B6)</f>
        <v>45.26</v>
      </c>
    </row>
    <row r="7" spans="1:27" x14ac:dyDescent="0.25">
      <c r="A7" s="80">
        <v>5</v>
      </c>
      <c r="B7" s="80">
        <v>106</v>
      </c>
      <c r="C7" s="324" cm="1">
        <f t="array" aca="1" ref="C7" ca="1">INDIRECT("'"&amp;$A7&amp;"'!"&amp; "F" &amp; $B7)</f>
        <v>40.860000000000014</v>
      </c>
      <c r="D7" s="324" cm="1">
        <f t="array" aca="1" ref="D7" ca="1">INDIRECT("'"&amp;$A7&amp;"'!"&amp; "g" &amp; $B7)</f>
        <v>37.93</v>
      </c>
      <c r="E7" s="324" cm="1">
        <f t="array" aca="1" ref="E7" ca="1">INDIRECT("'"&amp;$A7&amp;"'!"&amp; "H" &amp; $B7)</f>
        <v>37.960000000000008</v>
      </c>
      <c r="F7" s="324" cm="1">
        <f t="array" aca="1" ref="F7" ca="1">INDIRECT("'"&amp;$A7&amp;"'!"&amp; "I" &amp; $B7)</f>
        <v>34.19</v>
      </c>
      <c r="G7" s="324" cm="1">
        <f t="array" aca="1" ref="G7" ca="1">INDIRECT("'"&amp;$A7&amp;"'!"&amp; "J" &amp; $B7)</f>
        <v>34.25</v>
      </c>
      <c r="H7" s="324" cm="1">
        <f t="array" aca="1" ref="H7" ca="1">INDIRECT("'"&amp;$A7&amp;"'!"&amp; "K" &amp; $B7)</f>
        <v>35.449999999999996</v>
      </c>
      <c r="I7" s="324" cm="1">
        <f t="array" aca="1" ref="I7" ca="1">INDIRECT("'"&amp;$A7&amp;"'!"&amp; "L" &amp; $B7)</f>
        <v>41.254999999999995</v>
      </c>
      <c r="J7" s="324" cm="1">
        <f t="array" aca="1" ref="J7" ca="1">INDIRECT("'"&amp;$A7&amp;"'!"&amp; "M" &amp; $B7)</f>
        <v>38.78</v>
      </c>
      <c r="K7" s="324" cm="1">
        <f t="array" aca="1" ref="K7" ca="1">INDIRECT("'"&amp;$A7&amp;"'!"&amp; "N" &amp; $B7)</f>
        <v>41.929999999999993</v>
      </c>
      <c r="L7" s="324" cm="1">
        <f t="array" aca="1" ref="L7" ca="1">INDIRECT("'"&amp;$A7&amp;"'!"&amp; "O" &amp; $B7)</f>
        <v>50.57</v>
      </c>
      <c r="M7" s="324" cm="1">
        <f t="array" aca="1" ref="M7" ca="1">INDIRECT("'"&amp;$A7&amp;"'!"&amp; "P" &amp; $B7)</f>
        <v>57.09</v>
      </c>
      <c r="N7" s="324" cm="1">
        <f t="array" aca="1" ref="N7" ca="1">INDIRECT("'"&amp;$A7&amp;"'!"&amp; "Q" &amp; $B7)</f>
        <v>59.49</v>
      </c>
      <c r="O7" s="324" cm="1">
        <f t="array" aca="1" ref="O7" ca="1">INDIRECT("'"&amp;$A7&amp;"'!"&amp; "R" &amp; $B7)</f>
        <v>58.259999999999991</v>
      </c>
      <c r="P7" s="324" cm="1">
        <f t="array" aca="1" ref="P7" ca="1">INDIRECT("'"&amp;$A7&amp;"'!"&amp; "S" &amp; $B7)</f>
        <v>59.5</v>
      </c>
      <c r="Q7" s="324" cm="1">
        <f t="array" aca="1" ref="Q7" ca="1">INDIRECT("'"&amp;$A7&amp;"'!"&amp; "T" &amp; $B7)</f>
        <v>60.808</v>
      </c>
      <c r="R7" s="324" cm="1">
        <f t="array" aca="1" ref="R7" ca="1">INDIRECT("'"&amp;$A7&amp;"'!"&amp; "U" &amp; $B7)</f>
        <v>61.133000000000003</v>
      </c>
      <c r="S7" s="324" cm="1">
        <f t="array" aca="1" ref="S7" ca="1">INDIRECT("'"&amp;$A7&amp;"'!"&amp; "V" &amp; $B7)</f>
        <v>60.59</v>
      </c>
      <c r="T7" s="324" cm="1">
        <f t="array" aca="1" ref="T7" ca="1">INDIRECT("'"&amp;$A7&amp;"'!"&amp; "W" &amp; $B7)</f>
        <v>57.906000000000006</v>
      </c>
      <c r="U7" s="324" cm="1">
        <f t="array" aca="1" ref="U7" ca="1">INDIRECT("'"&amp;$A7&amp;"'!"&amp; "X" &amp; $B7)</f>
        <v>55.660000000000011</v>
      </c>
      <c r="V7" s="324" cm="1">
        <f t="array" aca="1" ref="V7" ca="1">INDIRECT("'"&amp;$A7&amp;"'!"&amp; "Y" &amp; $B7)</f>
        <v>60.960000000000008</v>
      </c>
      <c r="W7" s="324" cm="1">
        <f t="array" aca="1" ref="W7" ca="1">INDIRECT("'"&amp;$A7&amp;"'!"&amp; "Z" &amp; $B7)</f>
        <v>59.15</v>
      </c>
      <c r="X7" s="324" cm="1">
        <f t="array" aca="1" ref="X7" ca="1">INDIRECT("'"&amp;$A7&amp;"'!"&amp; "AA" &amp; $B7)</f>
        <v>57.57</v>
      </c>
      <c r="Y7" s="324" cm="1">
        <f t="array" aca="1" ref="Y7" ca="1">INDIRECT("'"&amp;$A7&amp;"'!"&amp; "AB" &amp; $B7)</f>
        <v>51.59</v>
      </c>
      <c r="Z7" s="324" cm="1">
        <f t="array" aca="1" ref="Z7" ca="1">INDIRECT("'"&amp;$A7&amp;"'!"&amp; "AC" &amp; $B7)</f>
        <v>49.4</v>
      </c>
    </row>
    <row r="8" spans="1:27" x14ac:dyDescent="0.25">
      <c r="A8" s="80">
        <v>6</v>
      </c>
      <c r="B8" s="80">
        <v>106</v>
      </c>
      <c r="C8" s="324" cm="1">
        <f t="array" aca="1" ref="C8" ca="1">INDIRECT("'"&amp;$A8&amp;"'!"&amp; "F" &amp; $B8)</f>
        <v>39.859999999999992</v>
      </c>
      <c r="D8" s="324" cm="1">
        <f t="array" aca="1" ref="D8" ca="1">INDIRECT("'"&amp;$A8&amp;"'!"&amp; "g" &amp; $B8)</f>
        <v>38.980000000000004</v>
      </c>
      <c r="E8" s="324" cm="1">
        <f t="array" aca="1" ref="E8" ca="1">INDIRECT("'"&amp;$A8&amp;"'!"&amp; "H" &amp; $B8)</f>
        <v>37.340000000000003</v>
      </c>
      <c r="F8" s="324" cm="1">
        <f t="array" aca="1" ref="F8" ca="1">INDIRECT("'"&amp;$A8&amp;"'!"&amp; "I" &amp; $B8)</f>
        <v>36.6</v>
      </c>
      <c r="G8" s="324" cm="1">
        <f t="array" aca="1" ref="G8" ca="1">INDIRECT("'"&amp;$A8&amp;"'!"&amp; "J" &amp; $B8)</f>
        <v>35.589999999999996</v>
      </c>
      <c r="H8" s="324" cm="1">
        <f t="array" aca="1" ref="H8" ca="1">INDIRECT("'"&amp;$A8&amp;"'!"&amp; "K" &amp; $B8)</f>
        <v>37.450000000000003</v>
      </c>
      <c r="I8" s="324" cm="1">
        <f t="array" aca="1" ref="I8" ca="1">INDIRECT("'"&amp;$A8&amp;"'!"&amp; "L" &amp; $B8)</f>
        <v>40.880000000000003</v>
      </c>
      <c r="J8" s="324" cm="1">
        <f t="array" aca="1" ref="J8" ca="1">INDIRECT("'"&amp;$A8&amp;"'!"&amp; "M" &amp; $B8)</f>
        <v>39.700000000000003</v>
      </c>
      <c r="K8" s="324" cm="1">
        <f t="array" aca="1" ref="K8" ca="1">INDIRECT("'"&amp;$A8&amp;"'!"&amp; "N" &amp; $B8)</f>
        <v>42.879999999999988</v>
      </c>
      <c r="L8" s="324" cm="1">
        <f t="array" aca="1" ref="L8" ca="1">INDIRECT("'"&amp;$A8&amp;"'!"&amp; "O" &amp; $B8)</f>
        <v>51.370000000000005</v>
      </c>
      <c r="M8" s="324" cm="1">
        <f t="array" aca="1" ref="M8" ca="1">INDIRECT("'"&amp;$A8&amp;"'!"&amp; "P" &amp; $B8)</f>
        <v>56.8</v>
      </c>
      <c r="N8" s="324" cm="1">
        <f t="array" aca="1" ref="N8" ca="1">INDIRECT("'"&amp;$A8&amp;"'!"&amp; "Q" &amp; $B8)</f>
        <v>58.38</v>
      </c>
      <c r="O8" s="324" cm="1">
        <f t="array" aca="1" ref="O8" ca="1">INDIRECT("'"&amp;$A8&amp;"'!"&amp; "R" &amp; $B8)</f>
        <v>57.389999999999993</v>
      </c>
      <c r="P8" s="324" cm="1">
        <f t="array" aca="1" ref="P8" ca="1">INDIRECT("'"&amp;$A8&amp;"'!"&amp; "S" &amp; $B8)</f>
        <v>58.370000000000005</v>
      </c>
      <c r="Q8" s="324" cm="1">
        <f t="array" aca="1" ref="Q8" ca="1">INDIRECT("'"&amp;$A8&amp;"'!"&amp; "T" &amp; $B8)</f>
        <v>61.099000000000004</v>
      </c>
      <c r="R8" s="324" cm="1">
        <f t="array" aca="1" ref="R8" ca="1">INDIRECT("'"&amp;$A8&amp;"'!"&amp; "U" &amp; $B8)</f>
        <v>61.531000000000013</v>
      </c>
      <c r="S8" s="324" cm="1">
        <f t="array" aca="1" ref="S8" ca="1">INDIRECT("'"&amp;$A8&amp;"'!"&amp; "V" &amp; $B8)</f>
        <v>59.954000000000001</v>
      </c>
      <c r="T8" s="324" cm="1">
        <f t="array" aca="1" ref="T8" ca="1">INDIRECT("'"&amp;$A8&amp;"'!"&amp; "W" &amp; $B8)</f>
        <v>57.060000000000009</v>
      </c>
      <c r="U8" s="324" cm="1">
        <f t="array" aca="1" ref="U8" ca="1">INDIRECT("'"&amp;$A8&amp;"'!"&amp; "X" &amp; $B8)</f>
        <v>55.32</v>
      </c>
      <c r="V8" s="324" cm="1">
        <f t="array" aca="1" ref="V8" ca="1">INDIRECT("'"&amp;$A8&amp;"'!"&amp; "Y" &amp; $B8)</f>
        <v>61.146000000000001</v>
      </c>
      <c r="W8" s="324" cm="1">
        <f t="array" aca="1" ref="W8" ca="1">INDIRECT("'"&amp;$A8&amp;"'!"&amp; "Z" &amp; $B8)</f>
        <v>57.110000000000007</v>
      </c>
      <c r="X8" s="324" cm="1">
        <f t="array" aca="1" ref="X8" ca="1">INDIRECT("'"&amp;$A8&amp;"'!"&amp; "AA" &amp; $B8)</f>
        <v>53.690000000000012</v>
      </c>
      <c r="Y8" s="324" cm="1">
        <f t="array" aca="1" ref="Y8" ca="1">INDIRECT("'"&amp;$A8&amp;"'!"&amp; "AB" &amp; $B8)</f>
        <v>50.309999999999995</v>
      </c>
      <c r="Z8" s="324" cm="1">
        <f t="array" aca="1" ref="Z8" ca="1">INDIRECT("'"&amp;$A8&amp;"'!"&amp; "AC" &amp; $B8)</f>
        <v>45.58</v>
      </c>
    </row>
    <row r="9" spans="1:27" x14ac:dyDescent="0.25">
      <c r="A9" s="80">
        <v>7</v>
      </c>
      <c r="B9" s="80">
        <v>106</v>
      </c>
      <c r="C9" s="324" cm="1">
        <f t="array" aca="1" ref="C9" ca="1">INDIRECT("'"&amp;$A9&amp;"'!"&amp; "F" &amp; $B9)</f>
        <v>41.600000000000009</v>
      </c>
      <c r="D9" s="324" cm="1">
        <f t="array" aca="1" ref="D9" ca="1">INDIRECT("'"&amp;$A9&amp;"'!"&amp; "g" &amp; $B9)</f>
        <v>39.25</v>
      </c>
      <c r="E9" s="324" cm="1">
        <f t="array" aca="1" ref="E9" ca="1">INDIRECT("'"&amp;$A9&amp;"'!"&amp; "H" &amp; $B9)</f>
        <v>37.869999999999997</v>
      </c>
      <c r="F9" s="324" cm="1">
        <f t="array" aca="1" ref="F9" ca="1">INDIRECT("'"&amp;$A9&amp;"'!"&amp; "I" &amp; $B9)</f>
        <v>36.930000000000007</v>
      </c>
      <c r="G9" s="324" cm="1">
        <f t="array" aca="1" ref="G9" ca="1">INDIRECT("'"&amp;$A9&amp;"'!"&amp; "J" &amp; $B9)</f>
        <v>36.069999999999993</v>
      </c>
      <c r="H9" s="324" cm="1">
        <f t="array" aca="1" ref="H9" ca="1">INDIRECT("'"&amp;$A9&amp;"'!"&amp; "K" &amp; $B9)</f>
        <v>38.07</v>
      </c>
      <c r="I9" s="324" cm="1">
        <f t="array" aca="1" ref="I9" ca="1">INDIRECT("'"&amp;$A9&amp;"'!"&amp; "L" &amp; $B9)</f>
        <v>41.470000000000006</v>
      </c>
      <c r="J9" s="324" cm="1">
        <f t="array" aca="1" ref="J9" ca="1">INDIRECT("'"&amp;$A9&amp;"'!"&amp; "M" &amp; $B9)</f>
        <v>42.39</v>
      </c>
      <c r="K9" s="324" cm="1">
        <f t="array" aca="1" ref="K9" ca="1">INDIRECT("'"&amp;$A9&amp;"'!"&amp; "N" &amp; $B9)</f>
        <v>43.46</v>
      </c>
      <c r="L9" s="324" cm="1">
        <f t="array" aca="1" ref="L9" ca="1">INDIRECT("'"&amp;$A9&amp;"'!"&amp; "O" &amp; $B9)</f>
        <v>49.89</v>
      </c>
      <c r="M9" s="324" cm="1">
        <f t="array" aca="1" ref="M9" ca="1">INDIRECT("'"&amp;$A9&amp;"'!"&amp; "P" &amp; $B9)</f>
        <v>53.470000000000006</v>
      </c>
      <c r="N9" s="324" cm="1">
        <f t="array" aca="1" ref="N9" ca="1">INDIRECT("'"&amp;$A9&amp;"'!"&amp; "Q" &amp; $B9)</f>
        <v>54.030000000000008</v>
      </c>
      <c r="O9" s="324" cm="1">
        <f t="array" aca="1" ref="O9" ca="1">INDIRECT("'"&amp;$A9&amp;"'!"&amp; "R" &amp; $B9)</f>
        <v>53.440000000000012</v>
      </c>
      <c r="P9" s="324" cm="1">
        <f t="array" aca="1" ref="P9" ca="1">INDIRECT("'"&amp;$A9&amp;"'!"&amp; "S" &amp; $B9)</f>
        <v>55.94</v>
      </c>
      <c r="Q9" s="324" cm="1">
        <f t="array" aca="1" ref="Q9" ca="1">INDIRECT("'"&amp;$A9&amp;"'!"&amp; "T" &amp; $B9)</f>
        <v>57.04</v>
      </c>
      <c r="R9" s="324" cm="1">
        <f t="array" aca="1" ref="R9" ca="1">INDIRECT("'"&amp;$A9&amp;"'!"&amp; "U" &amp; $B9)</f>
        <v>56.730000000000011</v>
      </c>
      <c r="S9" s="324" cm="1">
        <f t="array" aca="1" ref="S9" ca="1">INDIRECT("'"&amp;$A9&amp;"'!"&amp; "V" &amp; $B9)</f>
        <v>57.52</v>
      </c>
      <c r="T9" s="324" cm="1">
        <f t="array" aca="1" ref="T9" ca="1">INDIRECT("'"&amp;$A9&amp;"'!"&amp; "W" &amp; $B9)</f>
        <v>54.81</v>
      </c>
      <c r="U9" s="324" cm="1">
        <f t="array" aca="1" ref="U9" ca="1">INDIRECT("'"&amp;$A9&amp;"'!"&amp; "X" &amp; $B9)</f>
        <v>52.93</v>
      </c>
      <c r="V9" s="324" cm="1">
        <f t="array" aca="1" ref="V9" ca="1">INDIRECT("'"&amp;$A9&amp;"'!"&amp; "Y" &amp; $B9)</f>
        <v>58.610000000000007</v>
      </c>
      <c r="W9" s="324" cm="1">
        <f t="array" aca="1" ref="W9" ca="1">INDIRECT("'"&amp;$A9&amp;"'!"&amp; "Z" &amp; $B9)</f>
        <v>55.720000000000006</v>
      </c>
      <c r="X9" s="324" cm="1">
        <f t="array" aca="1" ref="X9" ca="1">INDIRECT("'"&amp;$A9&amp;"'!"&amp; "AA" &amp; $B9)</f>
        <v>55.271000000000001</v>
      </c>
      <c r="Y9" s="324" cm="1">
        <f t="array" aca="1" ref="Y9" ca="1">INDIRECT("'"&amp;$A9&amp;"'!"&amp; "AB" &amp; $B9)</f>
        <v>47.12</v>
      </c>
      <c r="Z9" s="324" cm="1">
        <f t="array" aca="1" ref="Z9" ca="1">INDIRECT("'"&amp;$A9&amp;"'!"&amp; "AC" &amp; $B9)</f>
        <v>44.160000000000004</v>
      </c>
    </row>
    <row r="10" spans="1:27" x14ac:dyDescent="0.25">
      <c r="A10" s="80">
        <v>8</v>
      </c>
      <c r="B10" s="80">
        <v>106</v>
      </c>
      <c r="C10" s="324" cm="1">
        <f t="array" aca="1" ref="C10" ca="1">INDIRECT("'"&amp;$A10&amp;"'!"&amp; "F" &amp; $B10)</f>
        <v>40.14</v>
      </c>
      <c r="D10" s="324" cm="1">
        <f t="array" aca="1" ref="D10" ca="1">INDIRECT("'"&amp;$A10&amp;"'!"&amp; "g" &amp; $B10)</f>
        <v>37.67</v>
      </c>
      <c r="E10" s="324" cm="1">
        <f t="array" aca="1" ref="E10" ca="1">INDIRECT("'"&amp;$A10&amp;"'!"&amp; "H" &amp; $B10)</f>
        <v>35.42</v>
      </c>
      <c r="F10" s="324" cm="1">
        <f t="array" aca="1" ref="F10" ca="1">INDIRECT("'"&amp;$A10&amp;"'!"&amp; "I" &amp; $B10)</f>
        <v>35.629999999999995</v>
      </c>
      <c r="G10" s="324" cm="1">
        <f t="array" aca="1" ref="G10" ca="1">INDIRECT("'"&amp;$A10&amp;"'!"&amp; "J" &amp; $B10)</f>
        <v>34.979999999999997</v>
      </c>
      <c r="H10" s="324" cm="1">
        <f t="array" aca="1" ref="H10" ca="1">INDIRECT("'"&amp;$A10&amp;"'!"&amp; "K" &amp; $B10)</f>
        <v>35.080000000000005</v>
      </c>
      <c r="I10" s="324" cm="1">
        <f t="array" aca="1" ref="I10" ca="1">INDIRECT("'"&amp;$A10&amp;"'!"&amp; "L" &amp; $B10)</f>
        <v>36.4</v>
      </c>
      <c r="J10" s="324" cm="1">
        <f t="array" aca="1" ref="J10" ca="1">INDIRECT("'"&amp;$A10&amp;"'!"&amp; "M" &amp; $B10)</f>
        <v>37.630000000000003</v>
      </c>
      <c r="K10" s="324" cm="1">
        <f t="array" aca="1" ref="K10" ca="1">INDIRECT("'"&amp;$A10&amp;"'!"&amp; "N" &amp; $B10)</f>
        <v>41.589999999999996</v>
      </c>
      <c r="L10" s="324" cm="1">
        <f t="array" aca="1" ref="L10" ca="1">INDIRECT("'"&amp;$A10&amp;"'!"&amp; "O" &amp; $B10)</f>
        <v>45.27</v>
      </c>
      <c r="M10" s="324" cm="1">
        <f t="array" aca="1" ref="M10" ca="1">INDIRECT("'"&amp;$A10&amp;"'!"&amp; "P" &amp; $B10)</f>
        <v>48.870000000000005</v>
      </c>
      <c r="N10" s="324" cm="1">
        <f t="array" aca="1" ref="N10" ca="1">INDIRECT("'"&amp;$A10&amp;"'!"&amp; "Q" &amp; $B10)</f>
        <v>47.11</v>
      </c>
      <c r="O10" s="324" cm="1">
        <f t="array" aca="1" ref="O10" ca="1">INDIRECT("'"&amp;$A10&amp;"'!"&amp; "R" &amp; $B10)</f>
        <v>48.240000000000009</v>
      </c>
      <c r="P10" s="324" cm="1">
        <f t="array" aca="1" ref="P10" ca="1">INDIRECT("'"&amp;$A10&amp;"'!"&amp; "S" &amp; $B10)</f>
        <v>48</v>
      </c>
      <c r="Q10" s="324" cm="1">
        <f t="array" aca="1" ref="Q10" ca="1">INDIRECT("'"&amp;$A10&amp;"'!"&amp; "T" &amp; $B10)</f>
        <v>47.78</v>
      </c>
      <c r="R10" s="324" cm="1">
        <f t="array" aca="1" ref="R10" ca="1">INDIRECT("'"&amp;$A10&amp;"'!"&amp; "U" &amp; $B10)</f>
        <v>46.999999999999993</v>
      </c>
      <c r="S10" s="324" cm="1">
        <f t="array" aca="1" ref="S10" ca="1">INDIRECT("'"&amp;$A10&amp;"'!"&amp; "V" &amp; $B10)</f>
        <v>46.449999999999996</v>
      </c>
      <c r="T10" s="324" cm="1">
        <f t="array" aca="1" ref="T10" ca="1">INDIRECT("'"&amp;$A10&amp;"'!"&amp; "W" &amp; $B10)</f>
        <v>49.96</v>
      </c>
      <c r="U10" s="324" cm="1">
        <f t="array" aca="1" ref="U10" ca="1">INDIRECT("'"&amp;$A10&amp;"'!"&amp; "X" &amp; $B10)</f>
        <v>49.589999999999996</v>
      </c>
      <c r="V10" s="324" cm="1">
        <f t="array" aca="1" ref="V10" ca="1">INDIRECT("'"&amp;$A10&amp;"'!"&amp; "Y" &amp; $B10)</f>
        <v>50.400000000000006</v>
      </c>
      <c r="W10" s="324" cm="1">
        <f t="array" aca="1" ref="W10" ca="1">INDIRECT("'"&amp;$A10&amp;"'!"&amp; "Z" &amp; $B10)</f>
        <v>46.039999999999992</v>
      </c>
      <c r="X10" s="324" cm="1">
        <f t="array" aca="1" ref="X10" ca="1">INDIRECT("'"&amp;$A10&amp;"'!"&amp; "AA" &amp; $B10)</f>
        <v>46.49</v>
      </c>
      <c r="Y10" s="324" cm="1">
        <f t="array" aca="1" ref="Y10" ca="1">INDIRECT("'"&amp;$A10&amp;"'!"&amp; "AB" &amp; $B10)</f>
        <v>40.81</v>
      </c>
      <c r="Z10" s="324" cm="1">
        <f t="array" aca="1" ref="Z10" ca="1">INDIRECT("'"&amp;$A10&amp;"'!"&amp; "AC" &amp; $B10)</f>
        <v>38.15</v>
      </c>
    </row>
    <row r="11" spans="1:27" x14ac:dyDescent="0.25">
      <c r="A11" s="80">
        <v>9</v>
      </c>
      <c r="B11" s="80">
        <v>106</v>
      </c>
      <c r="C11" s="324" cm="1">
        <f t="array" aca="1" ref="C11" ca="1">INDIRECT("'"&amp;$A11&amp;"'!"&amp; "F" &amp; $B11)</f>
        <v>35.29</v>
      </c>
      <c r="D11" s="324" cm="1">
        <f t="array" aca="1" ref="D11" ca="1">INDIRECT("'"&amp;$A11&amp;"'!"&amp; "g" &amp; $B11)</f>
        <v>33.489999999999995</v>
      </c>
      <c r="E11" s="324" cm="1">
        <f t="array" aca="1" ref="E11" ca="1">INDIRECT("'"&amp;$A11&amp;"'!"&amp; "H" &amp; $B11)</f>
        <v>32.479999999999997</v>
      </c>
      <c r="F11" s="324" cm="1">
        <f t="array" aca="1" ref="F11" ca="1">INDIRECT("'"&amp;$A11&amp;"'!"&amp; "I" &amp; $B11)</f>
        <v>30.92</v>
      </c>
      <c r="G11" s="324" cm="1">
        <f t="array" aca="1" ref="G11" ca="1">INDIRECT("'"&amp;$A11&amp;"'!"&amp; "J" &amp; $B11)</f>
        <v>31.3</v>
      </c>
      <c r="H11" s="324" cm="1">
        <f t="array" aca="1" ref="H11" ca="1">INDIRECT("'"&amp;$A11&amp;"'!"&amp; "K" &amp; $B11)</f>
        <v>31.759999999999998</v>
      </c>
      <c r="I11" s="324" cm="1">
        <f t="array" aca="1" ref="I11" ca="1">INDIRECT("'"&amp;$A11&amp;"'!"&amp; "L" &amp; $B11)</f>
        <v>32.65</v>
      </c>
      <c r="J11" s="324" cm="1">
        <f t="array" aca="1" ref="J11" ca="1">INDIRECT("'"&amp;$A11&amp;"'!"&amp; "M" &amp; $B11)</f>
        <v>33.61</v>
      </c>
      <c r="K11" s="324" cm="1">
        <f t="array" aca="1" ref="K11" ca="1">INDIRECT("'"&amp;$A11&amp;"'!"&amp; "N" &amp; $B11)</f>
        <v>36.72</v>
      </c>
      <c r="L11" s="324" cm="1">
        <f t="array" aca="1" ref="L11" ca="1">INDIRECT("'"&amp;$A11&amp;"'!"&amp; "O" &amp; $B11)</f>
        <v>38.92</v>
      </c>
      <c r="M11" s="324" cm="1">
        <f t="array" aca="1" ref="M11" ca="1">INDIRECT("'"&amp;$A11&amp;"'!"&amp; "P" &amp; $B11)</f>
        <v>40.919999999999995</v>
      </c>
      <c r="N11" s="324" cm="1">
        <f t="array" aca="1" ref="N11" ca="1">INDIRECT("'"&amp;$A11&amp;"'!"&amp; "Q" &amp; $B11)</f>
        <v>41.589999999999996</v>
      </c>
      <c r="O11" s="324" cm="1">
        <f t="array" aca="1" ref="O11" ca="1">INDIRECT("'"&amp;$A11&amp;"'!"&amp; "R" &amp; $B11)</f>
        <v>41.47</v>
      </c>
      <c r="P11" s="324" cm="1">
        <f t="array" aca="1" ref="P11" ca="1">INDIRECT("'"&amp;$A11&amp;"'!"&amp; "S" &amp; $B11)</f>
        <v>39.669999999999995</v>
      </c>
      <c r="Q11" s="324" cm="1">
        <f t="array" aca="1" ref="Q11" ca="1">INDIRECT("'"&amp;$A11&amp;"'!"&amp; "T" &amp; $B11)</f>
        <v>39.190000000000005</v>
      </c>
      <c r="R11" s="324" cm="1">
        <f t="array" aca="1" ref="R11" ca="1">INDIRECT("'"&amp;$A11&amp;"'!"&amp; "U" &amp; $B11)</f>
        <v>37.849999999999994</v>
      </c>
      <c r="S11" s="324" cm="1">
        <f t="array" aca="1" ref="S11" ca="1">INDIRECT("'"&amp;$A11&amp;"'!"&amp; "V" &amp; $B11)</f>
        <v>40.42</v>
      </c>
      <c r="T11" s="324" cm="1">
        <f t="array" aca="1" ref="T11" ca="1">INDIRECT("'"&amp;$A11&amp;"'!"&amp; "W" &amp; $B11)</f>
        <v>43.099999999999994</v>
      </c>
      <c r="U11" s="324" cm="1">
        <f t="array" aca="1" ref="U11" ca="1">INDIRECT("'"&amp;$A11&amp;"'!"&amp; "X" &amp; $B11)</f>
        <v>43.510000000000012</v>
      </c>
      <c r="V11" s="324" cm="1">
        <f t="array" aca="1" ref="V11" ca="1">INDIRECT("'"&amp;$A11&amp;"'!"&amp; "Y" &amp; $B11)</f>
        <v>46.57</v>
      </c>
      <c r="W11" s="324" cm="1">
        <f t="array" aca="1" ref="W11" ca="1">INDIRECT("'"&amp;$A11&amp;"'!"&amp; "Z" &amp; $B11)</f>
        <v>43.84</v>
      </c>
      <c r="X11" s="324" cm="1">
        <f t="array" aca="1" ref="X11" ca="1">INDIRECT("'"&amp;$A11&amp;"'!"&amp; "AA" &amp; $B11)</f>
        <v>35.049999999999997</v>
      </c>
      <c r="Y11" s="324" cm="1">
        <f t="array" aca="1" ref="Y11" ca="1">INDIRECT("'"&amp;$A11&amp;"'!"&amp; "AB" &amp; $B11)</f>
        <v>34.380000000000003</v>
      </c>
      <c r="Z11" s="324" cm="1">
        <f t="array" aca="1" ref="Z11" ca="1">INDIRECT("'"&amp;$A11&amp;"'!"&amp; "AC" &amp; $B11)</f>
        <v>34.39</v>
      </c>
    </row>
    <row r="12" spans="1:27" x14ac:dyDescent="0.25">
      <c r="A12" s="80">
        <v>10</v>
      </c>
      <c r="B12" s="80">
        <v>106</v>
      </c>
      <c r="C12" s="324" cm="1">
        <f t="array" aca="1" ref="C12" ca="1">INDIRECT("'"&amp;$A12&amp;"'!"&amp; "F" &amp; $B12)</f>
        <v>34.79</v>
      </c>
      <c r="D12" s="324" cm="1">
        <f t="array" aca="1" ref="D12" ca="1">INDIRECT("'"&amp;$A12&amp;"'!"&amp; "g" &amp; $B12)</f>
        <v>33.64</v>
      </c>
      <c r="E12" s="324" cm="1">
        <f t="array" aca="1" ref="E12" ca="1">INDIRECT("'"&amp;$A12&amp;"'!"&amp; "H" &amp; $B12)</f>
        <v>32.619999999999997</v>
      </c>
      <c r="F12" s="324" cm="1">
        <f t="array" aca="1" ref="F12" ca="1">INDIRECT("'"&amp;$A12&amp;"'!"&amp; "I" &amp; $B12)</f>
        <v>32.159999999999997</v>
      </c>
      <c r="G12" s="324" cm="1">
        <f t="array" aca="1" ref="G12" ca="1">INDIRECT("'"&amp;$A12&amp;"'!"&amp; "J" &amp; $B12)</f>
        <v>31.61</v>
      </c>
      <c r="H12" s="324" cm="1">
        <f t="array" aca="1" ref="H12" ca="1">INDIRECT("'"&amp;$A12&amp;"'!"&amp; "K" &amp; $B12)</f>
        <v>30.199999999999996</v>
      </c>
      <c r="I12" s="324" cm="1">
        <f t="array" aca="1" ref="I12" ca="1">INDIRECT("'"&amp;$A12&amp;"'!"&amp; "L" &amp; $B12)</f>
        <v>32.159999999999997</v>
      </c>
      <c r="J12" s="324" cm="1">
        <f t="array" aca="1" ref="J12" ca="1">INDIRECT("'"&amp;$A12&amp;"'!"&amp; "M" &amp; $B12)</f>
        <v>35.43</v>
      </c>
      <c r="K12" s="324" cm="1">
        <f t="array" aca="1" ref="K12" ca="1">INDIRECT("'"&amp;$A12&amp;"'!"&amp; "N" &amp; $B12)</f>
        <v>38.540000000000006</v>
      </c>
      <c r="L12" s="324" cm="1">
        <f t="array" aca="1" ref="L12" ca="1">INDIRECT("'"&amp;$A12&amp;"'!"&amp; "O" &amp; $B12)</f>
        <v>37.89</v>
      </c>
      <c r="M12" s="324" cm="1">
        <f t="array" aca="1" ref="M12" ca="1">INDIRECT("'"&amp;$A12&amp;"'!"&amp; "P" &amp; $B12)</f>
        <v>42.230000000000004</v>
      </c>
      <c r="N12" s="324" cm="1">
        <f t="array" aca="1" ref="N12" ca="1">INDIRECT("'"&amp;$A12&amp;"'!"&amp; "Q" &amp; $B12)</f>
        <v>42.99</v>
      </c>
      <c r="O12" s="324" cm="1">
        <f t="array" aca="1" ref="O12" ca="1">INDIRECT("'"&amp;$A12&amp;"'!"&amp; "R" &amp; $B12)</f>
        <v>43.75</v>
      </c>
      <c r="P12" s="324" cm="1">
        <f t="array" aca="1" ref="P12" ca="1">INDIRECT("'"&amp;$A12&amp;"'!"&amp; "S" &amp; $B12)</f>
        <v>45.160000000000004</v>
      </c>
      <c r="Q12" s="324" cm="1">
        <f t="array" aca="1" ref="Q12" ca="1">INDIRECT("'"&amp;$A12&amp;"'!"&amp; "T" &amp; $B12)</f>
        <v>45.550000000000004</v>
      </c>
      <c r="R12" s="324" cm="1">
        <f t="array" aca="1" ref="R12" ca="1">INDIRECT("'"&amp;$A12&amp;"'!"&amp; "U" &amp; $B12)</f>
        <v>45.889999999999993</v>
      </c>
      <c r="S12" s="324" cm="1">
        <f t="array" aca="1" ref="S12" ca="1">INDIRECT("'"&amp;$A12&amp;"'!"&amp; "V" &amp; $B12)</f>
        <v>41.449999999999996</v>
      </c>
      <c r="T12" s="324" cm="1">
        <f t="array" aca="1" ref="T12" ca="1">INDIRECT("'"&amp;$A12&amp;"'!"&amp; "W" &amp; $B12)</f>
        <v>42.46</v>
      </c>
      <c r="U12" s="324" cm="1">
        <f t="array" aca="1" ref="U12" ca="1">INDIRECT("'"&amp;$A12&amp;"'!"&amp; "X" &amp; $B12)</f>
        <v>43.330000000000005</v>
      </c>
      <c r="V12" s="324" cm="1">
        <f t="array" aca="1" ref="V12" ca="1">INDIRECT("'"&amp;$A12&amp;"'!"&amp; "Y" &amp; $B12)</f>
        <v>45.620000000000005</v>
      </c>
      <c r="W12" s="324" cm="1">
        <f t="array" aca="1" ref="W12" ca="1">INDIRECT("'"&amp;$A12&amp;"'!"&amp; "Z" &amp; $B12)</f>
        <v>42.410000000000004</v>
      </c>
      <c r="X12" s="324" cm="1">
        <f t="array" aca="1" ref="X12" ca="1">INDIRECT("'"&amp;$A12&amp;"'!"&amp; "AA" &amp; $B12)</f>
        <v>39.769999999999996</v>
      </c>
      <c r="Y12" s="324" cm="1">
        <f t="array" aca="1" ref="Y12" ca="1">INDIRECT("'"&amp;$A12&amp;"'!"&amp; "AB" &amp; $B12)</f>
        <v>35.06</v>
      </c>
      <c r="Z12" s="324" cm="1">
        <f t="array" aca="1" ref="Z12" ca="1">INDIRECT("'"&amp;$A12&amp;"'!"&amp; "AC" &amp; $B12)</f>
        <v>30.71</v>
      </c>
    </row>
    <row r="13" spans="1:27" x14ac:dyDescent="0.25">
      <c r="A13" s="80">
        <v>11</v>
      </c>
      <c r="B13" s="80">
        <v>106</v>
      </c>
      <c r="C13" s="324" cm="1">
        <f t="array" aca="1" ref="C13" ca="1">INDIRECT("'"&amp;$A13&amp;"'!"&amp; "F" &amp; $B13)</f>
        <v>29.920000000000005</v>
      </c>
      <c r="D13" s="324" cm="1">
        <f t="array" aca="1" ref="D13" ca="1">INDIRECT("'"&amp;$A13&amp;"'!"&amp; "g" &amp; $B13)</f>
        <v>27.73</v>
      </c>
      <c r="E13" s="324" cm="1">
        <f t="array" aca="1" ref="E13" ca="1">INDIRECT("'"&amp;$A13&amp;"'!"&amp; "H" &amp; $B13)</f>
        <v>27.169999999999998</v>
      </c>
      <c r="F13" s="324" cm="1">
        <f t="array" aca="1" ref="F13" ca="1">INDIRECT("'"&amp;$A13&amp;"'!"&amp; "I" &amp; $B13)</f>
        <v>26.630000000000003</v>
      </c>
      <c r="G13" s="324" cm="1">
        <f t="array" aca="1" ref="G13" ca="1">INDIRECT("'"&amp;$A13&amp;"'!"&amp; "J" &amp; $B13)</f>
        <v>26.4</v>
      </c>
      <c r="H13" s="324" cm="1">
        <f t="array" aca="1" ref="H13" ca="1">INDIRECT("'"&amp;$A13&amp;"'!"&amp; "K" &amp; $B13)</f>
        <v>28.194999999999997</v>
      </c>
      <c r="I13" s="324" cm="1">
        <f t="array" aca="1" ref="I13" ca="1">INDIRECT("'"&amp;$A13&amp;"'!"&amp; "L" &amp; $B13)</f>
        <v>31.210000000000004</v>
      </c>
      <c r="J13" s="324" cm="1">
        <f t="array" aca="1" ref="J13" ca="1">INDIRECT("'"&amp;$A13&amp;"'!"&amp; "M" &amp; $B13)</f>
        <v>32.809999999999995</v>
      </c>
      <c r="K13" s="324" cm="1">
        <f t="array" aca="1" ref="K13" ca="1">INDIRECT("'"&amp;$A13&amp;"'!"&amp; "N" &amp; $B13)</f>
        <v>38.099999999999994</v>
      </c>
      <c r="L13" s="324" cm="1">
        <f t="array" aca="1" ref="L13" ca="1">INDIRECT("'"&amp;$A13&amp;"'!"&amp; "O" &amp; $B13)</f>
        <v>44.070000000000007</v>
      </c>
      <c r="M13" s="324" cm="1">
        <f t="array" aca="1" ref="M13" ca="1">INDIRECT("'"&amp;$A13&amp;"'!"&amp; "P" &amp; $B13)</f>
        <v>48.240000000000009</v>
      </c>
      <c r="N13" s="324" cm="1">
        <f t="array" aca="1" ref="N13" ca="1">INDIRECT("'"&amp;$A13&amp;"'!"&amp; "Q" &amp; $B13)</f>
        <v>49.870000000000005</v>
      </c>
      <c r="O13" s="324" cm="1">
        <f t="array" aca="1" ref="O13" ca="1">INDIRECT("'"&amp;$A13&amp;"'!"&amp; "R" &amp; $B13)</f>
        <v>49.309999999999995</v>
      </c>
      <c r="P13" s="324" cm="1">
        <f t="array" aca="1" ref="P13" ca="1">INDIRECT("'"&amp;$A13&amp;"'!"&amp; "S" &amp; $B13)</f>
        <v>49</v>
      </c>
      <c r="Q13" s="324" cm="1">
        <f t="array" aca="1" ref="Q13" ca="1">INDIRECT("'"&amp;$A13&amp;"'!"&amp; "T" &amp; $B13)</f>
        <v>50.490000000000009</v>
      </c>
      <c r="R13" s="324" cm="1">
        <f t="array" aca="1" ref="R13" ca="1">INDIRECT("'"&amp;$A13&amp;"'!"&amp; "U" &amp; $B13)</f>
        <v>48.933</v>
      </c>
      <c r="S13" s="324" cm="1">
        <f t="array" aca="1" ref="S13" ca="1">INDIRECT("'"&amp;$A13&amp;"'!"&amp; "V" &amp; $B13)</f>
        <v>48.999999999999993</v>
      </c>
      <c r="T13" s="324" cm="1">
        <f t="array" aca="1" ref="T13" ca="1">INDIRECT("'"&amp;$A13&amp;"'!"&amp; "W" &amp; $B13)</f>
        <v>48.449999999999996</v>
      </c>
      <c r="U13" s="324" cm="1">
        <f t="array" aca="1" ref="U13" ca="1">INDIRECT("'"&amp;$A13&amp;"'!"&amp; "X" &amp; $B13)</f>
        <v>50.53</v>
      </c>
      <c r="V13" s="324" cm="1">
        <f t="array" aca="1" ref="V13" ca="1">INDIRECT("'"&amp;$A13&amp;"'!"&amp; "Y" &amp; $B13)</f>
        <v>51.77</v>
      </c>
      <c r="W13" s="324" cm="1">
        <f t="array" aca="1" ref="W13" ca="1">INDIRECT("'"&amp;$A13&amp;"'!"&amp; "Z" &amp; $B13)</f>
        <v>50.25</v>
      </c>
      <c r="X13" s="324" cm="1">
        <f t="array" aca="1" ref="X13" ca="1">INDIRECT("'"&amp;$A13&amp;"'!"&amp; "AA" &amp; $B13)</f>
        <v>46.38</v>
      </c>
      <c r="Y13" s="324" cm="1">
        <f t="array" aca="1" ref="Y13" ca="1">INDIRECT("'"&amp;$A13&amp;"'!"&amp; "AB" &amp; $B13)</f>
        <v>42.42</v>
      </c>
      <c r="Z13" s="324" cm="1">
        <f t="array" aca="1" ref="Z13" ca="1">INDIRECT("'"&amp;$A13&amp;"'!"&amp; "AC" &amp; $B13)</f>
        <v>39.78</v>
      </c>
    </row>
    <row r="14" spans="1:27" x14ac:dyDescent="0.25">
      <c r="A14" s="80">
        <v>12</v>
      </c>
      <c r="B14" s="80">
        <v>106</v>
      </c>
      <c r="C14" s="324" cm="1">
        <f t="array" aca="1" ref="C14" ca="1">INDIRECT("'"&amp;$A14&amp;"'!"&amp; "F" &amp; $B14)</f>
        <v>36.32</v>
      </c>
      <c r="D14" s="324" cm="1">
        <f t="array" aca="1" ref="D14" ca="1">INDIRECT("'"&amp;$A14&amp;"'!"&amp; "g" &amp; $B14)</f>
        <v>34.51</v>
      </c>
      <c r="E14" s="324" cm="1">
        <f t="array" aca="1" ref="E14" ca="1">INDIRECT("'"&amp;$A14&amp;"'!"&amp; "H" &amp; $B14)</f>
        <v>33.65</v>
      </c>
      <c r="F14" s="324" cm="1">
        <f t="array" aca="1" ref="F14" ca="1">INDIRECT("'"&amp;$A14&amp;"'!"&amp; "I" &amp; $B14)</f>
        <v>32.619999999999997</v>
      </c>
      <c r="G14" s="324" cm="1">
        <f t="array" aca="1" ref="G14" ca="1">INDIRECT("'"&amp;$A14&amp;"'!"&amp; "J" &amp; $B14)</f>
        <v>32.11</v>
      </c>
      <c r="H14" s="324" cm="1">
        <f t="array" aca="1" ref="H14" ca="1">INDIRECT("'"&amp;$A14&amp;"'!"&amp; "K" &amp; $B14)</f>
        <v>33.049999999999997</v>
      </c>
      <c r="I14" s="324" cm="1">
        <f t="array" aca="1" ref="I14" ca="1">INDIRECT("'"&amp;$A14&amp;"'!"&amp; "L" &amp; $B14)</f>
        <v>36.130000000000003</v>
      </c>
      <c r="J14" s="324" cm="1">
        <f t="array" aca="1" ref="J14" ca="1">INDIRECT("'"&amp;$A14&amp;"'!"&amp; "M" &amp; $B14)</f>
        <v>38.800000000000004</v>
      </c>
      <c r="K14" s="324" cm="1">
        <f t="array" aca="1" ref="K14" ca="1">INDIRECT("'"&amp;$A14&amp;"'!"&amp; "N" &amp; $B14)</f>
        <v>41.7</v>
      </c>
      <c r="L14" s="324" cm="1">
        <f t="array" aca="1" ref="L14" ca="1">INDIRECT("'"&amp;$A14&amp;"'!"&amp; "O" &amp; $B14)</f>
        <v>47.559999999999995</v>
      </c>
      <c r="M14" s="324" cm="1">
        <f t="array" aca="1" ref="M14" ca="1">INDIRECT("'"&amp;$A14&amp;"'!"&amp; "P" &amp; $B14)</f>
        <v>53.8</v>
      </c>
      <c r="N14" s="324" cm="1">
        <f t="array" aca="1" ref="N14" ca="1">INDIRECT("'"&amp;$A14&amp;"'!"&amp; "Q" &amp; $B14)</f>
        <v>55.31</v>
      </c>
      <c r="O14" s="324" cm="1">
        <f t="array" aca="1" ref="O14" ca="1">INDIRECT("'"&amp;$A14&amp;"'!"&amp; "R" &amp; $B14)</f>
        <v>54.860000000000007</v>
      </c>
      <c r="P14" s="324" cm="1">
        <f t="array" aca="1" ref="P14" ca="1">INDIRECT("'"&amp;$A14&amp;"'!"&amp; "S" &amp; $B14)</f>
        <v>55.539999999999992</v>
      </c>
      <c r="Q14" s="324" cm="1">
        <f t="array" aca="1" ref="Q14" ca="1">INDIRECT("'"&amp;$A14&amp;"'!"&amp; "T" &amp; $B14)</f>
        <v>55.2</v>
      </c>
      <c r="R14" s="324" cm="1">
        <f t="array" aca="1" ref="R14" ca="1">INDIRECT("'"&amp;$A14&amp;"'!"&amp; "U" &amp; $B14)</f>
        <v>58.25</v>
      </c>
      <c r="S14" s="324" cm="1">
        <f t="array" aca="1" ref="S14" ca="1">INDIRECT("'"&amp;$A14&amp;"'!"&amp; "V" &amp; $B14)</f>
        <v>53.93</v>
      </c>
      <c r="T14" s="324" cm="1">
        <f t="array" aca="1" ref="T14" ca="1">INDIRECT("'"&amp;$A14&amp;"'!"&amp; "W" &amp; $B14)</f>
        <v>54.38</v>
      </c>
      <c r="U14" s="324" cm="1">
        <f t="array" aca="1" ref="U14" ca="1">INDIRECT("'"&amp;$A14&amp;"'!"&amp; "X" &amp; $B14)</f>
        <v>52.699999999999996</v>
      </c>
      <c r="V14" s="324" cm="1">
        <f t="array" aca="1" ref="V14" ca="1">INDIRECT("'"&amp;$A14&amp;"'!"&amp; "Y" &amp; $B14)</f>
        <v>55.882999999999996</v>
      </c>
      <c r="W14" s="324" cm="1">
        <f t="array" aca="1" ref="W14" ca="1">INDIRECT("'"&amp;$A14&amp;"'!"&amp; "Z" &amp; $B14)</f>
        <v>51.97</v>
      </c>
      <c r="X14" s="324" cm="1">
        <f t="array" aca="1" ref="X14" ca="1">INDIRECT("'"&amp;$A14&amp;"'!"&amp; "AA" &amp; $B14)</f>
        <v>46.94</v>
      </c>
      <c r="Y14" s="324" cm="1">
        <f t="array" aca="1" ref="Y14" ca="1">INDIRECT("'"&amp;$A14&amp;"'!"&amp; "AB" &amp; $B14)</f>
        <v>43.219999999999992</v>
      </c>
      <c r="Z14" s="324" cm="1">
        <f t="array" aca="1" ref="Z14" ca="1">INDIRECT("'"&amp;$A14&amp;"'!"&amp; "AC" &amp; $B14)</f>
        <v>39.979999999999997</v>
      </c>
    </row>
    <row r="15" spans="1:27" x14ac:dyDescent="0.25">
      <c r="A15" s="80">
        <v>13</v>
      </c>
      <c r="B15" s="80">
        <v>106</v>
      </c>
      <c r="C15" s="324" cm="1">
        <f t="array" aca="1" ref="C15" ca="1">INDIRECT("'"&amp;$A15&amp;"'!"&amp; "F" &amp; $B15)</f>
        <v>36.31</v>
      </c>
      <c r="D15" s="324" cm="1">
        <f t="array" aca="1" ref="D15" ca="1">INDIRECT("'"&amp;$A15&amp;"'!"&amp; "g" &amp; $B15)</f>
        <v>34.519999999999996</v>
      </c>
      <c r="E15" s="324" cm="1">
        <f t="array" aca="1" ref="E15" ca="1">INDIRECT("'"&amp;$A15&amp;"'!"&amp; "H" &amp; $B15)</f>
        <v>32.949999999999996</v>
      </c>
      <c r="F15" s="324" cm="1">
        <f t="array" aca="1" ref="F15" ca="1">INDIRECT("'"&amp;$A15&amp;"'!"&amp; "I" &amp; $B15)</f>
        <v>32.67</v>
      </c>
      <c r="G15" s="324" cm="1">
        <f t="array" aca="1" ref="G15" ca="1">INDIRECT("'"&amp;$A15&amp;"'!"&amp; "J" &amp; $B15)</f>
        <v>32.04</v>
      </c>
      <c r="H15" s="324" cm="1">
        <f t="array" aca="1" ref="H15" ca="1">INDIRECT("'"&amp;$A15&amp;"'!"&amp; "K" &amp; $B15)</f>
        <v>33.630000000000003</v>
      </c>
      <c r="I15" s="324" cm="1">
        <f t="array" aca="1" ref="I15" ca="1">INDIRECT("'"&amp;$A15&amp;"'!"&amp; "L" &amp; $B15)</f>
        <v>36.49</v>
      </c>
      <c r="J15" s="324" cm="1">
        <f t="array" aca="1" ref="J15" ca="1">INDIRECT("'"&amp;$A15&amp;"'!"&amp; "M" &amp; $B15)</f>
        <v>37.770000000000003</v>
      </c>
      <c r="K15" s="324" cm="1">
        <f t="array" aca="1" ref="K15" ca="1">INDIRECT("'"&amp;$A15&amp;"'!"&amp; "N" &amp; $B15)</f>
        <v>41.789999999999992</v>
      </c>
      <c r="L15" s="324" cm="1">
        <f t="array" aca="1" ref="L15" ca="1">INDIRECT("'"&amp;$A15&amp;"'!"&amp; "O" &amp; $B15)</f>
        <v>50.480000000000004</v>
      </c>
      <c r="M15" s="324" cm="1">
        <f t="array" aca="1" ref="M15" ca="1">INDIRECT("'"&amp;$A15&amp;"'!"&amp; "P" &amp; $B15)</f>
        <v>55.05</v>
      </c>
      <c r="N15" s="324" cm="1">
        <f t="array" aca="1" ref="N15" ca="1">INDIRECT("'"&amp;$A15&amp;"'!"&amp; "Q" &amp; $B15)</f>
        <v>56.93</v>
      </c>
      <c r="O15" s="324" cm="1">
        <f t="array" aca="1" ref="O15" ca="1">INDIRECT("'"&amp;$A15&amp;"'!"&amp; "R" &amp; $B15)</f>
        <v>56.16</v>
      </c>
      <c r="P15" s="324" cm="1">
        <f t="array" aca="1" ref="P15" ca="1">INDIRECT("'"&amp;$A15&amp;"'!"&amp; "S" &amp; $B15)</f>
        <v>56.949999999999996</v>
      </c>
      <c r="Q15" s="324" cm="1">
        <f t="array" aca="1" ref="Q15" ca="1">INDIRECT("'"&amp;$A15&amp;"'!"&amp; "T" &amp; $B15)</f>
        <v>58.63</v>
      </c>
      <c r="R15" s="324" cm="1">
        <f t="array" aca="1" ref="R15" ca="1">INDIRECT("'"&amp;$A15&amp;"'!"&amp; "U" &amp; $B15)</f>
        <v>59.629999999999995</v>
      </c>
      <c r="S15" s="324" cm="1">
        <f t="array" aca="1" ref="S15" ca="1">INDIRECT("'"&amp;$A15&amp;"'!"&amp; "V" &amp; $B15)</f>
        <v>57.46</v>
      </c>
      <c r="T15" s="324" cm="1">
        <f t="array" aca="1" ref="T15" ca="1">INDIRECT("'"&amp;$A15&amp;"'!"&amp; "W" &amp; $B15)</f>
        <v>55.089999999999996</v>
      </c>
      <c r="U15" s="324" cm="1">
        <f t="array" aca="1" ref="U15" ca="1">INDIRECT("'"&amp;$A15&amp;"'!"&amp; "X" &amp; $B15)</f>
        <v>53.280000000000008</v>
      </c>
      <c r="V15" s="324" cm="1">
        <f t="array" aca="1" ref="V15" ca="1">INDIRECT("'"&amp;$A15&amp;"'!"&amp; "Y" &amp; $B15)</f>
        <v>56.78</v>
      </c>
      <c r="W15" s="324" cm="1">
        <f t="array" aca="1" ref="W15" ca="1">INDIRECT("'"&amp;$A15&amp;"'!"&amp; "Z" &amp; $B15)</f>
        <v>54.27</v>
      </c>
      <c r="X15" s="324" cm="1">
        <f t="array" aca="1" ref="X15" ca="1">INDIRECT("'"&amp;$A15&amp;"'!"&amp; "AA" &amp; $B15)</f>
        <v>41.199999999999996</v>
      </c>
      <c r="Y15" s="324" cm="1">
        <f t="array" aca="1" ref="Y15" ca="1">INDIRECT("'"&amp;$A15&amp;"'!"&amp; "AB" &amp; $B15)</f>
        <v>46.519999999999996</v>
      </c>
      <c r="Z15" s="324" cm="1">
        <f t="array" aca="1" ref="Z15" ca="1">INDIRECT("'"&amp;$A15&amp;"'!"&amp; "AC" &amp; $B15)</f>
        <v>42.38</v>
      </c>
    </row>
    <row r="16" spans="1:27" x14ac:dyDescent="0.25">
      <c r="A16" s="80">
        <v>14</v>
      </c>
      <c r="B16" s="80">
        <v>106</v>
      </c>
      <c r="C16" s="324" cm="1">
        <f t="array" aca="1" ref="C16" ca="1">INDIRECT("'"&amp;$A16&amp;"'!"&amp; "F" &amp; $B16)</f>
        <v>38.300000000000004</v>
      </c>
      <c r="D16" s="324" cm="1">
        <f t="array" aca="1" ref="D16" ca="1">INDIRECT("'"&amp;$A16&amp;"'!"&amp; "g" &amp; $B16)</f>
        <v>35.609999999999992</v>
      </c>
      <c r="E16" s="324" cm="1">
        <f t="array" aca="1" ref="E16" ca="1">INDIRECT("'"&amp;$A16&amp;"'!"&amp; "H" &amp; $B16)</f>
        <v>34.06</v>
      </c>
      <c r="F16" s="324" cm="1">
        <f t="array" aca="1" ref="F16" ca="1">INDIRECT("'"&amp;$A16&amp;"'!"&amp; "I" &amp; $B16)</f>
        <v>33.65</v>
      </c>
      <c r="G16" s="324" cm="1">
        <f t="array" aca="1" ref="G16" ca="1">INDIRECT("'"&amp;$A16&amp;"'!"&amp; "J" &amp; $B16)</f>
        <v>32.92</v>
      </c>
      <c r="H16" s="324" cm="1">
        <f t="array" aca="1" ref="H16" ca="1">INDIRECT("'"&amp;$A16&amp;"'!"&amp; "K" &amp; $B16)</f>
        <v>33.78</v>
      </c>
      <c r="I16" s="324" cm="1">
        <f t="array" aca="1" ref="I16" ca="1">INDIRECT("'"&amp;$A16&amp;"'!"&amp; "L" &amp; $B16)</f>
        <v>37.75</v>
      </c>
      <c r="J16" s="324" cm="1">
        <f t="array" aca="1" ref="J16" ca="1">INDIRECT("'"&amp;$A16&amp;"'!"&amp; "M" &amp; $B16)</f>
        <v>38.600000000000009</v>
      </c>
      <c r="K16" s="324" cm="1">
        <f t="array" aca="1" ref="K16" ca="1">INDIRECT("'"&amp;$A16&amp;"'!"&amp; "N" &amp; $B16)</f>
        <v>41.22</v>
      </c>
      <c r="L16" s="324" cm="1">
        <f t="array" aca="1" ref="L16" ca="1">INDIRECT("'"&amp;$A16&amp;"'!"&amp; "O" &amp; $B16)</f>
        <v>50.080000000000005</v>
      </c>
      <c r="M16" s="324" cm="1">
        <f t="array" aca="1" ref="M16" ca="1">INDIRECT("'"&amp;$A16&amp;"'!"&amp; "P" &amp; $B16)</f>
        <v>56.060000000000009</v>
      </c>
      <c r="N16" s="324" cm="1">
        <f t="array" aca="1" ref="N16" ca="1">INDIRECT("'"&amp;$A16&amp;"'!"&amp; "Q" &amp; $B16)</f>
        <v>57.05</v>
      </c>
      <c r="O16" s="324" cm="1">
        <f t="array" aca="1" ref="O16" ca="1">INDIRECT("'"&amp;$A16&amp;"'!"&amp; "R" &amp; $B16)</f>
        <v>55.52</v>
      </c>
      <c r="P16" s="324" cm="1">
        <f t="array" aca="1" ref="P16" ca="1">INDIRECT("'"&amp;$A16&amp;"'!"&amp; "S" &amp; $B16)</f>
        <v>57.129999999999995</v>
      </c>
      <c r="Q16" s="324" cm="1">
        <f t="array" aca="1" ref="Q16" ca="1">INDIRECT("'"&amp;$A16&amp;"'!"&amp; "T" &amp; $B16)</f>
        <v>58.4</v>
      </c>
      <c r="R16" s="324" cm="1">
        <f t="array" aca="1" ref="R16" ca="1">INDIRECT("'"&amp;$A16&amp;"'!"&amp; "U" &amp; $B16)</f>
        <v>58.33</v>
      </c>
      <c r="S16" s="324" cm="1">
        <f t="array" aca="1" ref="S16" ca="1">INDIRECT("'"&amp;$A16&amp;"'!"&amp; "V" &amp; $B16)</f>
        <v>58.21</v>
      </c>
      <c r="T16" s="324" cm="1">
        <f t="array" aca="1" ref="T16" ca="1">INDIRECT("'"&amp;$A16&amp;"'!"&amp; "W" &amp; $B16)</f>
        <v>55.210000000000008</v>
      </c>
      <c r="U16" s="324" cm="1">
        <f t="array" aca="1" ref="U16" ca="1">INDIRECT("'"&amp;$A16&amp;"'!"&amp; "X" &amp; $B16)</f>
        <v>52.970000000000006</v>
      </c>
      <c r="V16" s="324" cm="1">
        <f t="array" aca="1" ref="V16" ca="1">INDIRECT("'"&amp;$A16&amp;"'!"&amp; "Y" &amp; $B16)</f>
        <v>54.86</v>
      </c>
      <c r="W16" s="324" cm="1">
        <f t="array" aca="1" ref="W16" ca="1">INDIRECT("'"&amp;$A16&amp;"'!"&amp; "Z" &amp; $B16)</f>
        <v>52.1</v>
      </c>
      <c r="X16" s="324" cm="1">
        <f t="array" aca="1" ref="X16" ca="1">INDIRECT("'"&amp;$A16&amp;"'!"&amp; "AA" &amp; $B16)</f>
        <v>51.13</v>
      </c>
      <c r="Y16" s="324" cm="1">
        <f t="array" aca="1" ref="Y16" ca="1">INDIRECT("'"&amp;$A16&amp;"'!"&amp; "AB" &amp; $B16)</f>
        <v>46.900000000000006</v>
      </c>
      <c r="Z16" s="324" cm="1">
        <f t="array" aca="1" ref="Z16" ca="1">INDIRECT("'"&amp;$A16&amp;"'!"&amp; "AC" &amp; $B16)</f>
        <v>43.39</v>
      </c>
    </row>
    <row r="17" spans="1:26" x14ac:dyDescent="0.25">
      <c r="A17" s="80">
        <v>15</v>
      </c>
      <c r="B17" s="80">
        <v>106</v>
      </c>
      <c r="C17" s="324" cm="1">
        <f t="array" aca="1" ref="C17" ca="1">INDIRECT("'"&amp;$A17&amp;"'!"&amp; "F" &amp; $B17)</f>
        <v>39.430000000000007</v>
      </c>
      <c r="D17" s="324" cm="1">
        <f t="array" aca="1" ref="D17" ca="1">INDIRECT("'"&amp;$A17&amp;"'!"&amp; "g" &amp; $B17)</f>
        <v>37.190000000000005</v>
      </c>
      <c r="E17" s="324" cm="1">
        <f t="array" aca="1" ref="E17" ca="1">INDIRECT("'"&amp;$A17&amp;"'!"&amp; "H" &amp; $B17)</f>
        <v>35.31</v>
      </c>
      <c r="F17" s="324" cm="1">
        <f t="array" aca="1" ref="F17" ca="1">INDIRECT("'"&amp;$A17&amp;"'!"&amp; "I" &amp; $B17)</f>
        <v>33.86</v>
      </c>
      <c r="G17" s="324" cm="1">
        <f t="array" aca="1" ref="G17" ca="1">INDIRECT("'"&amp;$A17&amp;"'!"&amp; "J" &amp; $B17)</f>
        <v>33.270000000000003</v>
      </c>
      <c r="H17" s="324" cm="1">
        <f t="array" aca="1" ref="H17" ca="1">INDIRECT("'"&amp;$A17&amp;"'!"&amp; "K" &amp; $B17)</f>
        <v>33.430000000000007</v>
      </c>
      <c r="I17" s="324" cm="1">
        <f t="array" aca="1" ref="I17" ca="1">INDIRECT("'"&amp;$A17&amp;"'!"&amp; "L" &amp; $B17)</f>
        <v>34.72</v>
      </c>
      <c r="J17" s="324" cm="1">
        <f t="array" aca="1" ref="J17" ca="1">INDIRECT("'"&amp;$A17&amp;"'!"&amp; "M" &amp; $B17)</f>
        <v>36.04</v>
      </c>
      <c r="K17" s="324" cm="1">
        <f t="array" aca="1" ref="K17" ca="1">INDIRECT("'"&amp;$A17&amp;"'!"&amp; "N" &amp; $B17)</f>
        <v>39</v>
      </c>
      <c r="L17" s="324" cm="1">
        <f t="array" aca="1" ref="L17" ca="1">INDIRECT("'"&amp;$A17&amp;"'!"&amp; "O" &amp; $B17)</f>
        <v>45.330000000000005</v>
      </c>
      <c r="M17" s="324" cm="1">
        <f t="array" aca="1" ref="M17" ca="1">INDIRECT("'"&amp;$A17&amp;"'!"&amp; "P" &amp; $B17)</f>
        <v>51.140000000000008</v>
      </c>
      <c r="N17" s="324" cm="1">
        <f t="array" aca="1" ref="N17" ca="1">INDIRECT("'"&amp;$A17&amp;"'!"&amp; "Q" &amp; $B17)</f>
        <v>52.189999999999991</v>
      </c>
      <c r="O17" s="324" cm="1">
        <f t="array" aca="1" ref="O17" ca="1">INDIRECT("'"&amp;$A17&amp;"'!"&amp; "R" &amp; $B17)</f>
        <v>52.139999999999993</v>
      </c>
      <c r="P17" s="324" cm="1">
        <f t="array" aca="1" ref="P17" ca="1">INDIRECT("'"&amp;$A17&amp;"'!"&amp; "S" &amp; $B17)</f>
        <v>53.45</v>
      </c>
      <c r="Q17" s="324" cm="1">
        <f t="array" aca="1" ref="Q17" ca="1">INDIRECT("'"&amp;$A17&amp;"'!"&amp; "T" &amp; $B17)</f>
        <v>55.499999999999993</v>
      </c>
      <c r="R17" s="324" cm="1">
        <f t="array" aca="1" ref="R17" ca="1">INDIRECT("'"&amp;$A17&amp;"'!"&amp; "U" &amp; $B17)</f>
        <v>55.39</v>
      </c>
      <c r="S17" s="324" cm="1">
        <f t="array" aca="1" ref="S17" ca="1">INDIRECT("'"&amp;$A17&amp;"'!"&amp; "V" &amp; $B17)</f>
        <v>54.339999999999996</v>
      </c>
      <c r="T17" s="324" cm="1">
        <f t="array" aca="1" ref="T17" ca="1">INDIRECT("'"&amp;$A17&amp;"'!"&amp; "W" &amp; $B17)</f>
        <v>53.16</v>
      </c>
      <c r="U17" s="324" cm="1">
        <f t="array" aca="1" ref="U17" ca="1">INDIRECT("'"&amp;$A17&amp;"'!"&amp; "X" &amp; $B17)</f>
        <v>53.36999999999999</v>
      </c>
      <c r="V17" s="324" cm="1">
        <f t="array" aca="1" ref="V17" ca="1">INDIRECT("'"&amp;$A17&amp;"'!"&amp; "Y" &amp; $B17)</f>
        <v>56.97</v>
      </c>
      <c r="W17" s="324" cm="1">
        <f t="array" aca="1" ref="W17" ca="1">INDIRECT("'"&amp;$A17&amp;"'!"&amp; "Z" &amp; $B17)</f>
        <v>54.080000000000005</v>
      </c>
      <c r="X17" s="324" cm="1">
        <f t="array" aca="1" ref="X17" ca="1">INDIRECT("'"&amp;$A17&amp;"'!"&amp; "AA" &amp; $B17)</f>
        <v>52.49</v>
      </c>
      <c r="Y17" s="324" cm="1">
        <f t="array" aca="1" ref="Y17" ca="1">INDIRECT("'"&amp;$A17&amp;"'!"&amp; "AB" &amp; $B17)</f>
        <v>48.02000000000001</v>
      </c>
      <c r="Z17" s="324" cm="1">
        <f t="array" aca="1" ref="Z17" ca="1">INDIRECT("'"&amp;$A17&amp;"'!"&amp; "AC" &amp; $B17)</f>
        <v>44.47</v>
      </c>
    </row>
    <row r="18" spans="1:26" x14ac:dyDescent="0.25">
      <c r="A18" s="80">
        <v>16</v>
      </c>
      <c r="B18" s="80">
        <v>106</v>
      </c>
      <c r="C18" s="324" cm="1">
        <f t="array" aca="1" ref="C18" ca="1">INDIRECT("'"&amp;$A18&amp;"'!"&amp; "F" &amp; $B18)</f>
        <v>38.079999999999991</v>
      </c>
      <c r="D18" s="324" cm="1">
        <f t="array" aca="1" ref="D18" ca="1">INDIRECT("'"&amp;$A18&amp;"'!"&amp; "g" &amp; $B18)</f>
        <v>37.46</v>
      </c>
      <c r="E18" s="324" cm="1">
        <f t="array" aca="1" ref="E18" ca="1">INDIRECT("'"&amp;$A18&amp;"'!"&amp; "H" &amp; $B18)</f>
        <v>38.090000000000003</v>
      </c>
      <c r="F18" s="324" cm="1">
        <f t="array" aca="1" ref="F18" ca="1">INDIRECT("'"&amp;$A18&amp;"'!"&amp; "I" &amp; $B18)</f>
        <v>34.53</v>
      </c>
      <c r="G18" s="324" cm="1">
        <f t="array" aca="1" ref="G18" ca="1">INDIRECT("'"&amp;$A18&amp;"'!"&amp; "J" &amp; $B18)</f>
        <v>34</v>
      </c>
      <c r="H18" s="324" cm="1">
        <f t="array" aca="1" ref="H18" ca="1">INDIRECT("'"&amp;$A18&amp;"'!"&amp; "K" &amp; $B18)</f>
        <v>33.76</v>
      </c>
      <c r="I18" s="324" cm="1">
        <f t="array" aca="1" ref="I18" ca="1">INDIRECT("'"&amp;$A18&amp;"'!"&amp; "L" &amp; $B18)</f>
        <v>30.92</v>
      </c>
      <c r="J18" s="324" cm="1">
        <f t="array" aca="1" ref="J18" ca="1">INDIRECT("'"&amp;$A18&amp;"'!"&amp; "M" &amp; $B18)</f>
        <v>35.64</v>
      </c>
      <c r="K18" s="324" cm="1">
        <f t="array" aca="1" ref="K18" ca="1">INDIRECT("'"&amp;$A18&amp;"'!"&amp; "N" &amp; $B18)</f>
        <v>38.29</v>
      </c>
      <c r="L18" s="324" cm="1">
        <f t="array" aca="1" ref="L18" ca="1">INDIRECT("'"&amp;$A18&amp;"'!"&amp; "O" &amp; $B18)</f>
        <v>42.669999999999995</v>
      </c>
      <c r="M18" s="324" cm="1">
        <f t="array" aca="1" ref="M18" ca="1">INDIRECT("'"&amp;$A18&amp;"'!"&amp; "P" &amp; $B18)</f>
        <v>45.42</v>
      </c>
      <c r="N18" s="324" cm="1">
        <f t="array" aca="1" ref="N18" ca="1">INDIRECT("'"&amp;$A18&amp;"'!"&amp; "Q" &amp; $B18)</f>
        <v>47.876666666666665</v>
      </c>
      <c r="O18" s="324" cm="1">
        <f t="array" aca="1" ref="O18" ca="1">INDIRECT("'"&amp;$A18&amp;"'!"&amp; "R" &amp; $B18)</f>
        <v>48.916666666666671</v>
      </c>
      <c r="P18" s="324" cm="1">
        <f t="array" aca="1" ref="P18" ca="1">INDIRECT("'"&amp;$A18&amp;"'!"&amp; "S" &amp; $B18)</f>
        <v>46.674999999999997</v>
      </c>
      <c r="Q18" s="324" cm="1">
        <f t="array" aca="1" ref="Q18" ca="1">INDIRECT("'"&amp;$A18&amp;"'!"&amp; "T" &amp; $B18)</f>
        <v>46.129999999999995</v>
      </c>
      <c r="R18" s="324" cm="1">
        <f t="array" aca="1" ref="R18" ca="1">INDIRECT("'"&amp;$A18&amp;"'!"&amp; "U" &amp; $B18)</f>
        <v>46.9</v>
      </c>
      <c r="S18" s="324" cm="1">
        <f t="array" aca="1" ref="S18" ca="1">INDIRECT("'"&amp;$A18&amp;"'!"&amp; "V" &amp; $B18)</f>
        <v>48.470000000000006</v>
      </c>
      <c r="T18" s="324" cm="1">
        <f t="array" aca="1" ref="T18" ca="1">INDIRECT("'"&amp;$A18&amp;"'!"&amp; "W" &amp; $B18)</f>
        <v>48.77</v>
      </c>
      <c r="U18" s="324" cm="1">
        <f t="array" aca="1" ref="U18" ca="1">INDIRECT("'"&amp;$A18&amp;"'!"&amp; "X" &amp; $B18)</f>
        <v>50.930000000000007</v>
      </c>
      <c r="V18" s="324" cm="1">
        <f t="array" aca="1" ref="V18" ca="1">INDIRECT("'"&amp;$A18&amp;"'!"&amp; "Y" &amp; $B18)</f>
        <v>54.79</v>
      </c>
      <c r="W18" s="324" cm="1">
        <f t="array" aca="1" ref="W18" ca="1">INDIRECT("'"&amp;$A18&amp;"'!"&amp; "Z" &amp; $B18)</f>
        <v>52.23</v>
      </c>
      <c r="X18" s="324" cm="1">
        <f t="array" aca="1" ref="X18" ca="1">INDIRECT("'"&amp;$A18&amp;"'!"&amp; "AA" &amp; $B18)</f>
        <v>50.529999999999994</v>
      </c>
      <c r="Y18" s="324" cm="1">
        <f t="array" aca="1" ref="Y18" ca="1">INDIRECT("'"&amp;$A18&amp;"'!"&amp; "AB" &amp; $B18)</f>
        <v>46.949999999999996</v>
      </c>
      <c r="Z18" s="324" cm="1">
        <f t="array" aca="1" ref="Z18" ca="1">INDIRECT("'"&amp;$A18&amp;"'!"&amp; "AC" &amp; $B18)</f>
        <v>42.39</v>
      </c>
    </row>
    <row r="19" spans="1:26" x14ac:dyDescent="0.25">
      <c r="A19" s="80">
        <v>17</v>
      </c>
      <c r="B19" s="80">
        <v>106</v>
      </c>
      <c r="C19" s="324" cm="1">
        <f t="array" aca="1" ref="C19" ca="1">INDIRECT("'"&amp;$A19&amp;"'!"&amp; "F" &amp; $B19)</f>
        <v>38.660000000000004</v>
      </c>
      <c r="D19" s="324" cm="1">
        <f t="array" aca="1" ref="D19" ca="1">INDIRECT("'"&amp;$A19&amp;"'!"&amp; "g" &amp; $B19)</f>
        <v>34.81</v>
      </c>
      <c r="E19" s="324" cm="1">
        <f t="array" aca="1" ref="E19" ca="1">INDIRECT("'"&amp;$A19&amp;"'!"&amp; "H" &amp; $B19)</f>
        <v>33.450000000000003</v>
      </c>
      <c r="F19" s="324" cm="1">
        <f t="array" aca="1" ref="F19" ca="1">INDIRECT("'"&amp;$A19&amp;"'!"&amp; "I" &amp; $B19)</f>
        <v>32.199999999999996</v>
      </c>
      <c r="G19" s="324" cm="1">
        <f t="array" aca="1" ref="G19" ca="1">INDIRECT("'"&amp;$A19&amp;"'!"&amp; "J" &amp; $B19)</f>
        <v>32.67</v>
      </c>
      <c r="H19" s="324" cm="1">
        <f t="array" aca="1" ref="H19" ca="1">INDIRECT("'"&amp;$A19&amp;"'!"&amp; "K" &amp; $B19)</f>
        <v>33.869999999999997</v>
      </c>
      <c r="I19" s="324" cm="1">
        <f t="array" aca="1" ref="I19" ca="1">INDIRECT("'"&amp;$A19&amp;"'!"&amp; "L" &amp; $B19)</f>
        <v>38.58</v>
      </c>
      <c r="J19" s="324" cm="1">
        <f t="array" aca="1" ref="J19" ca="1">INDIRECT("'"&amp;$A19&amp;"'!"&amp; "M" &amp; $B19)</f>
        <v>38.769999999999996</v>
      </c>
      <c r="K19" s="324" cm="1">
        <f t="array" aca="1" ref="K19" ca="1">INDIRECT("'"&amp;$A19&amp;"'!"&amp; "N" &amp; $B19)</f>
        <v>40.33</v>
      </c>
      <c r="L19" s="324" cm="1">
        <f t="array" aca="1" ref="L19" ca="1">INDIRECT("'"&amp;$A19&amp;"'!"&amp; "O" &amp; $B19)</f>
        <v>49.83</v>
      </c>
      <c r="M19" s="324" cm="1">
        <f t="array" aca="1" ref="M19" ca="1">INDIRECT("'"&amp;$A19&amp;"'!"&amp; "P" &amp; $B19)</f>
        <v>55.35</v>
      </c>
      <c r="N19" s="324" cm="1">
        <f t="array" aca="1" ref="N19" ca="1">INDIRECT("'"&amp;$A19&amp;"'!"&amp; "Q" &amp; $B19)</f>
        <v>56.806666666666665</v>
      </c>
      <c r="O19" s="324" cm="1">
        <f t="array" aca="1" ref="O19" ca="1">INDIRECT("'"&amp;$A19&amp;"'!"&amp; "R" &amp; $B19)</f>
        <v>57.086666666666673</v>
      </c>
      <c r="P19" s="324" cm="1">
        <f t="array" aca="1" ref="P19" ca="1">INDIRECT("'"&amp;$A19&amp;"'!"&amp; "S" &amp; $B19)</f>
        <v>56.945</v>
      </c>
      <c r="Q19" s="324" cm="1">
        <f t="array" aca="1" ref="Q19" ca="1">INDIRECT("'"&amp;$A19&amp;"'!"&amp; "T" &amp; $B19)</f>
        <v>60.029999999999994</v>
      </c>
      <c r="R19" s="324" cm="1">
        <f t="array" aca="1" ref="R19" ca="1">INDIRECT("'"&amp;$A19&amp;"'!"&amp; "U" &amp; $B19)</f>
        <v>60.350000000000009</v>
      </c>
      <c r="S19" s="324" cm="1">
        <f t="array" aca="1" ref="S19" ca="1">INDIRECT("'"&amp;$A19&amp;"'!"&amp; "V" &amp; $B19)</f>
        <v>59.83</v>
      </c>
      <c r="T19" s="324" cm="1">
        <f t="array" aca="1" ref="T19" ca="1">INDIRECT("'"&amp;$A19&amp;"'!"&amp; "W" &amp; $B19)</f>
        <v>57.480000000000011</v>
      </c>
      <c r="U19" s="324" cm="1">
        <f t="array" aca="1" ref="U19" ca="1">INDIRECT("'"&amp;$A19&amp;"'!"&amp; "X" &amp; $B19)</f>
        <v>55.870000000000005</v>
      </c>
      <c r="V19" s="324" cm="1">
        <f t="array" aca="1" ref="V19" ca="1">INDIRECT("'"&amp;$A19&amp;"'!"&amp; "Y" &amp; $B19)</f>
        <v>60.55</v>
      </c>
      <c r="W19" s="324" cm="1">
        <f t="array" aca="1" ref="W19" ca="1">INDIRECT("'"&amp;$A19&amp;"'!"&amp; "Z" &amp; $B19)</f>
        <v>59.17</v>
      </c>
      <c r="X19" s="324" cm="1">
        <f t="array" aca="1" ref="X19" ca="1">INDIRECT("'"&amp;$A19&amp;"'!"&amp; "AA" &amp; $B19)</f>
        <v>54.440000000000005</v>
      </c>
      <c r="Y19" s="324" cm="1">
        <f t="array" aca="1" ref="Y19" ca="1">INDIRECT("'"&amp;$A19&amp;"'!"&amp; "AB" &amp; $B19)</f>
        <v>50.37</v>
      </c>
      <c r="Z19" s="324" cm="1">
        <f t="array" aca="1" ref="Z19" ca="1">INDIRECT("'"&amp;$A19&amp;"'!"&amp; "AC" &amp; $B19)</f>
        <v>46.43</v>
      </c>
    </row>
    <row r="20" spans="1:26" x14ac:dyDescent="0.25">
      <c r="A20" s="80">
        <v>18</v>
      </c>
      <c r="B20" s="80">
        <v>106</v>
      </c>
      <c r="C20" s="324" cm="1">
        <f t="array" aca="1" ref="C20" ca="1">INDIRECT("'"&amp;$A20&amp;"'!"&amp; "F" &amp; $B20)</f>
        <v>42.600000000000009</v>
      </c>
      <c r="D20" s="324" cm="1">
        <f t="array" aca="1" ref="D20" ca="1">INDIRECT("'"&amp;$A20&amp;"'!"&amp; "g" &amp; $B20)</f>
        <v>40.71</v>
      </c>
      <c r="E20" s="324" cm="1">
        <f t="array" aca="1" ref="E20" ca="1">INDIRECT("'"&amp;$A20&amp;"'!"&amp; "H" &amp; $B20)</f>
        <v>37.97</v>
      </c>
      <c r="F20" s="324" cm="1">
        <f t="array" aca="1" ref="F20" ca="1">INDIRECT("'"&amp;$A20&amp;"'!"&amp; "I" &amp; $B20)</f>
        <v>36.75</v>
      </c>
      <c r="G20" s="324" cm="1">
        <f t="array" aca="1" ref="G20" ca="1">INDIRECT("'"&amp;$A20&amp;"'!"&amp; "J" &amp; $B20)</f>
        <v>36.39</v>
      </c>
      <c r="H20" s="324" cm="1">
        <f t="array" aca="1" ref="H20" ca="1">INDIRECT("'"&amp;$A20&amp;"'!"&amp; "K" &amp; $B20)</f>
        <v>37.619999999999997</v>
      </c>
      <c r="I20" s="324" cm="1">
        <f t="array" aca="1" ref="I20" ca="1">INDIRECT("'"&amp;$A20&amp;"'!"&amp; "L" &amp; $B20)</f>
        <v>42.09</v>
      </c>
      <c r="J20" s="324" cm="1">
        <f t="array" aca="1" ref="J20" ca="1">INDIRECT("'"&amp;$A20&amp;"'!"&amp; "M" &amp; $B20)</f>
        <v>41.22</v>
      </c>
      <c r="K20" s="324" cm="1">
        <f t="array" aca="1" ref="K20" ca="1">INDIRECT("'"&amp;$A20&amp;"'!"&amp; "N" &amp; $B20)</f>
        <v>43.359999999999992</v>
      </c>
      <c r="L20" s="324" cm="1">
        <f t="array" aca="1" ref="L20" ca="1">INDIRECT("'"&amp;$A20&amp;"'!"&amp; "O" &amp; $B20)</f>
        <v>51.609999999999992</v>
      </c>
      <c r="M20" s="324" cm="1">
        <f t="array" aca="1" ref="M20" ca="1">INDIRECT("'"&amp;$A20&amp;"'!"&amp; "P" &amp; $B20)</f>
        <v>57.620000000000005</v>
      </c>
      <c r="N20" s="324" cm="1">
        <f t="array" aca="1" ref="N20" ca="1">INDIRECT("'"&amp;$A20&amp;"'!"&amp; "Q" &amp; $B20)</f>
        <v>59.986666666666672</v>
      </c>
      <c r="O20" s="324" cm="1">
        <f t="array" aca="1" ref="O20" ca="1">INDIRECT("'"&amp;$A20&amp;"'!"&amp; "R" &amp; $B20)</f>
        <v>59.085000000000001</v>
      </c>
      <c r="P20" s="324" cm="1">
        <f t="array" aca="1" ref="P20" ca="1">INDIRECT("'"&amp;$A20&amp;"'!"&amp; "S" &amp; $B20)</f>
        <v>60.25</v>
      </c>
      <c r="Q20" s="324" cm="1">
        <f t="array" aca="1" ref="Q20" ca="1">INDIRECT("'"&amp;$A20&amp;"'!"&amp; "T" &amp; $B20)</f>
        <v>62.339666666666659</v>
      </c>
      <c r="R20" s="324" cm="1">
        <f t="array" aca="1" ref="R20" ca="1">INDIRECT("'"&amp;$A20&amp;"'!"&amp; "U" &amp; $B20)</f>
        <v>61.910000000000011</v>
      </c>
      <c r="S20" s="324" cm="1">
        <f t="array" aca="1" ref="S20" ca="1">INDIRECT("'"&amp;$A20&amp;"'!"&amp; "V" &amp; $B20)</f>
        <v>60.81</v>
      </c>
      <c r="T20" s="324" cm="1">
        <f t="array" aca="1" ref="T20" ca="1">INDIRECT("'"&amp;$A20&amp;"'!"&amp; "W" &amp; $B20)</f>
        <v>56.613799999999998</v>
      </c>
      <c r="U20" s="324" cm="1">
        <f t="array" aca="1" ref="U20" ca="1">INDIRECT("'"&amp;$A20&amp;"'!"&amp; "X" &amp; $B20)</f>
        <v>56.38</v>
      </c>
      <c r="V20" s="324" cm="1">
        <f t="array" aca="1" ref="V20" ca="1">INDIRECT("'"&amp;$A20&amp;"'!"&amp; "Y" &amp; $B20)</f>
        <v>61.39</v>
      </c>
      <c r="W20" s="324" cm="1">
        <f t="array" aca="1" ref="W20" ca="1">INDIRECT("'"&amp;$A20&amp;"'!"&amp; "Z" &amp; $B20)</f>
        <v>58.2</v>
      </c>
      <c r="X20" s="324" cm="1">
        <f t="array" aca="1" ref="X20" ca="1">INDIRECT("'"&amp;$A20&amp;"'!"&amp; "AA" &amp; $B20)</f>
        <v>55.24</v>
      </c>
      <c r="Y20" s="324" cm="1">
        <f t="array" aca="1" ref="Y20" ca="1">INDIRECT("'"&amp;$A20&amp;"'!"&amp; "AB" &amp; $B20)</f>
        <v>48.84</v>
      </c>
      <c r="Z20" s="324" cm="1">
        <f t="array" aca="1" ref="Z20" ca="1">INDIRECT("'"&amp;$A20&amp;"'!"&amp; "AC" &amp; $B20)</f>
        <v>46.26</v>
      </c>
    </row>
    <row r="21" spans="1:26" x14ac:dyDescent="0.25">
      <c r="A21" s="80">
        <v>19</v>
      </c>
      <c r="B21" s="80">
        <v>106</v>
      </c>
      <c r="C21" s="324" cm="1">
        <f t="array" aca="1" ref="C21" ca="1">INDIRECT("'"&amp;$A21&amp;"'!"&amp; "F" &amp; $B21)</f>
        <v>40.930000000000007</v>
      </c>
      <c r="D21" s="324" cm="1">
        <f t="array" aca="1" ref="D21" ca="1">INDIRECT("'"&amp;$A21&amp;"'!"&amp; "g" &amp; $B21)</f>
        <v>39.44</v>
      </c>
      <c r="E21" s="324" cm="1">
        <f t="array" aca="1" ref="E21" ca="1">INDIRECT("'"&amp;$A21&amp;"'!"&amp; "H" &amp; $B21)</f>
        <v>37.979999999999997</v>
      </c>
      <c r="F21" s="324" cm="1">
        <f t="array" aca="1" ref="F21" ca="1">INDIRECT("'"&amp;$A21&amp;"'!"&amp; "I" &amp; $B21)</f>
        <v>35.840000000000003</v>
      </c>
      <c r="G21" s="324" cm="1">
        <f t="array" aca="1" ref="G21" ca="1">INDIRECT("'"&amp;$A21&amp;"'!"&amp; "J" &amp; $B21)</f>
        <v>35.809999999999995</v>
      </c>
      <c r="H21" s="324" cm="1">
        <f t="array" aca="1" ref="H21" ca="1">INDIRECT("'"&amp;$A21&amp;"'!"&amp; "K" &amp; $B21)</f>
        <v>37.869999999999997</v>
      </c>
      <c r="I21" s="324" cm="1">
        <f t="array" aca="1" ref="I21" ca="1">INDIRECT("'"&amp;$A21&amp;"'!"&amp; "L" &amp; $B21)</f>
        <v>41.490000000000009</v>
      </c>
      <c r="J21" s="324" cm="1">
        <f t="array" aca="1" ref="J21" ca="1">INDIRECT("'"&amp;$A21&amp;"'!"&amp; "M" &amp; $B21)</f>
        <v>42.6</v>
      </c>
      <c r="K21" s="324" cm="1">
        <f t="array" aca="1" ref="K21" ca="1">INDIRECT("'"&amp;$A21&amp;"'!"&amp; "N" &amp; $B21)</f>
        <v>45.089999999999996</v>
      </c>
      <c r="L21" s="324" cm="1">
        <f t="array" aca="1" ref="L21" ca="1">INDIRECT("'"&amp;$A21&amp;"'!"&amp; "O" &amp; $B21)</f>
        <v>52.749999999999993</v>
      </c>
      <c r="M21" s="324" cm="1">
        <f t="array" aca="1" ref="M21" ca="1">INDIRECT("'"&amp;$A21&amp;"'!"&amp; "P" &amp; $B21)</f>
        <v>53.199999999999996</v>
      </c>
      <c r="N21" s="324" cm="1">
        <f t="array" aca="1" ref="N21" ca="1">INDIRECT("'"&amp;$A21&amp;"'!"&amp; "Q" &amp; $B21)</f>
        <v>55.06</v>
      </c>
      <c r="O21" s="324" cm="1">
        <f t="array" aca="1" ref="O21" ca="1">INDIRECT("'"&amp;$A21&amp;"'!"&amp; "R" &amp; $B21)</f>
        <v>53.86</v>
      </c>
      <c r="P21" s="324" cm="1">
        <f t="array" aca="1" ref="P21" ca="1">INDIRECT("'"&amp;$A21&amp;"'!"&amp; "S" &amp; $B21)</f>
        <v>54.25</v>
      </c>
      <c r="Q21" s="324" cm="1">
        <f t="array" aca="1" ref="Q21" ca="1">INDIRECT("'"&amp;$A21&amp;"'!"&amp; "T" &amp; $B21)</f>
        <v>58.940000000000005</v>
      </c>
      <c r="R21" s="324" cm="1">
        <f t="array" aca="1" ref="R21" ca="1">INDIRECT("'"&amp;$A21&amp;"'!"&amp; "U" &amp; $B21)</f>
        <v>58.43</v>
      </c>
      <c r="S21" s="324" cm="1">
        <f t="array" aca="1" ref="S21" ca="1">INDIRECT("'"&amp;$A21&amp;"'!"&amp; "V" &amp; $B21)</f>
        <v>59.169999999999987</v>
      </c>
      <c r="T21" s="324" cm="1">
        <f t="array" aca="1" ref="T21" ca="1">INDIRECT("'"&amp;$A21&amp;"'!"&amp; "W" &amp; $B21)</f>
        <v>55.36</v>
      </c>
      <c r="U21" s="324" cm="1">
        <f t="array" aca="1" ref="U21" ca="1">INDIRECT("'"&amp;$A21&amp;"'!"&amp; "X" &amp; $B21)</f>
        <v>54.6</v>
      </c>
      <c r="V21" s="324" cm="1">
        <f t="array" aca="1" ref="V21" ca="1">INDIRECT("'"&amp;$A21&amp;"'!"&amp; "Y" &amp; $B21)</f>
        <v>59.33</v>
      </c>
      <c r="W21" s="324" cm="1">
        <f t="array" aca="1" ref="W21" ca="1">INDIRECT("'"&amp;$A21&amp;"'!"&amp; "Z" &amp; $B21)</f>
        <v>57.28</v>
      </c>
      <c r="X21" s="324" cm="1">
        <f t="array" aca="1" ref="X21" ca="1">INDIRECT("'"&amp;$A21&amp;"'!"&amp; "AA" &amp; $B21)</f>
        <v>53.660000000000004</v>
      </c>
      <c r="Y21" s="324" cm="1">
        <f t="array" aca="1" ref="Y21" ca="1">INDIRECT("'"&amp;$A21&amp;"'!"&amp; "AB" &amp; $B21)</f>
        <v>49.239999999999995</v>
      </c>
      <c r="Z21" s="324" cm="1">
        <f t="array" aca="1" ref="Z21" ca="1">INDIRECT("'"&amp;$A21&amp;"'!"&amp; "AC" &amp; $B21)</f>
        <v>45.260000000000005</v>
      </c>
    </row>
    <row r="22" spans="1:26" x14ac:dyDescent="0.25">
      <c r="A22" s="80">
        <v>20</v>
      </c>
      <c r="B22" s="80">
        <v>106</v>
      </c>
      <c r="C22" s="324" cm="1">
        <f t="array" aca="1" ref="C22" ca="1">INDIRECT("'"&amp;$A22&amp;"'!"&amp; "F" &amp; $B22)</f>
        <v>41.339999999999996</v>
      </c>
      <c r="D22" s="324" cm="1">
        <f t="array" aca="1" ref="D22" ca="1">INDIRECT("'"&amp;$A22&amp;"'!"&amp; "g" &amp; $B22)</f>
        <v>39.22</v>
      </c>
      <c r="E22" s="324" cm="1">
        <f t="array" aca="1" ref="E22" ca="1">INDIRECT("'"&amp;$A22&amp;"'!"&amp; "H" &amp; $B22)</f>
        <v>37.1</v>
      </c>
      <c r="F22" s="324" cm="1">
        <f t="array" aca="1" ref="F22" ca="1">INDIRECT("'"&amp;$A22&amp;"'!"&amp; "I" &amp; $B22)</f>
        <v>36.76</v>
      </c>
      <c r="G22" s="324" cm="1">
        <f t="array" aca="1" ref="G22" ca="1">INDIRECT("'"&amp;$A22&amp;"'!"&amp; "J" &amp; $B22)</f>
        <v>36.85</v>
      </c>
      <c r="H22" s="324" cm="1">
        <f t="array" aca="1" ref="H22" ca="1">INDIRECT("'"&amp;$A22&amp;"'!"&amp; "K" &amp; $B22)</f>
        <v>37.579999999999991</v>
      </c>
      <c r="I22" s="324" cm="1">
        <f t="array" aca="1" ref="I22" ca="1">INDIRECT("'"&amp;$A22&amp;"'!"&amp; "L" &amp; $B22)</f>
        <v>41.27</v>
      </c>
      <c r="J22" s="324" cm="1">
        <f t="array" aca="1" ref="J22" ca="1">INDIRECT("'"&amp;$A22&amp;"'!"&amp; "M" &amp; $B22)</f>
        <v>42.600000000000009</v>
      </c>
      <c r="K22" s="324" cm="1">
        <f t="array" aca="1" ref="K22" ca="1">INDIRECT("'"&amp;$A22&amp;"'!"&amp; "N" &amp; $B22)</f>
        <v>46.44</v>
      </c>
      <c r="L22" s="324" cm="1">
        <f t="array" aca="1" ref="L22" ca="1">INDIRECT("'"&amp;$A22&amp;"'!"&amp; "O" &amp; $B22)</f>
        <v>51.72</v>
      </c>
      <c r="M22" s="324" cm="1">
        <f t="array" aca="1" ref="M22" ca="1">INDIRECT("'"&amp;$A22&amp;"'!"&amp; "P" &amp; $B22)</f>
        <v>56.05</v>
      </c>
      <c r="N22" s="324" cm="1">
        <f t="array" aca="1" ref="N22" ca="1">INDIRECT("'"&amp;$A22&amp;"'!"&amp; "Q" &amp; $B22)</f>
        <v>56.359999999999992</v>
      </c>
      <c r="O22" s="324" cm="1">
        <f t="array" aca="1" ref="O22" ca="1">INDIRECT("'"&amp;$A22&amp;"'!"&amp; "R" &amp; $B22)</f>
        <v>57.23</v>
      </c>
      <c r="P22" s="324" cm="1">
        <f t="array" aca="1" ref="P22" ca="1">INDIRECT("'"&amp;$A22&amp;"'!"&amp; "S" &amp; $B22)</f>
        <v>57.970000000000006</v>
      </c>
      <c r="Q22" s="324" cm="1">
        <f t="array" aca="1" ref="Q22" ca="1">INDIRECT("'"&amp;$A22&amp;"'!"&amp; "T" &amp; $B22)</f>
        <v>60.167000000000002</v>
      </c>
      <c r="R22" s="324" cm="1">
        <f t="array" aca="1" ref="R22" ca="1">INDIRECT("'"&amp;$A22&amp;"'!"&amp; "U" &amp; $B22)</f>
        <v>57.160000000000004</v>
      </c>
      <c r="S22" s="324" cm="1">
        <f t="array" aca="1" ref="S22" ca="1">INDIRECT("'"&amp;$A22&amp;"'!"&amp; "V" &amp; $B22)</f>
        <v>54.709999999999994</v>
      </c>
      <c r="T22" s="324" cm="1">
        <f t="array" aca="1" ref="T22" ca="1">INDIRECT("'"&amp;$A22&amp;"'!"&amp; "W" &amp; $B22)</f>
        <v>56.47999999999999</v>
      </c>
      <c r="U22" s="324" cm="1">
        <f t="array" aca="1" ref="U22" ca="1">INDIRECT("'"&amp;$A22&amp;"'!"&amp; "X" &amp; $B22)</f>
        <v>55.28</v>
      </c>
      <c r="V22" s="324" cm="1">
        <f t="array" aca="1" ref="V22" ca="1">INDIRECT("'"&amp;$A22&amp;"'!"&amp; "Y" &amp; $B22)</f>
        <v>56.33</v>
      </c>
      <c r="W22" s="324" cm="1">
        <f t="array" aca="1" ref="W22" ca="1">INDIRECT("'"&amp;$A22&amp;"'!"&amp; "Z" &amp; $B22)</f>
        <v>55.259999999999991</v>
      </c>
      <c r="X22" s="324" cm="1">
        <f t="array" aca="1" ref="X22" ca="1">INDIRECT("'"&amp;$A22&amp;"'!"&amp; "AA" &amp; $B22)</f>
        <v>0</v>
      </c>
      <c r="Y22" s="324" cm="1">
        <f t="array" aca="1" ref="Y22" ca="1">INDIRECT("'"&amp;$A22&amp;"'!"&amp; "AB" &amp; $B22)</f>
        <v>0</v>
      </c>
      <c r="Z22" s="324" cm="1">
        <f t="array" aca="1" ref="Z22" ca="1">INDIRECT("'"&amp;$A22&amp;"'!"&amp; "AC" &amp; $B22)</f>
        <v>0</v>
      </c>
    </row>
    <row r="23" spans="1:26" x14ac:dyDescent="0.25">
      <c r="A23" s="80">
        <v>21</v>
      </c>
      <c r="B23" s="80">
        <v>106</v>
      </c>
      <c r="C23" s="324" t="e" cm="1">
        <f t="array" aca="1" ref="C23" ca="1">INDIRECT("'"&amp;$A23&amp;"'!"&amp; "F" &amp; $B23)</f>
        <v>#REF!</v>
      </c>
      <c r="D23" s="324" t="e" cm="1">
        <f t="array" aca="1" ref="D23" ca="1">INDIRECT("'"&amp;$A23&amp;"'!"&amp; "g" &amp; $B23)</f>
        <v>#REF!</v>
      </c>
      <c r="E23" s="324" t="e" cm="1">
        <f t="array" aca="1" ref="E23" ca="1">INDIRECT("'"&amp;$A23&amp;"'!"&amp; "H" &amp; $B23)</f>
        <v>#REF!</v>
      </c>
      <c r="F23" s="324" t="e" cm="1">
        <f t="array" aca="1" ref="F23" ca="1">INDIRECT("'"&amp;$A23&amp;"'!"&amp; "I" &amp; $B23)</f>
        <v>#REF!</v>
      </c>
      <c r="G23" s="324" t="e" cm="1">
        <f t="array" aca="1" ref="G23" ca="1">INDIRECT("'"&amp;$A23&amp;"'!"&amp; "J" &amp; $B23)</f>
        <v>#REF!</v>
      </c>
      <c r="H23" s="324" t="e" cm="1">
        <f t="array" aca="1" ref="H23" ca="1">INDIRECT("'"&amp;$A23&amp;"'!"&amp; "K" &amp; $B23)</f>
        <v>#REF!</v>
      </c>
      <c r="I23" s="324" t="e" cm="1">
        <f t="array" aca="1" ref="I23" ca="1">INDIRECT("'"&amp;$A23&amp;"'!"&amp; "L" &amp; $B23)</f>
        <v>#REF!</v>
      </c>
      <c r="J23" s="324" t="e" cm="1">
        <f t="array" aca="1" ref="J23" ca="1">INDIRECT("'"&amp;$A23&amp;"'!"&amp; "M" &amp; $B23)</f>
        <v>#REF!</v>
      </c>
      <c r="K23" s="324" t="e" cm="1">
        <f t="array" aca="1" ref="K23" ca="1">INDIRECT("'"&amp;$A23&amp;"'!"&amp; "N" &amp; $B23)</f>
        <v>#REF!</v>
      </c>
      <c r="L23" s="324" t="e" cm="1">
        <f t="array" aca="1" ref="L23" ca="1">INDIRECT("'"&amp;$A23&amp;"'!"&amp; "O" &amp; $B23)</f>
        <v>#REF!</v>
      </c>
      <c r="M23" s="324" t="e" cm="1">
        <f t="array" aca="1" ref="M23" ca="1">INDIRECT("'"&amp;$A23&amp;"'!"&amp; "P" &amp; $B23)</f>
        <v>#REF!</v>
      </c>
      <c r="N23" s="324" t="e" cm="1">
        <f t="array" aca="1" ref="N23" ca="1">INDIRECT("'"&amp;$A23&amp;"'!"&amp; "Q" &amp; $B23)</f>
        <v>#REF!</v>
      </c>
      <c r="O23" s="324" t="e" cm="1">
        <f t="array" aca="1" ref="O23" ca="1">INDIRECT("'"&amp;$A23&amp;"'!"&amp; "R" &amp; $B23)</f>
        <v>#REF!</v>
      </c>
      <c r="P23" s="324" t="e" cm="1">
        <f t="array" aca="1" ref="P23" ca="1">INDIRECT("'"&amp;$A23&amp;"'!"&amp; "S" &amp; $B23)</f>
        <v>#REF!</v>
      </c>
      <c r="Q23" s="324" t="e" cm="1">
        <f t="array" aca="1" ref="Q23" ca="1">INDIRECT("'"&amp;$A23&amp;"'!"&amp; "T" &amp; $B23)</f>
        <v>#REF!</v>
      </c>
      <c r="R23" s="324" t="e" cm="1">
        <f t="array" aca="1" ref="R23" ca="1">INDIRECT("'"&amp;$A23&amp;"'!"&amp; "U" &amp; $B23)</f>
        <v>#REF!</v>
      </c>
      <c r="S23" s="324" t="e" cm="1">
        <f t="array" aca="1" ref="S23" ca="1">INDIRECT("'"&amp;$A23&amp;"'!"&amp; "V" &amp; $B23)</f>
        <v>#REF!</v>
      </c>
      <c r="T23" s="324" t="e" cm="1">
        <f t="array" aca="1" ref="T23" ca="1">INDIRECT("'"&amp;$A23&amp;"'!"&amp; "W" &amp; $B23)</f>
        <v>#REF!</v>
      </c>
      <c r="U23" s="324" t="e" cm="1">
        <f t="array" aca="1" ref="U23" ca="1">INDIRECT("'"&amp;$A23&amp;"'!"&amp; "X" &amp; $B23)</f>
        <v>#REF!</v>
      </c>
      <c r="V23" s="324" t="e" cm="1">
        <f t="array" aca="1" ref="V23" ca="1">INDIRECT("'"&amp;$A23&amp;"'!"&amp; "Y" &amp; $B23)</f>
        <v>#REF!</v>
      </c>
      <c r="W23" s="324" t="e" cm="1">
        <f t="array" aca="1" ref="W23" ca="1">INDIRECT("'"&amp;$A23&amp;"'!"&amp; "Z" &amp; $B23)</f>
        <v>#REF!</v>
      </c>
      <c r="X23" s="324" t="e" cm="1">
        <f t="array" aca="1" ref="X23" ca="1">INDIRECT("'"&amp;$A23&amp;"'!"&amp; "AA" &amp; $B23)</f>
        <v>#REF!</v>
      </c>
      <c r="Y23" s="324" t="e" cm="1">
        <f t="array" aca="1" ref="Y23" ca="1">INDIRECT("'"&amp;$A23&amp;"'!"&amp; "AB" &amp; $B23)</f>
        <v>#REF!</v>
      </c>
      <c r="Z23" s="324" t="e" cm="1">
        <f t="array" aca="1" ref="Z23" ca="1">INDIRECT("'"&amp;$A23&amp;"'!"&amp; "AC" &amp; $B23)</f>
        <v>#REF!</v>
      </c>
    </row>
    <row r="24" spans="1:26" x14ac:dyDescent="0.25">
      <c r="A24" s="80">
        <v>22</v>
      </c>
      <c r="B24" s="80">
        <v>106</v>
      </c>
      <c r="C24" s="324" t="e" cm="1">
        <f t="array" aca="1" ref="C24" ca="1">INDIRECT("'"&amp;$A24&amp;"'!"&amp; "F" &amp; $B24)</f>
        <v>#REF!</v>
      </c>
      <c r="D24" s="324" t="e" cm="1">
        <f t="array" aca="1" ref="D24" ca="1">INDIRECT("'"&amp;$A24&amp;"'!"&amp; "g" &amp; $B24)</f>
        <v>#REF!</v>
      </c>
      <c r="E24" s="324" t="e" cm="1">
        <f t="array" aca="1" ref="E24" ca="1">INDIRECT("'"&amp;$A24&amp;"'!"&amp; "H" &amp; $B24)</f>
        <v>#REF!</v>
      </c>
      <c r="F24" s="324" t="e" cm="1">
        <f t="array" aca="1" ref="F24" ca="1">INDIRECT("'"&amp;$A24&amp;"'!"&amp; "I" &amp; $B24)</f>
        <v>#REF!</v>
      </c>
      <c r="G24" s="324" t="e" cm="1">
        <f t="array" aca="1" ref="G24" ca="1">INDIRECT("'"&amp;$A24&amp;"'!"&amp; "J" &amp; $B24)</f>
        <v>#REF!</v>
      </c>
      <c r="H24" s="324" t="e" cm="1">
        <f t="array" aca="1" ref="H24" ca="1">INDIRECT("'"&amp;$A24&amp;"'!"&amp; "K" &amp; $B24)</f>
        <v>#REF!</v>
      </c>
      <c r="I24" s="324" t="e" cm="1">
        <f t="array" aca="1" ref="I24" ca="1">INDIRECT("'"&amp;$A24&amp;"'!"&amp; "L" &amp; $B24)</f>
        <v>#REF!</v>
      </c>
      <c r="J24" s="324" t="e" cm="1">
        <f t="array" aca="1" ref="J24" ca="1">INDIRECT("'"&amp;$A24&amp;"'!"&amp; "M" &amp; $B24)</f>
        <v>#REF!</v>
      </c>
      <c r="K24" s="324" t="e" cm="1">
        <f t="array" aca="1" ref="K24" ca="1">INDIRECT("'"&amp;$A24&amp;"'!"&amp; "N" &amp; $B24)</f>
        <v>#REF!</v>
      </c>
      <c r="L24" s="324" t="e" cm="1">
        <f t="array" aca="1" ref="L24" ca="1">INDIRECT("'"&amp;$A24&amp;"'!"&amp; "O" &amp; $B24)</f>
        <v>#REF!</v>
      </c>
      <c r="M24" s="324" t="e" cm="1">
        <f t="array" aca="1" ref="M24" ca="1">INDIRECT("'"&amp;$A24&amp;"'!"&amp; "P" &amp; $B24)</f>
        <v>#REF!</v>
      </c>
      <c r="N24" s="324" t="e" cm="1">
        <f t="array" aca="1" ref="N24" ca="1">INDIRECT("'"&amp;$A24&amp;"'!"&amp; "Q" &amp; $B24)</f>
        <v>#REF!</v>
      </c>
      <c r="O24" s="324" t="e" cm="1">
        <f t="array" aca="1" ref="O24" ca="1">INDIRECT("'"&amp;$A24&amp;"'!"&amp; "R" &amp; $B24)</f>
        <v>#REF!</v>
      </c>
      <c r="P24" s="324" t="e" cm="1">
        <f t="array" aca="1" ref="P24" ca="1">INDIRECT("'"&amp;$A24&amp;"'!"&amp; "S" &amp; $B24)</f>
        <v>#REF!</v>
      </c>
      <c r="Q24" s="324" t="e" cm="1">
        <f t="array" aca="1" ref="Q24" ca="1">INDIRECT("'"&amp;$A24&amp;"'!"&amp; "T" &amp; $B24)</f>
        <v>#REF!</v>
      </c>
      <c r="R24" s="324" t="e" cm="1">
        <f t="array" aca="1" ref="R24" ca="1">INDIRECT("'"&amp;$A24&amp;"'!"&amp; "U" &amp; $B24)</f>
        <v>#REF!</v>
      </c>
      <c r="S24" s="324" t="e" cm="1">
        <f t="array" aca="1" ref="S24" ca="1">INDIRECT("'"&amp;$A24&amp;"'!"&amp; "V" &amp; $B24)</f>
        <v>#REF!</v>
      </c>
      <c r="T24" s="324" t="e" cm="1">
        <f t="array" aca="1" ref="T24" ca="1">INDIRECT("'"&amp;$A24&amp;"'!"&amp; "W" &amp; $B24)</f>
        <v>#REF!</v>
      </c>
      <c r="U24" s="324" t="e" cm="1">
        <f t="array" aca="1" ref="U24" ca="1">INDIRECT("'"&amp;$A24&amp;"'!"&amp; "X" &amp; $B24)</f>
        <v>#REF!</v>
      </c>
      <c r="V24" s="324" t="e" cm="1">
        <f t="array" aca="1" ref="V24" ca="1">INDIRECT("'"&amp;$A24&amp;"'!"&amp; "Y" &amp; $B24)</f>
        <v>#REF!</v>
      </c>
      <c r="W24" s="324" t="e" cm="1">
        <f t="array" aca="1" ref="W24" ca="1">INDIRECT("'"&amp;$A24&amp;"'!"&amp; "Z" &amp; $B24)</f>
        <v>#REF!</v>
      </c>
      <c r="X24" s="324" t="e" cm="1">
        <f t="array" aca="1" ref="X24" ca="1">INDIRECT("'"&amp;$A24&amp;"'!"&amp; "AA" &amp; $B24)</f>
        <v>#REF!</v>
      </c>
      <c r="Y24" s="324" t="e" cm="1">
        <f t="array" aca="1" ref="Y24" ca="1">INDIRECT("'"&amp;$A24&amp;"'!"&amp; "AB" &amp; $B24)</f>
        <v>#REF!</v>
      </c>
      <c r="Z24" s="324" t="e" cm="1">
        <f t="array" aca="1" ref="Z24" ca="1">INDIRECT("'"&amp;$A24&amp;"'!"&amp; "AC" &amp; $B24)</f>
        <v>#REF!</v>
      </c>
    </row>
    <row r="25" spans="1:26" x14ac:dyDescent="0.25">
      <c r="A25" s="80">
        <v>23</v>
      </c>
      <c r="B25" s="80">
        <v>106</v>
      </c>
      <c r="C25" s="324" t="e" cm="1">
        <f t="array" aca="1" ref="C25" ca="1">INDIRECT("'"&amp;$A25&amp;"'!"&amp; "F" &amp; $B25)</f>
        <v>#REF!</v>
      </c>
      <c r="D25" s="324" t="e" cm="1">
        <f t="array" aca="1" ref="D25" ca="1">INDIRECT("'"&amp;$A25&amp;"'!"&amp; "g" &amp; $B25)</f>
        <v>#REF!</v>
      </c>
      <c r="E25" s="324" t="e" cm="1">
        <f t="array" aca="1" ref="E25" ca="1">INDIRECT("'"&amp;$A25&amp;"'!"&amp; "H" &amp; $B25)</f>
        <v>#REF!</v>
      </c>
      <c r="F25" s="324" t="e" cm="1">
        <f t="array" aca="1" ref="F25" ca="1">INDIRECT("'"&amp;$A25&amp;"'!"&amp; "I" &amp; $B25)</f>
        <v>#REF!</v>
      </c>
      <c r="G25" s="324" t="e" cm="1">
        <f t="array" aca="1" ref="G25" ca="1">INDIRECT("'"&amp;$A25&amp;"'!"&amp; "J" &amp; $B25)</f>
        <v>#REF!</v>
      </c>
      <c r="H25" s="324" t="e" cm="1">
        <f t="array" aca="1" ref="H25" ca="1">INDIRECT("'"&amp;$A25&amp;"'!"&amp; "K" &amp; $B25)</f>
        <v>#REF!</v>
      </c>
      <c r="I25" s="324" t="e" cm="1">
        <f t="array" aca="1" ref="I25" ca="1">INDIRECT("'"&amp;$A25&amp;"'!"&amp; "L" &amp; $B25)</f>
        <v>#REF!</v>
      </c>
      <c r="J25" s="324" t="e" cm="1">
        <f t="array" aca="1" ref="J25" ca="1">INDIRECT("'"&amp;$A25&amp;"'!"&amp; "M" &amp; $B25)</f>
        <v>#REF!</v>
      </c>
      <c r="K25" s="324" t="e" cm="1">
        <f t="array" aca="1" ref="K25" ca="1">INDIRECT("'"&amp;$A25&amp;"'!"&amp; "N" &amp; $B25)</f>
        <v>#REF!</v>
      </c>
      <c r="L25" s="324" t="e" cm="1">
        <f t="array" aca="1" ref="L25" ca="1">INDIRECT("'"&amp;$A25&amp;"'!"&amp; "O" &amp; $B25)</f>
        <v>#REF!</v>
      </c>
      <c r="M25" s="324" t="e" cm="1">
        <f t="array" aca="1" ref="M25" ca="1">INDIRECT("'"&amp;$A25&amp;"'!"&amp; "P" &amp; $B25)</f>
        <v>#REF!</v>
      </c>
      <c r="N25" s="324" t="e" cm="1">
        <f t="array" aca="1" ref="N25" ca="1">INDIRECT("'"&amp;$A25&amp;"'!"&amp; "Q" &amp; $B25)</f>
        <v>#REF!</v>
      </c>
      <c r="O25" s="324" t="e" cm="1">
        <f t="array" aca="1" ref="O25" ca="1">INDIRECT("'"&amp;$A25&amp;"'!"&amp; "R" &amp; $B25)</f>
        <v>#REF!</v>
      </c>
      <c r="P25" s="324" t="e" cm="1">
        <f t="array" aca="1" ref="P25" ca="1">INDIRECT("'"&amp;$A25&amp;"'!"&amp; "S" &amp; $B25)</f>
        <v>#REF!</v>
      </c>
      <c r="Q25" s="324" t="e" cm="1">
        <f t="array" aca="1" ref="Q25" ca="1">INDIRECT("'"&amp;$A25&amp;"'!"&amp; "T" &amp; $B25)</f>
        <v>#REF!</v>
      </c>
      <c r="R25" s="324" t="e" cm="1">
        <f t="array" aca="1" ref="R25" ca="1">INDIRECT("'"&amp;$A25&amp;"'!"&amp; "U" &amp; $B25)</f>
        <v>#REF!</v>
      </c>
      <c r="S25" s="324" t="e" cm="1">
        <f t="array" aca="1" ref="S25" ca="1">INDIRECT("'"&amp;$A25&amp;"'!"&amp; "V" &amp; $B25)</f>
        <v>#REF!</v>
      </c>
      <c r="T25" s="324" t="e" cm="1">
        <f t="array" aca="1" ref="T25" ca="1">INDIRECT("'"&amp;$A25&amp;"'!"&amp; "W" &amp; $B25)</f>
        <v>#REF!</v>
      </c>
      <c r="U25" s="324" t="e" cm="1">
        <f t="array" aca="1" ref="U25" ca="1">INDIRECT("'"&amp;$A25&amp;"'!"&amp; "X" &amp; $B25)</f>
        <v>#REF!</v>
      </c>
      <c r="V25" s="324" t="e" cm="1">
        <f t="array" aca="1" ref="V25" ca="1">INDIRECT("'"&amp;$A25&amp;"'!"&amp; "Y" &amp; $B25)</f>
        <v>#REF!</v>
      </c>
      <c r="W25" s="324" t="e" cm="1">
        <f t="array" aca="1" ref="W25" ca="1">INDIRECT("'"&amp;$A25&amp;"'!"&amp; "Z" &amp; $B25)</f>
        <v>#REF!</v>
      </c>
      <c r="X25" s="324" t="e" cm="1">
        <f t="array" aca="1" ref="X25" ca="1">INDIRECT("'"&amp;$A25&amp;"'!"&amp; "AA" &amp; $B25)</f>
        <v>#REF!</v>
      </c>
      <c r="Y25" s="324" t="e" cm="1">
        <f t="array" aca="1" ref="Y25" ca="1">INDIRECT("'"&amp;$A25&amp;"'!"&amp; "AB" &amp; $B25)</f>
        <v>#REF!</v>
      </c>
      <c r="Z25" s="324" t="e" cm="1">
        <f t="array" aca="1" ref="Z25" ca="1">INDIRECT("'"&amp;$A25&amp;"'!"&amp; "AC" &amp; $B25)</f>
        <v>#REF!</v>
      </c>
    </row>
    <row r="26" spans="1:26" x14ac:dyDescent="0.25">
      <c r="A26" s="80">
        <v>24</v>
      </c>
      <c r="B26" s="80">
        <v>106</v>
      </c>
      <c r="C26" s="324" t="e" cm="1">
        <f t="array" aca="1" ref="C26" ca="1">INDIRECT("'"&amp;$A26&amp;"'!"&amp; "F" &amp; $B26)</f>
        <v>#REF!</v>
      </c>
      <c r="D26" s="324" t="e" cm="1">
        <f t="array" aca="1" ref="D26" ca="1">INDIRECT("'"&amp;$A26&amp;"'!"&amp; "g" &amp; $B26)</f>
        <v>#REF!</v>
      </c>
      <c r="E26" s="324" t="e" cm="1">
        <f t="array" aca="1" ref="E26" ca="1">INDIRECT("'"&amp;$A26&amp;"'!"&amp; "H" &amp; $B26)</f>
        <v>#REF!</v>
      </c>
      <c r="F26" s="324" t="e" cm="1">
        <f t="array" aca="1" ref="F26" ca="1">INDIRECT("'"&amp;$A26&amp;"'!"&amp; "I" &amp; $B26)</f>
        <v>#REF!</v>
      </c>
      <c r="G26" s="324" t="e" cm="1">
        <f t="array" aca="1" ref="G26" ca="1">INDIRECT("'"&amp;$A26&amp;"'!"&amp; "J" &amp; $B26)</f>
        <v>#REF!</v>
      </c>
      <c r="H26" s="324" t="e" cm="1">
        <f t="array" aca="1" ref="H26" ca="1">INDIRECT("'"&amp;$A26&amp;"'!"&amp; "K" &amp; $B26)</f>
        <v>#REF!</v>
      </c>
      <c r="I26" s="324" t="e" cm="1">
        <f t="array" aca="1" ref="I26" ca="1">INDIRECT("'"&amp;$A26&amp;"'!"&amp; "L" &amp; $B26)</f>
        <v>#REF!</v>
      </c>
      <c r="J26" s="324" t="e" cm="1">
        <f t="array" aca="1" ref="J26" ca="1">INDIRECT("'"&amp;$A26&amp;"'!"&amp; "M" &amp; $B26)</f>
        <v>#REF!</v>
      </c>
      <c r="K26" s="324" t="e" cm="1">
        <f t="array" aca="1" ref="K26" ca="1">INDIRECT("'"&amp;$A26&amp;"'!"&amp; "N" &amp; $B26)</f>
        <v>#REF!</v>
      </c>
      <c r="L26" s="324" t="e" cm="1">
        <f t="array" aca="1" ref="L26" ca="1">INDIRECT("'"&amp;$A26&amp;"'!"&amp; "O" &amp; $B26)</f>
        <v>#REF!</v>
      </c>
      <c r="M26" s="324" t="e" cm="1">
        <f t="array" aca="1" ref="M26" ca="1">INDIRECT("'"&amp;$A26&amp;"'!"&amp; "P" &amp; $B26)</f>
        <v>#REF!</v>
      </c>
      <c r="N26" s="324" t="e" cm="1">
        <f t="array" aca="1" ref="N26" ca="1">INDIRECT("'"&amp;$A26&amp;"'!"&amp; "Q" &amp; $B26)</f>
        <v>#REF!</v>
      </c>
      <c r="O26" s="324" t="e" cm="1">
        <f t="array" aca="1" ref="O26" ca="1">INDIRECT("'"&amp;$A26&amp;"'!"&amp; "R" &amp; $B26)</f>
        <v>#REF!</v>
      </c>
      <c r="P26" s="324" t="e" cm="1">
        <f t="array" aca="1" ref="P26" ca="1">INDIRECT("'"&amp;$A26&amp;"'!"&amp; "S" &amp; $B26)</f>
        <v>#REF!</v>
      </c>
      <c r="Q26" s="324" t="e" cm="1">
        <f t="array" aca="1" ref="Q26" ca="1">INDIRECT("'"&amp;$A26&amp;"'!"&amp; "T" &amp; $B26)</f>
        <v>#REF!</v>
      </c>
      <c r="R26" s="324" t="e" cm="1">
        <f t="array" aca="1" ref="R26" ca="1">INDIRECT("'"&amp;$A26&amp;"'!"&amp; "U" &amp; $B26)</f>
        <v>#REF!</v>
      </c>
      <c r="S26" s="324" t="e" cm="1">
        <f t="array" aca="1" ref="S26" ca="1">INDIRECT("'"&amp;$A26&amp;"'!"&amp; "V" &amp; $B26)</f>
        <v>#REF!</v>
      </c>
      <c r="T26" s="324" t="e" cm="1">
        <f t="array" aca="1" ref="T26" ca="1">INDIRECT("'"&amp;$A26&amp;"'!"&amp; "W" &amp; $B26)</f>
        <v>#REF!</v>
      </c>
      <c r="U26" s="324" t="e" cm="1">
        <f t="array" aca="1" ref="U26" ca="1">INDIRECT("'"&amp;$A26&amp;"'!"&amp; "X" &amp; $B26)</f>
        <v>#REF!</v>
      </c>
      <c r="V26" s="324" t="e" cm="1">
        <f t="array" aca="1" ref="V26" ca="1">INDIRECT("'"&amp;$A26&amp;"'!"&amp; "Y" &amp; $B26)</f>
        <v>#REF!</v>
      </c>
      <c r="W26" s="324" t="e" cm="1">
        <f t="array" aca="1" ref="W26" ca="1">INDIRECT("'"&amp;$A26&amp;"'!"&amp; "Z" &amp; $B26)</f>
        <v>#REF!</v>
      </c>
      <c r="X26" s="324" t="e" cm="1">
        <f t="array" aca="1" ref="X26" ca="1">INDIRECT("'"&amp;$A26&amp;"'!"&amp; "AA" &amp; $B26)</f>
        <v>#REF!</v>
      </c>
      <c r="Y26" s="324" t="e" cm="1">
        <f t="array" aca="1" ref="Y26" ca="1">INDIRECT("'"&amp;$A26&amp;"'!"&amp; "AB" &amp; $B26)</f>
        <v>#REF!</v>
      </c>
      <c r="Z26" s="324" t="e" cm="1">
        <f t="array" aca="1" ref="Z26" ca="1">INDIRECT("'"&amp;$A26&amp;"'!"&amp; "AC" &amp; $B26)</f>
        <v>#REF!</v>
      </c>
    </row>
    <row r="27" spans="1:26" x14ac:dyDescent="0.25">
      <c r="A27" s="80">
        <v>25</v>
      </c>
      <c r="B27" s="80">
        <v>106</v>
      </c>
      <c r="C27" s="324" t="e" cm="1">
        <f t="array" aca="1" ref="C27" ca="1">INDIRECT("'"&amp;$A27&amp;"'!"&amp; "F" &amp; $B27)</f>
        <v>#REF!</v>
      </c>
      <c r="D27" s="324" t="e" cm="1">
        <f t="array" aca="1" ref="D27" ca="1">INDIRECT("'"&amp;$A27&amp;"'!"&amp; "g" &amp; $B27)</f>
        <v>#REF!</v>
      </c>
      <c r="E27" s="324" t="e" cm="1">
        <f t="array" aca="1" ref="E27" ca="1">INDIRECT("'"&amp;$A27&amp;"'!"&amp; "H" &amp; $B27)</f>
        <v>#REF!</v>
      </c>
      <c r="F27" s="324" t="e" cm="1">
        <f t="array" aca="1" ref="F27" ca="1">INDIRECT("'"&amp;$A27&amp;"'!"&amp; "I" &amp; $B27)</f>
        <v>#REF!</v>
      </c>
      <c r="G27" s="324" t="e" cm="1">
        <f t="array" aca="1" ref="G27" ca="1">INDIRECT("'"&amp;$A27&amp;"'!"&amp; "J" &amp; $B27)</f>
        <v>#REF!</v>
      </c>
      <c r="H27" s="324" t="e" cm="1">
        <f t="array" aca="1" ref="H27" ca="1">INDIRECT("'"&amp;$A27&amp;"'!"&amp; "K" &amp; $B27)</f>
        <v>#REF!</v>
      </c>
      <c r="I27" s="324" t="e" cm="1">
        <f t="array" aca="1" ref="I27" ca="1">INDIRECT("'"&amp;$A27&amp;"'!"&amp; "L" &amp; $B27)</f>
        <v>#REF!</v>
      </c>
      <c r="J27" s="324" t="e" cm="1">
        <f t="array" aca="1" ref="J27" ca="1">INDIRECT("'"&amp;$A27&amp;"'!"&amp; "M" &amp; $B27)</f>
        <v>#REF!</v>
      </c>
      <c r="K27" s="324" t="e" cm="1">
        <f t="array" aca="1" ref="K27" ca="1">INDIRECT("'"&amp;$A27&amp;"'!"&amp; "N" &amp; $B27)</f>
        <v>#REF!</v>
      </c>
      <c r="L27" s="324" t="e" cm="1">
        <f t="array" aca="1" ref="L27" ca="1">INDIRECT("'"&amp;$A27&amp;"'!"&amp; "O" &amp; $B27)</f>
        <v>#REF!</v>
      </c>
      <c r="M27" s="324" t="e" cm="1">
        <f t="array" aca="1" ref="M27" ca="1">INDIRECT("'"&amp;$A27&amp;"'!"&amp; "P" &amp; $B27)</f>
        <v>#REF!</v>
      </c>
      <c r="N27" s="324" t="e" cm="1">
        <f t="array" aca="1" ref="N27" ca="1">INDIRECT("'"&amp;$A27&amp;"'!"&amp; "Q" &amp; $B27)</f>
        <v>#REF!</v>
      </c>
      <c r="O27" s="324" t="e" cm="1">
        <f t="array" aca="1" ref="O27" ca="1">INDIRECT("'"&amp;$A27&amp;"'!"&amp; "R" &amp; $B27)</f>
        <v>#REF!</v>
      </c>
      <c r="P27" s="324" t="e" cm="1">
        <f t="array" aca="1" ref="P27" ca="1">INDIRECT("'"&amp;$A27&amp;"'!"&amp; "S" &amp; $B27)</f>
        <v>#REF!</v>
      </c>
      <c r="Q27" s="324" t="e" cm="1">
        <f t="array" aca="1" ref="Q27" ca="1">INDIRECT("'"&amp;$A27&amp;"'!"&amp; "T" &amp; $B27)</f>
        <v>#REF!</v>
      </c>
      <c r="R27" s="324" t="e" cm="1">
        <f t="array" aca="1" ref="R27" ca="1">INDIRECT("'"&amp;$A27&amp;"'!"&amp; "U" &amp; $B27)</f>
        <v>#REF!</v>
      </c>
      <c r="S27" s="324" t="e" cm="1">
        <f t="array" aca="1" ref="S27" ca="1">INDIRECT("'"&amp;$A27&amp;"'!"&amp; "V" &amp; $B27)</f>
        <v>#REF!</v>
      </c>
      <c r="T27" s="324" t="e" cm="1">
        <f t="array" aca="1" ref="T27" ca="1">INDIRECT("'"&amp;$A27&amp;"'!"&amp; "W" &amp; $B27)</f>
        <v>#REF!</v>
      </c>
      <c r="U27" s="324" t="e" cm="1">
        <f t="array" aca="1" ref="U27" ca="1">INDIRECT("'"&amp;$A27&amp;"'!"&amp; "X" &amp; $B27)</f>
        <v>#REF!</v>
      </c>
      <c r="V27" s="324" t="e" cm="1">
        <f t="array" aca="1" ref="V27" ca="1">INDIRECT("'"&amp;$A27&amp;"'!"&amp; "Y" &amp; $B27)</f>
        <v>#REF!</v>
      </c>
      <c r="W27" s="324" t="e" cm="1">
        <f t="array" aca="1" ref="W27" ca="1">INDIRECT("'"&amp;$A27&amp;"'!"&amp; "Z" &amp; $B27)</f>
        <v>#REF!</v>
      </c>
      <c r="X27" s="324" t="e" cm="1">
        <f t="array" aca="1" ref="X27" ca="1">INDIRECT("'"&amp;$A27&amp;"'!"&amp; "AA" &amp; $B27)</f>
        <v>#REF!</v>
      </c>
      <c r="Y27" s="324" t="e" cm="1">
        <f t="array" aca="1" ref="Y27" ca="1">INDIRECT("'"&amp;$A27&amp;"'!"&amp; "AB" &amp; $B27)</f>
        <v>#REF!</v>
      </c>
      <c r="Z27" s="324" t="e" cm="1">
        <f t="array" aca="1" ref="Z27" ca="1">INDIRECT("'"&amp;$A27&amp;"'!"&amp; "AC" &amp; $B27)</f>
        <v>#REF!</v>
      </c>
    </row>
    <row r="28" spans="1:26" x14ac:dyDescent="0.25">
      <c r="A28" s="80">
        <v>26</v>
      </c>
      <c r="B28" s="80">
        <v>106</v>
      </c>
      <c r="C28" s="324" t="e" cm="1">
        <f t="array" aca="1" ref="C28" ca="1">INDIRECT("'"&amp;$A28&amp;"'!"&amp; "F" &amp; $B28)</f>
        <v>#REF!</v>
      </c>
      <c r="D28" s="324" t="e" cm="1">
        <f t="array" aca="1" ref="D28" ca="1">INDIRECT("'"&amp;$A28&amp;"'!"&amp; "g" &amp; $B28)</f>
        <v>#REF!</v>
      </c>
      <c r="E28" s="324" t="e" cm="1">
        <f t="array" aca="1" ref="E28" ca="1">INDIRECT("'"&amp;$A28&amp;"'!"&amp; "H" &amp; $B28)</f>
        <v>#REF!</v>
      </c>
      <c r="F28" s="324" t="e" cm="1">
        <f t="array" aca="1" ref="F28" ca="1">INDIRECT("'"&amp;$A28&amp;"'!"&amp; "I" &amp; $B28)</f>
        <v>#REF!</v>
      </c>
      <c r="G28" s="324" t="e" cm="1">
        <f t="array" aca="1" ref="G28" ca="1">INDIRECT("'"&amp;$A28&amp;"'!"&amp; "J" &amp; $B28)</f>
        <v>#REF!</v>
      </c>
      <c r="H28" s="324" t="e" cm="1">
        <f t="array" aca="1" ref="H28" ca="1">INDIRECT("'"&amp;$A28&amp;"'!"&amp; "K" &amp; $B28)</f>
        <v>#REF!</v>
      </c>
      <c r="I28" s="324" t="e" cm="1">
        <f t="array" aca="1" ref="I28" ca="1">INDIRECT("'"&amp;$A28&amp;"'!"&amp; "L" &amp; $B28)</f>
        <v>#REF!</v>
      </c>
      <c r="J28" s="324" t="e" cm="1">
        <f t="array" aca="1" ref="J28" ca="1">INDIRECT("'"&amp;$A28&amp;"'!"&amp; "M" &amp; $B28)</f>
        <v>#REF!</v>
      </c>
      <c r="K28" s="324" t="e" cm="1">
        <f t="array" aca="1" ref="K28" ca="1">INDIRECT("'"&amp;$A28&amp;"'!"&amp; "N" &amp; $B28)</f>
        <v>#REF!</v>
      </c>
      <c r="L28" s="324" t="e" cm="1">
        <f t="array" aca="1" ref="L28" ca="1">INDIRECT("'"&amp;$A28&amp;"'!"&amp; "O" &amp; $B28)</f>
        <v>#REF!</v>
      </c>
      <c r="M28" s="324" t="e" cm="1">
        <f t="array" aca="1" ref="M28" ca="1">INDIRECT("'"&amp;$A28&amp;"'!"&amp; "P" &amp; $B28)</f>
        <v>#REF!</v>
      </c>
      <c r="N28" s="324" t="e" cm="1">
        <f t="array" aca="1" ref="N28" ca="1">INDIRECT("'"&amp;$A28&amp;"'!"&amp; "Q" &amp; $B28)</f>
        <v>#REF!</v>
      </c>
      <c r="O28" s="324" t="e" cm="1">
        <f t="array" aca="1" ref="O28" ca="1">INDIRECT("'"&amp;$A28&amp;"'!"&amp; "R" &amp; $B28)</f>
        <v>#REF!</v>
      </c>
      <c r="P28" s="324" t="e" cm="1">
        <f t="array" aca="1" ref="P28" ca="1">INDIRECT("'"&amp;$A28&amp;"'!"&amp; "S" &amp; $B28)</f>
        <v>#REF!</v>
      </c>
      <c r="Q28" s="324" t="e" cm="1">
        <f t="array" aca="1" ref="Q28" ca="1">INDIRECT("'"&amp;$A28&amp;"'!"&amp; "T" &amp; $B28)</f>
        <v>#REF!</v>
      </c>
      <c r="R28" s="324" t="e" cm="1">
        <f t="array" aca="1" ref="R28" ca="1">INDIRECT("'"&amp;$A28&amp;"'!"&amp; "U" &amp; $B28)</f>
        <v>#REF!</v>
      </c>
      <c r="S28" s="324" t="e" cm="1">
        <f t="array" aca="1" ref="S28" ca="1">INDIRECT("'"&amp;$A28&amp;"'!"&amp; "V" &amp; $B28)</f>
        <v>#REF!</v>
      </c>
      <c r="T28" s="324" t="e" cm="1">
        <f t="array" aca="1" ref="T28" ca="1">INDIRECT("'"&amp;$A28&amp;"'!"&amp; "W" &amp; $B28)</f>
        <v>#REF!</v>
      </c>
      <c r="U28" s="324" t="e" cm="1">
        <f t="array" aca="1" ref="U28" ca="1">INDIRECT("'"&amp;$A28&amp;"'!"&amp; "X" &amp; $B28)</f>
        <v>#REF!</v>
      </c>
      <c r="V28" s="324" t="e" cm="1">
        <f t="array" aca="1" ref="V28" ca="1">INDIRECT("'"&amp;$A28&amp;"'!"&amp; "Y" &amp; $B28)</f>
        <v>#REF!</v>
      </c>
      <c r="W28" s="324" t="e" cm="1">
        <f t="array" aca="1" ref="W28" ca="1">INDIRECT("'"&amp;$A28&amp;"'!"&amp; "Z" &amp; $B28)</f>
        <v>#REF!</v>
      </c>
      <c r="X28" s="324" t="e" cm="1">
        <f t="array" aca="1" ref="X28" ca="1">INDIRECT("'"&amp;$A28&amp;"'!"&amp; "AA" &amp; $B28)</f>
        <v>#REF!</v>
      </c>
      <c r="Y28" s="324" t="e" cm="1">
        <f t="array" aca="1" ref="Y28" ca="1">INDIRECT("'"&amp;$A28&amp;"'!"&amp; "AB" &amp; $B28)</f>
        <v>#REF!</v>
      </c>
      <c r="Z28" s="324" t="e" cm="1">
        <f t="array" aca="1" ref="Z28" ca="1">INDIRECT("'"&amp;$A28&amp;"'!"&amp; "AC" &amp; $B28)</f>
        <v>#REF!</v>
      </c>
    </row>
    <row r="29" spans="1:26" x14ac:dyDescent="0.25">
      <c r="A29" s="80">
        <v>27</v>
      </c>
      <c r="B29" s="80">
        <v>106</v>
      </c>
      <c r="C29" s="324" t="e" cm="1">
        <f t="array" aca="1" ref="C29" ca="1">INDIRECT("'"&amp;$A29&amp;"'!"&amp; "F" &amp; $B29)</f>
        <v>#REF!</v>
      </c>
      <c r="D29" s="324" t="e" cm="1">
        <f t="array" aca="1" ref="D29" ca="1">INDIRECT("'"&amp;$A29&amp;"'!"&amp; "g" &amp; $B29)</f>
        <v>#REF!</v>
      </c>
      <c r="E29" s="324" t="e" cm="1">
        <f t="array" aca="1" ref="E29" ca="1">INDIRECT("'"&amp;$A29&amp;"'!"&amp; "H" &amp; $B29)</f>
        <v>#REF!</v>
      </c>
      <c r="F29" s="324" t="e" cm="1">
        <f t="array" aca="1" ref="F29" ca="1">INDIRECT("'"&amp;$A29&amp;"'!"&amp; "I" &amp; $B29)</f>
        <v>#REF!</v>
      </c>
      <c r="G29" s="324" t="e" cm="1">
        <f t="array" aca="1" ref="G29" ca="1">INDIRECT("'"&amp;$A29&amp;"'!"&amp; "J" &amp; $B29)</f>
        <v>#REF!</v>
      </c>
      <c r="H29" s="324" t="e" cm="1">
        <f t="array" aca="1" ref="H29" ca="1">INDIRECT("'"&amp;$A29&amp;"'!"&amp; "K" &amp; $B29)</f>
        <v>#REF!</v>
      </c>
      <c r="I29" s="324" t="e" cm="1">
        <f t="array" aca="1" ref="I29" ca="1">INDIRECT("'"&amp;$A29&amp;"'!"&amp; "L" &amp; $B29)</f>
        <v>#REF!</v>
      </c>
      <c r="J29" s="324" t="e" cm="1">
        <f t="array" aca="1" ref="J29" ca="1">INDIRECT("'"&amp;$A29&amp;"'!"&amp; "M" &amp; $B29)</f>
        <v>#REF!</v>
      </c>
      <c r="K29" s="324" t="e" cm="1">
        <f t="array" aca="1" ref="K29" ca="1">INDIRECT("'"&amp;$A29&amp;"'!"&amp; "N" &amp; $B29)</f>
        <v>#REF!</v>
      </c>
      <c r="L29" s="324" t="e" cm="1">
        <f t="array" aca="1" ref="L29" ca="1">INDIRECT("'"&amp;$A29&amp;"'!"&amp; "O" &amp; $B29)</f>
        <v>#REF!</v>
      </c>
      <c r="M29" s="324" t="e" cm="1">
        <f t="array" aca="1" ref="M29" ca="1">INDIRECT("'"&amp;$A29&amp;"'!"&amp; "P" &amp; $B29)</f>
        <v>#REF!</v>
      </c>
      <c r="N29" s="324" t="e" cm="1">
        <f t="array" aca="1" ref="N29" ca="1">INDIRECT("'"&amp;$A29&amp;"'!"&amp; "Q" &amp; $B29)</f>
        <v>#REF!</v>
      </c>
      <c r="O29" s="324" t="e" cm="1">
        <f t="array" aca="1" ref="O29" ca="1">INDIRECT("'"&amp;$A29&amp;"'!"&amp; "R" &amp; $B29)</f>
        <v>#REF!</v>
      </c>
      <c r="P29" s="324" t="e" cm="1">
        <f t="array" aca="1" ref="P29" ca="1">INDIRECT("'"&amp;$A29&amp;"'!"&amp; "S" &amp; $B29)</f>
        <v>#REF!</v>
      </c>
      <c r="Q29" s="324" t="e" cm="1">
        <f t="array" aca="1" ref="Q29" ca="1">INDIRECT("'"&amp;$A29&amp;"'!"&amp; "T" &amp; $B29)</f>
        <v>#REF!</v>
      </c>
      <c r="R29" s="324" t="e" cm="1">
        <f t="array" aca="1" ref="R29" ca="1">INDIRECT("'"&amp;$A29&amp;"'!"&amp; "U" &amp; $B29)</f>
        <v>#REF!</v>
      </c>
      <c r="S29" s="324" t="e" cm="1">
        <f t="array" aca="1" ref="S29" ca="1">INDIRECT("'"&amp;$A29&amp;"'!"&amp; "V" &amp; $B29)</f>
        <v>#REF!</v>
      </c>
      <c r="T29" s="324" t="e" cm="1">
        <f t="array" aca="1" ref="T29" ca="1">INDIRECT("'"&amp;$A29&amp;"'!"&amp; "W" &amp; $B29)</f>
        <v>#REF!</v>
      </c>
      <c r="U29" s="324" t="e" cm="1">
        <f t="array" aca="1" ref="U29" ca="1">INDIRECT("'"&amp;$A29&amp;"'!"&amp; "X" &amp; $B29)</f>
        <v>#REF!</v>
      </c>
      <c r="V29" s="324" t="e" cm="1">
        <f t="array" aca="1" ref="V29" ca="1">INDIRECT("'"&amp;$A29&amp;"'!"&amp; "Y" &amp; $B29)</f>
        <v>#REF!</v>
      </c>
      <c r="W29" s="324" t="e" cm="1">
        <f t="array" aca="1" ref="W29" ca="1">INDIRECT("'"&amp;$A29&amp;"'!"&amp; "Z" &amp; $B29)</f>
        <v>#REF!</v>
      </c>
      <c r="X29" s="324" t="e" cm="1">
        <f t="array" aca="1" ref="X29" ca="1">INDIRECT("'"&amp;$A29&amp;"'!"&amp; "AA" &amp; $B29)</f>
        <v>#REF!</v>
      </c>
      <c r="Y29" s="324" t="e" cm="1">
        <f t="array" aca="1" ref="Y29" ca="1">INDIRECT("'"&amp;$A29&amp;"'!"&amp; "AB" &amp; $B29)</f>
        <v>#REF!</v>
      </c>
      <c r="Z29" s="324" t="e" cm="1">
        <f t="array" aca="1" ref="Z29" ca="1">INDIRECT("'"&amp;$A29&amp;"'!"&amp; "AC" &amp; $B29)</f>
        <v>#REF!</v>
      </c>
    </row>
    <row r="30" spans="1:26" x14ac:dyDescent="0.25">
      <c r="A30" s="80">
        <v>28</v>
      </c>
      <c r="B30" s="80">
        <v>106</v>
      </c>
      <c r="C30" s="324" t="e" cm="1">
        <f t="array" aca="1" ref="C30" ca="1">INDIRECT("'"&amp;$A30&amp;"'!"&amp; "F" &amp; $B30)</f>
        <v>#REF!</v>
      </c>
      <c r="D30" s="324" t="e" cm="1">
        <f t="array" aca="1" ref="D30" ca="1">INDIRECT("'"&amp;$A30&amp;"'!"&amp; "g" &amp; $B30)</f>
        <v>#REF!</v>
      </c>
      <c r="E30" s="324" t="e" cm="1">
        <f t="array" aca="1" ref="E30" ca="1">INDIRECT("'"&amp;$A30&amp;"'!"&amp; "H" &amp; $B30)</f>
        <v>#REF!</v>
      </c>
      <c r="F30" s="324" t="e" cm="1">
        <f t="array" aca="1" ref="F30" ca="1">INDIRECT("'"&amp;$A30&amp;"'!"&amp; "I" &amp; $B30)</f>
        <v>#REF!</v>
      </c>
      <c r="G30" s="324" t="e" cm="1">
        <f t="array" aca="1" ref="G30" ca="1">INDIRECT("'"&amp;$A30&amp;"'!"&amp; "J" &amp; $B30)</f>
        <v>#REF!</v>
      </c>
      <c r="H30" s="324" t="e" cm="1">
        <f t="array" aca="1" ref="H30" ca="1">INDIRECT("'"&amp;$A30&amp;"'!"&amp; "K" &amp; $B30)</f>
        <v>#REF!</v>
      </c>
      <c r="I30" s="324" t="e" cm="1">
        <f t="array" aca="1" ref="I30" ca="1">INDIRECT("'"&amp;$A30&amp;"'!"&amp; "L" &amp; $B30)</f>
        <v>#REF!</v>
      </c>
      <c r="J30" s="324" t="e" cm="1">
        <f t="array" aca="1" ref="J30" ca="1">INDIRECT("'"&amp;$A30&amp;"'!"&amp; "M" &amp; $B30)</f>
        <v>#REF!</v>
      </c>
      <c r="K30" s="324" t="e" cm="1">
        <f t="array" aca="1" ref="K30" ca="1">INDIRECT("'"&amp;$A30&amp;"'!"&amp; "N" &amp; $B30)</f>
        <v>#REF!</v>
      </c>
      <c r="L30" s="324" t="e" cm="1">
        <f t="array" aca="1" ref="L30" ca="1">INDIRECT("'"&amp;$A30&amp;"'!"&amp; "O" &amp; $B30)</f>
        <v>#REF!</v>
      </c>
      <c r="M30" s="324" t="e" cm="1">
        <f t="array" aca="1" ref="M30" ca="1">INDIRECT("'"&amp;$A30&amp;"'!"&amp; "P" &amp; $B30)</f>
        <v>#REF!</v>
      </c>
      <c r="N30" s="324" t="e" cm="1">
        <f t="array" aca="1" ref="N30" ca="1">INDIRECT("'"&amp;$A30&amp;"'!"&amp; "Q" &amp; $B30)</f>
        <v>#REF!</v>
      </c>
      <c r="O30" s="324" t="e" cm="1">
        <f t="array" aca="1" ref="O30" ca="1">INDIRECT("'"&amp;$A30&amp;"'!"&amp; "R" &amp; $B30)</f>
        <v>#REF!</v>
      </c>
      <c r="P30" s="324" t="e" cm="1">
        <f t="array" aca="1" ref="P30" ca="1">INDIRECT("'"&amp;$A30&amp;"'!"&amp; "S" &amp; $B30)</f>
        <v>#REF!</v>
      </c>
      <c r="Q30" s="324" t="e" cm="1">
        <f t="array" aca="1" ref="Q30" ca="1">INDIRECT("'"&amp;$A30&amp;"'!"&amp; "T" &amp; $B30)</f>
        <v>#REF!</v>
      </c>
      <c r="R30" s="324" t="e" cm="1">
        <f t="array" aca="1" ref="R30" ca="1">INDIRECT("'"&amp;$A30&amp;"'!"&amp; "U" &amp; $B30)</f>
        <v>#REF!</v>
      </c>
      <c r="S30" s="324" t="e" cm="1">
        <f t="array" aca="1" ref="S30" ca="1">INDIRECT("'"&amp;$A30&amp;"'!"&amp; "V" &amp; $B30)</f>
        <v>#REF!</v>
      </c>
      <c r="T30" s="324" t="e" cm="1">
        <f t="array" aca="1" ref="T30" ca="1">INDIRECT("'"&amp;$A30&amp;"'!"&amp; "W" &amp; $B30)</f>
        <v>#REF!</v>
      </c>
      <c r="U30" s="324" t="e" cm="1">
        <f t="array" aca="1" ref="U30" ca="1">INDIRECT("'"&amp;$A30&amp;"'!"&amp; "X" &amp; $B30)</f>
        <v>#REF!</v>
      </c>
      <c r="V30" s="324" t="e" cm="1">
        <f t="array" aca="1" ref="V30" ca="1">INDIRECT("'"&amp;$A30&amp;"'!"&amp; "Y" &amp; $B30)</f>
        <v>#REF!</v>
      </c>
      <c r="W30" s="324" t="e" cm="1">
        <f t="array" aca="1" ref="W30" ca="1">INDIRECT("'"&amp;$A30&amp;"'!"&amp; "Z" &amp; $B30)</f>
        <v>#REF!</v>
      </c>
      <c r="X30" s="324" t="e" cm="1">
        <f t="array" aca="1" ref="X30" ca="1">INDIRECT("'"&amp;$A30&amp;"'!"&amp; "AA" &amp; $B30)</f>
        <v>#REF!</v>
      </c>
      <c r="Y30" s="324" t="e" cm="1">
        <f t="array" aca="1" ref="Y30" ca="1">INDIRECT("'"&amp;$A30&amp;"'!"&amp; "AB" &amp; $B30)</f>
        <v>#REF!</v>
      </c>
      <c r="Z30" s="324" t="e" cm="1">
        <f t="array" aca="1" ref="Z30" ca="1">INDIRECT("'"&amp;$A30&amp;"'!"&amp; "AC" &amp; $B30)</f>
        <v>#REF!</v>
      </c>
    </row>
    <row r="31" spans="1:26" x14ac:dyDescent="0.25">
      <c r="A31" s="80">
        <v>29</v>
      </c>
      <c r="B31" s="80">
        <v>106</v>
      </c>
      <c r="C31" s="324" t="e" cm="1">
        <f t="array" aca="1" ref="C31" ca="1">INDIRECT("'"&amp;$A31&amp;"'!"&amp; "F" &amp; $B31)</f>
        <v>#REF!</v>
      </c>
      <c r="D31" s="324" t="e" cm="1">
        <f t="array" aca="1" ref="D31" ca="1">INDIRECT("'"&amp;$A31&amp;"'!"&amp; "g" &amp; $B31)</f>
        <v>#REF!</v>
      </c>
      <c r="E31" s="324" t="e" cm="1">
        <f t="array" aca="1" ref="E31" ca="1">INDIRECT("'"&amp;$A31&amp;"'!"&amp; "H" &amp; $B31)</f>
        <v>#REF!</v>
      </c>
      <c r="F31" s="324" t="e" cm="1">
        <f t="array" aca="1" ref="F31" ca="1">INDIRECT("'"&amp;$A31&amp;"'!"&amp; "I" &amp; $B31)</f>
        <v>#REF!</v>
      </c>
      <c r="G31" s="324" t="e" cm="1">
        <f t="array" aca="1" ref="G31" ca="1">INDIRECT("'"&amp;$A31&amp;"'!"&amp; "J" &amp; $B31)</f>
        <v>#REF!</v>
      </c>
      <c r="H31" s="324" t="e" cm="1">
        <f t="array" aca="1" ref="H31" ca="1">INDIRECT("'"&amp;$A31&amp;"'!"&amp; "K" &amp; $B31)</f>
        <v>#REF!</v>
      </c>
      <c r="I31" s="324" t="e" cm="1">
        <f t="array" aca="1" ref="I31" ca="1">INDIRECT("'"&amp;$A31&amp;"'!"&amp; "L" &amp; $B31)</f>
        <v>#REF!</v>
      </c>
      <c r="J31" s="324" t="e" cm="1">
        <f t="array" aca="1" ref="J31" ca="1">INDIRECT("'"&amp;$A31&amp;"'!"&amp; "M" &amp; $B31)</f>
        <v>#REF!</v>
      </c>
      <c r="K31" s="324" t="e" cm="1">
        <f t="array" aca="1" ref="K31" ca="1">INDIRECT("'"&amp;$A31&amp;"'!"&amp; "N" &amp; $B31)</f>
        <v>#REF!</v>
      </c>
      <c r="L31" s="324" t="e" cm="1">
        <f t="array" aca="1" ref="L31" ca="1">INDIRECT("'"&amp;$A31&amp;"'!"&amp; "O" &amp; $B31)</f>
        <v>#REF!</v>
      </c>
      <c r="M31" s="324" t="e" cm="1">
        <f t="array" aca="1" ref="M31" ca="1">INDIRECT("'"&amp;$A31&amp;"'!"&amp; "P" &amp; $B31)</f>
        <v>#REF!</v>
      </c>
      <c r="N31" s="324" t="e" cm="1">
        <f t="array" aca="1" ref="N31" ca="1">INDIRECT("'"&amp;$A31&amp;"'!"&amp; "Q" &amp; $B31)</f>
        <v>#REF!</v>
      </c>
      <c r="O31" s="324" t="e" cm="1">
        <f t="array" aca="1" ref="O31" ca="1">INDIRECT("'"&amp;$A31&amp;"'!"&amp; "R" &amp; $B31)</f>
        <v>#REF!</v>
      </c>
      <c r="P31" s="324" t="e" cm="1">
        <f t="array" aca="1" ref="P31" ca="1">INDIRECT("'"&amp;$A31&amp;"'!"&amp; "S" &amp; $B31)</f>
        <v>#REF!</v>
      </c>
      <c r="Q31" s="324" t="e" cm="1">
        <f t="array" aca="1" ref="Q31" ca="1">INDIRECT("'"&amp;$A31&amp;"'!"&amp; "T" &amp; $B31)</f>
        <v>#REF!</v>
      </c>
      <c r="R31" s="324" t="e" cm="1">
        <f t="array" aca="1" ref="R31" ca="1">INDIRECT("'"&amp;$A31&amp;"'!"&amp; "U" &amp; $B31)</f>
        <v>#REF!</v>
      </c>
      <c r="S31" s="324" t="e" cm="1">
        <f t="array" aca="1" ref="S31" ca="1">INDIRECT("'"&amp;$A31&amp;"'!"&amp; "V" &amp; $B31)</f>
        <v>#REF!</v>
      </c>
      <c r="T31" s="324" t="e" cm="1">
        <f t="array" aca="1" ref="T31" ca="1">INDIRECT("'"&amp;$A31&amp;"'!"&amp; "W" &amp; $B31)</f>
        <v>#REF!</v>
      </c>
      <c r="U31" s="324" t="e" cm="1">
        <f t="array" aca="1" ref="U31" ca="1">INDIRECT("'"&amp;$A31&amp;"'!"&amp; "X" &amp; $B31)</f>
        <v>#REF!</v>
      </c>
      <c r="V31" s="324" t="e" cm="1">
        <f t="array" aca="1" ref="V31" ca="1">INDIRECT("'"&amp;$A31&amp;"'!"&amp; "Y" &amp; $B31)</f>
        <v>#REF!</v>
      </c>
      <c r="W31" s="324" t="e" cm="1">
        <f t="array" aca="1" ref="W31" ca="1">INDIRECT("'"&amp;$A31&amp;"'!"&amp; "Z" &amp; $B31)</f>
        <v>#REF!</v>
      </c>
      <c r="X31" s="324" t="e" cm="1">
        <f t="array" aca="1" ref="X31" ca="1">INDIRECT("'"&amp;$A31&amp;"'!"&amp; "AA" &amp; $B31)</f>
        <v>#REF!</v>
      </c>
      <c r="Y31" s="324" t="e" cm="1">
        <f t="array" aca="1" ref="Y31" ca="1">INDIRECT("'"&amp;$A31&amp;"'!"&amp; "AB" &amp; $B31)</f>
        <v>#REF!</v>
      </c>
      <c r="Z31" s="324" t="e" cm="1">
        <f t="array" aca="1" ref="Z31" ca="1">INDIRECT("'"&amp;$A31&amp;"'!"&amp; "AC" &amp; $B31)</f>
        <v>#REF!</v>
      </c>
    </row>
    <row r="32" spans="1:26" x14ac:dyDescent="0.25">
      <c r="A32" s="80">
        <v>30</v>
      </c>
      <c r="B32" s="80">
        <v>106</v>
      </c>
      <c r="C32" s="324" t="e" cm="1">
        <f t="array" aca="1" ref="C32" ca="1">INDIRECT("'"&amp;$A32&amp;"'!"&amp; "F" &amp; $B32)</f>
        <v>#REF!</v>
      </c>
      <c r="D32" s="324" t="e" cm="1">
        <f t="array" aca="1" ref="D32" ca="1">INDIRECT("'"&amp;$A32&amp;"'!"&amp; "g" &amp; $B32)</f>
        <v>#REF!</v>
      </c>
      <c r="E32" s="324" t="e" cm="1">
        <f t="array" aca="1" ref="E32" ca="1">INDIRECT("'"&amp;$A32&amp;"'!"&amp; "H" &amp; $B32)</f>
        <v>#REF!</v>
      </c>
      <c r="F32" s="324" t="e" cm="1">
        <f t="array" aca="1" ref="F32" ca="1">INDIRECT("'"&amp;$A32&amp;"'!"&amp; "I" &amp; $B32)</f>
        <v>#REF!</v>
      </c>
      <c r="G32" s="324" t="e" cm="1">
        <f t="array" aca="1" ref="G32" ca="1">INDIRECT("'"&amp;$A32&amp;"'!"&amp; "J" &amp; $B32)</f>
        <v>#REF!</v>
      </c>
      <c r="H32" s="324" t="e" cm="1">
        <f t="array" aca="1" ref="H32" ca="1">INDIRECT("'"&amp;$A32&amp;"'!"&amp; "K" &amp; $B32)</f>
        <v>#REF!</v>
      </c>
      <c r="I32" s="324" t="e" cm="1">
        <f t="array" aca="1" ref="I32" ca="1">INDIRECT("'"&amp;$A32&amp;"'!"&amp; "L" &amp; $B32)</f>
        <v>#REF!</v>
      </c>
      <c r="J32" s="324" t="e" cm="1">
        <f t="array" aca="1" ref="J32" ca="1">INDIRECT("'"&amp;$A32&amp;"'!"&amp; "M" &amp; $B32)</f>
        <v>#REF!</v>
      </c>
      <c r="K32" s="324" t="e" cm="1">
        <f t="array" aca="1" ref="K32" ca="1">INDIRECT("'"&amp;$A32&amp;"'!"&amp; "N" &amp; $B32)</f>
        <v>#REF!</v>
      </c>
      <c r="L32" s="324" t="e" cm="1">
        <f t="array" aca="1" ref="L32" ca="1">INDIRECT("'"&amp;$A32&amp;"'!"&amp; "O" &amp; $B32)</f>
        <v>#REF!</v>
      </c>
      <c r="M32" s="324" t="e" cm="1">
        <f t="array" aca="1" ref="M32" ca="1">INDIRECT("'"&amp;$A32&amp;"'!"&amp; "P" &amp; $B32)</f>
        <v>#REF!</v>
      </c>
      <c r="N32" s="324" t="e" cm="1">
        <f t="array" aca="1" ref="N32" ca="1">INDIRECT("'"&amp;$A32&amp;"'!"&amp; "Q" &amp; $B32)</f>
        <v>#REF!</v>
      </c>
      <c r="O32" s="324" t="e" cm="1">
        <f t="array" aca="1" ref="O32" ca="1">INDIRECT("'"&amp;$A32&amp;"'!"&amp; "R" &amp; $B32)</f>
        <v>#REF!</v>
      </c>
      <c r="P32" s="324" t="e" cm="1">
        <f t="array" aca="1" ref="P32" ca="1">INDIRECT("'"&amp;$A32&amp;"'!"&amp; "S" &amp; $B32)</f>
        <v>#REF!</v>
      </c>
      <c r="Q32" s="324" t="e" cm="1">
        <f t="array" aca="1" ref="Q32" ca="1">INDIRECT("'"&amp;$A32&amp;"'!"&amp; "T" &amp; $B32)</f>
        <v>#REF!</v>
      </c>
      <c r="R32" s="324" t="e" cm="1">
        <f t="array" aca="1" ref="R32" ca="1">INDIRECT("'"&amp;$A32&amp;"'!"&amp; "U" &amp; $B32)</f>
        <v>#REF!</v>
      </c>
      <c r="S32" s="324" t="e" cm="1">
        <f t="array" aca="1" ref="S32" ca="1">INDIRECT("'"&amp;$A32&amp;"'!"&amp; "V" &amp; $B32)</f>
        <v>#REF!</v>
      </c>
      <c r="T32" s="324" t="e" cm="1">
        <f t="array" aca="1" ref="T32" ca="1">INDIRECT("'"&amp;$A32&amp;"'!"&amp; "W" &amp; $B32)</f>
        <v>#REF!</v>
      </c>
      <c r="U32" s="324" t="e" cm="1">
        <f t="array" aca="1" ref="U32" ca="1">INDIRECT("'"&amp;$A32&amp;"'!"&amp; "X" &amp; $B32)</f>
        <v>#REF!</v>
      </c>
      <c r="V32" s="324" t="e" cm="1">
        <f t="array" aca="1" ref="V32" ca="1">INDIRECT("'"&amp;$A32&amp;"'!"&amp; "Y" &amp; $B32)</f>
        <v>#REF!</v>
      </c>
      <c r="W32" s="324" t="e" cm="1">
        <f t="array" aca="1" ref="W32" ca="1">INDIRECT("'"&amp;$A32&amp;"'!"&amp; "Z" &amp; $B32)</f>
        <v>#REF!</v>
      </c>
      <c r="X32" s="324" t="e" cm="1">
        <f t="array" aca="1" ref="X32" ca="1">INDIRECT("'"&amp;$A32&amp;"'!"&amp; "AA" &amp; $B32)</f>
        <v>#REF!</v>
      </c>
      <c r="Y32" s="324" t="e" cm="1">
        <f t="array" aca="1" ref="Y32" ca="1">INDIRECT("'"&amp;$A32&amp;"'!"&amp; "AB" &amp; $B32)</f>
        <v>#REF!</v>
      </c>
      <c r="Z32" s="324" t="e" cm="1">
        <f t="array" aca="1" ref="Z32" ca="1">INDIRECT("'"&amp;$A32&amp;"'!"&amp; "AC" &amp; $B32)</f>
        <v>#REF!</v>
      </c>
    </row>
    <row r="33" spans="1:26" x14ac:dyDescent="0.25">
      <c r="A33" s="80">
        <v>31</v>
      </c>
      <c r="B33" s="80">
        <v>106</v>
      </c>
      <c r="C33" s="324" t="e" cm="1">
        <f t="array" aca="1" ref="C33" ca="1">INDIRECT("'"&amp;$A33&amp;"'!"&amp; "F" &amp; $B33)</f>
        <v>#REF!</v>
      </c>
      <c r="D33" s="324" t="e" cm="1">
        <f t="array" aca="1" ref="D33" ca="1">INDIRECT("'"&amp;$A33&amp;"'!"&amp; "g" &amp; $B33)</f>
        <v>#REF!</v>
      </c>
      <c r="E33" s="324" t="e" cm="1">
        <f t="array" aca="1" ref="E33" ca="1">INDIRECT("'"&amp;$A33&amp;"'!"&amp; "H" &amp; $B33)</f>
        <v>#REF!</v>
      </c>
      <c r="F33" s="324" t="e" cm="1">
        <f t="array" aca="1" ref="F33" ca="1">INDIRECT("'"&amp;$A33&amp;"'!"&amp; "I" &amp; $B33)</f>
        <v>#REF!</v>
      </c>
      <c r="G33" s="324" t="e" cm="1">
        <f t="array" aca="1" ref="G33" ca="1">INDIRECT("'"&amp;$A33&amp;"'!"&amp; "J" &amp; $B33)</f>
        <v>#REF!</v>
      </c>
      <c r="H33" s="324" t="e" cm="1">
        <f t="array" aca="1" ref="H33" ca="1">INDIRECT("'"&amp;$A33&amp;"'!"&amp; "K" &amp; $B33)</f>
        <v>#REF!</v>
      </c>
      <c r="I33" s="324" t="e" cm="1">
        <f t="array" aca="1" ref="I33" ca="1">INDIRECT("'"&amp;$A33&amp;"'!"&amp; "L" &amp; $B33)</f>
        <v>#REF!</v>
      </c>
      <c r="J33" s="324" t="e" cm="1">
        <f t="array" aca="1" ref="J33" ca="1">INDIRECT("'"&amp;$A33&amp;"'!"&amp; "M" &amp; $B33)</f>
        <v>#REF!</v>
      </c>
      <c r="K33" s="324" t="e" cm="1">
        <f t="array" aca="1" ref="K33" ca="1">INDIRECT("'"&amp;$A33&amp;"'!"&amp; "N" &amp; $B33)</f>
        <v>#REF!</v>
      </c>
      <c r="L33" s="324" t="e" cm="1">
        <f t="array" aca="1" ref="L33" ca="1">INDIRECT("'"&amp;$A33&amp;"'!"&amp; "O" &amp; $B33)</f>
        <v>#REF!</v>
      </c>
      <c r="M33" s="324" t="e" cm="1">
        <f t="array" aca="1" ref="M33" ca="1">INDIRECT("'"&amp;$A33&amp;"'!"&amp; "P" &amp; $B33)</f>
        <v>#REF!</v>
      </c>
      <c r="N33" s="324" t="e" cm="1">
        <f t="array" aca="1" ref="N33" ca="1">INDIRECT("'"&amp;$A33&amp;"'!"&amp; "Q" &amp; $B33)</f>
        <v>#REF!</v>
      </c>
      <c r="O33" s="324" t="e" cm="1">
        <f t="array" aca="1" ref="O33" ca="1">INDIRECT("'"&amp;$A33&amp;"'!"&amp; "R" &amp; $B33)</f>
        <v>#REF!</v>
      </c>
      <c r="P33" s="324" t="e" cm="1">
        <f t="array" aca="1" ref="P33" ca="1">INDIRECT("'"&amp;$A33&amp;"'!"&amp; "S" &amp; $B33)</f>
        <v>#REF!</v>
      </c>
      <c r="Q33" s="324" t="e" cm="1">
        <f t="array" aca="1" ref="Q33" ca="1">INDIRECT("'"&amp;$A33&amp;"'!"&amp; "T" &amp; $B33)</f>
        <v>#REF!</v>
      </c>
      <c r="R33" s="324" t="e" cm="1">
        <f t="array" aca="1" ref="R33" ca="1">INDIRECT("'"&amp;$A33&amp;"'!"&amp; "U" &amp; $B33)</f>
        <v>#REF!</v>
      </c>
      <c r="S33" s="324" t="e" cm="1">
        <f t="array" aca="1" ref="S33" ca="1">INDIRECT("'"&amp;$A33&amp;"'!"&amp; "V" &amp; $B33)</f>
        <v>#REF!</v>
      </c>
      <c r="T33" s="324" t="e" cm="1">
        <f t="array" aca="1" ref="T33" ca="1">INDIRECT("'"&amp;$A33&amp;"'!"&amp; "W" &amp; $B33)</f>
        <v>#REF!</v>
      </c>
      <c r="U33" s="324" t="e" cm="1">
        <f t="array" aca="1" ref="U33" ca="1">INDIRECT("'"&amp;$A33&amp;"'!"&amp; "X" &amp; $B33)</f>
        <v>#REF!</v>
      </c>
      <c r="V33" s="324" t="e" cm="1">
        <f t="array" aca="1" ref="V33" ca="1">INDIRECT("'"&amp;$A33&amp;"'!"&amp; "Y" &amp; $B33)</f>
        <v>#REF!</v>
      </c>
      <c r="W33" s="324" t="e" cm="1">
        <f t="array" aca="1" ref="W33" ca="1">INDIRECT("'"&amp;$A33&amp;"'!"&amp; "Z" &amp; $B33)</f>
        <v>#REF!</v>
      </c>
      <c r="X33" s="324" t="e" cm="1">
        <f t="array" aca="1" ref="X33" ca="1">INDIRECT("'"&amp;$A33&amp;"'!"&amp; "AA" &amp; $B33)</f>
        <v>#REF!</v>
      </c>
      <c r="Y33" s="324" t="e" cm="1">
        <f t="array" aca="1" ref="Y33" ca="1">INDIRECT("'"&amp;$A33&amp;"'!"&amp; "AB" &amp; $B33)</f>
        <v>#REF!</v>
      </c>
      <c r="Z33" s="324" t="e" cm="1">
        <f t="array" aca="1" ref="Z33" ca="1">INDIRECT("'"&amp;$A33&amp;"'!"&amp; "AC" &amp; $B33)</f>
        <v>#REF!</v>
      </c>
    </row>
    <row r="35" spans="1:26" x14ac:dyDescent="0.25">
      <c r="A35" s="80">
        <v>1</v>
      </c>
      <c r="B35" s="80">
        <f t="shared" ref="B35:B65" si="0">B3+3</f>
        <v>105</v>
      </c>
      <c r="C35" s="324" cm="1">
        <f t="array" aca="1" ref="C35" ca="1">INDIRECT("'"&amp;$A35&amp;"'!"&amp; "F" &amp; $B35)</f>
        <v>60.12</v>
      </c>
      <c r="D35" s="324" cm="1">
        <f t="array" aca="1" ref="D35" ca="1">INDIRECT("'"&amp;$A35&amp;"'!"&amp; "g" &amp; $B35)</f>
        <v>60.1</v>
      </c>
      <c r="E35" s="324" cm="1">
        <f t="array" aca="1" ref="E35" ca="1">INDIRECT("'"&amp;$A35&amp;"'!"&amp; "H" &amp; $B35)</f>
        <v>60.12</v>
      </c>
      <c r="F35" s="324" cm="1">
        <f t="array" aca="1" ref="F35" ca="1">INDIRECT("'"&amp;$A35&amp;"'!"&amp; "I" &amp; $B35)</f>
        <v>60.22</v>
      </c>
      <c r="G35" s="324" cm="1">
        <f t="array" aca="1" ref="G35" ca="1">INDIRECT("'"&amp;$A35&amp;"'!"&amp; "J" &amp; $B35)</f>
        <v>60.32</v>
      </c>
      <c r="H35" s="324" cm="1">
        <f t="array" aca="1" ref="H35" ca="1">INDIRECT("'"&amp;$A35&amp;"'!"&amp; "K" &amp; $B35)</f>
        <v>60.34</v>
      </c>
      <c r="I35" s="324" cm="1">
        <f t="array" aca="1" ref="I35" ca="1">INDIRECT("'"&amp;$A35&amp;"'!"&amp; "L" &amp; $B35)</f>
        <v>60.22</v>
      </c>
      <c r="J35" s="324" cm="1">
        <f t="array" aca="1" ref="J35" ca="1">INDIRECT("'"&amp;$A35&amp;"'!"&amp; "M" &amp; $B35)</f>
        <v>60.18</v>
      </c>
      <c r="K35" s="324" cm="1">
        <f t="array" aca="1" ref="K35" ca="1">INDIRECT("'"&amp;$A35&amp;"'!"&amp; "N" &amp; $B35)</f>
        <v>60.05</v>
      </c>
      <c r="L35" s="324" cm="1">
        <f t="array" aca="1" ref="L35" ca="1">INDIRECT("'"&amp;$A35&amp;"'!"&amp; "O" &amp; $B35)</f>
        <v>60.07</v>
      </c>
      <c r="M35" s="324" cm="1">
        <f t="array" aca="1" ref="M35" ca="1">INDIRECT("'"&amp;$A35&amp;"'!"&amp; "P" &amp; $B35)</f>
        <v>60.08</v>
      </c>
      <c r="N35" s="324" cm="1">
        <f t="array" aca="1" ref="N35" ca="1">INDIRECT("'"&amp;$A35&amp;"'!"&amp; "Q" &amp; $B35)</f>
        <v>60.13</v>
      </c>
      <c r="O35" s="324" cm="1">
        <f t="array" aca="1" ref="O35" ca="1">INDIRECT("'"&amp;$A35&amp;"'!"&amp; "R" &amp; $B35)</f>
        <v>60.14</v>
      </c>
      <c r="P35" s="324" cm="1">
        <f t="array" aca="1" ref="P35" ca="1">INDIRECT("'"&amp;$A35&amp;"'!"&amp; "S" &amp; $B35)</f>
        <v>60.12</v>
      </c>
      <c r="Q35" s="324" cm="1">
        <f t="array" aca="1" ref="Q35" ca="1">INDIRECT("'"&amp;$A35&amp;"'!"&amp; "T" &amp; $B35)</f>
        <v>60.12</v>
      </c>
      <c r="R35" s="324" cm="1">
        <f t="array" aca="1" ref="R35" ca="1">INDIRECT("'"&amp;$A35&amp;"'!"&amp; "U" &amp; $B35)</f>
        <v>60.16</v>
      </c>
      <c r="S35" s="324" cm="1">
        <f t="array" aca="1" ref="S35" ca="1">INDIRECT("'"&amp;$A35&amp;"'!"&amp; "V" &amp; $B35)</f>
        <v>60.2</v>
      </c>
      <c r="T35" s="324" cm="1">
        <f t="array" aca="1" ref="T35" ca="1">INDIRECT("'"&amp;$A35&amp;"'!"&amp; "W" &amp; $B35)</f>
        <v>60.2</v>
      </c>
      <c r="U35" s="324" cm="1">
        <f t="array" aca="1" ref="U35" ca="1">INDIRECT("'"&amp;$A35&amp;"'!"&amp; "X" &amp; $B35)</f>
        <v>60.14</v>
      </c>
      <c r="V35" s="324" cm="1">
        <f t="array" aca="1" ref="V35" ca="1">INDIRECT("'"&amp;$A35&amp;"'!"&amp; "Y" &amp; $B35)</f>
        <v>60.14</v>
      </c>
      <c r="W35" s="324" cm="1">
        <f t="array" aca="1" ref="W35" ca="1">INDIRECT("'"&amp;$A35&amp;"'!"&amp; "Z" &amp; $B35)</f>
        <v>60.12</v>
      </c>
      <c r="X35" s="324" cm="1">
        <f t="array" aca="1" ref="X35" ca="1">INDIRECT("'"&amp;$A35&amp;"'!"&amp; "AA" &amp; $B35)</f>
        <v>60.2</v>
      </c>
      <c r="Y35" s="324" cm="1">
        <f t="array" aca="1" ref="Y35" ca="1">INDIRECT("'"&amp;$A35&amp;"'!"&amp; "AB" &amp; $B35)</f>
        <v>60.19</v>
      </c>
      <c r="Z35" s="324" cm="1">
        <f t="array" aca="1" ref="Z35" ca="1">INDIRECT("'"&amp;$A35&amp;"'!"&amp; "AC" &amp; $B35)</f>
        <v>60.15</v>
      </c>
    </row>
    <row r="36" spans="1:26" x14ac:dyDescent="0.25">
      <c r="A36" s="80">
        <v>2</v>
      </c>
      <c r="B36" s="80">
        <f t="shared" si="0"/>
        <v>105</v>
      </c>
      <c r="C36" s="324" cm="1">
        <f t="array" aca="1" ref="C36" ca="1">INDIRECT("'"&amp;$A36&amp;"'!"&amp; "F" &amp; $B36)</f>
        <v>60.23</v>
      </c>
      <c r="D36" s="324" cm="1">
        <f t="array" aca="1" ref="D36" ca="1">INDIRECT("'"&amp;$A36&amp;"'!"&amp; "g" &amp; $B36)</f>
        <v>60.08</v>
      </c>
      <c r="E36" s="324" cm="1">
        <f t="array" aca="1" ref="E36" ca="1">INDIRECT("'"&amp;$A36&amp;"'!"&amp; "H" &amp; $B36)</f>
        <v>60.14</v>
      </c>
      <c r="F36" s="324" cm="1">
        <f t="array" aca="1" ref="F36" ca="1">INDIRECT("'"&amp;$A36&amp;"'!"&amp; "I" &amp; $B36)</f>
        <v>60.08</v>
      </c>
      <c r="G36" s="324" cm="1">
        <f t="array" aca="1" ref="G36" ca="1">INDIRECT("'"&amp;$A36&amp;"'!"&amp; "J" &amp; $B36)</f>
        <v>60.19</v>
      </c>
      <c r="H36" s="324" cm="1">
        <f t="array" aca="1" ref="H36" ca="1">INDIRECT("'"&amp;$A36&amp;"'!"&amp; "K" &amp; $B36)</f>
        <v>60.07</v>
      </c>
      <c r="I36" s="324" cm="1">
        <f t="array" aca="1" ref="I36" ca="1">INDIRECT("'"&amp;$A36&amp;"'!"&amp; "L" &amp; $B36)</f>
        <v>60.08</v>
      </c>
      <c r="J36" s="324" cm="1">
        <f t="array" aca="1" ref="J36" ca="1">INDIRECT("'"&amp;$A36&amp;"'!"&amp; "M" &amp; $B36)</f>
        <v>60.1</v>
      </c>
      <c r="K36" s="324" cm="1">
        <f t="array" aca="1" ref="K36" ca="1">INDIRECT("'"&amp;$A36&amp;"'!"&amp; "N" &amp; $B36)</f>
        <v>60.05</v>
      </c>
      <c r="L36" s="324" cm="1">
        <f t="array" aca="1" ref="L36" ca="1">INDIRECT("'"&amp;$A36&amp;"'!"&amp; "O" &amp; $B36)</f>
        <v>60.09</v>
      </c>
      <c r="M36" s="324" cm="1">
        <f t="array" aca="1" ref="M36" ca="1">INDIRECT("'"&amp;$A36&amp;"'!"&amp; "P" &amp; $B36)</f>
        <v>60.19</v>
      </c>
      <c r="N36" s="324" cm="1">
        <f t="array" aca="1" ref="N36" ca="1">INDIRECT("'"&amp;$A36&amp;"'!"&amp; "Q" &amp; $B36)</f>
        <v>60.14</v>
      </c>
      <c r="O36" s="324" cm="1">
        <f t="array" aca="1" ref="O36" ca="1">INDIRECT("'"&amp;$A36&amp;"'!"&amp; "R" &amp; $B36)</f>
        <v>60.15</v>
      </c>
      <c r="P36" s="324" cm="1">
        <f t="array" aca="1" ref="P36" ca="1">INDIRECT("'"&amp;$A36&amp;"'!"&amp; "S" &amp; $B36)</f>
        <v>60.22</v>
      </c>
      <c r="Q36" s="324" cm="1">
        <f t="array" aca="1" ref="Q36" ca="1">INDIRECT("'"&amp;$A36&amp;"'!"&amp; "T" &amp; $B36)</f>
        <v>60.12</v>
      </c>
      <c r="R36" s="324" cm="1">
        <f t="array" aca="1" ref="R36" ca="1">INDIRECT("'"&amp;$A36&amp;"'!"&amp; "U" &amp; $B36)</f>
        <v>6.11</v>
      </c>
      <c r="S36" s="324" cm="1">
        <f t="array" aca="1" ref="S36" ca="1">INDIRECT("'"&amp;$A36&amp;"'!"&amp; "V" &amp; $B36)</f>
        <v>60.07</v>
      </c>
      <c r="T36" s="324" cm="1">
        <f t="array" aca="1" ref="T36" ca="1">INDIRECT("'"&amp;$A36&amp;"'!"&amp; "W" &amp; $B36)</f>
        <v>60.12</v>
      </c>
      <c r="U36" s="324" cm="1">
        <f t="array" aca="1" ref="U36" ca="1">INDIRECT("'"&amp;$A36&amp;"'!"&amp; "X" &amp; $B36)</f>
        <v>60.08</v>
      </c>
      <c r="V36" s="324" cm="1">
        <f t="array" aca="1" ref="V36" ca="1">INDIRECT("'"&amp;$A36&amp;"'!"&amp; "Y" &amp; $B36)</f>
        <v>60.13</v>
      </c>
      <c r="W36" s="324" cm="1">
        <f t="array" aca="1" ref="W36" ca="1">INDIRECT("'"&amp;$A36&amp;"'!"&amp; "Z" &amp; $B36)</f>
        <v>60.12</v>
      </c>
      <c r="X36" s="324" cm="1">
        <f t="array" aca="1" ref="X36" ca="1">INDIRECT("'"&amp;$A36&amp;"'!"&amp; "AA" &amp; $B36)</f>
        <v>60.15</v>
      </c>
      <c r="Y36" s="324" cm="1">
        <f t="array" aca="1" ref="Y36" ca="1">INDIRECT("'"&amp;$A36&amp;"'!"&amp; "AB" &amp; $B36)</f>
        <v>60.16</v>
      </c>
      <c r="Z36" s="324" cm="1">
        <f t="array" aca="1" ref="Z36" ca="1">INDIRECT("'"&amp;$A36&amp;"'!"&amp; "AC" &amp; $B36)</f>
        <v>60.21</v>
      </c>
    </row>
    <row r="37" spans="1:26" x14ac:dyDescent="0.25">
      <c r="A37" s="80">
        <v>3</v>
      </c>
      <c r="B37" s="80">
        <f t="shared" si="0"/>
        <v>105</v>
      </c>
      <c r="C37" s="324" cm="1">
        <f t="array" aca="1" ref="C37" ca="1">INDIRECT("'"&amp;$A37&amp;"'!"&amp; "F" &amp; $B37)</f>
        <v>60.1</v>
      </c>
      <c r="D37" s="324" cm="1">
        <f t="array" aca="1" ref="D37" ca="1">INDIRECT("'"&amp;$A37&amp;"'!"&amp; "g" &amp; $B37)</f>
        <v>60.12</v>
      </c>
      <c r="E37" s="324" cm="1">
        <f t="array" aca="1" ref="E37" ca="1">INDIRECT("'"&amp;$A37&amp;"'!"&amp; "H" &amp; $B37)</f>
        <v>60.11</v>
      </c>
      <c r="F37" s="324" cm="1">
        <f t="array" aca="1" ref="F37" ca="1">INDIRECT("'"&amp;$A37&amp;"'!"&amp; "I" &amp; $B37)</f>
        <v>60.07</v>
      </c>
      <c r="G37" s="324" cm="1">
        <f t="array" aca="1" ref="G37" ca="1">INDIRECT("'"&amp;$A37&amp;"'!"&amp; "J" &amp; $B37)</f>
        <v>60.1</v>
      </c>
      <c r="H37" s="324" cm="1">
        <f t="array" aca="1" ref="H37" ca="1">INDIRECT("'"&amp;$A37&amp;"'!"&amp; "K" &amp; $B37)</f>
        <v>60.03</v>
      </c>
      <c r="I37" s="324" cm="1">
        <f t="array" aca="1" ref="I37" ca="1">INDIRECT("'"&amp;$A37&amp;"'!"&amp; "L" &amp; $B37)</f>
        <v>60.11</v>
      </c>
      <c r="J37" s="324" cm="1">
        <f t="array" aca="1" ref="J37" ca="1">INDIRECT("'"&amp;$A37&amp;"'!"&amp; "M" &amp; $B37)</f>
        <v>60.14</v>
      </c>
      <c r="K37" s="324" cm="1">
        <f t="array" aca="1" ref="K37" ca="1">INDIRECT("'"&amp;$A37&amp;"'!"&amp; "N" &amp; $B37)</f>
        <v>60.06</v>
      </c>
      <c r="L37" s="324" cm="1">
        <f t="array" aca="1" ref="L37" ca="1">INDIRECT("'"&amp;$A37&amp;"'!"&amp; "O" &amp; $B37)</f>
        <v>60.06</v>
      </c>
      <c r="M37" s="324" cm="1">
        <f t="array" aca="1" ref="M37" ca="1">INDIRECT("'"&amp;$A37&amp;"'!"&amp; "P" &amp; $B37)</f>
        <v>60.11</v>
      </c>
      <c r="N37" s="324" cm="1">
        <f t="array" aca="1" ref="N37" ca="1">INDIRECT("'"&amp;$A37&amp;"'!"&amp; "Q" &amp; $B37)</f>
        <v>60.11</v>
      </c>
      <c r="O37" s="324" cm="1">
        <f t="array" aca="1" ref="O37" ca="1">INDIRECT("'"&amp;$A37&amp;"'!"&amp; "R" &amp; $B37)</f>
        <v>60.14</v>
      </c>
      <c r="P37" s="324" cm="1">
        <f t="array" aca="1" ref="P37" ca="1">INDIRECT("'"&amp;$A37&amp;"'!"&amp; "S" &amp; $B37)</f>
        <v>60.17</v>
      </c>
      <c r="Q37" s="324" cm="1">
        <f t="array" aca="1" ref="Q37" ca="1">INDIRECT("'"&amp;$A37&amp;"'!"&amp; "T" &amp; $B37)</f>
        <v>60.07</v>
      </c>
      <c r="R37" s="324" cm="1">
        <f t="array" aca="1" ref="R37" ca="1">INDIRECT("'"&amp;$A37&amp;"'!"&amp; "U" &amp; $B37)</f>
        <v>60.14</v>
      </c>
      <c r="S37" s="324" cm="1">
        <f t="array" aca="1" ref="S37" ca="1">INDIRECT("'"&amp;$A37&amp;"'!"&amp; "V" &amp; $B37)</f>
        <v>60.08</v>
      </c>
      <c r="T37" s="324" cm="1">
        <f t="array" aca="1" ref="T37" ca="1">INDIRECT("'"&amp;$A37&amp;"'!"&amp; "W" &amp; $B37)</f>
        <v>60.12</v>
      </c>
      <c r="U37" s="324" cm="1">
        <f t="array" aca="1" ref="U37" ca="1">INDIRECT("'"&amp;$A37&amp;"'!"&amp; "X" &amp; $B37)</f>
        <v>60.12</v>
      </c>
      <c r="V37" s="324" cm="1">
        <f t="array" aca="1" ref="V37" ca="1">INDIRECT("'"&amp;$A37&amp;"'!"&amp; "Y" &amp; $B37)</f>
        <v>60.11</v>
      </c>
      <c r="W37" s="324" cm="1">
        <f t="array" aca="1" ref="W37" ca="1">INDIRECT("'"&amp;$A37&amp;"'!"&amp; "Z" &amp; $B37)</f>
        <v>60.16</v>
      </c>
      <c r="X37" s="324" cm="1">
        <f t="array" aca="1" ref="X37" ca="1">INDIRECT("'"&amp;$A37&amp;"'!"&amp; "AA" &amp; $B37)</f>
        <v>60.17</v>
      </c>
      <c r="Y37" s="324" cm="1">
        <f t="array" aca="1" ref="Y37" ca="1">INDIRECT("'"&amp;$A37&amp;"'!"&amp; "AB" &amp; $B37)</f>
        <v>60.13</v>
      </c>
      <c r="Z37" s="324" cm="1">
        <f t="array" aca="1" ref="Z37" ca="1">INDIRECT("'"&amp;$A37&amp;"'!"&amp; "AC" &amp; $B37)</f>
        <v>60.25</v>
      </c>
    </row>
    <row r="38" spans="1:26" x14ac:dyDescent="0.25">
      <c r="A38" s="80">
        <v>4</v>
      </c>
      <c r="B38" s="80">
        <f t="shared" si="0"/>
        <v>108</v>
      </c>
      <c r="C38" s="324" cm="1">
        <f t="array" aca="1" ref="C38" ca="1">INDIRECT("'"&amp;$A38&amp;"'!"&amp; "F" &amp; $B38)</f>
        <v>60.24</v>
      </c>
      <c r="D38" s="324" cm="1">
        <f t="array" aca="1" ref="D38" ca="1">INDIRECT("'"&amp;$A38&amp;"'!"&amp; "g" &amp; $B38)</f>
        <v>60.27</v>
      </c>
      <c r="E38" s="324" cm="1">
        <f t="array" aca="1" ref="E38" ca="1">INDIRECT("'"&amp;$A38&amp;"'!"&amp; "H" &amp; $B38)</f>
        <v>60.09</v>
      </c>
      <c r="F38" s="324" cm="1">
        <f t="array" aca="1" ref="F38" ca="1">INDIRECT("'"&amp;$A38&amp;"'!"&amp; "I" &amp; $B38)</f>
        <v>60</v>
      </c>
      <c r="G38" s="324" cm="1">
        <f t="array" aca="1" ref="G38" ca="1">INDIRECT("'"&amp;$A38&amp;"'!"&amp; "J" &amp; $B38)</f>
        <v>60.12</v>
      </c>
      <c r="H38" s="324" cm="1">
        <f t="array" aca="1" ref="H38" ca="1">INDIRECT("'"&amp;$A38&amp;"'!"&amp; "K" &amp; $B38)</f>
        <v>60.09</v>
      </c>
      <c r="I38" s="324" cm="1">
        <f t="array" aca="1" ref="I38" ca="1">INDIRECT("'"&amp;$A38&amp;"'!"&amp; "L" &amp; $B38)</f>
        <v>60.15</v>
      </c>
      <c r="J38" s="324" cm="1">
        <f t="array" aca="1" ref="J38" ca="1">INDIRECT("'"&amp;$A38&amp;"'!"&amp; "M" &amp; $B38)</f>
        <v>60.11</v>
      </c>
      <c r="K38" s="324" cm="1">
        <f t="array" aca="1" ref="K38" ca="1">INDIRECT("'"&amp;$A38&amp;"'!"&amp; "N" &amp; $B38)</f>
        <v>60.08</v>
      </c>
      <c r="L38" s="324" cm="1">
        <f t="array" aca="1" ref="L38" ca="1">INDIRECT("'"&amp;$A38&amp;"'!"&amp; "O" &amp; $B38)</f>
        <v>60.11</v>
      </c>
      <c r="M38" s="324" cm="1">
        <f t="array" aca="1" ref="M38" ca="1">INDIRECT("'"&amp;$A38&amp;"'!"&amp; "P" &amp; $B38)</f>
        <v>60.12</v>
      </c>
      <c r="N38" s="324" cm="1">
        <f t="array" aca="1" ref="N38" ca="1">INDIRECT("'"&amp;$A38&amp;"'!"&amp; "Q" &amp; $B38)</f>
        <v>60.13</v>
      </c>
      <c r="O38" s="324" cm="1">
        <f t="array" aca="1" ref="O38" ca="1">INDIRECT("'"&amp;$A38&amp;"'!"&amp; "R" &amp; $B38)</f>
        <v>60.17</v>
      </c>
      <c r="P38" s="324" cm="1">
        <f t="array" aca="1" ref="P38" ca="1">INDIRECT("'"&amp;$A38&amp;"'!"&amp; "S" &amp; $B38)</f>
        <v>60.05</v>
      </c>
      <c r="Q38" s="324" cm="1">
        <f t="array" aca="1" ref="Q38" ca="1">INDIRECT("'"&amp;$A38&amp;"'!"&amp; "T" &amp; $B38)</f>
        <v>60.17</v>
      </c>
      <c r="R38" s="324" cm="1">
        <f t="array" aca="1" ref="R38" ca="1">INDIRECT("'"&amp;$A38&amp;"'!"&amp; "U" &amp; $B38)</f>
        <v>60.01</v>
      </c>
      <c r="S38" s="324" cm="1">
        <f t="array" aca="1" ref="S38" ca="1">INDIRECT("'"&amp;$A38&amp;"'!"&amp; "V" &amp; $B38)</f>
        <v>60.09</v>
      </c>
      <c r="T38" s="324" cm="1">
        <f t="array" aca="1" ref="T38" ca="1">INDIRECT("'"&amp;$A38&amp;"'!"&amp; "W" &amp; $B38)</f>
        <v>60.15</v>
      </c>
      <c r="U38" s="324" cm="1">
        <f t="array" aca="1" ref="U38" ca="1">INDIRECT("'"&amp;$A38&amp;"'!"&amp; "X" &amp; $B38)</f>
        <v>60.07</v>
      </c>
      <c r="V38" s="324" cm="1">
        <f t="array" aca="1" ref="V38" ca="1">INDIRECT("'"&amp;$A38&amp;"'!"&amp; "Y" &amp; $B38)</f>
        <v>60.16</v>
      </c>
      <c r="W38" s="324" cm="1">
        <f t="array" aca="1" ref="W38" ca="1">INDIRECT("'"&amp;$A38&amp;"'!"&amp; "Z" &amp; $B38)</f>
        <v>60.11</v>
      </c>
      <c r="X38" s="324" cm="1">
        <f t="array" aca="1" ref="X38" ca="1">INDIRECT("'"&amp;$A38&amp;"'!"&amp; "AA" &amp; $B38)</f>
        <v>60.16</v>
      </c>
      <c r="Y38" s="324" cm="1">
        <f t="array" aca="1" ref="Y38" ca="1">INDIRECT("'"&amp;$A38&amp;"'!"&amp; "AB" &amp; $B38)</f>
        <v>60.11</v>
      </c>
      <c r="Z38" s="324" cm="1">
        <f t="array" aca="1" ref="Z38" ca="1">INDIRECT("'"&amp;$A38&amp;"'!"&amp; "AC" &amp; $B38)</f>
        <v>60.15</v>
      </c>
    </row>
    <row r="39" spans="1:26" x14ac:dyDescent="0.25">
      <c r="A39" s="80">
        <v>5</v>
      </c>
      <c r="B39" s="80">
        <f t="shared" si="0"/>
        <v>109</v>
      </c>
      <c r="C39" s="324" cm="1">
        <f t="array" aca="1" ref="C39" ca="1">INDIRECT("'"&amp;$A39&amp;"'!"&amp; "F" &amp; $B39)</f>
        <v>60.18</v>
      </c>
      <c r="D39" s="324" cm="1">
        <f t="array" aca="1" ref="D39" ca="1">INDIRECT("'"&amp;$A39&amp;"'!"&amp; "g" &amp; $B39)</f>
        <v>60.25</v>
      </c>
      <c r="E39" s="324" cm="1">
        <f t="array" aca="1" ref="E39" ca="1">INDIRECT("'"&amp;$A39&amp;"'!"&amp; "H" &amp; $B39)</f>
        <v>60.08</v>
      </c>
      <c r="F39" s="324" cm="1">
        <f t="array" aca="1" ref="F39" ca="1">INDIRECT("'"&amp;$A39&amp;"'!"&amp; "I" &amp; $B39)</f>
        <v>60.11</v>
      </c>
      <c r="G39" s="324" cm="1">
        <f t="array" aca="1" ref="G39" ca="1">INDIRECT("'"&amp;$A39&amp;"'!"&amp; "J" &amp; $B39)</f>
        <v>60.12</v>
      </c>
      <c r="H39" s="324" cm="1">
        <f t="array" aca="1" ref="H39" ca="1">INDIRECT("'"&amp;$A39&amp;"'!"&amp; "K" &amp; $B39)</f>
        <v>60.1</v>
      </c>
      <c r="I39" s="324" cm="1">
        <f t="array" aca="1" ref="I39" ca="1">INDIRECT("'"&amp;$A39&amp;"'!"&amp; "L" &amp; $B39)</f>
        <v>60.09</v>
      </c>
      <c r="J39" s="324" cm="1">
        <f t="array" aca="1" ref="J39" ca="1">INDIRECT("'"&amp;$A39&amp;"'!"&amp; "M" &amp; $B39)</f>
        <v>60.14</v>
      </c>
      <c r="K39" s="324" cm="1">
        <f t="array" aca="1" ref="K39" ca="1">INDIRECT("'"&amp;$A39&amp;"'!"&amp; "N" &amp; $B39)</f>
        <v>60.1</v>
      </c>
      <c r="L39" s="324" cm="1">
        <f t="array" aca="1" ref="L39" ca="1">INDIRECT("'"&amp;$A39&amp;"'!"&amp; "O" &amp; $B39)</f>
        <v>60.1</v>
      </c>
      <c r="M39" s="324" cm="1">
        <f t="array" aca="1" ref="M39" ca="1">INDIRECT("'"&amp;$A39&amp;"'!"&amp; "P" &amp; $B39)</f>
        <v>60.07</v>
      </c>
      <c r="N39" s="324" cm="1">
        <f t="array" aca="1" ref="N39" ca="1">INDIRECT("'"&amp;$A39&amp;"'!"&amp; "Q" &amp; $B39)</f>
        <v>60.12</v>
      </c>
      <c r="O39" s="324" cm="1">
        <f t="array" aca="1" ref="O39" ca="1">INDIRECT("'"&amp;$A39&amp;"'!"&amp; "R" &amp; $B39)</f>
        <v>60.16</v>
      </c>
      <c r="P39" s="324" cm="1">
        <f t="array" aca="1" ref="P39" ca="1">INDIRECT("'"&amp;$A39&amp;"'!"&amp; "S" &amp; $B39)</f>
        <v>60.18</v>
      </c>
      <c r="Q39" s="324" cm="1">
        <f t="array" aca="1" ref="Q39" ca="1">INDIRECT("'"&amp;$A39&amp;"'!"&amp; "T" &amp; $B39)</f>
        <v>60.1</v>
      </c>
      <c r="R39" s="324" cm="1">
        <f t="array" aca="1" ref="R39" ca="1">INDIRECT("'"&amp;$A39&amp;"'!"&amp; "U" &amp; $B39)</f>
        <v>60.17</v>
      </c>
      <c r="S39" s="324" cm="1">
        <f t="array" aca="1" ref="S39" ca="1">INDIRECT("'"&amp;$A39&amp;"'!"&amp; "V" &amp; $B39)</f>
        <v>60.12</v>
      </c>
      <c r="T39" s="324" cm="1">
        <f t="array" aca="1" ref="T39" ca="1">INDIRECT("'"&amp;$A39&amp;"'!"&amp; "W" &amp; $B39)</f>
        <v>60.25</v>
      </c>
      <c r="U39" s="324" cm="1">
        <f t="array" aca="1" ref="U39" ca="1">INDIRECT("'"&amp;$A39&amp;"'!"&amp; "X" &amp; $B39)</f>
        <v>60.17</v>
      </c>
      <c r="V39" s="324" cm="1">
        <f t="array" aca="1" ref="V39" ca="1">INDIRECT("'"&amp;$A39&amp;"'!"&amp; "Y" &amp; $B39)</f>
        <v>60.21</v>
      </c>
      <c r="W39" s="324" cm="1">
        <f t="array" aca="1" ref="W39" ca="1">INDIRECT("'"&amp;$A39&amp;"'!"&amp; "Z" &amp; $B39)</f>
        <v>60.22</v>
      </c>
      <c r="X39" s="324" cm="1">
        <f t="array" aca="1" ref="X39" ca="1">INDIRECT("'"&amp;$A39&amp;"'!"&amp; "AA" &amp; $B39)</f>
        <v>60.21</v>
      </c>
      <c r="Y39" s="324" cm="1">
        <f t="array" aca="1" ref="Y39" ca="1">INDIRECT("'"&amp;$A39&amp;"'!"&amp; "AB" &amp; $B39)</f>
        <v>60.25</v>
      </c>
      <c r="Z39" s="324" cm="1">
        <f t="array" aca="1" ref="Z39" ca="1">INDIRECT("'"&amp;$A39&amp;"'!"&amp; "AC" &amp; $B39)</f>
        <v>60.24</v>
      </c>
    </row>
    <row r="40" spans="1:26" x14ac:dyDescent="0.25">
      <c r="A40" s="80">
        <v>6</v>
      </c>
      <c r="B40" s="80">
        <f t="shared" si="0"/>
        <v>109</v>
      </c>
      <c r="C40" s="324" cm="1">
        <f t="array" aca="1" ref="C40" ca="1">INDIRECT("'"&amp;$A40&amp;"'!"&amp; "F" &amp; $B40)</f>
        <v>60.15</v>
      </c>
      <c r="D40" s="324" cm="1">
        <f t="array" aca="1" ref="D40" ca="1">INDIRECT("'"&amp;$A40&amp;"'!"&amp; "g" &amp; $B40)</f>
        <v>60.08</v>
      </c>
      <c r="E40" s="324" cm="1">
        <f t="array" aca="1" ref="E40" ca="1">INDIRECT("'"&amp;$A40&amp;"'!"&amp; "H" &amp; $B40)</f>
        <v>60.13</v>
      </c>
      <c r="F40" s="324" cm="1">
        <f t="array" aca="1" ref="F40" ca="1">INDIRECT("'"&amp;$A40&amp;"'!"&amp; "I" &amp; $B40)</f>
        <v>60.08</v>
      </c>
      <c r="G40" s="324" cm="1">
        <f t="array" aca="1" ref="G40" ca="1">INDIRECT("'"&amp;$A40&amp;"'!"&amp; "J" &amp; $B40)</f>
        <v>60.07</v>
      </c>
      <c r="H40" s="324" cm="1">
        <f t="array" aca="1" ref="H40" ca="1">INDIRECT("'"&amp;$A40&amp;"'!"&amp; "K" &amp; $B40)</f>
        <v>60.14</v>
      </c>
      <c r="I40" s="324" cm="1">
        <f t="array" aca="1" ref="I40" ca="1">INDIRECT("'"&amp;$A40&amp;"'!"&amp; "L" &amp; $B40)</f>
        <v>60.13</v>
      </c>
      <c r="J40" s="324" cm="1">
        <f t="array" aca="1" ref="J40" ca="1">INDIRECT("'"&amp;$A40&amp;"'!"&amp; "M" &amp; $B40)</f>
        <v>60.2</v>
      </c>
      <c r="K40" s="324" cm="1">
        <f t="array" aca="1" ref="K40" ca="1">INDIRECT("'"&amp;$A40&amp;"'!"&amp; "N" &amp; $B40)</f>
        <v>60.02</v>
      </c>
      <c r="L40" s="324" cm="1">
        <f t="array" aca="1" ref="L40" ca="1">INDIRECT("'"&amp;$A40&amp;"'!"&amp; "O" &amp; $B40)</f>
        <v>60.19</v>
      </c>
      <c r="M40" s="324" cm="1">
        <f t="array" aca="1" ref="M40" ca="1">INDIRECT("'"&amp;$A40&amp;"'!"&amp; "P" &amp; $B40)</f>
        <v>60.12</v>
      </c>
      <c r="N40" s="324" cm="1">
        <f t="array" aca="1" ref="N40" ca="1">INDIRECT("'"&amp;$A40&amp;"'!"&amp; "Q" &amp; $B40)</f>
        <v>60.13</v>
      </c>
      <c r="O40" s="324" cm="1">
        <f t="array" aca="1" ref="O40" ca="1">INDIRECT("'"&amp;$A40&amp;"'!"&amp; "R" &amp; $B40)</f>
        <v>60.23</v>
      </c>
      <c r="P40" s="324" cm="1">
        <f t="array" aca="1" ref="P40" ca="1">INDIRECT("'"&amp;$A40&amp;"'!"&amp; "S" &amp; $B40)</f>
        <v>60.03</v>
      </c>
      <c r="Q40" s="324" cm="1">
        <f t="array" aca="1" ref="Q40" ca="1">INDIRECT("'"&amp;$A40&amp;"'!"&amp; "T" &amp; $B40)</f>
        <v>60.07</v>
      </c>
      <c r="R40" s="324" cm="1">
        <f t="array" aca="1" ref="R40" ca="1">INDIRECT("'"&amp;$A40&amp;"'!"&amp; "U" &amp; $B40)</f>
        <v>60.07</v>
      </c>
      <c r="S40" s="324" cm="1">
        <f t="array" aca="1" ref="S40" ca="1">INDIRECT("'"&amp;$A40&amp;"'!"&amp; "V" &amp; $B40)</f>
        <v>60.08</v>
      </c>
      <c r="T40" s="324" cm="1">
        <f t="array" aca="1" ref="T40" ca="1">INDIRECT("'"&amp;$A40&amp;"'!"&amp; "W" &amp; $B40)</f>
        <v>60.26</v>
      </c>
      <c r="U40" s="324" cm="1">
        <f t="array" aca="1" ref="U40" ca="1">INDIRECT("'"&amp;$A40&amp;"'!"&amp; "X" &amp; $B40)</f>
        <v>60.32</v>
      </c>
      <c r="V40" s="324" cm="1">
        <f t="array" aca="1" ref="V40" ca="1">INDIRECT("'"&amp;$A40&amp;"'!"&amp; "Y" &amp; $B40)</f>
        <v>60.29</v>
      </c>
      <c r="W40" s="324" cm="1">
        <f t="array" aca="1" ref="W40" ca="1">INDIRECT("'"&amp;$A40&amp;"'!"&amp; "Z" &amp; $B40)</f>
        <v>60.35</v>
      </c>
      <c r="X40" s="324" cm="1">
        <f t="array" aca="1" ref="X40" ca="1">INDIRECT("'"&amp;$A40&amp;"'!"&amp; "AA" &amp; $B40)</f>
        <v>60.68</v>
      </c>
      <c r="Y40" s="324" cm="1">
        <f t="array" aca="1" ref="Y40" ca="1">INDIRECT("'"&amp;$A40&amp;"'!"&amp; "AB" &amp; $B40)</f>
        <v>60.48</v>
      </c>
      <c r="Z40" s="324" cm="1">
        <f t="array" aca="1" ref="Z40" ca="1">INDIRECT("'"&amp;$A40&amp;"'!"&amp; "AC" &amp; $B40)</f>
        <v>60.47</v>
      </c>
    </row>
    <row r="41" spans="1:26" x14ac:dyDescent="0.25">
      <c r="A41" s="80">
        <v>7</v>
      </c>
      <c r="B41" s="80">
        <f t="shared" si="0"/>
        <v>109</v>
      </c>
      <c r="C41" s="324" cm="1">
        <f t="array" aca="1" ref="C41" ca="1">INDIRECT("'"&amp;$A41&amp;"'!"&amp; "F" &amp; $B41)</f>
        <v>60.09</v>
      </c>
      <c r="D41" s="324" cm="1">
        <f t="array" aca="1" ref="D41" ca="1">INDIRECT("'"&amp;$A41&amp;"'!"&amp; "g" &amp; $B41)</f>
        <v>60.09</v>
      </c>
      <c r="E41" s="324" cm="1">
        <f t="array" aca="1" ref="E41" ca="1">INDIRECT("'"&amp;$A41&amp;"'!"&amp; "H" &amp; $B41)</f>
        <v>60.13</v>
      </c>
      <c r="F41" s="324" cm="1">
        <f t="array" aca="1" ref="F41" ca="1">INDIRECT("'"&amp;$A41&amp;"'!"&amp; "I" &amp; $B41)</f>
        <v>60.05</v>
      </c>
      <c r="G41" s="324" cm="1">
        <f t="array" aca="1" ref="G41" ca="1">INDIRECT("'"&amp;$A41&amp;"'!"&amp; "J" &amp; $B41)</f>
        <v>60.11</v>
      </c>
      <c r="H41" s="324" cm="1">
        <f t="array" aca="1" ref="H41" ca="1">INDIRECT("'"&amp;$A41&amp;"'!"&amp; "K" &amp; $B41)</f>
        <v>60.09</v>
      </c>
      <c r="I41" s="324" cm="1">
        <f t="array" aca="1" ref="I41" ca="1">INDIRECT("'"&amp;$A41&amp;"'!"&amp; "L" &amp; $B41)</f>
        <v>60.11</v>
      </c>
      <c r="J41" s="324" cm="1">
        <f t="array" aca="1" ref="J41" ca="1">INDIRECT("'"&amp;$A41&amp;"'!"&amp; "M" &amp; $B41)</f>
        <v>60.18</v>
      </c>
      <c r="K41" s="324" cm="1">
        <f t="array" aca="1" ref="K41" ca="1">INDIRECT("'"&amp;$A41&amp;"'!"&amp; "N" &amp; $B41)</f>
        <v>60.11</v>
      </c>
      <c r="L41" s="324" cm="1">
        <f t="array" aca="1" ref="L41" ca="1">INDIRECT("'"&amp;$A41&amp;"'!"&amp; "O" &amp; $B41)</f>
        <v>60.12</v>
      </c>
      <c r="M41" s="324" cm="1">
        <f t="array" aca="1" ref="M41" ca="1">INDIRECT("'"&amp;$A41&amp;"'!"&amp; "P" &amp; $B41)</f>
        <v>60.1</v>
      </c>
      <c r="N41" s="324" cm="1">
        <f t="array" aca="1" ref="N41" ca="1">INDIRECT("'"&amp;$A41&amp;"'!"&amp; "Q" &amp; $B41)</f>
        <v>60.07</v>
      </c>
      <c r="O41" s="324" cm="1">
        <f t="array" aca="1" ref="O41" ca="1">INDIRECT("'"&amp;$A41&amp;"'!"&amp; "R" &amp; $B41)</f>
        <v>60.08</v>
      </c>
      <c r="P41" s="324" cm="1">
        <f t="array" aca="1" ref="P41" ca="1">INDIRECT("'"&amp;$A41&amp;"'!"&amp; "S" &amp; $B41)</f>
        <v>60.03</v>
      </c>
      <c r="Q41" s="324" cm="1">
        <f t="array" aca="1" ref="Q41" ca="1">INDIRECT("'"&amp;$A41&amp;"'!"&amp; "T" &amp; $B41)</f>
        <v>60.01</v>
      </c>
      <c r="R41" s="324" cm="1">
        <f t="array" aca="1" ref="R41" ca="1">INDIRECT("'"&amp;$A41&amp;"'!"&amp; "U" &amp; $B41)</f>
        <v>60.18</v>
      </c>
      <c r="S41" s="324" cm="1">
        <f t="array" aca="1" ref="S41" ca="1">INDIRECT("'"&amp;$A41&amp;"'!"&amp; "V" &amp; $B41)</f>
        <v>60.17</v>
      </c>
      <c r="T41" s="324" cm="1">
        <f t="array" aca="1" ref="T41" ca="1">INDIRECT("'"&amp;$A41&amp;"'!"&amp; "W" &amp; $B41)</f>
        <v>60.25</v>
      </c>
      <c r="U41" s="324" cm="1">
        <f t="array" aca="1" ref="U41" ca="1">INDIRECT("'"&amp;$A41&amp;"'!"&amp; "X" &amp; $B41)</f>
        <v>60.18</v>
      </c>
      <c r="V41" s="324" cm="1">
        <f t="array" aca="1" ref="V41" ca="1">INDIRECT("'"&amp;$A41&amp;"'!"&amp; "Y" &amp; $B41)</f>
        <v>60.12</v>
      </c>
      <c r="W41" s="324" cm="1">
        <f t="array" aca="1" ref="W41" ca="1">INDIRECT("'"&amp;$A41&amp;"'!"&amp; "Z" &amp; $B41)</f>
        <v>60.17</v>
      </c>
      <c r="X41" s="324" cm="1">
        <f t="array" aca="1" ref="X41" ca="1">INDIRECT("'"&amp;$A41&amp;"'!"&amp; "AA" &amp; $B41)</f>
        <v>60.37</v>
      </c>
      <c r="Y41" s="324" cm="1">
        <f t="array" aca="1" ref="Y41" ca="1">INDIRECT("'"&amp;$A41&amp;"'!"&amp; "AB" &amp; $B41)</f>
        <v>60.08</v>
      </c>
      <c r="Z41" s="324" cm="1">
        <f t="array" aca="1" ref="Z41" ca="1">INDIRECT("'"&amp;$A41&amp;"'!"&amp; "AC" &amp; $B41)</f>
        <v>60.19</v>
      </c>
    </row>
    <row r="42" spans="1:26" x14ac:dyDescent="0.25">
      <c r="A42" s="80">
        <v>8</v>
      </c>
      <c r="B42" s="80">
        <f t="shared" si="0"/>
        <v>109</v>
      </c>
      <c r="C42" s="324" cm="1">
        <f t="array" aca="1" ref="C42" ca="1">INDIRECT("'"&amp;$A42&amp;"'!"&amp; "F" &amp; $B42)</f>
        <v>60.17</v>
      </c>
      <c r="D42" s="324" cm="1">
        <f t="array" aca="1" ref="D42" ca="1">INDIRECT("'"&amp;$A42&amp;"'!"&amp; "g" &amp; $B42)</f>
        <v>60.16</v>
      </c>
      <c r="E42" s="324" cm="1">
        <f t="array" aca="1" ref="E42" ca="1">INDIRECT("'"&amp;$A42&amp;"'!"&amp; "H" &amp; $B42)</f>
        <v>60.25</v>
      </c>
      <c r="F42" s="324" cm="1">
        <f t="array" aca="1" ref="F42" ca="1">INDIRECT("'"&amp;$A42&amp;"'!"&amp; "I" &amp; $B42)</f>
        <v>60.14</v>
      </c>
      <c r="G42" s="324" cm="1">
        <f t="array" aca="1" ref="G42" ca="1">INDIRECT("'"&amp;$A42&amp;"'!"&amp; "J" &amp; $B42)</f>
        <v>60.13</v>
      </c>
      <c r="H42" s="324" cm="1">
        <f t="array" aca="1" ref="H42" ca="1">INDIRECT("'"&amp;$A42&amp;"'!"&amp; "K" &amp; $B42)</f>
        <v>60.13</v>
      </c>
      <c r="I42" s="324" cm="1">
        <f t="array" aca="1" ref="I42" ca="1">INDIRECT("'"&amp;$A42&amp;"'!"&amp; "L" &amp; $B42)</f>
        <v>60.09</v>
      </c>
      <c r="J42" s="324" cm="1">
        <f t="array" aca="1" ref="J42" ca="1">INDIRECT("'"&amp;$A42&amp;"'!"&amp; "M" &amp; $B42)</f>
        <v>60.1</v>
      </c>
      <c r="K42" s="324" cm="1">
        <f t="array" aca="1" ref="K42" ca="1">INDIRECT("'"&amp;$A42&amp;"'!"&amp; "N" &amp; $B42)</f>
        <v>60.13</v>
      </c>
      <c r="L42" s="324" cm="1">
        <f t="array" aca="1" ref="L42" ca="1">INDIRECT("'"&amp;$A42&amp;"'!"&amp; "O" &amp; $B42)</f>
        <v>60.04</v>
      </c>
      <c r="M42" s="324" cm="1">
        <f t="array" aca="1" ref="M42" ca="1">INDIRECT("'"&amp;$A42&amp;"'!"&amp; "P" &amp; $B42)</f>
        <v>60.12</v>
      </c>
      <c r="N42" s="324" cm="1">
        <f t="array" aca="1" ref="N42" ca="1">INDIRECT("'"&amp;$A42&amp;"'!"&amp; "Q" &amp; $B42)</f>
        <v>60.08</v>
      </c>
      <c r="O42" s="324" cm="1">
        <f t="array" aca="1" ref="O42" ca="1">INDIRECT("'"&amp;$A42&amp;"'!"&amp; "R" &amp; $B42)</f>
        <v>60.13</v>
      </c>
      <c r="P42" s="324" cm="1">
        <f t="array" aca="1" ref="P42" ca="1">INDIRECT("'"&amp;$A42&amp;"'!"&amp; "S" &amp; $B42)</f>
        <v>60.12</v>
      </c>
      <c r="Q42" s="324" cm="1">
        <f t="array" aca="1" ref="Q42" ca="1">INDIRECT("'"&amp;$A42&amp;"'!"&amp; "T" &amp; $B42)</f>
        <v>60.18</v>
      </c>
      <c r="R42" s="324" cm="1">
        <f t="array" aca="1" ref="R42" ca="1">INDIRECT("'"&amp;$A42&amp;"'!"&amp; "U" &amp; $B42)</f>
        <v>60.07</v>
      </c>
      <c r="S42" s="324" cm="1">
        <f t="array" aca="1" ref="S42" ca="1">INDIRECT("'"&amp;$A42&amp;"'!"&amp; "V" &amp; $B42)</f>
        <v>60.01</v>
      </c>
      <c r="T42" s="324" cm="1">
        <f t="array" aca="1" ref="T42" ca="1">INDIRECT("'"&amp;$A42&amp;"'!"&amp; "W" &amp; $B42)</f>
        <v>60.09</v>
      </c>
      <c r="U42" s="324" cm="1">
        <f t="array" aca="1" ref="U42" ca="1">INDIRECT("'"&amp;$A42&amp;"'!"&amp; "X" &amp; $B42)</f>
        <v>60.09</v>
      </c>
      <c r="V42" s="324" cm="1">
        <f t="array" aca="1" ref="V42" ca="1">INDIRECT("'"&amp;$A42&amp;"'!"&amp; "Y" &amp; $B42)</f>
        <v>60.15</v>
      </c>
      <c r="W42" s="324" cm="1">
        <f t="array" aca="1" ref="W42" ca="1">INDIRECT("'"&amp;$A42&amp;"'!"&amp; "Z" &amp; $B42)</f>
        <v>60.06</v>
      </c>
      <c r="X42" s="324" cm="1">
        <f t="array" aca="1" ref="X42" ca="1">INDIRECT("'"&amp;$A42&amp;"'!"&amp; "AA" &amp; $B42)</f>
        <v>60.25</v>
      </c>
      <c r="Y42" s="324" cm="1">
        <f t="array" aca="1" ref="Y42" ca="1">INDIRECT("'"&amp;$A42&amp;"'!"&amp; "AB" &amp; $B42)</f>
        <v>60.2</v>
      </c>
      <c r="Z42" s="324" cm="1">
        <f t="array" aca="1" ref="Z42" ca="1">INDIRECT("'"&amp;$A42&amp;"'!"&amp; "AC" &amp; $B42)</f>
        <v>60.37</v>
      </c>
    </row>
    <row r="43" spans="1:26" x14ac:dyDescent="0.25">
      <c r="A43" s="80">
        <v>9</v>
      </c>
      <c r="B43" s="80">
        <f t="shared" si="0"/>
        <v>109</v>
      </c>
      <c r="C43" s="324" cm="1">
        <f t="array" aca="1" ref="C43" ca="1">INDIRECT("'"&amp;$A43&amp;"'!"&amp; "F" &amp; $B43)</f>
        <v>60.11</v>
      </c>
      <c r="D43" s="324" cm="1">
        <f t="array" aca="1" ref="D43" ca="1">INDIRECT("'"&amp;$A43&amp;"'!"&amp; "g" &amp; $B43)</f>
        <v>60.12</v>
      </c>
      <c r="E43" s="324" cm="1">
        <f t="array" aca="1" ref="E43" ca="1">INDIRECT("'"&amp;$A43&amp;"'!"&amp; "H" &amp; $B43)</f>
        <v>60.21</v>
      </c>
      <c r="F43" s="324" cm="1">
        <f t="array" aca="1" ref="F43" ca="1">INDIRECT("'"&amp;$A43&amp;"'!"&amp; "I" &amp; $B43)</f>
        <v>60.18</v>
      </c>
      <c r="G43" s="324" cm="1">
        <f t="array" aca="1" ref="G43" ca="1">INDIRECT("'"&amp;$A43&amp;"'!"&amp; "J" &amp; $B43)</f>
        <v>60.08</v>
      </c>
      <c r="H43" s="324" cm="1">
        <f t="array" aca="1" ref="H43" ca="1">INDIRECT("'"&amp;$A43&amp;"'!"&amp; "K" &amp; $B43)</f>
        <v>60.08</v>
      </c>
      <c r="I43" s="324" cm="1">
        <f t="array" aca="1" ref="I43" ca="1">INDIRECT("'"&amp;$A43&amp;"'!"&amp; "L" &amp; $B43)</f>
        <v>60.07</v>
      </c>
      <c r="J43" s="324" cm="1">
        <f t="array" aca="1" ref="J43" ca="1">INDIRECT("'"&amp;$A43&amp;"'!"&amp; "M" &amp; $B43)</f>
        <v>60.08</v>
      </c>
      <c r="K43" s="324" cm="1">
        <f t="array" aca="1" ref="K43" ca="1">INDIRECT("'"&amp;$A43&amp;"'!"&amp; "N" &amp; $B43)</f>
        <v>60.15</v>
      </c>
      <c r="L43" s="324" cm="1">
        <f t="array" aca="1" ref="L43" ca="1">INDIRECT("'"&amp;$A43&amp;"'!"&amp; "O" &amp; $B43)</f>
        <v>60.08</v>
      </c>
      <c r="M43" s="324" cm="1">
        <f t="array" aca="1" ref="M43" ca="1">INDIRECT("'"&amp;$A43&amp;"'!"&amp; "P" &amp; $B43)</f>
        <v>60.11</v>
      </c>
      <c r="N43" s="324" cm="1">
        <f t="array" aca="1" ref="N43" ca="1">INDIRECT("'"&amp;$A43&amp;"'!"&amp; "Q" &amp; $B43)</f>
        <v>60.13</v>
      </c>
      <c r="O43" s="324" cm="1">
        <f t="array" aca="1" ref="O43" ca="1">INDIRECT("'"&amp;$A43&amp;"'!"&amp; "R" &amp; $B43)</f>
        <v>60.14</v>
      </c>
      <c r="P43" s="324" cm="1">
        <f t="array" aca="1" ref="P43" ca="1">INDIRECT("'"&amp;$A43&amp;"'!"&amp; "S" &amp; $B43)</f>
        <v>60.11</v>
      </c>
      <c r="Q43" s="324" cm="1">
        <f t="array" aca="1" ref="Q43" ca="1">INDIRECT("'"&amp;$A43&amp;"'!"&amp; "T" &amp; $B43)</f>
        <v>60.24</v>
      </c>
      <c r="R43" s="324" cm="1">
        <f t="array" aca="1" ref="R43" ca="1">INDIRECT("'"&amp;$A43&amp;"'!"&amp; "U" &amp; $B43)</f>
        <v>60.13</v>
      </c>
      <c r="S43" s="324" cm="1">
        <f t="array" aca="1" ref="S43" ca="1">INDIRECT("'"&amp;$A43&amp;"'!"&amp; "V" &amp; $B43)</f>
        <v>60.11</v>
      </c>
      <c r="T43" s="324" cm="1">
        <f t="array" aca="1" ref="T43" ca="1">INDIRECT("'"&amp;$A43&amp;"'!"&amp; "W" &amp; $B43)</f>
        <v>60.15</v>
      </c>
      <c r="U43" s="324" cm="1">
        <f t="array" aca="1" ref="U43" ca="1">INDIRECT("'"&amp;$A43&amp;"'!"&amp; "X" &amp; $B43)</f>
        <v>60.11</v>
      </c>
      <c r="V43" s="324" cm="1">
        <f t="array" aca="1" ref="V43" ca="1">INDIRECT("'"&amp;$A43&amp;"'!"&amp; "Y" &amp; $B43)</f>
        <v>60.14</v>
      </c>
      <c r="W43" s="324" cm="1">
        <f t="array" aca="1" ref="W43" ca="1">INDIRECT("'"&amp;$A43&amp;"'!"&amp; "Z" &amp; $B43)</f>
        <v>60.11</v>
      </c>
      <c r="X43" s="324" cm="1">
        <f t="array" aca="1" ref="X43" ca="1">INDIRECT("'"&amp;$A43&amp;"'!"&amp; "AA" &amp; $B43)</f>
        <v>0</v>
      </c>
      <c r="Y43" s="324" cm="1">
        <f t="array" aca="1" ref="Y43" ca="1">INDIRECT("'"&amp;$A43&amp;"'!"&amp; "AB" &amp; $B43)</f>
        <v>60.56</v>
      </c>
      <c r="Z43" s="324" cm="1">
        <f t="array" aca="1" ref="Z43" ca="1">INDIRECT("'"&amp;$A43&amp;"'!"&amp; "AC" &amp; $B43)</f>
        <v>60.49</v>
      </c>
    </row>
    <row r="44" spans="1:26" x14ac:dyDescent="0.25">
      <c r="A44" s="80">
        <v>10</v>
      </c>
      <c r="B44" s="80">
        <f t="shared" si="0"/>
        <v>109</v>
      </c>
      <c r="C44" s="324" cm="1">
        <f t="array" aca="1" ref="C44" ca="1">INDIRECT("'"&amp;$A44&amp;"'!"&amp; "F" &amp; $B44)</f>
        <v>60.25</v>
      </c>
      <c r="D44" s="324" cm="1">
        <f t="array" aca="1" ref="D44" ca="1">INDIRECT("'"&amp;$A44&amp;"'!"&amp; "g" &amp; $B44)</f>
        <v>60.29</v>
      </c>
      <c r="E44" s="324" cm="1">
        <f t="array" aca="1" ref="E44" ca="1">INDIRECT("'"&amp;$A44&amp;"'!"&amp; "H" &amp; $B44)</f>
        <v>60.12</v>
      </c>
      <c r="F44" s="324" cm="1">
        <f t="array" aca="1" ref="F44" ca="1">INDIRECT("'"&amp;$A44&amp;"'!"&amp; "I" &amp; $B44)</f>
        <v>60.09</v>
      </c>
      <c r="G44" s="324" cm="1">
        <f t="array" aca="1" ref="G44" ca="1">INDIRECT("'"&amp;$A44&amp;"'!"&amp; "J" &amp; $B44)</f>
        <v>60.09</v>
      </c>
      <c r="H44" s="324" cm="1">
        <f t="array" aca="1" ref="H44" ca="1">INDIRECT("'"&amp;$A44&amp;"'!"&amp; "K" &amp; $B44)</f>
        <v>60.16</v>
      </c>
      <c r="I44" s="324" cm="1">
        <f t="array" aca="1" ref="I44" ca="1">INDIRECT("'"&amp;$A44&amp;"'!"&amp; "L" &amp; $B44)</f>
        <v>60.08</v>
      </c>
      <c r="J44" s="324" cm="1">
        <f t="array" aca="1" ref="J44" ca="1">INDIRECT("'"&amp;$A44&amp;"'!"&amp; "M" &amp; $B44)</f>
        <v>60.19</v>
      </c>
      <c r="K44" s="324" cm="1">
        <f t="array" aca="1" ref="K44" ca="1">INDIRECT("'"&amp;$A44&amp;"'!"&amp; "N" &amp; $B44)</f>
        <v>60.17</v>
      </c>
      <c r="L44" s="324" cm="1">
        <f t="array" aca="1" ref="L44" ca="1">INDIRECT("'"&amp;$A44&amp;"'!"&amp; "O" &amp; $B44)</f>
        <v>60.29</v>
      </c>
      <c r="M44" s="324" cm="1">
        <f t="array" aca="1" ref="M44" ca="1">INDIRECT("'"&amp;$A44&amp;"'!"&amp; "P" &amp; $B44)</f>
        <v>60.16</v>
      </c>
      <c r="N44" s="324" cm="1">
        <f t="array" aca="1" ref="N44" ca="1">INDIRECT("'"&amp;$A44&amp;"'!"&amp; "Q" &amp; $B44)</f>
        <v>60.41</v>
      </c>
      <c r="O44" s="324" cm="1">
        <f t="array" aca="1" ref="O44" ca="1">INDIRECT("'"&amp;$A44&amp;"'!"&amp; "R" &amp; $B44)</f>
        <v>60.34</v>
      </c>
      <c r="P44" s="324" cm="1">
        <f t="array" aca="1" ref="P44" ca="1">INDIRECT("'"&amp;$A44&amp;"'!"&amp; "S" &amp; $B44)</f>
        <v>60.45</v>
      </c>
      <c r="Q44" s="324" cm="1">
        <f t="array" aca="1" ref="Q44" ca="1">INDIRECT("'"&amp;$A44&amp;"'!"&amp; "T" &amp; $B44)</f>
        <v>60.14</v>
      </c>
      <c r="R44" s="324" cm="1">
        <f t="array" aca="1" ref="R44" ca="1">INDIRECT("'"&amp;$A44&amp;"'!"&amp; "U" &amp; $B44)</f>
        <v>60.24</v>
      </c>
      <c r="S44" s="324" cm="1">
        <f t="array" aca="1" ref="S44" ca="1">INDIRECT("'"&amp;$A44&amp;"'!"&amp; "V" &amp; $B44)</f>
        <v>60.17</v>
      </c>
      <c r="T44" s="324" cm="1">
        <f t="array" aca="1" ref="T44" ca="1">INDIRECT("'"&amp;$A44&amp;"'!"&amp; "W" &amp; $B44)</f>
        <v>60.27</v>
      </c>
      <c r="U44" s="324" cm="1">
        <f t="array" aca="1" ref="U44" ca="1">INDIRECT("'"&amp;$A44&amp;"'!"&amp; "X" &amp; $B44)</f>
        <v>60.09</v>
      </c>
      <c r="V44" s="324" cm="1">
        <f t="array" aca="1" ref="V44" ca="1">INDIRECT("'"&amp;$A44&amp;"'!"&amp; "Y" &amp; $B44)</f>
        <v>60.2</v>
      </c>
      <c r="W44" s="324" cm="1">
        <f t="array" aca="1" ref="W44" ca="1">INDIRECT("'"&amp;$A44&amp;"'!"&amp; "Z" &amp; $B44)</f>
        <v>60.21</v>
      </c>
      <c r="X44" s="324" cm="1">
        <f t="array" aca="1" ref="X44" ca="1">INDIRECT("'"&amp;$A44&amp;"'!"&amp; "AA" &amp; $B44)</f>
        <v>60.12</v>
      </c>
      <c r="Y44" s="324" cm="1">
        <f t="array" aca="1" ref="Y44" ca="1">INDIRECT("'"&amp;$A44&amp;"'!"&amp; "AB" &amp; $B44)</f>
        <v>60.13</v>
      </c>
      <c r="Z44" s="324" cm="1">
        <f t="array" aca="1" ref="Z44" ca="1">INDIRECT("'"&amp;$A44&amp;"'!"&amp; "AC" &amp; $B44)</f>
        <v>60.11</v>
      </c>
    </row>
    <row r="45" spans="1:26" x14ac:dyDescent="0.25">
      <c r="A45" s="80">
        <v>11</v>
      </c>
      <c r="B45" s="80">
        <f t="shared" si="0"/>
        <v>109</v>
      </c>
      <c r="C45" s="324" cm="1">
        <f t="array" aca="1" ref="C45" ca="1">INDIRECT("'"&amp;$A45&amp;"'!"&amp; "F" &amp; $B45)</f>
        <v>60.08</v>
      </c>
      <c r="D45" s="324" cm="1">
        <f t="array" aca="1" ref="D45" ca="1">INDIRECT("'"&amp;$A45&amp;"'!"&amp; "g" &amp; $B45)</f>
        <v>60.14</v>
      </c>
      <c r="E45" s="324" cm="1">
        <f t="array" aca="1" ref="E45" ca="1">INDIRECT("'"&amp;$A45&amp;"'!"&amp; "H" &amp; $B45)</f>
        <v>60.05</v>
      </c>
      <c r="F45" s="324" cm="1">
        <f t="array" aca="1" ref="F45" ca="1">INDIRECT("'"&amp;$A45&amp;"'!"&amp; "I" &amp; $B45)</f>
        <v>60.13</v>
      </c>
      <c r="G45" s="324" cm="1">
        <f t="array" aca="1" ref="G45" ca="1">INDIRECT("'"&amp;$A45&amp;"'!"&amp; "J" &amp; $B45)</f>
        <v>60.02</v>
      </c>
      <c r="H45" s="324" cm="1">
        <f t="array" aca="1" ref="H45" ca="1">INDIRECT("'"&amp;$A45&amp;"'!"&amp; "K" &amp; $B45)</f>
        <v>60.09</v>
      </c>
      <c r="I45" s="324" cm="1">
        <f t="array" aca="1" ref="I45" ca="1">INDIRECT("'"&amp;$A45&amp;"'!"&amp; "L" &amp; $B45)</f>
        <v>60.22</v>
      </c>
      <c r="J45" s="324" cm="1">
        <f t="array" aca="1" ref="J45" ca="1">INDIRECT("'"&amp;$A45&amp;"'!"&amp; "M" &amp; $B45)</f>
        <v>60.29</v>
      </c>
      <c r="K45" s="324" cm="1">
        <f t="array" aca="1" ref="K45" ca="1">INDIRECT("'"&amp;$A45&amp;"'!"&amp; "N" &amp; $B45)</f>
        <v>60.18</v>
      </c>
      <c r="L45" s="324" cm="1">
        <f t="array" aca="1" ref="L45" ca="1">INDIRECT("'"&amp;$A45&amp;"'!"&amp; "O" &amp; $B45)</f>
        <v>60.17</v>
      </c>
      <c r="M45" s="324" cm="1">
        <f t="array" aca="1" ref="M45" ca="1">INDIRECT("'"&amp;$A45&amp;"'!"&amp; "P" &amp; $B45)</f>
        <v>60.12</v>
      </c>
      <c r="N45" s="324" cm="1">
        <f t="array" aca="1" ref="N45" ca="1">INDIRECT("'"&amp;$A45&amp;"'!"&amp; "Q" &amp; $B45)</f>
        <v>60.11</v>
      </c>
      <c r="O45" s="324" cm="1">
        <f t="array" aca="1" ref="O45" ca="1">INDIRECT("'"&amp;$A45&amp;"'!"&amp; "R" &amp; $B45)</f>
        <v>60.12</v>
      </c>
      <c r="P45" s="324" cm="1">
        <f t="array" aca="1" ref="P45" ca="1">INDIRECT("'"&amp;$A45&amp;"'!"&amp; "S" &amp; $B45)</f>
        <v>60.02</v>
      </c>
      <c r="Q45" s="324" cm="1">
        <f t="array" aca="1" ref="Q45" ca="1">INDIRECT("'"&amp;$A45&amp;"'!"&amp; "T" &amp; $B45)</f>
        <v>60.13</v>
      </c>
      <c r="R45" s="324" cm="1">
        <f t="array" aca="1" ref="R45" ca="1">INDIRECT("'"&amp;$A45&amp;"'!"&amp; "U" &amp; $B45)</f>
        <v>60.12</v>
      </c>
      <c r="S45" s="324" cm="1">
        <f t="array" aca="1" ref="S45" ca="1">INDIRECT("'"&amp;$A45&amp;"'!"&amp; "V" &amp; $B45)</f>
        <v>60.09</v>
      </c>
      <c r="T45" s="324" cm="1">
        <f t="array" aca="1" ref="T45" ca="1">INDIRECT("'"&amp;$A45&amp;"'!"&amp; "W" &amp; $B45)</f>
        <v>60.08</v>
      </c>
      <c r="U45" s="324" cm="1">
        <f t="array" aca="1" ref="U45" ca="1">INDIRECT("'"&amp;$A45&amp;"'!"&amp; "X" &amp; $B45)</f>
        <v>60.09</v>
      </c>
      <c r="V45" s="324" cm="1">
        <f t="array" aca="1" ref="V45" ca="1">INDIRECT("'"&amp;$A45&amp;"'!"&amp; "Y" &amp; $B45)</f>
        <v>60.13</v>
      </c>
      <c r="W45" s="324" cm="1">
        <f t="array" aca="1" ref="W45" ca="1">INDIRECT("'"&amp;$A45&amp;"'!"&amp; "Z" &amp; $B45)</f>
        <v>60.18</v>
      </c>
      <c r="X45" s="324" cm="1">
        <f t="array" aca="1" ref="X45" ca="1">INDIRECT("'"&amp;$A45&amp;"'!"&amp; "AA" &amp; $B45)</f>
        <v>60.13</v>
      </c>
      <c r="Y45" s="324" cm="1">
        <f t="array" aca="1" ref="Y45" ca="1">INDIRECT("'"&amp;$A45&amp;"'!"&amp; "AB" &amp; $B45)</f>
        <v>60.11</v>
      </c>
      <c r="Z45" s="324" cm="1">
        <f t="array" aca="1" ref="Z45" ca="1">INDIRECT("'"&amp;$A45&amp;"'!"&amp; "AC" &amp; $B45)</f>
        <v>60.11</v>
      </c>
    </row>
    <row r="46" spans="1:26" x14ac:dyDescent="0.25">
      <c r="A46" s="80">
        <v>12</v>
      </c>
      <c r="B46" s="80">
        <f t="shared" si="0"/>
        <v>109</v>
      </c>
      <c r="C46" s="324" cm="1">
        <f t="array" aca="1" ref="C46" ca="1">INDIRECT("'"&amp;$A46&amp;"'!"&amp; "F" &amp; $B46)</f>
        <v>60.2</v>
      </c>
      <c r="D46" s="324" cm="1">
        <f t="array" aca="1" ref="D46" ca="1">INDIRECT("'"&amp;$A46&amp;"'!"&amp; "g" &amp; $B46)</f>
        <v>60.05</v>
      </c>
      <c r="E46" s="324" cm="1">
        <f t="array" aca="1" ref="E46" ca="1">INDIRECT("'"&amp;$A46&amp;"'!"&amp; "H" &amp; $B46)</f>
        <v>60.09</v>
      </c>
      <c r="F46" s="324" cm="1">
        <f t="array" aca="1" ref="F46" ca="1">INDIRECT("'"&amp;$A46&amp;"'!"&amp; "I" &amp; $B46)</f>
        <v>60.1</v>
      </c>
      <c r="G46" s="324" cm="1">
        <f t="array" aca="1" ref="G46" ca="1">INDIRECT("'"&amp;$A46&amp;"'!"&amp; "J" &amp; $B46)</f>
        <v>60.15</v>
      </c>
      <c r="H46" s="324" cm="1">
        <f t="array" aca="1" ref="H46" ca="1">INDIRECT("'"&amp;$A46&amp;"'!"&amp; "K" &amp; $B46)</f>
        <v>60.03</v>
      </c>
      <c r="I46" s="324" cm="1">
        <f t="array" aca="1" ref="I46" ca="1">INDIRECT("'"&amp;$A46&amp;"'!"&amp; "L" &amp; $B46)</f>
        <v>60.14</v>
      </c>
      <c r="J46" s="324" cm="1">
        <f t="array" aca="1" ref="J46" ca="1">INDIRECT("'"&amp;$A46&amp;"'!"&amp; "M" &amp; $B46)</f>
        <v>60.17</v>
      </c>
      <c r="K46" s="324" cm="1">
        <f t="array" aca="1" ref="K46" ca="1">INDIRECT("'"&amp;$A46&amp;"'!"&amp; "N" &amp; $B46)</f>
        <v>60</v>
      </c>
      <c r="L46" s="324" cm="1">
        <f t="array" aca="1" ref="L46" ca="1">INDIRECT("'"&amp;$A46&amp;"'!"&amp; "O" &amp; $B46)</f>
        <v>60.14</v>
      </c>
      <c r="M46" s="324" cm="1">
        <f t="array" aca="1" ref="M46" ca="1">INDIRECT("'"&amp;$A46&amp;"'!"&amp; "P" &amp; $B46)</f>
        <v>59.99</v>
      </c>
      <c r="N46" s="324" cm="1">
        <f t="array" aca="1" ref="N46" ca="1">INDIRECT("'"&amp;$A46&amp;"'!"&amp; "Q" &amp; $B46)</f>
        <v>60.17</v>
      </c>
      <c r="O46" s="324" cm="1">
        <f t="array" aca="1" ref="O46" ca="1">INDIRECT("'"&amp;$A46&amp;"'!"&amp; "R" &amp; $B46)</f>
        <v>60.17</v>
      </c>
      <c r="P46" s="324" cm="1">
        <f t="array" aca="1" ref="P46" ca="1">INDIRECT("'"&amp;$A46&amp;"'!"&amp; "S" &amp; $B46)</f>
        <v>60.1</v>
      </c>
      <c r="Q46" s="324" cm="1">
        <f t="array" aca="1" ref="Q46" ca="1">INDIRECT("'"&amp;$A46&amp;"'!"&amp; "T" &amp; $B46)</f>
        <v>60.11</v>
      </c>
      <c r="R46" s="324" cm="1">
        <f t="array" aca="1" ref="R46" ca="1">INDIRECT("'"&amp;$A46&amp;"'!"&amp; "U" &amp; $B46)</f>
        <v>60.16</v>
      </c>
      <c r="S46" s="324" cm="1">
        <f t="array" aca="1" ref="S46" ca="1">INDIRECT("'"&amp;$A46&amp;"'!"&amp; "V" &amp; $B46)</f>
        <v>60.33</v>
      </c>
      <c r="T46" s="324" cm="1">
        <f t="array" aca="1" ref="T46" ca="1">INDIRECT("'"&amp;$A46&amp;"'!"&amp; "W" &amp; $B46)</f>
        <v>60.26</v>
      </c>
      <c r="U46" s="324" cm="1">
        <f t="array" aca="1" ref="U46" ca="1">INDIRECT("'"&amp;$A46&amp;"'!"&amp; "X" &amp; $B46)</f>
        <v>60.05</v>
      </c>
      <c r="V46" s="324" cm="1">
        <f t="array" aca="1" ref="V46" ca="1">INDIRECT("'"&amp;$A46&amp;"'!"&amp; "Y" &amp; $B46)</f>
        <v>60.15</v>
      </c>
      <c r="W46" s="324" cm="1">
        <f t="array" aca="1" ref="W46" ca="1">INDIRECT("'"&amp;$A46&amp;"'!"&amp; "Z" &amp; $B46)</f>
        <v>60.09</v>
      </c>
      <c r="X46" s="324" cm="1">
        <f t="array" aca="1" ref="X46" ca="1">INDIRECT("'"&amp;$A46&amp;"'!"&amp; "AA" &amp; $B46)</f>
        <v>60.09</v>
      </c>
      <c r="Y46" s="324" cm="1">
        <f t="array" aca="1" ref="Y46" ca="1">INDIRECT("'"&amp;$A46&amp;"'!"&amp; "AB" &amp; $B46)</f>
        <v>60.09</v>
      </c>
      <c r="Z46" s="324" cm="1">
        <f t="array" aca="1" ref="Z46" ca="1">INDIRECT("'"&amp;$A46&amp;"'!"&amp; "AC" &amp; $B46)</f>
        <v>60.19</v>
      </c>
    </row>
    <row r="47" spans="1:26" x14ac:dyDescent="0.25">
      <c r="A47" s="80">
        <v>13</v>
      </c>
      <c r="B47" s="80">
        <f t="shared" si="0"/>
        <v>109</v>
      </c>
      <c r="C47" s="324" cm="1">
        <f t="array" aca="1" ref="C47" ca="1">INDIRECT("'"&amp;$A47&amp;"'!"&amp; "F" &amp; $B47)</f>
        <v>60.3</v>
      </c>
      <c r="D47" s="324" cm="1">
        <f t="array" aca="1" ref="D47" ca="1">INDIRECT("'"&amp;$A47&amp;"'!"&amp; "g" &amp; $B47)</f>
        <v>60.13</v>
      </c>
      <c r="E47" s="324" cm="1">
        <f t="array" aca="1" ref="E47" ca="1">INDIRECT("'"&amp;$A47&amp;"'!"&amp; "H" &amp; $B47)</f>
        <v>60.02</v>
      </c>
      <c r="F47" s="324" cm="1">
        <f t="array" aca="1" ref="F47" ca="1">INDIRECT("'"&amp;$A47&amp;"'!"&amp; "I" &amp; $B47)</f>
        <v>60.07</v>
      </c>
      <c r="G47" s="324" cm="1">
        <f t="array" aca="1" ref="G47" ca="1">INDIRECT("'"&amp;$A47&amp;"'!"&amp; "J" &amp; $B47)</f>
        <v>60.09</v>
      </c>
      <c r="H47" s="324" cm="1">
        <f t="array" aca="1" ref="H47" ca="1">INDIRECT("'"&amp;$A47&amp;"'!"&amp; "K" &amp; $B47)</f>
        <v>60.04</v>
      </c>
      <c r="I47" s="324" cm="1">
        <f t="array" aca="1" ref="I47" ca="1">INDIRECT("'"&amp;$A47&amp;"'!"&amp; "L" &amp; $B47)</f>
        <v>60.03</v>
      </c>
      <c r="J47" s="324" cm="1">
        <f t="array" aca="1" ref="J47" ca="1">INDIRECT("'"&amp;$A47&amp;"'!"&amp; "M" &amp; $B47)</f>
        <v>60.18</v>
      </c>
      <c r="K47" s="324" cm="1">
        <f t="array" aca="1" ref="K47" ca="1">INDIRECT("'"&amp;$A47&amp;"'!"&amp; "N" &amp; $B47)</f>
        <v>60.16</v>
      </c>
      <c r="L47" s="324" cm="1">
        <f t="array" aca="1" ref="L47" ca="1">INDIRECT("'"&amp;$A47&amp;"'!"&amp; "O" &amp; $B47)</f>
        <v>60.11</v>
      </c>
      <c r="M47" s="324" cm="1">
        <f t="array" aca="1" ref="M47" ca="1">INDIRECT("'"&amp;$A47&amp;"'!"&amp; "P" &amp; $B47)</f>
        <v>60.07</v>
      </c>
      <c r="N47" s="324" cm="1">
        <f t="array" aca="1" ref="N47" ca="1">INDIRECT("'"&amp;$A47&amp;"'!"&amp; "Q" &amp; $B47)</f>
        <v>60.06</v>
      </c>
      <c r="O47" s="324" cm="1">
        <f t="array" aca="1" ref="O47" ca="1">INDIRECT("'"&amp;$A47&amp;"'!"&amp; "R" &amp; $B47)</f>
        <v>60.17</v>
      </c>
      <c r="P47" s="324" cm="1">
        <f t="array" aca="1" ref="P47" ca="1">INDIRECT("'"&amp;$A47&amp;"'!"&amp; "S" &amp; $B47)</f>
        <v>60.09</v>
      </c>
      <c r="Q47" s="324" cm="1">
        <f t="array" aca="1" ref="Q47" ca="1">INDIRECT("'"&amp;$A47&amp;"'!"&amp; "T" &amp; $B47)</f>
        <v>60.21</v>
      </c>
      <c r="R47" s="324" cm="1">
        <f t="array" aca="1" ref="R47" ca="1">INDIRECT("'"&amp;$A47&amp;"'!"&amp; "U" &amp; $B47)</f>
        <v>60.07</v>
      </c>
      <c r="S47" s="324" cm="1">
        <f t="array" aca="1" ref="S47" ca="1">INDIRECT("'"&amp;$A47&amp;"'!"&amp; "V" &amp; $B47)</f>
        <v>60.15</v>
      </c>
      <c r="T47" s="324" cm="1">
        <f t="array" aca="1" ref="T47" ca="1">INDIRECT("'"&amp;$A47&amp;"'!"&amp; "W" &amp; $B47)</f>
        <v>60.17</v>
      </c>
      <c r="U47" s="324" cm="1">
        <f t="array" aca="1" ref="U47" ca="1">INDIRECT("'"&amp;$A47&amp;"'!"&amp; "X" &amp; $B47)</f>
        <v>60.11</v>
      </c>
      <c r="V47" s="324" cm="1">
        <f t="array" aca="1" ref="V47" ca="1">INDIRECT("'"&amp;$A47&amp;"'!"&amp; "Y" &amp; $B47)</f>
        <v>60.17</v>
      </c>
      <c r="W47" s="324" cm="1">
        <f t="array" aca="1" ref="W47" ca="1">INDIRECT("'"&amp;$A47&amp;"'!"&amp; "Z" &amp; $B47)</f>
        <v>60.17</v>
      </c>
      <c r="X47" s="324" cm="1">
        <f t="array" aca="1" ref="X47" ca="1">INDIRECT("'"&amp;$A47&amp;"'!"&amp; "AA" &amp; $B47)</f>
        <v>60.13</v>
      </c>
      <c r="Y47" s="324" cm="1">
        <f t="array" aca="1" ref="Y47" ca="1">INDIRECT("'"&amp;$A47&amp;"'!"&amp; "AB" &amp; $B47)</f>
        <v>60.09</v>
      </c>
      <c r="Z47" s="324" cm="1">
        <f t="array" aca="1" ref="Z47" ca="1">INDIRECT("'"&amp;$A47&amp;"'!"&amp; "AC" &amp; $B47)</f>
        <v>60.21</v>
      </c>
    </row>
    <row r="48" spans="1:26" x14ac:dyDescent="0.25">
      <c r="A48" s="80">
        <v>14</v>
      </c>
      <c r="B48" s="80">
        <f t="shared" si="0"/>
        <v>109</v>
      </c>
      <c r="C48" s="324" cm="1">
        <f t="array" aca="1" ref="C48" ca="1">INDIRECT("'"&amp;$A48&amp;"'!"&amp; "F" &amp; $B48)</f>
        <v>60.06</v>
      </c>
      <c r="D48" s="324" cm="1">
        <f t="array" aca="1" ref="D48" ca="1">INDIRECT("'"&amp;$A48&amp;"'!"&amp; "g" &amp; $B48)</f>
        <v>60.11</v>
      </c>
      <c r="E48" s="324" cm="1">
        <f t="array" aca="1" ref="E48" ca="1">INDIRECT("'"&amp;$A48&amp;"'!"&amp; "H" &amp; $B48)</f>
        <v>60.08</v>
      </c>
      <c r="F48" s="324" cm="1">
        <f t="array" aca="1" ref="F48" ca="1">INDIRECT("'"&amp;$A48&amp;"'!"&amp; "I" &amp; $B48)</f>
        <v>60.14</v>
      </c>
      <c r="G48" s="324" cm="1">
        <f t="array" aca="1" ref="G48" ca="1">INDIRECT("'"&amp;$A48&amp;"'!"&amp; "J" &amp; $B48)</f>
        <v>60.16</v>
      </c>
      <c r="H48" s="324" cm="1">
        <f t="array" aca="1" ref="H48" ca="1">INDIRECT("'"&amp;$A48&amp;"'!"&amp; "K" &amp; $B48)</f>
        <v>60.06</v>
      </c>
      <c r="I48" s="324" cm="1">
        <f t="array" aca="1" ref="I48" ca="1">INDIRECT("'"&amp;$A48&amp;"'!"&amp; "L" &amp; $B48)</f>
        <v>60.11</v>
      </c>
      <c r="J48" s="324" cm="1">
        <f t="array" aca="1" ref="J48" ca="1">INDIRECT("'"&amp;$A48&amp;"'!"&amp; "M" &amp; $B48)</f>
        <v>60.2</v>
      </c>
      <c r="K48" s="324" cm="1">
        <f t="array" aca="1" ref="K48" ca="1">INDIRECT("'"&amp;$A48&amp;"'!"&amp; "N" &amp; $B48)</f>
        <v>60.07</v>
      </c>
      <c r="L48" s="324" cm="1">
        <f t="array" aca="1" ref="L48" ca="1">INDIRECT("'"&amp;$A48&amp;"'!"&amp; "O" &amp; $B48)</f>
        <v>60.17</v>
      </c>
      <c r="M48" s="324" cm="1">
        <f t="array" aca="1" ref="M48" ca="1">INDIRECT("'"&amp;$A48&amp;"'!"&amp; "P" &amp; $B48)</f>
        <v>60.09</v>
      </c>
      <c r="N48" s="324" cm="1">
        <f t="array" aca="1" ref="N48" ca="1">INDIRECT("'"&amp;$A48&amp;"'!"&amp; "Q" &amp; $B48)</f>
        <v>60.06</v>
      </c>
      <c r="O48" s="324" cm="1">
        <f t="array" aca="1" ref="O48" ca="1">INDIRECT("'"&amp;$A48&amp;"'!"&amp; "R" &amp; $B48)</f>
        <v>60.17</v>
      </c>
      <c r="P48" s="324" cm="1">
        <f t="array" aca="1" ref="P48" ca="1">INDIRECT("'"&amp;$A48&amp;"'!"&amp; "S" &amp; $B48)</f>
        <v>60.17</v>
      </c>
      <c r="Q48" s="324" cm="1">
        <f t="array" aca="1" ref="Q48" ca="1">INDIRECT("'"&amp;$A48&amp;"'!"&amp; "T" &amp; $B48)</f>
        <v>60.17</v>
      </c>
      <c r="R48" s="324" cm="1">
        <f t="array" aca="1" ref="R48" ca="1">INDIRECT("'"&amp;$A48&amp;"'!"&amp; "U" &amp; $B48)</f>
        <v>60.16</v>
      </c>
      <c r="S48" s="324" cm="1">
        <f t="array" aca="1" ref="S48" ca="1">INDIRECT("'"&amp;$A48&amp;"'!"&amp; "V" &amp; $B48)</f>
        <v>60.16</v>
      </c>
      <c r="T48" s="324" cm="1">
        <f t="array" aca="1" ref="T48" ca="1">INDIRECT("'"&amp;$A48&amp;"'!"&amp; "W" &amp; $B48)</f>
        <v>60.22</v>
      </c>
      <c r="U48" s="324" cm="1">
        <f t="array" aca="1" ref="U48" ca="1">INDIRECT("'"&amp;$A48&amp;"'!"&amp; "X" &amp; $B48)</f>
        <v>60.09</v>
      </c>
      <c r="V48" s="324" cm="1">
        <f t="array" aca="1" ref="V48" ca="1">INDIRECT("'"&amp;$A48&amp;"'!"&amp; "Y" &amp; $B48)</f>
        <v>60.09</v>
      </c>
      <c r="W48" s="324" cm="1">
        <f t="array" aca="1" ref="W48" ca="1">INDIRECT("'"&amp;$A48&amp;"'!"&amp; "Z" &amp; $B48)</f>
        <v>60.18</v>
      </c>
      <c r="X48" s="324" cm="1">
        <f t="array" aca="1" ref="X48" ca="1">INDIRECT("'"&amp;$A48&amp;"'!"&amp; "AA" &amp; $B48)</f>
        <v>60.24</v>
      </c>
      <c r="Y48" s="324" cm="1">
        <f t="array" aca="1" ref="Y48" ca="1">INDIRECT("'"&amp;$A48&amp;"'!"&amp; "AB" &amp; $B48)</f>
        <v>60.23</v>
      </c>
      <c r="Z48" s="324" cm="1">
        <f t="array" aca="1" ref="Z48" ca="1">INDIRECT("'"&amp;$A48&amp;"'!"&amp; "AC" &amp; $B48)</f>
        <v>60.24</v>
      </c>
    </row>
    <row r="49" spans="1:26" x14ac:dyDescent="0.25">
      <c r="A49" s="80">
        <v>15</v>
      </c>
      <c r="B49" s="80">
        <f t="shared" si="0"/>
        <v>109</v>
      </c>
      <c r="C49" s="324" cm="1">
        <f t="array" aca="1" ref="C49" ca="1">INDIRECT("'"&amp;$A49&amp;"'!"&amp; "F" &amp; $B49)</f>
        <v>60.16</v>
      </c>
      <c r="D49" s="324" cm="1">
        <f t="array" aca="1" ref="D49" ca="1">INDIRECT("'"&amp;$A49&amp;"'!"&amp; "g" &amp; $B49)</f>
        <v>60.13</v>
      </c>
      <c r="E49" s="324" cm="1">
        <f t="array" aca="1" ref="E49" ca="1">INDIRECT("'"&amp;$A49&amp;"'!"&amp; "H" &amp; $B49)</f>
        <v>60.12</v>
      </c>
      <c r="F49" s="324" cm="1">
        <f t="array" aca="1" ref="F49" ca="1">INDIRECT("'"&amp;$A49&amp;"'!"&amp; "I" &amp; $B49)</f>
        <v>60.17</v>
      </c>
      <c r="G49" s="324" cm="1">
        <f t="array" aca="1" ref="G49" ca="1">INDIRECT("'"&amp;$A49&amp;"'!"&amp; "J" &amp; $B49)</f>
        <v>60.21</v>
      </c>
      <c r="H49" s="324" cm="1">
        <f t="array" aca="1" ref="H49" ca="1">INDIRECT("'"&amp;$A49&amp;"'!"&amp; "K" &amp; $B49)</f>
        <v>60.12</v>
      </c>
      <c r="I49" s="324" cm="1">
        <f t="array" aca="1" ref="I49" ca="1">INDIRECT("'"&amp;$A49&amp;"'!"&amp; "L" &amp; $B49)</f>
        <v>60.17</v>
      </c>
      <c r="J49" s="324" cm="1">
        <f t="array" aca="1" ref="J49" ca="1">INDIRECT("'"&amp;$A49&amp;"'!"&amp; "M" &amp; $B49)</f>
        <v>60.17</v>
      </c>
      <c r="K49" s="324" cm="1">
        <f t="array" aca="1" ref="K49" ca="1">INDIRECT("'"&amp;$A49&amp;"'!"&amp; "N" &amp; $B49)</f>
        <v>60.13</v>
      </c>
      <c r="L49" s="324" cm="1">
        <f t="array" aca="1" ref="L49" ca="1">INDIRECT("'"&amp;$A49&amp;"'!"&amp; "O" &amp; $B49)</f>
        <v>60.06</v>
      </c>
      <c r="M49" s="324" cm="1">
        <f t="array" aca="1" ref="M49" ca="1">INDIRECT("'"&amp;$A49&amp;"'!"&amp; "P" &amp; $B49)</f>
        <v>60.17</v>
      </c>
      <c r="N49" s="324" cm="1">
        <f t="array" aca="1" ref="N49" ca="1">INDIRECT("'"&amp;$A49&amp;"'!"&amp; "Q" &amp; $B49)</f>
        <v>60.25</v>
      </c>
      <c r="O49" s="324" cm="1">
        <f t="array" aca="1" ref="O49" ca="1">INDIRECT("'"&amp;$A49&amp;"'!"&amp; "R" &amp; $B49)</f>
        <v>60.19</v>
      </c>
      <c r="P49" s="324" cm="1">
        <f t="array" aca="1" ref="P49" ca="1">INDIRECT("'"&amp;$A49&amp;"'!"&amp; "S" &amp; $B49)</f>
        <v>60.13</v>
      </c>
      <c r="Q49" s="324" cm="1">
        <f t="array" aca="1" ref="Q49" ca="1">INDIRECT("'"&amp;$A49&amp;"'!"&amp; "T" &amp; $B49)</f>
        <v>60.16</v>
      </c>
      <c r="R49" s="324" cm="1">
        <f t="array" aca="1" ref="R49" ca="1">INDIRECT("'"&amp;$A49&amp;"'!"&amp; "U" &amp; $B49)</f>
        <v>60.18</v>
      </c>
      <c r="S49" s="324" cm="1">
        <f t="array" aca="1" ref="S49" ca="1">INDIRECT("'"&amp;$A49&amp;"'!"&amp; "V" &amp; $B49)</f>
        <v>60.21</v>
      </c>
      <c r="T49" s="324" cm="1">
        <f t="array" aca="1" ref="T49" ca="1">INDIRECT("'"&amp;$A49&amp;"'!"&amp; "W" &amp; $B49)</f>
        <v>60.23</v>
      </c>
      <c r="U49" s="324" cm="1">
        <f t="array" aca="1" ref="U49" ca="1">INDIRECT("'"&amp;$A49&amp;"'!"&amp; "X" &amp; $B49)</f>
        <v>60.29</v>
      </c>
      <c r="V49" s="324" cm="1">
        <f t="array" aca="1" ref="V49" ca="1">INDIRECT("'"&amp;$A49&amp;"'!"&amp; "Y" &amp; $B49)</f>
        <v>60.33</v>
      </c>
      <c r="W49" s="324" cm="1">
        <f t="array" aca="1" ref="W49" ca="1">INDIRECT("'"&amp;$A49&amp;"'!"&amp; "Z" &amp; $B49)</f>
        <v>60.19</v>
      </c>
      <c r="X49" s="324" cm="1">
        <f t="array" aca="1" ref="X49" ca="1">INDIRECT("'"&amp;$A49&amp;"'!"&amp; "AA" &amp; $B49)</f>
        <v>60.27</v>
      </c>
      <c r="Y49" s="324" cm="1">
        <f t="array" aca="1" ref="Y49" ca="1">INDIRECT("'"&amp;$A49&amp;"'!"&amp; "AB" &amp; $B49)</f>
        <v>60.21</v>
      </c>
      <c r="Z49" s="324" cm="1">
        <f t="array" aca="1" ref="Z49" ca="1">INDIRECT("'"&amp;$A49&amp;"'!"&amp; "AC" &amp; $B49)</f>
        <v>60.32</v>
      </c>
    </row>
    <row r="50" spans="1:26" x14ac:dyDescent="0.25">
      <c r="A50" s="80">
        <v>16</v>
      </c>
      <c r="B50" s="80">
        <f t="shared" si="0"/>
        <v>109</v>
      </c>
      <c r="C50" s="324" cm="1">
        <f t="array" aca="1" ref="C50" ca="1">INDIRECT("'"&amp;$A50&amp;"'!"&amp; "F" &amp; $B50)</f>
        <v>60.36</v>
      </c>
      <c r="D50" s="324" cm="1">
        <f t="array" aca="1" ref="D50" ca="1">INDIRECT("'"&amp;$A50&amp;"'!"&amp; "g" &amp; $B50)</f>
        <v>60.32</v>
      </c>
      <c r="E50" s="324" cm="1">
        <f t="array" aca="1" ref="E50" ca="1">INDIRECT("'"&amp;$A50&amp;"'!"&amp; "H" &amp; $B50)</f>
        <v>60.27</v>
      </c>
      <c r="F50" s="324" cm="1">
        <f t="array" aca="1" ref="F50" ca="1">INDIRECT("'"&amp;$A50&amp;"'!"&amp; "I" &amp; $B50)</f>
        <v>60.31</v>
      </c>
      <c r="G50" s="324" cm="1">
        <f t="array" aca="1" ref="G50" ca="1">INDIRECT("'"&amp;$A50&amp;"'!"&amp; "J" &amp; $B50)</f>
        <v>60.3</v>
      </c>
      <c r="H50" s="324" cm="1">
        <f t="array" aca="1" ref="H50" ca="1">INDIRECT("'"&amp;$A50&amp;"'!"&amp; "K" &amp; $B50)</f>
        <v>60.29</v>
      </c>
      <c r="I50" s="324" cm="1">
        <f t="array" aca="1" ref="I50" ca="1">INDIRECT("'"&amp;$A50&amp;"'!"&amp; "L" &amp; $B50)</f>
        <v>60.3</v>
      </c>
      <c r="J50" s="324" cm="1">
        <f t="array" aca="1" ref="J50" ca="1">INDIRECT("'"&amp;$A50&amp;"'!"&amp; "M" &amp; $B50)</f>
        <v>60.3</v>
      </c>
      <c r="K50" s="324" cm="1">
        <f t="array" aca="1" ref="K50" ca="1">INDIRECT("'"&amp;$A50&amp;"'!"&amp; "N" &amp; $B50)</f>
        <v>60.28</v>
      </c>
      <c r="L50" s="324" cm="1">
        <f t="array" aca="1" ref="L50" ca="1">INDIRECT("'"&amp;$A50&amp;"'!"&amp; "O" &amp; $B50)</f>
        <v>60.26</v>
      </c>
      <c r="M50" s="324" cm="1">
        <f t="array" aca="1" ref="M50" ca="1">INDIRECT("'"&amp;$A50&amp;"'!"&amp; "P" &amp; $B50)</f>
        <v>60.35</v>
      </c>
      <c r="N50" s="324" cm="1">
        <f t="array" aca="1" ref="N50" ca="1">INDIRECT("'"&amp;$A50&amp;"'!"&amp; "Q" &amp; $B50)</f>
        <v>60.18</v>
      </c>
      <c r="O50" s="324" cm="1">
        <f t="array" aca="1" ref="O50" ca="1">INDIRECT("'"&amp;$A50&amp;"'!"&amp; "R" &amp; $B50)</f>
        <v>60.41</v>
      </c>
      <c r="P50" s="324" cm="1">
        <f t="array" aca="1" ref="P50" ca="1">INDIRECT("'"&amp;$A50&amp;"'!"&amp; "S" &amp; $B50)</f>
        <v>60.55</v>
      </c>
      <c r="Q50" s="324" cm="1">
        <f t="array" aca="1" ref="Q50" ca="1">INDIRECT("'"&amp;$A50&amp;"'!"&amp; "T" &amp; $B50)</f>
        <v>60.52</v>
      </c>
      <c r="R50" s="324" cm="1">
        <f t="array" aca="1" ref="R50" ca="1">INDIRECT("'"&amp;$A50&amp;"'!"&amp; "U" &amp; $B50)</f>
        <v>60.39</v>
      </c>
      <c r="S50" s="324" cm="1">
        <f t="array" aca="1" ref="S50" ca="1">INDIRECT("'"&amp;$A50&amp;"'!"&amp; "V" &amp; $B50)</f>
        <v>60.2</v>
      </c>
      <c r="T50" s="324" cm="1">
        <f t="array" aca="1" ref="T50" ca="1">INDIRECT("'"&amp;$A50&amp;"'!"&amp; "W" &amp; $B50)</f>
        <v>60.3</v>
      </c>
      <c r="U50" s="324" cm="1">
        <f t="array" aca="1" ref="U50" ca="1">INDIRECT("'"&amp;$A50&amp;"'!"&amp; "X" &amp; $B50)</f>
        <v>60.14</v>
      </c>
      <c r="V50" s="324" cm="1">
        <f t="array" aca="1" ref="V50" ca="1">INDIRECT("'"&amp;$A50&amp;"'!"&amp; "Y" &amp; $B50)</f>
        <v>60.12</v>
      </c>
      <c r="W50" s="324" cm="1">
        <f t="array" aca="1" ref="W50" ca="1">INDIRECT("'"&amp;$A50&amp;"'!"&amp; "Z" &amp; $B50)</f>
        <v>60.11</v>
      </c>
      <c r="X50" s="324" cm="1">
        <f t="array" aca="1" ref="X50" ca="1">INDIRECT("'"&amp;$A50&amp;"'!"&amp; "AA" &amp; $B50)</f>
        <v>60.17</v>
      </c>
      <c r="Y50" s="324" cm="1">
        <f t="array" aca="1" ref="Y50" ca="1">INDIRECT("'"&amp;$A50&amp;"'!"&amp; "AB" &amp; $B50)</f>
        <v>60.16</v>
      </c>
      <c r="Z50" s="324" cm="1">
        <f t="array" aca="1" ref="Z50" ca="1">INDIRECT("'"&amp;$A50&amp;"'!"&amp; "AC" &amp; $B50)</f>
        <v>60.16</v>
      </c>
    </row>
    <row r="51" spans="1:26" x14ac:dyDescent="0.25">
      <c r="A51" s="80">
        <v>17</v>
      </c>
      <c r="B51" s="80">
        <f t="shared" si="0"/>
        <v>109</v>
      </c>
      <c r="C51" s="324" cm="1">
        <f t="array" aca="1" ref="C51" ca="1">INDIRECT("'"&amp;$A51&amp;"'!"&amp; "F" &amp; $B51)</f>
        <v>60.12</v>
      </c>
      <c r="D51" s="324" cm="1">
        <f t="array" aca="1" ref="D51" ca="1">INDIRECT("'"&amp;$A51&amp;"'!"&amp; "g" &amp; $B51)</f>
        <v>60.27</v>
      </c>
      <c r="E51" s="324" cm="1">
        <f t="array" aca="1" ref="E51" ca="1">INDIRECT("'"&amp;$A51&amp;"'!"&amp; "H" &amp; $B51)</f>
        <v>60.15</v>
      </c>
      <c r="F51" s="324" cm="1">
        <f t="array" aca="1" ref="F51" ca="1">INDIRECT("'"&amp;$A51&amp;"'!"&amp; "I" &amp; $B51)</f>
        <v>60.13</v>
      </c>
      <c r="G51" s="324" cm="1">
        <f t="array" aca="1" ref="G51" ca="1">INDIRECT("'"&amp;$A51&amp;"'!"&amp; "J" &amp; $B51)</f>
        <v>60.15</v>
      </c>
      <c r="H51" s="324" cm="1">
        <f t="array" aca="1" ref="H51" ca="1">INDIRECT("'"&amp;$A51&amp;"'!"&amp; "K" &amp; $B51)</f>
        <v>60.12</v>
      </c>
      <c r="I51" s="324" cm="1">
        <f t="array" aca="1" ref="I51" ca="1">INDIRECT("'"&amp;$A51&amp;"'!"&amp; "L" &amp; $B51)</f>
        <v>60.07</v>
      </c>
      <c r="J51" s="324" cm="1">
        <f t="array" aca="1" ref="J51" ca="1">INDIRECT("'"&amp;$A51&amp;"'!"&amp; "M" &amp; $B51)</f>
        <v>60.26</v>
      </c>
      <c r="K51" s="324" cm="1">
        <f t="array" aca="1" ref="K51" ca="1">INDIRECT("'"&amp;$A51&amp;"'!"&amp; "N" &amp; $B51)</f>
        <v>60.11</v>
      </c>
      <c r="L51" s="324" cm="1">
        <f t="array" aca="1" ref="L51" ca="1">INDIRECT("'"&amp;$A51&amp;"'!"&amp; "O" &amp; $B51)</f>
        <v>60.13</v>
      </c>
      <c r="M51" s="324" cm="1">
        <f t="array" aca="1" ref="M51" ca="1">INDIRECT("'"&amp;$A51&amp;"'!"&amp; "P" &amp; $B51)</f>
        <v>60.11</v>
      </c>
      <c r="N51" s="324" cm="1">
        <f t="array" aca="1" ref="N51" ca="1">INDIRECT("'"&amp;$A51&amp;"'!"&amp; "Q" &amp; $B51)</f>
        <v>60.06</v>
      </c>
      <c r="O51" s="324" cm="1">
        <f t="array" aca="1" ref="O51" ca="1">INDIRECT("'"&amp;$A51&amp;"'!"&amp; "R" &amp; $B51)</f>
        <v>60.19</v>
      </c>
      <c r="P51" s="324" cm="1">
        <f t="array" aca="1" ref="P51" ca="1">INDIRECT("'"&amp;$A51&amp;"'!"&amp; "S" &amp; $B51)</f>
        <v>60.09</v>
      </c>
      <c r="Q51" s="324" cm="1">
        <f t="array" aca="1" ref="Q51" ca="1">INDIRECT("'"&amp;$A51&amp;"'!"&amp; "T" &amp; $B51)</f>
        <v>60.17</v>
      </c>
      <c r="R51" s="324" cm="1">
        <f t="array" aca="1" ref="R51" ca="1">INDIRECT("'"&amp;$A51&amp;"'!"&amp; "U" &amp; $B51)</f>
        <v>60.08</v>
      </c>
      <c r="S51" s="324" cm="1">
        <f t="array" aca="1" ref="S51" ca="1">INDIRECT("'"&amp;$A51&amp;"'!"&amp; "V" &amp; $B51)</f>
        <v>60.1</v>
      </c>
      <c r="T51" s="324" cm="1">
        <f t="array" aca="1" ref="T51" ca="1">INDIRECT("'"&amp;$A51&amp;"'!"&amp; "W" &amp; $B51)</f>
        <v>60.16</v>
      </c>
      <c r="U51" s="324" cm="1">
        <f t="array" aca="1" ref="U51" ca="1">INDIRECT("'"&amp;$A51&amp;"'!"&amp; "X" &amp; $B51)</f>
        <v>60.26</v>
      </c>
      <c r="V51" s="324" cm="1">
        <f t="array" aca="1" ref="V51" ca="1">INDIRECT("'"&amp;$A51&amp;"'!"&amp; "Y" &amp; $B51)</f>
        <v>60.16</v>
      </c>
      <c r="W51" s="324" cm="1">
        <f t="array" aca="1" ref="W51" ca="1">INDIRECT("'"&amp;$A51&amp;"'!"&amp; "Z" &amp; $B51)</f>
        <v>60.1</v>
      </c>
      <c r="X51" s="324" cm="1">
        <f t="array" aca="1" ref="X51" ca="1">INDIRECT("'"&amp;$A51&amp;"'!"&amp; "AA" &amp; $B51)</f>
        <v>60.2</v>
      </c>
      <c r="Y51" s="324" cm="1">
        <f t="array" aca="1" ref="Y51" ca="1">INDIRECT("'"&amp;$A51&amp;"'!"&amp; "AB" &amp; $B51)</f>
        <v>60.15</v>
      </c>
      <c r="Z51" s="324" cm="1">
        <f t="array" aca="1" ref="Z51" ca="1">INDIRECT("'"&amp;$A51&amp;"'!"&amp; "AC" &amp; $B51)</f>
        <v>60.15</v>
      </c>
    </row>
    <row r="52" spans="1:26" x14ac:dyDescent="0.25">
      <c r="A52" s="80">
        <v>18</v>
      </c>
      <c r="B52" s="80">
        <f t="shared" si="0"/>
        <v>109</v>
      </c>
      <c r="C52" s="324" cm="1">
        <f t="array" aca="1" ref="C52" ca="1">INDIRECT("'"&amp;$A52&amp;"'!"&amp; "F" &amp; $B52)</f>
        <v>60.17</v>
      </c>
      <c r="D52" s="324" cm="1">
        <f t="array" aca="1" ref="D52" ca="1">INDIRECT("'"&amp;$A52&amp;"'!"&amp; "g" &amp; $B52)</f>
        <v>60.22</v>
      </c>
      <c r="E52" s="324" cm="1">
        <f t="array" aca="1" ref="E52" ca="1">INDIRECT("'"&amp;$A52&amp;"'!"&amp; "H" &amp; $B52)</f>
        <v>60.11</v>
      </c>
      <c r="F52" s="324" cm="1">
        <f t="array" aca="1" ref="F52" ca="1">INDIRECT("'"&amp;$A52&amp;"'!"&amp; "I" &amp; $B52)</f>
        <v>60.24</v>
      </c>
      <c r="G52" s="324" cm="1">
        <f t="array" aca="1" ref="G52" ca="1">INDIRECT("'"&amp;$A52&amp;"'!"&amp; "J" &amp; $B52)</f>
        <v>60.14</v>
      </c>
      <c r="H52" s="324" cm="1">
        <f t="array" aca="1" ref="H52" ca="1">INDIRECT("'"&amp;$A52&amp;"'!"&amp; "K" &amp; $B52)</f>
        <v>60.06</v>
      </c>
      <c r="I52" s="324" cm="1">
        <f t="array" aca="1" ref="I52" ca="1">INDIRECT("'"&amp;$A52&amp;"'!"&amp; "L" &amp; $B52)</f>
        <v>60.31</v>
      </c>
      <c r="J52" s="324" cm="1">
        <f t="array" aca="1" ref="J52" ca="1">INDIRECT("'"&amp;$A52&amp;"'!"&amp; "M" &amp; $B52)</f>
        <v>60.06</v>
      </c>
      <c r="K52" s="324" cm="1">
        <f t="array" aca="1" ref="K52" ca="1">INDIRECT("'"&amp;$A52&amp;"'!"&amp; "N" &amp; $B52)</f>
        <v>60.07</v>
      </c>
      <c r="L52" s="324" cm="1">
        <f t="array" aca="1" ref="L52" ca="1">INDIRECT("'"&amp;$A52&amp;"'!"&amp; "O" &amp; $B52)</f>
        <v>60.13</v>
      </c>
      <c r="M52" s="324" cm="1">
        <f t="array" aca="1" ref="M52" ca="1">INDIRECT("'"&amp;$A52&amp;"'!"&amp; "P" &amp; $B52)</f>
        <v>60.16</v>
      </c>
      <c r="N52" s="324" cm="1">
        <f t="array" aca="1" ref="N52" ca="1">INDIRECT("'"&amp;$A52&amp;"'!"&amp; "Q" &amp; $B52)</f>
        <v>60.08</v>
      </c>
      <c r="O52" s="324" cm="1">
        <f t="array" aca="1" ref="O52" ca="1">INDIRECT("'"&amp;$A52&amp;"'!"&amp; "R" &amp; $B52)</f>
        <v>60.11</v>
      </c>
      <c r="P52" s="324" cm="1">
        <f t="array" aca="1" ref="P52" ca="1">INDIRECT("'"&amp;$A52&amp;"'!"&amp; "S" &amp; $B52)</f>
        <v>60.1</v>
      </c>
      <c r="Q52" s="324" cm="1">
        <f t="array" aca="1" ref="Q52" ca="1">INDIRECT("'"&amp;$A52&amp;"'!"&amp; "T" &amp; $B52)</f>
        <v>60.16</v>
      </c>
      <c r="R52" s="324" cm="1">
        <f t="array" aca="1" ref="R52" ca="1">INDIRECT("'"&amp;$A52&amp;"'!"&amp; "U" &amp; $B52)</f>
        <v>60.12</v>
      </c>
      <c r="S52" s="324" cm="1">
        <f t="array" aca="1" ref="S52" ca="1">INDIRECT("'"&amp;$A52&amp;"'!"&amp; "V" &amp; $B52)</f>
        <v>60.21</v>
      </c>
      <c r="T52" s="324" cm="1">
        <f t="array" aca="1" ref="T52" ca="1">INDIRECT("'"&amp;$A52&amp;"'!"&amp; "W" &amp; $B52)</f>
        <v>60.38</v>
      </c>
      <c r="U52" s="324" cm="1">
        <f t="array" aca="1" ref="U52" ca="1">INDIRECT("'"&amp;$A52&amp;"'!"&amp; "X" &amp; $B52)</f>
        <v>60.27</v>
      </c>
      <c r="V52" s="324" cm="1">
        <f t="array" aca="1" ref="V52" ca="1">INDIRECT("'"&amp;$A52&amp;"'!"&amp; "Y" &amp; $B52)</f>
        <v>60.14</v>
      </c>
      <c r="W52" s="324" cm="1">
        <f t="array" aca="1" ref="W52" ca="1">INDIRECT("'"&amp;$A52&amp;"'!"&amp; "Z" &amp; $B52)</f>
        <v>60.14</v>
      </c>
      <c r="X52" s="324" cm="1">
        <f t="array" aca="1" ref="X52" ca="1">INDIRECT("'"&amp;$A52&amp;"'!"&amp; "AA" &amp; $B52)</f>
        <v>60.69</v>
      </c>
      <c r="Y52" s="324" cm="1">
        <f t="array" aca="1" ref="Y52" ca="1">INDIRECT("'"&amp;$A52&amp;"'!"&amp; "AB" &amp; $B52)</f>
        <v>60.41</v>
      </c>
      <c r="Z52" s="324" cm="1">
        <f t="array" aca="1" ref="Z52" ca="1">INDIRECT("'"&amp;$A52&amp;"'!"&amp; "AC" &amp; $B52)</f>
        <v>60.22</v>
      </c>
    </row>
    <row r="53" spans="1:26" x14ac:dyDescent="0.25">
      <c r="A53" s="80">
        <v>19</v>
      </c>
      <c r="B53" s="80">
        <f t="shared" si="0"/>
        <v>109</v>
      </c>
      <c r="C53" s="324" cm="1">
        <f t="array" aca="1" ref="C53" ca="1">INDIRECT("'"&amp;$A53&amp;"'!"&amp; "F" &amp; $B53)</f>
        <v>60.16</v>
      </c>
      <c r="D53" s="324" cm="1">
        <f t="array" aca="1" ref="D53" ca="1">INDIRECT("'"&amp;$A53&amp;"'!"&amp; "g" &amp; $B53)</f>
        <v>60.13</v>
      </c>
      <c r="E53" s="324" cm="1">
        <f t="array" aca="1" ref="E53" ca="1">INDIRECT("'"&amp;$A53&amp;"'!"&amp; "H" &amp; $B53)</f>
        <v>60</v>
      </c>
      <c r="F53" s="324" cm="1">
        <f t="array" aca="1" ref="F53" ca="1">INDIRECT("'"&amp;$A53&amp;"'!"&amp; "I" &amp; $B53)</f>
        <v>60.2</v>
      </c>
      <c r="G53" s="324" cm="1">
        <f t="array" aca="1" ref="G53" ca="1">INDIRECT("'"&amp;$A53&amp;"'!"&amp; "J" &amp; $B53)</f>
        <v>60.26</v>
      </c>
      <c r="H53" s="324" cm="1">
        <f t="array" aca="1" ref="H53" ca="1">INDIRECT("'"&amp;$A53&amp;"'!"&amp; "K" &amp; $B53)</f>
        <v>60.06</v>
      </c>
      <c r="I53" s="324" cm="1">
        <f t="array" aca="1" ref="I53" ca="1">INDIRECT("'"&amp;$A53&amp;"'!"&amp; "L" &amp; $B53)</f>
        <v>60.15</v>
      </c>
      <c r="J53" s="324" cm="1">
        <f t="array" aca="1" ref="J53" ca="1">INDIRECT("'"&amp;$A53&amp;"'!"&amp; "M" &amp; $B53)</f>
        <v>60.15</v>
      </c>
      <c r="K53" s="324" cm="1">
        <f t="array" aca="1" ref="K53" ca="1">INDIRECT("'"&amp;$A53&amp;"'!"&amp; "N" &amp; $B53)</f>
        <v>60.06</v>
      </c>
      <c r="L53" s="324" cm="1">
        <f t="array" aca="1" ref="L53" ca="1">INDIRECT("'"&amp;$A53&amp;"'!"&amp; "O" &amp; $B53)</f>
        <v>60.15</v>
      </c>
      <c r="M53" s="324" cm="1">
        <f t="array" aca="1" ref="M53" ca="1">INDIRECT("'"&amp;$A53&amp;"'!"&amp; "P" &amp; $B53)</f>
        <v>60.13</v>
      </c>
      <c r="N53" s="324" cm="1">
        <f t="array" aca="1" ref="N53" ca="1">INDIRECT("'"&amp;$A53&amp;"'!"&amp; "Q" &amp; $B53)</f>
        <v>60.15</v>
      </c>
      <c r="O53" s="324" cm="1">
        <f t="array" aca="1" ref="O53" ca="1">INDIRECT("'"&amp;$A53&amp;"'!"&amp; "R" &amp; $B53)</f>
        <v>60.2</v>
      </c>
      <c r="P53" s="324" cm="1">
        <f t="array" aca="1" ref="P53" ca="1">INDIRECT("'"&amp;$A53&amp;"'!"&amp; "S" &amp; $B53)</f>
        <v>60.3</v>
      </c>
      <c r="Q53" s="324" cm="1">
        <f t="array" aca="1" ref="Q53" ca="1">INDIRECT("'"&amp;$A53&amp;"'!"&amp; "T" &amp; $B53)</f>
        <v>60.11</v>
      </c>
      <c r="R53" s="324" cm="1">
        <f t="array" aca="1" ref="R53" ca="1">INDIRECT("'"&amp;$A53&amp;"'!"&amp; "U" &amp; $B53)</f>
        <v>60.25</v>
      </c>
      <c r="S53" s="324" cm="1">
        <f t="array" aca="1" ref="S53" ca="1">INDIRECT("'"&amp;$A53&amp;"'!"&amp; "V" &amp; $B53)</f>
        <v>60.14</v>
      </c>
      <c r="T53" s="324" cm="1">
        <f t="array" aca="1" ref="T53" ca="1">INDIRECT("'"&amp;$A53&amp;"'!"&amp; "W" &amp; $B53)</f>
        <v>60.12</v>
      </c>
      <c r="U53" s="324" cm="1">
        <f t="array" aca="1" ref="U53" ca="1">INDIRECT("'"&amp;$A53&amp;"'!"&amp; "X" &amp; $B53)</f>
        <v>60.06</v>
      </c>
      <c r="V53" s="324" cm="1">
        <f t="array" aca="1" ref="V53" ca="1">INDIRECT("'"&amp;$A53&amp;"'!"&amp; "Y" &amp; $B53)</f>
        <v>60.18</v>
      </c>
      <c r="W53" s="324" cm="1">
        <f t="array" aca="1" ref="W53" ca="1">INDIRECT("'"&amp;$A53&amp;"'!"&amp; "Z" &amp; $B53)</f>
        <v>60.19</v>
      </c>
      <c r="X53" s="324" cm="1">
        <f t="array" aca="1" ref="X53" ca="1">INDIRECT("'"&amp;$A53&amp;"'!"&amp; "AA" &amp; $B53)</f>
        <v>60.2</v>
      </c>
      <c r="Y53" s="324" cm="1">
        <f t="array" aca="1" ref="Y53" ca="1">INDIRECT("'"&amp;$A53&amp;"'!"&amp; "AB" &amp; $B53)</f>
        <v>60.03</v>
      </c>
      <c r="Z53" s="324" cm="1">
        <f t="array" aca="1" ref="Z53" ca="1">INDIRECT("'"&amp;$A53&amp;"'!"&amp; "AC" &amp; $B53)</f>
        <v>60.16</v>
      </c>
    </row>
    <row r="54" spans="1:26" x14ac:dyDescent="0.25">
      <c r="A54" s="80">
        <v>20</v>
      </c>
      <c r="B54" s="80">
        <f t="shared" si="0"/>
        <v>109</v>
      </c>
      <c r="C54" s="324" cm="1">
        <f t="array" aca="1" ref="C54" ca="1">INDIRECT("'"&amp;$A54&amp;"'!"&amp; "F" &amp; $B54)</f>
        <v>60.2</v>
      </c>
      <c r="D54" s="324" cm="1">
        <f t="array" aca="1" ref="D54" ca="1">INDIRECT("'"&amp;$A54&amp;"'!"&amp; "g" &amp; $B54)</f>
        <v>60.18</v>
      </c>
      <c r="E54" s="324" cm="1">
        <f t="array" aca="1" ref="E54" ca="1">INDIRECT("'"&amp;$A54&amp;"'!"&amp; "H" &amp; $B54)</f>
        <v>60.21</v>
      </c>
      <c r="F54" s="324" cm="1">
        <f t="array" aca="1" ref="F54" ca="1">INDIRECT("'"&amp;$A54&amp;"'!"&amp; "I" &amp; $B54)</f>
        <v>60.13</v>
      </c>
      <c r="G54" s="324" cm="1">
        <f t="array" aca="1" ref="G54" ca="1">INDIRECT("'"&amp;$A54&amp;"'!"&amp; "J" &amp; $B54)</f>
        <v>60.22</v>
      </c>
      <c r="H54" s="324" cm="1">
        <f t="array" aca="1" ref="H54" ca="1">INDIRECT("'"&amp;$A54&amp;"'!"&amp; "K" &amp; $B54)</f>
        <v>60.28</v>
      </c>
      <c r="I54" s="324" cm="1">
        <f t="array" aca="1" ref="I54" ca="1">INDIRECT("'"&amp;$A54&amp;"'!"&amp; "L" &amp; $B54)</f>
        <v>60.04</v>
      </c>
      <c r="J54" s="324" cm="1">
        <f t="array" aca="1" ref="J54" ca="1">INDIRECT("'"&amp;$A54&amp;"'!"&amp; "M" &amp; $B54)</f>
        <v>60.33</v>
      </c>
      <c r="K54" s="324" cm="1">
        <f t="array" aca="1" ref="K54" ca="1">INDIRECT("'"&amp;$A54&amp;"'!"&amp; "N" &amp; $B54)</f>
        <v>60.2</v>
      </c>
      <c r="L54" s="324" cm="1">
        <f t="array" aca="1" ref="L54" ca="1">INDIRECT("'"&amp;$A54&amp;"'!"&amp; "O" &amp; $B54)</f>
        <v>60.12</v>
      </c>
      <c r="M54" s="324" cm="1">
        <f t="array" aca="1" ref="M54" ca="1">INDIRECT("'"&amp;$A54&amp;"'!"&amp; "P" &amp; $B54)</f>
        <v>60.16</v>
      </c>
      <c r="N54" s="324" cm="1">
        <f t="array" aca="1" ref="N54" ca="1">INDIRECT("'"&amp;$A54&amp;"'!"&amp; "Q" &amp; $B54)</f>
        <v>60.2</v>
      </c>
      <c r="O54" s="324" cm="1">
        <f t="array" aca="1" ref="O54" ca="1">INDIRECT("'"&amp;$A54&amp;"'!"&amp; "R" &amp; $B54)</f>
        <v>60.18</v>
      </c>
      <c r="P54" s="324" cm="1">
        <f t="array" aca="1" ref="P54" ca="1">INDIRECT("'"&amp;$A54&amp;"'!"&amp; "S" &amp; $B54)</f>
        <v>60.1</v>
      </c>
      <c r="Q54" s="324" cm="1">
        <f t="array" aca="1" ref="Q54" ca="1">INDIRECT("'"&amp;$A54&amp;"'!"&amp; "T" &amp; $B54)</f>
        <v>60.51</v>
      </c>
      <c r="R54" s="324" cm="1">
        <f t="array" aca="1" ref="R54" ca="1">INDIRECT("'"&amp;$A54&amp;"'!"&amp; "U" &amp; $B54)</f>
        <v>60.13</v>
      </c>
      <c r="S54" s="324" cm="1">
        <f t="array" aca="1" ref="S54" ca="1">INDIRECT("'"&amp;$A54&amp;"'!"&amp; "V" &amp; $B54)</f>
        <v>60.27</v>
      </c>
      <c r="T54" s="324" cm="1">
        <f t="array" aca="1" ref="T54" ca="1">INDIRECT("'"&amp;$A54&amp;"'!"&amp; "W" &amp; $B54)</f>
        <v>60.2</v>
      </c>
      <c r="U54" s="324" cm="1">
        <f t="array" aca="1" ref="U54" ca="1">INDIRECT("'"&amp;$A54&amp;"'!"&amp; "X" &amp; $B54)</f>
        <v>60.06</v>
      </c>
      <c r="V54" s="324" cm="1">
        <f t="array" aca="1" ref="V54" ca="1">INDIRECT("'"&amp;$A54&amp;"'!"&amp; "Y" &amp; $B54)</f>
        <v>0</v>
      </c>
      <c r="W54" s="324" cm="1">
        <f t="array" aca="1" ref="W54" ca="1">INDIRECT("'"&amp;$A54&amp;"'!"&amp; "Z" &amp; $B54)</f>
        <v>0</v>
      </c>
      <c r="X54" s="324" cm="1">
        <f t="array" aca="1" ref="X54" ca="1">INDIRECT("'"&amp;$A54&amp;"'!"&amp; "AA" &amp; $B54)</f>
        <v>0</v>
      </c>
      <c r="Y54" s="324" cm="1">
        <f t="array" aca="1" ref="Y54" ca="1">INDIRECT("'"&amp;$A54&amp;"'!"&amp; "AB" &amp; $B54)</f>
        <v>0</v>
      </c>
      <c r="Z54" s="324" cm="1">
        <f t="array" aca="1" ref="Z54" ca="1">INDIRECT("'"&amp;$A54&amp;"'!"&amp; "AC" &amp; $B54)</f>
        <v>0</v>
      </c>
    </row>
    <row r="55" spans="1:26" x14ac:dyDescent="0.25">
      <c r="A55" s="80">
        <v>21</v>
      </c>
      <c r="B55" s="80">
        <f t="shared" si="0"/>
        <v>109</v>
      </c>
      <c r="C55" s="324" t="e" cm="1">
        <f t="array" aca="1" ref="C55" ca="1">INDIRECT("'"&amp;$A55&amp;"'!"&amp; "F" &amp; $B55)</f>
        <v>#REF!</v>
      </c>
      <c r="D55" s="324" t="e" cm="1">
        <f t="array" aca="1" ref="D55" ca="1">INDIRECT("'"&amp;$A55&amp;"'!"&amp; "g" &amp; $B55)</f>
        <v>#REF!</v>
      </c>
      <c r="E55" s="324" t="e" cm="1">
        <f t="array" aca="1" ref="E55" ca="1">INDIRECT("'"&amp;$A55&amp;"'!"&amp; "H" &amp; $B55)</f>
        <v>#REF!</v>
      </c>
      <c r="F55" s="324" t="e" cm="1">
        <f t="array" aca="1" ref="F55" ca="1">INDIRECT("'"&amp;$A55&amp;"'!"&amp; "I" &amp; $B55)</f>
        <v>#REF!</v>
      </c>
      <c r="G55" s="324" t="e" cm="1">
        <f t="array" aca="1" ref="G55" ca="1">INDIRECT("'"&amp;$A55&amp;"'!"&amp; "J" &amp; $B55)</f>
        <v>#REF!</v>
      </c>
      <c r="H55" s="324" t="e" cm="1">
        <f t="array" aca="1" ref="H55" ca="1">INDIRECT("'"&amp;$A55&amp;"'!"&amp; "K" &amp; $B55)</f>
        <v>#REF!</v>
      </c>
      <c r="I55" s="324" t="e" cm="1">
        <f t="array" aca="1" ref="I55" ca="1">INDIRECT("'"&amp;$A55&amp;"'!"&amp; "L" &amp; $B55)</f>
        <v>#REF!</v>
      </c>
      <c r="J55" s="324" t="e" cm="1">
        <f t="array" aca="1" ref="J55" ca="1">INDIRECT("'"&amp;$A55&amp;"'!"&amp; "M" &amp; $B55)</f>
        <v>#REF!</v>
      </c>
      <c r="K55" s="324" t="e" cm="1">
        <f t="array" aca="1" ref="K55" ca="1">INDIRECT("'"&amp;$A55&amp;"'!"&amp; "N" &amp; $B55)</f>
        <v>#REF!</v>
      </c>
      <c r="L55" s="324" t="e" cm="1">
        <f t="array" aca="1" ref="L55" ca="1">INDIRECT("'"&amp;$A55&amp;"'!"&amp; "O" &amp; $B55)</f>
        <v>#REF!</v>
      </c>
      <c r="M55" s="324" t="e" cm="1">
        <f t="array" aca="1" ref="M55" ca="1">INDIRECT("'"&amp;$A55&amp;"'!"&amp; "P" &amp; $B55)</f>
        <v>#REF!</v>
      </c>
      <c r="N55" s="324" t="e" cm="1">
        <f t="array" aca="1" ref="N55" ca="1">INDIRECT("'"&amp;$A55&amp;"'!"&amp; "Q" &amp; $B55)</f>
        <v>#REF!</v>
      </c>
      <c r="O55" s="324" t="e" cm="1">
        <f t="array" aca="1" ref="O55" ca="1">INDIRECT("'"&amp;$A55&amp;"'!"&amp; "R" &amp; $B55)</f>
        <v>#REF!</v>
      </c>
      <c r="P55" s="324" t="e" cm="1">
        <f t="array" aca="1" ref="P55" ca="1">INDIRECT("'"&amp;$A55&amp;"'!"&amp; "S" &amp; $B55)</f>
        <v>#REF!</v>
      </c>
      <c r="Q55" s="324" t="e" cm="1">
        <f t="array" aca="1" ref="Q55" ca="1">INDIRECT("'"&amp;$A55&amp;"'!"&amp; "T" &amp; $B55)</f>
        <v>#REF!</v>
      </c>
      <c r="R55" s="324" t="e" cm="1">
        <f t="array" aca="1" ref="R55" ca="1">INDIRECT("'"&amp;$A55&amp;"'!"&amp; "U" &amp; $B55)</f>
        <v>#REF!</v>
      </c>
      <c r="S55" s="324" t="e" cm="1">
        <f t="array" aca="1" ref="S55" ca="1">INDIRECT("'"&amp;$A55&amp;"'!"&amp; "V" &amp; $B55)</f>
        <v>#REF!</v>
      </c>
      <c r="T55" s="324" t="e" cm="1">
        <f t="array" aca="1" ref="T55" ca="1">INDIRECT("'"&amp;$A55&amp;"'!"&amp; "W" &amp; $B55)</f>
        <v>#REF!</v>
      </c>
      <c r="U55" s="324" t="e" cm="1">
        <f t="array" aca="1" ref="U55" ca="1">INDIRECT("'"&amp;$A55&amp;"'!"&amp; "X" &amp; $B55)</f>
        <v>#REF!</v>
      </c>
      <c r="V55" s="324" t="e" cm="1">
        <f t="array" aca="1" ref="V55" ca="1">INDIRECT("'"&amp;$A55&amp;"'!"&amp; "Y" &amp; $B55)</f>
        <v>#REF!</v>
      </c>
      <c r="W55" s="324" t="e" cm="1">
        <f t="array" aca="1" ref="W55" ca="1">INDIRECT("'"&amp;$A55&amp;"'!"&amp; "Z" &amp; $B55)</f>
        <v>#REF!</v>
      </c>
      <c r="X55" s="324" t="e" cm="1">
        <f t="array" aca="1" ref="X55" ca="1">INDIRECT("'"&amp;$A55&amp;"'!"&amp; "AA" &amp; $B55)</f>
        <v>#REF!</v>
      </c>
      <c r="Y55" s="324" t="e" cm="1">
        <f t="array" aca="1" ref="Y55" ca="1">INDIRECT("'"&amp;$A55&amp;"'!"&amp; "AB" &amp; $B55)</f>
        <v>#REF!</v>
      </c>
      <c r="Z55" s="324" t="e" cm="1">
        <f t="array" aca="1" ref="Z55" ca="1">INDIRECT("'"&amp;$A55&amp;"'!"&amp; "AC" &amp; $B55)</f>
        <v>#REF!</v>
      </c>
    </row>
    <row r="56" spans="1:26" x14ac:dyDescent="0.25">
      <c r="A56" s="80">
        <v>22</v>
      </c>
      <c r="B56" s="80">
        <f t="shared" si="0"/>
        <v>109</v>
      </c>
      <c r="C56" s="324" t="e" cm="1">
        <f t="array" aca="1" ref="C56" ca="1">INDIRECT("'"&amp;$A56&amp;"'!"&amp; "F" &amp; $B56)</f>
        <v>#REF!</v>
      </c>
      <c r="D56" s="324" t="e" cm="1">
        <f t="array" aca="1" ref="D56" ca="1">INDIRECT("'"&amp;$A56&amp;"'!"&amp; "g" &amp; $B56)</f>
        <v>#REF!</v>
      </c>
      <c r="E56" s="324" t="e" cm="1">
        <f t="array" aca="1" ref="E56" ca="1">INDIRECT("'"&amp;$A56&amp;"'!"&amp; "H" &amp; $B56)</f>
        <v>#REF!</v>
      </c>
      <c r="F56" s="324" t="e" cm="1">
        <f t="array" aca="1" ref="F56" ca="1">INDIRECT("'"&amp;$A56&amp;"'!"&amp; "I" &amp; $B56)</f>
        <v>#REF!</v>
      </c>
      <c r="G56" s="324" t="e" cm="1">
        <f t="array" aca="1" ref="G56" ca="1">INDIRECT("'"&amp;$A56&amp;"'!"&amp; "J" &amp; $B56)</f>
        <v>#REF!</v>
      </c>
      <c r="H56" s="324" t="e" cm="1">
        <f t="array" aca="1" ref="H56" ca="1">INDIRECT("'"&amp;$A56&amp;"'!"&amp; "K" &amp; $B56)</f>
        <v>#REF!</v>
      </c>
      <c r="I56" s="324" t="e" cm="1">
        <f t="array" aca="1" ref="I56" ca="1">INDIRECT("'"&amp;$A56&amp;"'!"&amp; "L" &amp; $B56)</f>
        <v>#REF!</v>
      </c>
      <c r="J56" s="324" t="e" cm="1">
        <f t="array" aca="1" ref="J56" ca="1">INDIRECT("'"&amp;$A56&amp;"'!"&amp; "M" &amp; $B56)</f>
        <v>#REF!</v>
      </c>
      <c r="K56" s="324" t="e" cm="1">
        <f t="array" aca="1" ref="K56" ca="1">INDIRECT("'"&amp;$A56&amp;"'!"&amp; "N" &amp; $B56)</f>
        <v>#REF!</v>
      </c>
      <c r="L56" s="324" t="e" cm="1">
        <f t="array" aca="1" ref="L56" ca="1">INDIRECT("'"&amp;$A56&amp;"'!"&amp; "O" &amp; $B56)</f>
        <v>#REF!</v>
      </c>
      <c r="M56" s="324" t="e" cm="1">
        <f t="array" aca="1" ref="M56" ca="1">INDIRECT("'"&amp;$A56&amp;"'!"&amp; "P" &amp; $B56)</f>
        <v>#REF!</v>
      </c>
      <c r="N56" s="324" t="e" cm="1">
        <f t="array" aca="1" ref="N56" ca="1">INDIRECT("'"&amp;$A56&amp;"'!"&amp; "Q" &amp; $B56)</f>
        <v>#REF!</v>
      </c>
      <c r="O56" s="324" t="e" cm="1">
        <f t="array" aca="1" ref="O56" ca="1">INDIRECT("'"&amp;$A56&amp;"'!"&amp; "R" &amp; $B56)</f>
        <v>#REF!</v>
      </c>
      <c r="P56" s="324" t="e" cm="1">
        <f t="array" aca="1" ref="P56" ca="1">INDIRECT("'"&amp;$A56&amp;"'!"&amp; "S" &amp; $B56)</f>
        <v>#REF!</v>
      </c>
      <c r="Q56" s="324" t="e" cm="1">
        <f t="array" aca="1" ref="Q56" ca="1">INDIRECT("'"&amp;$A56&amp;"'!"&amp; "T" &amp; $B56)</f>
        <v>#REF!</v>
      </c>
      <c r="R56" s="324" t="e" cm="1">
        <f t="array" aca="1" ref="R56" ca="1">INDIRECT("'"&amp;$A56&amp;"'!"&amp; "U" &amp; $B56)</f>
        <v>#REF!</v>
      </c>
      <c r="S56" s="324" t="e" cm="1">
        <f t="array" aca="1" ref="S56" ca="1">INDIRECT("'"&amp;$A56&amp;"'!"&amp; "V" &amp; $B56)</f>
        <v>#REF!</v>
      </c>
      <c r="T56" s="324" t="e" cm="1">
        <f t="array" aca="1" ref="T56" ca="1">INDIRECT("'"&amp;$A56&amp;"'!"&amp; "W" &amp; $B56)</f>
        <v>#REF!</v>
      </c>
      <c r="U56" s="324" t="e" cm="1">
        <f t="array" aca="1" ref="U56" ca="1">INDIRECT("'"&amp;$A56&amp;"'!"&amp; "X" &amp; $B56)</f>
        <v>#REF!</v>
      </c>
      <c r="V56" s="324" t="e" cm="1">
        <f t="array" aca="1" ref="V56" ca="1">INDIRECT("'"&amp;$A56&amp;"'!"&amp; "Y" &amp; $B56)</f>
        <v>#REF!</v>
      </c>
      <c r="W56" s="324" t="e" cm="1">
        <f t="array" aca="1" ref="W56" ca="1">INDIRECT("'"&amp;$A56&amp;"'!"&amp; "Z" &amp; $B56)</f>
        <v>#REF!</v>
      </c>
      <c r="X56" s="324" t="e" cm="1">
        <f t="array" aca="1" ref="X56" ca="1">INDIRECT("'"&amp;$A56&amp;"'!"&amp; "AA" &amp; $B56)</f>
        <v>#REF!</v>
      </c>
      <c r="Y56" s="324" t="e" cm="1">
        <f t="array" aca="1" ref="Y56" ca="1">INDIRECT("'"&amp;$A56&amp;"'!"&amp; "AB" &amp; $B56)</f>
        <v>#REF!</v>
      </c>
      <c r="Z56" s="324" t="e" cm="1">
        <f t="array" aca="1" ref="Z56" ca="1">INDIRECT("'"&amp;$A56&amp;"'!"&amp; "AC" &amp; $B56)</f>
        <v>#REF!</v>
      </c>
    </row>
    <row r="57" spans="1:26" x14ac:dyDescent="0.25">
      <c r="A57" s="80">
        <v>23</v>
      </c>
      <c r="B57" s="80">
        <f t="shared" si="0"/>
        <v>109</v>
      </c>
      <c r="C57" s="324" t="e" cm="1">
        <f t="array" aca="1" ref="C57" ca="1">INDIRECT("'"&amp;$A57&amp;"'!"&amp; "F" &amp; $B57)</f>
        <v>#REF!</v>
      </c>
      <c r="D57" s="324" t="e" cm="1">
        <f t="array" aca="1" ref="D57" ca="1">INDIRECT("'"&amp;$A57&amp;"'!"&amp; "g" &amp; $B57)</f>
        <v>#REF!</v>
      </c>
      <c r="E57" s="324" t="e" cm="1">
        <f t="array" aca="1" ref="E57" ca="1">INDIRECT("'"&amp;$A57&amp;"'!"&amp; "H" &amp; $B57)</f>
        <v>#REF!</v>
      </c>
      <c r="F57" s="324" t="e" cm="1">
        <f t="array" aca="1" ref="F57" ca="1">INDIRECT("'"&amp;$A57&amp;"'!"&amp; "I" &amp; $B57)</f>
        <v>#REF!</v>
      </c>
      <c r="G57" s="324" t="e" cm="1">
        <f t="array" aca="1" ref="G57" ca="1">INDIRECT("'"&amp;$A57&amp;"'!"&amp; "J" &amp; $B57)</f>
        <v>#REF!</v>
      </c>
      <c r="H57" s="324" t="e" cm="1">
        <f t="array" aca="1" ref="H57" ca="1">INDIRECT("'"&amp;$A57&amp;"'!"&amp; "K" &amp; $B57)</f>
        <v>#REF!</v>
      </c>
      <c r="I57" s="324" t="e" cm="1">
        <f t="array" aca="1" ref="I57" ca="1">INDIRECT("'"&amp;$A57&amp;"'!"&amp; "L" &amp; $B57)</f>
        <v>#REF!</v>
      </c>
      <c r="J57" s="324" t="e" cm="1">
        <f t="array" aca="1" ref="J57" ca="1">INDIRECT("'"&amp;$A57&amp;"'!"&amp; "M" &amp; $B57)</f>
        <v>#REF!</v>
      </c>
      <c r="K57" s="324" t="e" cm="1">
        <f t="array" aca="1" ref="K57" ca="1">INDIRECT("'"&amp;$A57&amp;"'!"&amp; "N" &amp; $B57)</f>
        <v>#REF!</v>
      </c>
      <c r="L57" s="324" t="e" cm="1">
        <f t="array" aca="1" ref="L57" ca="1">INDIRECT("'"&amp;$A57&amp;"'!"&amp; "O" &amp; $B57)</f>
        <v>#REF!</v>
      </c>
      <c r="M57" s="324" t="e" cm="1">
        <f t="array" aca="1" ref="M57" ca="1">INDIRECT("'"&amp;$A57&amp;"'!"&amp; "P" &amp; $B57)</f>
        <v>#REF!</v>
      </c>
      <c r="N57" s="324" t="e" cm="1">
        <f t="array" aca="1" ref="N57" ca="1">INDIRECT("'"&amp;$A57&amp;"'!"&amp; "Q" &amp; $B57)</f>
        <v>#REF!</v>
      </c>
      <c r="O57" s="324" t="e" cm="1">
        <f t="array" aca="1" ref="O57" ca="1">INDIRECT("'"&amp;$A57&amp;"'!"&amp; "R" &amp; $B57)</f>
        <v>#REF!</v>
      </c>
      <c r="P57" s="324" t="e" cm="1">
        <f t="array" aca="1" ref="P57" ca="1">INDIRECT("'"&amp;$A57&amp;"'!"&amp; "S" &amp; $B57)</f>
        <v>#REF!</v>
      </c>
      <c r="Q57" s="324" t="e" cm="1">
        <f t="array" aca="1" ref="Q57" ca="1">INDIRECT("'"&amp;$A57&amp;"'!"&amp; "T" &amp; $B57)</f>
        <v>#REF!</v>
      </c>
      <c r="R57" s="324" t="e" cm="1">
        <f t="array" aca="1" ref="R57" ca="1">INDIRECT("'"&amp;$A57&amp;"'!"&amp; "U" &amp; $B57)</f>
        <v>#REF!</v>
      </c>
      <c r="S57" s="324" t="e" cm="1">
        <f t="array" aca="1" ref="S57" ca="1">INDIRECT("'"&amp;$A57&amp;"'!"&amp; "V" &amp; $B57)</f>
        <v>#REF!</v>
      </c>
      <c r="T57" s="324" t="e" cm="1">
        <f t="array" aca="1" ref="T57" ca="1">INDIRECT("'"&amp;$A57&amp;"'!"&amp; "W" &amp; $B57)</f>
        <v>#REF!</v>
      </c>
      <c r="U57" s="324" t="e" cm="1">
        <f t="array" aca="1" ref="U57" ca="1">INDIRECT("'"&amp;$A57&amp;"'!"&amp; "X" &amp; $B57)</f>
        <v>#REF!</v>
      </c>
      <c r="V57" s="324" t="e" cm="1">
        <f t="array" aca="1" ref="V57" ca="1">INDIRECT("'"&amp;$A57&amp;"'!"&amp; "Y" &amp; $B57)</f>
        <v>#REF!</v>
      </c>
      <c r="W57" s="324" t="e" cm="1">
        <f t="array" aca="1" ref="W57" ca="1">INDIRECT("'"&amp;$A57&amp;"'!"&amp; "Z" &amp; $B57)</f>
        <v>#REF!</v>
      </c>
      <c r="X57" s="324" t="e" cm="1">
        <f t="array" aca="1" ref="X57" ca="1">INDIRECT("'"&amp;$A57&amp;"'!"&amp; "AA" &amp; $B57)</f>
        <v>#REF!</v>
      </c>
      <c r="Y57" s="324" t="e" cm="1">
        <f t="array" aca="1" ref="Y57" ca="1">INDIRECT("'"&amp;$A57&amp;"'!"&amp; "AB" &amp; $B57)</f>
        <v>#REF!</v>
      </c>
      <c r="Z57" s="324" t="e" cm="1">
        <f t="array" aca="1" ref="Z57" ca="1">INDIRECT("'"&amp;$A57&amp;"'!"&amp; "AC" &amp; $B57)</f>
        <v>#REF!</v>
      </c>
    </row>
    <row r="58" spans="1:26" x14ac:dyDescent="0.25">
      <c r="A58" s="80">
        <v>24</v>
      </c>
      <c r="B58" s="80">
        <f t="shared" si="0"/>
        <v>109</v>
      </c>
      <c r="C58" s="324" t="e" cm="1">
        <f t="array" aca="1" ref="C58" ca="1">INDIRECT("'"&amp;$A58&amp;"'!"&amp; "F" &amp; $B58)</f>
        <v>#REF!</v>
      </c>
      <c r="D58" s="324" t="e" cm="1">
        <f t="array" aca="1" ref="D58" ca="1">INDIRECT("'"&amp;$A58&amp;"'!"&amp; "g" &amp; $B58)</f>
        <v>#REF!</v>
      </c>
      <c r="E58" s="324" t="e" cm="1">
        <f t="array" aca="1" ref="E58" ca="1">INDIRECT("'"&amp;$A58&amp;"'!"&amp; "H" &amp; $B58)</f>
        <v>#REF!</v>
      </c>
      <c r="F58" s="324" t="e" cm="1">
        <f t="array" aca="1" ref="F58" ca="1">INDIRECT("'"&amp;$A58&amp;"'!"&amp; "I" &amp; $B58)</f>
        <v>#REF!</v>
      </c>
      <c r="G58" s="324" t="e" cm="1">
        <f t="array" aca="1" ref="G58" ca="1">INDIRECT("'"&amp;$A58&amp;"'!"&amp; "J" &amp; $B58)</f>
        <v>#REF!</v>
      </c>
      <c r="H58" s="324" t="e" cm="1">
        <f t="array" aca="1" ref="H58" ca="1">INDIRECT("'"&amp;$A58&amp;"'!"&amp; "K" &amp; $B58)</f>
        <v>#REF!</v>
      </c>
      <c r="I58" s="324" t="e" cm="1">
        <f t="array" aca="1" ref="I58" ca="1">INDIRECT("'"&amp;$A58&amp;"'!"&amp; "L" &amp; $B58)</f>
        <v>#REF!</v>
      </c>
      <c r="J58" s="324" t="e" cm="1">
        <f t="array" aca="1" ref="J58" ca="1">INDIRECT("'"&amp;$A58&amp;"'!"&amp; "M" &amp; $B58)</f>
        <v>#REF!</v>
      </c>
      <c r="K58" s="324" t="e" cm="1">
        <f t="array" aca="1" ref="K58" ca="1">INDIRECT("'"&amp;$A58&amp;"'!"&amp; "N" &amp; $B58)</f>
        <v>#REF!</v>
      </c>
      <c r="L58" s="324" t="e" cm="1">
        <f t="array" aca="1" ref="L58" ca="1">INDIRECT("'"&amp;$A58&amp;"'!"&amp; "O" &amp; $B58)</f>
        <v>#REF!</v>
      </c>
      <c r="M58" s="324" t="e" cm="1">
        <f t="array" aca="1" ref="M58" ca="1">INDIRECT("'"&amp;$A58&amp;"'!"&amp; "P" &amp; $B58)</f>
        <v>#REF!</v>
      </c>
      <c r="N58" s="324" t="e" cm="1">
        <f t="array" aca="1" ref="N58" ca="1">INDIRECT("'"&amp;$A58&amp;"'!"&amp; "Q" &amp; $B58)</f>
        <v>#REF!</v>
      </c>
      <c r="O58" s="324" t="e" cm="1">
        <f t="array" aca="1" ref="O58" ca="1">INDIRECT("'"&amp;$A58&amp;"'!"&amp; "R" &amp; $B58)</f>
        <v>#REF!</v>
      </c>
      <c r="P58" s="324" t="e" cm="1">
        <f t="array" aca="1" ref="P58" ca="1">INDIRECT("'"&amp;$A58&amp;"'!"&amp; "S" &amp; $B58)</f>
        <v>#REF!</v>
      </c>
      <c r="Q58" s="324" t="e" cm="1">
        <f t="array" aca="1" ref="Q58" ca="1">INDIRECT("'"&amp;$A58&amp;"'!"&amp; "T" &amp; $B58)</f>
        <v>#REF!</v>
      </c>
      <c r="R58" s="324" t="e" cm="1">
        <f t="array" aca="1" ref="R58" ca="1">INDIRECT("'"&amp;$A58&amp;"'!"&amp; "U" &amp; $B58)</f>
        <v>#REF!</v>
      </c>
      <c r="S58" s="324" t="e" cm="1">
        <f t="array" aca="1" ref="S58" ca="1">INDIRECT("'"&amp;$A58&amp;"'!"&amp; "V" &amp; $B58)</f>
        <v>#REF!</v>
      </c>
      <c r="T58" s="324" t="e" cm="1">
        <f t="array" aca="1" ref="T58" ca="1">INDIRECT("'"&amp;$A58&amp;"'!"&amp; "W" &amp; $B58)</f>
        <v>#REF!</v>
      </c>
      <c r="U58" s="324" t="e" cm="1">
        <f t="array" aca="1" ref="U58" ca="1">INDIRECT("'"&amp;$A58&amp;"'!"&amp; "X" &amp; $B58)</f>
        <v>#REF!</v>
      </c>
      <c r="V58" s="324" t="e" cm="1">
        <f t="array" aca="1" ref="V58" ca="1">INDIRECT("'"&amp;$A58&amp;"'!"&amp; "Y" &amp; $B58)</f>
        <v>#REF!</v>
      </c>
      <c r="W58" s="324" t="e" cm="1">
        <f t="array" aca="1" ref="W58" ca="1">INDIRECT("'"&amp;$A58&amp;"'!"&amp; "Z" &amp; $B58)</f>
        <v>#REF!</v>
      </c>
      <c r="X58" s="324" t="e" cm="1">
        <f t="array" aca="1" ref="X58" ca="1">INDIRECT("'"&amp;$A58&amp;"'!"&amp; "AA" &amp; $B58)</f>
        <v>#REF!</v>
      </c>
      <c r="Y58" s="324" t="e" cm="1">
        <f t="array" aca="1" ref="Y58" ca="1">INDIRECT("'"&amp;$A58&amp;"'!"&amp; "AB" &amp; $B58)</f>
        <v>#REF!</v>
      </c>
      <c r="Z58" s="324" t="e" cm="1">
        <f t="array" aca="1" ref="Z58" ca="1">INDIRECT("'"&amp;$A58&amp;"'!"&amp; "AC" &amp; $B58)</f>
        <v>#REF!</v>
      </c>
    </row>
    <row r="59" spans="1:26" x14ac:dyDescent="0.25">
      <c r="A59" s="80">
        <v>25</v>
      </c>
      <c r="B59" s="80">
        <f t="shared" si="0"/>
        <v>109</v>
      </c>
      <c r="C59" s="324" t="e" cm="1">
        <f t="array" aca="1" ref="C59" ca="1">INDIRECT("'"&amp;$A59&amp;"'!"&amp; "F" &amp; $B59)</f>
        <v>#REF!</v>
      </c>
      <c r="D59" s="324" t="e" cm="1">
        <f t="array" aca="1" ref="D59" ca="1">INDIRECT("'"&amp;$A59&amp;"'!"&amp; "g" &amp; $B59)</f>
        <v>#REF!</v>
      </c>
      <c r="E59" s="324" t="e" cm="1">
        <f t="array" aca="1" ref="E59" ca="1">INDIRECT("'"&amp;$A59&amp;"'!"&amp; "H" &amp; $B59)</f>
        <v>#REF!</v>
      </c>
      <c r="F59" s="324" t="e" cm="1">
        <f t="array" aca="1" ref="F59" ca="1">INDIRECT("'"&amp;$A59&amp;"'!"&amp; "I" &amp; $B59)</f>
        <v>#REF!</v>
      </c>
      <c r="G59" s="324" t="e" cm="1">
        <f t="array" aca="1" ref="G59" ca="1">INDIRECT("'"&amp;$A59&amp;"'!"&amp; "J" &amp; $B59)</f>
        <v>#REF!</v>
      </c>
      <c r="H59" s="324" t="e" cm="1">
        <f t="array" aca="1" ref="H59" ca="1">INDIRECT("'"&amp;$A59&amp;"'!"&amp; "K" &amp; $B59)</f>
        <v>#REF!</v>
      </c>
      <c r="I59" s="324" t="e" cm="1">
        <f t="array" aca="1" ref="I59" ca="1">INDIRECT("'"&amp;$A59&amp;"'!"&amp; "L" &amp; $B59)</f>
        <v>#REF!</v>
      </c>
      <c r="J59" s="324" t="e" cm="1">
        <f t="array" aca="1" ref="J59" ca="1">INDIRECT("'"&amp;$A59&amp;"'!"&amp; "M" &amp; $B59)</f>
        <v>#REF!</v>
      </c>
      <c r="K59" s="324" t="e" cm="1">
        <f t="array" aca="1" ref="K59" ca="1">INDIRECT("'"&amp;$A59&amp;"'!"&amp; "N" &amp; $B59)</f>
        <v>#REF!</v>
      </c>
      <c r="L59" s="324" t="e" cm="1">
        <f t="array" aca="1" ref="L59" ca="1">INDIRECT("'"&amp;$A59&amp;"'!"&amp; "O" &amp; $B59)</f>
        <v>#REF!</v>
      </c>
      <c r="M59" s="324" t="e" cm="1">
        <f t="array" aca="1" ref="M59" ca="1">INDIRECT("'"&amp;$A59&amp;"'!"&amp; "P" &amp; $B59)</f>
        <v>#REF!</v>
      </c>
      <c r="N59" s="324" t="e" cm="1">
        <f t="array" aca="1" ref="N59" ca="1">INDIRECT("'"&amp;$A59&amp;"'!"&amp; "Q" &amp; $B59)</f>
        <v>#REF!</v>
      </c>
      <c r="O59" s="324" t="e" cm="1">
        <f t="array" aca="1" ref="O59" ca="1">INDIRECT("'"&amp;$A59&amp;"'!"&amp; "R" &amp; $B59)</f>
        <v>#REF!</v>
      </c>
      <c r="P59" s="324" t="e" cm="1">
        <f t="array" aca="1" ref="P59" ca="1">INDIRECT("'"&amp;$A59&amp;"'!"&amp; "S" &amp; $B59)</f>
        <v>#REF!</v>
      </c>
      <c r="Q59" s="324" t="e" cm="1">
        <f t="array" aca="1" ref="Q59" ca="1">INDIRECT("'"&amp;$A59&amp;"'!"&amp; "T" &amp; $B59)</f>
        <v>#REF!</v>
      </c>
      <c r="R59" s="324" t="e" cm="1">
        <f t="array" aca="1" ref="R59" ca="1">INDIRECT("'"&amp;$A59&amp;"'!"&amp; "U" &amp; $B59)</f>
        <v>#REF!</v>
      </c>
      <c r="S59" s="324" t="e" cm="1">
        <f t="array" aca="1" ref="S59" ca="1">INDIRECT("'"&amp;$A59&amp;"'!"&amp; "V" &amp; $B59)</f>
        <v>#REF!</v>
      </c>
      <c r="T59" s="324" t="e" cm="1">
        <f t="array" aca="1" ref="T59" ca="1">INDIRECT("'"&amp;$A59&amp;"'!"&amp; "W" &amp; $B59)</f>
        <v>#REF!</v>
      </c>
      <c r="U59" s="324" t="e" cm="1">
        <f t="array" aca="1" ref="U59" ca="1">INDIRECT("'"&amp;$A59&amp;"'!"&amp; "X" &amp; $B59)</f>
        <v>#REF!</v>
      </c>
      <c r="V59" s="324" t="e" cm="1">
        <f t="array" aca="1" ref="V59" ca="1">INDIRECT("'"&amp;$A59&amp;"'!"&amp; "Y" &amp; $B59)</f>
        <v>#REF!</v>
      </c>
      <c r="W59" s="324" t="e" cm="1">
        <f t="array" aca="1" ref="W59" ca="1">INDIRECT("'"&amp;$A59&amp;"'!"&amp; "Z" &amp; $B59)</f>
        <v>#REF!</v>
      </c>
      <c r="X59" s="324" t="e" cm="1">
        <f t="array" aca="1" ref="X59" ca="1">INDIRECT("'"&amp;$A59&amp;"'!"&amp; "AA" &amp; $B59)</f>
        <v>#REF!</v>
      </c>
      <c r="Y59" s="324" t="e" cm="1">
        <f t="array" aca="1" ref="Y59" ca="1">INDIRECT("'"&amp;$A59&amp;"'!"&amp; "AB" &amp; $B59)</f>
        <v>#REF!</v>
      </c>
      <c r="Z59" s="324" t="e" cm="1">
        <f t="array" aca="1" ref="Z59" ca="1">INDIRECT("'"&amp;$A59&amp;"'!"&amp; "AC" &amp; $B59)</f>
        <v>#REF!</v>
      </c>
    </row>
    <row r="60" spans="1:26" x14ac:dyDescent="0.25">
      <c r="A60" s="80">
        <v>26</v>
      </c>
      <c r="B60" s="80">
        <f t="shared" si="0"/>
        <v>109</v>
      </c>
      <c r="C60" s="324" t="e" cm="1">
        <f t="array" aca="1" ref="C60" ca="1">INDIRECT("'"&amp;$A60&amp;"'!"&amp; "F" &amp; $B60)</f>
        <v>#REF!</v>
      </c>
      <c r="D60" s="324" t="e" cm="1">
        <f t="array" aca="1" ref="D60" ca="1">INDIRECT("'"&amp;$A60&amp;"'!"&amp; "g" &amp; $B60)</f>
        <v>#REF!</v>
      </c>
      <c r="E60" s="324" t="e" cm="1">
        <f t="array" aca="1" ref="E60" ca="1">INDIRECT("'"&amp;$A60&amp;"'!"&amp; "H" &amp; $B60)</f>
        <v>#REF!</v>
      </c>
      <c r="F60" s="324" t="e" cm="1">
        <f t="array" aca="1" ref="F60" ca="1">INDIRECT("'"&amp;$A60&amp;"'!"&amp; "I" &amp; $B60)</f>
        <v>#REF!</v>
      </c>
      <c r="G60" s="324" t="e" cm="1">
        <f t="array" aca="1" ref="G60" ca="1">INDIRECT("'"&amp;$A60&amp;"'!"&amp; "J" &amp; $B60)</f>
        <v>#REF!</v>
      </c>
      <c r="H60" s="324" t="e" cm="1">
        <f t="array" aca="1" ref="H60" ca="1">INDIRECT("'"&amp;$A60&amp;"'!"&amp; "K" &amp; $B60)</f>
        <v>#REF!</v>
      </c>
      <c r="I60" s="324" t="e" cm="1">
        <f t="array" aca="1" ref="I60" ca="1">INDIRECT("'"&amp;$A60&amp;"'!"&amp; "L" &amp; $B60)</f>
        <v>#REF!</v>
      </c>
      <c r="J60" s="324" t="e" cm="1">
        <f t="array" aca="1" ref="J60" ca="1">INDIRECT("'"&amp;$A60&amp;"'!"&amp; "M" &amp; $B60)</f>
        <v>#REF!</v>
      </c>
      <c r="K60" s="324" t="e" cm="1">
        <f t="array" aca="1" ref="K60" ca="1">INDIRECT("'"&amp;$A60&amp;"'!"&amp; "N" &amp; $B60)</f>
        <v>#REF!</v>
      </c>
      <c r="L60" s="324" t="e" cm="1">
        <f t="array" aca="1" ref="L60" ca="1">INDIRECT("'"&amp;$A60&amp;"'!"&amp; "O" &amp; $B60)</f>
        <v>#REF!</v>
      </c>
      <c r="M60" s="324" t="e" cm="1">
        <f t="array" aca="1" ref="M60" ca="1">INDIRECT("'"&amp;$A60&amp;"'!"&amp; "P" &amp; $B60)</f>
        <v>#REF!</v>
      </c>
      <c r="N60" s="324" t="e" cm="1">
        <f t="array" aca="1" ref="N60" ca="1">INDIRECT("'"&amp;$A60&amp;"'!"&amp; "Q" &amp; $B60)</f>
        <v>#REF!</v>
      </c>
      <c r="O60" s="324" t="e" cm="1">
        <f t="array" aca="1" ref="O60" ca="1">INDIRECT("'"&amp;$A60&amp;"'!"&amp; "R" &amp; $B60)</f>
        <v>#REF!</v>
      </c>
      <c r="P60" s="324" t="e" cm="1">
        <f t="array" aca="1" ref="P60" ca="1">INDIRECT("'"&amp;$A60&amp;"'!"&amp; "S" &amp; $B60)</f>
        <v>#REF!</v>
      </c>
      <c r="Q60" s="324" t="e" cm="1">
        <f t="array" aca="1" ref="Q60" ca="1">INDIRECT("'"&amp;$A60&amp;"'!"&amp; "T" &amp; $B60)</f>
        <v>#REF!</v>
      </c>
      <c r="R60" s="324" t="e" cm="1">
        <f t="array" aca="1" ref="R60" ca="1">INDIRECT("'"&amp;$A60&amp;"'!"&amp; "U" &amp; $B60)</f>
        <v>#REF!</v>
      </c>
      <c r="S60" s="324" t="e" cm="1">
        <f t="array" aca="1" ref="S60" ca="1">INDIRECT("'"&amp;$A60&amp;"'!"&amp; "V" &amp; $B60)</f>
        <v>#REF!</v>
      </c>
      <c r="T60" s="324" t="e" cm="1">
        <f t="array" aca="1" ref="T60" ca="1">INDIRECT("'"&amp;$A60&amp;"'!"&amp; "W" &amp; $B60)</f>
        <v>#REF!</v>
      </c>
      <c r="U60" s="324" t="e" cm="1">
        <f t="array" aca="1" ref="U60" ca="1">INDIRECT("'"&amp;$A60&amp;"'!"&amp; "X" &amp; $B60)</f>
        <v>#REF!</v>
      </c>
      <c r="V60" s="324" t="e" cm="1">
        <f t="array" aca="1" ref="V60" ca="1">INDIRECT("'"&amp;$A60&amp;"'!"&amp; "Y" &amp; $B60)</f>
        <v>#REF!</v>
      </c>
      <c r="W60" s="324" t="e" cm="1">
        <f t="array" aca="1" ref="W60" ca="1">INDIRECT("'"&amp;$A60&amp;"'!"&amp; "Z" &amp; $B60)</f>
        <v>#REF!</v>
      </c>
      <c r="X60" s="324" t="e" cm="1">
        <f t="array" aca="1" ref="X60" ca="1">INDIRECT("'"&amp;$A60&amp;"'!"&amp; "AA" &amp; $B60)</f>
        <v>#REF!</v>
      </c>
      <c r="Y60" s="324" t="e" cm="1">
        <f t="array" aca="1" ref="Y60" ca="1">INDIRECT("'"&amp;$A60&amp;"'!"&amp; "AB" &amp; $B60)</f>
        <v>#REF!</v>
      </c>
      <c r="Z60" s="324" t="e" cm="1">
        <f t="array" aca="1" ref="Z60" ca="1">INDIRECT("'"&amp;$A60&amp;"'!"&amp; "AC" &amp; $B60)</f>
        <v>#REF!</v>
      </c>
    </row>
    <row r="61" spans="1:26" x14ac:dyDescent="0.25">
      <c r="A61" s="80">
        <v>27</v>
      </c>
      <c r="B61" s="80">
        <f t="shared" si="0"/>
        <v>109</v>
      </c>
      <c r="C61" s="324" t="e" cm="1">
        <f t="array" aca="1" ref="C61" ca="1">INDIRECT("'"&amp;$A61&amp;"'!"&amp; "F" &amp; $B61)</f>
        <v>#REF!</v>
      </c>
      <c r="D61" s="324" t="e" cm="1">
        <f t="array" aca="1" ref="D61" ca="1">INDIRECT("'"&amp;$A61&amp;"'!"&amp; "g" &amp; $B61)</f>
        <v>#REF!</v>
      </c>
      <c r="E61" s="324" t="e" cm="1">
        <f t="array" aca="1" ref="E61" ca="1">INDIRECT("'"&amp;$A61&amp;"'!"&amp; "H" &amp; $B61)</f>
        <v>#REF!</v>
      </c>
      <c r="F61" s="324" t="e" cm="1">
        <f t="array" aca="1" ref="F61" ca="1">INDIRECT("'"&amp;$A61&amp;"'!"&amp; "I" &amp; $B61)</f>
        <v>#REF!</v>
      </c>
      <c r="G61" s="324" t="e" cm="1">
        <f t="array" aca="1" ref="G61" ca="1">INDIRECT("'"&amp;$A61&amp;"'!"&amp; "J" &amp; $B61)</f>
        <v>#REF!</v>
      </c>
      <c r="H61" s="324" t="e" cm="1">
        <f t="array" aca="1" ref="H61" ca="1">INDIRECT("'"&amp;$A61&amp;"'!"&amp; "K" &amp; $B61)</f>
        <v>#REF!</v>
      </c>
      <c r="I61" s="324" t="e" cm="1">
        <f t="array" aca="1" ref="I61" ca="1">INDIRECT("'"&amp;$A61&amp;"'!"&amp; "L" &amp; $B61)</f>
        <v>#REF!</v>
      </c>
      <c r="J61" s="324" t="e" cm="1">
        <f t="array" aca="1" ref="J61" ca="1">INDIRECT("'"&amp;$A61&amp;"'!"&amp; "M" &amp; $B61)</f>
        <v>#REF!</v>
      </c>
      <c r="K61" s="324" t="e" cm="1">
        <f t="array" aca="1" ref="K61" ca="1">INDIRECT("'"&amp;$A61&amp;"'!"&amp; "N" &amp; $B61)</f>
        <v>#REF!</v>
      </c>
      <c r="L61" s="324" t="e" cm="1">
        <f t="array" aca="1" ref="L61" ca="1">INDIRECT("'"&amp;$A61&amp;"'!"&amp; "O" &amp; $B61)</f>
        <v>#REF!</v>
      </c>
      <c r="M61" s="324" t="e" cm="1">
        <f t="array" aca="1" ref="M61" ca="1">INDIRECT("'"&amp;$A61&amp;"'!"&amp; "P" &amp; $B61)</f>
        <v>#REF!</v>
      </c>
      <c r="N61" s="324" t="e" cm="1">
        <f t="array" aca="1" ref="N61" ca="1">INDIRECT("'"&amp;$A61&amp;"'!"&amp; "Q" &amp; $B61)</f>
        <v>#REF!</v>
      </c>
      <c r="O61" s="324" t="e" cm="1">
        <f t="array" aca="1" ref="O61" ca="1">INDIRECT("'"&amp;$A61&amp;"'!"&amp; "R" &amp; $B61)</f>
        <v>#REF!</v>
      </c>
      <c r="P61" s="324" t="e" cm="1">
        <f t="array" aca="1" ref="P61" ca="1">INDIRECT("'"&amp;$A61&amp;"'!"&amp; "S" &amp; $B61)</f>
        <v>#REF!</v>
      </c>
      <c r="Q61" s="324" t="e" cm="1">
        <f t="array" aca="1" ref="Q61" ca="1">INDIRECT("'"&amp;$A61&amp;"'!"&amp; "T" &amp; $B61)</f>
        <v>#REF!</v>
      </c>
      <c r="R61" s="324" t="e" cm="1">
        <f t="array" aca="1" ref="R61" ca="1">INDIRECT("'"&amp;$A61&amp;"'!"&amp; "U" &amp; $B61)</f>
        <v>#REF!</v>
      </c>
      <c r="S61" s="324" t="e" cm="1">
        <f t="array" aca="1" ref="S61" ca="1">INDIRECT("'"&amp;$A61&amp;"'!"&amp; "V" &amp; $B61)</f>
        <v>#REF!</v>
      </c>
      <c r="T61" s="324" t="e" cm="1">
        <f t="array" aca="1" ref="T61" ca="1">INDIRECT("'"&amp;$A61&amp;"'!"&amp; "W" &amp; $B61)</f>
        <v>#REF!</v>
      </c>
      <c r="U61" s="324" t="e" cm="1">
        <f t="array" aca="1" ref="U61" ca="1">INDIRECT("'"&amp;$A61&amp;"'!"&amp; "X" &amp; $B61)</f>
        <v>#REF!</v>
      </c>
      <c r="V61" s="324" t="e" cm="1">
        <f t="array" aca="1" ref="V61" ca="1">INDIRECT("'"&amp;$A61&amp;"'!"&amp; "Y" &amp; $B61)</f>
        <v>#REF!</v>
      </c>
      <c r="W61" s="324" t="e" cm="1">
        <f t="array" aca="1" ref="W61" ca="1">INDIRECT("'"&amp;$A61&amp;"'!"&amp; "Z" &amp; $B61)</f>
        <v>#REF!</v>
      </c>
      <c r="X61" s="324" t="e" cm="1">
        <f t="array" aca="1" ref="X61" ca="1">INDIRECT("'"&amp;$A61&amp;"'!"&amp; "AA" &amp; $B61)</f>
        <v>#REF!</v>
      </c>
      <c r="Y61" s="324" t="e" cm="1">
        <f t="array" aca="1" ref="Y61" ca="1">INDIRECT("'"&amp;$A61&amp;"'!"&amp; "AB" &amp; $B61)</f>
        <v>#REF!</v>
      </c>
      <c r="Z61" s="324" t="e" cm="1">
        <f t="array" aca="1" ref="Z61" ca="1">INDIRECT("'"&amp;$A61&amp;"'!"&amp; "AC" &amp; $B61)</f>
        <v>#REF!</v>
      </c>
    </row>
    <row r="62" spans="1:26" x14ac:dyDescent="0.25">
      <c r="A62" s="80">
        <v>28</v>
      </c>
      <c r="B62" s="80">
        <f t="shared" si="0"/>
        <v>109</v>
      </c>
      <c r="C62" s="324" t="e" cm="1">
        <f t="array" aca="1" ref="C62" ca="1">INDIRECT("'"&amp;$A62&amp;"'!"&amp; "F" &amp; $B62)</f>
        <v>#REF!</v>
      </c>
      <c r="D62" s="324" t="e" cm="1">
        <f t="array" aca="1" ref="D62" ca="1">INDIRECT("'"&amp;$A62&amp;"'!"&amp; "g" &amp; $B62)</f>
        <v>#REF!</v>
      </c>
      <c r="E62" s="324" t="e" cm="1">
        <f t="array" aca="1" ref="E62" ca="1">INDIRECT("'"&amp;$A62&amp;"'!"&amp; "H" &amp; $B62)</f>
        <v>#REF!</v>
      </c>
      <c r="F62" s="324" t="e" cm="1">
        <f t="array" aca="1" ref="F62" ca="1">INDIRECT("'"&amp;$A62&amp;"'!"&amp; "I" &amp; $B62)</f>
        <v>#REF!</v>
      </c>
      <c r="G62" s="324" t="e" cm="1">
        <f t="array" aca="1" ref="G62" ca="1">INDIRECT("'"&amp;$A62&amp;"'!"&amp; "J" &amp; $B62)</f>
        <v>#REF!</v>
      </c>
      <c r="H62" s="324" t="e" cm="1">
        <f t="array" aca="1" ref="H62" ca="1">INDIRECT("'"&amp;$A62&amp;"'!"&amp; "K" &amp; $B62)</f>
        <v>#REF!</v>
      </c>
      <c r="I62" s="324" t="e" cm="1">
        <f t="array" aca="1" ref="I62" ca="1">INDIRECT("'"&amp;$A62&amp;"'!"&amp; "L" &amp; $B62)</f>
        <v>#REF!</v>
      </c>
      <c r="J62" s="324" t="e" cm="1">
        <f t="array" aca="1" ref="J62" ca="1">INDIRECT("'"&amp;$A62&amp;"'!"&amp; "M" &amp; $B62)</f>
        <v>#REF!</v>
      </c>
      <c r="K62" s="324" t="e" cm="1">
        <f t="array" aca="1" ref="K62" ca="1">INDIRECT("'"&amp;$A62&amp;"'!"&amp; "N" &amp; $B62)</f>
        <v>#REF!</v>
      </c>
      <c r="L62" s="324" t="e" cm="1">
        <f t="array" aca="1" ref="L62" ca="1">INDIRECT("'"&amp;$A62&amp;"'!"&amp; "O" &amp; $B62)</f>
        <v>#REF!</v>
      </c>
      <c r="M62" s="324" t="e" cm="1">
        <f t="array" aca="1" ref="M62" ca="1">INDIRECT("'"&amp;$A62&amp;"'!"&amp; "P" &amp; $B62)</f>
        <v>#REF!</v>
      </c>
      <c r="N62" s="324" t="e" cm="1">
        <f t="array" aca="1" ref="N62" ca="1">INDIRECT("'"&amp;$A62&amp;"'!"&amp; "Q" &amp; $B62)</f>
        <v>#REF!</v>
      </c>
      <c r="O62" s="324" t="e" cm="1">
        <f t="array" aca="1" ref="O62" ca="1">INDIRECT("'"&amp;$A62&amp;"'!"&amp; "R" &amp; $B62)</f>
        <v>#REF!</v>
      </c>
      <c r="P62" s="324" t="e" cm="1">
        <f t="array" aca="1" ref="P62" ca="1">INDIRECT("'"&amp;$A62&amp;"'!"&amp; "S" &amp; $B62)</f>
        <v>#REF!</v>
      </c>
      <c r="Q62" s="324" t="e" cm="1">
        <f t="array" aca="1" ref="Q62" ca="1">INDIRECT("'"&amp;$A62&amp;"'!"&amp; "T" &amp; $B62)</f>
        <v>#REF!</v>
      </c>
      <c r="R62" s="324" t="e" cm="1">
        <f t="array" aca="1" ref="R62" ca="1">INDIRECT("'"&amp;$A62&amp;"'!"&amp; "U" &amp; $B62)</f>
        <v>#REF!</v>
      </c>
      <c r="S62" s="324" t="e" cm="1">
        <f t="array" aca="1" ref="S62" ca="1">INDIRECT("'"&amp;$A62&amp;"'!"&amp; "V" &amp; $B62)</f>
        <v>#REF!</v>
      </c>
      <c r="T62" s="324" t="e" cm="1">
        <f t="array" aca="1" ref="T62" ca="1">INDIRECT("'"&amp;$A62&amp;"'!"&amp; "W" &amp; $B62)</f>
        <v>#REF!</v>
      </c>
      <c r="U62" s="324" t="e" cm="1">
        <f t="array" aca="1" ref="U62" ca="1">INDIRECT("'"&amp;$A62&amp;"'!"&amp; "X" &amp; $B62)</f>
        <v>#REF!</v>
      </c>
      <c r="V62" s="324" t="e" cm="1">
        <f t="array" aca="1" ref="V62" ca="1">INDIRECT("'"&amp;$A62&amp;"'!"&amp; "Y" &amp; $B62)</f>
        <v>#REF!</v>
      </c>
      <c r="W62" s="324" t="e" cm="1">
        <f t="array" aca="1" ref="W62" ca="1">INDIRECT("'"&amp;$A62&amp;"'!"&amp; "Z" &amp; $B62)</f>
        <v>#REF!</v>
      </c>
      <c r="X62" s="324" t="e" cm="1">
        <f t="array" aca="1" ref="X62" ca="1">INDIRECT("'"&amp;$A62&amp;"'!"&amp; "AA" &amp; $B62)</f>
        <v>#REF!</v>
      </c>
      <c r="Y62" s="324" t="e" cm="1">
        <f t="array" aca="1" ref="Y62" ca="1">INDIRECT("'"&amp;$A62&amp;"'!"&amp; "AB" &amp; $B62)</f>
        <v>#REF!</v>
      </c>
      <c r="Z62" s="324" t="e" cm="1">
        <f t="array" aca="1" ref="Z62" ca="1">INDIRECT("'"&amp;$A62&amp;"'!"&amp; "AC" &amp; $B62)</f>
        <v>#REF!</v>
      </c>
    </row>
    <row r="63" spans="1:26" x14ac:dyDescent="0.25">
      <c r="A63" s="80">
        <v>29</v>
      </c>
      <c r="B63" s="80">
        <f t="shared" si="0"/>
        <v>109</v>
      </c>
      <c r="C63" s="324" t="e" cm="1">
        <f t="array" aca="1" ref="C63" ca="1">INDIRECT("'"&amp;$A63&amp;"'!"&amp; "F" &amp; $B63)</f>
        <v>#REF!</v>
      </c>
      <c r="D63" s="324" t="e" cm="1">
        <f t="array" aca="1" ref="D63" ca="1">INDIRECT("'"&amp;$A63&amp;"'!"&amp; "g" &amp; $B63)</f>
        <v>#REF!</v>
      </c>
      <c r="E63" s="324" t="e" cm="1">
        <f t="array" aca="1" ref="E63" ca="1">INDIRECT("'"&amp;$A63&amp;"'!"&amp; "H" &amp; $B63)</f>
        <v>#REF!</v>
      </c>
      <c r="F63" s="324" t="e" cm="1">
        <f t="array" aca="1" ref="F63" ca="1">INDIRECT("'"&amp;$A63&amp;"'!"&amp; "I" &amp; $B63)</f>
        <v>#REF!</v>
      </c>
      <c r="G63" s="324" t="e" cm="1">
        <f t="array" aca="1" ref="G63" ca="1">INDIRECT("'"&amp;$A63&amp;"'!"&amp; "J" &amp; $B63)</f>
        <v>#REF!</v>
      </c>
      <c r="H63" s="324" t="e" cm="1">
        <f t="array" aca="1" ref="H63" ca="1">INDIRECT("'"&amp;$A63&amp;"'!"&amp; "K" &amp; $B63)</f>
        <v>#REF!</v>
      </c>
      <c r="I63" s="324" t="e" cm="1">
        <f t="array" aca="1" ref="I63" ca="1">INDIRECT("'"&amp;$A63&amp;"'!"&amp; "L" &amp; $B63)</f>
        <v>#REF!</v>
      </c>
      <c r="J63" s="324" t="e" cm="1">
        <f t="array" aca="1" ref="J63" ca="1">INDIRECT("'"&amp;$A63&amp;"'!"&amp; "M" &amp; $B63)</f>
        <v>#REF!</v>
      </c>
      <c r="K63" s="324" t="e" cm="1">
        <f t="array" aca="1" ref="K63" ca="1">INDIRECT("'"&amp;$A63&amp;"'!"&amp; "N" &amp; $B63)</f>
        <v>#REF!</v>
      </c>
      <c r="L63" s="324" t="e" cm="1">
        <f t="array" aca="1" ref="L63" ca="1">INDIRECT("'"&amp;$A63&amp;"'!"&amp; "O" &amp; $B63)</f>
        <v>#REF!</v>
      </c>
      <c r="M63" s="324" t="e" cm="1">
        <f t="array" aca="1" ref="M63" ca="1">INDIRECT("'"&amp;$A63&amp;"'!"&amp; "P" &amp; $B63)</f>
        <v>#REF!</v>
      </c>
      <c r="N63" s="324" t="e" cm="1">
        <f t="array" aca="1" ref="N63" ca="1">INDIRECT("'"&amp;$A63&amp;"'!"&amp; "Q" &amp; $B63)</f>
        <v>#REF!</v>
      </c>
      <c r="O63" s="324" t="e" cm="1">
        <f t="array" aca="1" ref="O63" ca="1">INDIRECT("'"&amp;$A63&amp;"'!"&amp; "R" &amp; $B63)</f>
        <v>#REF!</v>
      </c>
      <c r="P63" s="324" t="e" cm="1">
        <f t="array" aca="1" ref="P63" ca="1">INDIRECT("'"&amp;$A63&amp;"'!"&amp; "S" &amp; $B63)</f>
        <v>#REF!</v>
      </c>
      <c r="Q63" s="324" t="e" cm="1">
        <f t="array" aca="1" ref="Q63" ca="1">INDIRECT("'"&amp;$A63&amp;"'!"&amp; "T" &amp; $B63)</f>
        <v>#REF!</v>
      </c>
      <c r="R63" s="324" t="e" cm="1">
        <f t="array" aca="1" ref="R63" ca="1">INDIRECT("'"&amp;$A63&amp;"'!"&amp; "U" &amp; $B63)</f>
        <v>#REF!</v>
      </c>
      <c r="S63" s="324" t="e" cm="1">
        <f t="array" aca="1" ref="S63" ca="1">INDIRECT("'"&amp;$A63&amp;"'!"&amp; "V" &amp; $B63)</f>
        <v>#REF!</v>
      </c>
      <c r="T63" s="324" t="e" cm="1">
        <f t="array" aca="1" ref="T63" ca="1">INDIRECT("'"&amp;$A63&amp;"'!"&amp; "W" &amp; $B63)</f>
        <v>#REF!</v>
      </c>
      <c r="U63" s="324" t="e" cm="1">
        <f t="array" aca="1" ref="U63" ca="1">INDIRECT("'"&amp;$A63&amp;"'!"&amp; "X" &amp; $B63)</f>
        <v>#REF!</v>
      </c>
      <c r="V63" s="324" t="e" cm="1">
        <f t="array" aca="1" ref="V63" ca="1">INDIRECT("'"&amp;$A63&amp;"'!"&amp; "Y" &amp; $B63)</f>
        <v>#REF!</v>
      </c>
      <c r="W63" s="324" t="e" cm="1">
        <f t="array" aca="1" ref="W63" ca="1">INDIRECT("'"&amp;$A63&amp;"'!"&amp; "Z" &amp; $B63)</f>
        <v>#REF!</v>
      </c>
      <c r="X63" s="324" t="e" cm="1">
        <f t="array" aca="1" ref="X63" ca="1">INDIRECT("'"&amp;$A63&amp;"'!"&amp; "AA" &amp; $B63)</f>
        <v>#REF!</v>
      </c>
      <c r="Y63" s="324" t="e" cm="1">
        <f t="array" aca="1" ref="Y63" ca="1">INDIRECT("'"&amp;$A63&amp;"'!"&amp; "AB" &amp; $B63)</f>
        <v>#REF!</v>
      </c>
      <c r="Z63" s="324" t="e" cm="1">
        <f t="array" aca="1" ref="Z63" ca="1">INDIRECT("'"&amp;$A63&amp;"'!"&amp; "AC" &amp; $B63)</f>
        <v>#REF!</v>
      </c>
    </row>
    <row r="64" spans="1:26" x14ac:dyDescent="0.25">
      <c r="A64" s="80">
        <v>30</v>
      </c>
      <c r="B64" s="80">
        <f t="shared" si="0"/>
        <v>109</v>
      </c>
      <c r="C64" s="324" t="e" cm="1">
        <f t="array" aca="1" ref="C64" ca="1">INDIRECT("'"&amp;$A64&amp;"'!"&amp; "F" &amp; $B64)</f>
        <v>#REF!</v>
      </c>
      <c r="D64" s="324" t="e" cm="1">
        <f t="array" aca="1" ref="D64" ca="1">INDIRECT("'"&amp;$A64&amp;"'!"&amp; "g" &amp; $B64)</f>
        <v>#REF!</v>
      </c>
      <c r="E64" s="324" t="e" cm="1">
        <f t="array" aca="1" ref="E64" ca="1">INDIRECT("'"&amp;$A64&amp;"'!"&amp; "H" &amp; $B64)</f>
        <v>#REF!</v>
      </c>
      <c r="F64" s="324" t="e" cm="1">
        <f t="array" aca="1" ref="F64" ca="1">INDIRECT("'"&amp;$A64&amp;"'!"&amp; "I" &amp; $B64)</f>
        <v>#REF!</v>
      </c>
      <c r="G64" s="324" t="e" cm="1">
        <f t="array" aca="1" ref="G64" ca="1">INDIRECT("'"&amp;$A64&amp;"'!"&amp; "J" &amp; $B64)</f>
        <v>#REF!</v>
      </c>
      <c r="H64" s="324" t="e" cm="1">
        <f t="array" aca="1" ref="H64" ca="1">INDIRECT("'"&amp;$A64&amp;"'!"&amp; "K" &amp; $B64)</f>
        <v>#REF!</v>
      </c>
      <c r="I64" s="324" t="e" cm="1">
        <f t="array" aca="1" ref="I64" ca="1">INDIRECT("'"&amp;$A64&amp;"'!"&amp; "L" &amp; $B64)</f>
        <v>#REF!</v>
      </c>
      <c r="J64" s="324" t="e" cm="1">
        <f t="array" aca="1" ref="J64" ca="1">INDIRECT("'"&amp;$A64&amp;"'!"&amp; "M" &amp; $B64)</f>
        <v>#REF!</v>
      </c>
      <c r="K64" s="324" t="e" cm="1">
        <f t="array" aca="1" ref="K64" ca="1">INDIRECT("'"&amp;$A64&amp;"'!"&amp; "N" &amp; $B64)</f>
        <v>#REF!</v>
      </c>
      <c r="L64" s="324" t="e" cm="1">
        <f t="array" aca="1" ref="L64" ca="1">INDIRECT("'"&amp;$A64&amp;"'!"&amp; "O" &amp; $B64)</f>
        <v>#REF!</v>
      </c>
      <c r="M64" s="324" t="e" cm="1">
        <f t="array" aca="1" ref="M64" ca="1">INDIRECT("'"&amp;$A64&amp;"'!"&amp; "P" &amp; $B64)</f>
        <v>#REF!</v>
      </c>
      <c r="N64" s="324" t="e" cm="1">
        <f t="array" aca="1" ref="N64" ca="1">INDIRECT("'"&amp;$A64&amp;"'!"&amp; "Q" &amp; $B64)</f>
        <v>#REF!</v>
      </c>
      <c r="O64" s="324" t="e" cm="1">
        <f t="array" aca="1" ref="O64" ca="1">INDIRECT("'"&amp;$A64&amp;"'!"&amp; "R" &amp; $B64)</f>
        <v>#REF!</v>
      </c>
      <c r="P64" s="324" t="e" cm="1">
        <f t="array" aca="1" ref="P64" ca="1">INDIRECT("'"&amp;$A64&amp;"'!"&amp; "S" &amp; $B64)</f>
        <v>#REF!</v>
      </c>
      <c r="Q64" s="324" t="e" cm="1">
        <f t="array" aca="1" ref="Q64" ca="1">INDIRECT("'"&amp;$A64&amp;"'!"&amp; "T" &amp; $B64)</f>
        <v>#REF!</v>
      </c>
      <c r="R64" s="324" t="e" cm="1">
        <f t="array" aca="1" ref="R64" ca="1">INDIRECT("'"&amp;$A64&amp;"'!"&amp; "U" &amp; $B64)</f>
        <v>#REF!</v>
      </c>
      <c r="S64" s="324" t="e" cm="1">
        <f t="array" aca="1" ref="S64" ca="1">INDIRECT("'"&amp;$A64&amp;"'!"&amp; "V" &amp; $B64)</f>
        <v>#REF!</v>
      </c>
      <c r="T64" s="324" t="e" cm="1">
        <f t="array" aca="1" ref="T64" ca="1">INDIRECT("'"&amp;$A64&amp;"'!"&amp; "W" &amp; $B64)</f>
        <v>#REF!</v>
      </c>
      <c r="U64" s="324" t="e" cm="1">
        <f t="array" aca="1" ref="U64" ca="1">INDIRECT("'"&amp;$A64&amp;"'!"&amp; "X" &amp; $B64)</f>
        <v>#REF!</v>
      </c>
      <c r="V64" s="324" t="e" cm="1">
        <f t="array" aca="1" ref="V64" ca="1">INDIRECT("'"&amp;$A64&amp;"'!"&amp; "Y" &amp; $B64)</f>
        <v>#REF!</v>
      </c>
      <c r="W64" s="324" t="e" cm="1">
        <f t="array" aca="1" ref="W64" ca="1">INDIRECT("'"&amp;$A64&amp;"'!"&amp; "Z" &amp; $B64)</f>
        <v>#REF!</v>
      </c>
      <c r="X64" s="324" t="e" cm="1">
        <f t="array" aca="1" ref="X64" ca="1">INDIRECT("'"&amp;$A64&amp;"'!"&amp; "AA" &amp; $B64)</f>
        <v>#REF!</v>
      </c>
      <c r="Y64" s="324" t="e" cm="1">
        <f t="array" aca="1" ref="Y64" ca="1">INDIRECT("'"&amp;$A64&amp;"'!"&amp; "AB" &amp; $B64)</f>
        <v>#REF!</v>
      </c>
      <c r="Z64" s="324" t="e" cm="1">
        <f t="array" aca="1" ref="Z64" ca="1">INDIRECT("'"&amp;$A64&amp;"'!"&amp; "AC" &amp; $B64)</f>
        <v>#REF!</v>
      </c>
    </row>
    <row r="65" spans="1:26" x14ac:dyDescent="0.25">
      <c r="A65" s="80">
        <v>31</v>
      </c>
      <c r="B65" s="80">
        <f t="shared" si="0"/>
        <v>109</v>
      </c>
      <c r="C65" s="324" t="e" cm="1">
        <f t="array" aca="1" ref="C65" ca="1">INDIRECT("'"&amp;$A65&amp;"'!"&amp; "F" &amp; $B65)</f>
        <v>#REF!</v>
      </c>
      <c r="D65" s="324" t="e" cm="1">
        <f t="array" aca="1" ref="D65" ca="1">INDIRECT("'"&amp;$A65&amp;"'!"&amp; "g" &amp; $B65)</f>
        <v>#REF!</v>
      </c>
      <c r="E65" s="324" t="e" cm="1">
        <f t="array" aca="1" ref="E65" ca="1">INDIRECT("'"&amp;$A65&amp;"'!"&amp; "H" &amp; $B65)</f>
        <v>#REF!</v>
      </c>
      <c r="F65" s="324" t="e" cm="1">
        <f t="array" aca="1" ref="F65" ca="1">INDIRECT("'"&amp;$A65&amp;"'!"&amp; "I" &amp; $B65)</f>
        <v>#REF!</v>
      </c>
      <c r="G65" s="324" t="e" cm="1">
        <f t="array" aca="1" ref="G65" ca="1">INDIRECT("'"&amp;$A65&amp;"'!"&amp; "J" &amp; $B65)</f>
        <v>#REF!</v>
      </c>
      <c r="H65" s="324" t="e" cm="1">
        <f t="array" aca="1" ref="H65" ca="1">INDIRECT("'"&amp;$A65&amp;"'!"&amp; "K" &amp; $B65)</f>
        <v>#REF!</v>
      </c>
      <c r="I65" s="324" t="e" cm="1">
        <f t="array" aca="1" ref="I65" ca="1">INDIRECT("'"&amp;$A65&amp;"'!"&amp; "L" &amp; $B65)</f>
        <v>#REF!</v>
      </c>
      <c r="J65" s="324" t="e" cm="1">
        <f t="array" aca="1" ref="J65" ca="1">INDIRECT("'"&amp;$A65&amp;"'!"&amp; "M" &amp; $B65)</f>
        <v>#REF!</v>
      </c>
      <c r="K65" s="324" t="e" cm="1">
        <f t="array" aca="1" ref="K65" ca="1">INDIRECT("'"&amp;$A65&amp;"'!"&amp; "N" &amp; $B65)</f>
        <v>#REF!</v>
      </c>
      <c r="L65" s="324" t="e" cm="1">
        <f t="array" aca="1" ref="L65" ca="1">INDIRECT("'"&amp;$A65&amp;"'!"&amp; "O" &amp; $B65)</f>
        <v>#REF!</v>
      </c>
      <c r="M65" s="324" t="e" cm="1">
        <f t="array" aca="1" ref="M65" ca="1">INDIRECT("'"&amp;$A65&amp;"'!"&amp; "P" &amp; $B65)</f>
        <v>#REF!</v>
      </c>
      <c r="N65" s="324" t="e" cm="1">
        <f t="array" aca="1" ref="N65" ca="1">INDIRECT("'"&amp;$A65&amp;"'!"&amp; "Q" &amp; $B65)</f>
        <v>#REF!</v>
      </c>
      <c r="O65" s="324" t="e" cm="1">
        <f t="array" aca="1" ref="O65" ca="1">INDIRECT("'"&amp;$A65&amp;"'!"&amp; "R" &amp; $B65)</f>
        <v>#REF!</v>
      </c>
      <c r="P65" s="324" t="e" cm="1">
        <f t="array" aca="1" ref="P65" ca="1">INDIRECT("'"&amp;$A65&amp;"'!"&amp; "S" &amp; $B65)</f>
        <v>#REF!</v>
      </c>
      <c r="Q65" s="324" t="e" cm="1">
        <f t="array" aca="1" ref="Q65" ca="1">INDIRECT("'"&amp;$A65&amp;"'!"&amp; "T" &amp; $B65)</f>
        <v>#REF!</v>
      </c>
      <c r="R65" s="324" t="e" cm="1">
        <f t="array" aca="1" ref="R65" ca="1">INDIRECT("'"&amp;$A65&amp;"'!"&amp; "U" &amp; $B65)</f>
        <v>#REF!</v>
      </c>
      <c r="S65" s="324" t="e" cm="1">
        <f t="array" aca="1" ref="S65" ca="1">INDIRECT("'"&amp;$A65&amp;"'!"&amp; "V" &amp; $B65)</f>
        <v>#REF!</v>
      </c>
      <c r="T65" s="324" t="e" cm="1">
        <f t="array" aca="1" ref="T65" ca="1">INDIRECT("'"&amp;$A65&amp;"'!"&amp; "W" &amp; $B65)</f>
        <v>#REF!</v>
      </c>
      <c r="U65" s="324" t="e" cm="1">
        <f t="array" aca="1" ref="U65" ca="1">INDIRECT("'"&amp;$A65&amp;"'!"&amp; "X" &amp; $B65)</f>
        <v>#REF!</v>
      </c>
      <c r="V65" s="324" t="e" cm="1">
        <f t="array" aca="1" ref="V65" ca="1">INDIRECT("'"&amp;$A65&amp;"'!"&amp; "Y" &amp; $B65)</f>
        <v>#REF!</v>
      </c>
      <c r="W65" s="324" t="e" cm="1">
        <f t="array" aca="1" ref="W65" ca="1">INDIRECT("'"&amp;$A65&amp;"'!"&amp; "Z" &amp; $B65)</f>
        <v>#REF!</v>
      </c>
      <c r="X65" s="324" t="e" cm="1">
        <f t="array" aca="1" ref="X65" ca="1">INDIRECT("'"&amp;$A65&amp;"'!"&amp; "AA" &amp; $B65)</f>
        <v>#REF!</v>
      </c>
      <c r="Y65" s="324" t="e" cm="1">
        <f t="array" aca="1" ref="Y65" ca="1">INDIRECT("'"&amp;$A65&amp;"'!"&amp; "AB" &amp; $B65)</f>
        <v>#REF!</v>
      </c>
      <c r="Z65" s="324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3BA28-E939-42C1-80B3-73069EC0FCF0}">
  <sheetPr codeName="Sheet98"/>
  <dimension ref="A2:DT133"/>
  <sheetViews>
    <sheetView zoomScale="70" zoomScaleNormal="70" zoomScaleSheetLayoutView="51" zoomScalePageLayoutView="55" workbookViewId="0">
      <pane xSplit="5" ySplit="11" topLeftCell="F63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I69" sqref="I6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623.00000000000023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6.8</v>
      </c>
      <c r="H13" s="71">
        <v>6.7</v>
      </c>
      <c r="I13" s="71">
        <v>6.5</v>
      </c>
      <c r="J13" s="71">
        <v>5.7</v>
      </c>
      <c r="K13" s="71">
        <v>5.8</v>
      </c>
      <c r="L13" s="71">
        <v>6.1</v>
      </c>
      <c r="M13" s="71">
        <v>6.2</v>
      </c>
      <c r="N13" s="71">
        <v>6.8</v>
      </c>
      <c r="O13" s="219">
        <v>6.6</v>
      </c>
      <c r="P13" s="71">
        <v>6.5</v>
      </c>
      <c r="Q13" s="71">
        <v>6.7</v>
      </c>
      <c r="R13" s="71">
        <v>6.6</v>
      </c>
      <c r="S13" s="71">
        <v>6.7</v>
      </c>
      <c r="T13" s="71">
        <v>6.6</v>
      </c>
      <c r="U13" s="71">
        <v>6.5</v>
      </c>
      <c r="V13" s="71">
        <v>6.4</v>
      </c>
      <c r="W13" s="71">
        <v>6.4</v>
      </c>
      <c r="X13" s="71">
        <v>6.6</v>
      </c>
      <c r="Y13" s="71">
        <v>6.5</v>
      </c>
      <c r="Z13" s="71">
        <v>6.8</v>
      </c>
      <c r="AA13" s="71">
        <v>6.5</v>
      </c>
      <c r="AB13" s="71">
        <v>6.6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6.7</v>
      </c>
      <c r="G14" s="71">
        <v>6.8</v>
      </c>
      <c r="H14" s="71">
        <v>6.7</v>
      </c>
      <c r="I14" s="71">
        <v>6.5</v>
      </c>
      <c r="J14" s="71">
        <v>5.7</v>
      </c>
      <c r="K14" s="71">
        <v>5.8</v>
      </c>
      <c r="L14" s="71">
        <v>6.1</v>
      </c>
      <c r="M14" s="71">
        <v>6.2</v>
      </c>
      <c r="N14" s="71">
        <v>6.8</v>
      </c>
      <c r="O14" s="219">
        <v>6.6</v>
      </c>
      <c r="P14" s="71">
        <v>6.5</v>
      </c>
      <c r="Q14" s="71">
        <v>6.7</v>
      </c>
      <c r="R14" s="71">
        <v>6.6</v>
      </c>
      <c r="S14" s="71">
        <v>6.7</v>
      </c>
      <c r="T14" s="71">
        <v>6.6</v>
      </c>
      <c r="U14" s="71">
        <v>6.5</v>
      </c>
      <c r="V14" s="71">
        <v>6.4</v>
      </c>
      <c r="W14" s="71">
        <v>6.4</v>
      </c>
      <c r="X14" s="71">
        <v>6.6</v>
      </c>
      <c r="Y14" s="71">
        <v>6.5</v>
      </c>
      <c r="Z14" s="71">
        <v>6.8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6.7</v>
      </c>
      <c r="G15" s="71">
        <v>6.8</v>
      </c>
      <c r="H15" s="71">
        <v>6.7</v>
      </c>
      <c r="I15" s="71">
        <v>6.5</v>
      </c>
      <c r="J15" s="71">
        <v>5.7</v>
      </c>
      <c r="K15" s="71">
        <v>5.4</v>
      </c>
      <c r="L15" s="71">
        <v>6.1</v>
      </c>
      <c r="M15" s="71">
        <v>6.2</v>
      </c>
      <c r="N15" s="71">
        <v>6.8</v>
      </c>
      <c r="O15" s="219">
        <v>6.6</v>
      </c>
      <c r="P15" s="71">
        <v>6.5</v>
      </c>
      <c r="Q15" s="71">
        <v>6.7</v>
      </c>
      <c r="R15" s="71">
        <v>6.6</v>
      </c>
      <c r="S15" s="71">
        <v>6.7</v>
      </c>
      <c r="T15" s="71">
        <v>6.6</v>
      </c>
      <c r="U15" s="71">
        <v>6.5</v>
      </c>
      <c r="V15" s="71">
        <v>6.4</v>
      </c>
      <c r="W15" s="71">
        <v>6.4</v>
      </c>
      <c r="X15" s="71">
        <v>6.6</v>
      </c>
      <c r="Y15" s="71">
        <v>6.5</v>
      </c>
      <c r="Z15" s="71">
        <v>6.8</v>
      </c>
      <c r="AA15" s="71">
        <v>6.6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6.8</v>
      </c>
      <c r="H16" s="71">
        <v>6.7</v>
      </c>
      <c r="I16" s="71">
        <v>6.5</v>
      </c>
      <c r="J16" s="71">
        <v>5.7</v>
      </c>
      <c r="K16" s="71">
        <v>5.4</v>
      </c>
      <c r="L16" s="71">
        <v>6.1</v>
      </c>
      <c r="M16" s="71">
        <v>6.2</v>
      </c>
      <c r="N16" s="71">
        <v>6.8</v>
      </c>
      <c r="O16" s="219">
        <v>6.6</v>
      </c>
      <c r="P16" s="71">
        <v>6.5</v>
      </c>
      <c r="Q16" s="71">
        <v>6.7</v>
      </c>
      <c r="R16" s="71">
        <v>6.6</v>
      </c>
      <c r="S16" s="71">
        <v>6.7</v>
      </c>
      <c r="T16" s="71">
        <v>6.6</v>
      </c>
      <c r="U16" s="71">
        <v>6.5</v>
      </c>
      <c r="V16" s="71">
        <v>6.4</v>
      </c>
      <c r="W16" s="71">
        <v>6.4</v>
      </c>
      <c r="X16" s="71">
        <v>6.6</v>
      </c>
      <c r="Y16" s="71">
        <v>6.5</v>
      </c>
      <c r="Z16" s="71">
        <v>6.8</v>
      </c>
      <c r="AA16" s="71">
        <v>6.6</v>
      </c>
      <c r="AB16" s="71">
        <v>6.6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26.8</v>
      </c>
      <c r="G17" s="19">
        <f t="shared" si="0"/>
        <v>27.2</v>
      </c>
      <c r="H17" s="19">
        <f t="shared" si="0"/>
        <v>26.8</v>
      </c>
      <c r="I17" s="19">
        <f t="shared" si="0"/>
        <v>26</v>
      </c>
      <c r="J17" s="19">
        <f t="shared" si="0"/>
        <v>22.8</v>
      </c>
      <c r="K17" s="19">
        <f t="shared" si="0"/>
        <v>22.4</v>
      </c>
      <c r="L17" s="19">
        <f t="shared" si="0"/>
        <v>24.4</v>
      </c>
      <c r="M17" s="19">
        <f t="shared" si="0"/>
        <v>24.8</v>
      </c>
      <c r="N17" s="19">
        <f t="shared" si="0"/>
        <v>27.2</v>
      </c>
      <c r="O17" s="19">
        <f t="shared" si="0"/>
        <v>26.4</v>
      </c>
      <c r="P17" s="19">
        <f t="shared" si="0"/>
        <v>26</v>
      </c>
      <c r="Q17" s="19">
        <f t="shared" si="0"/>
        <v>26.8</v>
      </c>
      <c r="R17" s="19">
        <f t="shared" si="0"/>
        <v>26.4</v>
      </c>
      <c r="S17" s="19">
        <f t="shared" si="0"/>
        <v>26.8</v>
      </c>
      <c r="T17" s="19">
        <f t="shared" si="0"/>
        <v>26.4</v>
      </c>
      <c r="U17" s="19">
        <f t="shared" si="0"/>
        <v>26</v>
      </c>
      <c r="V17" s="19">
        <f t="shared" si="0"/>
        <v>25.6</v>
      </c>
      <c r="W17" s="19">
        <f t="shared" si="0"/>
        <v>25.6</v>
      </c>
      <c r="X17" s="19">
        <f t="shared" si="0"/>
        <v>26.4</v>
      </c>
      <c r="Y17" s="19">
        <f t="shared" si="0"/>
        <v>26</v>
      </c>
      <c r="Z17" s="19">
        <f t="shared" si="0"/>
        <v>27.2</v>
      </c>
      <c r="AA17" s="19">
        <f t="shared" si="0"/>
        <v>26.200000000000003</v>
      </c>
      <c r="AB17" s="19">
        <f t="shared" si="0"/>
        <v>26.4</v>
      </c>
      <c r="AC17" s="19">
        <f t="shared" si="0"/>
        <v>26.4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76.100000000000037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2.8</v>
      </c>
      <c r="K21" s="71">
        <v>2.9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3.2</v>
      </c>
      <c r="I22" s="19">
        <f t="shared" si="1"/>
        <v>3.2</v>
      </c>
      <c r="J22" s="19">
        <f t="shared" si="1"/>
        <v>2.8</v>
      </c>
      <c r="K22" s="19">
        <f t="shared" si="1"/>
        <v>2.9</v>
      </c>
      <c r="L22" s="19">
        <f t="shared" si="1"/>
        <v>3.2</v>
      </c>
      <c r="M22" s="19">
        <f t="shared" si="1"/>
        <v>3.2</v>
      </c>
      <c r="N22" s="19">
        <f t="shared" si="1"/>
        <v>3.2</v>
      </c>
      <c r="O22" s="19">
        <f t="shared" si="1"/>
        <v>3.2</v>
      </c>
      <c r="P22" s="19">
        <f t="shared" si="1"/>
        <v>3.2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20.8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</v>
      </c>
      <c r="K24" s="71">
        <v>2.6</v>
      </c>
      <c r="L24" s="71"/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17</v>
      </c>
      <c r="AG24" s="11">
        <f>COUNTIF(G24:AD24,$AJ$7)</f>
        <v>0</v>
      </c>
      <c r="AH24" s="11">
        <f>COUNT(F24:AC24)</f>
        <v>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</v>
      </c>
      <c r="K25" s="19">
        <f t="shared" si="3"/>
        <v>2.6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80.399999999999991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4.0999999999999996</v>
      </c>
      <c r="G27" s="71">
        <v>4.0999999999999996</v>
      </c>
      <c r="H27" s="71">
        <v>3.5</v>
      </c>
      <c r="I27" s="71">
        <v>2.5</v>
      </c>
      <c r="J27" s="71">
        <v>2.4</v>
      </c>
      <c r="K27" s="71">
        <v>1</v>
      </c>
      <c r="L27" s="71"/>
      <c r="M27" s="71"/>
      <c r="N27" s="71">
        <v>4</v>
      </c>
      <c r="O27" s="219">
        <v>4.2</v>
      </c>
      <c r="P27" s="71">
        <v>4</v>
      </c>
      <c r="Q27" s="71">
        <v>4.2</v>
      </c>
      <c r="R27" s="71">
        <v>3.7</v>
      </c>
      <c r="S27" s="71">
        <v>3.7</v>
      </c>
      <c r="T27" s="71">
        <v>3.7</v>
      </c>
      <c r="U27" s="71">
        <v>3.7</v>
      </c>
      <c r="V27" s="71">
        <v>3.7</v>
      </c>
      <c r="W27" s="71">
        <v>3.6</v>
      </c>
      <c r="X27" s="71">
        <v>3.8</v>
      </c>
      <c r="Y27" s="71">
        <v>4</v>
      </c>
      <c r="Z27" s="71">
        <v>4.2</v>
      </c>
      <c r="AA27" s="71">
        <v>4.0999999999999996</v>
      </c>
      <c r="AB27" s="71">
        <v>4.0999999999999996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 t="s">
        <v>9</v>
      </c>
      <c r="G28" s="71" t="s">
        <v>9</v>
      </c>
      <c r="H28" s="71" t="s">
        <v>9</v>
      </c>
      <c r="I28" s="71" t="s">
        <v>9</v>
      </c>
      <c r="J28" s="71" t="s">
        <v>9</v>
      </c>
      <c r="K28" s="71" t="s">
        <v>9</v>
      </c>
      <c r="L28" s="71" t="s">
        <v>9</v>
      </c>
      <c r="M28" s="71" t="s">
        <v>9</v>
      </c>
      <c r="N28" s="71" t="s">
        <v>9</v>
      </c>
      <c r="O28" s="219" t="s">
        <v>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 t="s">
        <v>9</v>
      </c>
      <c r="AB28" s="71" t="s">
        <v>9</v>
      </c>
      <c r="AC28" s="71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</row>
    <row r="29" spans="1:51" x14ac:dyDescent="0.25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4.0999999999999996</v>
      </c>
      <c r="G29" s="19">
        <f t="shared" si="4"/>
        <v>4.0999999999999996</v>
      </c>
      <c r="H29" s="19">
        <f t="shared" si="4"/>
        <v>3.5</v>
      </c>
      <c r="I29" s="19">
        <f t="shared" si="4"/>
        <v>2.5</v>
      </c>
      <c r="J29" s="19">
        <f t="shared" si="4"/>
        <v>2.4</v>
      </c>
      <c r="K29" s="19">
        <f t="shared" si="4"/>
        <v>1</v>
      </c>
      <c r="L29" s="19">
        <f t="shared" si="4"/>
        <v>0</v>
      </c>
      <c r="M29" s="19">
        <f t="shared" si="4"/>
        <v>0</v>
      </c>
      <c r="N29" s="19">
        <f t="shared" si="4"/>
        <v>4</v>
      </c>
      <c r="O29" s="19">
        <f t="shared" si="4"/>
        <v>4.2</v>
      </c>
      <c r="P29" s="19">
        <f t="shared" si="4"/>
        <v>4</v>
      </c>
      <c r="Q29" s="19">
        <f t="shared" si="4"/>
        <v>4.2</v>
      </c>
      <c r="R29" s="19">
        <f t="shared" si="4"/>
        <v>3.7</v>
      </c>
      <c r="S29" s="19">
        <f t="shared" si="4"/>
        <v>3.7</v>
      </c>
      <c r="T29" s="19">
        <f t="shared" si="4"/>
        <v>3.7</v>
      </c>
      <c r="U29" s="19">
        <f t="shared" si="4"/>
        <v>3.7</v>
      </c>
      <c r="V29" s="19">
        <f t="shared" si="4"/>
        <v>3.7</v>
      </c>
      <c r="W29" s="19">
        <f t="shared" si="4"/>
        <v>3.6</v>
      </c>
      <c r="X29" s="19">
        <f t="shared" si="4"/>
        <v>3.8</v>
      </c>
      <c r="Y29" s="19">
        <f t="shared" si="4"/>
        <v>4</v>
      </c>
      <c r="Z29" s="19">
        <f t="shared" si="4"/>
        <v>4.2</v>
      </c>
      <c r="AA29" s="19">
        <f t="shared" si="4"/>
        <v>4.0999999999999996</v>
      </c>
      <c r="AB29" s="19">
        <f t="shared" si="4"/>
        <v>4.0999999999999996</v>
      </c>
      <c r="AC29" s="19">
        <f t="shared" si="4"/>
        <v>4.0999999999999996</v>
      </c>
      <c r="AD29" s="41"/>
      <c r="AE29" s="41"/>
      <c r="AF29" s="11"/>
      <c r="AG29" s="11"/>
      <c r="AH29" s="11"/>
    </row>
    <row r="30" spans="1:51" x14ac:dyDescent="0.25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 x14ac:dyDescent="0.25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322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219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 x14ac:dyDescent="0.25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0</v>
      </c>
      <c r="G32" s="19">
        <f t="shared" ref="G32:AC32" si="6">SUM(G31)</f>
        <v>0</v>
      </c>
      <c r="H32" s="19">
        <f t="shared" si="6"/>
        <v>0</v>
      </c>
      <c r="I32" s="19">
        <f t="shared" si="6"/>
        <v>0</v>
      </c>
      <c r="J32" s="19">
        <f t="shared" si="6"/>
        <v>0</v>
      </c>
      <c r="K32" s="19">
        <f t="shared" si="6"/>
        <v>0</v>
      </c>
      <c r="L32" s="19">
        <f t="shared" si="6"/>
        <v>0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 x14ac:dyDescent="0.2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217.70000000000013</v>
      </c>
    </row>
    <row r="34" spans="1:35" x14ac:dyDescent="0.2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 x14ac:dyDescent="0.25">
      <c r="A36" s="70" t="s">
        <v>34</v>
      </c>
      <c r="B36" s="15"/>
      <c r="C36" s="15"/>
      <c r="D36" s="15"/>
      <c r="E36" s="15"/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>
        <v>0</v>
      </c>
      <c r="N36" s="71">
        <v>0</v>
      </c>
      <c r="O36" s="219">
        <v>0</v>
      </c>
      <c r="P36" s="71">
        <v>0.8</v>
      </c>
      <c r="Q36" s="71">
        <f>14.6/18</f>
        <v>0.81111111111111112</v>
      </c>
      <c r="R36" s="71">
        <f t="shared" ref="R36:R39" si="10">14.6/18</f>
        <v>0.81111111111111112</v>
      </c>
      <c r="S36" s="71">
        <f>16.5/20</f>
        <v>0.82499999999999996</v>
      </c>
      <c r="T36" s="71">
        <f>15.7/19</f>
        <v>0.82631578947368423</v>
      </c>
      <c r="U36" s="71">
        <v>0.9</v>
      </c>
      <c r="V36" s="71">
        <v>0.9</v>
      </c>
      <c r="W36" s="71">
        <v>0.9</v>
      </c>
      <c r="X36" s="71">
        <v>0.9</v>
      </c>
      <c r="Y36" s="71">
        <v>0.9</v>
      </c>
      <c r="Z36" s="71">
        <v>0.9</v>
      </c>
      <c r="AA36" s="71">
        <v>0.9</v>
      </c>
      <c r="AB36" s="71">
        <v>0.9</v>
      </c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23</v>
      </c>
    </row>
    <row r="37" spans="1:35" x14ac:dyDescent="0.2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>
        <f t="shared" ref="Q37:Q39" si="11">14.6/18</f>
        <v>0.81111111111111112</v>
      </c>
      <c r="R37" s="71">
        <f t="shared" si="10"/>
        <v>0.81111111111111112</v>
      </c>
      <c r="S37" s="71">
        <f t="shared" ref="S37:S40" si="12">16.5/20</f>
        <v>0.82499999999999996</v>
      </c>
      <c r="T37" s="71" t="s">
        <v>9</v>
      </c>
      <c r="U37" s="71">
        <v>0.9</v>
      </c>
      <c r="V37" s="71">
        <v>0.9</v>
      </c>
      <c r="W37" s="71"/>
      <c r="X37" s="71"/>
      <c r="Y37" s="71">
        <v>0.9</v>
      </c>
      <c r="Z37" s="71">
        <v>0.9</v>
      </c>
      <c r="AA37" s="71">
        <v>0.9</v>
      </c>
      <c r="AB37" s="71"/>
      <c r="AC37" s="71"/>
      <c r="AD37" s="41"/>
      <c r="AE37" s="41"/>
      <c r="AF37" s="11">
        <f t="shared" si="7"/>
        <v>1</v>
      </c>
      <c r="AG37" s="11">
        <f t="shared" si="8"/>
        <v>0</v>
      </c>
      <c r="AH37" s="11">
        <f t="shared" si="9"/>
        <v>8</v>
      </c>
    </row>
    <row r="38" spans="1:35" x14ac:dyDescent="0.25">
      <c r="A38" s="70">
        <v>35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0</v>
      </c>
      <c r="O38" s="71">
        <v>0</v>
      </c>
      <c r="P38" s="71">
        <v>0.9</v>
      </c>
      <c r="Q38" s="71">
        <f t="shared" si="11"/>
        <v>0.81111111111111112</v>
      </c>
      <c r="R38" s="71">
        <f t="shared" si="10"/>
        <v>0.81111111111111112</v>
      </c>
      <c r="S38" s="71">
        <f t="shared" si="12"/>
        <v>0.82499999999999996</v>
      </c>
      <c r="T38" s="71">
        <f t="shared" ref="T38:T40" si="13">15.7/19</f>
        <v>0.82631578947368423</v>
      </c>
      <c r="U38" s="71">
        <v>0.9</v>
      </c>
      <c r="V38" s="71">
        <v>0.9</v>
      </c>
      <c r="W38" s="71">
        <v>0.9</v>
      </c>
      <c r="X38" s="71">
        <v>0.9</v>
      </c>
      <c r="Y38" s="71">
        <v>0.9</v>
      </c>
      <c r="Z38" s="71">
        <v>0.9</v>
      </c>
      <c r="AA38" s="71">
        <v>0.9</v>
      </c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22</v>
      </c>
    </row>
    <row r="39" spans="1:35" x14ac:dyDescent="0.25">
      <c r="A39" s="70">
        <v>36</v>
      </c>
      <c r="B39" s="15"/>
      <c r="C39" s="15"/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>
        <v>0</v>
      </c>
      <c r="N39" s="71">
        <v>0</v>
      </c>
      <c r="O39" s="71">
        <v>0</v>
      </c>
      <c r="P39" s="71">
        <v>0.9</v>
      </c>
      <c r="Q39" s="71">
        <f t="shared" si="11"/>
        <v>0.81111111111111112</v>
      </c>
      <c r="R39" s="71">
        <f t="shared" si="10"/>
        <v>0.81111111111111112</v>
      </c>
      <c r="S39" s="71">
        <f t="shared" si="12"/>
        <v>0.82499999999999996</v>
      </c>
      <c r="T39" s="71">
        <f t="shared" si="13"/>
        <v>0.82631578947368423</v>
      </c>
      <c r="U39" s="71">
        <v>0.9</v>
      </c>
      <c r="V39" s="71">
        <v>0.9</v>
      </c>
      <c r="W39" s="71">
        <v>0.9</v>
      </c>
      <c r="X39" s="71">
        <v>0.9</v>
      </c>
      <c r="Y39" s="71">
        <v>0.9</v>
      </c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20</v>
      </c>
    </row>
    <row r="40" spans="1:35" x14ac:dyDescent="0.25">
      <c r="A40" s="70">
        <v>37</v>
      </c>
      <c r="B40" s="15"/>
      <c r="C40" s="15"/>
      <c r="D40" s="15"/>
      <c r="E40" s="15"/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0</v>
      </c>
      <c r="M40" s="71">
        <v>0</v>
      </c>
      <c r="N40" s="71">
        <v>0</v>
      </c>
      <c r="O40" s="71">
        <v>0</v>
      </c>
      <c r="P40" s="71">
        <v>0</v>
      </c>
      <c r="Q40" s="71">
        <v>0</v>
      </c>
      <c r="R40" s="71">
        <v>0</v>
      </c>
      <c r="S40" s="71">
        <f t="shared" si="12"/>
        <v>0.82499999999999996</v>
      </c>
      <c r="T40" s="71">
        <f t="shared" si="13"/>
        <v>0.82631578947368423</v>
      </c>
      <c r="U40" s="71">
        <v>0.9</v>
      </c>
      <c r="V40" s="71">
        <v>0.9</v>
      </c>
      <c r="W40" s="71">
        <v>0.9</v>
      </c>
      <c r="X40" s="71">
        <v>0.8</v>
      </c>
      <c r="Y40" s="71">
        <v>0.8</v>
      </c>
      <c r="Z40" s="71">
        <v>0.8</v>
      </c>
      <c r="AA40" s="71">
        <v>0.8</v>
      </c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22</v>
      </c>
    </row>
    <row r="41" spans="1:35" x14ac:dyDescent="0.2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 x14ac:dyDescent="0.25">
      <c r="A42" s="70">
        <v>39</v>
      </c>
      <c r="B42" s="15"/>
      <c r="C42" s="15"/>
      <c r="D42" s="15"/>
      <c r="E42" s="15"/>
      <c r="F42" s="71">
        <v>0</v>
      </c>
      <c r="G42" s="71">
        <v>0</v>
      </c>
      <c r="H42" s="71">
        <v>0</v>
      </c>
      <c r="I42" s="71">
        <v>0</v>
      </c>
      <c r="J42" s="71">
        <v>0</v>
      </c>
      <c r="K42" s="71">
        <v>0</v>
      </c>
      <c r="L42" s="71">
        <v>0</v>
      </c>
      <c r="M42" s="71">
        <v>0</v>
      </c>
      <c r="N42" s="71">
        <v>0</v>
      </c>
      <c r="O42" s="71">
        <v>0</v>
      </c>
      <c r="P42" s="71">
        <v>0</v>
      </c>
      <c r="Q42" s="71">
        <v>0</v>
      </c>
      <c r="R42" s="71">
        <v>0</v>
      </c>
      <c r="S42" s="71">
        <f t="shared" ref="S42:S48" si="14">16.5/20</f>
        <v>0.82499999999999996</v>
      </c>
      <c r="T42" s="71">
        <f t="shared" ref="T42:T48" si="15">15.7/19</f>
        <v>0.82631578947368423</v>
      </c>
      <c r="U42" s="71">
        <v>0.8</v>
      </c>
      <c r="V42" s="71">
        <v>0.8</v>
      </c>
      <c r="W42" s="71">
        <v>0.8</v>
      </c>
      <c r="X42" s="71">
        <v>0.8</v>
      </c>
      <c r="Y42" s="71">
        <v>0.8</v>
      </c>
      <c r="Z42" s="71">
        <v>0.8</v>
      </c>
      <c r="AA42" s="71">
        <v>0.7</v>
      </c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22</v>
      </c>
    </row>
    <row r="43" spans="1:35" ht="16.5" customHeight="1" x14ac:dyDescent="0.25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19">
        <v>0.81</v>
      </c>
      <c r="P43" s="71">
        <v>0.81</v>
      </c>
      <c r="Q43" s="71">
        <f t="shared" ref="Q43:R48" si="16">14.6/18</f>
        <v>0.81111111111111112</v>
      </c>
      <c r="R43" s="71">
        <f t="shared" si="16"/>
        <v>0.81111111111111112</v>
      </c>
      <c r="S43" s="71">
        <f t="shared" si="14"/>
        <v>0.82499999999999996</v>
      </c>
      <c r="T43" s="71">
        <f t="shared" si="15"/>
        <v>0.82631578947368423</v>
      </c>
      <c r="U43" s="71">
        <v>0.81</v>
      </c>
      <c r="V43" s="71">
        <v>0.81</v>
      </c>
      <c r="W43" s="71">
        <v>0.81</v>
      </c>
      <c r="X43" s="71">
        <v>0.81</v>
      </c>
      <c r="Y43" s="71">
        <v>0.81</v>
      </c>
      <c r="Z43" s="71">
        <v>0.81</v>
      </c>
      <c r="AA43" s="71">
        <v>0.8</v>
      </c>
      <c r="AB43" s="71">
        <v>0.8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14</v>
      </c>
    </row>
    <row r="44" spans="1:35" x14ac:dyDescent="0.2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>
        <v>0.81</v>
      </c>
      <c r="P44" s="71">
        <v>0.81</v>
      </c>
      <c r="Q44" s="71">
        <f t="shared" si="16"/>
        <v>0.81111111111111112</v>
      </c>
      <c r="R44" s="71">
        <f t="shared" si="16"/>
        <v>0.81111111111111112</v>
      </c>
      <c r="S44" s="71">
        <f t="shared" si="14"/>
        <v>0.82499999999999996</v>
      </c>
      <c r="T44" s="71">
        <f t="shared" si="15"/>
        <v>0.82631578947368423</v>
      </c>
      <c r="U44" s="71">
        <v>0.81</v>
      </c>
      <c r="V44" s="71">
        <v>0.81</v>
      </c>
      <c r="W44" s="71">
        <v>0.81</v>
      </c>
      <c r="X44" s="71">
        <v>0.81</v>
      </c>
      <c r="Y44" s="71">
        <v>0.81</v>
      </c>
      <c r="Z44" s="71">
        <v>0.81</v>
      </c>
      <c r="AA44" s="71">
        <v>0.8</v>
      </c>
      <c r="AB44" s="71">
        <v>0.8</v>
      </c>
      <c r="AC44" s="71">
        <v>0.8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15</v>
      </c>
    </row>
    <row r="45" spans="1:35" x14ac:dyDescent="0.2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>
        <v>0.81</v>
      </c>
      <c r="P45" s="71">
        <v>0.81</v>
      </c>
      <c r="Q45" s="71">
        <f t="shared" si="16"/>
        <v>0.81111111111111112</v>
      </c>
      <c r="R45" s="71">
        <f t="shared" si="16"/>
        <v>0.81111111111111112</v>
      </c>
      <c r="S45" s="71">
        <f t="shared" si="14"/>
        <v>0.82499999999999996</v>
      </c>
      <c r="T45" s="71">
        <f t="shared" si="15"/>
        <v>0.82631578947368423</v>
      </c>
      <c r="U45" s="71">
        <v>0.81</v>
      </c>
      <c r="V45" s="71">
        <v>0.81</v>
      </c>
      <c r="W45" s="71">
        <v>0.81</v>
      </c>
      <c r="X45" s="71">
        <v>0.81</v>
      </c>
      <c r="Y45" s="71">
        <v>0.81</v>
      </c>
      <c r="Z45" s="71">
        <v>0.81</v>
      </c>
      <c r="AA45" s="71">
        <v>0.8</v>
      </c>
      <c r="AB45" s="71">
        <v>0.8</v>
      </c>
      <c r="AC45" s="71">
        <v>0.8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15</v>
      </c>
    </row>
    <row r="46" spans="1:35" x14ac:dyDescent="0.25">
      <c r="A46" s="70" t="s">
        <v>38</v>
      </c>
      <c r="B46" s="15"/>
      <c r="C46" s="15">
        <v>0.8</v>
      </c>
      <c r="D46" s="15"/>
      <c r="E46" s="15"/>
      <c r="F46" s="71">
        <f t="shared" ref="F46" si="17">5.6/7</f>
        <v>0.79999999999999993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v>0.8</v>
      </c>
      <c r="Q46" s="71">
        <f t="shared" si="16"/>
        <v>0.81111111111111112</v>
      </c>
      <c r="R46" s="71">
        <f t="shared" si="16"/>
        <v>0.81111111111111112</v>
      </c>
      <c r="S46" s="71">
        <f t="shared" si="14"/>
        <v>0.82499999999999996</v>
      </c>
      <c r="T46" s="71">
        <f t="shared" si="15"/>
        <v>0.82631578947368423</v>
      </c>
      <c r="U46" s="71">
        <v>0.8</v>
      </c>
      <c r="V46" s="71">
        <v>0.8</v>
      </c>
      <c r="W46" s="71">
        <v>0.8</v>
      </c>
      <c r="X46" s="71">
        <v>0.8</v>
      </c>
      <c r="Y46" s="71">
        <v>0.8</v>
      </c>
      <c r="Z46" s="71">
        <v>0.8</v>
      </c>
      <c r="AA46" s="71">
        <v>0.8</v>
      </c>
      <c r="AB46" s="71">
        <v>0.8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ht="15" customHeight="1" x14ac:dyDescent="0.25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>
        <v>0.81</v>
      </c>
      <c r="P47" s="71">
        <v>0.81</v>
      </c>
      <c r="Q47" s="71">
        <f t="shared" si="16"/>
        <v>0.81111111111111112</v>
      </c>
      <c r="R47" s="71">
        <f t="shared" si="16"/>
        <v>0.81111111111111112</v>
      </c>
      <c r="S47" s="71">
        <f t="shared" si="14"/>
        <v>0.82499999999999996</v>
      </c>
      <c r="T47" s="71">
        <f t="shared" si="15"/>
        <v>0.82631578947368423</v>
      </c>
      <c r="U47" s="71">
        <v>0.81</v>
      </c>
      <c r="V47" s="71">
        <v>0.81</v>
      </c>
      <c r="W47" s="71">
        <v>0.81</v>
      </c>
      <c r="X47" s="71">
        <v>0.81</v>
      </c>
      <c r="Y47" s="71">
        <v>0.81</v>
      </c>
      <c r="Z47" s="71">
        <v>0.81</v>
      </c>
      <c r="AA47" s="71">
        <v>0.8</v>
      </c>
      <c r="AB47" s="71">
        <v>0.8</v>
      </c>
      <c r="AC47" s="71">
        <v>0.8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15</v>
      </c>
    </row>
    <row r="48" spans="1:35" ht="16.5" customHeight="1" x14ac:dyDescent="0.25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>
        <v>0.8</v>
      </c>
      <c r="Q48" s="71">
        <f t="shared" si="16"/>
        <v>0.81111111111111112</v>
      </c>
      <c r="R48" s="71">
        <f t="shared" si="16"/>
        <v>0.81111111111111112</v>
      </c>
      <c r="S48" s="71">
        <f t="shared" si="14"/>
        <v>0.82499999999999996</v>
      </c>
      <c r="T48" s="71">
        <f t="shared" si="15"/>
        <v>0.82631578947368423</v>
      </c>
      <c r="U48" s="71">
        <v>0.8</v>
      </c>
      <c r="V48" s="71">
        <v>0.8</v>
      </c>
      <c r="W48" s="71">
        <v>0.8</v>
      </c>
      <c r="X48" s="71">
        <v>0.8</v>
      </c>
      <c r="Y48" s="71">
        <v>0.8</v>
      </c>
      <c r="Z48" s="71">
        <v>0.7</v>
      </c>
      <c r="AA48" s="71">
        <v>0.7</v>
      </c>
      <c r="AB48" s="71">
        <v>0.7</v>
      </c>
      <c r="AC48" s="71">
        <v>0.8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14</v>
      </c>
    </row>
    <row r="49" spans="1:124" x14ac:dyDescent="0.25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 x14ac:dyDescent="0.25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>
        <v>0.81</v>
      </c>
      <c r="P50" s="71">
        <v>0.81</v>
      </c>
      <c r="Q50" s="71">
        <f t="shared" ref="Q50:R57" si="18">14.6/18</f>
        <v>0.81111111111111112</v>
      </c>
      <c r="R50" s="71">
        <f t="shared" si="18"/>
        <v>0.81111111111111112</v>
      </c>
      <c r="S50" s="71">
        <f t="shared" ref="S50:S57" si="19">16.5/20</f>
        <v>0.82499999999999996</v>
      </c>
      <c r="T50" s="71">
        <f t="shared" ref="T50:T57" si="20">15.7/19</f>
        <v>0.82631578947368423</v>
      </c>
      <c r="U50" s="71">
        <v>0.81</v>
      </c>
      <c r="V50" s="71">
        <v>0.81</v>
      </c>
      <c r="W50" s="71">
        <v>0.85</v>
      </c>
      <c r="X50" s="71">
        <v>0.85</v>
      </c>
      <c r="Y50" s="71">
        <v>0.85</v>
      </c>
      <c r="Z50" s="71">
        <v>0.85</v>
      </c>
      <c r="AA50" s="71">
        <v>0.8</v>
      </c>
      <c r="AB50" s="71">
        <v>0.8</v>
      </c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14</v>
      </c>
    </row>
    <row r="51" spans="1:124" x14ac:dyDescent="0.25">
      <c r="A51" s="70" t="s">
        <v>43</v>
      </c>
      <c r="B51" s="15"/>
      <c r="C51" s="15">
        <v>0.8</v>
      </c>
      <c r="D51" s="15"/>
      <c r="E51" s="15"/>
      <c r="F51" s="71">
        <v>0</v>
      </c>
      <c r="G51" s="71">
        <v>0</v>
      </c>
      <c r="H51" s="71">
        <v>0</v>
      </c>
      <c r="I51" s="71">
        <v>0</v>
      </c>
      <c r="J51" s="71">
        <v>0</v>
      </c>
      <c r="K51" s="71">
        <v>0</v>
      </c>
      <c r="L51" s="71">
        <v>0</v>
      </c>
      <c r="M51" s="71">
        <v>0</v>
      </c>
      <c r="N51" s="71">
        <v>0</v>
      </c>
      <c r="O51" s="219">
        <v>0</v>
      </c>
      <c r="P51" s="71">
        <v>0.8</v>
      </c>
      <c r="Q51" s="71">
        <f t="shared" si="18"/>
        <v>0.81111111111111112</v>
      </c>
      <c r="R51" s="71">
        <f t="shared" si="18"/>
        <v>0.81111111111111112</v>
      </c>
      <c r="S51" s="71">
        <f t="shared" si="19"/>
        <v>0.82499999999999996</v>
      </c>
      <c r="T51" s="71">
        <f t="shared" si="20"/>
        <v>0.82631578947368423</v>
      </c>
      <c r="U51" s="71">
        <v>0.8</v>
      </c>
      <c r="V51" s="71">
        <v>0.8</v>
      </c>
      <c r="W51" s="71">
        <v>0.85</v>
      </c>
      <c r="X51" s="71">
        <v>0.85</v>
      </c>
      <c r="Y51" s="71">
        <v>0.85</v>
      </c>
      <c r="Z51" s="71">
        <v>0.85</v>
      </c>
      <c r="AA51" s="71">
        <v>0.8</v>
      </c>
      <c r="AB51" s="71">
        <v>0.8</v>
      </c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23</v>
      </c>
    </row>
    <row r="52" spans="1:124" ht="16.5" customHeight="1" x14ac:dyDescent="0.25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0.6</v>
      </c>
      <c r="O52" s="219">
        <v>0.81</v>
      </c>
      <c r="P52" s="71">
        <v>0.81</v>
      </c>
      <c r="Q52" s="71">
        <f t="shared" si="18"/>
        <v>0.81111111111111112</v>
      </c>
      <c r="R52" s="71">
        <f t="shared" si="18"/>
        <v>0.81111111111111112</v>
      </c>
      <c r="S52" s="71">
        <f t="shared" si="19"/>
        <v>0.82499999999999996</v>
      </c>
      <c r="T52" s="71">
        <f t="shared" si="20"/>
        <v>0.82631578947368423</v>
      </c>
      <c r="U52" s="71">
        <v>0.81</v>
      </c>
      <c r="V52" s="71">
        <v>0.81</v>
      </c>
      <c r="W52" s="71">
        <v>0.82</v>
      </c>
      <c r="X52" s="71">
        <v>0.82</v>
      </c>
      <c r="Y52" s="71">
        <v>0.82</v>
      </c>
      <c r="Z52" s="71">
        <v>0.82</v>
      </c>
      <c r="AA52" s="71">
        <v>0.8</v>
      </c>
      <c r="AB52" s="71">
        <v>0.8</v>
      </c>
      <c r="AC52" s="71">
        <v>0.8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16</v>
      </c>
    </row>
    <row r="53" spans="1:124" x14ac:dyDescent="0.25">
      <c r="A53" s="70" t="s">
        <v>45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</v>
      </c>
      <c r="N53" s="71">
        <v>0</v>
      </c>
      <c r="O53" s="219">
        <v>0.81</v>
      </c>
      <c r="P53" s="71">
        <v>0.81</v>
      </c>
      <c r="Q53" s="71">
        <f t="shared" si="18"/>
        <v>0.81111111111111112</v>
      </c>
      <c r="R53" s="71">
        <f t="shared" si="18"/>
        <v>0.81111111111111112</v>
      </c>
      <c r="S53" s="71">
        <f t="shared" si="19"/>
        <v>0.82499999999999996</v>
      </c>
      <c r="T53" s="71">
        <f t="shared" si="20"/>
        <v>0.82631578947368423</v>
      </c>
      <c r="U53" s="71">
        <v>0.81</v>
      </c>
      <c r="V53" s="71">
        <v>0.81</v>
      </c>
      <c r="W53" s="71">
        <v>0.81</v>
      </c>
      <c r="X53" s="71">
        <v>0.81</v>
      </c>
      <c r="Y53" s="71">
        <v>0.81</v>
      </c>
      <c r="Z53" s="71">
        <v>0.81</v>
      </c>
      <c r="AA53" s="71">
        <v>0.8</v>
      </c>
      <c r="AB53" s="71">
        <v>0.8</v>
      </c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23</v>
      </c>
    </row>
    <row r="54" spans="1:124" x14ac:dyDescent="0.25">
      <c r="A54" s="70" t="s">
        <v>46</v>
      </c>
      <c r="B54" s="15"/>
      <c r="C54" s="15">
        <v>0.8</v>
      </c>
      <c r="D54" s="15"/>
      <c r="E54" s="15"/>
      <c r="F54" s="71">
        <f t="shared" ref="F54" si="21">5.6/7</f>
        <v>0.79999999999999993</v>
      </c>
      <c r="G54" s="71"/>
      <c r="H54" s="71"/>
      <c r="I54" s="71"/>
      <c r="J54" s="71"/>
      <c r="K54" s="71"/>
      <c r="L54" s="71"/>
      <c r="M54" s="71"/>
      <c r="N54" s="71"/>
      <c r="O54" s="219"/>
      <c r="P54" s="71">
        <v>0.8</v>
      </c>
      <c r="Q54" s="71">
        <f t="shared" si="18"/>
        <v>0.81111111111111112</v>
      </c>
      <c r="R54" s="71">
        <f t="shared" si="18"/>
        <v>0.81111111111111112</v>
      </c>
      <c r="S54" s="71">
        <f t="shared" si="19"/>
        <v>0.82499999999999996</v>
      </c>
      <c r="T54" s="71">
        <f t="shared" si="20"/>
        <v>0.82631578947368423</v>
      </c>
      <c r="U54" s="71">
        <v>0.8</v>
      </c>
      <c r="V54" s="71">
        <v>0.8</v>
      </c>
      <c r="W54" s="71">
        <v>0.8</v>
      </c>
      <c r="X54" s="71">
        <v>0.8</v>
      </c>
      <c r="Y54" s="71">
        <v>0.8</v>
      </c>
      <c r="Z54" s="71">
        <v>0.8</v>
      </c>
      <c r="AA54" s="71">
        <v>0.8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15</v>
      </c>
    </row>
    <row r="55" spans="1:124" x14ac:dyDescent="0.25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>
        <v>0.81</v>
      </c>
      <c r="P55" s="71">
        <v>0.81</v>
      </c>
      <c r="Q55" s="71">
        <f t="shared" si="18"/>
        <v>0.81111111111111112</v>
      </c>
      <c r="R55" s="71">
        <f t="shared" si="18"/>
        <v>0.81111111111111112</v>
      </c>
      <c r="S55" s="71">
        <f t="shared" si="19"/>
        <v>0.82499999999999996</v>
      </c>
      <c r="T55" s="71">
        <f t="shared" si="20"/>
        <v>0.82631578947368423</v>
      </c>
      <c r="U55" s="71">
        <v>0.81</v>
      </c>
      <c r="V55" s="71">
        <v>0.81</v>
      </c>
      <c r="W55" s="71">
        <v>0.81</v>
      </c>
      <c r="X55" s="71">
        <v>0.81</v>
      </c>
      <c r="Y55" s="71">
        <v>0.81</v>
      </c>
      <c r="Z55" s="71">
        <v>0.81</v>
      </c>
      <c r="AA55" s="71">
        <v>0.8</v>
      </c>
      <c r="AB55" s="71">
        <v>0.8</v>
      </c>
      <c r="AC55" s="71">
        <v>0.8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15</v>
      </c>
    </row>
    <row r="56" spans="1:124" x14ac:dyDescent="0.25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v>0.81</v>
      </c>
      <c r="P56" s="71">
        <v>0.81</v>
      </c>
      <c r="Q56" s="71">
        <f t="shared" si="18"/>
        <v>0.81111111111111112</v>
      </c>
      <c r="R56" s="71">
        <f t="shared" si="18"/>
        <v>0.81111111111111112</v>
      </c>
      <c r="S56" s="71">
        <f t="shared" si="19"/>
        <v>0.82499999999999996</v>
      </c>
      <c r="T56" s="71">
        <f t="shared" si="20"/>
        <v>0.82631578947368423</v>
      </c>
      <c r="U56" s="71">
        <v>0.81</v>
      </c>
      <c r="V56" s="71">
        <v>0.81</v>
      </c>
      <c r="W56" s="71">
        <v>0.81</v>
      </c>
      <c r="X56" s="71">
        <v>0.81</v>
      </c>
      <c r="Y56" s="71">
        <v>0.81</v>
      </c>
      <c r="Z56" s="71">
        <v>0.81</v>
      </c>
      <c r="AA56" s="71">
        <v>0.8</v>
      </c>
      <c r="AB56" s="71">
        <v>0.85</v>
      </c>
      <c r="AC56" s="71">
        <v>0.8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 x14ac:dyDescent="0.25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0.6</v>
      </c>
      <c r="O57" s="219">
        <v>0.81</v>
      </c>
      <c r="P57" s="71">
        <v>0.81</v>
      </c>
      <c r="Q57" s="71">
        <f t="shared" si="18"/>
        <v>0.81111111111111112</v>
      </c>
      <c r="R57" s="71">
        <f t="shared" si="18"/>
        <v>0.81111111111111112</v>
      </c>
      <c r="S57" s="71">
        <f t="shared" si="19"/>
        <v>0.82499999999999996</v>
      </c>
      <c r="T57" s="71">
        <f t="shared" si="20"/>
        <v>0.82631578947368423</v>
      </c>
      <c r="U57" s="71">
        <v>0.81</v>
      </c>
      <c r="V57" s="71">
        <v>0.81</v>
      </c>
      <c r="W57" s="71">
        <v>0.81</v>
      </c>
      <c r="X57" s="71">
        <v>0.81</v>
      </c>
      <c r="Y57" s="71">
        <v>0.81</v>
      </c>
      <c r="Z57" s="71">
        <v>0.81</v>
      </c>
      <c r="AA57" s="71">
        <v>0.8</v>
      </c>
      <c r="AB57" s="71">
        <v>0.85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16</v>
      </c>
    </row>
    <row r="58" spans="1:124" x14ac:dyDescent="0.25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22">SUM(F34:F57)</f>
        <v>1.5999999999999999</v>
      </c>
      <c r="G58" s="19">
        <f t="shared" si="22"/>
        <v>0</v>
      </c>
      <c r="H58" s="19">
        <f t="shared" si="22"/>
        <v>0</v>
      </c>
      <c r="I58" s="19">
        <f t="shared" si="22"/>
        <v>0</v>
      </c>
      <c r="J58" s="19">
        <f t="shared" si="22"/>
        <v>0</v>
      </c>
      <c r="K58" s="19">
        <f t="shared" si="22"/>
        <v>0</v>
      </c>
      <c r="L58" s="19">
        <f t="shared" si="22"/>
        <v>0</v>
      </c>
      <c r="M58" s="19">
        <f t="shared" si="22"/>
        <v>0</v>
      </c>
      <c r="N58" s="19">
        <f t="shared" si="22"/>
        <v>1.2</v>
      </c>
      <c r="O58" s="19">
        <f t="shared" si="22"/>
        <v>8.1000000000000032</v>
      </c>
      <c r="P58" s="19">
        <f t="shared" si="22"/>
        <v>13.900000000000004</v>
      </c>
      <c r="Q58" s="19">
        <f t="shared" si="22"/>
        <v>14.600000000000005</v>
      </c>
      <c r="R58" s="19">
        <f t="shared" si="22"/>
        <v>14.600000000000005</v>
      </c>
      <c r="S58" s="19">
        <f t="shared" si="22"/>
        <v>16.499999999999993</v>
      </c>
      <c r="T58" s="19">
        <f t="shared" si="22"/>
        <v>15.699999999999996</v>
      </c>
      <c r="U58" s="19">
        <f t="shared" si="22"/>
        <v>16.600000000000005</v>
      </c>
      <c r="V58" s="19">
        <f t="shared" si="22"/>
        <v>16.600000000000005</v>
      </c>
      <c r="W58" s="19">
        <f t="shared" si="22"/>
        <v>15.800000000000004</v>
      </c>
      <c r="X58" s="19">
        <f t="shared" si="22"/>
        <v>15.700000000000003</v>
      </c>
      <c r="Y58" s="19">
        <f t="shared" si="22"/>
        <v>16.600000000000005</v>
      </c>
      <c r="Z58" s="19">
        <f t="shared" si="22"/>
        <v>15.600000000000001</v>
      </c>
      <c r="AA58" s="19">
        <f t="shared" si="22"/>
        <v>15.300000000000004</v>
      </c>
      <c r="AB58" s="19">
        <f t="shared" si="22"/>
        <v>12.1</v>
      </c>
      <c r="AC58" s="19">
        <f t="shared" si="22"/>
        <v>7.1999999999999993</v>
      </c>
      <c r="AD58" s="34"/>
      <c r="AE58" s="34"/>
      <c r="AF58" s="11"/>
      <c r="AG58" s="11"/>
      <c r="AH58" s="11"/>
    </row>
    <row r="59" spans="1:124" x14ac:dyDescent="0.25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25.589999999999996</v>
      </c>
      <c r="AN59" s="357"/>
    </row>
    <row r="60" spans="1:124" x14ac:dyDescent="0.25">
      <c r="A60" s="14" t="s">
        <v>51</v>
      </c>
      <c r="B60" s="20"/>
      <c r="C60" s="15">
        <v>0.85</v>
      </c>
      <c r="D60" s="15"/>
      <c r="E60" s="15"/>
      <c r="F60" s="71">
        <f>0.88/2</f>
        <v>0.44</v>
      </c>
      <c r="G60" s="71">
        <f>0.79/2</f>
        <v>0.39500000000000002</v>
      </c>
      <c r="H60" s="71">
        <f>0.76/2</f>
        <v>0.38</v>
      </c>
      <c r="I60" s="71">
        <f>0.73/2</f>
        <v>0.36499999999999999</v>
      </c>
      <c r="J60" s="71">
        <f>0.7/2</f>
        <v>0.35</v>
      </c>
      <c r="K60" s="71">
        <f>0.73/2</f>
        <v>0.36499999999999999</v>
      </c>
      <c r="L60" s="71">
        <f>0.8/2</f>
        <v>0.4</v>
      </c>
      <c r="M60" s="71">
        <v>0.47499999999999998</v>
      </c>
      <c r="N60" s="71">
        <v>0.47499999999999998</v>
      </c>
      <c r="O60" s="71">
        <v>0.57499999999999996</v>
      </c>
      <c r="P60" s="71">
        <v>0.59</v>
      </c>
      <c r="Q60" s="71">
        <f>1.14/2</f>
        <v>0.56999999999999995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0.57999999999999996</v>
      </c>
      <c r="Y60" s="71">
        <v>0.76500000000000001</v>
      </c>
      <c r="Z60" s="71">
        <v>0.71499999999999997</v>
      </c>
      <c r="AA60" s="71">
        <v>0.68500000000000005</v>
      </c>
      <c r="AB60" s="71">
        <v>0.61</v>
      </c>
      <c r="AC60" s="71">
        <f>1.08/2</f>
        <v>0.54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5">
      <c r="A61" s="14" t="s">
        <v>52</v>
      </c>
      <c r="B61" s="20"/>
      <c r="C61" s="15">
        <v>0.85</v>
      </c>
      <c r="D61" s="15"/>
      <c r="E61" s="15"/>
      <c r="F61" s="71">
        <f>0.88/2</f>
        <v>0.44</v>
      </c>
      <c r="G61" s="71">
        <f>G60</f>
        <v>0.39500000000000002</v>
      </c>
      <c r="H61" s="71">
        <f>0.76/2</f>
        <v>0.38</v>
      </c>
      <c r="I61" s="71">
        <f>0.73/2</f>
        <v>0.36499999999999999</v>
      </c>
      <c r="J61" s="71">
        <f>0.7/2</f>
        <v>0.35</v>
      </c>
      <c r="K61" s="71">
        <f>0.73/2</f>
        <v>0.36499999999999999</v>
      </c>
      <c r="L61" s="71"/>
      <c r="M61" s="71"/>
      <c r="N61" s="71"/>
      <c r="O61" s="71"/>
      <c r="P61" s="71"/>
      <c r="Q61" s="71"/>
      <c r="R61" s="71">
        <f>1.12/2</f>
        <v>0.56000000000000005</v>
      </c>
      <c r="S61" s="71">
        <f>1.12/2</f>
        <v>0.56000000000000005</v>
      </c>
      <c r="T61" s="71">
        <f>1.2/2</f>
        <v>0.6</v>
      </c>
      <c r="U61" s="71">
        <v>0.62</v>
      </c>
      <c r="V61" s="71">
        <v>0.59</v>
      </c>
      <c r="W61" s="71">
        <v>0.59</v>
      </c>
      <c r="X61" s="71">
        <v>0.57999999999999996</v>
      </c>
      <c r="Y61" s="71">
        <v>0.76500000000000001</v>
      </c>
      <c r="Z61" s="71">
        <v>0.71499999999999997</v>
      </c>
      <c r="AA61" s="71">
        <v>0.68500000000000005</v>
      </c>
      <c r="AB61" s="71">
        <v>0.61</v>
      </c>
      <c r="AC61" s="71">
        <f>1.08/2</f>
        <v>0.54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5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f>0.8/2</f>
        <v>0.4</v>
      </c>
      <c r="M62" s="71">
        <v>0.47499999999999998</v>
      </c>
      <c r="N62" s="71">
        <v>0.47499999999999998</v>
      </c>
      <c r="O62" s="71">
        <v>0.57499999999999996</v>
      </c>
      <c r="P62" s="71">
        <v>0.59</v>
      </c>
      <c r="Q62" s="71">
        <f>1.14/2</f>
        <v>0.56999999999999995</v>
      </c>
      <c r="R62" s="71">
        <f>1.12/2</f>
        <v>0.56000000000000005</v>
      </c>
      <c r="S62" s="71">
        <f>1.12/2</f>
        <v>0.56000000000000005</v>
      </c>
      <c r="T62" s="71">
        <f>1.2/2</f>
        <v>0.6</v>
      </c>
      <c r="U62" s="71">
        <v>0.62</v>
      </c>
      <c r="V62" s="71">
        <v>0.59</v>
      </c>
      <c r="W62" s="71">
        <v>0.59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3">SUM(F60:F62)</f>
        <v>0.88</v>
      </c>
      <c r="G63" s="19">
        <f>SUM(G60:G62)</f>
        <v>0.79</v>
      </c>
      <c r="H63" s="19">
        <f>SUM(H60:H62)</f>
        <v>0.76</v>
      </c>
      <c r="I63" s="19">
        <f>SUM(I60:I62)</f>
        <v>0.73</v>
      </c>
      <c r="J63" s="19">
        <f t="shared" ref="J63:AC63" si="24">SUM(J60:J62)</f>
        <v>0.7</v>
      </c>
      <c r="K63" s="19">
        <f>SUM(K60:K62)</f>
        <v>0.73</v>
      </c>
      <c r="L63" s="19">
        <f t="shared" si="24"/>
        <v>0.8</v>
      </c>
      <c r="M63" s="19">
        <f t="shared" si="24"/>
        <v>0.95</v>
      </c>
      <c r="N63" s="19">
        <f t="shared" si="24"/>
        <v>0.95</v>
      </c>
      <c r="O63" s="19">
        <f t="shared" si="24"/>
        <v>1.1499999999999999</v>
      </c>
      <c r="P63" s="19">
        <f t="shared" si="24"/>
        <v>1.18</v>
      </c>
      <c r="Q63" s="19">
        <f t="shared" si="24"/>
        <v>1.1399999999999999</v>
      </c>
      <c r="R63" s="19">
        <f t="shared" si="24"/>
        <v>1.1200000000000001</v>
      </c>
      <c r="S63" s="19">
        <f t="shared" si="24"/>
        <v>1.1200000000000001</v>
      </c>
      <c r="T63" s="19">
        <f t="shared" si="24"/>
        <v>1.2</v>
      </c>
      <c r="U63" s="19">
        <f>SUM(U60:U62)</f>
        <v>1.24</v>
      </c>
      <c r="V63" s="19">
        <f t="shared" si="24"/>
        <v>1.18</v>
      </c>
      <c r="W63" s="19">
        <f t="shared" si="24"/>
        <v>1.18</v>
      </c>
      <c r="X63" s="19">
        <f t="shared" si="24"/>
        <v>1.1599999999999999</v>
      </c>
      <c r="Y63" s="19">
        <f t="shared" si="24"/>
        <v>1.53</v>
      </c>
      <c r="Z63" s="19">
        <f t="shared" si="24"/>
        <v>1.43</v>
      </c>
      <c r="AA63" s="19">
        <f t="shared" si="24"/>
        <v>1.37</v>
      </c>
      <c r="AB63" s="19">
        <f t="shared" si="24"/>
        <v>1.22</v>
      </c>
      <c r="AC63" s="19">
        <f t="shared" si="24"/>
        <v>1.08</v>
      </c>
      <c r="AD63" s="34"/>
      <c r="AE63" s="34"/>
      <c r="AF63" s="11"/>
      <c r="AG63" s="11"/>
      <c r="AH63" s="11"/>
    </row>
    <row r="64" spans="1:124" x14ac:dyDescent="0.25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52.890000000000015</v>
      </c>
    </row>
    <row r="65" spans="1:124" x14ac:dyDescent="0.25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>
        <f>2.98/6</f>
        <v>0.49666666666666665</v>
      </c>
      <c r="L65" s="71">
        <f>3.73/6</f>
        <v>0.6216666666666667</v>
      </c>
      <c r="M65" s="71">
        <v>0.66666666666666663</v>
      </c>
      <c r="N65" s="71">
        <v>0.75</v>
      </c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>
        <v>0.8</v>
      </c>
      <c r="Z65" s="71"/>
      <c r="AA65" s="71"/>
      <c r="AB65" s="71"/>
      <c r="AC65" s="71"/>
      <c r="AD65" s="35"/>
      <c r="AE65" s="35"/>
      <c r="AF65" s="11">
        <f t="shared" ref="AF65:AF73" si="25">COUNTIF(F65:AC65,$AF$11)</f>
        <v>0</v>
      </c>
      <c r="AG65" s="11">
        <f t="shared" ref="AG65:AG73" si="26">COUNTIF(G65:AC65,$AG$11)</f>
        <v>0</v>
      </c>
      <c r="AH65" s="11">
        <f t="shared" ref="AH65:AH73" si="27">COUNT(F65:AC65)</f>
        <v>5</v>
      </c>
    </row>
    <row r="66" spans="1:124" x14ac:dyDescent="0.25">
      <c r="A66" s="14" t="s">
        <v>56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f>2.26/4</f>
        <v>0.56499999999999995</v>
      </c>
      <c r="J66" s="71">
        <f>2.26/4</f>
        <v>0.56499999999999995</v>
      </c>
      <c r="K66" s="71">
        <f>2.98/6</f>
        <v>0.49666666666666665</v>
      </c>
      <c r="L66" s="71">
        <f>3.73/6</f>
        <v>0.6216666666666667</v>
      </c>
      <c r="M66" s="71">
        <v>0.66666666666666663</v>
      </c>
      <c r="N66" s="71">
        <v>0.75</v>
      </c>
      <c r="O66" s="71"/>
      <c r="P66" s="71"/>
      <c r="Q66" s="71"/>
      <c r="R66" s="71"/>
      <c r="S66" s="71"/>
      <c r="T66" s="71"/>
      <c r="U66" s="71"/>
      <c r="V66" s="71"/>
      <c r="W66" s="71">
        <f>2.9/6</f>
        <v>0.48333333333333334</v>
      </c>
      <c r="X66" s="71">
        <v>0.8</v>
      </c>
      <c r="Y66" s="71">
        <v>0.7</v>
      </c>
      <c r="Z66" s="71">
        <v>0.85</v>
      </c>
      <c r="AA66" s="71">
        <v>0.8</v>
      </c>
      <c r="AB66" s="71">
        <f>4.3/6</f>
        <v>0.71666666666666667</v>
      </c>
      <c r="AC66" s="71">
        <f>4.5/6</f>
        <v>0.75</v>
      </c>
      <c r="AD66" s="35"/>
      <c r="AE66" s="35"/>
      <c r="AF66" s="11">
        <f t="shared" si="25"/>
        <v>0</v>
      </c>
      <c r="AG66" s="11">
        <f t="shared" si="26"/>
        <v>0</v>
      </c>
      <c r="AH66" s="11">
        <f t="shared" si="27"/>
        <v>16</v>
      </c>
    </row>
    <row r="67" spans="1:124" x14ac:dyDescent="0.25">
      <c r="A67" s="14" t="s">
        <v>57</v>
      </c>
      <c r="B67" s="15"/>
      <c r="C67" s="15">
        <v>0.85</v>
      </c>
      <c r="D67" s="15"/>
      <c r="E67" s="15"/>
      <c r="F67" s="71" t="s">
        <v>9</v>
      </c>
      <c r="G67" s="71" t="s">
        <v>9</v>
      </c>
      <c r="H67" s="71" t="s">
        <v>9</v>
      </c>
      <c r="I67" s="71" t="s">
        <v>9</v>
      </c>
      <c r="J67" s="71" t="s">
        <v>9</v>
      </c>
      <c r="K67" s="71" t="s">
        <v>9</v>
      </c>
      <c r="L67" s="71" t="s">
        <v>9</v>
      </c>
      <c r="M67" s="71" t="s">
        <v>9</v>
      </c>
      <c r="N67" s="71" t="s">
        <v>9</v>
      </c>
      <c r="O67" s="71" t="s">
        <v>9</v>
      </c>
      <c r="P67" s="71" t="s">
        <v>9</v>
      </c>
      <c r="Q67" s="71" t="s">
        <v>9</v>
      </c>
      <c r="R67" s="71" t="s">
        <v>9</v>
      </c>
      <c r="S67" s="71" t="s">
        <v>9</v>
      </c>
      <c r="T67" s="71" t="s">
        <v>9</v>
      </c>
      <c r="U67" s="71" t="s">
        <v>9</v>
      </c>
      <c r="V67" s="71" t="s">
        <v>9</v>
      </c>
      <c r="W67" s="71">
        <f>2.9/6</f>
        <v>0.48333333333333334</v>
      </c>
      <c r="X67" s="71">
        <v>0.8</v>
      </c>
      <c r="Y67" s="71">
        <v>0.7</v>
      </c>
      <c r="Z67" s="71">
        <v>0.85</v>
      </c>
      <c r="AA67" s="71">
        <v>0.8</v>
      </c>
      <c r="AB67" s="71">
        <f t="shared" ref="AB67:AB70" si="28">4.3/6</f>
        <v>0.71666666666666667</v>
      </c>
      <c r="AC67" s="71">
        <f t="shared" ref="AC67:AC70" si="29">4.5/6</f>
        <v>0.75</v>
      </c>
      <c r="AD67" s="35"/>
      <c r="AE67" s="35"/>
      <c r="AF67" s="11">
        <f>COUNTIF(F67:AC67,$AF$11)</f>
        <v>17</v>
      </c>
      <c r="AG67" s="11">
        <f>COUNTIF(G67:AC67,$AG$11)</f>
        <v>0</v>
      </c>
      <c r="AH67" s="11">
        <f t="shared" si="27"/>
        <v>7</v>
      </c>
    </row>
    <row r="68" spans="1:124" x14ac:dyDescent="0.25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>
        <f>2.98/6</f>
        <v>0.49666666666666665</v>
      </c>
      <c r="L68" s="71">
        <f>3.73/6</f>
        <v>0.6216666666666667</v>
      </c>
      <c r="M68" s="71">
        <v>0.66666666666666663</v>
      </c>
      <c r="N68" s="71">
        <v>0.75</v>
      </c>
      <c r="O68" s="71"/>
      <c r="P68" s="71"/>
      <c r="Q68" s="71"/>
      <c r="R68" s="71"/>
      <c r="S68" s="71"/>
      <c r="T68" s="71"/>
      <c r="U68" s="71"/>
      <c r="V68" s="71"/>
      <c r="W68" s="71">
        <f>2.9/6</f>
        <v>0.48333333333333334</v>
      </c>
      <c r="X68" s="71">
        <v>0.8</v>
      </c>
      <c r="Y68" s="71">
        <v>0.7</v>
      </c>
      <c r="Z68" s="71">
        <v>0.8</v>
      </c>
      <c r="AA68" s="71">
        <v>0.8</v>
      </c>
      <c r="AB68" s="71">
        <f t="shared" si="28"/>
        <v>0.71666666666666667</v>
      </c>
      <c r="AC68" s="71">
        <f t="shared" si="29"/>
        <v>0.75</v>
      </c>
      <c r="AD68" s="35"/>
      <c r="AE68" s="35"/>
      <c r="AF68" s="11">
        <f t="shared" si="25"/>
        <v>0</v>
      </c>
      <c r="AG68" s="11">
        <f t="shared" si="26"/>
        <v>0</v>
      </c>
      <c r="AH68" s="11">
        <f t="shared" si="27"/>
        <v>11</v>
      </c>
      <c r="AI68" s="5"/>
      <c r="AJ68" s="5"/>
      <c r="AK68" s="5"/>
      <c r="AL68" s="5"/>
    </row>
    <row r="69" spans="1:124" x14ac:dyDescent="0.25">
      <c r="A69" s="14" t="s">
        <v>59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f>2.26/4</f>
        <v>0.56499999999999995</v>
      </c>
      <c r="J69" s="71">
        <f>2.26/4</f>
        <v>0.56499999999999995</v>
      </c>
      <c r="K69" s="71">
        <f>2.98/6</f>
        <v>0.49666666666666665</v>
      </c>
      <c r="L69" s="71">
        <f>3.73/6</f>
        <v>0.6216666666666667</v>
      </c>
      <c r="M69" s="71">
        <v>0.66666666666666663</v>
      </c>
      <c r="N69" s="71">
        <v>0.75</v>
      </c>
      <c r="O69" s="71"/>
      <c r="P69" s="71"/>
      <c r="Q69" s="71"/>
      <c r="R69" s="71"/>
      <c r="S69" s="71"/>
      <c r="T69" s="71"/>
      <c r="U69" s="71"/>
      <c r="V69" s="71"/>
      <c r="W69" s="71">
        <f>2.9/6</f>
        <v>0.48333333333333334</v>
      </c>
      <c r="X69" s="71">
        <v>0.7</v>
      </c>
      <c r="Y69" s="71">
        <v>0.7</v>
      </c>
      <c r="Z69" s="71">
        <v>0.8</v>
      </c>
      <c r="AA69" s="71">
        <v>0.8</v>
      </c>
      <c r="AB69" s="71">
        <f t="shared" si="28"/>
        <v>0.71666666666666667</v>
      </c>
      <c r="AC69" s="71">
        <f t="shared" si="29"/>
        <v>0.75</v>
      </c>
      <c r="AD69" s="35"/>
      <c r="AE69" s="35"/>
      <c r="AF69" s="11">
        <f t="shared" si="25"/>
        <v>0</v>
      </c>
      <c r="AG69" s="11">
        <f t="shared" si="26"/>
        <v>0</v>
      </c>
      <c r="AH69" s="11">
        <f t="shared" si="27"/>
        <v>16</v>
      </c>
    </row>
    <row r="70" spans="1:124" x14ac:dyDescent="0.25">
      <c r="A70" s="14" t="s">
        <v>60</v>
      </c>
      <c r="B70" s="15"/>
      <c r="C70" s="15">
        <v>0.85</v>
      </c>
      <c r="D70" s="15"/>
      <c r="E70" s="15"/>
      <c r="F70" s="71">
        <v>0.8</v>
      </c>
      <c r="G70" s="71"/>
      <c r="H70" s="71"/>
      <c r="I70" s="71">
        <f>2.26/4</f>
        <v>0.56499999999999995</v>
      </c>
      <c r="J70" s="71">
        <f>2.26/4</f>
        <v>0.56499999999999995</v>
      </c>
      <c r="K70" s="71">
        <f>2.98/6</f>
        <v>0.49666666666666665</v>
      </c>
      <c r="L70" s="71">
        <f>3.73/6</f>
        <v>0.6216666666666667</v>
      </c>
      <c r="M70" s="71">
        <v>0.66666666666666663</v>
      </c>
      <c r="N70" s="71">
        <v>0.75</v>
      </c>
      <c r="O70" s="71"/>
      <c r="P70" s="71"/>
      <c r="Q70" s="71"/>
      <c r="R70" s="71"/>
      <c r="S70" s="71"/>
      <c r="T70" s="71"/>
      <c r="U70" s="71"/>
      <c r="V70" s="71"/>
      <c r="W70" s="71">
        <f>2.9/6</f>
        <v>0.48333333333333334</v>
      </c>
      <c r="X70" s="71">
        <v>0.7</v>
      </c>
      <c r="Y70" s="71">
        <v>0.7</v>
      </c>
      <c r="Z70" s="71">
        <v>0.8</v>
      </c>
      <c r="AA70" s="71">
        <v>0.7</v>
      </c>
      <c r="AB70" s="71">
        <f t="shared" si="28"/>
        <v>0.71666666666666667</v>
      </c>
      <c r="AC70" s="71">
        <f t="shared" si="29"/>
        <v>0.75</v>
      </c>
      <c r="AD70" s="35"/>
      <c r="AE70" s="35"/>
      <c r="AF70" s="11">
        <f t="shared" si="25"/>
        <v>0</v>
      </c>
      <c r="AG70" s="11">
        <f t="shared" si="26"/>
        <v>0</v>
      </c>
      <c r="AH70" s="11">
        <f t="shared" si="27"/>
        <v>14</v>
      </c>
    </row>
    <row r="71" spans="1:124" x14ac:dyDescent="0.25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5"/>
        <v>0</v>
      </c>
      <c r="AG71" s="11">
        <f t="shared" si="26"/>
        <v>0</v>
      </c>
      <c r="AH71" s="11">
        <f t="shared" si="27"/>
        <v>0</v>
      </c>
    </row>
    <row r="72" spans="1:124" x14ac:dyDescent="0.25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5"/>
        <v>24</v>
      </c>
      <c r="AG72" s="11">
        <f t="shared" si="26"/>
        <v>0</v>
      </c>
      <c r="AH72" s="11">
        <f t="shared" si="27"/>
        <v>0</v>
      </c>
    </row>
    <row r="73" spans="1:124" ht="14.25" customHeight="1" x14ac:dyDescent="0.25">
      <c r="A73" s="14" t="s">
        <v>63</v>
      </c>
      <c r="B73" s="9"/>
      <c r="C73" s="15">
        <v>0.85</v>
      </c>
      <c r="D73" s="15"/>
      <c r="E73" s="15"/>
      <c r="F73" s="71">
        <v>0.8</v>
      </c>
      <c r="G73" s="71">
        <v>0.86</v>
      </c>
      <c r="H73" s="71"/>
      <c r="I73" s="71">
        <f>2.26/4</f>
        <v>0.56499999999999995</v>
      </c>
      <c r="J73" s="71">
        <f>2.26/4</f>
        <v>0.56499999999999995</v>
      </c>
      <c r="K73" s="71">
        <f>2.98/6</f>
        <v>0.49666666666666665</v>
      </c>
      <c r="L73" s="71">
        <f>3.73/6</f>
        <v>0.6216666666666667</v>
      </c>
      <c r="M73" s="71">
        <v>0.66666666666666663</v>
      </c>
      <c r="N73" s="71">
        <v>0.75</v>
      </c>
      <c r="O73" s="71"/>
      <c r="P73" s="71"/>
      <c r="Q73" s="71"/>
      <c r="R73" s="71"/>
      <c r="S73" s="71"/>
      <c r="T73" s="71"/>
      <c r="U73" s="71"/>
      <c r="V73" s="71"/>
      <c r="W73" s="71">
        <f>2.9/6</f>
        <v>0.48333333333333334</v>
      </c>
      <c r="X73" s="71">
        <v>0.7</v>
      </c>
      <c r="Y73" s="71">
        <v>0.7</v>
      </c>
      <c r="Z73" s="71">
        <v>0.8</v>
      </c>
      <c r="AA73" s="71">
        <v>0.7</v>
      </c>
      <c r="AB73" s="71">
        <f>4.3/6</f>
        <v>0.71666666666666667</v>
      </c>
      <c r="AC73" s="71">
        <f>4.5/6</f>
        <v>0.75</v>
      </c>
      <c r="AD73" s="31"/>
      <c r="AE73" s="31"/>
      <c r="AF73" s="11">
        <f t="shared" si="25"/>
        <v>0</v>
      </c>
      <c r="AG73" s="11">
        <f t="shared" si="26"/>
        <v>0</v>
      </c>
      <c r="AH73" s="11">
        <f t="shared" si="27"/>
        <v>15</v>
      </c>
    </row>
    <row r="74" spans="1:124" x14ac:dyDescent="0.25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30">SUM(F65:F73)</f>
        <v>1.6</v>
      </c>
      <c r="G74" s="19">
        <f t="shared" si="30"/>
        <v>0.86</v>
      </c>
      <c r="H74" s="19">
        <f t="shared" si="30"/>
        <v>0</v>
      </c>
      <c r="I74" s="19">
        <f t="shared" si="30"/>
        <v>2.2599999999999998</v>
      </c>
      <c r="J74" s="19">
        <f t="shared" si="30"/>
        <v>2.2599999999999998</v>
      </c>
      <c r="K74" s="19">
        <f t="shared" si="30"/>
        <v>2.98</v>
      </c>
      <c r="L74" s="19">
        <f t="shared" si="30"/>
        <v>3.73</v>
      </c>
      <c r="M74" s="19">
        <f t="shared" si="30"/>
        <v>3.9999999999999996</v>
      </c>
      <c r="N74" s="19">
        <f t="shared" si="30"/>
        <v>4.5</v>
      </c>
      <c r="O74" s="19">
        <f t="shared" si="30"/>
        <v>0</v>
      </c>
      <c r="P74" s="19">
        <f t="shared" si="30"/>
        <v>0</v>
      </c>
      <c r="Q74" s="19">
        <f t="shared" si="30"/>
        <v>0</v>
      </c>
      <c r="R74" s="19">
        <f t="shared" si="30"/>
        <v>0</v>
      </c>
      <c r="S74" s="19">
        <f t="shared" si="30"/>
        <v>0</v>
      </c>
      <c r="T74" s="19">
        <f t="shared" si="30"/>
        <v>0</v>
      </c>
      <c r="U74" s="19">
        <f t="shared" si="30"/>
        <v>0</v>
      </c>
      <c r="V74" s="19">
        <f t="shared" si="30"/>
        <v>0</v>
      </c>
      <c r="W74" s="19">
        <f t="shared" si="30"/>
        <v>2.9</v>
      </c>
      <c r="X74" s="19">
        <f t="shared" si="30"/>
        <v>4.5000000000000009</v>
      </c>
      <c r="Y74" s="19">
        <f t="shared" si="30"/>
        <v>5.0000000000000009</v>
      </c>
      <c r="Z74" s="19">
        <f t="shared" si="30"/>
        <v>4.8999999999999995</v>
      </c>
      <c r="AA74" s="19">
        <f t="shared" si="30"/>
        <v>4.6000000000000005</v>
      </c>
      <c r="AB74" s="19">
        <f t="shared" si="30"/>
        <v>4.3</v>
      </c>
      <c r="AC74" s="19">
        <f t="shared" si="30"/>
        <v>4.5</v>
      </c>
      <c r="AD74" s="34"/>
      <c r="AE74" s="34"/>
      <c r="AF74" s="11"/>
      <c r="AG74" s="11"/>
      <c r="AH74" s="11"/>
    </row>
    <row r="75" spans="1:124" x14ac:dyDescent="0.25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19.109999999999996</v>
      </c>
    </row>
    <row r="76" spans="1:124" x14ac:dyDescent="0.25">
      <c r="A76" s="14" t="s">
        <v>65</v>
      </c>
      <c r="B76" s="20"/>
      <c r="C76" s="15">
        <v>1</v>
      </c>
      <c r="D76" s="15"/>
      <c r="E76" s="15"/>
      <c r="F76" s="71">
        <v>0.75</v>
      </c>
      <c r="G76" s="71">
        <v>0.75</v>
      </c>
      <c r="H76" s="71">
        <v>0.69</v>
      </c>
      <c r="I76" s="71">
        <v>0.67</v>
      </c>
      <c r="J76" s="71">
        <v>0.67</v>
      </c>
      <c r="K76" s="71">
        <v>0.71</v>
      </c>
      <c r="L76" s="71">
        <v>0.71</v>
      </c>
      <c r="M76" s="71">
        <v>0.74</v>
      </c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>
        <v>0.83</v>
      </c>
      <c r="Z76" s="71">
        <v>0.83</v>
      </c>
      <c r="AA76" s="71">
        <v>0.81</v>
      </c>
      <c r="AB76" s="71">
        <v>0.84</v>
      </c>
      <c r="AC76" s="71">
        <v>0.85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5">
      <c r="A77" s="14" t="s">
        <v>66</v>
      </c>
      <c r="B77" s="20"/>
      <c r="C77" s="15">
        <v>1</v>
      </c>
      <c r="D77" s="15"/>
      <c r="E77" s="15"/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0.74</v>
      </c>
      <c r="O77" s="71">
        <v>0.74</v>
      </c>
      <c r="P77" s="71">
        <v>0.85</v>
      </c>
      <c r="Q77" s="71">
        <v>0.86</v>
      </c>
      <c r="R77" s="71">
        <v>0.86</v>
      </c>
      <c r="S77" s="71">
        <v>0.89</v>
      </c>
      <c r="T77" s="71">
        <v>0.86</v>
      </c>
      <c r="U77" s="71">
        <v>0.86</v>
      </c>
      <c r="V77" s="71">
        <v>0.88</v>
      </c>
      <c r="W77" s="71">
        <v>0.88</v>
      </c>
      <c r="X77" s="71">
        <v>0.84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5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1">SUM(F76:F77)</f>
        <v>0.75</v>
      </c>
      <c r="G78" s="19">
        <f>SUM(G76:G77)</f>
        <v>0.75</v>
      </c>
      <c r="H78" s="19">
        <f>SUM(H76:H77)</f>
        <v>0.69</v>
      </c>
      <c r="I78" s="19">
        <f>SUM(I76:I77)</f>
        <v>0.67</v>
      </c>
      <c r="J78" s="19">
        <f t="shared" ref="J78:AC78" si="32">SUM(J76:J77)</f>
        <v>0.67</v>
      </c>
      <c r="K78" s="19">
        <f t="shared" si="32"/>
        <v>0.71</v>
      </c>
      <c r="L78" s="19">
        <f>SUM(L76:L77)</f>
        <v>0.71</v>
      </c>
      <c r="M78" s="19">
        <f t="shared" si="32"/>
        <v>0.74</v>
      </c>
      <c r="N78" s="19">
        <f t="shared" si="32"/>
        <v>0.74</v>
      </c>
      <c r="O78" s="19">
        <f>SUM(O76:O77)</f>
        <v>0.74</v>
      </c>
      <c r="P78" s="19">
        <f t="shared" si="32"/>
        <v>0.85</v>
      </c>
      <c r="Q78" s="19">
        <f t="shared" si="32"/>
        <v>0.86</v>
      </c>
      <c r="R78" s="19">
        <f t="shared" si="32"/>
        <v>0.86</v>
      </c>
      <c r="S78" s="19">
        <f t="shared" si="32"/>
        <v>0.89</v>
      </c>
      <c r="T78" s="19">
        <f t="shared" si="32"/>
        <v>0.86</v>
      </c>
      <c r="U78" s="19">
        <f t="shared" si="32"/>
        <v>0.86</v>
      </c>
      <c r="V78" s="19">
        <f t="shared" si="32"/>
        <v>0.88</v>
      </c>
      <c r="W78" s="19">
        <f t="shared" si="32"/>
        <v>0.88</v>
      </c>
      <c r="X78" s="19">
        <f t="shared" si="32"/>
        <v>0.84</v>
      </c>
      <c r="Y78" s="19">
        <f t="shared" si="32"/>
        <v>0.83</v>
      </c>
      <c r="Z78" s="19">
        <f t="shared" si="32"/>
        <v>0.83</v>
      </c>
      <c r="AA78" s="19">
        <f t="shared" si="32"/>
        <v>0.81</v>
      </c>
      <c r="AB78" s="19">
        <f t="shared" si="32"/>
        <v>0.84</v>
      </c>
      <c r="AC78" s="19">
        <f t="shared" si="32"/>
        <v>0.85</v>
      </c>
      <c r="AD78" s="34"/>
      <c r="AE78" s="34"/>
      <c r="AF78" s="11"/>
      <c r="AG78" s="11"/>
      <c r="AH78" s="11"/>
    </row>
    <row r="79" spans="1:124" x14ac:dyDescent="0.25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3">SUM(F17,F22,F25,F29,F32,F58,F63,F74,F78)</f>
        <v>42.730000000000004</v>
      </c>
      <c r="G79" s="28">
        <f>SUM(G17,G22,G25,G29,G32,G58,G63,G74,G78)</f>
        <v>40.699999999999996</v>
      </c>
      <c r="H79" s="28">
        <f>SUM(H17,H22,H25,H29,H32,H58,H63,H74,H78)</f>
        <v>38.749999999999993</v>
      </c>
      <c r="I79" s="28">
        <f t="shared" ref="I79:AC79" si="34">SUM(I17,I22,I25,I29,I32,I58,I63,I74,I78)</f>
        <v>39.159999999999997</v>
      </c>
      <c r="J79" s="28">
        <f t="shared" si="34"/>
        <v>34.630000000000003</v>
      </c>
      <c r="K79" s="28">
        <f>SUM(K17,K22,K25,K29,K32,K58,K63,K74,K78)</f>
        <v>33.32</v>
      </c>
      <c r="L79" s="28">
        <f t="shared" si="34"/>
        <v>32.839999999999996</v>
      </c>
      <c r="M79" s="28">
        <f t="shared" si="34"/>
        <v>33.69</v>
      </c>
      <c r="N79" s="28">
        <f t="shared" si="34"/>
        <v>41.790000000000006</v>
      </c>
      <c r="O79" s="28">
        <f t="shared" si="34"/>
        <v>43.79</v>
      </c>
      <c r="P79" s="28">
        <f>SUM(P17,P22,P25,P29,P32,P58,P63,P74,P78)</f>
        <v>49.13000000000001</v>
      </c>
      <c r="Q79" s="28">
        <f t="shared" si="34"/>
        <v>50.800000000000011</v>
      </c>
      <c r="R79" s="28">
        <f>SUM(R17,R22,R24,R29,R32,R58,R63,R74,R78)</f>
        <v>49.88</v>
      </c>
      <c r="S79" s="28">
        <f t="shared" si="34"/>
        <v>52.209999999999994</v>
      </c>
      <c r="T79" s="28">
        <f t="shared" si="34"/>
        <v>51.059999999999995</v>
      </c>
      <c r="U79" s="28">
        <f t="shared" si="34"/>
        <v>51.6</v>
      </c>
      <c r="V79" s="28">
        <f t="shared" si="34"/>
        <v>51.160000000000011</v>
      </c>
      <c r="W79" s="28">
        <f t="shared" si="34"/>
        <v>53.160000000000004</v>
      </c>
      <c r="X79" s="28">
        <f t="shared" si="34"/>
        <v>55.6</v>
      </c>
      <c r="Y79" s="28">
        <f t="shared" si="34"/>
        <v>57.160000000000011</v>
      </c>
      <c r="Z79" s="28">
        <f t="shared" si="34"/>
        <v>57.36</v>
      </c>
      <c r="AA79" s="28">
        <f t="shared" si="34"/>
        <v>55.580000000000005</v>
      </c>
      <c r="AB79" s="28">
        <f>SUM(AB17,AB22,AB25,AB29,AB32,AB58,AB63,AB74,AB78)</f>
        <v>52.16</v>
      </c>
      <c r="AC79" s="28">
        <f t="shared" si="34"/>
        <v>47.329999999999991</v>
      </c>
      <c r="AD79" s="42"/>
      <c r="AE79" s="42"/>
      <c r="AF79" s="11"/>
      <c r="AG79" s="11"/>
      <c r="AH79" s="11"/>
    </row>
    <row r="80" spans="1:124" ht="15" x14ac:dyDescent="0.2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 x14ac:dyDescent="0.25">
      <c r="A81" s="404" t="s">
        <v>68</v>
      </c>
      <c r="B81" s="404"/>
      <c r="C81" s="404"/>
      <c r="D81" s="404"/>
      <c r="E81" s="404"/>
      <c r="F81" s="404"/>
      <c r="G81" s="404"/>
      <c r="H81" s="404"/>
      <c r="I81" s="404"/>
      <c r="J81" s="404"/>
      <c r="K81" s="404"/>
      <c r="L81" s="404"/>
      <c r="M81" s="404"/>
      <c r="N81" s="404"/>
      <c r="O81" s="404"/>
      <c r="P81" s="404"/>
      <c r="Q81" s="404"/>
      <c r="R81" s="404"/>
      <c r="S81" s="404"/>
      <c r="T81" s="404"/>
      <c r="U81" s="404"/>
      <c r="V81" s="404"/>
      <c r="W81" s="404"/>
      <c r="X81" s="404"/>
      <c r="Y81" s="404"/>
      <c r="Z81" s="404"/>
      <c r="AA81" s="404"/>
      <c r="AB81" s="404"/>
      <c r="AC81" s="404"/>
      <c r="AD81" s="22"/>
      <c r="AE81" s="22"/>
      <c r="AF81" s="22"/>
      <c r="AG81" s="22"/>
      <c r="AH81" s="22"/>
    </row>
    <row r="82" spans="1:40" ht="15" x14ac:dyDescent="0.2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5">
      <c r="A83" s="405" t="s">
        <v>69</v>
      </c>
      <c r="B83" s="406"/>
      <c r="C83" s="407"/>
      <c r="D83" s="49"/>
      <c r="E83" s="49"/>
      <c r="F83" s="411" t="s">
        <v>70</v>
      </c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411"/>
      <c r="R83" s="411"/>
      <c r="S83" s="411"/>
      <c r="T83" s="411"/>
      <c r="U83" s="411"/>
      <c r="V83" s="411"/>
      <c r="W83" s="411"/>
      <c r="X83" s="411"/>
      <c r="Y83" s="411"/>
      <c r="Z83" s="411"/>
      <c r="AA83" s="411"/>
      <c r="AB83" s="411"/>
      <c r="AC83" s="411"/>
      <c r="AD83" s="5"/>
      <c r="AE83" s="5"/>
      <c r="AF83" s="5"/>
      <c r="AG83" s="5"/>
      <c r="AH83" s="5"/>
    </row>
    <row r="84" spans="1:40" ht="15.6" customHeight="1" x14ac:dyDescent="0.25">
      <c r="A84" s="408"/>
      <c r="B84" s="409"/>
      <c r="C84" s="410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5">
      <c r="A85" s="399" t="s">
        <v>27</v>
      </c>
      <c r="B85" s="400"/>
      <c r="C85" s="401"/>
      <c r="D85" s="45"/>
      <c r="E85" s="45"/>
      <c r="F85" s="64">
        <f t="shared" ref="F85:AC85" si="35">SUM(F22,F25)</f>
        <v>7</v>
      </c>
      <c r="G85" s="64">
        <f t="shared" si="35"/>
        <v>7</v>
      </c>
      <c r="H85" s="64">
        <f t="shared" si="35"/>
        <v>7</v>
      </c>
      <c r="I85" s="64">
        <f t="shared" si="35"/>
        <v>7</v>
      </c>
      <c r="J85" s="64">
        <f t="shared" si="35"/>
        <v>5.8</v>
      </c>
      <c r="K85" s="64">
        <f t="shared" si="35"/>
        <v>5.5</v>
      </c>
      <c r="L85" s="64">
        <f t="shared" si="35"/>
        <v>3.2</v>
      </c>
      <c r="M85" s="64">
        <f t="shared" si="35"/>
        <v>3.2</v>
      </c>
      <c r="N85" s="64">
        <f t="shared" si="35"/>
        <v>3.2</v>
      </c>
      <c r="O85" s="64">
        <f t="shared" si="35"/>
        <v>3.2</v>
      </c>
      <c r="P85" s="64">
        <f t="shared" si="35"/>
        <v>3.2</v>
      </c>
      <c r="Q85" s="64">
        <f t="shared" si="35"/>
        <v>3.2</v>
      </c>
      <c r="R85" s="64">
        <f t="shared" si="35"/>
        <v>3.2</v>
      </c>
      <c r="S85" s="64">
        <f t="shared" si="35"/>
        <v>3.2</v>
      </c>
      <c r="T85" s="64">
        <f t="shared" si="35"/>
        <v>3.2</v>
      </c>
      <c r="U85" s="64">
        <f t="shared" si="35"/>
        <v>3.2</v>
      </c>
      <c r="V85" s="64">
        <f t="shared" si="35"/>
        <v>3.2</v>
      </c>
      <c r="W85" s="64">
        <f t="shared" si="35"/>
        <v>3.2</v>
      </c>
      <c r="X85" s="64">
        <f t="shared" si="35"/>
        <v>3.2</v>
      </c>
      <c r="Y85" s="64">
        <f t="shared" si="35"/>
        <v>3.2</v>
      </c>
      <c r="Z85" s="64">
        <f t="shared" si="35"/>
        <v>3.2</v>
      </c>
      <c r="AA85" s="64">
        <f t="shared" si="35"/>
        <v>3.2</v>
      </c>
      <c r="AB85" s="64">
        <f>SUM(AB22,AB25)</f>
        <v>3.2</v>
      </c>
      <c r="AC85" s="64">
        <f t="shared" si="35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5">
      <c r="A86" s="413" t="s">
        <v>71</v>
      </c>
      <c r="B86" s="413"/>
      <c r="C86" s="414"/>
      <c r="D86" s="45"/>
      <c r="E86" s="45"/>
      <c r="F86" s="68">
        <v>0.20799999999999999</v>
      </c>
      <c r="G86" s="68">
        <v>0.23400000000000001</v>
      </c>
      <c r="H86" s="68">
        <v>0.20300000000000001</v>
      </c>
      <c r="I86" s="68">
        <v>0.184</v>
      </c>
      <c r="J86" s="68">
        <v>0.17799999999999999</v>
      </c>
      <c r="K86" s="68">
        <v>0.11600000000000001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 t="s">
        <v>1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 t="s">
        <v>1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5">
      <c r="A87" s="399" t="s">
        <v>72</v>
      </c>
      <c r="B87" s="400"/>
      <c r="C87" s="401"/>
      <c r="D87" s="45"/>
      <c r="E87" s="45"/>
      <c r="F87" s="64">
        <f t="shared" ref="F87:AC87" si="36">F17</f>
        <v>26.8</v>
      </c>
      <c r="G87" s="64">
        <f t="shared" si="36"/>
        <v>27.2</v>
      </c>
      <c r="H87" s="64">
        <f t="shared" si="36"/>
        <v>26.8</v>
      </c>
      <c r="I87" s="64">
        <f t="shared" si="36"/>
        <v>26</v>
      </c>
      <c r="J87" s="64">
        <f t="shared" si="36"/>
        <v>22.8</v>
      </c>
      <c r="K87" s="64">
        <f t="shared" si="36"/>
        <v>22.4</v>
      </c>
      <c r="L87" s="64">
        <f t="shared" si="36"/>
        <v>24.4</v>
      </c>
      <c r="M87" s="64">
        <f t="shared" si="36"/>
        <v>24.8</v>
      </c>
      <c r="N87" s="64">
        <f t="shared" si="36"/>
        <v>27.2</v>
      </c>
      <c r="O87" s="64">
        <f t="shared" si="36"/>
        <v>26.4</v>
      </c>
      <c r="P87" s="64">
        <f t="shared" si="36"/>
        <v>26</v>
      </c>
      <c r="Q87" s="64">
        <f t="shared" si="36"/>
        <v>26.8</v>
      </c>
      <c r="R87" s="64">
        <f t="shared" si="36"/>
        <v>26.4</v>
      </c>
      <c r="S87" s="64">
        <f t="shared" si="36"/>
        <v>26.8</v>
      </c>
      <c r="T87" s="64">
        <f t="shared" si="36"/>
        <v>26.4</v>
      </c>
      <c r="U87" s="64">
        <f t="shared" si="36"/>
        <v>26</v>
      </c>
      <c r="V87" s="64">
        <f t="shared" si="36"/>
        <v>25.6</v>
      </c>
      <c r="W87" s="64">
        <f t="shared" si="36"/>
        <v>25.6</v>
      </c>
      <c r="X87" s="64">
        <f t="shared" si="36"/>
        <v>26.4</v>
      </c>
      <c r="Y87" s="64">
        <f t="shared" si="36"/>
        <v>26</v>
      </c>
      <c r="Z87" s="64">
        <f t="shared" si="36"/>
        <v>27.2</v>
      </c>
      <c r="AA87" s="64">
        <f t="shared" si="36"/>
        <v>26.200000000000003</v>
      </c>
      <c r="AB87" s="64">
        <f t="shared" si="36"/>
        <v>26.4</v>
      </c>
      <c r="AC87" s="64">
        <f t="shared" si="36"/>
        <v>26.4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413" t="s">
        <v>73</v>
      </c>
      <c r="B88" s="413"/>
      <c r="C88" s="414"/>
      <c r="D88" s="45"/>
      <c r="E88" s="45"/>
      <c r="F88" s="68">
        <v>0.67200000000000004</v>
      </c>
      <c r="G88" s="68">
        <v>0.89500000000000002</v>
      </c>
      <c r="H88" s="68">
        <v>0.72499999999999998</v>
      </c>
      <c r="I88" s="68">
        <v>0.75</v>
      </c>
      <c r="J88" s="68">
        <v>0.71699999999999997</v>
      </c>
      <c r="K88" s="68">
        <v>0.83</v>
      </c>
      <c r="L88" s="68">
        <v>0.82</v>
      </c>
      <c r="M88" s="68">
        <v>0.81799999999999995</v>
      </c>
      <c r="N88" s="68">
        <v>0.91</v>
      </c>
      <c r="O88" s="68">
        <v>0.7</v>
      </c>
      <c r="P88" s="68">
        <v>0.68</v>
      </c>
      <c r="Q88" s="68">
        <v>0.72</v>
      </c>
      <c r="R88" s="68">
        <v>0.83</v>
      </c>
      <c r="S88" s="68">
        <v>0.66</v>
      </c>
      <c r="T88" s="68">
        <v>0.63</v>
      </c>
      <c r="U88" s="68">
        <v>0.62</v>
      </c>
      <c r="V88" s="68">
        <v>0.6</v>
      </c>
      <c r="W88" s="68">
        <v>0.623</v>
      </c>
      <c r="X88" s="68">
        <v>0.69</v>
      </c>
      <c r="Y88" s="68">
        <v>0.67</v>
      </c>
      <c r="Z88" s="68">
        <v>0.88400000000000001</v>
      </c>
      <c r="AA88" s="68">
        <v>0.84399999999999997</v>
      </c>
      <c r="AB88" s="68">
        <v>0.86399999999999999</v>
      </c>
      <c r="AC88" s="68">
        <v>0.98599999999999999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399" t="s">
        <v>29</v>
      </c>
      <c r="B89" s="400"/>
      <c r="C89" s="401"/>
      <c r="D89" s="45"/>
      <c r="E89" s="45"/>
      <c r="F89" s="65">
        <f t="shared" ref="F89:AC89" si="37">F29</f>
        <v>4.0999999999999996</v>
      </c>
      <c r="G89" s="65">
        <f t="shared" si="37"/>
        <v>4.0999999999999996</v>
      </c>
      <c r="H89" s="65">
        <f t="shared" si="37"/>
        <v>3.5</v>
      </c>
      <c r="I89" s="65">
        <f t="shared" si="37"/>
        <v>2.5</v>
      </c>
      <c r="J89" s="65">
        <f t="shared" si="37"/>
        <v>2.4</v>
      </c>
      <c r="K89" s="65">
        <f t="shared" si="37"/>
        <v>1</v>
      </c>
      <c r="L89" s="65">
        <f t="shared" si="37"/>
        <v>0</v>
      </c>
      <c r="M89" s="65">
        <f t="shared" si="37"/>
        <v>0</v>
      </c>
      <c r="N89" s="65">
        <f t="shared" si="37"/>
        <v>4</v>
      </c>
      <c r="O89" s="65">
        <f t="shared" si="37"/>
        <v>4.2</v>
      </c>
      <c r="P89" s="65">
        <f t="shared" si="37"/>
        <v>4</v>
      </c>
      <c r="Q89" s="65">
        <f t="shared" si="37"/>
        <v>4.2</v>
      </c>
      <c r="R89" s="65">
        <f t="shared" si="37"/>
        <v>3.7</v>
      </c>
      <c r="S89" s="65">
        <f t="shared" si="37"/>
        <v>3.7</v>
      </c>
      <c r="T89" s="65">
        <f t="shared" si="37"/>
        <v>3.7</v>
      </c>
      <c r="U89" s="65">
        <f t="shared" si="37"/>
        <v>3.7</v>
      </c>
      <c r="V89" s="65">
        <f t="shared" si="37"/>
        <v>3.7</v>
      </c>
      <c r="W89" s="65">
        <f t="shared" si="37"/>
        <v>3.6</v>
      </c>
      <c r="X89" s="65">
        <f t="shared" si="37"/>
        <v>3.8</v>
      </c>
      <c r="Y89" s="65">
        <f t="shared" si="37"/>
        <v>4</v>
      </c>
      <c r="Z89" s="65">
        <f t="shared" si="37"/>
        <v>4.2</v>
      </c>
      <c r="AA89" s="65">
        <f t="shared" si="37"/>
        <v>4.0999999999999996</v>
      </c>
      <c r="AB89" s="65">
        <f t="shared" si="37"/>
        <v>4.0999999999999996</v>
      </c>
      <c r="AC89" s="65">
        <f t="shared" si="37"/>
        <v>4.0999999999999996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413" t="s">
        <v>74</v>
      </c>
      <c r="B90" s="413"/>
      <c r="C90" s="414"/>
      <c r="D90" s="45"/>
      <c r="E90" s="45"/>
      <c r="F90" s="68">
        <v>0.186</v>
      </c>
      <c r="G90" s="68">
        <v>0.17599999999999999</v>
      </c>
      <c r="H90" s="68">
        <v>0.16400000000000001</v>
      </c>
      <c r="I90" s="68">
        <v>0.17799999999999999</v>
      </c>
      <c r="J90" s="68">
        <v>0.18099999999999999</v>
      </c>
      <c r="K90" s="68">
        <v>0.18099999999999999</v>
      </c>
      <c r="L90" s="68">
        <v>0.19600000000000001</v>
      </c>
      <c r="M90" s="68">
        <v>0.2</v>
      </c>
      <c r="N90" s="68">
        <v>0.184</v>
      </c>
      <c r="O90" s="68">
        <v>0.186</v>
      </c>
      <c r="P90" s="68">
        <v>0.21199999999999999</v>
      </c>
      <c r="Q90" s="68">
        <v>0.22500000000000001</v>
      </c>
      <c r="R90" s="68">
        <v>0.2</v>
      </c>
      <c r="S90" s="68">
        <v>0.189</v>
      </c>
      <c r="T90" s="68">
        <v>0.22</v>
      </c>
      <c r="U90" s="68">
        <v>0.20300000000000001</v>
      </c>
      <c r="V90" s="68">
        <v>0.183</v>
      </c>
      <c r="W90" s="68">
        <v>0.18</v>
      </c>
      <c r="X90" s="68">
        <v>0.183</v>
      </c>
      <c r="Y90" s="68">
        <v>0.22600000000000001</v>
      </c>
      <c r="Z90" s="68">
        <v>0.22500000000000001</v>
      </c>
      <c r="AA90" s="68">
        <v>0.23499999999999999</v>
      </c>
      <c r="AB90" s="68">
        <v>0.23499999999999999</v>
      </c>
      <c r="AC90" s="68">
        <v>0.22900000000000001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399" t="s">
        <v>30</v>
      </c>
      <c r="B91" s="400"/>
      <c r="C91" s="401"/>
      <c r="D91" s="45"/>
      <c r="E91" s="45"/>
      <c r="F91" s="65">
        <f t="shared" ref="F91:AC91" si="38">F32</f>
        <v>0</v>
      </c>
      <c r="G91" s="65">
        <f t="shared" si="38"/>
        <v>0</v>
      </c>
      <c r="H91" s="65">
        <f t="shared" si="38"/>
        <v>0</v>
      </c>
      <c r="I91" s="65">
        <f t="shared" si="38"/>
        <v>0</v>
      </c>
      <c r="J91" s="65">
        <f t="shared" si="38"/>
        <v>0</v>
      </c>
      <c r="K91" s="65">
        <f t="shared" si="38"/>
        <v>0</v>
      </c>
      <c r="L91" s="65">
        <f t="shared" si="38"/>
        <v>0</v>
      </c>
      <c r="M91" s="65">
        <f t="shared" si="38"/>
        <v>0</v>
      </c>
      <c r="N91" s="65">
        <f t="shared" si="38"/>
        <v>0</v>
      </c>
      <c r="O91" s="65">
        <f t="shared" si="38"/>
        <v>0</v>
      </c>
      <c r="P91" s="65">
        <f t="shared" si="38"/>
        <v>0</v>
      </c>
      <c r="Q91" s="65">
        <f t="shared" si="38"/>
        <v>0</v>
      </c>
      <c r="R91" s="65">
        <f t="shared" si="38"/>
        <v>0</v>
      </c>
      <c r="S91" s="65">
        <f t="shared" si="38"/>
        <v>0</v>
      </c>
      <c r="T91" s="65">
        <f t="shared" si="38"/>
        <v>0</v>
      </c>
      <c r="U91" s="65">
        <f t="shared" si="38"/>
        <v>0</v>
      </c>
      <c r="V91" s="65">
        <f t="shared" si="38"/>
        <v>0</v>
      </c>
      <c r="W91" s="65">
        <f t="shared" si="38"/>
        <v>0</v>
      </c>
      <c r="X91" s="65">
        <f t="shared" si="38"/>
        <v>0</v>
      </c>
      <c r="Y91" s="65">
        <f t="shared" si="38"/>
        <v>0</v>
      </c>
      <c r="Z91" s="65">
        <f t="shared" si="38"/>
        <v>0</v>
      </c>
      <c r="AA91" s="65">
        <f t="shared" si="38"/>
        <v>0</v>
      </c>
      <c r="AB91" s="65">
        <f t="shared" si="38"/>
        <v>0</v>
      </c>
      <c r="AC91" s="65">
        <f t="shared" si="38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5">
      <c r="A92" s="413" t="s">
        <v>75</v>
      </c>
      <c r="B92" s="413"/>
      <c r="C92" s="414"/>
      <c r="D92" s="68"/>
      <c r="E92" s="68"/>
      <c r="F92" s="68">
        <v>0.55000000000000004</v>
      </c>
      <c r="G92" s="68">
        <v>0.57999999999999996</v>
      </c>
      <c r="H92" s="68">
        <v>0.61</v>
      </c>
      <c r="I92" s="68">
        <v>0.55000000000000004</v>
      </c>
      <c r="J92" s="68">
        <v>0.53</v>
      </c>
      <c r="K92" s="68">
        <v>0.38600000000000001</v>
      </c>
      <c r="L92" s="68">
        <v>0.28399999999999997</v>
      </c>
      <c r="M92" s="68" t="s">
        <v>1</v>
      </c>
      <c r="N92" s="68">
        <v>0.26</v>
      </c>
      <c r="O92" s="68">
        <v>0.25</v>
      </c>
      <c r="P92" s="68">
        <v>0.05</v>
      </c>
      <c r="Q92" s="68">
        <v>0.06</v>
      </c>
      <c r="R92" s="68">
        <v>0.06</v>
      </c>
      <c r="S92" s="68">
        <v>0.06</v>
      </c>
      <c r="T92" s="68">
        <v>0.06</v>
      </c>
      <c r="U92" s="68">
        <v>0.06</v>
      </c>
      <c r="V92" s="68">
        <v>0.21</v>
      </c>
      <c r="W92" s="68">
        <v>0.19</v>
      </c>
      <c r="X92" s="68">
        <v>0.22</v>
      </c>
      <c r="Y92" s="68">
        <v>0.11</v>
      </c>
      <c r="Z92" s="68">
        <v>0.12</v>
      </c>
      <c r="AA92" s="68">
        <v>0.11</v>
      </c>
      <c r="AB92" s="68">
        <v>0.11</v>
      </c>
      <c r="AC92" s="68">
        <v>0.05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5">
      <c r="A93" s="399" t="s">
        <v>31</v>
      </c>
      <c r="B93" s="400"/>
      <c r="C93" s="401"/>
      <c r="D93" s="45"/>
      <c r="E93" s="45"/>
      <c r="F93" s="64">
        <f>F58</f>
        <v>1.5999999999999999</v>
      </c>
      <c r="G93" s="64">
        <f t="shared" ref="G93:AC93" si="39">G58</f>
        <v>0</v>
      </c>
      <c r="H93" s="64">
        <f t="shared" si="39"/>
        <v>0</v>
      </c>
      <c r="I93" s="64">
        <f t="shared" si="39"/>
        <v>0</v>
      </c>
      <c r="J93" s="64">
        <f t="shared" si="39"/>
        <v>0</v>
      </c>
      <c r="K93" s="64">
        <f t="shared" si="39"/>
        <v>0</v>
      </c>
      <c r="L93" s="64">
        <f t="shared" si="39"/>
        <v>0</v>
      </c>
      <c r="M93" s="64">
        <f t="shared" si="39"/>
        <v>0</v>
      </c>
      <c r="N93" s="64">
        <f t="shared" si="39"/>
        <v>1.2</v>
      </c>
      <c r="O93" s="64">
        <f t="shared" si="39"/>
        <v>8.1000000000000032</v>
      </c>
      <c r="P93" s="64">
        <f t="shared" si="39"/>
        <v>13.900000000000004</v>
      </c>
      <c r="Q93" s="64">
        <f t="shared" si="39"/>
        <v>14.600000000000005</v>
      </c>
      <c r="R93" s="64">
        <f t="shared" si="39"/>
        <v>14.600000000000005</v>
      </c>
      <c r="S93" s="64">
        <f t="shared" si="39"/>
        <v>16.499999999999993</v>
      </c>
      <c r="T93" s="64">
        <f t="shared" si="39"/>
        <v>15.699999999999996</v>
      </c>
      <c r="U93" s="64">
        <f t="shared" si="39"/>
        <v>16.600000000000005</v>
      </c>
      <c r="V93" s="64">
        <f t="shared" si="39"/>
        <v>16.600000000000005</v>
      </c>
      <c r="W93" s="64">
        <f t="shared" si="39"/>
        <v>15.800000000000004</v>
      </c>
      <c r="X93" s="64">
        <f t="shared" si="39"/>
        <v>15.700000000000003</v>
      </c>
      <c r="Y93" s="64">
        <f t="shared" si="39"/>
        <v>16.600000000000005</v>
      </c>
      <c r="Z93" s="64">
        <f t="shared" si="39"/>
        <v>15.600000000000001</v>
      </c>
      <c r="AA93" s="64">
        <f t="shared" si="39"/>
        <v>15.300000000000004</v>
      </c>
      <c r="AB93" s="64">
        <f t="shared" si="39"/>
        <v>12.1</v>
      </c>
      <c r="AC93" s="64">
        <f t="shared" si="39"/>
        <v>7.1999999999999993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50</v>
      </c>
      <c r="B94" s="400"/>
      <c r="C94" s="401"/>
      <c r="D94" s="45"/>
      <c r="E94" s="45"/>
      <c r="F94" s="64">
        <f t="shared" ref="F94:AC94" si="40">F63</f>
        <v>0.88</v>
      </c>
      <c r="G94" s="64">
        <f t="shared" si="40"/>
        <v>0.79</v>
      </c>
      <c r="H94" s="64">
        <f t="shared" si="40"/>
        <v>0.76</v>
      </c>
      <c r="I94" s="64">
        <f t="shared" si="40"/>
        <v>0.73</v>
      </c>
      <c r="J94" s="64">
        <f t="shared" si="40"/>
        <v>0.7</v>
      </c>
      <c r="K94" s="64">
        <f t="shared" si="40"/>
        <v>0.73</v>
      </c>
      <c r="L94" s="64">
        <f t="shared" si="40"/>
        <v>0.8</v>
      </c>
      <c r="M94" s="64">
        <f t="shared" si="40"/>
        <v>0.95</v>
      </c>
      <c r="N94" s="64">
        <f t="shared" si="40"/>
        <v>0.95</v>
      </c>
      <c r="O94" s="64">
        <f t="shared" si="40"/>
        <v>1.1499999999999999</v>
      </c>
      <c r="P94" s="64">
        <f t="shared" si="40"/>
        <v>1.18</v>
      </c>
      <c r="Q94" s="64">
        <f t="shared" si="40"/>
        <v>1.1399999999999999</v>
      </c>
      <c r="R94" s="64">
        <f t="shared" si="40"/>
        <v>1.1200000000000001</v>
      </c>
      <c r="S94" s="64">
        <f t="shared" si="40"/>
        <v>1.1200000000000001</v>
      </c>
      <c r="T94" s="64">
        <f t="shared" si="40"/>
        <v>1.2</v>
      </c>
      <c r="U94" s="64">
        <f t="shared" si="40"/>
        <v>1.24</v>
      </c>
      <c r="V94" s="64">
        <f t="shared" si="40"/>
        <v>1.18</v>
      </c>
      <c r="W94" s="64">
        <f t="shared" si="40"/>
        <v>1.18</v>
      </c>
      <c r="X94" s="64">
        <f t="shared" si="40"/>
        <v>1.1599999999999999</v>
      </c>
      <c r="Y94" s="64">
        <f t="shared" si="40"/>
        <v>1.53</v>
      </c>
      <c r="Z94" s="64">
        <f t="shared" si="40"/>
        <v>1.43</v>
      </c>
      <c r="AA94" s="64">
        <f t="shared" si="40"/>
        <v>1.37</v>
      </c>
      <c r="AB94" s="64">
        <f t="shared" si="40"/>
        <v>1.22</v>
      </c>
      <c r="AC94" s="64">
        <f t="shared" si="40"/>
        <v>1.08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399" t="s">
        <v>54</v>
      </c>
      <c r="B95" s="400"/>
      <c r="C95" s="401"/>
      <c r="D95" s="45"/>
      <c r="E95" s="45"/>
      <c r="F95" s="64">
        <f t="shared" ref="F95:AC95" si="41">F74</f>
        <v>1.6</v>
      </c>
      <c r="G95" s="64">
        <f t="shared" si="41"/>
        <v>0.86</v>
      </c>
      <c r="H95" s="64">
        <f t="shared" si="41"/>
        <v>0</v>
      </c>
      <c r="I95" s="64">
        <f t="shared" si="41"/>
        <v>2.2599999999999998</v>
      </c>
      <c r="J95" s="64">
        <f t="shared" si="41"/>
        <v>2.2599999999999998</v>
      </c>
      <c r="K95" s="64">
        <f t="shared" si="41"/>
        <v>2.98</v>
      </c>
      <c r="L95" s="64">
        <f t="shared" si="41"/>
        <v>3.73</v>
      </c>
      <c r="M95" s="64">
        <f t="shared" si="41"/>
        <v>3.9999999999999996</v>
      </c>
      <c r="N95" s="64">
        <f t="shared" si="41"/>
        <v>4.5</v>
      </c>
      <c r="O95" s="64">
        <f t="shared" si="41"/>
        <v>0</v>
      </c>
      <c r="P95" s="64">
        <f t="shared" si="41"/>
        <v>0</v>
      </c>
      <c r="Q95" s="64">
        <f t="shared" si="41"/>
        <v>0</v>
      </c>
      <c r="R95" s="64">
        <f t="shared" si="41"/>
        <v>0</v>
      </c>
      <c r="S95" s="64">
        <f t="shared" si="41"/>
        <v>0</v>
      </c>
      <c r="T95" s="64">
        <f t="shared" si="41"/>
        <v>0</v>
      </c>
      <c r="U95" s="64">
        <f t="shared" si="41"/>
        <v>0</v>
      </c>
      <c r="V95" s="64">
        <f t="shared" si="41"/>
        <v>0</v>
      </c>
      <c r="W95" s="64">
        <f t="shared" si="41"/>
        <v>2.9</v>
      </c>
      <c r="X95" s="64">
        <f t="shared" si="41"/>
        <v>4.5000000000000009</v>
      </c>
      <c r="Y95" s="64">
        <f t="shared" si="41"/>
        <v>5.0000000000000009</v>
      </c>
      <c r="Z95" s="64">
        <f t="shared" si="41"/>
        <v>4.8999999999999995</v>
      </c>
      <c r="AA95" s="64">
        <f t="shared" si="41"/>
        <v>4.6000000000000005</v>
      </c>
      <c r="AB95" s="64">
        <f t="shared" si="41"/>
        <v>4.3</v>
      </c>
      <c r="AC95" s="64">
        <f t="shared" si="41"/>
        <v>4.5</v>
      </c>
    </row>
    <row r="96" spans="1:40" ht="18" x14ac:dyDescent="0.25">
      <c r="A96" s="399" t="s">
        <v>64</v>
      </c>
      <c r="B96" s="400"/>
      <c r="C96" s="401"/>
      <c r="D96" s="45"/>
      <c r="E96" s="45"/>
      <c r="F96" s="64">
        <f t="shared" ref="F96:AC96" si="42">F78</f>
        <v>0.75</v>
      </c>
      <c r="G96" s="64">
        <f t="shared" si="42"/>
        <v>0.75</v>
      </c>
      <c r="H96" s="64">
        <f t="shared" si="42"/>
        <v>0.69</v>
      </c>
      <c r="I96" s="64">
        <f t="shared" si="42"/>
        <v>0.67</v>
      </c>
      <c r="J96" s="64">
        <f t="shared" si="42"/>
        <v>0.67</v>
      </c>
      <c r="K96" s="64">
        <f t="shared" si="42"/>
        <v>0.71</v>
      </c>
      <c r="L96" s="64">
        <f t="shared" si="42"/>
        <v>0.71</v>
      </c>
      <c r="M96" s="64">
        <f t="shared" si="42"/>
        <v>0.74</v>
      </c>
      <c r="N96" s="64">
        <f t="shared" si="42"/>
        <v>0.74</v>
      </c>
      <c r="O96" s="64">
        <f t="shared" si="42"/>
        <v>0.74</v>
      </c>
      <c r="P96" s="64">
        <f t="shared" si="42"/>
        <v>0.85</v>
      </c>
      <c r="Q96" s="64">
        <f t="shared" si="42"/>
        <v>0.86</v>
      </c>
      <c r="R96" s="64">
        <f t="shared" si="42"/>
        <v>0.86</v>
      </c>
      <c r="S96" s="64">
        <f t="shared" si="42"/>
        <v>0.89</v>
      </c>
      <c r="T96" s="64">
        <f t="shared" si="42"/>
        <v>0.86</v>
      </c>
      <c r="U96" s="64">
        <f t="shared" si="42"/>
        <v>0.86</v>
      </c>
      <c r="V96" s="64">
        <f t="shared" si="42"/>
        <v>0.88</v>
      </c>
      <c r="W96" s="64">
        <f t="shared" si="42"/>
        <v>0.88</v>
      </c>
      <c r="X96" s="64">
        <f t="shared" si="42"/>
        <v>0.84</v>
      </c>
      <c r="Y96" s="64">
        <f t="shared" si="42"/>
        <v>0.83</v>
      </c>
      <c r="Z96" s="64">
        <f t="shared" si="42"/>
        <v>0.83</v>
      </c>
      <c r="AA96" s="64">
        <f t="shared" si="42"/>
        <v>0.81</v>
      </c>
      <c r="AB96" s="64">
        <f t="shared" si="42"/>
        <v>0.84</v>
      </c>
      <c r="AC96" s="64">
        <f t="shared" si="42"/>
        <v>0.85</v>
      </c>
    </row>
    <row r="97" spans="1:40" ht="22.35" customHeight="1" x14ac:dyDescent="0.25">
      <c r="A97" s="412" t="s">
        <v>76</v>
      </c>
      <c r="B97" s="412"/>
      <c r="C97" s="412"/>
      <c r="D97" s="47"/>
      <c r="E97" s="47"/>
      <c r="F97" s="61">
        <f t="shared" ref="F97:AC97" si="43">SUM(F85,F87,F89,F91,F93:F96)</f>
        <v>42.730000000000004</v>
      </c>
      <c r="G97" s="61">
        <f t="shared" si="43"/>
        <v>40.700000000000003</v>
      </c>
      <c r="H97" s="61">
        <f t="shared" si="43"/>
        <v>38.749999999999993</v>
      </c>
      <c r="I97" s="61">
        <f t="shared" si="43"/>
        <v>39.159999999999997</v>
      </c>
      <c r="J97" s="61">
        <f t="shared" si="43"/>
        <v>34.630000000000003</v>
      </c>
      <c r="K97" s="61">
        <f>SUM(K85,K87,K89,K91,K93:K96)</f>
        <v>33.32</v>
      </c>
      <c r="L97" s="61">
        <f t="shared" si="43"/>
        <v>32.839999999999996</v>
      </c>
      <c r="M97" s="61">
        <f t="shared" si="43"/>
        <v>33.69</v>
      </c>
      <c r="N97" s="61">
        <f t="shared" si="43"/>
        <v>41.790000000000006</v>
      </c>
      <c r="O97" s="61">
        <f t="shared" si="43"/>
        <v>43.79</v>
      </c>
      <c r="P97" s="61">
        <f t="shared" si="43"/>
        <v>49.13000000000001</v>
      </c>
      <c r="Q97" s="61">
        <f t="shared" si="43"/>
        <v>50.800000000000011</v>
      </c>
      <c r="R97" s="61">
        <f t="shared" si="43"/>
        <v>49.88</v>
      </c>
      <c r="S97" s="61">
        <f t="shared" si="43"/>
        <v>52.209999999999994</v>
      </c>
      <c r="T97" s="61">
        <f t="shared" si="43"/>
        <v>51.059999999999995</v>
      </c>
      <c r="U97" s="61">
        <f t="shared" si="43"/>
        <v>51.6</v>
      </c>
      <c r="V97" s="61">
        <f t="shared" si="43"/>
        <v>51.160000000000011</v>
      </c>
      <c r="W97" s="61">
        <f t="shared" si="43"/>
        <v>53.160000000000004</v>
      </c>
      <c r="X97" s="61">
        <f t="shared" si="43"/>
        <v>55.6</v>
      </c>
      <c r="Y97" s="61">
        <f t="shared" si="43"/>
        <v>57.160000000000011</v>
      </c>
      <c r="Z97" s="61">
        <f>SUM(Z85,Z87,Z89,Z91,Z93:Z96)</f>
        <v>57.36</v>
      </c>
      <c r="AA97" s="61">
        <f t="shared" si="43"/>
        <v>55.580000000000005</v>
      </c>
      <c r="AB97" s="61">
        <f>SUM(AB85,AB87,AB89,AB91,AB93:AB96)</f>
        <v>52.16</v>
      </c>
      <c r="AC97" s="61">
        <f t="shared" si="43"/>
        <v>47.329999999999991</v>
      </c>
    </row>
    <row r="98" spans="1:40" ht="22.35" customHeight="1" x14ac:dyDescent="0.25">
      <c r="A98" s="415" t="s">
        <v>77</v>
      </c>
      <c r="B98" s="415"/>
      <c r="C98" s="415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>
        <v>1</v>
      </c>
      <c r="U98" s="77">
        <v>1</v>
      </c>
      <c r="V98" s="77">
        <v>1</v>
      </c>
      <c r="W98" s="77"/>
      <c r="X98" s="77"/>
      <c r="Y98" s="77">
        <f>1.39+0.85</f>
        <v>2.2399999999999998</v>
      </c>
      <c r="Z98" s="77"/>
      <c r="AA98" s="77"/>
      <c r="AB98" s="77"/>
      <c r="AC98" s="77"/>
    </row>
    <row r="99" spans="1:40" ht="22.35" customHeight="1" x14ac:dyDescent="0.25">
      <c r="A99" s="415" t="s">
        <v>78</v>
      </c>
      <c r="B99" s="415"/>
      <c r="C99" s="415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3.78</v>
      </c>
      <c r="P99" s="77">
        <v>3.78</v>
      </c>
      <c r="Q99" s="77">
        <v>3.78</v>
      </c>
      <c r="R99" s="77">
        <v>3.78</v>
      </c>
      <c r="S99" s="77">
        <v>3.78</v>
      </c>
      <c r="T99" s="77">
        <v>3.78</v>
      </c>
      <c r="U99" s="77">
        <v>3.78</v>
      </c>
      <c r="V99" s="77">
        <v>3.78</v>
      </c>
      <c r="W99" s="77"/>
      <c r="X99" s="77"/>
      <c r="Y99" s="77"/>
      <c r="Z99" s="77"/>
      <c r="AA99" s="77"/>
      <c r="AB99" s="77"/>
      <c r="AC99" s="77"/>
    </row>
    <row r="100" spans="1:40" ht="22.35" customHeight="1" x14ac:dyDescent="0.25">
      <c r="A100" s="415" t="s">
        <v>79</v>
      </c>
      <c r="B100" s="415"/>
      <c r="C100" s="415"/>
      <c r="D100" s="46"/>
      <c r="E100" s="46"/>
      <c r="F100" s="77"/>
      <c r="G100" s="77"/>
      <c r="H100" s="77"/>
      <c r="I100" s="77"/>
      <c r="J100" s="77">
        <v>1.6</v>
      </c>
      <c r="K100" s="77">
        <v>1.6</v>
      </c>
      <c r="L100" s="77">
        <v>1.6</v>
      </c>
      <c r="M100" s="77">
        <v>1.6</v>
      </c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5">
      <c r="A101" s="412" t="s">
        <v>80</v>
      </c>
      <c r="B101" s="412"/>
      <c r="C101" s="412"/>
      <c r="D101" s="47"/>
      <c r="E101" s="47"/>
      <c r="F101" s="61">
        <f t="shared" ref="F101:AC101" si="44">SUM(F98:F100)</f>
        <v>0</v>
      </c>
      <c r="G101" s="61">
        <f t="shared" si="44"/>
        <v>0</v>
      </c>
      <c r="H101" s="61">
        <f t="shared" si="44"/>
        <v>0</v>
      </c>
      <c r="I101" s="61">
        <f t="shared" si="44"/>
        <v>0</v>
      </c>
      <c r="J101" s="61">
        <f t="shared" si="44"/>
        <v>1.6</v>
      </c>
      <c r="K101" s="61">
        <f t="shared" si="44"/>
        <v>1.6</v>
      </c>
      <c r="L101" s="61">
        <f t="shared" si="44"/>
        <v>1.6</v>
      </c>
      <c r="M101" s="61">
        <f t="shared" si="44"/>
        <v>1.6</v>
      </c>
      <c r="N101" s="61">
        <f t="shared" si="44"/>
        <v>0</v>
      </c>
      <c r="O101" s="61">
        <f t="shared" si="44"/>
        <v>3.78</v>
      </c>
      <c r="P101" s="61">
        <f t="shared" si="44"/>
        <v>3.78</v>
      </c>
      <c r="Q101" s="61">
        <f t="shared" si="44"/>
        <v>3.78</v>
      </c>
      <c r="R101" s="61">
        <f t="shared" si="44"/>
        <v>3.78</v>
      </c>
      <c r="S101" s="61">
        <f t="shared" si="44"/>
        <v>3.78</v>
      </c>
      <c r="T101" s="61">
        <f t="shared" si="44"/>
        <v>4.7799999999999994</v>
      </c>
      <c r="U101" s="61">
        <f t="shared" si="44"/>
        <v>4.7799999999999994</v>
      </c>
      <c r="V101" s="61">
        <f t="shared" si="44"/>
        <v>4.7799999999999994</v>
      </c>
      <c r="W101" s="61">
        <f t="shared" si="44"/>
        <v>0</v>
      </c>
      <c r="X101" s="61">
        <f t="shared" si="44"/>
        <v>0</v>
      </c>
      <c r="Y101" s="61">
        <f t="shared" si="44"/>
        <v>2.2399999999999998</v>
      </c>
      <c r="Z101" s="61">
        <f t="shared" si="44"/>
        <v>0</v>
      </c>
      <c r="AA101" s="61">
        <f t="shared" si="44"/>
        <v>0</v>
      </c>
      <c r="AB101" s="61">
        <f t="shared" si="44"/>
        <v>0</v>
      </c>
      <c r="AC101" s="61">
        <f t="shared" si="44"/>
        <v>0</v>
      </c>
    </row>
    <row r="102" spans="1:40" ht="22.35" customHeight="1" x14ac:dyDescent="0.25">
      <c r="A102" s="416" t="s">
        <v>81</v>
      </c>
      <c r="B102" s="416"/>
      <c r="C102" s="416"/>
      <c r="D102" s="48"/>
      <c r="E102" s="48"/>
      <c r="F102" s="62">
        <f t="shared" ref="F102:AC102" si="45">F97+F101</f>
        <v>42.730000000000004</v>
      </c>
      <c r="G102" s="62">
        <f t="shared" si="45"/>
        <v>40.700000000000003</v>
      </c>
      <c r="H102" s="62">
        <f t="shared" si="45"/>
        <v>38.749999999999993</v>
      </c>
      <c r="I102" s="62">
        <f t="shared" si="45"/>
        <v>39.159999999999997</v>
      </c>
      <c r="J102" s="62">
        <f t="shared" si="45"/>
        <v>36.230000000000004</v>
      </c>
      <c r="K102" s="62">
        <f t="shared" si="45"/>
        <v>34.92</v>
      </c>
      <c r="L102" s="62">
        <f t="shared" si="45"/>
        <v>34.44</v>
      </c>
      <c r="M102" s="62">
        <f t="shared" si="45"/>
        <v>35.29</v>
      </c>
      <c r="N102" s="62">
        <f t="shared" si="45"/>
        <v>41.790000000000006</v>
      </c>
      <c r="O102" s="62">
        <f t="shared" si="45"/>
        <v>47.57</v>
      </c>
      <c r="P102" s="62">
        <f t="shared" si="45"/>
        <v>52.910000000000011</v>
      </c>
      <c r="Q102" s="62">
        <f t="shared" si="45"/>
        <v>54.580000000000013</v>
      </c>
      <c r="R102" s="62">
        <f t="shared" si="45"/>
        <v>53.660000000000004</v>
      </c>
      <c r="S102" s="62">
        <f t="shared" si="45"/>
        <v>55.989999999999995</v>
      </c>
      <c r="T102" s="62">
        <f t="shared" si="45"/>
        <v>55.839999999999996</v>
      </c>
      <c r="U102" s="62">
        <f t="shared" si="45"/>
        <v>56.38</v>
      </c>
      <c r="V102" s="62">
        <f t="shared" si="45"/>
        <v>55.940000000000012</v>
      </c>
      <c r="W102" s="62">
        <f t="shared" si="45"/>
        <v>53.160000000000004</v>
      </c>
      <c r="X102" s="62">
        <f t="shared" si="45"/>
        <v>55.6</v>
      </c>
      <c r="Y102" s="62">
        <f t="shared" si="45"/>
        <v>59.400000000000013</v>
      </c>
      <c r="Z102" s="62">
        <f t="shared" si="45"/>
        <v>57.36</v>
      </c>
      <c r="AA102" s="62">
        <f t="shared" si="45"/>
        <v>55.580000000000005</v>
      </c>
      <c r="AB102" s="62">
        <f>AB97+AB101</f>
        <v>52.16</v>
      </c>
      <c r="AC102" s="62">
        <f t="shared" si="45"/>
        <v>47.329999999999991</v>
      </c>
    </row>
    <row r="103" spans="1:40" ht="20.25" hidden="1" x14ac:dyDescent="0.25">
      <c r="A103" s="417" t="s">
        <v>82</v>
      </c>
      <c r="B103" s="417"/>
      <c r="C103" s="417"/>
      <c r="D103" s="52"/>
      <c r="E103" s="52"/>
      <c r="F103" s="63">
        <f t="shared" ref="F103:AC103" si="46">(COUNT(F13:F16))*7.2+(COUNT(F27:F28)*4.9)+(COUNT(F19:F21)*4.5)-F87-F89</f>
        <v>7.3000000000000025</v>
      </c>
      <c r="G103" s="63">
        <f t="shared" si="46"/>
        <v>6.9000000000000039</v>
      </c>
      <c r="H103" s="63">
        <f t="shared" si="46"/>
        <v>7.9000000000000021</v>
      </c>
      <c r="I103" s="63">
        <f t="shared" si="46"/>
        <v>9.7000000000000028</v>
      </c>
      <c r="J103" s="63">
        <f t="shared" si="46"/>
        <v>13.000000000000002</v>
      </c>
      <c r="K103" s="63">
        <f t="shared" si="46"/>
        <v>14.800000000000004</v>
      </c>
      <c r="L103" s="63">
        <f t="shared" si="46"/>
        <v>8.8999999999999986</v>
      </c>
      <c r="M103" s="63">
        <f t="shared" si="46"/>
        <v>8.4999999999999964</v>
      </c>
      <c r="N103" s="63">
        <f t="shared" si="46"/>
        <v>7.0000000000000036</v>
      </c>
      <c r="O103" s="63">
        <f t="shared" si="46"/>
        <v>7.6000000000000041</v>
      </c>
      <c r="P103" s="63">
        <f t="shared" si="46"/>
        <v>8.2000000000000028</v>
      </c>
      <c r="Q103" s="63">
        <f t="shared" si="46"/>
        <v>7.200000000000002</v>
      </c>
      <c r="R103" s="63">
        <f t="shared" si="46"/>
        <v>8.100000000000005</v>
      </c>
      <c r="S103" s="63">
        <f>(COUNT(S13:S16))*7.2+(COUNT(S27:S28)*4.9)+(COUNT(S19:S21)*4.5)-S87-S89</f>
        <v>7.700000000000002</v>
      </c>
      <c r="T103" s="63">
        <f t="shared" si="46"/>
        <v>8.100000000000005</v>
      </c>
      <c r="U103" s="63">
        <f t="shared" si="46"/>
        <v>8.5000000000000036</v>
      </c>
      <c r="V103" s="63">
        <f t="shared" si="46"/>
        <v>8.9000000000000021</v>
      </c>
      <c r="W103" s="63">
        <f t="shared" si="46"/>
        <v>9.0000000000000018</v>
      </c>
      <c r="X103" s="63">
        <f t="shared" si="46"/>
        <v>8.0000000000000036</v>
      </c>
      <c r="Y103" s="63">
        <f t="shared" si="46"/>
        <v>8.2000000000000028</v>
      </c>
      <c r="Z103" s="63">
        <f t="shared" si="46"/>
        <v>6.8000000000000034</v>
      </c>
      <c r="AA103" s="63">
        <f t="shared" si="46"/>
        <v>7.9</v>
      </c>
      <c r="AB103" s="63">
        <f t="shared" si="46"/>
        <v>7.7000000000000046</v>
      </c>
      <c r="AC103" s="63">
        <f t="shared" si="46"/>
        <v>7.7000000000000046</v>
      </c>
      <c r="AD103" s="26"/>
      <c r="AE103" s="26"/>
    </row>
    <row r="104" spans="1:40" ht="20.25" x14ac:dyDescent="0.25">
      <c r="A104" s="418" t="s">
        <v>83</v>
      </c>
      <c r="B104" s="419"/>
      <c r="C104" s="420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4.8</v>
      </c>
      <c r="G104" s="206">
        <f t="shared" ref="G104:P104" si="47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4.4000000000000021</v>
      </c>
      <c r="H104" s="206">
        <f t="shared" si="47"/>
        <v>5.4000000000000012</v>
      </c>
      <c r="I104" s="206">
        <f t="shared" si="47"/>
        <v>7.200000000000002</v>
      </c>
      <c r="J104" s="206">
        <f t="shared" si="47"/>
        <v>11.7</v>
      </c>
      <c r="K104" s="206">
        <f t="shared" si="47"/>
        <v>13.800000000000002</v>
      </c>
      <c r="L104" s="206">
        <f t="shared" si="47"/>
        <v>5.700000000000002</v>
      </c>
      <c r="M104" s="206">
        <f t="shared" si="47"/>
        <v>5.3</v>
      </c>
      <c r="N104" s="206">
        <f t="shared" si="47"/>
        <v>3.8000000000000016</v>
      </c>
      <c r="O104" s="206">
        <f t="shared" si="47"/>
        <v>4.4000000000000021</v>
      </c>
      <c r="P104" s="206">
        <f t="shared" si="47"/>
        <v>5.0000000000000009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</v>
      </c>
      <c r="R104" s="206">
        <f t="shared" ref="R104:AC104" si="4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4.5000000000000018</v>
      </c>
      <c r="S104" s="206">
        <f t="shared" si="48"/>
        <v>4.0999999999999996</v>
      </c>
      <c r="T104" s="206">
        <f t="shared" si="48"/>
        <v>4.5000000000000018</v>
      </c>
      <c r="U104" s="206">
        <f t="shared" si="48"/>
        <v>4.9000000000000012</v>
      </c>
      <c r="V104" s="206">
        <f t="shared" si="48"/>
        <v>5.3</v>
      </c>
      <c r="W104" s="206">
        <f t="shared" si="48"/>
        <v>5.3999999999999995</v>
      </c>
      <c r="X104" s="206">
        <f t="shared" si="48"/>
        <v>4.4000000000000021</v>
      </c>
      <c r="Y104" s="206">
        <f t="shared" si="48"/>
        <v>4.6000000000000005</v>
      </c>
      <c r="Z104" s="206">
        <f t="shared" si="48"/>
        <v>3.2000000000000011</v>
      </c>
      <c r="AA104" s="206">
        <f t="shared" si="48"/>
        <v>4.299999999999998</v>
      </c>
      <c r="AB104" s="206">
        <f t="shared" si="48"/>
        <v>4.1000000000000023</v>
      </c>
      <c r="AC104" s="206">
        <f t="shared" si="48"/>
        <v>4.1000000000000023</v>
      </c>
      <c r="AD104" s="26"/>
      <c r="AE104" s="26"/>
    </row>
    <row r="105" spans="1:40" ht="20.25" x14ac:dyDescent="0.25">
      <c r="A105" s="421" t="s">
        <v>84</v>
      </c>
      <c r="B105" s="421"/>
      <c r="C105" s="421"/>
      <c r="D105" s="60"/>
      <c r="E105" s="73"/>
      <c r="F105" s="75">
        <v>60.12</v>
      </c>
      <c r="G105" s="75">
        <v>60.1</v>
      </c>
      <c r="H105" s="75">
        <v>60.12</v>
      </c>
      <c r="I105" s="75">
        <v>60.22</v>
      </c>
      <c r="J105" s="75">
        <v>60.32</v>
      </c>
      <c r="K105" s="75">
        <v>60.34</v>
      </c>
      <c r="L105" s="75">
        <v>60.22</v>
      </c>
      <c r="M105" s="75">
        <v>60.18</v>
      </c>
      <c r="N105" s="75">
        <v>60.05</v>
      </c>
      <c r="O105" s="75">
        <v>60.07</v>
      </c>
      <c r="P105" s="84">
        <v>60.08</v>
      </c>
      <c r="Q105" s="84">
        <v>60.13</v>
      </c>
      <c r="R105" s="84">
        <v>60.14</v>
      </c>
      <c r="S105" s="84">
        <v>60.12</v>
      </c>
      <c r="T105" s="84">
        <v>60.12</v>
      </c>
      <c r="U105" s="75">
        <v>60.16</v>
      </c>
      <c r="V105" s="75">
        <v>60.2</v>
      </c>
      <c r="W105" s="75">
        <v>60.2</v>
      </c>
      <c r="X105" s="75">
        <v>60.14</v>
      </c>
      <c r="Y105" s="75">
        <v>60.14</v>
      </c>
      <c r="Z105" s="75">
        <v>60.12</v>
      </c>
      <c r="AA105" s="75">
        <v>60.2</v>
      </c>
      <c r="AB105" s="75">
        <v>60.19</v>
      </c>
      <c r="AC105" s="75">
        <v>60.15</v>
      </c>
      <c r="AD105" s="26"/>
      <c r="AE105" s="26"/>
    </row>
    <row r="106" spans="1:40" ht="20.25" x14ac:dyDescent="0.25">
      <c r="A106" s="421" t="s">
        <v>85</v>
      </c>
      <c r="B106" s="421"/>
      <c r="C106" s="421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5">
      <c r="A107" s="421" t="s">
        <v>86</v>
      </c>
      <c r="B107" s="421"/>
      <c r="C107" s="421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5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 x14ac:dyDescent="0.25">
      <c r="A109" s="422" t="s">
        <v>87</v>
      </c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  <c r="L109" s="422"/>
      <c r="M109" s="422"/>
      <c r="N109" s="422"/>
      <c r="O109" s="422"/>
      <c r="P109" s="422"/>
      <c r="Q109" s="422"/>
      <c r="R109" s="422"/>
      <c r="S109" s="422"/>
      <c r="T109" s="422"/>
      <c r="U109" s="422"/>
      <c r="V109" s="422"/>
      <c r="W109" s="422"/>
      <c r="X109" s="422"/>
      <c r="Y109" s="422"/>
      <c r="Z109" s="422"/>
      <c r="AA109" s="422"/>
      <c r="AB109" s="422"/>
      <c r="AC109" s="422"/>
      <c r="AD109" s="26"/>
      <c r="AE109" s="26"/>
    </row>
    <row r="110" spans="1:40" hidden="1" x14ac:dyDescent="0.25">
      <c r="B110" s="5"/>
      <c r="AC110" s="26"/>
      <c r="AD110" s="26"/>
      <c r="AE110" s="26"/>
    </row>
    <row r="111" spans="1:40" ht="18" hidden="1" x14ac:dyDescent="0.25">
      <c r="A111" s="405" t="s">
        <v>69</v>
      </c>
      <c r="B111" s="406"/>
      <c r="C111" s="407"/>
      <c r="D111" s="49"/>
      <c r="E111" s="49"/>
      <c r="F111" s="411" t="s">
        <v>70</v>
      </c>
      <c r="G111" s="411"/>
      <c r="H111" s="411"/>
      <c r="I111" s="411"/>
      <c r="J111" s="411"/>
      <c r="K111" s="411"/>
      <c r="L111" s="411"/>
      <c r="M111" s="411"/>
      <c r="N111" s="411"/>
      <c r="O111" s="411"/>
      <c r="P111" s="411"/>
      <c r="Q111" s="411"/>
      <c r="R111" s="411"/>
      <c r="S111" s="411"/>
      <c r="T111" s="411"/>
      <c r="U111" s="411"/>
      <c r="V111" s="411"/>
      <c r="W111" s="411"/>
      <c r="X111" s="411"/>
      <c r="Y111" s="411"/>
      <c r="Z111" s="411"/>
      <c r="AA111" s="411"/>
      <c r="AB111" s="411"/>
      <c r="AC111" s="411"/>
      <c r="AD111" s="5"/>
      <c r="AE111" s="5"/>
      <c r="AF111" s="5"/>
      <c r="AG111" s="5"/>
      <c r="AH111" s="5"/>
    </row>
    <row r="112" spans="1:40" ht="15.6" hidden="1" customHeight="1" x14ac:dyDescent="0.25">
      <c r="A112" s="408"/>
      <c r="B112" s="409"/>
      <c r="C112" s="410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5">
      <c r="A113" s="399" t="s">
        <v>27</v>
      </c>
      <c r="B113" s="400"/>
      <c r="C113" s="401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5">
      <c r="A114" s="399" t="s">
        <v>72</v>
      </c>
      <c r="B114" s="400"/>
      <c r="C114" s="401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5">
      <c r="A115" s="399" t="s">
        <v>29</v>
      </c>
      <c r="B115" s="400"/>
      <c r="C115" s="401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5">
      <c r="A116" s="399" t="s">
        <v>30</v>
      </c>
      <c r="B116" s="400"/>
      <c r="C116" s="40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31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50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54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5">
      <c r="A120" s="399" t="s">
        <v>64</v>
      </c>
      <c r="B120" s="400"/>
      <c r="C120" s="401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5">
      <c r="A121" s="423" t="s">
        <v>88</v>
      </c>
      <c r="B121" s="424"/>
      <c r="C121" s="425"/>
      <c r="D121" s="51"/>
      <c r="E121" s="51"/>
      <c r="F121" s="44">
        <f>SUM(F113:F120)</f>
        <v>0</v>
      </c>
      <c r="G121" s="44">
        <f t="shared" ref="G121:AB121" si="49">SUM(G113:G120)</f>
        <v>0</v>
      </c>
      <c r="H121" s="44">
        <f t="shared" si="49"/>
        <v>0</v>
      </c>
      <c r="I121" s="44">
        <f t="shared" si="49"/>
        <v>0</v>
      </c>
      <c r="J121" s="44">
        <f t="shared" si="49"/>
        <v>0</v>
      </c>
      <c r="K121" s="44">
        <f t="shared" si="49"/>
        <v>0</v>
      </c>
      <c r="L121" s="44">
        <f t="shared" si="49"/>
        <v>0</v>
      </c>
      <c r="M121" s="44">
        <f t="shared" si="49"/>
        <v>0</v>
      </c>
      <c r="N121" s="44">
        <f t="shared" si="49"/>
        <v>0</v>
      </c>
      <c r="O121" s="44">
        <f t="shared" si="49"/>
        <v>0</v>
      </c>
      <c r="P121" s="44">
        <f t="shared" si="49"/>
        <v>0</v>
      </c>
      <c r="Q121" s="44">
        <f t="shared" si="49"/>
        <v>0</v>
      </c>
      <c r="R121" s="44">
        <f t="shared" si="49"/>
        <v>0</v>
      </c>
      <c r="S121" s="44">
        <f t="shared" si="49"/>
        <v>0</v>
      </c>
      <c r="T121" s="44">
        <f t="shared" si="49"/>
        <v>0</v>
      </c>
      <c r="U121" s="44">
        <f t="shared" si="49"/>
        <v>0</v>
      </c>
      <c r="V121" s="44">
        <f t="shared" si="49"/>
        <v>0</v>
      </c>
      <c r="W121" s="44">
        <f t="shared" si="49"/>
        <v>0</v>
      </c>
      <c r="X121" s="44">
        <f t="shared" si="49"/>
        <v>0</v>
      </c>
      <c r="Y121" s="44">
        <f t="shared" si="49"/>
        <v>0</v>
      </c>
      <c r="Z121" s="44">
        <f t="shared" si="49"/>
        <v>0</v>
      </c>
      <c r="AA121" s="44">
        <f t="shared" si="49"/>
        <v>0</v>
      </c>
      <c r="AB121" s="44">
        <f t="shared" si="49"/>
        <v>0</v>
      </c>
      <c r="AC121" s="44">
        <f>SUM(AC113:AC120)</f>
        <v>0</v>
      </c>
    </row>
    <row r="122" spans="1:124" x14ac:dyDescent="0.25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 x14ac:dyDescent="0.25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5">
      <c r="AB124" s="26"/>
      <c r="AC124" s="27"/>
      <c r="AD124" s="5"/>
      <c r="AE124" s="5"/>
    </row>
    <row r="125" spans="1:124" s="2" customFormat="1" x14ac:dyDescent="0.25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5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5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5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5">
      <c r="C131" s="26"/>
      <c r="D131" s="26"/>
      <c r="E131" s="26"/>
    </row>
    <row r="132" spans="1:124" x14ac:dyDescent="0.25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5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33799" priority="1387" operator="greaterThan">
      <formula>60.3</formula>
    </cfRule>
  </conditionalFormatting>
  <conditionalFormatting sqref="H13:K14 G52:G54 K15 H15:J16 H20:AC21 I31:AC31 H27:AC28 L13:P15 K16:P16 H39:I55 G57:P57 J43:P55 H56:P56 H60:H61 K60:AC60 H24:AC24 J34:S42 S42:S48 Q43:S57 Q13:AC16 L61:AC62 H65:AC73 T34:AC57 H76:AC77">
    <cfRule type="cellIs" dxfId="33798" priority="1379" operator="equal">
      <formula>"PMS"</formula>
    </cfRule>
    <cfRule type="containsText" dxfId="33797" priority="1380" operator="containsText" text="CMS">
      <formula>NOT(ISERROR(SEARCH("CMS",G13)))</formula>
    </cfRule>
    <cfRule type="cellIs" dxfId="33796" priority="1381" operator="equal">
      <formula>0</formula>
    </cfRule>
    <cfRule type="cellIs" dxfId="33795" priority="1382" operator="greaterThan">
      <formula>0</formula>
    </cfRule>
    <cfRule type="cellIs" dxfId="33794" priority="1383" operator="equal">
      <formula>"PMS"</formula>
    </cfRule>
    <cfRule type="containsText" dxfId="33793" priority="1384" operator="containsText" text="CMS">
      <formula>NOT(ISERROR(SEARCH("CMS",G13)))</formula>
    </cfRule>
    <cfRule type="cellIs" dxfId="33792" priority="1385" operator="equal">
      <formula>0</formula>
    </cfRule>
    <cfRule type="cellIs" dxfId="33791" priority="1386" operator="greaterThan">
      <formula>0</formula>
    </cfRule>
  </conditionalFormatting>
  <conditionalFormatting sqref="O60:AC62 O65:AC73 O76:AC77">
    <cfRule type="cellIs" dxfId="33790" priority="1375" operator="equal">
      <formula>"PMS"</formula>
    </cfRule>
    <cfRule type="containsText" dxfId="33789" priority="1376" operator="containsText" text="CMS">
      <formula>NOT(ISERROR(SEARCH("CMS",O60)))</formula>
    </cfRule>
    <cfRule type="cellIs" dxfId="33788" priority="1377" operator="equal">
      <formula>0</formula>
    </cfRule>
    <cfRule type="cellIs" dxfId="33787" priority="1378" operator="greaterThan">
      <formula>0</formula>
    </cfRule>
  </conditionalFormatting>
  <conditionalFormatting sqref="P65:AC73">
    <cfRule type="cellIs" dxfId="33786" priority="1371" operator="equal">
      <formula>"PMS"</formula>
    </cfRule>
    <cfRule type="containsText" dxfId="33785" priority="1372" operator="containsText" text="CMS">
      <formula>NOT(ISERROR(SEARCH("CMS",P65)))</formula>
    </cfRule>
    <cfRule type="cellIs" dxfId="33784" priority="1373" operator="equal">
      <formula>0</formula>
    </cfRule>
    <cfRule type="cellIs" dxfId="33783" priority="1374" operator="greaterThan">
      <formula>0</formula>
    </cfRule>
  </conditionalFormatting>
  <conditionalFormatting sqref="O13:AC16">
    <cfRule type="cellIs" dxfId="33782" priority="1367" operator="equal">
      <formula>"PMS"</formula>
    </cfRule>
    <cfRule type="containsText" dxfId="33781" priority="1368" operator="containsText" text="CMS">
      <formula>NOT(ISERROR(SEARCH("CMS",O13)))</formula>
    </cfRule>
    <cfRule type="cellIs" dxfId="33780" priority="1369" operator="equal">
      <formula>0</formula>
    </cfRule>
    <cfRule type="cellIs" dxfId="33779" priority="1370" operator="greaterThan">
      <formula>0</formula>
    </cfRule>
  </conditionalFormatting>
  <conditionalFormatting sqref="P13:AC16">
    <cfRule type="cellIs" dxfId="33778" priority="1363" operator="equal">
      <formula>"PMS"</formula>
    </cfRule>
    <cfRule type="containsText" dxfId="33777" priority="1364" operator="containsText" text="CMS">
      <formula>NOT(ISERROR(SEARCH("CMS",P13)))</formula>
    </cfRule>
    <cfRule type="cellIs" dxfId="33776" priority="1365" operator="equal">
      <formula>0</formula>
    </cfRule>
    <cfRule type="cellIs" dxfId="33775" priority="1366" operator="greaterThan">
      <formula>0</formula>
    </cfRule>
  </conditionalFormatting>
  <conditionalFormatting sqref="O20:AC21">
    <cfRule type="cellIs" dxfId="33774" priority="1359" operator="equal">
      <formula>"PMS"</formula>
    </cfRule>
    <cfRule type="containsText" dxfId="33773" priority="1360" operator="containsText" text="CMS">
      <formula>NOT(ISERROR(SEARCH("CMS",O20)))</formula>
    </cfRule>
    <cfRule type="cellIs" dxfId="33772" priority="1361" operator="equal">
      <formula>0</formula>
    </cfRule>
    <cfRule type="cellIs" dxfId="33771" priority="1362" operator="greaterThan">
      <formula>0</formula>
    </cfRule>
  </conditionalFormatting>
  <conditionalFormatting sqref="P20:AC21">
    <cfRule type="cellIs" dxfId="33770" priority="1355" operator="equal">
      <formula>"PMS"</formula>
    </cfRule>
    <cfRule type="containsText" dxfId="33769" priority="1356" operator="containsText" text="CMS">
      <formula>NOT(ISERROR(SEARCH("CMS",P20)))</formula>
    </cfRule>
    <cfRule type="cellIs" dxfId="33768" priority="1357" operator="equal">
      <formula>0</formula>
    </cfRule>
    <cfRule type="cellIs" dxfId="33767" priority="1358" operator="greaterThan">
      <formula>0</formula>
    </cfRule>
  </conditionalFormatting>
  <conditionalFormatting sqref="O24:AC24">
    <cfRule type="cellIs" dxfId="33766" priority="1351" operator="equal">
      <formula>"PMS"</formula>
    </cfRule>
    <cfRule type="containsText" dxfId="33765" priority="1352" operator="containsText" text="CMS">
      <formula>NOT(ISERROR(SEARCH("CMS",O24)))</formula>
    </cfRule>
    <cfRule type="cellIs" dxfId="33764" priority="1353" operator="equal">
      <formula>0</formula>
    </cfRule>
    <cfRule type="cellIs" dxfId="33763" priority="1354" operator="greaterThan">
      <formula>0</formula>
    </cfRule>
  </conditionalFormatting>
  <conditionalFormatting sqref="P24:AC24">
    <cfRule type="cellIs" dxfId="33762" priority="1347" operator="equal">
      <formula>"PMS"</formula>
    </cfRule>
    <cfRule type="containsText" dxfId="33761" priority="1348" operator="containsText" text="CMS">
      <formula>NOT(ISERROR(SEARCH("CMS",P24)))</formula>
    </cfRule>
    <cfRule type="cellIs" dxfId="33760" priority="1349" operator="equal">
      <formula>0</formula>
    </cfRule>
    <cfRule type="cellIs" dxfId="33759" priority="1350" operator="greaterThan">
      <formula>0</formula>
    </cfRule>
  </conditionalFormatting>
  <conditionalFormatting sqref="O27:AC28">
    <cfRule type="cellIs" dxfId="33758" priority="1343" operator="equal">
      <formula>"PMS"</formula>
    </cfRule>
    <cfRule type="containsText" dxfId="33757" priority="1344" operator="containsText" text="CMS">
      <formula>NOT(ISERROR(SEARCH("CMS",O27)))</formula>
    </cfRule>
    <cfRule type="cellIs" dxfId="33756" priority="1345" operator="equal">
      <formula>0</formula>
    </cfRule>
    <cfRule type="cellIs" dxfId="33755" priority="1346" operator="greaterThan">
      <formula>0</formula>
    </cfRule>
  </conditionalFormatting>
  <conditionalFormatting sqref="P27:AC28">
    <cfRule type="cellIs" dxfId="33754" priority="1339" operator="equal">
      <formula>"PMS"</formula>
    </cfRule>
    <cfRule type="containsText" dxfId="33753" priority="1340" operator="containsText" text="CMS">
      <formula>NOT(ISERROR(SEARCH("CMS",P27)))</formula>
    </cfRule>
    <cfRule type="cellIs" dxfId="33752" priority="1341" operator="equal">
      <formula>0</formula>
    </cfRule>
    <cfRule type="cellIs" dxfId="33751" priority="1342" operator="greaterThan">
      <formula>0</formula>
    </cfRule>
  </conditionalFormatting>
  <conditionalFormatting sqref="O31:AC31">
    <cfRule type="cellIs" dxfId="33750" priority="1335" operator="equal">
      <formula>"PMS"</formula>
    </cfRule>
    <cfRule type="containsText" dxfId="33749" priority="1336" operator="containsText" text="CMS">
      <formula>NOT(ISERROR(SEARCH("CMS",O31)))</formula>
    </cfRule>
    <cfRule type="cellIs" dxfId="33748" priority="1337" operator="equal">
      <formula>0</formula>
    </cfRule>
    <cfRule type="cellIs" dxfId="33747" priority="1338" operator="greaterThan">
      <formula>0</formula>
    </cfRule>
  </conditionalFormatting>
  <conditionalFormatting sqref="P31:AC31">
    <cfRule type="cellIs" dxfId="33746" priority="1331" operator="equal">
      <formula>"PMS"</formula>
    </cfRule>
    <cfRule type="containsText" dxfId="33745" priority="1332" operator="containsText" text="CMS">
      <formula>NOT(ISERROR(SEARCH("CMS",P31)))</formula>
    </cfRule>
    <cfRule type="cellIs" dxfId="33744" priority="1333" operator="equal">
      <formula>0</formula>
    </cfRule>
    <cfRule type="cellIs" dxfId="33743" priority="1334" operator="greaterThan">
      <formula>0</formula>
    </cfRule>
  </conditionalFormatting>
  <conditionalFormatting sqref="O34:AC57">
    <cfRule type="cellIs" dxfId="33742" priority="1327" operator="equal">
      <formula>"PMS"</formula>
    </cfRule>
    <cfRule type="containsText" dxfId="33741" priority="1328" operator="containsText" text="CMS">
      <formula>NOT(ISERROR(SEARCH("CMS",O34)))</formula>
    </cfRule>
    <cfRule type="cellIs" dxfId="33740" priority="1329" operator="equal">
      <formula>0</formula>
    </cfRule>
    <cfRule type="cellIs" dxfId="33739" priority="1330" operator="greaterThan">
      <formula>0</formula>
    </cfRule>
  </conditionalFormatting>
  <conditionalFormatting sqref="O44:O46 O48:AC48 O52:O57 O50 P43:AC47 P34:AC36 Y42:AA48 AB44:AB48 R36:R39 Q43:S48 O37:AC42 S42:T48 AC45:AC48 P49:AC57">
    <cfRule type="cellIs" dxfId="33738" priority="1323" operator="equal">
      <formula>"PMS"</formula>
    </cfRule>
    <cfRule type="containsText" dxfId="33737" priority="1324" operator="containsText" text="CMS">
      <formula>NOT(ISERROR(SEARCH("CMS",O34)))</formula>
    </cfRule>
    <cfRule type="cellIs" dxfId="33736" priority="1325" operator="equal">
      <formula>0</formula>
    </cfRule>
    <cfRule type="cellIs" dxfId="33735" priority="1326" operator="greaterThan">
      <formula>0</formula>
    </cfRule>
  </conditionalFormatting>
  <conditionalFormatting sqref="V13:AC13">
    <cfRule type="cellIs" dxfId="33734" priority="1319" operator="equal">
      <formula>"PMS"</formula>
    </cfRule>
    <cfRule type="containsText" dxfId="33733" priority="1320" operator="containsText" text="CMS">
      <formula>NOT(ISERROR(SEARCH("CMS",V13)))</formula>
    </cfRule>
    <cfRule type="cellIs" dxfId="33732" priority="1321" operator="equal">
      <formula>0</formula>
    </cfRule>
    <cfRule type="cellIs" dxfId="33731" priority="1322" operator="greaterThan">
      <formula>0</formula>
    </cfRule>
  </conditionalFormatting>
  <conditionalFormatting sqref="V13:AC13">
    <cfRule type="cellIs" dxfId="33730" priority="1315" operator="equal">
      <formula>"PMS"</formula>
    </cfRule>
    <cfRule type="containsText" dxfId="33729" priority="1316" operator="containsText" text="CMS">
      <formula>NOT(ISERROR(SEARCH("CMS",V13)))</formula>
    </cfRule>
    <cfRule type="cellIs" dxfId="33728" priority="1317" operator="equal">
      <formula>0</formula>
    </cfRule>
    <cfRule type="cellIs" dxfId="33727" priority="1318" operator="greaterThan">
      <formula>0</formula>
    </cfRule>
  </conditionalFormatting>
  <conditionalFormatting sqref="X56:AC56">
    <cfRule type="cellIs" dxfId="33726" priority="1311" operator="equal">
      <formula>"PMS"</formula>
    </cfRule>
    <cfRule type="containsText" dxfId="33725" priority="1312" operator="containsText" text="CMS">
      <formula>NOT(ISERROR(SEARCH("CMS",X56)))</formula>
    </cfRule>
    <cfRule type="cellIs" dxfId="33724" priority="1313" operator="equal">
      <formula>0</formula>
    </cfRule>
    <cfRule type="cellIs" dxfId="33723" priority="1314" operator="greaterThan">
      <formula>0</formula>
    </cfRule>
  </conditionalFormatting>
  <conditionalFormatting sqref="X56:AC56">
    <cfRule type="cellIs" dxfId="33722" priority="1307" operator="equal">
      <formula>"PMS"</formula>
    </cfRule>
    <cfRule type="containsText" dxfId="33721" priority="1308" operator="containsText" text="CMS">
      <formula>NOT(ISERROR(SEARCH("CMS",X56)))</formula>
    </cfRule>
    <cfRule type="cellIs" dxfId="33720" priority="1309" operator="equal">
      <formula>0</formula>
    </cfRule>
    <cfRule type="cellIs" dxfId="33719" priority="1310" operator="greaterThan">
      <formula>0</formula>
    </cfRule>
  </conditionalFormatting>
  <conditionalFormatting sqref="X56:AC56">
    <cfRule type="cellIs" dxfId="33718" priority="1303" operator="equal">
      <formula>"PMS"</formula>
    </cfRule>
    <cfRule type="containsText" dxfId="33717" priority="1304" operator="containsText" text="CMS">
      <formula>NOT(ISERROR(SEARCH("CMS",X56)))</formula>
    </cfRule>
    <cfRule type="cellIs" dxfId="33716" priority="1305" operator="equal">
      <formula>0</formula>
    </cfRule>
    <cfRule type="cellIs" dxfId="33715" priority="1306" operator="greaterThan">
      <formula>0</formula>
    </cfRule>
  </conditionalFormatting>
  <conditionalFormatting sqref="X56:AC56">
    <cfRule type="cellIs" dxfId="33714" priority="1299" operator="equal">
      <formula>"PMS"</formula>
    </cfRule>
    <cfRule type="containsText" dxfId="33713" priority="1300" operator="containsText" text="CMS">
      <formula>NOT(ISERROR(SEARCH("CMS",X56)))</formula>
    </cfRule>
    <cfRule type="cellIs" dxfId="33712" priority="1301" operator="equal">
      <formula>0</formula>
    </cfRule>
    <cfRule type="cellIs" dxfId="33711" priority="1302" operator="greaterThan">
      <formula>0</formula>
    </cfRule>
  </conditionalFormatting>
  <conditionalFormatting sqref="AB57:AC57">
    <cfRule type="cellIs" dxfId="33710" priority="1295" operator="equal">
      <formula>"PMS"</formula>
    </cfRule>
    <cfRule type="containsText" dxfId="33709" priority="1296" operator="containsText" text="CMS">
      <formula>NOT(ISERROR(SEARCH("CMS",AB57)))</formula>
    </cfRule>
    <cfRule type="cellIs" dxfId="33708" priority="1297" operator="equal">
      <formula>0</formula>
    </cfRule>
    <cfRule type="cellIs" dxfId="33707" priority="1298" operator="greaterThan">
      <formula>0</formula>
    </cfRule>
  </conditionalFormatting>
  <conditionalFormatting sqref="AB57:AC57">
    <cfRule type="cellIs" dxfId="33706" priority="1291" operator="equal">
      <formula>"PMS"</formula>
    </cfRule>
    <cfRule type="containsText" dxfId="33705" priority="1292" operator="containsText" text="CMS">
      <formula>NOT(ISERROR(SEARCH("CMS",AB57)))</formula>
    </cfRule>
    <cfRule type="cellIs" dxfId="33704" priority="1293" operator="equal">
      <formula>0</formula>
    </cfRule>
    <cfRule type="cellIs" dxfId="33703" priority="1294" operator="greaterThan">
      <formula>0</formula>
    </cfRule>
  </conditionalFormatting>
  <conditionalFormatting sqref="AB57:AC57">
    <cfRule type="cellIs" dxfId="33702" priority="1287" operator="equal">
      <formula>"PMS"</formula>
    </cfRule>
    <cfRule type="containsText" dxfId="33701" priority="1288" operator="containsText" text="CMS">
      <formula>NOT(ISERROR(SEARCH("CMS",AB57)))</formula>
    </cfRule>
    <cfRule type="cellIs" dxfId="33700" priority="1289" operator="equal">
      <formula>0</formula>
    </cfRule>
    <cfRule type="cellIs" dxfId="33699" priority="1290" operator="greaterThan">
      <formula>0</formula>
    </cfRule>
  </conditionalFormatting>
  <conditionalFormatting sqref="AB57:AC57">
    <cfRule type="cellIs" dxfId="33698" priority="1283" operator="equal">
      <formula>"PMS"</formula>
    </cfRule>
    <cfRule type="containsText" dxfId="33697" priority="1284" operator="containsText" text="CMS">
      <formula>NOT(ISERROR(SEARCH("CMS",AB57)))</formula>
    </cfRule>
    <cfRule type="cellIs" dxfId="33696" priority="1285" operator="equal">
      <formula>0</formula>
    </cfRule>
    <cfRule type="cellIs" dxfId="33695" priority="1286" operator="greaterThan">
      <formula>0</formula>
    </cfRule>
  </conditionalFormatting>
  <conditionalFormatting sqref="AB76:AB77">
    <cfRule type="cellIs" dxfId="33694" priority="1263" operator="equal">
      <formula>"PMS"</formula>
    </cfRule>
    <cfRule type="containsText" dxfId="33693" priority="1264" operator="containsText" text="CMS">
      <formula>NOT(ISERROR(SEARCH("CMS",AB76)))</formula>
    </cfRule>
    <cfRule type="cellIs" dxfId="33692" priority="1265" operator="equal">
      <formula>0</formula>
    </cfRule>
    <cfRule type="cellIs" dxfId="33691" priority="1266" operator="greaterThan">
      <formula>0</formula>
    </cfRule>
  </conditionalFormatting>
  <conditionalFormatting sqref="AB76:AB77">
    <cfRule type="cellIs" dxfId="33690" priority="1259" operator="equal">
      <formula>"PMS"</formula>
    </cfRule>
    <cfRule type="containsText" dxfId="33689" priority="1260" operator="containsText" text="CMS">
      <formula>NOT(ISERROR(SEARCH("CMS",AB76)))</formula>
    </cfRule>
    <cfRule type="cellIs" dxfId="33688" priority="1261" operator="equal">
      <formula>0</formula>
    </cfRule>
    <cfRule type="cellIs" dxfId="33687" priority="1262" operator="greaterThan">
      <formula>0</formula>
    </cfRule>
  </conditionalFormatting>
  <conditionalFormatting sqref="O43:O45">
    <cfRule type="cellIs" dxfId="33686" priority="1255" operator="equal">
      <formula>"PMS"</formula>
    </cfRule>
    <cfRule type="containsText" dxfId="33685" priority="1256" operator="containsText" text="CMS">
      <formula>NOT(ISERROR(SEARCH("CMS",O43)))</formula>
    </cfRule>
    <cfRule type="cellIs" dxfId="33684" priority="1257" operator="equal">
      <formula>0</formula>
    </cfRule>
    <cfRule type="cellIs" dxfId="33683" priority="1258" operator="greaterThan">
      <formula>0</formula>
    </cfRule>
  </conditionalFormatting>
  <conditionalFormatting sqref="O54:O55">
    <cfRule type="cellIs" dxfId="33682" priority="1251" operator="equal">
      <formula>"PMS"</formula>
    </cfRule>
    <cfRule type="containsText" dxfId="33681" priority="1252" operator="containsText" text="CMS">
      <formula>NOT(ISERROR(SEARCH("CMS",O54)))</formula>
    </cfRule>
    <cfRule type="cellIs" dxfId="33680" priority="1253" operator="equal">
      <formula>0</formula>
    </cfRule>
    <cfRule type="cellIs" dxfId="33679" priority="1254" operator="greaterThan">
      <formula>0</formula>
    </cfRule>
  </conditionalFormatting>
  <conditionalFormatting sqref="O48">
    <cfRule type="cellIs" dxfId="33678" priority="1247" operator="equal">
      <formula>"PMS"</formula>
    </cfRule>
    <cfRule type="containsText" dxfId="33677" priority="1248" operator="containsText" text="CMS">
      <formula>NOT(ISERROR(SEARCH("CMS",O48)))</formula>
    </cfRule>
    <cfRule type="cellIs" dxfId="33676" priority="1249" operator="equal">
      <formula>0</formula>
    </cfRule>
    <cfRule type="cellIs" dxfId="33675" priority="1250" operator="greaterThan">
      <formula>0</formula>
    </cfRule>
  </conditionalFormatting>
  <conditionalFormatting sqref="O54:O56">
    <cfRule type="cellIs" dxfId="33674" priority="1243" operator="equal">
      <formula>"PMS"</formula>
    </cfRule>
    <cfRule type="containsText" dxfId="33673" priority="1244" operator="containsText" text="CMS">
      <formula>NOT(ISERROR(SEARCH("CMS",O54)))</formula>
    </cfRule>
    <cfRule type="cellIs" dxfId="33672" priority="1245" operator="equal">
      <formula>0</formula>
    </cfRule>
    <cfRule type="cellIs" dxfId="33671" priority="1246" operator="greaterThan">
      <formula>0</formula>
    </cfRule>
  </conditionalFormatting>
  <conditionalFormatting sqref="Q24:U24">
    <cfRule type="cellIs" dxfId="33670" priority="1239" operator="equal">
      <formula>"PMS"</formula>
    </cfRule>
    <cfRule type="containsText" dxfId="33669" priority="1240" operator="containsText" text="CMS">
      <formula>NOT(ISERROR(SEARCH("CMS",Q24)))</formula>
    </cfRule>
    <cfRule type="cellIs" dxfId="33668" priority="1241" operator="equal">
      <formula>0</formula>
    </cfRule>
    <cfRule type="cellIs" dxfId="33667" priority="1242" operator="greaterThan">
      <formula>0</formula>
    </cfRule>
  </conditionalFormatting>
  <conditionalFormatting sqref="Q24:U24">
    <cfRule type="cellIs" dxfId="33666" priority="1235" operator="equal">
      <formula>"PMS"</formula>
    </cfRule>
    <cfRule type="containsText" dxfId="33665" priority="1236" operator="containsText" text="CMS">
      <formula>NOT(ISERROR(SEARCH("CMS",Q24)))</formula>
    </cfRule>
    <cfRule type="cellIs" dxfId="33664" priority="1237" operator="equal">
      <formula>0</formula>
    </cfRule>
    <cfRule type="cellIs" dxfId="33663" priority="1238" operator="greaterThan">
      <formula>0</formula>
    </cfRule>
  </conditionalFormatting>
  <conditionalFormatting sqref="Q27:U28">
    <cfRule type="cellIs" dxfId="33662" priority="1231" operator="equal">
      <formula>"PMS"</formula>
    </cfRule>
    <cfRule type="containsText" dxfId="33661" priority="1232" operator="containsText" text="CMS">
      <formula>NOT(ISERROR(SEARCH("CMS",Q27)))</formula>
    </cfRule>
    <cfRule type="cellIs" dxfId="33660" priority="1233" operator="equal">
      <formula>0</formula>
    </cfRule>
    <cfRule type="cellIs" dxfId="33659" priority="1234" operator="greaterThan">
      <formula>0</formula>
    </cfRule>
  </conditionalFormatting>
  <conditionalFormatting sqref="Q27:U28">
    <cfRule type="cellIs" dxfId="33658" priority="1227" operator="equal">
      <formula>"PMS"</formula>
    </cfRule>
    <cfRule type="containsText" dxfId="33657" priority="1228" operator="containsText" text="CMS">
      <formula>NOT(ISERROR(SEARCH("CMS",Q27)))</formula>
    </cfRule>
    <cfRule type="cellIs" dxfId="33656" priority="1229" operator="equal">
      <formula>0</formula>
    </cfRule>
    <cfRule type="cellIs" dxfId="33655" priority="1230" operator="greaterThan">
      <formula>0</formula>
    </cfRule>
  </conditionalFormatting>
  <conditionalFormatting sqref="R27:U28">
    <cfRule type="cellIs" dxfId="33654" priority="1223" operator="equal">
      <formula>"PMS"</formula>
    </cfRule>
    <cfRule type="containsText" dxfId="33653" priority="1224" operator="containsText" text="CMS">
      <formula>NOT(ISERROR(SEARCH("CMS",R27)))</formula>
    </cfRule>
    <cfRule type="cellIs" dxfId="33652" priority="1225" operator="equal">
      <formula>0</formula>
    </cfRule>
    <cfRule type="cellIs" dxfId="33651" priority="1226" operator="greaterThan">
      <formula>0</formula>
    </cfRule>
  </conditionalFormatting>
  <conditionalFormatting sqref="R27:U28">
    <cfRule type="cellIs" dxfId="33650" priority="1219" operator="equal">
      <formula>"PMS"</formula>
    </cfRule>
    <cfRule type="containsText" dxfId="33649" priority="1220" operator="containsText" text="CMS">
      <formula>NOT(ISERROR(SEARCH("CMS",R27)))</formula>
    </cfRule>
    <cfRule type="cellIs" dxfId="33648" priority="1221" operator="equal">
      <formula>0</formula>
    </cfRule>
    <cfRule type="cellIs" dxfId="33647" priority="1222" operator="greaterThan">
      <formula>0</formula>
    </cfRule>
  </conditionalFormatting>
  <conditionalFormatting sqref="O54:O55">
    <cfRule type="cellIs" dxfId="33646" priority="1215" operator="equal">
      <formula>"PMS"</formula>
    </cfRule>
    <cfRule type="containsText" dxfId="33645" priority="1216" operator="containsText" text="CMS">
      <formula>NOT(ISERROR(SEARCH("CMS",O54)))</formula>
    </cfRule>
    <cfRule type="cellIs" dxfId="33644" priority="1217" operator="equal">
      <formula>0</formula>
    </cfRule>
    <cfRule type="cellIs" dxfId="33643" priority="1218" operator="greaterThan">
      <formula>0</formula>
    </cfRule>
  </conditionalFormatting>
  <conditionalFormatting sqref="O44">
    <cfRule type="cellIs" dxfId="33642" priority="1211" operator="equal">
      <formula>"PMS"</formula>
    </cfRule>
    <cfRule type="containsText" dxfId="33641" priority="1212" operator="containsText" text="CMS">
      <formula>NOT(ISERROR(SEARCH("CMS",O44)))</formula>
    </cfRule>
    <cfRule type="cellIs" dxfId="33640" priority="1213" operator="equal">
      <formula>0</formula>
    </cfRule>
    <cfRule type="cellIs" dxfId="33639" priority="1214" operator="greaterThan">
      <formula>0</formula>
    </cfRule>
  </conditionalFormatting>
  <conditionalFormatting sqref="O44">
    <cfRule type="cellIs" dxfId="33638" priority="1207" operator="equal">
      <formula>"PMS"</formula>
    </cfRule>
    <cfRule type="containsText" dxfId="33637" priority="1208" operator="containsText" text="CMS">
      <formula>NOT(ISERROR(SEARCH("CMS",O44)))</formula>
    </cfRule>
    <cfRule type="cellIs" dxfId="33636" priority="1209" operator="equal">
      <formula>0</formula>
    </cfRule>
    <cfRule type="cellIs" dxfId="33635" priority="1210" operator="greaterThan">
      <formula>0</formula>
    </cfRule>
  </conditionalFormatting>
  <conditionalFormatting sqref="O44">
    <cfRule type="cellIs" dxfId="33634" priority="1203" operator="equal">
      <formula>"PMS"</formula>
    </cfRule>
    <cfRule type="containsText" dxfId="33633" priority="1204" operator="containsText" text="CMS">
      <formula>NOT(ISERROR(SEARCH("CMS",O44)))</formula>
    </cfRule>
    <cfRule type="cellIs" dxfId="33632" priority="1205" operator="equal">
      <formula>0</formula>
    </cfRule>
    <cfRule type="cellIs" dxfId="33631" priority="1206" operator="greaterThan">
      <formula>0</formula>
    </cfRule>
  </conditionalFormatting>
  <conditionalFormatting sqref="O45">
    <cfRule type="cellIs" dxfId="33630" priority="1199" operator="equal">
      <formula>"PMS"</formula>
    </cfRule>
    <cfRule type="containsText" dxfId="33629" priority="1200" operator="containsText" text="CMS">
      <formula>NOT(ISERROR(SEARCH("CMS",O45)))</formula>
    </cfRule>
    <cfRule type="cellIs" dxfId="33628" priority="1201" operator="equal">
      <formula>0</formula>
    </cfRule>
    <cfRule type="cellIs" dxfId="33627" priority="1202" operator="greaterThan">
      <formula>0</formula>
    </cfRule>
  </conditionalFormatting>
  <conditionalFormatting sqref="O45">
    <cfRule type="cellIs" dxfId="33626" priority="1195" operator="equal">
      <formula>"PMS"</formula>
    </cfRule>
    <cfRule type="containsText" dxfId="33625" priority="1196" operator="containsText" text="CMS">
      <formula>NOT(ISERROR(SEARCH("CMS",O45)))</formula>
    </cfRule>
    <cfRule type="cellIs" dxfId="33624" priority="1197" operator="equal">
      <formula>0</formula>
    </cfRule>
    <cfRule type="cellIs" dxfId="33623" priority="1198" operator="greaterThan">
      <formula>0</formula>
    </cfRule>
  </conditionalFormatting>
  <conditionalFormatting sqref="O45">
    <cfRule type="cellIs" dxfId="33622" priority="1191" operator="equal">
      <formula>"PMS"</formula>
    </cfRule>
    <cfRule type="containsText" dxfId="33621" priority="1192" operator="containsText" text="CMS">
      <formula>NOT(ISERROR(SEARCH("CMS",O45)))</formula>
    </cfRule>
    <cfRule type="cellIs" dxfId="33620" priority="1193" operator="equal">
      <formula>0</formula>
    </cfRule>
    <cfRule type="cellIs" dxfId="33619" priority="1194" operator="greaterThan">
      <formula>0</formula>
    </cfRule>
  </conditionalFormatting>
  <conditionalFormatting sqref="H19:AC19">
    <cfRule type="cellIs" dxfId="33618" priority="1183" operator="equal">
      <formula>"CMS"</formula>
    </cfRule>
    <cfRule type="cellIs" dxfId="33617" priority="1184" operator="equal">
      <formula>"PMS"</formula>
    </cfRule>
    <cfRule type="cellIs" dxfId="33616" priority="1185" operator="greaterThan">
      <formula>0</formula>
    </cfRule>
    <cfRule type="cellIs" dxfId="33615" priority="1186" operator="equal">
      <formula>0</formula>
    </cfRule>
  </conditionalFormatting>
  <conditionalFormatting sqref="H31">
    <cfRule type="cellIs" dxfId="33614" priority="1179" operator="equal">
      <formula>"CMS"</formula>
    </cfRule>
    <cfRule type="cellIs" dxfId="33613" priority="1180" operator="equal">
      <formula>"PMS"</formula>
    </cfRule>
    <cfRule type="cellIs" dxfId="33612" priority="1181" operator="greaterThan">
      <formula>0</formula>
    </cfRule>
    <cfRule type="cellIs" dxfId="33611" priority="1182" operator="equal">
      <formula>0</formula>
    </cfRule>
  </conditionalFormatting>
  <conditionalFormatting sqref="G60">
    <cfRule type="cellIs" dxfId="33610" priority="1175" operator="equal">
      <formula>"CMS"</formula>
    </cfRule>
    <cfRule type="cellIs" dxfId="33609" priority="1176" operator="equal">
      <formula>"PMS"</formula>
    </cfRule>
    <cfRule type="cellIs" dxfId="33608" priority="1177" operator="greaterThan">
      <formula>0</formula>
    </cfRule>
    <cfRule type="cellIs" dxfId="33607" priority="1178" operator="equal">
      <formula>0</formula>
    </cfRule>
  </conditionalFormatting>
  <conditionalFormatting sqref="G77">
    <cfRule type="cellIs" dxfId="33606" priority="1170" operator="equal">
      <formula>"EOC"</formula>
    </cfRule>
    <cfRule type="cellIs" dxfId="33605" priority="1171" operator="equal">
      <formula>"CMS"</formula>
    </cfRule>
    <cfRule type="cellIs" dxfId="33604" priority="1172" operator="equal">
      <formula>"PMS"</formula>
    </cfRule>
    <cfRule type="cellIs" dxfId="33603" priority="1173" operator="greaterThan">
      <formula>0</formula>
    </cfRule>
    <cfRule type="cellIs" dxfId="33602" priority="1174" operator="equal">
      <formula>0</formula>
    </cfRule>
  </conditionalFormatting>
  <conditionalFormatting sqref="F105">
    <cfRule type="cellIs" dxfId="33601" priority="1169" operator="greaterThan">
      <formula>60.3</formula>
    </cfRule>
  </conditionalFormatting>
  <conditionalFormatting sqref="G35:G43 G48:G51 G46">
    <cfRule type="cellIs" dxfId="33600" priority="1161" operator="equal">
      <formula>"PMS"</formula>
    </cfRule>
    <cfRule type="containsText" dxfId="33599" priority="1162" operator="containsText" text="CMS">
      <formula>NOT(ISERROR(SEARCH("CMS",G35)))</formula>
    </cfRule>
    <cfRule type="cellIs" dxfId="33598" priority="1163" operator="equal">
      <formula>0</formula>
    </cfRule>
    <cfRule type="cellIs" dxfId="33597" priority="1164" operator="greaterThan">
      <formula>0</formula>
    </cfRule>
    <cfRule type="cellIs" dxfId="33596" priority="1165" operator="equal">
      <formula>"PMS"</formula>
    </cfRule>
    <cfRule type="containsText" dxfId="33595" priority="1166" operator="containsText" text="CMS">
      <formula>NOT(ISERROR(SEARCH("CMS",G35)))</formula>
    </cfRule>
    <cfRule type="cellIs" dxfId="33594" priority="1167" operator="equal">
      <formula>0</formula>
    </cfRule>
    <cfRule type="cellIs" dxfId="33593" priority="1168" operator="greaterThan">
      <formula>0</formula>
    </cfRule>
  </conditionalFormatting>
  <conditionalFormatting sqref="G35:G43 G48:G51 G46">
    <cfRule type="cellIs" dxfId="33592" priority="1157" operator="equal">
      <formula>"PMS"</formula>
    </cfRule>
    <cfRule type="containsText" dxfId="33591" priority="1158" operator="containsText" text="CMS">
      <formula>NOT(ISERROR(SEARCH("CMS",G35)))</formula>
    </cfRule>
    <cfRule type="cellIs" dxfId="33590" priority="1159" operator="equal">
      <formula>0</formula>
    </cfRule>
    <cfRule type="cellIs" dxfId="33589" priority="1160" operator="greaterThan">
      <formula>0</formula>
    </cfRule>
  </conditionalFormatting>
  <conditionalFormatting sqref="G35:G43 G48:G51 G46">
    <cfRule type="cellIs" dxfId="33588" priority="1153" operator="equal">
      <formula>"PMS"</formula>
    </cfRule>
    <cfRule type="containsText" dxfId="33587" priority="1154" operator="containsText" text="CMS">
      <formula>NOT(ISERROR(SEARCH("CMS",G35)))</formula>
    </cfRule>
    <cfRule type="cellIs" dxfId="33586" priority="1155" operator="equal">
      <formula>0</formula>
    </cfRule>
    <cfRule type="cellIs" dxfId="33585" priority="1156" operator="greaterThan">
      <formula>0</formula>
    </cfRule>
  </conditionalFormatting>
  <conditionalFormatting sqref="H34:H38">
    <cfRule type="cellIs" dxfId="33584" priority="1145" operator="equal">
      <formula>"PMS"</formula>
    </cfRule>
    <cfRule type="containsText" dxfId="33583" priority="1146" operator="containsText" text="CMS">
      <formula>NOT(ISERROR(SEARCH("CMS",H34)))</formula>
    </cfRule>
    <cfRule type="cellIs" dxfId="33582" priority="1147" operator="equal">
      <formula>0</formula>
    </cfRule>
    <cfRule type="cellIs" dxfId="33581" priority="1148" operator="greaterThan">
      <formula>0</formula>
    </cfRule>
    <cfRule type="cellIs" dxfId="33580" priority="1149" operator="equal">
      <formula>"PMS"</formula>
    </cfRule>
    <cfRule type="containsText" dxfId="33579" priority="1150" operator="containsText" text="CMS">
      <formula>NOT(ISERROR(SEARCH("CMS",H34)))</formula>
    </cfRule>
    <cfRule type="cellIs" dxfId="33578" priority="1151" operator="equal">
      <formula>0</formula>
    </cfRule>
    <cfRule type="cellIs" dxfId="33577" priority="1152" operator="greaterThan">
      <formula>0</formula>
    </cfRule>
  </conditionalFormatting>
  <conditionalFormatting sqref="H34:H38">
    <cfRule type="cellIs" dxfId="33576" priority="1141" operator="equal">
      <formula>"PMS"</formula>
    </cfRule>
    <cfRule type="containsText" dxfId="33575" priority="1142" operator="containsText" text="CMS">
      <formula>NOT(ISERROR(SEARCH("CMS",H34)))</formula>
    </cfRule>
    <cfRule type="cellIs" dxfId="33574" priority="1143" operator="equal">
      <formula>0</formula>
    </cfRule>
    <cfRule type="cellIs" dxfId="33573" priority="1144" operator="greaterThan">
      <formula>0</formula>
    </cfRule>
  </conditionalFormatting>
  <conditionalFormatting sqref="H34:H38">
    <cfRule type="cellIs" dxfId="33572" priority="1137" operator="equal">
      <formula>"PMS"</formula>
    </cfRule>
    <cfRule type="containsText" dxfId="33571" priority="1138" operator="containsText" text="CMS">
      <formula>NOT(ISERROR(SEARCH("CMS",H34)))</formula>
    </cfRule>
    <cfRule type="cellIs" dxfId="33570" priority="1139" operator="equal">
      <formula>0</formula>
    </cfRule>
    <cfRule type="cellIs" dxfId="33569" priority="1140" operator="greaterThan">
      <formula>0</formula>
    </cfRule>
  </conditionalFormatting>
  <conditionalFormatting sqref="I34:I38">
    <cfRule type="cellIs" dxfId="33568" priority="1129" operator="equal">
      <formula>"PMS"</formula>
    </cfRule>
    <cfRule type="containsText" dxfId="33567" priority="1130" operator="containsText" text="CMS">
      <formula>NOT(ISERROR(SEARCH("CMS",I34)))</formula>
    </cfRule>
    <cfRule type="cellIs" dxfId="33566" priority="1131" operator="equal">
      <formula>0</formula>
    </cfRule>
    <cfRule type="cellIs" dxfId="33565" priority="1132" operator="greaterThan">
      <formula>0</formula>
    </cfRule>
    <cfRule type="cellIs" dxfId="33564" priority="1133" operator="equal">
      <formula>"PMS"</formula>
    </cfRule>
    <cfRule type="containsText" dxfId="33563" priority="1134" operator="containsText" text="CMS">
      <formula>NOT(ISERROR(SEARCH("CMS",I34)))</formula>
    </cfRule>
    <cfRule type="cellIs" dxfId="33562" priority="1135" operator="equal">
      <formula>0</formula>
    </cfRule>
    <cfRule type="cellIs" dxfId="33561" priority="1136" operator="greaterThan">
      <formula>0</formula>
    </cfRule>
  </conditionalFormatting>
  <conditionalFormatting sqref="I34:I38">
    <cfRule type="cellIs" dxfId="33560" priority="1125" operator="equal">
      <formula>"PMS"</formula>
    </cfRule>
    <cfRule type="containsText" dxfId="33559" priority="1126" operator="containsText" text="CMS">
      <formula>NOT(ISERROR(SEARCH("CMS",I34)))</formula>
    </cfRule>
    <cfRule type="cellIs" dxfId="33558" priority="1127" operator="equal">
      <formula>0</formula>
    </cfRule>
    <cfRule type="cellIs" dxfId="33557" priority="1128" operator="greaterThan">
      <formula>0</formula>
    </cfRule>
  </conditionalFormatting>
  <conditionalFormatting sqref="I34:I38">
    <cfRule type="cellIs" dxfId="33556" priority="1121" operator="equal">
      <formula>"PMS"</formula>
    </cfRule>
    <cfRule type="containsText" dxfId="33555" priority="1122" operator="containsText" text="CMS">
      <formula>NOT(ISERROR(SEARCH("CMS",I34)))</formula>
    </cfRule>
    <cfRule type="cellIs" dxfId="33554" priority="1123" operator="equal">
      <formula>0</formula>
    </cfRule>
    <cfRule type="cellIs" dxfId="33553" priority="1124" operator="greaterThan">
      <formula>0</formula>
    </cfRule>
  </conditionalFormatting>
  <conditionalFormatting sqref="O48">
    <cfRule type="cellIs" dxfId="33552" priority="1117" operator="equal">
      <formula>"PMS"</formula>
    </cfRule>
    <cfRule type="containsText" dxfId="33551" priority="1118" operator="containsText" text="CMS">
      <formula>NOT(ISERROR(SEARCH("CMS",O48)))</formula>
    </cfRule>
    <cfRule type="cellIs" dxfId="33550" priority="1119" operator="equal">
      <formula>0</formula>
    </cfRule>
    <cfRule type="cellIs" dxfId="33549" priority="1120" operator="greaterThan">
      <formula>0</formula>
    </cfRule>
  </conditionalFormatting>
  <conditionalFormatting sqref="O54:O55">
    <cfRule type="cellIs" dxfId="33548" priority="1113" operator="equal">
      <formula>"PMS"</formula>
    </cfRule>
    <cfRule type="containsText" dxfId="33547" priority="1114" operator="containsText" text="CMS">
      <formula>NOT(ISERROR(SEARCH("CMS",O54)))</formula>
    </cfRule>
    <cfRule type="cellIs" dxfId="33546" priority="1115" operator="equal">
      <formula>0</formula>
    </cfRule>
    <cfRule type="cellIs" dxfId="33545" priority="1116" operator="greaterThan">
      <formula>0</formula>
    </cfRule>
  </conditionalFormatting>
  <conditionalFormatting sqref="O56">
    <cfRule type="cellIs" dxfId="33544" priority="1109" operator="equal">
      <formula>"PMS"</formula>
    </cfRule>
    <cfRule type="containsText" dxfId="33543" priority="1110" operator="containsText" text="CMS">
      <formula>NOT(ISERROR(SEARCH("CMS",O56)))</formula>
    </cfRule>
    <cfRule type="cellIs" dxfId="33542" priority="1111" operator="equal">
      <formula>0</formula>
    </cfRule>
    <cfRule type="cellIs" dxfId="33541" priority="1112" operator="greaterThan">
      <formula>0</formula>
    </cfRule>
  </conditionalFormatting>
  <conditionalFormatting sqref="O48">
    <cfRule type="cellIs" dxfId="33540" priority="1105" operator="equal">
      <formula>"PMS"</formula>
    </cfRule>
    <cfRule type="containsText" dxfId="33539" priority="1106" operator="containsText" text="CMS">
      <formula>NOT(ISERROR(SEARCH("CMS",O48)))</formula>
    </cfRule>
    <cfRule type="cellIs" dxfId="33538" priority="1107" operator="equal">
      <formula>0</formula>
    </cfRule>
    <cfRule type="cellIs" dxfId="33537" priority="1108" operator="greaterThan">
      <formula>0</formula>
    </cfRule>
  </conditionalFormatting>
  <conditionalFormatting sqref="O54:O56">
    <cfRule type="cellIs" dxfId="33536" priority="1101" operator="equal">
      <formula>"PMS"</formula>
    </cfRule>
    <cfRule type="containsText" dxfId="33535" priority="1102" operator="containsText" text="CMS">
      <formula>NOT(ISERROR(SEARCH("CMS",O54)))</formula>
    </cfRule>
    <cfRule type="cellIs" dxfId="33534" priority="1103" operator="equal">
      <formula>0</formula>
    </cfRule>
    <cfRule type="cellIs" dxfId="33533" priority="1104" operator="greaterThan">
      <formula>0</formula>
    </cfRule>
  </conditionalFormatting>
  <conditionalFormatting sqref="O48">
    <cfRule type="cellIs" dxfId="33532" priority="1097" operator="equal">
      <formula>"PMS"</formula>
    </cfRule>
    <cfRule type="containsText" dxfId="33531" priority="1098" operator="containsText" text="CMS">
      <formula>NOT(ISERROR(SEARCH("CMS",O48)))</formula>
    </cfRule>
    <cfRule type="cellIs" dxfId="33530" priority="1099" operator="equal">
      <formula>0</formula>
    </cfRule>
    <cfRule type="cellIs" dxfId="33529" priority="1100" operator="greaterThan">
      <formula>0</formula>
    </cfRule>
  </conditionalFormatting>
  <conditionalFormatting sqref="O54:O56">
    <cfRule type="cellIs" dxfId="33528" priority="1093" operator="equal">
      <formula>"PMS"</formula>
    </cfRule>
    <cfRule type="containsText" dxfId="33527" priority="1094" operator="containsText" text="CMS">
      <formula>NOT(ISERROR(SEARCH("CMS",O54)))</formula>
    </cfRule>
    <cfRule type="cellIs" dxfId="33526" priority="1095" operator="equal">
      <formula>0</formula>
    </cfRule>
    <cfRule type="cellIs" dxfId="33525" priority="1096" operator="greaterThan">
      <formula>0</formula>
    </cfRule>
  </conditionalFormatting>
  <conditionalFormatting sqref="V14:V16">
    <cfRule type="cellIs" dxfId="33524" priority="1089" operator="equal">
      <formula>"PMS"</formula>
    </cfRule>
    <cfRule type="containsText" dxfId="33523" priority="1090" operator="containsText" text="CMS">
      <formula>NOT(ISERROR(SEARCH("CMS",V14)))</formula>
    </cfRule>
    <cfRule type="cellIs" dxfId="33522" priority="1091" operator="equal">
      <formula>0</formula>
    </cfRule>
    <cfRule type="cellIs" dxfId="33521" priority="1092" operator="greaterThan">
      <formula>0</formula>
    </cfRule>
  </conditionalFormatting>
  <conditionalFormatting sqref="V14:V16">
    <cfRule type="cellIs" dxfId="33520" priority="1085" operator="equal">
      <formula>"PMS"</formula>
    </cfRule>
    <cfRule type="containsText" dxfId="33519" priority="1086" operator="containsText" text="CMS">
      <formula>NOT(ISERROR(SEARCH("CMS",V14)))</formula>
    </cfRule>
    <cfRule type="cellIs" dxfId="33518" priority="1087" operator="equal">
      <formula>0</formula>
    </cfRule>
    <cfRule type="cellIs" dxfId="33517" priority="1088" operator="greaterThan">
      <formula>0</formula>
    </cfRule>
  </conditionalFormatting>
  <conditionalFormatting sqref="W14:W16">
    <cfRule type="cellIs" dxfId="33516" priority="1081" operator="equal">
      <formula>"PMS"</formula>
    </cfRule>
    <cfRule type="containsText" dxfId="33515" priority="1082" operator="containsText" text="CMS">
      <formula>NOT(ISERROR(SEARCH("CMS",W14)))</formula>
    </cfRule>
    <cfRule type="cellIs" dxfId="33514" priority="1083" operator="equal">
      <formula>0</formula>
    </cfRule>
    <cfRule type="cellIs" dxfId="33513" priority="1084" operator="greaterThan">
      <formula>0</formula>
    </cfRule>
  </conditionalFormatting>
  <conditionalFormatting sqref="W14:W16">
    <cfRule type="cellIs" dxfId="33512" priority="1077" operator="equal">
      <formula>"PMS"</formula>
    </cfRule>
    <cfRule type="containsText" dxfId="33511" priority="1078" operator="containsText" text="CMS">
      <formula>NOT(ISERROR(SEARCH("CMS",W14)))</formula>
    </cfRule>
    <cfRule type="cellIs" dxfId="33510" priority="1079" operator="equal">
      <formula>0</formula>
    </cfRule>
    <cfRule type="cellIs" dxfId="33509" priority="1080" operator="greaterThan">
      <formula>0</formula>
    </cfRule>
  </conditionalFormatting>
  <conditionalFormatting sqref="X16">
    <cfRule type="cellIs" dxfId="33508" priority="1073" operator="equal">
      <formula>"PMS"</formula>
    </cfRule>
    <cfRule type="containsText" dxfId="33507" priority="1074" operator="containsText" text="CMS">
      <formula>NOT(ISERROR(SEARCH("CMS",X16)))</formula>
    </cfRule>
    <cfRule type="cellIs" dxfId="33506" priority="1075" operator="equal">
      <formula>0</formula>
    </cfRule>
    <cfRule type="cellIs" dxfId="33505" priority="1076" operator="greaterThan">
      <formula>0</formula>
    </cfRule>
  </conditionalFormatting>
  <conditionalFormatting sqref="X16">
    <cfRule type="cellIs" dxfId="33504" priority="1069" operator="equal">
      <formula>"PMS"</formula>
    </cfRule>
    <cfRule type="containsText" dxfId="33503" priority="1070" operator="containsText" text="CMS">
      <formula>NOT(ISERROR(SEARCH("CMS",X16)))</formula>
    </cfRule>
    <cfRule type="cellIs" dxfId="33502" priority="1071" operator="equal">
      <formula>0</formula>
    </cfRule>
    <cfRule type="cellIs" dxfId="33501" priority="1072" operator="greaterThan">
      <formula>0</formula>
    </cfRule>
  </conditionalFormatting>
  <conditionalFormatting sqref="O48">
    <cfRule type="cellIs" dxfId="33500" priority="1065" operator="equal">
      <formula>"PMS"</formula>
    </cfRule>
    <cfRule type="containsText" dxfId="33499" priority="1066" operator="containsText" text="CMS">
      <formula>NOT(ISERROR(SEARCH("CMS",O48)))</formula>
    </cfRule>
    <cfRule type="cellIs" dxfId="33498" priority="1067" operator="equal">
      <formula>0</formula>
    </cfRule>
    <cfRule type="cellIs" dxfId="33497" priority="1068" operator="greaterThan">
      <formula>0</formula>
    </cfRule>
  </conditionalFormatting>
  <conditionalFormatting sqref="O55">
    <cfRule type="cellIs" dxfId="33496" priority="1061" operator="equal">
      <formula>"PMS"</formula>
    </cfRule>
    <cfRule type="containsText" dxfId="33495" priority="1062" operator="containsText" text="CMS">
      <formula>NOT(ISERROR(SEARCH("CMS",O55)))</formula>
    </cfRule>
    <cfRule type="cellIs" dxfId="33494" priority="1063" operator="equal">
      <formula>0</formula>
    </cfRule>
    <cfRule type="cellIs" dxfId="33493" priority="1064" operator="greaterThan">
      <formula>0</formula>
    </cfRule>
  </conditionalFormatting>
  <conditionalFormatting sqref="Z14">
    <cfRule type="cellIs" dxfId="33492" priority="1057" operator="equal">
      <formula>"PMS"</formula>
    </cfRule>
    <cfRule type="containsText" dxfId="33491" priority="1058" operator="containsText" text="CMS">
      <formula>NOT(ISERROR(SEARCH("CMS",Z14)))</formula>
    </cfRule>
    <cfRule type="cellIs" dxfId="33490" priority="1059" operator="equal">
      <formula>0</formula>
    </cfRule>
    <cfRule type="cellIs" dxfId="33489" priority="1060" operator="greaterThan">
      <formula>0</formula>
    </cfRule>
  </conditionalFormatting>
  <conditionalFormatting sqref="Z14">
    <cfRule type="cellIs" dxfId="33488" priority="1053" operator="equal">
      <formula>"PMS"</formula>
    </cfRule>
    <cfRule type="containsText" dxfId="33487" priority="1054" operator="containsText" text="CMS">
      <formula>NOT(ISERROR(SEARCH("CMS",Z14)))</formula>
    </cfRule>
    <cfRule type="cellIs" dxfId="33486" priority="1055" operator="equal">
      <formula>0</formula>
    </cfRule>
    <cfRule type="cellIs" dxfId="33485" priority="1056" operator="greaterThan">
      <formula>0</formula>
    </cfRule>
  </conditionalFormatting>
  <conditionalFormatting sqref="Z15">
    <cfRule type="cellIs" dxfId="33484" priority="1049" operator="equal">
      <formula>"PMS"</formula>
    </cfRule>
    <cfRule type="containsText" dxfId="33483" priority="1050" operator="containsText" text="CMS">
      <formula>NOT(ISERROR(SEARCH("CMS",Z15)))</formula>
    </cfRule>
    <cfRule type="cellIs" dxfId="33482" priority="1051" operator="equal">
      <formula>0</formula>
    </cfRule>
    <cfRule type="cellIs" dxfId="33481" priority="1052" operator="greaterThan">
      <formula>0</formula>
    </cfRule>
  </conditionalFormatting>
  <conditionalFormatting sqref="Z15">
    <cfRule type="cellIs" dxfId="33480" priority="1045" operator="equal">
      <formula>"PMS"</formula>
    </cfRule>
    <cfRule type="containsText" dxfId="33479" priority="1046" operator="containsText" text="CMS">
      <formula>NOT(ISERROR(SEARCH("CMS",Z15)))</formula>
    </cfRule>
    <cfRule type="cellIs" dxfId="33478" priority="1047" operator="equal">
      <formula>0</formula>
    </cfRule>
    <cfRule type="cellIs" dxfId="33477" priority="1048" operator="greaterThan">
      <formula>0</formula>
    </cfRule>
  </conditionalFormatting>
  <conditionalFormatting sqref="Z16">
    <cfRule type="cellIs" dxfId="33476" priority="1041" operator="equal">
      <formula>"PMS"</formula>
    </cfRule>
    <cfRule type="containsText" dxfId="33475" priority="1042" operator="containsText" text="CMS">
      <formula>NOT(ISERROR(SEARCH("CMS",Z16)))</formula>
    </cfRule>
    <cfRule type="cellIs" dxfId="33474" priority="1043" operator="equal">
      <formula>0</formula>
    </cfRule>
    <cfRule type="cellIs" dxfId="33473" priority="1044" operator="greaterThan">
      <formula>0</formula>
    </cfRule>
  </conditionalFormatting>
  <conditionalFormatting sqref="Z16">
    <cfRule type="cellIs" dxfId="33472" priority="1037" operator="equal">
      <formula>"PMS"</formula>
    </cfRule>
    <cfRule type="containsText" dxfId="33471" priority="1038" operator="containsText" text="CMS">
      <formula>NOT(ISERROR(SEARCH("CMS",Z16)))</formula>
    </cfRule>
    <cfRule type="cellIs" dxfId="33470" priority="1039" operator="equal">
      <formula>0</formula>
    </cfRule>
    <cfRule type="cellIs" dxfId="33469" priority="1040" operator="greaterThan">
      <formula>0</formula>
    </cfRule>
  </conditionalFormatting>
  <conditionalFormatting sqref="AA14">
    <cfRule type="cellIs" dxfId="33468" priority="1033" operator="equal">
      <formula>"PMS"</formula>
    </cfRule>
    <cfRule type="containsText" dxfId="33467" priority="1034" operator="containsText" text="CMS">
      <formula>NOT(ISERROR(SEARCH("CMS",AA14)))</formula>
    </cfRule>
    <cfRule type="cellIs" dxfId="33466" priority="1035" operator="equal">
      <formula>0</formula>
    </cfRule>
    <cfRule type="cellIs" dxfId="33465" priority="1036" operator="greaterThan">
      <formula>0</formula>
    </cfRule>
  </conditionalFormatting>
  <conditionalFormatting sqref="AA14">
    <cfRule type="cellIs" dxfId="33464" priority="1029" operator="equal">
      <formula>"PMS"</formula>
    </cfRule>
    <cfRule type="containsText" dxfId="33463" priority="1030" operator="containsText" text="CMS">
      <formula>NOT(ISERROR(SEARCH("CMS",AA14)))</formula>
    </cfRule>
    <cfRule type="cellIs" dxfId="33462" priority="1031" operator="equal">
      <formula>0</formula>
    </cfRule>
    <cfRule type="cellIs" dxfId="33461" priority="1032" operator="greaterThan">
      <formula>0</formula>
    </cfRule>
  </conditionalFormatting>
  <conditionalFormatting sqref="AA15">
    <cfRule type="cellIs" dxfId="33460" priority="1025" operator="equal">
      <formula>"PMS"</formula>
    </cfRule>
    <cfRule type="containsText" dxfId="33459" priority="1026" operator="containsText" text="CMS">
      <formula>NOT(ISERROR(SEARCH("CMS",AA15)))</formula>
    </cfRule>
    <cfRule type="cellIs" dxfId="33458" priority="1027" operator="equal">
      <formula>0</formula>
    </cfRule>
    <cfRule type="cellIs" dxfId="33457" priority="1028" operator="greaterThan">
      <formula>0</formula>
    </cfRule>
  </conditionalFormatting>
  <conditionalFormatting sqref="AA15">
    <cfRule type="cellIs" dxfId="33456" priority="1021" operator="equal">
      <formula>"PMS"</formula>
    </cfRule>
    <cfRule type="containsText" dxfId="33455" priority="1022" operator="containsText" text="CMS">
      <formula>NOT(ISERROR(SEARCH("CMS",AA15)))</formula>
    </cfRule>
    <cfRule type="cellIs" dxfId="33454" priority="1023" operator="equal">
      <formula>0</formula>
    </cfRule>
    <cfRule type="cellIs" dxfId="33453" priority="1024" operator="greaterThan">
      <formula>0</formula>
    </cfRule>
  </conditionalFormatting>
  <conditionalFormatting sqref="AA16">
    <cfRule type="cellIs" dxfId="33452" priority="1017" operator="equal">
      <formula>"PMS"</formula>
    </cfRule>
    <cfRule type="containsText" dxfId="33451" priority="1018" operator="containsText" text="CMS">
      <formula>NOT(ISERROR(SEARCH("CMS",AA16)))</formula>
    </cfRule>
    <cfRule type="cellIs" dxfId="33450" priority="1019" operator="equal">
      <formula>0</formula>
    </cfRule>
    <cfRule type="cellIs" dxfId="33449" priority="1020" operator="greaterThan">
      <formula>0</formula>
    </cfRule>
  </conditionalFormatting>
  <conditionalFormatting sqref="AA16">
    <cfRule type="cellIs" dxfId="33448" priority="1013" operator="equal">
      <formula>"PMS"</formula>
    </cfRule>
    <cfRule type="containsText" dxfId="33447" priority="1014" operator="containsText" text="CMS">
      <formula>NOT(ISERROR(SEARCH("CMS",AA16)))</formula>
    </cfRule>
    <cfRule type="cellIs" dxfId="33446" priority="1015" operator="equal">
      <formula>0</formula>
    </cfRule>
    <cfRule type="cellIs" dxfId="33445" priority="1016" operator="greaterThan">
      <formula>0</formula>
    </cfRule>
  </conditionalFormatting>
  <conditionalFormatting sqref="AA27">
    <cfRule type="cellIs" dxfId="33444" priority="1009" operator="equal">
      <formula>"PMS"</formula>
    </cfRule>
    <cfRule type="containsText" dxfId="33443" priority="1010" operator="containsText" text="CMS">
      <formula>NOT(ISERROR(SEARCH("CMS",AA27)))</formula>
    </cfRule>
    <cfRule type="cellIs" dxfId="33442" priority="1011" operator="equal">
      <formula>0</formula>
    </cfRule>
    <cfRule type="cellIs" dxfId="33441" priority="1012" operator="greaterThan">
      <formula>0</formula>
    </cfRule>
  </conditionalFormatting>
  <conditionalFormatting sqref="AA27">
    <cfRule type="cellIs" dxfId="33440" priority="1005" operator="equal">
      <formula>"PMS"</formula>
    </cfRule>
    <cfRule type="containsText" dxfId="33439" priority="1006" operator="containsText" text="CMS">
      <formula>NOT(ISERROR(SEARCH("CMS",AA27)))</formula>
    </cfRule>
    <cfRule type="cellIs" dxfId="33438" priority="1007" operator="equal">
      <formula>0</formula>
    </cfRule>
    <cfRule type="cellIs" dxfId="33437" priority="1008" operator="greaterThan">
      <formula>0</formula>
    </cfRule>
  </conditionalFormatting>
  <conditionalFormatting sqref="AA28">
    <cfRule type="cellIs" dxfId="33436" priority="1001" operator="equal">
      <formula>"PMS"</formula>
    </cfRule>
    <cfRule type="containsText" dxfId="33435" priority="1002" operator="containsText" text="CMS">
      <formula>NOT(ISERROR(SEARCH("CMS",AA28)))</formula>
    </cfRule>
    <cfRule type="cellIs" dxfId="33434" priority="1003" operator="equal">
      <formula>0</formula>
    </cfRule>
    <cfRule type="cellIs" dxfId="33433" priority="1004" operator="greaterThan">
      <formula>0</formula>
    </cfRule>
  </conditionalFormatting>
  <conditionalFormatting sqref="AA28">
    <cfRule type="cellIs" dxfId="33432" priority="997" operator="equal">
      <formula>"PMS"</formula>
    </cfRule>
    <cfRule type="containsText" dxfId="33431" priority="998" operator="containsText" text="CMS">
      <formula>NOT(ISERROR(SEARCH("CMS",AA28)))</formula>
    </cfRule>
    <cfRule type="cellIs" dxfId="33430" priority="999" operator="equal">
      <formula>0</formula>
    </cfRule>
    <cfRule type="cellIs" dxfId="33429" priority="1000" operator="greaterThan">
      <formula>0</formula>
    </cfRule>
  </conditionalFormatting>
  <conditionalFormatting sqref="AB13:AB14">
    <cfRule type="cellIs" dxfId="33428" priority="993" operator="equal">
      <formula>"PMS"</formula>
    </cfRule>
    <cfRule type="containsText" dxfId="33427" priority="994" operator="containsText" text="CMS">
      <formula>NOT(ISERROR(SEARCH("CMS",AB13)))</formula>
    </cfRule>
    <cfRule type="cellIs" dxfId="33426" priority="995" operator="equal">
      <formula>0</formula>
    </cfRule>
    <cfRule type="cellIs" dxfId="33425" priority="996" operator="greaterThan">
      <formula>0</formula>
    </cfRule>
  </conditionalFormatting>
  <conditionalFormatting sqref="AB13:AB14">
    <cfRule type="cellIs" dxfId="33424" priority="989" operator="equal">
      <formula>"PMS"</formula>
    </cfRule>
    <cfRule type="containsText" dxfId="33423" priority="990" operator="containsText" text="CMS">
      <formula>NOT(ISERROR(SEARCH("CMS",AB13)))</formula>
    </cfRule>
    <cfRule type="cellIs" dxfId="33422" priority="991" operator="equal">
      <formula>0</formula>
    </cfRule>
    <cfRule type="cellIs" dxfId="33421" priority="992" operator="greaterThan">
      <formula>0</formula>
    </cfRule>
  </conditionalFormatting>
  <conditionalFormatting sqref="AB15">
    <cfRule type="cellIs" dxfId="33420" priority="985" operator="equal">
      <formula>"PMS"</formula>
    </cfRule>
    <cfRule type="containsText" dxfId="33419" priority="986" operator="containsText" text="CMS">
      <formula>NOT(ISERROR(SEARCH("CMS",AB15)))</formula>
    </cfRule>
    <cfRule type="cellIs" dxfId="33418" priority="987" operator="equal">
      <formula>0</formula>
    </cfRule>
    <cfRule type="cellIs" dxfId="33417" priority="988" operator="greaterThan">
      <formula>0</formula>
    </cfRule>
  </conditionalFormatting>
  <conditionalFormatting sqref="AB15">
    <cfRule type="cellIs" dxfId="33416" priority="981" operator="equal">
      <formula>"PMS"</formula>
    </cfRule>
    <cfRule type="containsText" dxfId="33415" priority="982" operator="containsText" text="CMS">
      <formula>NOT(ISERROR(SEARCH("CMS",AB15)))</formula>
    </cfRule>
    <cfRule type="cellIs" dxfId="33414" priority="983" operator="equal">
      <formula>0</formula>
    </cfRule>
    <cfRule type="cellIs" dxfId="33413" priority="984" operator="greaterThan">
      <formula>0</formula>
    </cfRule>
  </conditionalFormatting>
  <conditionalFormatting sqref="AB16">
    <cfRule type="cellIs" dxfId="33412" priority="977" operator="equal">
      <formula>"PMS"</formula>
    </cfRule>
    <cfRule type="containsText" dxfId="33411" priority="978" operator="containsText" text="CMS">
      <formula>NOT(ISERROR(SEARCH("CMS",AB16)))</formula>
    </cfRule>
    <cfRule type="cellIs" dxfId="33410" priority="979" operator="equal">
      <formula>0</formula>
    </cfRule>
    <cfRule type="cellIs" dxfId="33409" priority="980" operator="greaterThan">
      <formula>0</formula>
    </cfRule>
  </conditionalFormatting>
  <conditionalFormatting sqref="AB16">
    <cfRule type="cellIs" dxfId="33408" priority="973" operator="equal">
      <formula>"PMS"</formula>
    </cfRule>
    <cfRule type="containsText" dxfId="33407" priority="974" operator="containsText" text="CMS">
      <formula>NOT(ISERROR(SEARCH("CMS",AB16)))</formula>
    </cfRule>
    <cfRule type="cellIs" dxfId="33406" priority="975" operator="equal">
      <formula>0</formula>
    </cfRule>
    <cfRule type="cellIs" dxfId="33405" priority="976" operator="greaterThan">
      <formula>0</formula>
    </cfRule>
  </conditionalFormatting>
  <conditionalFormatting sqref="J62">
    <cfRule type="cellIs" dxfId="33404" priority="965" operator="equal">
      <formula>"PMS"</formula>
    </cfRule>
    <cfRule type="containsText" dxfId="33403" priority="966" operator="containsText" text="CMS">
      <formula>NOT(ISERROR(SEARCH("CMS",J62)))</formula>
    </cfRule>
    <cfRule type="cellIs" dxfId="33402" priority="967" operator="equal">
      <formula>0</formula>
    </cfRule>
    <cfRule type="cellIs" dxfId="33401" priority="968" operator="greaterThan">
      <formula>0</formula>
    </cfRule>
    <cfRule type="cellIs" dxfId="33400" priority="969" operator="equal">
      <formula>"PMS"</formula>
    </cfRule>
    <cfRule type="containsText" dxfId="33399" priority="970" operator="containsText" text="CMS">
      <formula>NOT(ISERROR(SEARCH("CMS",J62)))</formula>
    </cfRule>
    <cfRule type="cellIs" dxfId="33398" priority="971" operator="equal">
      <formula>0</formula>
    </cfRule>
    <cfRule type="cellIs" dxfId="33397" priority="972" operator="greaterThan">
      <formula>0</formula>
    </cfRule>
  </conditionalFormatting>
  <conditionalFormatting sqref="J60:J61">
    <cfRule type="cellIs" dxfId="33396" priority="957" operator="equal">
      <formula>"PMS"</formula>
    </cfRule>
    <cfRule type="containsText" dxfId="33395" priority="958" operator="containsText" text="CMS">
      <formula>NOT(ISERROR(SEARCH("CMS",J60)))</formula>
    </cfRule>
    <cfRule type="cellIs" dxfId="33394" priority="959" operator="equal">
      <formula>0</formula>
    </cfRule>
    <cfRule type="cellIs" dxfId="33393" priority="960" operator="greaterThan">
      <formula>0</formula>
    </cfRule>
    <cfRule type="cellIs" dxfId="33392" priority="961" operator="equal">
      <formula>"PMS"</formula>
    </cfRule>
    <cfRule type="containsText" dxfId="33391" priority="962" operator="containsText" text="CMS">
      <formula>NOT(ISERROR(SEARCH("CMS",J60)))</formula>
    </cfRule>
    <cfRule type="cellIs" dxfId="33390" priority="963" operator="equal">
      <formula>0</formula>
    </cfRule>
    <cfRule type="cellIs" dxfId="33389" priority="964" operator="greaterThan">
      <formula>0</formula>
    </cfRule>
  </conditionalFormatting>
  <conditionalFormatting sqref="V14">
    <cfRule type="cellIs" dxfId="33388" priority="953" operator="equal">
      <formula>"PMS"</formula>
    </cfRule>
    <cfRule type="containsText" dxfId="33387" priority="954" operator="containsText" text="CMS">
      <formula>NOT(ISERROR(SEARCH("CMS",V14)))</formula>
    </cfRule>
    <cfRule type="cellIs" dxfId="33386" priority="955" operator="equal">
      <formula>0</formula>
    </cfRule>
    <cfRule type="cellIs" dxfId="33385" priority="956" operator="greaterThan">
      <formula>0</formula>
    </cfRule>
  </conditionalFormatting>
  <conditionalFormatting sqref="V14">
    <cfRule type="cellIs" dxfId="33384" priority="949" operator="equal">
      <formula>"PMS"</formula>
    </cfRule>
    <cfRule type="containsText" dxfId="33383" priority="950" operator="containsText" text="CMS">
      <formula>NOT(ISERROR(SEARCH("CMS",V14)))</formula>
    </cfRule>
    <cfRule type="cellIs" dxfId="33382" priority="951" operator="equal">
      <formula>0</formula>
    </cfRule>
    <cfRule type="cellIs" dxfId="33381" priority="952" operator="greaterThan">
      <formula>0</formula>
    </cfRule>
  </conditionalFormatting>
  <conditionalFormatting sqref="V15">
    <cfRule type="cellIs" dxfId="33380" priority="945" operator="equal">
      <formula>"PMS"</formula>
    </cfRule>
    <cfRule type="containsText" dxfId="33379" priority="946" operator="containsText" text="CMS">
      <formula>NOT(ISERROR(SEARCH("CMS",V15)))</formula>
    </cfRule>
    <cfRule type="cellIs" dxfId="33378" priority="947" operator="equal">
      <formula>0</formula>
    </cfRule>
    <cfRule type="cellIs" dxfId="33377" priority="948" operator="greaterThan">
      <formula>0</formula>
    </cfRule>
  </conditionalFormatting>
  <conditionalFormatting sqref="V15">
    <cfRule type="cellIs" dxfId="33376" priority="941" operator="equal">
      <formula>"PMS"</formula>
    </cfRule>
    <cfRule type="containsText" dxfId="33375" priority="942" operator="containsText" text="CMS">
      <formula>NOT(ISERROR(SEARCH("CMS",V15)))</formula>
    </cfRule>
    <cfRule type="cellIs" dxfId="33374" priority="943" operator="equal">
      <formula>0</formula>
    </cfRule>
    <cfRule type="cellIs" dxfId="33373" priority="944" operator="greaterThan">
      <formula>0</formula>
    </cfRule>
  </conditionalFormatting>
  <conditionalFormatting sqref="V16">
    <cfRule type="cellIs" dxfId="33372" priority="937" operator="equal">
      <formula>"PMS"</formula>
    </cfRule>
    <cfRule type="containsText" dxfId="33371" priority="938" operator="containsText" text="CMS">
      <formula>NOT(ISERROR(SEARCH("CMS",V16)))</formula>
    </cfRule>
    <cfRule type="cellIs" dxfId="33370" priority="939" operator="equal">
      <formula>0</formula>
    </cfRule>
    <cfRule type="cellIs" dxfId="33369" priority="940" operator="greaterThan">
      <formula>0</formula>
    </cfRule>
  </conditionalFormatting>
  <conditionalFormatting sqref="V16">
    <cfRule type="cellIs" dxfId="33368" priority="933" operator="equal">
      <formula>"PMS"</formula>
    </cfRule>
    <cfRule type="containsText" dxfId="33367" priority="934" operator="containsText" text="CMS">
      <formula>NOT(ISERROR(SEARCH("CMS",V16)))</formula>
    </cfRule>
    <cfRule type="cellIs" dxfId="33366" priority="935" operator="equal">
      <formula>0</formula>
    </cfRule>
    <cfRule type="cellIs" dxfId="33365" priority="936" operator="greaterThan">
      <formula>0</formula>
    </cfRule>
  </conditionalFormatting>
  <conditionalFormatting sqref="W14">
    <cfRule type="cellIs" dxfId="33364" priority="929" operator="equal">
      <formula>"PMS"</formula>
    </cfRule>
    <cfRule type="containsText" dxfId="33363" priority="930" operator="containsText" text="CMS">
      <formula>NOT(ISERROR(SEARCH("CMS",W14)))</formula>
    </cfRule>
    <cfRule type="cellIs" dxfId="33362" priority="931" operator="equal">
      <formula>0</formula>
    </cfRule>
    <cfRule type="cellIs" dxfId="33361" priority="932" operator="greaterThan">
      <formula>0</formula>
    </cfRule>
  </conditionalFormatting>
  <conditionalFormatting sqref="W14">
    <cfRule type="cellIs" dxfId="33360" priority="925" operator="equal">
      <formula>"PMS"</formula>
    </cfRule>
    <cfRule type="containsText" dxfId="33359" priority="926" operator="containsText" text="CMS">
      <formula>NOT(ISERROR(SEARCH("CMS",W14)))</formula>
    </cfRule>
    <cfRule type="cellIs" dxfId="33358" priority="927" operator="equal">
      <formula>0</formula>
    </cfRule>
    <cfRule type="cellIs" dxfId="33357" priority="928" operator="greaterThan">
      <formula>0</formula>
    </cfRule>
  </conditionalFormatting>
  <conditionalFormatting sqref="W15">
    <cfRule type="cellIs" dxfId="33356" priority="921" operator="equal">
      <formula>"PMS"</formula>
    </cfRule>
    <cfRule type="containsText" dxfId="33355" priority="922" operator="containsText" text="CMS">
      <formula>NOT(ISERROR(SEARCH("CMS",W15)))</formula>
    </cfRule>
    <cfRule type="cellIs" dxfId="33354" priority="923" operator="equal">
      <formula>0</formula>
    </cfRule>
    <cfRule type="cellIs" dxfId="33353" priority="924" operator="greaterThan">
      <formula>0</formula>
    </cfRule>
  </conditionalFormatting>
  <conditionalFormatting sqref="W15">
    <cfRule type="cellIs" dxfId="33352" priority="917" operator="equal">
      <formula>"PMS"</formula>
    </cfRule>
    <cfRule type="containsText" dxfId="33351" priority="918" operator="containsText" text="CMS">
      <formula>NOT(ISERROR(SEARCH("CMS",W15)))</formula>
    </cfRule>
    <cfRule type="cellIs" dxfId="33350" priority="919" operator="equal">
      <formula>0</formula>
    </cfRule>
    <cfRule type="cellIs" dxfId="33349" priority="920" operator="greaterThan">
      <formula>0</formula>
    </cfRule>
  </conditionalFormatting>
  <conditionalFormatting sqref="W16">
    <cfRule type="cellIs" dxfId="33348" priority="913" operator="equal">
      <formula>"PMS"</formula>
    </cfRule>
    <cfRule type="containsText" dxfId="33347" priority="914" operator="containsText" text="CMS">
      <formula>NOT(ISERROR(SEARCH("CMS",W16)))</formula>
    </cfRule>
    <cfRule type="cellIs" dxfId="33346" priority="915" operator="equal">
      <formula>0</formula>
    </cfRule>
    <cfRule type="cellIs" dxfId="33345" priority="916" operator="greaterThan">
      <formula>0</formula>
    </cfRule>
  </conditionalFormatting>
  <conditionalFormatting sqref="W16">
    <cfRule type="cellIs" dxfId="33344" priority="909" operator="equal">
      <formula>"PMS"</formula>
    </cfRule>
    <cfRule type="containsText" dxfId="33343" priority="910" operator="containsText" text="CMS">
      <formula>NOT(ISERROR(SEARCH("CMS",W16)))</formula>
    </cfRule>
    <cfRule type="cellIs" dxfId="33342" priority="911" operator="equal">
      <formula>0</formula>
    </cfRule>
    <cfRule type="cellIs" dxfId="33341" priority="912" operator="greaterThan">
      <formula>0</formula>
    </cfRule>
  </conditionalFormatting>
  <conditionalFormatting sqref="G55">
    <cfRule type="cellIs" dxfId="33340" priority="617" operator="equal">
      <formula>"PMS"</formula>
    </cfRule>
    <cfRule type="containsText" dxfId="33339" priority="618" operator="containsText" text="CMS">
      <formula>NOT(ISERROR(SEARCH("CMS",G55)))</formula>
    </cfRule>
    <cfRule type="cellIs" dxfId="33338" priority="619" operator="equal">
      <formula>0</formula>
    </cfRule>
    <cfRule type="cellIs" dxfId="33337" priority="620" operator="greaterThan">
      <formula>0</formula>
    </cfRule>
    <cfRule type="cellIs" dxfId="33336" priority="621" operator="equal">
      <formula>"PMS"</formula>
    </cfRule>
    <cfRule type="containsText" dxfId="33335" priority="622" operator="containsText" text="CMS">
      <formula>NOT(ISERROR(SEARCH("CMS",G55)))</formula>
    </cfRule>
    <cfRule type="cellIs" dxfId="33334" priority="623" operator="equal">
      <formula>0</formula>
    </cfRule>
    <cfRule type="cellIs" dxfId="33333" priority="624" operator="greaterThan">
      <formula>0</formula>
    </cfRule>
  </conditionalFormatting>
  <conditionalFormatting sqref="G55">
    <cfRule type="cellIs" dxfId="33332" priority="613" operator="equal">
      <formula>"PMS"</formula>
    </cfRule>
    <cfRule type="containsText" dxfId="33331" priority="614" operator="containsText" text="CMS">
      <formula>NOT(ISERROR(SEARCH("CMS",G55)))</formula>
    </cfRule>
    <cfRule type="cellIs" dxfId="33330" priority="615" operator="equal">
      <formula>0</formula>
    </cfRule>
    <cfRule type="cellIs" dxfId="33329" priority="616" operator="greaterThan">
      <formula>0</formula>
    </cfRule>
  </conditionalFormatting>
  <conditionalFormatting sqref="G55">
    <cfRule type="cellIs" dxfId="33328" priority="609" operator="equal">
      <formula>"PMS"</formula>
    </cfRule>
    <cfRule type="containsText" dxfId="33327" priority="610" operator="containsText" text="CMS">
      <formula>NOT(ISERROR(SEARCH("CMS",G55)))</formula>
    </cfRule>
    <cfRule type="cellIs" dxfId="33326" priority="611" operator="equal">
      <formula>0</formula>
    </cfRule>
    <cfRule type="cellIs" dxfId="33325" priority="612" operator="greaterThan">
      <formula>0</formula>
    </cfRule>
  </conditionalFormatting>
  <conditionalFormatting sqref="I62">
    <cfRule type="cellIs" dxfId="33324" priority="593" operator="equal">
      <formula>"PMS"</formula>
    </cfRule>
    <cfRule type="containsText" dxfId="33323" priority="594" operator="containsText" text="CMS">
      <formula>NOT(ISERROR(SEARCH("CMS",I62)))</formula>
    </cfRule>
    <cfRule type="cellIs" dxfId="33322" priority="595" operator="equal">
      <formula>0</formula>
    </cfRule>
    <cfRule type="cellIs" dxfId="33321" priority="596" operator="greaterThan">
      <formula>0</formula>
    </cfRule>
    <cfRule type="cellIs" dxfId="33320" priority="597" operator="equal">
      <formula>"PMS"</formula>
    </cfRule>
    <cfRule type="containsText" dxfId="33319" priority="598" operator="containsText" text="CMS">
      <formula>NOT(ISERROR(SEARCH("CMS",I62)))</formula>
    </cfRule>
    <cfRule type="cellIs" dxfId="33318" priority="599" operator="equal">
      <formula>0</formula>
    </cfRule>
    <cfRule type="cellIs" dxfId="33317" priority="600" operator="greaterThan">
      <formula>0</formula>
    </cfRule>
  </conditionalFormatting>
  <conditionalFormatting sqref="K62">
    <cfRule type="cellIs" dxfId="33316" priority="585" operator="equal">
      <formula>"PMS"</formula>
    </cfRule>
    <cfRule type="containsText" dxfId="33315" priority="586" operator="containsText" text="CMS">
      <formula>NOT(ISERROR(SEARCH("CMS",K62)))</formula>
    </cfRule>
    <cfRule type="cellIs" dxfId="33314" priority="587" operator="equal">
      <formula>0</formula>
    </cfRule>
    <cfRule type="cellIs" dxfId="33313" priority="588" operator="greaterThan">
      <formula>0</formula>
    </cfRule>
    <cfRule type="cellIs" dxfId="33312" priority="589" operator="equal">
      <formula>"PMS"</formula>
    </cfRule>
    <cfRule type="containsText" dxfId="33311" priority="590" operator="containsText" text="CMS">
      <formula>NOT(ISERROR(SEARCH("CMS",K62)))</formula>
    </cfRule>
    <cfRule type="cellIs" dxfId="33310" priority="591" operator="equal">
      <formula>0</formula>
    </cfRule>
    <cfRule type="cellIs" dxfId="33309" priority="592" operator="greaterThan">
      <formula>0</formula>
    </cfRule>
  </conditionalFormatting>
  <conditionalFormatting sqref="G13:G16">
    <cfRule type="cellIs" dxfId="33308" priority="577" operator="equal">
      <formula>"PMS"</formula>
    </cfRule>
    <cfRule type="containsText" dxfId="33307" priority="578" operator="containsText" text="CMS">
      <formula>NOT(ISERROR(SEARCH("CMS",G13)))</formula>
    </cfRule>
    <cfRule type="cellIs" dxfId="33306" priority="579" operator="equal">
      <formula>0</formula>
    </cfRule>
    <cfRule type="cellIs" dxfId="33305" priority="580" operator="greaterThan">
      <formula>0</formula>
    </cfRule>
    <cfRule type="cellIs" dxfId="33304" priority="581" operator="equal">
      <formula>"PMS"</formula>
    </cfRule>
    <cfRule type="containsText" dxfId="33303" priority="582" operator="containsText" text="CMS">
      <formula>NOT(ISERROR(SEARCH("CMS",G13)))</formula>
    </cfRule>
    <cfRule type="cellIs" dxfId="33302" priority="583" operator="equal">
      <formula>0</formula>
    </cfRule>
    <cfRule type="cellIs" dxfId="33301" priority="584" operator="greaterThan">
      <formula>0</formula>
    </cfRule>
  </conditionalFormatting>
  <conditionalFormatting sqref="G13:G16">
    <cfRule type="cellIs" dxfId="33300" priority="573" operator="equal">
      <formula>"PMS"</formula>
    </cfRule>
    <cfRule type="containsText" dxfId="33299" priority="574" operator="containsText" text="CMS">
      <formula>NOT(ISERROR(SEARCH("CMS",G13)))</formula>
    </cfRule>
    <cfRule type="cellIs" dxfId="33298" priority="575" operator="equal">
      <formula>0</formula>
    </cfRule>
    <cfRule type="cellIs" dxfId="33297" priority="576" operator="greaterThan">
      <formula>0</formula>
    </cfRule>
  </conditionalFormatting>
  <conditionalFormatting sqref="G13:G16">
    <cfRule type="cellIs" dxfId="33296" priority="569" operator="equal">
      <formula>"PMS"</formula>
    </cfRule>
    <cfRule type="containsText" dxfId="33295" priority="570" operator="containsText" text="CMS">
      <formula>NOT(ISERROR(SEARCH("CMS",G13)))</formula>
    </cfRule>
    <cfRule type="cellIs" dxfId="33294" priority="571" operator="equal">
      <formula>0</formula>
    </cfRule>
    <cfRule type="cellIs" dxfId="33293" priority="572" operator="greaterThan">
      <formula>0</formula>
    </cfRule>
  </conditionalFormatting>
  <conditionalFormatting sqref="G13">
    <cfRule type="cellIs" dxfId="33292" priority="565" operator="equal">
      <formula>"PMS"</formula>
    </cfRule>
    <cfRule type="containsText" dxfId="33291" priority="566" operator="containsText" text="CMS">
      <formula>NOT(ISERROR(SEARCH("CMS",G13)))</formula>
    </cfRule>
    <cfRule type="cellIs" dxfId="33290" priority="567" operator="equal">
      <formula>0</formula>
    </cfRule>
    <cfRule type="cellIs" dxfId="33289" priority="568" operator="greaterThan">
      <formula>0</formula>
    </cfRule>
  </conditionalFormatting>
  <conditionalFormatting sqref="G13">
    <cfRule type="cellIs" dxfId="33288" priority="561" operator="equal">
      <formula>"PMS"</formula>
    </cfRule>
    <cfRule type="containsText" dxfId="33287" priority="562" operator="containsText" text="CMS">
      <formula>NOT(ISERROR(SEARCH("CMS",G13)))</formula>
    </cfRule>
    <cfRule type="cellIs" dxfId="33286" priority="563" operator="equal">
      <formula>0</formula>
    </cfRule>
    <cfRule type="cellIs" dxfId="33285" priority="564" operator="greaterThan">
      <formula>0</formula>
    </cfRule>
  </conditionalFormatting>
  <conditionalFormatting sqref="G20:G21">
    <cfRule type="cellIs" dxfId="33284" priority="553" operator="equal">
      <formula>"PMS"</formula>
    </cfRule>
    <cfRule type="containsText" dxfId="33283" priority="554" operator="containsText" text="CMS">
      <formula>NOT(ISERROR(SEARCH("CMS",G20)))</formula>
    </cfRule>
    <cfRule type="cellIs" dxfId="33282" priority="555" operator="equal">
      <formula>0</formula>
    </cfRule>
    <cfRule type="cellIs" dxfId="33281" priority="556" operator="greaterThan">
      <formula>0</formula>
    </cfRule>
    <cfRule type="cellIs" dxfId="33280" priority="557" operator="equal">
      <formula>"PMS"</formula>
    </cfRule>
    <cfRule type="containsText" dxfId="33279" priority="558" operator="containsText" text="CMS">
      <formula>NOT(ISERROR(SEARCH("CMS",G20)))</formula>
    </cfRule>
    <cfRule type="cellIs" dxfId="33278" priority="559" operator="equal">
      <formula>0</formula>
    </cfRule>
    <cfRule type="cellIs" dxfId="33277" priority="560" operator="greaterThan">
      <formula>0</formula>
    </cfRule>
  </conditionalFormatting>
  <conditionalFormatting sqref="G20:G21">
    <cfRule type="cellIs" dxfId="33276" priority="549" operator="equal">
      <formula>"PMS"</formula>
    </cfRule>
    <cfRule type="containsText" dxfId="33275" priority="550" operator="containsText" text="CMS">
      <formula>NOT(ISERROR(SEARCH("CMS",G20)))</formula>
    </cfRule>
    <cfRule type="cellIs" dxfId="33274" priority="551" operator="equal">
      <formula>0</formula>
    </cfRule>
    <cfRule type="cellIs" dxfId="33273" priority="552" operator="greaterThan">
      <formula>0</formula>
    </cfRule>
  </conditionalFormatting>
  <conditionalFormatting sqref="G20:G21">
    <cfRule type="cellIs" dxfId="33272" priority="545" operator="equal">
      <formula>"PMS"</formula>
    </cfRule>
    <cfRule type="containsText" dxfId="33271" priority="546" operator="containsText" text="CMS">
      <formula>NOT(ISERROR(SEARCH("CMS",G20)))</formula>
    </cfRule>
    <cfRule type="cellIs" dxfId="33270" priority="547" operator="equal">
      <formula>0</formula>
    </cfRule>
    <cfRule type="cellIs" dxfId="33269" priority="548" operator="greaterThan">
      <formula>0</formula>
    </cfRule>
  </conditionalFormatting>
  <conditionalFormatting sqref="G19">
    <cfRule type="cellIs" dxfId="33268" priority="541" operator="equal">
      <formula>"CMS"</formula>
    </cfRule>
    <cfRule type="cellIs" dxfId="33267" priority="542" operator="equal">
      <formula>"PMS"</formula>
    </cfRule>
    <cfRule type="cellIs" dxfId="33266" priority="543" operator="greaterThan">
      <formula>0</formula>
    </cfRule>
    <cfRule type="cellIs" dxfId="33265" priority="544" operator="equal">
      <formula>0</formula>
    </cfRule>
  </conditionalFormatting>
  <conditionalFormatting sqref="G24">
    <cfRule type="cellIs" dxfId="33264" priority="533" operator="equal">
      <formula>"PMS"</formula>
    </cfRule>
    <cfRule type="containsText" dxfId="33263" priority="534" operator="containsText" text="CMS">
      <formula>NOT(ISERROR(SEARCH("CMS",G24)))</formula>
    </cfRule>
    <cfRule type="cellIs" dxfId="33262" priority="535" operator="equal">
      <formula>0</formula>
    </cfRule>
    <cfRule type="cellIs" dxfId="33261" priority="536" operator="greaterThan">
      <formula>0</formula>
    </cfRule>
    <cfRule type="cellIs" dxfId="33260" priority="537" operator="equal">
      <formula>"PMS"</formula>
    </cfRule>
    <cfRule type="containsText" dxfId="33259" priority="538" operator="containsText" text="CMS">
      <formula>NOT(ISERROR(SEARCH("CMS",G24)))</formula>
    </cfRule>
    <cfRule type="cellIs" dxfId="33258" priority="539" operator="equal">
      <formula>0</formula>
    </cfRule>
    <cfRule type="cellIs" dxfId="33257" priority="540" operator="greaterThan">
      <formula>0</formula>
    </cfRule>
  </conditionalFormatting>
  <conditionalFormatting sqref="G24">
    <cfRule type="cellIs" dxfId="33256" priority="529" operator="equal">
      <formula>"PMS"</formula>
    </cfRule>
    <cfRule type="containsText" dxfId="33255" priority="530" operator="containsText" text="CMS">
      <formula>NOT(ISERROR(SEARCH("CMS",G24)))</formula>
    </cfRule>
    <cfRule type="cellIs" dxfId="33254" priority="531" operator="equal">
      <formula>0</formula>
    </cfRule>
    <cfRule type="cellIs" dxfId="33253" priority="532" operator="greaterThan">
      <formula>0</formula>
    </cfRule>
  </conditionalFormatting>
  <conditionalFormatting sqref="G24">
    <cfRule type="cellIs" dxfId="33252" priority="525" operator="equal">
      <formula>"PMS"</formula>
    </cfRule>
    <cfRule type="containsText" dxfId="33251" priority="526" operator="containsText" text="CMS">
      <formula>NOT(ISERROR(SEARCH("CMS",G24)))</formula>
    </cfRule>
    <cfRule type="cellIs" dxfId="33250" priority="527" operator="equal">
      <formula>0</formula>
    </cfRule>
    <cfRule type="cellIs" dxfId="33249" priority="528" operator="greaterThan">
      <formula>0</formula>
    </cfRule>
  </conditionalFormatting>
  <conditionalFormatting sqref="G27:G28">
    <cfRule type="cellIs" dxfId="33248" priority="517" operator="equal">
      <formula>"PMS"</formula>
    </cfRule>
    <cfRule type="containsText" dxfId="33247" priority="518" operator="containsText" text="CMS">
      <formula>NOT(ISERROR(SEARCH("CMS",G27)))</formula>
    </cfRule>
    <cfRule type="cellIs" dxfId="33246" priority="519" operator="equal">
      <formula>0</formula>
    </cfRule>
    <cfRule type="cellIs" dxfId="33245" priority="520" operator="greaterThan">
      <formula>0</formula>
    </cfRule>
    <cfRule type="cellIs" dxfId="33244" priority="521" operator="equal">
      <formula>"PMS"</formula>
    </cfRule>
    <cfRule type="containsText" dxfId="33243" priority="522" operator="containsText" text="CMS">
      <formula>NOT(ISERROR(SEARCH("CMS",G27)))</formula>
    </cfRule>
    <cfRule type="cellIs" dxfId="33242" priority="523" operator="equal">
      <formula>0</formula>
    </cfRule>
    <cfRule type="cellIs" dxfId="33241" priority="524" operator="greaterThan">
      <formula>0</formula>
    </cfRule>
  </conditionalFormatting>
  <conditionalFormatting sqref="G27:G28">
    <cfRule type="cellIs" dxfId="33240" priority="513" operator="equal">
      <formula>"PMS"</formula>
    </cfRule>
    <cfRule type="containsText" dxfId="33239" priority="514" operator="containsText" text="CMS">
      <formula>NOT(ISERROR(SEARCH("CMS",G27)))</formula>
    </cfRule>
    <cfRule type="cellIs" dxfId="33238" priority="515" operator="equal">
      <formula>0</formula>
    </cfRule>
    <cfRule type="cellIs" dxfId="33237" priority="516" operator="greaterThan">
      <formula>0</formula>
    </cfRule>
  </conditionalFormatting>
  <conditionalFormatting sqref="G27:G28">
    <cfRule type="cellIs" dxfId="33236" priority="509" operator="equal">
      <formula>"PMS"</formula>
    </cfRule>
    <cfRule type="containsText" dxfId="33235" priority="510" operator="containsText" text="CMS">
      <formula>NOT(ISERROR(SEARCH("CMS",G27)))</formula>
    </cfRule>
    <cfRule type="cellIs" dxfId="33234" priority="511" operator="equal">
      <formula>0</formula>
    </cfRule>
    <cfRule type="cellIs" dxfId="33233" priority="512" operator="greaterThan">
      <formula>0</formula>
    </cfRule>
  </conditionalFormatting>
  <conditionalFormatting sqref="G31">
    <cfRule type="cellIs" dxfId="33232" priority="501" operator="equal">
      <formula>"PMS"</formula>
    </cfRule>
    <cfRule type="containsText" dxfId="33231" priority="502" operator="containsText" text="CMS">
      <formula>NOT(ISERROR(SEARCH("CMS",G31)))</formula>
    </cfRule>
    <cfRule type="cellIs" dxfId="33230" priority="503" operator="equal">
      <formula>0</formula>
    </cfRule>
    <cfRule type="cellIs" dxfId="33229" priority="504" operator="greaterThan">
      <formula>0</formula>
    </cfRule>
    <cfRule type="cellIs" dxfId="33228" priority="505" operator="equal">
      <formula>"PMS"</formula>
    </cfRule>
    <cfRule type="containsText" dxfId="33227" priority="506" operator="containsText" text="CMS">
      <formula>NOT(ISERROR(SEARCH("CMS",G31)))</formula>
    </cfRule>
    <cfRule type="cellIs" dxfId="33226" priority="507" operator="equal">
      <formula>0</formula>
    </cfRule>
    <cfRule type="cellIs" dxfId="33225" priority="508" operator="greaterThan">
      <formula>0</formula>
    </cfRule>
  </conditionalFormatting>
  <conditionalFormatting sqref="G31">
    <cfRule type="cellIs" dxfId="33224" priority="497" operator="equal">
      <formula>"PMS"</formula>
    </cfRule>
    <cfRule type="containsText" dxfId="33223" priority="498" operator="containsText" text="CMS">
      <formula>NOT(ISERROR(SEARCH("CMS",G31)))</formula>
    </cfRule>
    <cfRule type="cellIs" dxfId="33222" priority="499" operator="equal">
      <formula>0</formula>
    </cfRule>
    <cfRule type="cellIs" dxfId="33221" priority="500" operator="greaterThan">
      <formula>0</formula>
    </cfRule>
  </conditionalFormatting>
  <conditionalFormatting sqref="G31">
    <cfRule type="cellIs" dxfId="33220" priority="493" operator="equal">
      <formula>"PMS"</formula>
    </cfRule>
    <cfRule type="containsText" dxfId="33219" priority="494" operator="containsText" text="CMS">
      <formula>NOT(ISERROR(SEARCH("CMS",G31)))</formula>
    </cfRule>
    <cfRule type="cellIs" dxfId="33218" priority="495" operator="equal">
      <formula>0</formula>
    </cfRule>
    <cfRule type="cellIs" dxfId="33217" priority="496" operator="greaterThan">
      <formula>0</formula>
    </cfRule>
  </conditionalFormatting>
  <conditionalFormatting sqref="G34">
    <cfRule type="cellIs" dxfId="33216" priority="485" operator="equal">
      <formula>"PMS"</formula>
    </cfRule>
    <cfRule type="containsText" dxfId="33215" priority="486" operator="containsText" text="CMS">
      <formula>NOT(ISERROR(SEARCH("CMS",G34)))</formula>
    </cfRule>
    <cfRule type="cellIs" dxfId="33214" priority="487" operator="equal">
      <formula>0</formula>
    </cfRule>
    <cfRule type="cellIs" dxfId="33213" priority="488" operator="greaterThan">
      <formula>0</formula>
    </cfRule>
    <cfRule type="cellIs" dxfId="33212" priority="489" operator="equal">
      <formula>"PMS"</formula>
    </cfRule>
    <cfRule type="containsText" dxfId="33211" priority="490" operator="containsText" text="CMS">
      <formula>NOT(ISERROR(SEARCH("CMS",G34)))</formula>
    </cfRule>
    <cfRule type="cellIs" dxfId="33210" priority="491" operator="equal">
      <formula>0</formula>
    </cfRule>
    <cfRule type="cellIs" dxfId="33209" priority="492" operator="greaterThan">
      <formula>0</formula>
    </cfRule>
  </conditionalFormatting>
  <conditionalFormatting sqref="G34">
    <cfRule type="cellIs" dxfId="33208" priority="481" operator="equal">
      <formula>"PMS"</formula>
    </cfRule>
    <cfRule type="containsText" dxfId="33207" priority="482" operator="containsText" text="CMS">
      <formula>NOT(ISERROR(SEARCH("CMS",G34)))</formula>
    </cfRule>
    <cfRule type="cellIs" dxfId="33206" priority="483" operator="equal">
      <formula>0</formula>
    </cfRule>
    <cfRule type="cellIs" dxfId="33205" priority="484" operator="greaterThan">
      <formula>0</formula>
    </cfRule>
  </conditionalFormatting>
  <conditionalFormatting sqref="G34">
    <cfRule type="cellIs" dxfId="33204" priority="477" operator="equal">
      <formula>"PMS"</formula>
    </cfRule>
    <cfRule type="containsText" dxfId="33203" priority="478" operator="containsText" text="CMS">
      <formula>NOT(ISERROR(SEARCH("CMS",G34)))</formula>
    </cfRule>
    <cfRule type="cellIs" dxfId="33202" priority="479" operator="equal">
      <formula>0</formula>
    </cfRule>
    <cfRule type="cellIs" dxfId="33201" priority="480" operator="greaterThan">
      <formula>0</formula>
    </cfRule>
  </conditionalFormatting>
  <conditionalFormatting sqref="G56">
    <cfRule type="cellIs" dxfId="33200" priority="469" operator="equal">
      <formula>"PMS"</formula>
    </cfRule>
    <cfRule type="containsText" dxfId="33199" priority="470" operator="containsText" text="CMS">
      <formula>NOT(ISERROR(SEARCH("CMS",G56)))</formula>
    </cfRule>
    <cfRule type="cellIs" dxfId="33198" priority="471" operator="equal">
      <formula>0</formula>
    </cfRule>
    <cfRule type="cellIs" dxfId="33197" priority="472" operator="greaterThan">
      <formula>0</formula>
    </cfRule>
    <cfRule type="cellIs" dxfId="33196" priority="473" operator="equal">
      <formula>"PMS"</formula>
    </cfRule>
    <cfRule type="containsText" dxfId="33195" priority="474" operator="containsText" text="CMS">
      <formula>NOT(ISERROR(SEARCH("CMS",G56)))</formula>
    </cfRule>
    <cfRule type="cellIs" dxfId="33194" priority="475" operator="equal">
      <formula>0</formula>
    </cfRule>
    <cfRule type="cellIs" dxfId="33193" priority="476" operator="greaterThan">
      <formula>0</formula>
    </cfRule>
  </conditionalFormatting>
  <conditionalFormatting sqref="G56">
    <cfRule type="cellIs" dxfId="33192" priority="465" operator="equal">
      <formula>"PMS"</formula>
    </cfRule>
    <cfRule type="containsText" dxfId="33191" priority="466" operator="containsText" text="CMS">
      <formula>NOT(ISERROR(SEARCH("CMS",G56)))</formula>
    </cfRule>
    <cfRule type="cellIs" dxfId="33190" priority="467" operator="equal">
      <formula>0</formula>
    </cfRule>
    <cfRule type="cellIs" dxfId="33189" priority="468" operator="greaterThan">
      <formula>0</formula>
    </cfRule>
  </conditionalFormatting>
  <conditionalFormatting sqref="G56">
    <cfRule type="cellIs" dxfId="33188" priority="461" operator="equal">
      <formula>"PMS"</formula>
    </cfRule>
    <cfRule type="containsText" dxfId="33187" priority="462" operator="containsText" text="CMS">
      <formula>NOT(ISERROR(SEARCH("CMS",G56)))</formula>
    </cfRule>
    <cfRule type="cellIs" dxfId="33186" priority="463" operator="equal">
      <formula>0</formula>
    </cfRule>
    <cfRule type="cellIs" dxfId="33185" priority="464" operator="greaterThan">
      <formula>0</formula>
    </cfRule>
  </conditionalFormatting>
  <conditionalFormatting sqref="G56">
    <cfRule type="cellIs" dxfId="33184" priority="457" operator="equal">
      <formula>"PMS"</formula>
    </cfRule>
    <cfRule type="containsText" dxfId="33183" priority="458" operator="containsText" text="CMS">
      <formula>NOT(ISERROR(SEARCH("CMS",G56)))</formula>
    </cfRule>
    <cfRule type="cellIs" dxfId="33182" priority="459" operator="equal">
      <formula>0</formula>
    </cfRule>
    <cfRule type="cellIs" dxfId="33181" priority="460" operator="greaterThan">
      <formula>0</formula>
    </cfRule>
  </conditionalFormatting>
  <conditionalFormatting sqref="G56">
    <cfRule type="cellIs" dxfId="33180" priority="453" operator="equal">
      <formula>"PMS"</formula>
    </cfRule>
    <cfRule type="containsText" dxfId="33179" priority="454" operator="containsText" text="CMS">
      <formula>NOT(ISERROR(SEARCH("CMS",G56)))</formula>
    </cfRule>
    <cfRule type="cellIs" dxfId="33178" priority="455" operator="equal">
      <formula>0</formula>
    </cfRule>
    <cfRule type="cellIs" dxfId="33177" priority="456" operator="greaterThan">
      <formula>0</formula>
    </cfRule>
  </conditionalFormatting>
  <conditionalFormatting sqref="G56">
    <cfRule type="cellIs" dxfId="33176" priority="449" operator="equal">
      <formula>"PMS"</formula>
    </cfRule>
    <cfRule type="containsText" dxfId="33175" priority="450" operator="containsText" text="CMS">
      <formula>NOT(ISERROR(SEARCH("CMS",G56)))</formula>
    </cfRule>
    <cfRule type="cellIs" dxfId="33174" priority="451" operator="equal">
      <formula>0</formula>
    </cfRule>
    <cfRule type="cellIs" dxfId="33173" priority="452" operator="greaterThan">
      <formula>0</formula>
    </cfRule>
  </conditionalFormatting>
  <conditionalFormatting sqref="G56">
    <cfRule type="cellIs" dxfId="33172" priority="445" operator="equal">
      <formula>"PMS"</formula>
    </cfRule>
    <cfRule type="containsText" dxfId="33171" priority="446" operator="containsText" text="CMS">
      <formula>NOT(ISERROR(SEARCH("CMS",G56)))</formula>
    </cfRule>
    <cfRule type="cellIs" dxfId="33170" priority="447" operator="equal">
      <formula>0</formula>
    </cfRule>
    <cfRule type="cellIs" dxfId="33169" priority="448" operator="greaterThan">
      <formula>0</formula>
    </cfRule>
  </conditionalFormatting>
  <conditionalFormatting sqref="G61:G62">
    <cfRule type="cellIs" dxfId="33168" priority="437" operator="equal">
      <formula>"PMS"</formula>
    </cfRule>
    <cfRule type="containsText" dxfId="33167" priority="438" operator="containsText" text="CMS">
      <formula>NOT(ISERROR(SEARCH("CMS",G61)))</formula>
    </cfRule>
    <cfRule type="cellIs" dxfId="33166" priority="439" operator="equal">
      <formula>0</formula>
    </cfRule>
    <cfRule type="cellIs" dxfId="33165" priority="440" operator="greaterThan">
      <formula>0</formula>
    </cfRule>
    <cfRule type="cellIs" dxfId="33164" priority="441" operator="equal">
      <formula>"PMS"</formula>
    </cfRule>
    <cfRule type="containsText" dxfId="33163" priority="442" operator="containsText" text="CMS">
      <formula>NOT(ISERROR(SEARCH("CMS",G61)))</formula>
    </cfRule>
    <cfRule type="cellIs" dxfId="33162" priority="443" operator="equal">
      <formula>0</formula>
    </cfRule>
    <cfRule type="cellIs" dxfId="33161" priority="444" operator="greaterThan">
      <formula>0</formula>
    </cfRule>
  </conditionalFormatting>
  <conditionalFormatting sqref="G61:G62">
    <cfRule type="cellIs" dxfId="33160" priority="433" operator="equal">
      <formula>"PMS"</formula>
    </cfRule>
    <cfRule type="containsText" dxfId="33159" priority="434" operator="containsText" text="CMS">
      <formula>NOT(ISERROR(SEARCH("CMS",G61)))</formula>
    </cfRule>
    <cfRule type="cellIs" dxfId="33158" priority="435" operator="equal">
      <formula>0</formula>
    </cfRule>
    <cfRule type="cellIs" dxfId="33157" priority="436" operator="greaterThan">
      <formula>0</formula>
    </cfRule>
  </conditionalFormatting>
  <conditionalFormatting sqref="G65:G68">
    <cfRule type="cellIs" dxfId="33156" priority="425" operator="equal">
      <formula>"PMS"</formula>
    </cfRule>
    <cfRule type="containsText" dxfId="33155" priority="426" operator="containsText" text="CMS">
      <formula>NOT(ISERROR(SEARCH("CMS",G65)))</formula>
    </cfRule>
    <cfRule type="cellIs" dxfId="33154" priority="427" operator="equal">
      <formula>0</formula>
    </cfRule>
    <cfRule type="cellIs" dxfId="33153" priority="428" operator="greaterThan">
      <formula>0</formula>
    </cfRule>
    <cfRule type="cellIs" dxfId="33152" priority="429" operator="equal">
      <formula>"PMS"</formula>
    </cfRule>
    <cfRule type="containsText" dxfId="33151" priority="430" operator="containsText" text="CMS">
      <formula>NOT(ISERROR(SEARCH("CMS",G65)))</formula>
    </cfRule>
    <cfRule type="cellIs" dxfId="33150" priority="431" operator="equal">
      <formula>0</formula>
    </cfRule>
    <cfRule type="cellIs" dxfId="33149" priority="432" operator="greaterThan">
      <formula>0</formula>
    </cfRule>
  </conditionalFormatting>
  <conditionalFormatting sqref="G65:G68">
    <cfRule type="cellIs" dxfId="33148" priority="421" operator="equal">
      <formula>"PMS"</formula>
    </cfRule>
    <cfRule type="containsText" dxfId="33147" priority="422" operator="containsText" text="CMS">
      <formula>NOT(ISERROR(SEARCH("CMS",G65)))</formula>
    </cfRule>
    <cfRule type="cellIs" dxfId="33146" priority="423" operator="equal">
      <formula>0</formula>
    </cfRule>
    <cfRule type="cellIs" dxfId="33145" priority="424" operator="greaterThan">
      <formula>0</formula>
    </cfRule>
  </conditionalFormatting>
  <conditionalFormatting sqref="G65:G68">
    <cfRule type="cellIs" dxfId="33144" priority="417" operator="equal">
      <formula>"PMS"</formula>
    </cfRule>
    <cfRule type="containsText" dxfId="33143" priority="418" operator="containsText" text="CMS">
      <formula>NOT(ISERROR(SEARCH("CMS",G65)))</formula>
    </cfRule>
    <cfRule type="cellIs" dxfId="33142" priority="419" operator="equal">
      <formula>0</formula>
    </cfRule>
    <cfRule type="cellIs" dxfId="33141" priority="420" operator="greaterThan">
      <formula>0</formula>
    </cfRule>
  </conditionalFormatting>
  <conditionalFormatting sqref="G76">
    <cfRule type="cellIs" dxfId="33140" priority="409" operator="equal">
      <formula>"PMS"</formula>
    </cfRule>
    <cfRule type="containsText" dxfId="33139" priority="410" operator="containsText" text="CMS">
      <formula>NOT(ISERROR(SEARCH("CMS",G76)))</formula>
    </cfRule>
    <cfRule type="cellIs" dxfId="33138" priority="411" operator="equal">
      <formula>0</formula>
    </cfRule>
    <cfRule type="cellIs" dxfId="33137" priority="412" operator="greaterThan">
      <formula>0</formula>
    </cfRule>
    <cfRule type="cellIs" dxfId="33136" priority="413" operator="equal">
      <formula>"PMS"</formula>
    </cfRule>
    <cfRule type="containsText" dxfId="33135" priority="414" operator="containsText" text="CMS">
      <formula>NOT(ISERROR(SEARCH("CMS",G76)))</formula>
    </cfRule>
    <cfRule type="cellIs" dxfId="33134" priority="415" operator="equal">
      <formula>0</formula>
    </cfRule>
    <cfRule type="cellIs" dxfId="33133" priority="416" operator="greaterThan">
      <formula>0</formula>
    </cfRule>
  </conditionalFormatting>
  <conditionalFormatting sqref="G76">
    <cfRule type="cellIs" dxfId="33132" priority="405" operator="equal">
      <formula>"PMS"</formula>
    </cfRule>
    <cfRule type="containsText" dxfId="33131" priority="406" operator="containsText" text="CMS">
      <formula>NOT(ISERROR(SEARCH("CMS",G76)))</formula>
    </cfRule>
    <cfRule type="cellIs" dxfId="33130" priority="407" operator="equal">
      <formula>0</formula>
    </cfRule>
    <cfRule type="cellIs" dxfId="33129" priority="408" operator="greaterThan">
      <formula>0</formula>
    </cfRule>
  </conditionalFormatting>
  <conditionalFormatting sqref="G47">
    <cfRule type="cellIs" dxfId="33128" priority="321" operator="equal">
      <formula>"PMS"</formula>
    </cfRule>
    <cfRule type="containsText" dxfId="33127" priority="322" operator="containsText" text="CMS">
      <formula>NOT(ISERROR(SEARCH("CMS",G47)))</formula>
    </cfRule>
    <cfRule type="cellIs" dxfId="33126" priority="323" operator="equal">
      <formula>0</formula>
    </cfRule>
    <cfRule type="cellIs" dxfId="33125" priority="324" operator="greaterThan">
      <formula>0</formula>
    </cfRule>
    <cfRule type="cellIs" dxfId="33124" priority="325" operator="equal">
      <formula>"PMS"</formula>
    </cfRule>
    <cfRule type="containsText" dxfId="33123" priority="326" operator="containsText" text="CMS">
      <formula>NOT(ISERROR(SEARCH("CMS",G47)))</formula>
    </cfRule>
    <cfRule type="cellIs" dxfId="33122" priority="327" operator="equal">
      <formula>0</formula>
    </cfRule>
    <cfRule type="cellIs" dxfId="33121" priority="328" operator="greaterThan">
      <formula>0</formula>
    </cfRule>
  </conditionalFormatting>
  <conditionalFormatting sqref="G47">
    <cfRule type="cellIs" dxfId="33120" priority="317" operator="equal">
      <formula>"PMS"</formula>
    </cfRule>
    <cfRule type="containsText" dxfId="33119" priority="318" operator="containsText" text="CMS">
      <formula>NOT(ISERROR(SEARCH("CMS",G47)))</formula>
    </cfRule>
    <cfRule type="cellIs" dxfId="33118" priority="319" operator="equal">
      <formula>0</formula>
    </cfRule>
    <cfRule type="cellIs" dxfId="33117" priority="320" operator="greaterThan">
      <formula>0</formula>
    </cfRule>
  </conditionalFormatting>
  <conditionalFormatting sqref="G47">
    <cfRule type="cellIs" dxfId="33116" priority="313" operator="equal">
      <formula>"PMS"</formula>
    </cfRule>
    <cfRule type="containsText" dxfId="33115" priority="314" operator="containsText" text="CMS">
      <formula>NOT(ISERROR(SEARCH("CMS",G47)))</formula>
    </cfRule>
    <cfRule type="cellIs" dxfId="33114" priority="315" operator="equal">
      <formula>0</formula>
    </cfRule>
    <cfRule type="cellIs" dxfId="33113" priority="316" operator="greaterThan">
      <formula>0</formula>
    </cfRule>
  </conditionalFormatting>
  <conditionalFormatting sqref="G44:G45">
    <cfRule type="cellIs" dxfId="33112" priority="305" operator="equal">
      <formula>"PMS"</formula>
    </cfRule>
    <cfRule type="containsText" dxfId="33111" priority="306" operator="containsText" text="CMS">
      <formula>NOT(ISERROR(SEARCH("CMS",G44)))</formula>
    </cfRule>
    <cfRule type="cellIs" dxfId="33110" priority="307" operator="equal">
      <formula>0</formula>
    </cfRule>
    <cfRule type="cellIs" dxfId="33109" priority="308" operator="greaterThan">
      <formula>0</formula>
    </cfRule>
    <cfRule type="cellIs" dxfId="33108" priority="309" operator="equal">
      <formula>"PMS"</formula>
    </cfRule>
    <cfRule type="containsText" dxfId="33107" priority="310" operator="containsText" text="CMS">
      <formula>NOT(ISERROR(SEARCH("CMS",G44)))</formula>
    </cfRule>
    <cfRule type="cellIs" dxfId="33106" priority="311" operator="equal">
      <formula>0</formula>
    </cfRule>
    <cfRule type="cellIs" dxfId="33105" priority="312" operator="greaterThan">
      <formula>0</formula>
    </cfRule>
  </conditionalFormatting>
  <conditionalFormatting sqref="G44:G45">
    <cfRule type="cellIs" dxfId="33104" priority="301" operator="equal">
      <formula>"PMS"</formula>
    </cfRule>
    <cfRule type="containsText" dxfId="33103" priority="302" operator="containsText" text="CMS">
      <formula>NOT(ISERROR(SEARCH("CMS",G44)))</formula>
    </cfRule>
    <cfRule type="cellIs" dxfId="33102" priority="303" operator="equal">
      <formula>0</formula>
    </cfRule>
    <cfRule type="cellIs" dxfId="33101" priority="304" operator="greaterThan">
      <formula>0</formula>
    </cfRule>
  </conditionalFormatting>
  <conditionalFormatting sqref="G44:G45">
    <cfRule type="cellIs" dxfId="33100" priority="297" operator="equal">
      <formula>"PMS"</formula>
    </cfRule>
    <cfRule type="containsText" dxfId="33099" priority="298" operator="containsText" text="CMS">
      <formula>NOT(ISERROR(SEARCH("CMS",G44)))</formula>
    </cfRule>
    <cfRule type="cellIs" dxfId="33098" priority="299" operator="equal">
      <formula>0</formula>
    </cfRule>
    <cfRule type="cellIs" dxfId="33097" priority="300" operator="greaterThan">
      <formula>0</formula>
    </cfRule>
  </conditionalFormatting>
  <conditionalFormatting sqref="G69:G73">
    <cfRule type="cellIs" dxfId="33096" priority="289" operator="equal">
      <formula>"PMS"</formula>
    </cfRule>
    <cfRule type="containsText" dxfId="33095" priority="290" operator="containsText" text="CMS">
      <formula>NOT(ISERROR(SEARCH("CMS",G69)))</formula>
    </cfRule>
    <cfRule type="cellIs" dxfId="33094" priority="291" operator="equal">
      <formula>0</formula>
    </cfRule>
    <cfRule type="cellIs" dxfId="33093" priority="292" operator="greaterThan">
      <formula>0</formula>
    </cfRule>
    <cfRule type="cellIs" dxfId="33092" priority="293" operator="equal">
      <formula>"PMS"</formula>
    </cfRule>
    <cfRule type="containsText" dxfId="33091" priority="294" operator="containsText" text="CMS">
      <formula>NOT(ISERROR(SEARCH("CMS",G69)))</formula>
    </cfRule>
    <cfRule type="cellIs" dxfId="33090" priority="295" operator="equal">
      <formula>0</formula>
    </cfRule>
    <cfRule type="cellIs" dxfId="33089" priority="296" operator="greaterThan">
      <formula>0</formula>
    </cfRule>
  </conditionalFormatting>
  <conditionalFormatting sqref="G69:G73">
    <cfRule type="cellIs" dxfId="33088" priority="285" operator="equal">
      <formula>"PMS"</formula>
    </cfRule>
    <cfRule type="containsText" dxfId="33087" priority="286" operator="containsText" text="CMS">
      <formula>NOT(ISERROR(SEARCH("CMS",G69)))</formula>
    </cfRule>
    <cfRule type="cellIs" dxfId="33086" priority="287" operator="equal">
      <formula>0</formula>
    </cfRule>
    <cfRule type="cellIs" dxfId="33085" priority="288" operator="greaterThan">
      <formula>0</formula>
    </cfRule>
  </conditionalFormatting>
  <conditionalFormatting sqref="G69:G73">
    <cfRule type="cellIs" dxfId="33084" priority="281" operator="equal">
      <formula>"PMS"</formula>
    </cfRule>
    <cfRule type="containsText" dxfId="33083" priority="282" operator="containsText" text="CMS">
      <formula>NOT(ISERROR(SEARCH("CMS",G69)))</formula>
    </cfRule>
    <cfRule type="cellIs" dxfId="33082" priority="283" operator="equal">
      <formula>0</formula>
    </cfRule>
    <cfRule type="cellIs" dxfId="33081" priority="284" operator="greaterThan">
      <formula>0</formula>
    </cfRule>
  </conditionalFormatting>
  <conditionalFormatting sqref="H62">
    <cfRule type="cellIs" dxfId="33080" priority="273" operator="equal">
      <formula>"PMS"</formula>
    </cfRule>
    <cfRule type="containsText" dxfId="33079" priority="274" operator="containsText" text="CMS">
      <formula>NOT(ISERROR(SEARCH("CMS",H62)))</formula>
    </cfRule>
    <cfRule type="cellIs" dxfId="33078" priority="275" operator="equal">
      <formula>0</formula>
    </cfRule>
    <cfRule type="cellIs" dxfId="33077" priority="276" operator="greaterThan">
      <formula>0</formula>
    </cfRule>
    <cfRule type="cellIs" dxfId="33076" priority="277" operator="equal">
      <formula>"PMS"</formula>
    </cfRule>
    <cfRule type="containsText" dxfId="33075" priority="278" operator="containsText" text="CMS">
      <formula>NOT(ISERROR(SEARCH("CMS",H62)))</formula>
    </cfRule>
    <cfRule type="cellIs" dxfId="33074" priority="279" operator="equal">
      <formula>0</formula>
    </cfRule>
    <cfRule type="cellIs" dxfId="33073" priority="280" operator="greaterThan">
      <formula>0</formula>
    </cfRule>
  </conditionalFormatting>
  <conditionalFormatting sqref="I60:I61">
    <cfRule type="cellIs" dxfId="33072" priority="265" operator="equal">
      <formula>"PMS"</formula>
    </cfRule>
    <cfRule type="containsText" dxfId="33071" priority="266" operator="containsText" text="CMS">
      <formula>NOT(ISERROR(SEARCH("CMS",I60)))</formula>
    </cfRule>
    <cfRule type="cellIs" dxfId="33070" priority="267" operator="equal">
      <formula>0</formula>
    </cfRule>
    <cfRule type="cellIs" dxfId="33069" priority="268" operator="greaterThan">
      <formula>0</formula>
    </cfRule>
    <cfRule type="cellIs" dxfId="33068" priority="269" operator="equal">
      <formula>"PMS"</formula>
    </cfRule>
    <cfRule type="containsText" dxfId="33067" priority="270" operator="containsText" text="CMS">
      <formula>NOT(ISERROR(SEARCH("CMS",I60)))</formula>
    </cfRule>
    <cfRule type="cellIs" dxfId="33066" priority="271" operator="equal">
      <formula>0</formula>
    </cfRule>
    <cfRule type="cellIs" dxfId="33065" priority="272" operator="greaterThan">
      <formula>0</formula>
    </cfRule>
  </conditionalFormatting>
  <conditionalFormatting sqref="F13:F16">
    <cfRule type="cellIs" dxfId="33064" priority="249" operator="equal">
      <formula>"PMS"</formula>
    </cfRule>
    <cfRule type="containsText" dxfId="33063" priority="250" operator="containsText" text="CMS">
      <formula>NOT(ISERROR(SEARCH("CMS",F13)))</formula>
    </cfRule>
    <cfRule type="cellIs" dxfId="33062" priority="251" operator="equal">
      <formula>0</formula>
    </cfRule>
    <cfRule type="cellIs" dxfId="33061" priority="252" operator="greaterThan">
      <formula>0</formula>
    </cfRule>
    <cfRule type="cellIs" dxfId="33060" priority="253" operator="equal">
      <formula>"PMS"</formula>
    </cfRule>
    <cfRule type="containsText" dxfId="33059" priority="254" operator="containsText" text="CMS">
      <formula>NOT(ISERROR(SEARCH("CMS",F13)))</formula>
    </cfRule>
    <cfRule type="cellIs" dxfId="33058" priority="255" operator="equal">
      <formula>0</formula>
    </cfRule>
    <cfRule type="cellIs" dxfId="33057" priority="256" operator="greaterThan">
      <formula>0</formula>
    </cfRule>
  </conditionalFormatting>
  <conditionalFormatting sqref="F13:F16">
    <cfRule type="cellIs" dxfId="33056" priority="245" operator="equal">
      <formula>"PMS"</formula>
    </cfRule>
    <cfRule type="containsText" dxfId="33055" priority="246" operator="containsText" text="CMS">
      <formula>NOT(ISERROR(SEARCH("CMS",F13)))</formula>
    </cfRule>
    <cfRule type="cellIs" dxfId="33054" priority="247" operator="equal">
      <formula>0</formula>
    </cfRule>
    <cfRule type="cellIs" dxfId="33053" priority="248" operator="greaterThan">
      <formula>0</formula>
    </cfRule>
  </conditionalFormatting>
  <conditionalFormatting sqref="F13:F16">
    <cfRule type="cellIs" dxfId="33052" priority="241" operator="equal">
      <formula>"PMS"</formula>
    </cfRule>
    <cfRule type="containsText" dxfId="33051" priority="242" operator="containsText" text="CMS">
      <formula>NOT(ISERROR(SEARCH("CMS",F13)))</formula>
    </cfRule>
    <cfRule type="cellIs" dxfId="33050" priority="243" operator="equal">
      <formula>0</formula>
    </cfRule>
    <cfRule type="cellIs" dxfId="33049" priority="244" operator="greaterThan">
      <formula>0</formula>
    </cfRule>
  </conditionalFormatting>
  <conditionalFormatting sqref="F13">
    <cfRule type="cellIs" dxfId="33048" priority="237" operator="equal">
      <formula>"PMS"</formula>
    </cfRule>
    <cfRule type="containsText" dxfId="33047" priority="238" operator="containsText" text="CMS">
      <formula>NOT(ISERROR(SEARCH("CMS",F13)))</formula>
    </cfRule>
    <cfRule type="cellIs" dxfId="33046" priority="239" operator="equal">
      <formula>0</formula>
    </cfRule>
    <cfRule type="cellIs" dxfId="33045" priority="240" operator="greaterThan">
      <formula>0</formula>
    </cfRule>
  </conditionalFormatting>
  <conditionalFormatting sqref="F13">
    <cfRule type="cellIs" dxfId="33044" priority="233" operator="equal">
      <formula>"PMS"</formula>
    </cfRule>
    <cfRule type="containsText" dxfId="33043" priority="234" operator="containsText" text="CMS">
      <formula>NOT(ISERROR(SEARCH("CMS",F13)))</formula>
    </cfRule>
    <cfRule type="cellIs" dxfId="33042" priority="235" operator="equal">
      <formula>0</formula>
    </cfRule>
    <cfRule type="cellIs" dxfId="33041" priority="236" operator="greaterThan">
      <formula>0</formula>
    </cfRule>
  </conditionalFormatting>
  <conditionalFormatting sqref="F20:F21">
    <cfRule type="cellIs" dxfId="33040" priority="205" operator="equal">
      <formula>"PMS"</formula>
    </cfRule>
    <cfRule type="containsText" dxfId="33039" priority="206" operator="containsText" text="CMS">
      <formula>NOT(ISERROR(SEARCH("CMS",F20)))</formula>
    </cfRule>
    <cfRule type="cellIs" dxfId="33038" priority="207" operator="equal">
      <formula>0</formula>
    </cfRule>
    <cfRule type="cellIs" dxfId="33037" priority="208" operator="greaterThan">
      <formula>0</formula>
    </cfRule>
    <cfRule type="cellIs" dxfId="33036" priority="209" operator="equal">
      <formula>"PMS"</formula>
    </cfRule>
    <cfRule type="containsText" dxfId="33035" priority="210" operator="containsText" text="CMS">
      <formula>NOT(ISERROR(SEARCH("CMS",F20)))</formula>
    </cfRule>
    <cfRule type="cellIs" dxfId="33034" priority="211" operator="equal">
      <formula>0</formula>
    </cfRule>
    <cfRule type="cellIs" dxfId="33033" priority="212" operator="greaterThan">
      <formula>0</formula>
    </cfRule>
  </conditionalFormatting>
  <conditionalFormatting sqref="F20:F21">
    <cfRule type="cellIs" dxfId="33032" priority="201" operator="equal">
      <formula>"PMS"</formula>
    </cfRule>
    <cfRule type="containsText" dxfId="33031" priority="202" operator="containsText" text="CMS">
      <formula>NOT(ISERROR(SEARCH("CMS",F20)))</formula>
    </cfRule>
    <cfRule type="cellIs" dxfId="33030" priority="203" operator="equal">
      <formula>0</formula>
    </cfRule>
    <cfRule type="cellIs" dxfId="33029" priority="204" operator="greaterThan">
      <formula>0</formula>
    </cfRule>
  </conditionalFormatting>
  <conditionalFormatting sqref="F20:F21">
    <cfRule type="cellIs" dxfId="33028" priority="197" operator="equal">
      <formula>"PMS"</formula>
    </cfRule>
    <cfRule type="containsText" dxfId="33027" priority="198" operator="containsText" text="CMS">
      <formula>NOT(ISERROR(SEARCH("CMS",F20)))</formula>
    </cfRule>
    <cfRule type="cellIs" dxfId="33026" priority="199" operator="equal">
      <formula>0</formula>
    </cfRule>
    <cfRule type="cellIs" dxfId="33025" priority="200" operator="greaterThan">
      <formula>0</formula>
    </cfRule>
  </conditionalFormatting>
  <conditionalFormatting sqref="F19">
    <cfRule type="cellIs" dxfId="33024" priority="193" operator="equal">
      <formula>"CMS"</formula>
    </cfRule>
    <cfRule type="cellIs" dxfId="33023" priority="194" operator="equal">
      <formula>"PMS"</formula>
    </cfRule>
    <cfRule type="cellIs" dxfId="33022" priority="195" operator="greaterThan">
      <formula>0</formula>
    </cfRule>
    <cfRule type="cellIs" dxfId="33021" priority="196" operator="equal">
      <formula>0</formula>
    </cfRule>
  </conditionalFormatting>
  <conditionalFormatting sqref="F24">
    <cfRule type="cellIs" dxfId="33020" priority="169" operator="equal">
      <formula>"PMS"</formula>
    </cfRule>
    <cfRule type="containsText" dxfId="33019" priority="170" operator="containsText" text="CMS">
      <formula>NOT(ISERROR(SEARCH("CMS",F24)))</formula>
    </cfRule>
    <cfRule type="cellIs" dxfId="33018" priority="171" operator="equal">
      <formula>0</formula>
    </cfRule>
    <cfRule type="cellIs" dxfId="33017" priority="172" operator="greaterThan">
      <formula>0</formula>
    </cfRule>
    <cfRule type="cellIs" dxfId="33016" priority="173" operator="equal">
      <formula>"PMS"</formula>
    </cfRule>
    <cfRule type="containsText" dxfId="33015" priority="174" operator="containsText" text="CMS">
      <formula>NOT(ISERROR(SEARCH("CMS",F24)))</formula>
    </cfRule>
    <cfRule type="cellIs" dxfId="33014" priority="175" operator="equal">
      <formula>0</formula>
    </cfRule>
    <cfRule type="cellIs" dxfId="33013" priority="176" operator="greaterThan">
      <formula>0</formula>
    </cfRule>
  </conditionalFormatting>
  <conditionalFormatting sqref="F24">
    <cfRule type="cellIs" dxfId="33012" priority="165" operator="equal">
      <formula>"PMS"</formula>
    </cfRule>
    <cfRule type="containsText" dxfId="33011" priority="166" operator="containsText" text="CMS">
      <formula>NOT(ISERROR(SEARCH("CMS",F24)))</formula>
    </cfRule>
    <cfRule type="cellIs" dxfId="33010" priority="167" operator="equal">
      <formula>0</formula>
    </cfRule>
    <cfRule type="cellIs" dxfId="33009" priority="168" operator="greaterThan">
      <formula>0</formula>
    </cfRule>
  </conditionalFormatting>
  <conditionalFormatting sqref="F24">
    <cfRule type="cellIs" dxfId="33008" priority="161" operator="equal">
      <formula>"PMS"</formula>
    </cfRule>
    <cfRule type="containsText" dxfId="33007" priority="162" operator="containsText" text="CMS">
      <formula>NOT(ISERROR(SEARCH("CMS",F24)))</formula>
    </cfRule>
    <cfRule type="cellIs" dxfId="33006" priority="163" operator="equal">
      <formula>0</formula>
    </cfRule>
    <cfRule type="cellIs" dxfId="33005" priority="164" operator="greaterThan">
      <formula>0</formula>
    </cfRule>
  </conditionalFormatting>
  <conditionalFormatting sqref="F27:F28">
    <cfRule type="cellIs" dxfId="33004" priority="137" operator="equal">
      <formula>"PMS"</formula>
    </cfRule>
    <cfRule type="containsText" dxfId="33003" priority="138" operator="containsText" text="CMS">
      <formula>NOT(ISERROR(SEARCH("CMS",F27)))</formula>
    </cfRule>
    <cfRule type="cellIs" dxfId="33002" priority="139" operator="equal">
      <formula>0</formula>
    </cfRule>
    <cfRule type="cellIs" dxfId="33001" priority="140" operator="greaterThan">
      <formula>0</formula>
    </cfRule>
    <cfRule type="cellIs" dxfId="33000" priority="141" operator="equal">
      <formula>"PMS"</formula>
    </cfRule>
    <cfRule type="containsText" dxfId="32999" priority="142" operator="containsText" text="CMS">
      <formula>NOT(ISERROR(SEARCH("CMS",F27)))</formula>
    </cfRule>
    <cfRule type="cellIs" dxfId="32998" priority="143" operator="equal">
      <formula>0</formula>
    </cfRule>
    <cfRule type="cellIs" dxfId="32997" priority="144" operator="greaterThan">
      <formula>0</formula>
    </cfRule>
  </conditionalFormatting>
  <conditionalFormatting sqref="F27:F28">
    <cfRule type="cellIs" dxfId="32996" priority="133" operator="equal">
      <formula>"PMS"</formula>
    </cfRule>
    <cfRule type="containsText" dxfId="32995" priority="134" operator="containsText" text="CMS">
      <formula>NOT(ISERROR(SEARCH("CMS",F27)))</formula>
    </cfRule>
    <cfRule type="cellIs" dxfId="32994" priority="135" operator="equal">
      <formula>0</formula>
    </cfRule>
    <cfRule type="cellIs" dxfId="32993" priority="136" operator="greaterThan">
      <formula>0</formula>
    </cfRule>
  </conditionalFormatting>
  <conditionalFormatting sqref="F27:F28">
    <cfRule type="cellIs" dxfId="32992" priority="129" operator="equal">
      <formula>"PMS"</formula>
    </cfRule>
    <cfRule type="containsText" dxfId="32991" priority="130" operator="containsText" text="CMS">
      <formula>NOT(ISERROR(SEARCH("CMS",F27)))</formula>
    </cfRule>
    <cfRule type="cellIs" dxfId="32990" priority="131" operator="equal">
      <formula>0</formula>
    </cfRule>
    <cfRule type="cellIs" dxfId="32989" priority="132" operator="greaterThan">
      <formula>0</formula>
    </cfRule>
  </conditionalFormatting>
  <conditionalFormatting sqref="F31">
    <cfRule type="cellIs" dxfId="32988" priority="121" operator="equal">
      <formula>"PMS"</formula>
    </cfRule>
    <cfRule type="containsText" dxfId="32987" priority="122" operator="containsText" text="CMS">
      <formula>NOT(ISERROR(SEARCH("CMS",F31)))</formula>
    </cfRule>
    <cfRule type="cellIs" dxfId="32986" priority="123" operator="equal">
      <formula>0</formula>
    </cfRule>
    <cfRule type="cellIs" dxfId="32985" priority="124" operator="greaterThan">
      <formula>0</formula>
    </cfRule>
    <cfRule type="cellIs" dxfId="32984" priority="125" operator="equal">
      <formula>"PMS"</formula>
    </cfRule>
    <cfRule type="containsText" dxfId="32983" priority="126" operator="containsText" text="CMS">
      <formula>NOT(ISERROR(SEARCH("CMS",F31)))</formula>
    </cfRule>
    <cfRule type="cellIs" dxfId="32982" priority="127" operator="equal">
      <formula>0</formula>
    </cfRule>
    <cfRule type="cellIs" dxfId="32981" priority="128" operator="greaterThan">
      <formula>0</formula>
    </cfRule>
  </conditionalFormatting>
  <conditionalFormatting sqref="F31">
    <cfRule type="cellIs" dxfId="32980" priority="117" operator="equal">
      <formula>"PMS"</formula>
    </cfRule>
    <cfRule type="containsText" dxfId="32979" priority="118" operator="containsText" text="CMS">
      <formula>NOT(ISERROR(SEARCH("CMS",F31)))</formula>
    </cfRule>
    <cfRule type="cellIs" dxfId="32978" priority="119" operator="equal">
      <formula>0</formula>
    </cfRule>
    <cfRule type="cellIs" dxfId="32977" priority="120" operator="greaterThan">
      <formula>0</formula>
    </cfRule>
  </conditionalFormatting>
  <conditionalFormatting sqref="F31">
    <cfRule type="cellIs" dxfId="32976" priority="113" operator="equal">
      <formula>"PMS"</formula>
    </cfRule>
    <cfRule type="containsText" dxfId="32975" priority="114" operator="containsText" text="CMS">
      <formula>NOT(ISERROR(SEARCH("CMS",F31)))</formula>
    </cfRule>
    <cfRule type="cellIs" dxfId="32974" priority="115" operator="equal">
      <formula>0</formula>
    </cfRule>
    <cfRule type="cellIs" dxfId="32973" priority="116" operator="greaterThan">
      <formula>0</formula>
    </cfRule>
  </conditionalFormatting>
  <conditionalFormatting sqref="F34">
    <cfRule type="cellIs" dxfId="32972" priority="105" operator="equal">
      <formula>"PMS"</formula>
    </cfRule>
    <cfRule type="containsText" dxfId="32971" priority="106" operator="containsText" text="CMS">
      <formula>NOT(ISERROR(SEARCH("CMS",F34)))</formula>
    </cfRule>
    <cfRule type="cellIs" dxfId="32970" priority="107" operator="equal">
      <formula>0</formula>
    </cfRule>
    <cfRule type="cellIs" dxfId="32969" priority="108" operator="greaterThan">
      <formula>0</formula>
    </cfRule>
    <cfRule type="cellIs" dxfId="32968" priority="109" operator="equal">
      <formula>"PMS"</formula>
    </cfRule>
    <cfRule type="containsText" dxfId="32967" priority="110" operator="containsText" text="CMS">
      <formula>NOT(ISERROR(SEARCH("CMS",F34)))</formula>
    </cfRule>
    <cfRule type="cellIs" dxfId="32966" priority="111" operator="equal">
      <formula>0</formula>
    </cfRule>
    <cfRule type="cellIs" dxfId="32965" priority="112" operator="greaterThan">
      <formula>0</formula>
    </cfRule>
  </conditionalFormatting>
  <conditionalFormatting sqref="F34">
    <cfRule type="cellIs" dxfId="32964" priority="101" operator="equal">
      <formula>"PMS"</formula>
    </cfRule>
    <cfRule type="containsText" dxfId="32963" priority="102" operator="containsText" text="CMS">
      <formula>NOT(ISERROR(SEARCH("CMS",F34)))</formula>
    </cfRule>
    <cfRule type="cellIs" dxfId="32962" priority="103" operator="equal">
      <formula>0</formula>
    </cfRule>
    <cfRule type="cellIs" dxfId="32961" priority="104" operator="greaterThan">
      <formula>0</formula>
    </cfRule>
  </conditionalFormatting>
  <conditionalFormatting sqref="F34">
    <cfRule type="cellIs" dxfId="32960" priority="97" operator="equal">
      <formula>"PMS"</formula>
    </cfRule>
    <cfRule type="containsText" dxfId="32959" priority="98" operator="containsText" text="CMS">
      <formula>NOT(ISERROR(SEARCH("CMS",F34)))</formula>
    </cfRule>
    <cfRule type="cellIs" dxfId="32958" priority="99" operator="equal">
      <formula>0</formula>
    </cfRule>
    <cfRule type="cellIs" dxfId="32957" priority="100" operator="greaterThan">
      <formula>0</formula>
    </cfRule>
  </conditionalFormatting>
  <conditionalFormatting sqref="F35:F57">
    <cfRule type="cellIs" dxfId="32956" priority="89" operator="equal">
      <formula>"PMS"</formula>
    </cfRule>
    <cfRule type="containsText" dxfId="32955" priority="90" operator="containsText" text="CMS">
      <formula>NOT(ISERROR(SEARCH("CMS",F35)))</formula>
    </cfRule>
    <cfRule type="cellIs" dxfId="32954" priority="91" operator="equal">
      <formula>0</formula>
    </cfRule>
    <cfRule type="cellIs" dxfId="32953" priority="92" operator="greaterThan">
      <formula>0</formula>
    </cfRule>
    <cfRule type="cellIs" dxfId="32952" priority="93" operator="equal">
      <formula>"PMS"</formula>
    </cfRule>
    <cfRule type="containsText" dxfId="32951" priority="94" operator="containsText" text="CMS">
      <formula>NOT(ISERROR(SEARCH("CMS",F35)))</formula>
    </cfRule>
    <cfRule type="cellIs" dxfId="32950" priority="95" operator="equal">
      <formula>0</formula>
    </cfRule>
    <cfRule type="cellIs" dxfId="32949" priority="96" operator="greaterThan">
      <formula>0</formula>
    </cfRule>
  </conditionalFormatting>
  <conditionalFormatting sqref="F35:F57">
    <cfRule type="cellIs" dxfId="32948" priority="85" operator="equal">
      <formula>"PMS"</formula>
    </cfRule>
    <cfRule type="containsText" dxfId="32947" priority="86" operator="containsText" text="CMS">
      <formula>NOT(ISERROR(SEARCH("CMS",F35)))</formula>
    </cfRule>
    <cfRule type="cellIs" dxfId="32946" priority="87" operator="equal">
      <formula>0</formula>
    </cfRule>
    <cfRule type="cellIs" dxfId="32945" priority="88" operator="greaterThan">
      <formula>0</formula>
    </cfRule>
  </conditionalFormatting>
  <conditionalFormatting sqref="F35:F57">
    <cfRule type="cellIs" dxfId="32944" priority="81" operator="equal">
      <formula>"PMS"</formula>
    </cfRule>
    <cfRule type="containsText" dxfId="32943" priority="82" operator="containsText" text="CMS">
      <formula>NOT(ISERROR(SEARCH("CMS",F35)))</formula>
    </cfRule>
    <cfRule type="cellIs" dxfId="32942" priority="83" operator="equal">
      <formula>0</formula>
    </cfRule>
    <cfRule type="cellIs" dxfId="32941" priority="84" operator="greaterThan">
      <formula>0</formula>
    </cfRule>
  </conditionalFormatting>
  <conditionalFormatting sqref="F56">
    <cfRule type="cellIs" dxfId="32940" priority="77" operator="equal">
      <formula>"PMS"</formula>
    </cfRule>
    <cfRule type="containsText" dxfId="32939" priority="78" operator="containsText" text="CMS">
      <formula>NOT(ISERROR(SEARCH("CMS",F56)))</formula>
    </cfRule>
    <cfRule type="cellIs" dxfId="32938" priority="79" operator="equal">
      <formula>0</formula>
    </cfRule>
    <cfRule type="cellIs" dxfId="32937" priority="80" operator="greaterThan">
      <formula>0</formula>
    </cfRule>
  </conditionalFormatting>
  <conditionalFormatting sqref="F56">
    <cfRule type="cellIs" dxfId="32936" priority="73" operator="equal">
      <formula>"PMS"</formula>
    </cfRule>
    <cfRule type="containsText" dxfId="32935" priority="74" operator="containsText" text="CMS">
      <formula>NOT(ISERROR(SEARCH("CMS",F56)))</formula>
    </cfRule>
    <cfRule type="cellIs" dxfId="32934" priority="75" operator="equal">
      <formula>0</formula>
    </cfRule>
    <cfRule type="cellIs" dxfId="32933" priority="76" operator="greaterThan">
      <formula>0</formula>
    </cfRule>
  </conditionalFormatting>
  <conditionalFormatting sqref="F56">
    <cfRule type="cellIs" dxfId="32932" priority="69" operator="equal">
      <formula>"PMS"</formula>
    </cfRule>
    <cfRule type="containsText" dxfId="32931" priority="70" operator="containsText" text="CMS">
      <formula>NOT(ISERROR(SEARCH("CMS",F56)))</formula>
    </cfRule>
    <cfRule type="cellIs" dxfId="32930" priority="71" operator="equal">
      <formula>0</formula>
    </cfRule>
    <cfRule type="cellIs" dxfId="32929" priority="72" operator="greaterThan">
      <formula>0</formula>
    </cfRule>
  </conditionalFormatting>
  <conditionalFormatting sqref="F56">
    <cfRule type="cellIs" dxfId="32928" priority="65" operator="equal">
      <formula>"PMS"</formula>
    </cfRule>
    <cfRule type="containsText" dxfId="32927" priority="66" operator="containsText" text="CMS">
      <formula>NOT(ISERROR(SEARCH("CMS",F56)))</formula>
    </cfRule>
    <cfRule type="cellIs" dxfId="32926" priority="67" operator="equal">
      <formula>0</formula>
    </cfRule>
    <cfRule type="cellIs" dxfId="32925" priority="68" operator="greaterThan">
      <formula>0</formula>
    </cfRule>
  </conditionalFormatting>
  <conditionalFormatting sqref="F57">
    <cfRule type="cellIs" dxfId="32924" priority="61" operator="equal">
      <formula>"PMS"</formula>
    </cfRule>
    <cfRule type="containsText" dxfId="32923" priority="62" operator="containsText" text="CMS">
      <formula>NOT(ISERROR(SEARCH("CMS",F57)))</formula>
    </cfRule>
    <cfRule type="cellIs" dxfId="32922" priority="63" operator="equal">
      <formula>0</formula>
    </cfRule>
    <cfRule type="cellIs" dxfId="32921" priority="64" operator="greaterThan">
      <formula>0</formula>
    </cfRule>
  </conditionalFormatting>
  <conditionalFormatting sqref="F57">
    <cfRule type="cellIs" dxfId="32920" priority="57" operator="equal">
      <formula>"PMS"</formula>
    </cfRule>
    <cfRule type="containsText" dxfId="32919" priority="58" operator="containsText" text="CMS">
      <formula>NOT(ISERROR(SEARCH("CMS",F57)))</formula>
    </cfRule>
    <cfRule type="cellIs" dxfId="32918" priority="59" operator="equal">
      <formula>0</formula>
    </cfRule>
    <cfRule type="cellIs" dxfId="32917" priority="60" operator="greaterThan">
      <formula>0</formula>
    </cfRule>
  </conditionalFormatting>
  <conditionalFormatting sqref="F57">
    <cfRule type="cellIs" dxfId="32916" priority="53" operator="equal">
      <formula>"PMS"</formula>
    </cfRule>
    <cfRule type="containsText" dxfId="32915" priority="54" operator="containsText" text="CMS">
      <formula>NOT(ISERROR(SEARCH("CMS",F57)))</formula>
    </cfRule>
    <cfRule type="cellIs" dxfId="32914" priority="55" operator="equal">
      <formula>0</formula>
    </cfRule>
    <cfRule type="cellIs" dxfId="32913" priority="56" operator="greaterThan">
      <formula>0</formula>
    </cfRule>
  </conditionalFormatting>
  <conditionalFormatting sqref="F57">
    <cfRule type="cellIs" dxfId="32912" priority="49" operator="equal">
      <formula>"PMS"</formula>
    </cfRule>
    <cfRule type="containsText" dxfId="32911" priority="50" operator="containsText" text="CMS">
      <formula>NOT(ISERROR(SEARCH("CMS",F57)))</formula>
    </cfRule>
    <cfRule type="cellIs" dxfId="32910" priority="51" operator="equal">
      <formula>0</formula>
    </cfRule>
    <cfRule type="cellIs" dxfId="32909" priority="52" operator="greaterThan">
      <formula>0</formula>
    </cfRule>
  </conditionalFormatting>
  <conditionalFormatting sqref="F60:F62">
    <cfRule type="cellIs" dxfId="32908" priority="41" operator="equal">
      <formula>"PMS"</formula>
    </cfRule>
    <cfRule type="containsText" dxfId="32907" priority="42" operator="containsText" text="CMS">
      <formula>NOT(ISERROR(SEARCH("CMS",F60)))</formula>
    </cfRule>
    <cfRule type="cellIs" dxfId="32906" priority="43" operator="equal">
      <formula>0</formula>
    </cfRule>
    <cfRule type="cellIs" dxfId="32905" priority="44" operator="greaterThan">
      <formula>0</formula>
    </cfRule>
    <cfRule type="cellIs" dxfId="32904" priority="45" operator="equal">
      <formula>"PMS"</formula>
    </cfRule>
    <cfRule type="containsText" dxfId="32903" priority="46" operator="containsText" text="CMS">
      <formula>NOT(ISERROR(SEARCH("CMS",F60)))</formula>
    </cfRule>
    <cfRule type="cellIs" dxfId="32902" priority="47" operator="equal">
      <formula>0</formula>
    </cfRule>
    <cfRule type="cellIs" dxfId="32901" priority="48" operator="greaterThan">
      <formula>0</formula>
    </cfRule>
  </conditionalFormatting>
  <conditionalFormatting sqref="F60:F62">
    <cfRule type="cellIs" dxfId="32900" priority="37" operator="equal">
      <formula>"PMS"</formula>
    </cfRule>
    <cfRule type="containsText" dxfId="32899" priority="38" operator="containsText" text="CMS">
      <formula>NOT(ISERROR(SEARCH("CMS",F60)))</formula>
    </cfRule>
    <cfRule type="cellIs" dxfId="32898" priority="39" operator="equal">
      <formula>0</formula>
    </cfRule>
    <cfRule type="cellIs" dxfId="32897" priority="40" operator="greaterThan">
      <formula>0</formula>
    </cfRule>
  </conditionalFormatting>
  <conditionalFormatting sqref="F65:F73">
    <cfRule type="cellIs" dxfId="32896" priority="29" operator="equal">
      <formula>"PMS"</formula>
    </cfRule>
    <cfRule type="containsText" dxfId="32895" priority="30" operator="containsText" text="CMS">
      <formula>NOT(ISERROR(SEARCH("CMS",F65)))</formula>
    </cfRule>
    <cfRule type="cellIs" dxfId="32894" priority="31" operator="equal">
      <formula>0</formula>
    </cfRule>
    <cfRule type="cellIs" dxfId="32893" priority="32" operator="greaterThan">
      <formula>0</formula>
    </cfRule>
    <cfRule type="cellIs" dxfId="32892" priority="33" operator="equal">
      <formula>"PMS"</formula>
    </cfRule>
    <cfRule type="containsText" dxfId="32891" priority="34" operator="containsText" text="CMS">
      <formula>NOT(ISERROR(SEARCH("CMS",F65)))</formula>
    </cfRule>
    <cfRule type="cellIs" dxfId="32890" priority="35" operator="equal">
      <formula>0</formula>
    </cfRule>
    <cfRule type="cellIs" dxfId="32889" priority="36" operator="greaterThan">
      <formula>0</formula>
    </cfRule>
  </conditionalFormatting>
  <conditionalFormatting sqref="F65:F73">
    <cfRule type="cellIs" dxfId="32888" priority="25" operator="equal">
      <formula>"PMS"</formula>
    </cfRule>
    <cfRule type="containsText" dxfId="32887" priority="26" operator="containsText" text="CMS">
      <formula>NOT(ISERROR(SEARCH("CMS",F65)))</formula>
    </cfRule>
    <cfRule type="cellIs" dxfId="32886" priority="27" operator="equal">
      <formula>0</formula>
    </cfRule>
    <cfRule type="cellIs" dxfId="32885" priority="28" operator="greaterThan">
      <formula>0</formula>
    </cfRule>
  </conditionalFormatting>
  <conditionalFormatting sqref="F65:F73">
    <cfRule type="cellIs" dxfId="32884" priority="21" operator="equal">
      <formula>"PMS"</formula>
    </cfRule>
    <cfRule type="containsText" dxfId="32883" priority="22" operator="containsText" text="CMS">
      <formula>NOT(ISERROR(SEARCH("CMS",F65)))</formula>
    </cfRule>
    <cfRule type="cellIs" dxfId="32882" priority="23" operator="equal">
      <formula>0</formula>
    </cfRule>
    <cfRule type="cellIs" dxfId="32881" priority="24" operator="greaterThan">
      <formula>0</formula>
    </cfRule>
  </conditionalFormatting>
  <conditionalFormatting sqref="F76:F77">
    <cfRule type="cellIs" dxfId="32880" priority="13" operator="equal">
      <formula>"PMS"</formula>
    </cfRule>
    <cfRule type="containsText" dxfId="32879" priority="14" operator="containsText" text="CMS">
      <formula>NOT(ISERROR(SEARCH("CMS",F76)))</formula>
    </cfRule>
    <cfRule type="cellIs" dxfId="32878" priority="15" operator="equal">
      <formula>0</formula>
    </cfRule>
    <cfRule type="cellIs" dxfId="32877" priority="16" operator="greaterThan">
      <formula>0</formula>
    </cfRule>
    <cfRule type="cellIs" dxfId="32876" priority="17" operator="equal">
      <formula>"PMS"</formula>
    </cfRule>
    <cfRule type="containsText" dxfId="32875" priority="18" operator="containsText" text="CMS">
      <formula>NOT(ISERROR(SEARCH("CMS",F76)))</formula>
    </cfRule>
    <cfRule type="cellIs" dxfId="32874" priority="19" operator="equal">
      <formula>0</formula>
    </cfRule>
    <cfRule type="cellIs" dxfId="32873" priority="20" operator="greaterThan">
      <formula>0</formula>
    </cfRule>
  </conditionalFormatting>
  <conditionalFormatting sqref="F76:F77">
    <cfRule type="cellIs" dxfId="32872" priority="9" operator="equal">
      <formula>"PMS"</formula>
    </cfRule>
    <cfRule type="containsText" dxfId="32871" priority="10" operator="containsText" text="CMS">
      <formula>NOT(ISERROR(SEARCH("CMS",F76)))</formula>
    </cfRule>
    <cfRule type="cellIs" dxfId="32870" priority="11" operator="equal">
      <formula>0</formula>
    </cfRule>
    <cfRule type="cellIs" dxfId="32869" priority="12" operator="greaterThan">
      <formula>0</formula>
    </cfRule>
  </conditionalFormatting>
  <conditionalFormatting sqref="K61">
    <cfRule type="cellIs" dxfId="32868" priority="1" operator="equal">
      <formula>"PMS"</formula>
    </cfRule>
    <cfRule type="containsText" dxfId="32867" priority="2" operator="containsText" text="CMS">
      <formula>NOT(ISERROR(SEARCH("CMS",K61)))</formula>
    </cfRule>
    <cfRule type="cellIs" dxfId="32866" priority="3" operator="equal">
      <formula>0</formula>
    </cfRule>
    <cfRule type="cellIs" dxfId="32865" priority="4" operator="greaterThan">
      <formula>0</formula>
    </cfRule>
    <cfRule type="cellIs" dxfId="32864" priority="5" operator="equal">
      <formula>"PMS"</formula>
    </cfRule>
    <cfRule type="containsText" dxfId="32863" priority="6" operator="containsText" text="CMS">
      <formula>NOT(ISERROR(SEARCH("CMS",K61)))</formula>
    </cfRule>
    <cfRule type="cellIs" dxfId="32862" priority="7" operator="equal">
      <formula>0</formula>
    </cfRule>
    <cfRule type="cellIs" dxfId="32861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4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1AF2E-FE5A-41C6-98F6-9E9F1568D715}">
  <sheetPr codeName="Sheet99"/>
  <dimension ref="A2:DT133"/>
  <sheetViews>
    <sheetView zoomScale="70" zoomScaleNormal="70" zoomScaleSheetLayoutView="51" zoomScalePageLayoutView="55" workbookViewId="0">
      <pane xSplit="5" ySplit="11" topLeftCell="F14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Q27" sqref="Q2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2,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606.8000000000003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6.7</v>
      </c>
      <c r="H13" s="71">
        <v>6.4</v>
      </c>
      <c r="I13" s="71">
        <v>6.7</v>
      </c>
      <c r="J13" s="71">
        <v>6.5</v>
      </c>
      <c r="K13" s="71"/>
      <c r="L13" s="71"/>
      <c r="M13" s="71"/>
      <c r="N13" s="71">
        <v>6.8</v>
      </c>
      <c r="O13" s="219">
        <v>6.7</v>
      </c>
      <c r="P13" s="71">
        <v>6.5</v>
      </c>
      <c r="Q13" s="71">
        <v>6.6</v>
      </c>
      <c r="R13" s="71">
        <v>6.6</v>
      </c>
      <c r="S13" s="71">
        <v>6.4</v>
      </c>
      <c r="T13" s="71">
        <v>6.6</v>
      </c>
      <c r="U13" s="71">
        <v>6.7</v>
      </c>
      <c r="V13" s="71">
        <v>6.7</v>
      </c>
      <c r="W13" s="71">
        <v>6.6</v>
      </c>
      <c r="X13" s="71">
        <v>6.7</v>
      </c>
      <c r="Y13" s="71">
        <v>6.6</v>
      </c>
      <c r="Z13" s="71">
        <v>6.6</v>
      </c>
      <c r="AA13" s="71">
        <v>6.6</v>
      </c>
      <c r="AB13" s="71">
        <v>6.6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6.7</v>
      </c>
      <c r="H14" s="71">
        <v>6.4</v>
      </c>
      <c r="I14" s="71">
        <v>6.7</v>
      </c>
      <c r="J14" s="71">
        <v>6.5</v>
      </c>
      <c r="K14" s="71">
        <v>6.7</v>
      </c>
      <c r="L14" s="71">
        <v>6.7</v>
      </c>
      <c r="M14" s="71">
        <v>6.8</v>
      </c>
      <c r="N14" s="71">
        <v>6.8</v>
      </c>
      <c r="O14" s="219">
        <v>6.7</v>
      </c>
      <c r="P14" s="71">
        <v>6.5</v>
      </c>
      <c r="Q14" s="71">
        <v>6.6</v>
      </c>
      <c r="R14" s="71">
        <v>6.6</v>
      </c>
      <c r="S14" s="71">
        <v>6.4</v>
      </c>
      <c r="T14" s="71">
        <v>6.6</v>
      </c>
      <c r="U14" s="71">
        <v>6.7</v>
      </c>
      <c r="V14" s="71">
        <v>6.7</v>
      </c>
      <c r="W14" s="71">
        <v>6.6</v>
      </c>
      <c r="X14" s="71">
        <v>6.7</v>
      </c>
      <c r="Y14" s="71">
        <v>6.6</v>
      </c>
      <c r="Z14" s="71">
        <v>6.6</v>
      </c>
      <c r="AA14" s="71">
        <v>6.6</v>
      </c>
      <c r="AB14" s="71">
        <v>6.6</v>
      </c>
      <c r="AC14" s="71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6.4</v>
      </c>
      <c r="G15" s="71">
        <v>6.7</v>
      </c>
      <c r="H15" s="71">
        <v>6.4</v>
      </c>
      <c r="I15" s="71">
        <v>6.7</v>
      </c>
      <c r="J15" s="71">
        <v>6.5</v>
      </c>
      <c r="K15" s="71">
        <v>6.7</v>
      </c>
      <c r="L15" s="71">
        <v>6.7</v>
      </c>
      <c r="M15" s="71">
        <v>6.8</v>
      </c>
      <c r="N15" s="71">
        <v>6.8</v>
      </c>
      <c r="O15" s="219">
        <v>6.7</v>
      </c>
      <c r="P15" s="71">
        <v>6.5</v>
      </c>
      <c r="Q15" s="71">
        <v>6.6</v>
      </c>
      <c r="R15" s="71">
        <v>6.6</v>
      </c>
      <c r="S15" s="71">
        <v>6.4</v>
      </c>
      <c r="T15" s="71">
        <v>6.6</v>
      </c>
      <c r="U15" s="71">
        <v>6.7</v>
      </c>
      <c r="V15" s="71">
        <v>6.7</v>
      </c>
      <c r="W15" s="71">
        <v>6.6</v>
      </c>
      <c r="X15" s="71">
        <v>6.7</v>
      </c>
      <c r="Y15" s="71">
        <v>6.6</v>
      </c>
      <c r="Z15" s="71">
        <v>6.5</v>
      </c>
      <c r="AA15" s="71">
        <v>6.6</v>
      </c>
      <c r="AB15" s="71">
        <v>6.6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6.4</v>
      </c>
      <c r="G16" s="71">
        <v>6.7</v>
      </c>
      <c r="H16" s="71">
        <v>6.4</v>
      </c>
      <c r="I16" s="71">
        <v>6.7</v>
      </c>
      <c r="J16" s="71">
        <v>6.5</v>
      </c>
      <c r="K16" s="71">
        <v>6.7</v>
      </c>
      <c r="L16" s="71">
        <v>6.7</v>
      </c>
      <c r="M16" s="71">
        <v>6.8</v>
      </c>
      <c r="N16" s="71"/>
      <c r="O16" s="219">
        <v>6.7</v>
      </c>
      <c r="P16" s="71">
        <v>6.5</v>
      </c>
      <c r="Q16" s="71">
        <v>6.6</v>
      </c>
      <c r="R16" s="71">
        <v>6.6</v>
      </c>
      <c r="S16" s="71">
        <v>6.4</v>
      </c>
      <c r="T16" s="71">
        <v>6.6</v>
      </c>
      <c r="U16" s="71">
        <v>6.7</v>
      </c>
      <c r="V16" s="71">
        <v>6.7</v>
      </c>
      <c r="W16" s="71">
        <v>6.6</v>
      </c>
      <c r="X16" s="71">
        <v>6.7</v>
      </c>
      <c r="Y16" s="71">
        <v>6.6</v>
      </c>
      <c r="Z16" s="71">
        <v>6.5</v>
      </c>
      <c r="AA16" s="71">
        <v>6.6</v>
      </c>
      <c r="AB16" s="71">
        <v>6.6</v>
      </c>
      <c r="AC16" s="71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25.6</v>
      </c>
      <c r="G17" s="19">
        <f t="shared" ref="G17:AC17" si="1">SUM(G13:G16)</f>
        <v>26.8</v>
      </c>
      <c r="H17" s="19">
        <f t="shared" si="1"/>
        <v>25.6</v>
      </c>
      <c r="I17" s="19">
        <f t="shared" si="1"/>
        <v>26.8</v>
      </c>
      <c r="J17" s="19">
        <f t="shared" si="1"/>
        <v>26</v>
      </c>
      <c r="K17" s="19">
        <f t="shared" si="1"/>
        <v>20.100000000000001</v>
      </c>
      <c r="L17" s="19">
        <f t="shared" si="1"/>
        <v>20.100000000000001</v>
      </c>
      <c r="M17" s="19">
        <f t="shared" si="1"/>
        <v>20.399999999999999</v>
      </c>
      <c r="N17" s="19">
        <f t="shared" si="1"/>
        <v>20.399999999999999</v>
      </c>
      <c r="O17" s="19">
        <f t="shared" si="1"/>
        <v>26.8</v>
      </c>
      <c r="P17" s="19">
        <f t="shared" si="1"/>
        <v>26</v>
      </c>
      <c r="Q17" s="19">
        <f t="shared" si="1"/>
        <v>26.4</v>
      </c>
      <c r="R17" s="19">
        <f t="shared" si="1"/>
        <v>26.4</v>
      </c>
      <c r="S17" s="19">
        <f t="shared" si="1"/>
        <v>25.6</v>
      </c>
      <c r="T17" s="19">
        <f t="shared" si="1"/>
        <v>26.4</v>
      </c>
      <c r="U17" s="19">
        <f t="shared" si="1"/>
        <v>26.8</v>
      </c>
      <c r="V17" s="19">
        <f t="shared" si="1"/>
        <v>26.8</v>
      </c>
      <c r="W17" s="19">
        <f t="shared" si="1"/>
        <v>26.4</v>
      </c>
      <c r="X17" s="19">
        <f t="shared" si="1"/>
        <v>26.8</v>
      </c>
      <c r="Y17" s="19">
        <f t="shared" si="1"/>
        <v>26.4</v>
      </c>
      <c r="Z17" s="19">
        <f t="shared" si="1"/>
        <v>26.2</v>
      </c>
      <c r="AA17" s="19">
        <f t="shared" si="1"/>
        <v>26.4</v>
      </c>
      <c r="AB17" s="19">
        <f t="shared" si="1"/>
        <v>26.4</v>
      </c>
      <c r="AC17" s="19">
        <f t="shared" si="1"/>
        <v>25.2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75.900000000000034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</v>
      </c>
      <c r="H21" s="71">
        <v>2.5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</v>
      </c>
      <c r="H22" s="19">
        <f t="shared" si="3"/>
        <v>2.5</v>
      </c>
      <c r="I22" s="19">
        <f t="shared" si="3"/>
        <v>3.2</v>
      </c>
      <c r="J22" s="19">
        <f t="shared" si="3"/>
        <v>3.2</v>
      </c>
      <c r="K22" s="19">
        <f t="shared" si="3"/>
        <v>3.2</v>
      </c>
      <c r="L22" s="19">
        <f t="shared" si="3"/>
        <v>3.2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3.2</v>
      </c>
      <c r="V22" s="19">
        <f t="shared" si="3"/>
        <v>3.2</v>
      </c>
      <c r="W22" s="19">
        <f t="shared" si="3"/>
        <v>3.2</v>
      </c>
      <c r="X22" s="19">
        <f t="shared" si="3"/>
        <v>3.2</v>
      </c>
      <c r="Y22" s="19">
        <f t="shared" si="3"/>
        <v>3.2</v>
      </c>
      <c r="Z22" s="19">
        <f t="shared" si="3"/>
        <v>3.2</v>
      </c>
      <c r="AA22" s="19">
        <f t="shared" si="3"/>
        <v>3.2</v>
      </c>
      <c r="AB22" s="19">
        <f t="shared" si="3"/>
        <v>3.2</v>
      </c>
      <c r="AC22" s="19">
        <f t="shared" si="3"/>
        <v>3.2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>
        <v>0.5</v>
      </c>
      <c r="H24" s="71">
        <v>1.5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>
        <v>3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21</v>
      </c>
      <c r="AG24" s="11">
        <f>COUNTIF(G24:AD24,$AJ$7)</f>
        <v>0</v>
      </c>
      <c r="AH24" s="11">
        <f>COUNT(F24:AC24)</f>
        <v>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0.5</v>
      </c>
      <c r="H25" s="19">
        <f t="shared" si="5"/>
        <v>1.5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3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100.19999999999996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4</v>
      </c>
      <c r="H27" s="71">
        <v>3.5</v>
      </c>
      <c r="I27" s="71">
        <v>2.5</v>
      </c>
      <c r="J27" s="71">
        <v>2.7</v>
      </c>
      <c r="K27" s="71">
        <v>4.0999999999999996</v>
      </c>
      <c r="L27" s="71">
        <v>4.2</v>
      </c>
      <c r="M27" s="71">
        <v>4.0999999999999996</v>
      </c>
      <c r="N27" s="71">
        <v>4</v>
      </c>
      <c r="O27" s="219">
        <v>4</v>
      </c>
      <c r="P27" s="71">
        <v>3.9</v>
      </c>
      <c r="Q27" s="71">
        <v>3.9</v>
      </c>
      <c r="R27" s="71">
        <v>3.8</v>
      </c>
      <c r="S27" s="71">
        <v>3.7</v>
      </c>
      <c r="T27" s="71">
        <v>3.8</v>
      </c>
      <c r="U27" s="71">
        <v>4</v>
      </c>
      <c r="V27" s="71">
        <v>4</v>
      </c>
      <c r="W27" s="71">
        <v>3.9</v>
      </c>
      <c r="X27" s="71">
        <v>4</v>
      </c>
      <c r="Y27" s="71">
        <v>4.0999999999999996</v>
      </c>
      <c r="Z27" s="71">
        <v>4.0999999999999996</v>
      </c>
      <c r="AA27" s="71">
        <v>2.2000000000000002</v>
      </c>
      <c r="AB27" s="71">
        <v>3.6</v>
      </c>
      <c r="AC27" s="71">
        <v>3.6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 t="s">
        <v>9</v>
      </c>
      <c r="G28" s="71" t="s">
        <v>9</v>
      </c>
      <c r="H28" s="71" t="s">
        <v>9</v>
      </c>
      <c r="I28" s="71" t="s">
        <v>9</v>
      </c>
      <c r="J28" s="71" t="s">
        <v>9</v>
      </c>
      <c r="K28" s="71" t="s">
        <v>9</v>
      </c>
      <c r="L28" s="71" t="s">
        <v>9</v>
      </c>
      <c r="M28" s="71" t="s">
        <v>9</v>
      </c>
      <c r="N28" s="71" t="s">
        <v>9</v>
      </c>
      <c r="O28" s="219" t="s">
        <v>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>
        <v>3.5</v>
      </c>
      <c r="AB28" s="71">
        <v>3.6</v>
      </c>
      <c r="AC28" s="71">
        <v>3.6</v>
      </c>
      <c r="AD28" s="41"/>
      <c r="AE28" s="41"/>
      <c r="AF28" s="11">
        <f>COUNTIF(F28:AC28,$AJ$8)</f>
        <v>21</v>
      </c>
      <c r="AG28" s="11">
        <f>COUNTIF(G28:AD28,$AJ$7)</f>
        <v>0</v>
      </c>
      <c r="AH28" s="11">
        <f>COUNT(F28:AC28)</f>
        <v>3</v>
      </c>
    </row>
    <row r="29" spans="1:51" x14ac:dyDescent="0.25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3.8</v>
      </c>
      <c r="G29" s="19">
        <f t="shared" ref="G29:AC29" si="7">SUM(G27:G28)</f>
        <v>4</v>
      </c>
      <c r="H29" s="19">
        <f t="shared" si="7"/>
        <v>3.5</v>
      </c>
      <c r="I29" s="19">
        <f t="shared" si="7"/>
        <v>2.5</v>
      </c>
      <c r="J29" s="19">
        <f t="shared" si="7"/>
        <v>2.7</v>
      </c>
      <c r="K29" s="19">
        <f t="shared" si="7"/>
        <v>4.0999999999999996</v>
      </c>
      <c r="L29" s="19">
        <f t="shared" si="7"/>
        <v>4.2</v>
      </c>
      <c r="M29" s="19">
        <f t="shared" si="7"/>
        <v>4.0999999999999996</v>
      </c>
      <c r="N29" s="19">
        <f t="shared" si="7"/>
        <v>4</v>
      </c>
      <c r="O29" s="19">
        <f t="shared" si="7"/>
        <v>4</v>
      </c>
      <c r="P29" s="19">
        <f t="shared" si="7"/>
        <v>3.9</v>
      </c>
      <c r="Q29" s="19">
        <f t="shared" si="7"/>
        <v>3.9</v>
      </c>
      <c r="R29" s="19">
        <f t="shared" si="7"/>
        <v>3.8</v>
      </c>
      <c r="S29" s="19">
        <f t="shared" si="7"/>
        <v>3.7</v>
      </c>
      <c r="T29" s="19">
        <f t="shared" si="7"/>
        <v>3.8</v>
      </c>
      <c r="U29" s="19">
        <f t="shared" si="7"/>
        <v>4</v>
      </c>
      <c r="V29" s="19">
        <f t="shared" si="7"/>
        <v>4</v>
      </c>
      <c r="W29" s="19">
        <f t="shared" si="7"/>
        <v>3.9</v>
      </c>
      <c r="X29" s="19">
        <f t="shared" si="7"/>
        <v>4</v>
      </c>
      <c r="Y29" s="19">
        <f t="shared" si="7"/>
        <v>4.0999999999999996</v>
      </c>
      <c r="Z29" s="19">
        <f t="shared" si="7"/>
        <v>4.0999999999999996</v>
      </c>
      <c r="AA29" s="19">
        <f t="shared" si="7"/>
        <v>5.7</v>
      </c>
      <c r="AB29" s="19">
        <f t="shared" si="7"/>
        <v>7.2</v>
      </c>
      <c r="AC29" s="19">
        <f t="shared" si="7"/>
        <v>7.2</v>
      </c>
      <c r="AD29" s="41"/>
      <c r="AE29" s="41"/>
      <c r="AF29" s="11"/>
      <c r="AG29" s="11"/>
      <c r="AH29" s="11"/>
    </row>
    <row r="30" spans="1:51" x14ac:dyDescent="0.25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 x14ac:dyDescent="0.25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322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219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 x14ac:dyDescent="0.25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0</v>
      </c>
      <c r="G32" s="19">
        <f t="shared" ref="G32:AC32" si="9">SUM(G31)</f>
        <v>0</v>
      </c>
      <c r="H32" s="19">
        <f t="shared" si="9"/>
        <v>0</v>
      </c>
      <c r="I32" s="19">
        <f t="shared" si="9"/>
        <v>0</v>
      </c>
      <c r="J32" s="19">
        <f t="shared" si="9"/>
        <v>0</v>
      </c>
      <c r="K32" s="19">
        <f t="shared" si="9"/>
        <v>0</v>
      </c>
      <c r="L32" s="19">
        <f t="shared" si="9"/>
        <v>0</v>
      </c>
      <c r="M32" s="19">
        <f t="shared" si="9"/>
        <v>0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 x14ac:dyDescent="0.2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173.60000000000025</v>
      </c>
    </row>
    <row r="34" spans="1:35" x14ac:dyDescent="0.2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 x14ac:dyDescent="0.2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>
        <f>12.1/15</f>
        <v>0.80666666666666664</v>
      </c>
      <c r="T36" s="71">
        <f>11.1/14</f>
        <v>0.79285714285714282</v>
      </c>
      <c r="U36" s="71">
        <v>0</v>
      </c>
      <c r="V36" s="71">
        <v>0.8</v>
      </c>
      <c r="W36" s="71">
        <v>0.8</v>
      </c>
      <c r="X36" s="71">
        <v>0.8</v>
      </c>
      <c r="Y36" s="71">
        <v>0.8</v>
      </c>
      <c r="Z36" s="71">
        <v>0.8</v>
      </c>
      <c r="AA36" s="71">
        <v>0.8</v>
      </c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9</v>
      </c>
    </row>
    <row r="37" spans="1:35" x14ac:dyDescent="0.2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>
        <v>0.9</v>
      </c>
      <c r="Z37" s="71">
        <v>0.9</v>
      </c>
      <c r="AA37" s="71"/>
      <c r="AB37" s="71"/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2</v>
      </c>
    </row>
    <row r="38" spans="1:35" x14ac:dyDescent="0.2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>
        <v>0.9</v>
      </c>
      <c r="Z38" s="71">
        <v>0.9</v>
      </c>
      <c r="AA38" s="71">
        <v>0.9</v>
      </c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3</v>
      </c>
    </row>
    <row r="39" spans="1:35" x14ac:dyDescent="0.2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>
        <f>12.1/15</f>
        <v>0.80666666666666664</v>
      </c>
      <c r="T39" s="71">
        <v>0</v>
      </c>
      <c r="U39" s="71">
        <v>0</v>
      </c>
      <c r="V39" s="71">
        <v>0.9</v>
      </c>
      <c r="W39" s="71">
        <v>0.9</v>
      </c>
      <c r="X39" s="71">
        <v>0.9</v>
      </c>
      <c r="Y39" s="71">
        <v>0.9</v>
      </c>
      <c r="Z39" s="71">
        <v>0.9</v>
      </c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8</v>
      </c>
    </row>
    <row r="40" spans="1:35" x14ac:dyDescent="0.2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>
        <v>0.9</v>
      </c>
      <c r="Z40" s="71">
        <v>0.9</v>
      </c>
      <c r="AA40" s="71">
        <v>0.9</v>
      </c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3</v>
      </c>
    </row>
    <row r="41" spans="1:35" x14ac:dyDescent="0.2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 x14ac:dyDescent="0.2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>
        <v>0</v>
      </c>
      <c r="U42" s="71">
        <v>0</v>
      </c>
      <c r="V42" s="71">
        <v>0.9</v>
      </c>
      <c r="W42" s="71">
        <v>0.9</v>
      </c>
      <c r="X42" s="71">
        <v>0.9</v>
      </c>
      <c r="Y42" s="71">
        <v>0.9</v>
      </c>
      <c r="Z42" s="71">
        <v>0.9</v>
      </c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7</v>
      </c>
    </row>
    <row r="43" spans="1:35" ht="16.5" customHeight="1" x14ac:dyDescent="0.25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0.8</v>
      </c>
      <c r="N43" s="71">
        <v>0.78749999999999998</v>
      </c>
      <c r="O43" s="219">
        <v>0.78333333333333333</v>
      </c>
      <c r="P43" s="71">
        <v>0.82500000000000007</v>
      </c>
      <c r="Q43" s="71">
        <f>9.7/12</f>
        <v>0.80833333333333324</v>
      </c>
      <c r="R43" s="71">
        <f>9.7/12</f>
        <v>0.80833333333333324</v>
      </c>
      <c r="S43" s="71">
        <f t="shared" ref="S43:S48" si="13">12.1/15</f>
        <v>0.80666666666666664</v>
      </c>
      <c r="T43" s="71">
        <f t="shared" ref="T43:T48" si="14">11.1/14</f>
        <v>0.79285714285714282</v>
      </c>
      <c r="U43" s="71">
        <v>0.79</v>
      </c>
      <c r="V43" s="71">
        <v>0</v>
      </c>
      <c r="W43" s="71">
        <v>0</v>
      </c>
      <c r="X43" s="71">
        <v>0</v>
      </c>
      <c r="Y43" s="71">
        <v>0.79</v>
      </c>
      <c r="Z43" s="71">
        <v>0.79</v>
      </c>
      <c r="AA43" s="71">
        <v>0.79</v>
      </c>
      <c r="AB43" s="71">
        <v>0.85</v>
      </c>
      <c r="AC43" s="71">
        <f>3.2/4</f>
        <v>0.8</v>
      </c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17</v>
      </c>
    </row>
    <row r="44" spans="1:35" x14ac:dyDescent="0.25">
      <c r="A44" s="70" t="s">
        <v>36</v>
      </c>
      <c r="B44" s="15"/>
      <c r="C44" s="15">
        <v>0.8</v>
      </c>
      <c r="D44" s="15"/>
      <c r="E44" s="15"/>
      <c r="F44" s="71">
        <f>5.7/7</f>
        <v>0.81428571428571428</v>
      </c>
      <c r="G44" s="71"/>
      <c r="H44" s="71"/>
      <c r="I44" s="71"/>
      <c r="J44" s="71"/>
      <c r="K44" s="71"/>
      <c r="L44" s="71"/>
      <c r="M44" s="71"/>
      <c r="N44" s="71">
        <v>0.78749999999999998</v>
      </c>
      <c r="O44" s="71">
        <v>0.78333333333333333</v>
      </c>
      <c r="P44" s="71">
        <v>0.82500000000000007</v>
      </c>
      <c r="Q44" s="71">
        <f t="shared" ref="Q44:R48" si="15">9.7/12</f>
        <v>0.80833333333333324</v>
      </c>
      <c r="R44" s="71">
        <f t="shared" si="15"/>
        <v>0.80833333333333324</v>
      </c>
      <c r="S44" s="71">
        <f t="shared" si="13"/>
        <v>0.80666666666666664</v>
      </c>
      <c r="T44" s="71">
        <f t="shared" si="14"/>
        <v>0.79285714285714282</v>
      </c>
      <c r="U44" s="71">
        <v>0.79</v>
      </c>
      <c r="V44" s="71">
        <v>0.8</v>
      </c>
      <c r="W44" s="71">
        <v>0.8</v>
      </c>
      <c r="X44" s="71">
        <v>0.79</v>
      </c>
      <c r="Y44" s="71">
        <v>0.79</v>
      </c>
      <c r="Z44" s="71">
        <v>0.79</v>
      </c>
      <c r="AA44" s="71">
        <v>0.79</v>
      </c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15</v>
      </c>
    </row>
    <row r="45" spans="1:35" x14ac:dyDescent="0.25">
      <c r="A45" s="70" t="s">
        <v>37</v>
      </c>
      <c r="B45" s="15"/>
      <c r="C45" s="15">
        <v>0.8</v>
      </c>
      <c r="D45" s="15"/>
      <c r="E45" s="15"/>
      <c r="F45" s="71">
        <f>5.7/7</f>
        <v>0.81428571428571428</v>
      </c>
      <c r="G45" s="71"/>
      <c r="H45" s="71"/>
      <c r="I45" s="71"/>
      <c r="J45" s="71"/>
      <c r="K45" s="71"/>
      <c r="L45" s="71"/>
      <c r="M45" s="71"/>
      <c r="N45" s="71"/>
      <c r="O45" s="219">
        <v>0.78333333333333333</v>
      </c>
      <c r="P45" s="71">
        <v>0.82500000000000007</v>
      </c>
      <c r="Q45" s="71">
        <f t="shared" si="15"/>
        <v>0.80833333333333324</v>
      </c>
      <c r="R45" s="71">
        <f t="shared" si="15"/>
        <v>0.80833333333333324</v>
      </c>
      <c r="S45" s="71">
        <f t="shared" si="13"/>
        <v>0.80666666666666664</v>
      </c>
      <c r="T45" s="71">
        <f t="shared" si="14"/>
        <v>0.79285714285714282</v>
      </c>
      <c r="U45" s="71">
        <v>0.79</v>
      </c>
      <c r="V45" s="71">
        <v>0.8</v>
      </c>
      <c r="W45" s="71">
        <v>0.8</v>
      </c>
      <c r="X45" s="71">
        <v>0.79</v>
      </c>
      <c r="Y45" s="71">
        <v>0.79</v>
      </c>
      <c r="Z45" s="71">
        <v>0.79</v>
      </c>
      <c r="AA45" s="71">
        <v>0.79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14</v>
      </c>
    </row>
    <row r="46" spans="1:35" x14ac:dyDescent="0.2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>
        <v>0.8</v>
      </c>
      <c r="L46" s="71"/>
      <c r="M46" s="71"/>
      <c r="N46" s="71"/>
      <c r="O46" s="219"/>
      <c r="P46" s="71">
        <v>0.82500000000000007</v>
      </c>
      <c r="Q46" s="71">
        <f t="shared" si="15"/>
        <v>0.80833333333333324</v>
      </c>
      <c r="R46" s="71">
        <f t="shared" si="15"/>
        <v>0.80833333333333324</v>
      </c>
      <c r="S46" s="71">
        <f t="shared" si="13"/>
        <v>0.80666666666666664</v>
      </c>
      <c r="T46" s="71">
        <f t="shared" si="14"/>
        <v>0.79285714285714282</v>
      </c>
      <c r="U46" s="71">
        <v>0.79</v>
      </c>
      <c r="V46" s="71">
        <v>0.8</v>
      </c>
      <c r="W46" s="71">
        <v>0.8</v>
      </c>
      <c r="X46" s="71">
        <v>0.79</v>
      </c>
      <c r="Y46" s="71">
        <v>0.79</v>
      </c>
      <c r="Z46" s="71">
        <v>0.79</v>
      </c>
      <c r="AA46" s="71">
        <v>0.79</v>
      </c>
      <c r="AB46" s="71">
        <v>0.85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14</v>
      </c>
    </row>
    <row r="47" spans="1:35" ht="15" customHeight="1" x14ac:dyDescent="0.25">
      <c r="A47" s="70" t="s">
        <v>39</v>
      </c>
      <c r="B47" s="15"/>
      <c r="C47" s="15">
        <v>0.8</v>
      </c>
      <c r="D47" s="15"/>
      <c r="E47" s="15"/>
      <c r="F47" s="71">
        <f>5.7/7</f>
        <v>0.81428571428571428</v>
      </c>
      <c r="G47" s="71"/>
      <c r="H47" s="71"/>
      <c r="I47" s="71"/>
      <c r="J47" s="71"/>
      <c r="K47" s="71"/>
      <c r="L47" s="71"/>
      <c r="M47" s="71"/>
      <c r="N47" s="71">
        <v>0.78749999999999998</v>
      </c>
      <c r="O47" s="71">
        <v>0.78333333333333333</v>
      </c>
      <c r="P47" s="71">
        <v>0.82500000000000007</v>
      </c>
      <c r="Q47" s="71">
        <f t="shared" si="15"/>
        <v>0.80833333333333324</v>
      </c>
      <c r="R47" s="71">
        <f t="shared" si="15"/>
        <v>0.80833333333333324</v>
      </c>
      <c r="S47" s="71">
        <f t="shared" si="13"/>
        <v>0.80666666666666664</v>
      </c>
      <c r="T47" s="71">
        <f t="shared" si="14"/>
        <v>0.79285714285714282</v>
      </c>
      <c r="U47" s="71">
        <v>0.79</v>
      </c>
      <c r="V47" s="71">
        <v>0.8</v>
      </c>
      <c r="W47" s="71">
        <v>0.8</v>
      </c>
      <c r="X47" s="71">
        <v>0.79</v>
      </c>
      <c r="Y47" s="71">
        <v>0.79</v>
      </c>
      <c r="Z47" s="71">
        <v>0.79</v>
      </c>
      <c r="AA47" s="71">
        <v>0.79</v>
      </c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15</v>
      </c>
    </row>
    <row r="48" spans="1:35" ht="16.5" customHeight="1" x14ac:dyDescent="0.25">
      <c r="A48" s="70" t="s">
        <v>40</v>
      </c>
      <c r="B48" s="15"/>
      <c r="C48" s="15">
        <v>0.8</v>
      </c>
      <c r="D48" s="15"/>
      <c r="E48" s="15"/>
      <c r="F48" s="71">
        <f>5.7/7</f>
        <v>0.81428571428571428</v>
      </c>
      <c r="G48" s="71"/>
      <c r="H48" s="71"/>
      <c r="I48" s="71"/>
      <c r="J48" s="71"/>
      <c r="K48" s="71"/>
      <c r="L48" s="71"/>
      <c r="M48" s="71"/>
      <c r="N48" s="71"/>
      <c r="O48" s="219"/>
      <c r="P48" s="71">
        <v>0.82500000000000007</v>
      </c>
      <c r="Q48" s="71">
        <f t="shared" si="15"/>
        <v>0.80833333333333324</v>
      </c>
      <c r="R48" s="71">
        <f t="shared" si="15"/>
        <v>0.80833333333333324</v>
      </c>
      <c r="S48" s="71">
        <f t="shared" si="13"/>
        <v>0.80666666666666664</v>
      </c>
      <c r="T48" s="71">
        <f t="shared" si="14"/>
        <v>0.79285714285714282</v>
      </c>
      <c r="U48" s="71">
        <v>0.79</v>
      </c>
      <c r="V48" s="71">
        <v>0.8</v>
      </c>
      <c r="W48" s="71">
        <v>0.8</v>
      </c>
      <c r="X48" s="71">
        <v>0.79</v>
      </c>
      <c r="Y48" s="71">
        <v>0.79</v>
      </c>
      <c r="Z48" s="71">
        <v>0.79</v>
      </c>
      <c r="AA48" s="71">
        <v>0.79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14</v>
      </c>
    </row>
    <row r="49" spans="1:124" x14ac:dyDescent="0.25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25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0</v>
      </c>
    </row>
    <row r="51" spans="1:124" x14ac:dyDescent="0.25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>
        <v>0.8</v>
      </c>
      <c r="L51" s="71">
        <v>0.8</v>
      </c>
      <c r="M51" s="71">
        <v>0.8</v>
      </c>
      <c r="N51" s="71"/>
      <c r="O51" s="219"/>
      <c r="P51" s="71">
        <v>0.82500000000000007</v>
      </c>
      <c r="Q51" s="71">
        <f t="shared" ref="Q51:R55" si="16">9.7/12</f>
        <v>0.80833333333333324</v>
      </c>
      <c r="R51" s="71">
        <f t="shared" si="16"/>
        <v>0.80833333333333324</v>
      </c>
      <c r="S51" s="71">
        <f t="shared" ref="S51:S57" si="17">12.1/15</f>
        <v>0.80666666666666664</v>
      </c>
      <c r="T51" s="71">
        <f t="shared" ref="T51:T57" si="18">11.1/14</f>
        <v>0.79285714285714282</v>
      </c>
      <c r="U51" s="71">
        <v>0</v>
      </c>
      <c r="V51" s="71">
        <v>0</v>
      </c>
      <c r="W51" s="71">
        <v>0</v>
      </c>
      <c r="X51" s="71">
        <v>0</v>
      </c>
      <c r="Y51" s="71">
        <v>0</v>
      </c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13</v>
      </c>
    </row>
    <row r="52" spans="1:124" ht="16.5" customHeight="1" x14ac:dyDescent="0.25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0.8</v>
      </c>
      <c r="L52" s="71">
        <v>0.8</v>
      </c>
      <c r="M52" s="71">
        <v>0.8</v>
      </c>
      <c r="N52" s="71">
        <v>0.78749999999999998</v>
      </c>
      <c r="O52" s="219"/>
      <c r="P52" s="71">
        <v>0.82500000000000007</v>
      </c>
      <c r="Q52" s="71">
        <f t="shared" si="16"/>
        <v>0.80833333333333324</v>
      </c>
      <c r="R52" s="71">
        <f t="shared" si="16"/>
        <v>0.80833333333333324</v>
      </c>
      <c r="S52" s="71">
        <f t="shared" si="17"/>
        <v>0.80666666666666664</v>
      </c>
      <c r="T52" s="71">
        <f t="shared" si="18"/>
        <v>0.79285714285714282</v>
      </c>
      <c r="U52" s="71">
        <v>0.79</v>
      </c>
      <c r="V52" s="71">
        <v>0.8</v>
      </c>
      <c r="W52" s="71">
        <v>0.8</v>
      </c>
      <c r="X52" s="71">
        <v>0.79</v>
      </c>
      <c r="Y52" s="71">
        <v>0.79</v>
      </c>
      <c r="Z52" s="71">
        <v>0.79</v>
      </c>
      <c r="AA52" s="71">
        <v>0.79</v>
      </c>
      <c r="AB52" s="71">
        <v>0.8</v>
      </c>
      <c r="AC52" s="71">
        <f>3.2/4</f>
        <v>0.8</v>
      </c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18</v>
      </c>
    </row>
    <row r="53" spans="1:124" x14ac:dyDescent="0.25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>
        <v>0.8</v>
      </c>
      <c r="L53" s="71">
        <v>0.8</v>
      </c>
      <c r="M53" s="71">
        <v>0.8</v>
      </c>
      <c r="N53" s="71">
        <v>0.78749999999999998</v>
      </c>
      <c r="O53" s="219"/>
      <c r="P53" s="71">
        <v>0.82500000000000007</v>
      </c>
      <c r="Q53" s="71">
        <f t="shared" si="16"/>
        <v>0.80833333333333324</v>
      </c>
      <c r="R53" s="71">
        <f t="shared" si="16"/>
        <v>0.80833333333333324</v>
      </c>
      <c r="S53" s="71">
        <f t="shared" si="17"/>
        <v>0.80666666666666664</v>
      </c>
      <c r="T53" s="71">
        <f t="shared" si="18"/>
        <v>0.79285714285714282</v>
      </c>
      <c r="U53" s="71">
        <v>0.79</v>
      </c>
      <c r="V53" s="71">
        <v>0.8</v>
      </c>
      <c r="W53" s="71">
        <v>0.8</v>
      </c>
      <c r="X53" s="71">
        <v>0.79</v>
      </c>
      <c r="Y53" s="71">
        <v>0.79</v>
      </c>
      <c r="Z53" s="71">
        <v>0.79</v>
      </c>
      <c r="AA53" s="71">
        <v>0.79</v>
      </c>
      <c r="AB53" s="71">
        <v>0.8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17</v>
      </c>
    </row>
    <row r="54" spans="1:124" x14ac:dyDescent="0.25">
      <c r="A54" s="70" t="s">
        <v>46</v>
      </c>
      <c r="B54" s="15"/>
      <c r="C54" s="15">
        <v>0.8</v>
      </c>
      <c r="D54" s="15"/>
      <c r="E54" s="15"/>
      <c r="F54" s="71">
        <f t="shared" ref="F54:F56" si="19">5.7/7</f>
        <v>0.81428571428571428</v>
      </c>
      <c r="G54" s="71">
        <v>0.8</v>
      </c>
      <c r="H54" s="71"/>
      <c r="I54" s="71"/>
      <c r="J54" s="71"/>
      <c r="K54" s="71"/>
      <c r="L54" s="71"/>
      <c r="M54" s="71"/>
      <c r="N54" s="71"/>
      <c r="O54" s="219"/>
      <c r="P54" s="71">
        <v>0.82500000000000007</v>
      </c>
      <c r="Q54" s="71">
        <f t="shared" si="16"/>
        <v>0.80833333333333324</v>
      </c>
      <c r="R54" s="71">
        <f t="shared" si="16"/>
        <v>0.80833333333333324</v>
      </c>
      <c r="S54" s="71">
        <f t="shared" si="17"/>
        <v>0.80666666666666664</v>
      </c>
      <c r="T54" s="71">
        <f t="shared" si="18"/>
        <v>0.79285714285714282</v>
      </c>
      <c r="U54" s="71">
        <v>0.79</v>
      </c>
      <c r="V54" s="71">
        <v>0.8</v>
      </c>
      <c r="W54" s="71">
        <v>0.8</v>
      </c>
      <c r="X54" s="71">
        <v>0.79</v>
      </c>
      <c r="Y54" s="71">
        <v>0.79</v>
      </c>
      <c r="Z54" s="71">
        <v>0.79</v>
      </c>
      <c r="AA54" s="71">
        <v>0.79</v>
      </c>
      <c r="AB54" s="71">
        <v>0.8</v>
      </c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15</v>
      </c>
    </row>
    <row r="55" spans="1:124" x14ac:dyDescent="0.25">
      <c r="A55" s="70" t="s">
        <v>47</v>
      </c>
      <c r="B55" s="15"/>
      <c r="C55" s="15">
        <v>0.8</v>
      </c>
      <c r="D55" s="15"/>
      <c r="E55" s="15"/>
      <c r="F55" s="71">
        <f t="shared" si="19"/>
        <v>0.81428571428571428</v>
      </c>
      <c r="G55" s="71"/>
      <c r="H55" s="71"/>
      <c r="I55" s="71"/>
      <c r="J55" s="71"/>
      <c r="K55" s="71"/>
      <c r="L55" s="71"/>
      <c r="M55" s="71"/>
      <c r="N55" s="71">
        <v>0.78749999999999998</v>
      </c>
      <c r="O55" s="71">
        <v>0.78333333333333333</v>
      </c>
      <c r="P55" s="71">
        <v>0.82500000000000007</v>
      </c>
      <c r="Q55" s="71">
        <f t="shared" si="16"/>
        <v>0.80833333333333324</v>
      </c>
      <c r="R55" s="71">
        <f t="shared" si="16"/>
        <v>0.80833333333333324</v>
      </c>
      <c r="S55" s="71">
        <f t="shared" si="17"/>
        <v>0.80666666666666664</v>
      </c>
      <c r="T55" s="71">
        <f t="shared" si="18"/>
        <v>0.79285714285714282</v>
      </c>
      <c r="U55" s="71">
        <v>0</v>
      </c>
      <c r="V55" s="71"/>
      <c r="W55" s="71"/>
      <c r="X55" s="71"/>
      <c r="Y55" s="71">
        <v>0.8</v>
      </c>
      <c r="Z55" s="71">
        <v>0.8</v>
      </c>
      <c r="AA55" s="71">
        <v>0.8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12</v>
      </c>
    </row>
    <row r="56" spans="1:124" x14ac:dyDescent="0.25">
      <c r="A56" s="70" t="s">
        <v>48</v>
      </c>
      <c r="B56" s="15"/>
      <c r="C56" s="15">
        <v>0.8</v>
      </c>
      <c r="D56" s="15"/>
      <c r="E56" s="15"/>
      <c r="F56" s="71">
        <f t="shared" si="19"/>
        <v>0.81428571428571428</v>
      </c>
      <c r="G56" s="71"/>
      <c r="H56" s="71"/>
      <c r="I56" s="71"/>
      <c r="J56" s="71"/>
      <c r="K56" s="71"/>
      <c r="L56" s="71">
        <v>0.8</v>
      </c>
      <c r="M56" s="71">
        <v>0.8</v>
      </c>
      <c r="N56" s="71">
        <v>0.78749999999999998</v>
      </c>
      <c r="O56" s="71">
        <v>0.78333333333333333</v>
      </c>
      <c r="P56" s="71"/>
      <c r="Q56" s="71"/>
      <c r="R56" s="71"/>
      <c r="S56" s="71">
        <f t="shared" si="17"/>
        <v>0.80666666666666664</v>
      </c>
      <c r="T56" s="71">
        <f t="shared" si="18"/>
        <v>0.79285714285714282</v>
      </c>
      <c r="U56" s="71">
        <v>0.79</v>
      </c>
      <c r="V56" s="71">
        <v>0.8</v>
      </c>
      <c r="W56" s="71">
        <v>0.8</v>
      </c>
      <c r="X56" s="71">
        <v>0.79</v>
      </c>
      <c r="Y56" s="71">
        <v>0.79</v>
      </c>
      <c r="Z56" s="71">
        <v>0.79</v>
      </c>
      <c r="AA56" s="71">
        <v>0.79</v>
      </c>
      <c r="AB56" s="71">
        <v>0.8</v>
      </c>
      <c r="AC56" s="71">
        <f t="shared" ref="AC56:AC57" si="20">3.2/4</f>
        <v>0.8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16</v>
      </c>
    </row>
    <row r="57" spans="1:124" x14ac:dyDescent="0.25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>
        <v>0.8</v>
      </c>
      <c r="L57" s="71">
        <v>0.8</v>
      </c>
      <c r="M57" s="71">
        <v>0.8</v>
      </c>
      <c r="N57" s="71">
        <v>0.78749999999999998</v>
      </c>
      <c r="O57" s="219"/>
      <c r="P57" s="71">
        <v>0.82500000000000007</v>
      </c>
      <c r="Q57" s="71">
        <f>9.7/12</f>
        <v>0.80833333333333324</v>
      </c>
      <c r="R57" s="71">
        <f>9.7/12</f>
        <v>0.80833333333333324</v>
      </c>
      <c r="S57" s="71">
        <f t="shared" si="17"/>
        <v>0.80666666666666664</v>
      </c>
      <c r="T57" s="71">
        <f t="shared" si="18"/>
        <v>0.79285714285714282</v>
      </c>
      <c r="U57" s="71">
        <v>0</v>
      </c>
      <c r="V57" s="71">
        <v>0.8</v>
      </c>
      <c r="W57" s="71">
        <v>0.8</v>
      </c>
      <c r="X57" s="71">
        <v>0.79</v>
      </c>
      <c r="Y57" s="71">
        <v>0.7</v>
      </c>
      <c r="Z57" s="71">
        <v>0.7</v>
      </c>
      <c r="AA57" s="71">
        <v>0.8</v>
      </c>
      <c r="AB57" s="71">
        <v>0.8</v>
      </c>
      <c r="AC57" s="71">
        <f t="shared" si="20"/>
        <v>0.8</v>
      </c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18</v>
      </c>
    </row>
    <row r="58" spans="1:124" x14ac:dyDescent="0.25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21">SUM(F34:F57)</f>
        <v>5.6999999999999993</v>
      </c>
      <c r="G58" s="19">
        <f t="shared" ref="G58:AC58" si="22">SUM(G34:G57)</f>
        <v>0.8</v>
      </c>
      <c r="H58" s="19">
        <f t="shared" si="22"/>
        <v>0</v>
      </c>
      <c r="I58" s="19">
        <f t="shared" si="22"/>
        <v>0</v>
      </c>
      <c r="J58" s="19">
        <f t="shared" si="22"/>
        <v>0</v>
      </c>
      <c r="K58" s="19">
        <f t="shared" si="22"/>
        <v>4</v>
      </c>
      <c r="L58" s="19">
        <f t="shared" si="22"/>
        <v>4</v>
      </c>
      <c r="M58" s="19">
        <f t="shared" si="22"/>
        <v>4.8</v>
      </c>
      <c r="N58" s="19">
        <f t="shared" si="22"/>
        <v>6.2999999999999989</v>
      </c>
      <c r="O58" s="19">
        <f t="shared" si="22"/>
        <v>4.7</v>
      </c>
      <c r="P58" s="19">
        <f t="shared" si="22"/>
        <v>9.8999999999999986</v>
      </c>
      <c r="Q58" s="19">
        <f t="shared" si="22"/>
        <v>9.7000000000000011</v>
      </c>
      <c r="R58" s="19">
        <f t="shared" si="22"/>
        <v>9.7000000000000011</v>
      </c>
      <c r="S58" s="19">
        <f t="shared" si="22"/>
        <v>12.1</v>
      </c>
      <c r="T58" s="19">
        <f t="shared" si="22"/>
        <v>11.1</v>
      </c>
      <c r="U58" s="19">
        <f t="shared" si="22"/>
        <v>7.9</v>
      </c>
      <c r="V58" s="19">
        <f t="shared" si="22"/>
        <v>10.600000000000001</v>
      </c>
      <c r="W58" s="19">
        <f t="shared" si="22"/>
        <v>10.600000000000001</v>
      </c>
      <c r="X58" s="19">
        <f t="shared" si="22"/>
        <v>10.499999999999996</v>
      </c>
      <c r="Y58" s="19">
        <f t="shared" si="22"/>
        <v>14.699999999999996</v>
      </c>
      <c r="Z58" s="19">
        <f t="shared" si="22"/>
        <v>14.699999999999996</v>
      </c>
      <c r="AA58" s="19">
        <f t="shared" si="22"/>
        <v>12.099999999999998</v>
      </c>
      <c r="AB58" s="19">
        <f t="shared" si="22"/>
        <v>6.4999999999999991</v>
      </c>
      <c r="AC58" s="19">
        <f t="shared" si="22"/>
        <v>3.2</v>
      </c>
      <c r="AD58" s="34"/>
      <c r="AE58" s="34"/>
      <c r="AF58" s="11"/>
      <c r="AG58" s="11"/>
      <c r="AH58" s="11"/>
    </row>
    <row r="59" spans="1:124" x14ac:dyDescent="0.25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24.67</v>
      </c>
      <c r="AN59" s="357"/>
    </row>
    <row r="60" spans="1:124" x14ac:dyDescent="0.25">
      <c r="A60" s="14" t="s">
        <v>51</v>
      </c>
      <c r="B60" s="20"/>
      <c r="C60" s="15">
        <v>0.85</v>
      </c>
      <c r="D60" s="15"/>
      <c r="E60" s="15"/>
      <c r="F60" s="71">
        <f>0.94/2</f>
        <v>0.47</v>
      </c>
      <c r="G60" s="71">
        <v>0.4</v>
      </c>
      <c r="H60" s="71">
        <f>0.74/2</f>
        <v>0.37</v>
      </c>
      <c r="I60" s="71">
        <f>0.72/2</f>
        <v>0.36</v>
      </c>
      <c r="J60" s="71"/>
      <c r="K60" s="71"/>
      <c r="L60" s="71"/>
      <c r="M60" s="71"/>
      <c r="N60" s="71"/>
      <c r="O60" s="71"/>
      <c r="P60" s="71"/>
      <c r="Q60" s="71"/>
      <c r="R60" s="71">
        <f>1.01/2</f>
        <v>0.505</v>
      </c>
      <c r="S60" s="71">
        <f>1.09/2</f>
        <v>0.54500000000000004</v>
      </c>
      <c r="T60" s="71">
        <f>1.11/2</f>
        <v>0.55500000000000005</v>
      </c>
      <c r="U60" s="71">
        <f>1.08/2</f>
        <v>0.54</v>
      </c>
      <c r="V60" s="71">
        <f>1.07/2</f>
        <v>0.53500000000000003</v>
      </c>
      <c r="W60" s="71">
        <f>1.09/2</f>
        <v>0.54500000000000004</v>
      </c>
      <c r="X60" s="71">
        <f>1.2/2</f>
        <v>0.6</v>
      </c>
      <c r="Y60" s="71">
        <v>0.73499999999999999</v>
      </c>
      <c r="Z60" s="71">
        <v>0.745</v>
      </c>
      <c r="AA60" s="71">
        <v>0.68</v>
      </c>
      <c r="AB60" s="71">
        <v>0.6</v>
      </c>
      <c r="AC60" s="71">
        <f>1/2</f>
        <v>0.5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16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5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0.77/2</f>
        <v>0.38500000000000001</v>
      </c>
      <c r="M61" s="71">
        <v>0.45</v>
      </c>
      <c r="N61" s="71">
        <v>0.52500000000000002</v>
      </c>
      <c r="O61" s="71">
        <v>0.52</v>
      </c>
      <c r="P61" s="71">
        <v>0.52</v>
      </c>
      <c r="Q61" s="71">
        <f>1.1/2</f>
        <v>0.55000000000000004</v>
      </c>
      <c r="R61" s="71">
        <f>1.01/2</f>
        <v>0.505</v>
      </c>
      <c r="S61" s="71">
        <f>1.09/2</f>
        <v>0.54500000000000004</v>
      </c>
      <c r="T61" s="71">
        <f>1.11/2</f>
        <v>0.55500000000000005</v>
      </c>
      <c r="U61" s="71">
        <f>1.08/2</f>
        <v>0.54</v>
      </c>
      <c r="V61" s="71">
        <f>1.07/2</f>
        <v>0.53500000000000003</v>
      </c>
      <c r="W61" s="71">
        <f>1.09/2</f>
        <v>0.54500000000000004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5">
      <c r="A62" s="14" t="s">
        <v>53</v>
      </c>
      <c r="B62" s="20"/>
      <c r="C62" s="15">
        <v>0.85</v>
      </c>
      <c r="D62" s="15"/>
      <c r="E62" s="15"/>
      <c r="F62" s="71">
        <f>0.94/2</f>
        <v>0.47</v>
      </c>
      <c r="G62" s="71">
        <v>0.4</v>
      </c>
      <c r="H62" s="71">
        <f>0.74/2</f>
        <v>0.37</v>
      </c>
      <c r="I62" s="71">
        <f>0.72/2</f>
        <v>0.36</v>
      </c>
      <c r="J62" s="71">
        <v>0.7</v>
      </c>
      <c r="K62" s="71">
        <v>0.7</v>
      </c>
      <c r="L62" s="71">
        <f>0.77/2</f>
        <v>0.38500000000000001</v>
      </c>
      <c r="M62" s="71">
        <v>0.45</v>
      </c>
      <c r="N62" s="71">
        <v>0.52500000000000002</v>
      </c>
      <c r="O62" s="71">
        <v>0.52</v>
      </c>
      <c r="P62" s="71">
        <v>0.52</v>
      </c>
      <c r="Q62" s="71">
        <f>1.1/2</f>
        <v>0.55000000000000004</v>
      </c>
      <c r="R62" s="71">
        <v>0</v>
      </c>
      <c r="S62" s="71">
        <v>0</v>
      </c>
      <c r="T62" s="71">
        <v>0</v>
      </c>
      <c r="U62" s="71">
        <v>0</v>
      </c>
      <c r="V62" s="71">
        <v>0</v>
      </c>
      <c r="W62" s="71">
        <v>0</v>
      </c>
      <c r="X62" s="71">
        <f>1.2/2</f>
        <v>0.6</v>
      </c>
      <c r="Y62" s="71">
        <v>0.73499999999999999</v>
      </c>
      <c r="Z62" s="71">
        <v>0.745</v>
      </c>
      <c r="AA62" s="71">
        <v>0.68</v>
      </c>
      <c r="AB62" s="71">
        <v>0.6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3">SUM(F60:F62)</f>
        <v>0.94</v>
      </c>
      <c r="G63" s="19">
        <f>SUM(G60:G62)</f>
        <v>0.8</v>
      </c>
      <c r="H63" s="19">
        <f>SUM(H60:H62)</f>
        <v>0.74</v>
      </c>
      <c r="I63" s="19">
        <f>SUM(I60:I62)</f>
        <v>0.72</v>
      </c>
      <c r="J63" s="19">
        <f t="shared" ref="J63:AC63" si="24">SUM(J60:J62)</f>
        <v>0.7</v>
      </c>
      <c r="K63" s="19">
        <f>SUM(K60:K62)</f>
        <v>0.7</v>
      </c>
      <c r="L63" s="19">
        <f t="shared" si="24"/>
        <v>0.77</v>
      </c>
      <c r="M63" s="19">
        <f t="shared" si="24"/>
        <v>0.9</v>
      </c>
      <c r="N63" s="19">
        <f t="shared" si="24"/>
        <v>1.05</v>
      </c>
      <c r="O63" s="19">
        <f t="shared" si="24"/>
        <v>1.04</v>
      </c>
      <c r="P63" s="19">
        <f t="shared" si="24"/>
        <v>1.04</v>
      </c>
      <c r="Q63" s="19">
        <f t="shared" si="24"/>
        <v>1.1000000000000001</v>
      </c>
      <c r="R63" s="19">
        <f t="shared" si="24"/>
        <v>1.01</v>
      </c>
      <c r="S63" s="19">
        <f t="shared" si="24"/>
        <v>1.0900000000000001</v>
      </c>
      <c r="T63" s="19">
        <f t="shared" si="24"/>
        <v>1.1100000000000001</v>
      </c>
      <c r="U63" s="19">
        <f>SUM(U60:U62)</f>
        <v>1.08</v>
      </c>
      <c r="V63" s="19">
        <f t="shared" si="24"/>
        <v>1.07</v>
      </c>
      <c r="W63" s="19">
        <f t="shared" si="24"/>
        <v>1.0900000000000001</v>
      </c>
      <c r="X63" s="19">
        <f t="shared" si="24"/>
        <v>1.2</v>
      </c>
      <c r="Y63" s="19">
        <f t="shared" si="24"/>
        <v>1.47</v>
      </c>
      <c r="Z63" s="19">
        <f t="shared" si="24"/>
        <v>1.49</v>
      </c>
      <c r="AA63" s="19">
        <f t="shared" si="24"/>
        <v>1.36</v>
      </c>
      <c r="AB63" s="19">
        <f t="shared" si="24"/>
        <v>1.2</v>
      </c>
      <c r="AC63" s="19">
        <f t="shared" si="24"/>
        <v>1</v>
      </c>
      <c r="AD63" s="34"/>
      <c r="AE63" s="34"/>
      <c r="AF63" s="11"/>
      <c r="AG63" s="11"/>
      <c r="AH63" s="11"/>
    </row>
    <row r="64" spans="1:124" x14ac:dyDescent="0.25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86.710000000000008</v>
      </c>
    </row>
    <row r="65" spans="1:124" x14ac:dyDescent="0.25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5">COUNTIF(F65:AC65,$AF$11)</f>
        <v>0</v>
      </c>
      <c r="AG65" s="11">
        <f t="shared" ref="AG65:AG73" si="26">COUNTIF(G65:AC65,$AG$11)</f>
        <v>0</v>
      </c>
      <c r="AH65" s="11">
        <f t="shared" ref="AH65:AH73" si="27">COUNT(F65:AC65)</f>
        <v>0</v>
      </c>
    </row>
    <row r="66" spans="1:124" x14ac:dyDescent="0.25">
      <c r="A66" s="14" t="s">
        <v>56</v>
      </c>
      <c r="B66" s="15"/>
      <c r="C66" s="15">
        <v>0.85</v>
      </c>
      <c r="D66" s="15"/>
      <c r="E66" s="15"/>
      <c r="F66" s="71">
        <f>3.9/6</f>
        <v>0.65</v>
      </c>
      <c r="G66" s="71">
        <f>3.5/5</f>
        <v>0.7</v>
      </c>
      <c r="H66" s="71">
        <f>3.5/5</f>
        <v>0.7</v>
      </c>
      <c r="I66" s="71">
        <f>3.3/4</f>
        <v>0.82499999999999996</v>
      </c>
      <c r="J66" s="71">
        <f>3.1/4</f>
        <v>0.77500000000000002</v>
      </c>
      <c r="K66" s="71">
        <f>3.2/4</f>
        <v>0.8</v>
      </c>
      <c r="L66" s="71">
        <f>3.2/4</f>
        <v>0.8</v>
      </c>
      <c r="M66" s="71">
        <v>0.81</v>
      </c>
      <c r="N66" s="71">
        <v>0.72</v>
      </c>
      <c r="O66" s="71">
        <v>0.72599999999999998</v>
      </c>
      <c r="P66" s="71">
        <v>0.77</v>
      </c>
      <c r="Q66" s="71">
        <f t="shared" ref="Q66:Q67" si="28">3.72/5</f>
        <v>0.74399999999999999</v>
      </c>
      <c r="R66" s="71">
        <f>3.67/5</f>
        <v>0.73399999999999999</v>
      </c>
      <c r="S66" s="71">
        <f>3.81/5</f>
        <v>0.76200000000000001</v>
      </c>
      <c r="T66" s="71">
        <f>3.65/5</f>
        <v>0.73</v>
      </c>
      <c r="U66" s="71">
        <f>3.75/6</f>
        <v>0.625</v>
      </c>
      <c r="V66" s="71">
        <f>3.7/5</f>
        <v>0.74</v>
      </c>
      <c r="W66" s="71">
        <f>3.71/5</f>
        <v>0.74199999999999999</v>
      </c>
      <c r="X66" s="71">
        <v>0.73</v>
      </c>
      <c r="Y66" s="71">
        <v>0.9</v>
      </c>
      <c r="Z66" s="71">
        <v>0.8</v>
      </c>
      <c r="AA66" s="71">
        <v>0.8</v>
      </c>
      <c r="AB66" s="71">
        <v>0.8</v>
      </c>
      <c r="AC66" s="71">
        <f>3.2/5</f>
        <v>0.64</v>
      </c>
      <c r="AD66" s="35"/>
      <c r="AE66" s="35"/>
      <c r="AF66" s="11">
        <f t="shared" si="25"/>
        <v>0</v>
      </c>
      <c r="AG66" s="11">
        <f t="shared" si="26"/>
        <v>0</v>
      </c>
      <c r="AH66" s="11">
        <f t="shared" si="27"/>
        <v>24</v>
      </c>
    </row>
    <row r="67" spans="1:124" x14ac:dyDescent="0.25">
      <c r="A67" s="14" t="s">
        <v>57</v>
      </c>
      <c r="B67" s="15"/>
      <c r="C67" s="15">
        <v>0.85</v>
      </c>
      <c r="D67" s="15"/>
      <c r="E67" s="15"/>
      <c r="F67" s="71">
        <f t="shared" ref="F67:F70" si="29">3.9/6</f>
        <v>0.65</v>
      </c>
      <c r="G67" s="71"/>
      <c r="H67" s="71"/>
      <c r="I67" s="71"/>
      <c r="J67" s="71"/>
      <c r="K67" s="71"/>
      <c r="L67" s="71"/>
      <c r="M67" s="71"/>
      <c r="N67" s="71">
        <v>0.72</v>
      </c>
      <c r="O67" s="71">
        <v>0.72599999999999998</v>
      </c>
      <c r="P67" s="71">
        <v>0.77</v>
      </c>
      <c r="Q67" s="71">
        <f t="shared" si="28"/>
        <v>0.74399999999999999</v>
      </c>
      <c r="R67" s="71">
        <f>3.67/5</f>
        <v>0.73399999999999999</v>
      </c>
      <c r="S67" s="71">
        <f>3.81/5</f>
        <v>0.76200000000000001</v>
      </c>
      <c r="T67" s="71">
        <f>3.65/5</f>
        <v>0.73</v>
      </c>
      <c r="U67" s="71">
        <f t="shared" ref="U67:U70" si="30">3.75/6</f>
        <v>0.625</v>
      </c>
      <c r="V67" s="71">
        <v>0</v>
      </c>
      <c r="W67" s="71">
        <v>0</v>
      </c>
      <c r="X67" s="71">
        <v>0</v>
      </c>
      <c r="Y67" s="71">
        <v>0</v>
      </c>
      <c r="Z67" s="71">
        <v>0</v>
      </c>
      <c r="AA67" s="71">
        <v>0</v>
      </c>
      <c r="AB67" s="71">
        <v>0</v>
      </c>
      <c r="AC67" s="71">
        <v>0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7"/>
        <v>17</v>
      </c>
    </row>
    <row r="68" spans="1:124" x14ac:dyDescent="0.25">
      <c r="A68" s="14" t="s">
        <v>58</v>
      </c>
      <c r="B68" s="15"/>
      <c r="C68" s="15">
        <v>0.85</v>
      </c>
      <c r="D68" s="15"/>
      <c r="E68" s="15"/>
      <c r="F68" s="71">
        <f t="shared" si="29"/>
        <v>0.65</v>
      </c>
      <c r="G68" s="71">
        <f t="shared" ref="G68:G70" si="31">3.5/5</f>
        <v>0.7</v>
      </c>
      <c r="H68" s="71">
        <f>3.5/5</f>
        <v>0.7</v>
      </c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>
        <f t="shared" si="30"/>
        <v>0.625</v>
      </c>
      <c r="V68" s="71">
        <f t="shared" ref="V68:V70" si="32">3.7/5</f>
        <v>0.74</v>
      </c>
      <c r="W68" s="71">
        <f t="shared" ref="W68:W70" si="33">3.71/5</f>
        <v>0.74199999999999999</v>
      </c>
      <c r="X68" s="71">
        <f>3.71/5</f>
        <v>0.74199999999999999</v>
      </c>
      <c r="Y68" s="71">
        <v>0.9</v>
      </c>
      <c r="Z68" s="71">
        <v>0.8</v>
      </c>
      <c r="AA68" s="71">
        <v>0.8</v>
      </c>
      <c r="AB68" s="71">
        <v>0.7</v>
      </c>
      <c r="AC68" s="71">
        <f t="shared" ref="AC68:AC70" si="34">3.2/5</f>
        <v>0.64</v>
      </c>
      <c r="AD68" s="35"/>
      <c r="AE68" s="35"/>
      <c r="AF68" s="11">
        <f t="shared" si="25"/>
        <v>0</v>
      </c>
      <c r="AG68" s="11">
        <f t="shared" si="26"/>
        <v>0</v>
      </c>
      <c r="AH68" s="11">
        <f t="shared" si="27"/>
        <v>12</v>
      </c>
      <c r="AI68" s="5"/>
      <c r="AJ68" s="5"/>
      <c r="AK68" s="5"/>
      <c r="AL68" s="5"/>
    </row>
    <row r="69" spans="1:124" x14ac:dyDescent="0.25">
      <c r="A69" s="14" t="s">
        <v>59</v>
      </c>
      <c r="B69" s="15"/>
      <c r="C69" s="15">
        <v>0.85</v>
      </c>
      <c r="D69" s="15"/>
      <c r="E69" s="15"/>
      <c r="F69" s="71">
        <f t="shared" si="29"/>
        <v>0.65</v>
      </c>
      <c r="G69" s="71">
        <f t="shared" si="31"/>
        <v>0.7</v>
      </c>
      <c r="H69" s="71">
        <f>3.5/5</f>
        <v>0.7</v>
      </c>
      <c r="I69" s="71">
        <f>3.3/4</f>
        <v>0.82499999999999996</v>
      </c>
      <c r="J69" s="71">
        <f>3.1/4</f>
        <v>0.77500000000000002</v>
      </c>
      <c r="K69" s="71">
        <f>3.2/4</f>
        <v>0.8</v>
      </c>
      <c r="L69" s="71">
        <f>3.2/4</f>
        <v>0.8</v>
      </c>
      <c r="M69" s="71">
        <v>0.81</v>
      </c>
      <c r="N69" s="71">
        <v>0.72</v>
      </c>
      <c r="O69" s="71">
        <v>0.72599999999999998</v>
      </c>
      <c r="P69" s="71">
        <v>0.77</v>
      </c>
      <c r="Q69" s="71">
        <f>3.72/5</f>
        <v>0.74399999999999999</v>
      </c>
      <c r="R69" s="71">
        <f t="shared" ref="R69:R70" si="35">3.67/5</f>
        <v>0.73399999999999999</v>
      </c>
      <c r="S69" s="71">
        <f t="shared" ref="S69:S70" si="36">3.81/5</f>
        <v>0.76200000000000001</v>
      </c>
      <c r="T69" s="71">
        <f>3.67/5</f>
        <v>0.73399999999999999</v>
      </c>
      <c r="U69" s="71">
        <f t="shared" si="30"/>
        <v>0.625</v>
      </c>
      <c r="V69" s="71">
        <f t="shared" si="32"/>
        <v>0.74</v>
      </c>
      <c r="W69" s="71">
        <f t="shared" si="33"/>
        <v>0.74199999999999999</v>
      </c>
      <c r="X69" s="71">
        <f>3.71/5</f>
        <v>0.74199999999999999</v>
      </c>
      <c r="Y69" s="71">
        <v>0.87</v>
      </c>
      <c r="Z69" s="71">
        <v>0.8</v>
      </c>
      <c r="AA69" s="71">
        <v>0.8</v>
      </c>
      <c r="AB69" s="71">
        <v>0.7</v>
      </c>
      <c r="AC69" s="71">
        <f t="shared" si="34"/>
        <v>0.64</v>
      </c>
      <c r="AD69" s="35"/>
      <c r="AE69" s="35"/>
      <c r="AF69" s="11">
        <f t="shared" si="25"/>
        <v>0</v>
      </c>
      <c r="AG69" s="11">
        <f t="shared" si="26"/>
        <v>0</v>
      </c>
      <c r="AH69" s="11">
        <f t="shared" si="27"/>
        <v>24</v>
      </c>
    </row>
    <row r="70" spans="1:124" x14ac:dyDescent="0.25">
      <c r="A70" s="14" t="s">
        <v>60</v>
      </c>
      <c r="B70" s="15"/>
      <c r="C70" s="15">
        <v>0.85</v>
      </c>
      <c r="D70" s="15"/>
      <c r="E70" s="15"/>
      <c r="F70" s="71">
        <f t="shared" si="29"/>
        <v>0.65</v>
      </c>
      <c r="G70" s="71">
        <f t="shared" si="31"/>
        <v>0.7</v>
      </c>
      <c r="H70" s="71">
        <f>3.5/5</f>
        <v>0.7</v>
      </c>
      <c r="I70" s="71">
        <f>3.3/4</f>
        <v>0.82499999999999996</v>
      </c>
      <c r="J70" s="71">
        <f>3.1/4</f>
        <v>0.77500000000000002</v>
      </c>
      <c r="K70" s="71">
        <f>3.2/4</f>
        <v>0.8</v>
      </c>
      <c r="L70" s="71">
        <f>3.2/4</f>
        <v>0.8</v>
      </c>
      <c r="M70" s="71">
        <v>0.81</v>
      </c>
      <c r="N70" s="71">
        <v>0.72</v>
      </c>
      <c r="O70" s="71">
        <v>0.72599999999999998</v>
      </c>
      <c r="P70" s="71">
        <v>0.77</v>
      </c>
      <c r="Q70" s="71">
        <f>3.72/5</f>
        <v>0.74399999999999999</v>
      </c>
      <c r="R70" s="71">
        <f t="shared" si="35"/>
        <v>0.73399999999999999</v>
      </c>
      <c r="S70" s="71">
        <f t="shared" si="36"/>
        <v>0.76200000000000001</v>
      </c>
      <c r="T70" s="71">
        <f>3.67/5</f>
        <v>0.73399999999999999</v>
      </c>
      <c r="U70" s="71">
        <f t="shared" si="30"/>
        <v>0.625</v>
      </c>
      <c r="V70" s="71">
        <f t="shared" si="32"/>
        <v>0.74</v>
      </c>
      <c r="W70" s="71">
        <f t="shared" si="33"/>
        <v>0.74199999999999999</v>
      </c>
      <c r="X70" s="71">
        <f>3.71/5</f>
        <v>0.74199999999999999</v>
      </c>
      <c r="Y70" s="71">
        <v>0.8</v>
      </c>
      <c r="Z70" s="71">
        <v>0.8</v>
      </c>
      <c r="AA70" s="71">
        <v>0.8</v>
      </c>
      <c r="AB70" s="71">
        <v>0.7</v>
      </c>
      <c r="AC70" s="71">
        <f t="shared" si="34"/>
        <v>0.64</v>
      </c>
      <c r="AD70" s="35"/>
      <c r="AE70" s="35"/>
      <c r="AF70" s="11">
        <f t="shared" si="25"/>
        <v>0</v>
      </c>
      <c r="AG70" s="11">
        <f t="shared" si="26"/>
        <v>0</v>
      </c>
      <c r="AH70" s="11">
        <f t="shared" si="27"/>
        <v>24</v>
      </c>
    </row>
    <row r="71" spans="1:124" x14ac:dyDescent="0.25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5"/>
        <v>0</v>
      </c>
      <c r="AG71" s="11">
        <f t="shared" si="26"/>
        <v>0</v>
      </c>
      <c r="AH71" s="11">
        <f t="shared" si="27"/>
        <v>0</v>
      </c>
    </row>
    <row r="72" spans="1:124" x14ac:dyDescent="0.25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5"/>
        <v>24</v>
      </c>
      <c r="AG72" s="11">
        <f t="shared" si="26"/>
        <v>0</v>
      </c>
      <c r="AH72" s="11">
        <f t="shared" si="27"/>
        <v>0</v>
      </c>
    </row>
    <row r="73" spans="1:124" ht="14.25" customHeight="1" x14ac:dyDescent="0.25">
      <c r="A73" s="14" t="s">
        <v>63</v>
      </c>
      <c r="B73" s="9"/>
      <c r="C73" s="15">
        <v>0.85</v>
      </c>
      <c r="D73" s="15"/>
      <c r="E73" s="15"/>
      <c r="F73" s="71">
        <f>3.9/6</f>
        <v>0.65</v>
      </c>
      <c r="G73" s="71">
        <f>3.5/5</f>
        <v>0.7</v>
      </c>
      <c r="H73" s="71">
        <f>3.5/5</f>
        <v>0.7</v>
      </c>
      <c r="I73" s="71">
        <f>3.3/4</f>
        <v>0.82499999999999996</v>
      </c>
      <c r="J73" s="71">
        <f>3.1/4</f>
        <v>0.77500000000000002</v>
      </c>
      <c r="K73" s="71">
        <f>3.2/4</f>
        <v>0.8</v>
      </c>
      <c r="L73" s="71">
        <f>3.2/4</f>
        <v>0.8</v>
      </c>
      <c r="M73" s="71">
        <v>0.81</v>
      </c>
      <c r="N73" s="71">
        <v>0.72</v>
      </c>
      <c r="O73" s="71">
        <v>0.72599999999999998</v>
      </c>
      <c r="P73" s="71">
        <v>0.77</v>
      </c>
      <c r="Q73" s="71">
        <f>3.72/5</f>
        <v>0.74399999999999999</v>
      </c>
      <c r="R73" s="71">
        <f>3.67/5</f>
        <v>0.73399999999999999</v>
      </c>
      <c r="S73" s="71">
        <f>3.81/5</f>
        <v>0.76200000000000001</v>
      </c>
      <c r="T73" s="71">
        <f>3.67/5</f>
        <v>0.73399999999999999</v>
      </c>
      <c r="U73" s="71">
        <f>3.75/6</f>
        <v>0.625</v>
      </c>
      <c r="V73" s="71">
        <f>3.7/5</f>
        <v>0.74</v>
      </c>
      <c r="W73" s="71">
        <f>3.71/5</f>
        <v>0.74199999999999999</v>
      </c>
      <c r="X73" s="71">
        <f>3.71/5</f>
        <v>0.74199999999999999</v>
      </c>
      <c r="Y73" s="71">
        <v>0.8</v>
      </c>
      <c r="Z73" s="71">
        <v>0.7</v>
      </c>
      <c r="AA73" s="71">
        <v>0.8</v>
      </c>
      <c r="AB73" s="71">
        <v>0.7</v>
      </c>
      <c r="AC73" s="71">
        <f>3.2/5</f>
        <v>0.64</v>
      </c>
      <c r="AD73" s="31"/>
      <c r="AE73" s="31"/>
      <c r="AF73" s="11">
        <f t="shared" si="25"/>
        <v>0</v>
      </c>
      <c r="AG73" s="11">
        <f t="shared" si="26"/>
        <v>0</v>
      </c>
      <c r="AH73" s="11">
        <f t="shared" si="27"/>
        <v>24</v>
      </c>
    </row>
    <row r="74" spans="1:124" x14ac:dyDescent="0.25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37">SUM(F65:F73)</f>
        <v>3.9</v>
      </c>
      <c r="G74" s="19">
        <f t="shared" ref="G74:AC74" si="38">SUM(G65:G73)</f>
        <v>3.5</v>
      </c>
      <c r="H74" s="19">
        <f t="shared" si="38"/>
        <v>3.5</v>
      </c>
      <c r="I74" s="19">
        <f t="shared" si="38"/>
        <v>3.3</v>
      </c>
      <c r="J74" s="19">
        <f t="shared" si="38"/>
        <v>3.1</v>
      </c>
      <c r="K74" s="19">
        <f t="shared" si="38"/>
        <v>3.2</v>
      </c>
      <c r="L74" s="19">
        <f>SUM(L65:L73)</f>
        <v>3.2</v>
      </c>
      <c r="M74" s="19">
        <f t="shared" si="38"/>
        <v>3.24</v>
      </c>
      <c r="N74" s="19">
        <f t="shared" si="38"/>
        <v>3.5999999999999996</v>
      </c>
      <c r="O74" s="19">
        <f t="shared" si="38"/>
        <v>3.63</v>
      </c>
      <c r="P74" s="19">
        <f t="shared" si="38"/>
        <v>3.85</v>
      </c>
      <c r="Q74" s="19">
        <f t="shared" si="38"/>
        <v>3.7199999999999998</v>
      </c>
      <c r="R74" s="19">
        <f t="shared" si="38"/>
        <v>3.67</v>
      </c>
      <c r="S74" s="19">
        <f t="shared" si="38"/>
        <v>3.81</v>
      </c>
      <c r="T74" s="19">
        <f t="shared" si="38"/>
        <v>3.6619999999999999</v>
      </c>
      <c r="U74" s="19">
        <f t="shared" si="38"/>
        <v>3.75</v>
      </c>
      <c r="V74" s="19">
        <f t="shared" si="38"/>
        <v>3.7</v>
      </c>
      <c r="W74" s="19">
        <f t="shared" si="38"/>
        <v>3.71</v>
      </c>
      <c r="X74" s="19">
        <f t="shared" si="38"/>
        <v>3.698</v>
      </c>
      <c r="Y74" s="19">
        <f t="shared" si="38"/>
        <v>4.2699999999999996</v>
      </c>
      <c r="Z74" s="19">
        <f t="shared" si="38"/>
        <v>3.9000000000000004</v>
      </c>
      <c r="AA74" s="19">
        <f t="shared" si="38"/>
        <v>4</v>
      </c>
      <c r="AB74" s="19">
        <f t="shared" si="38"/>
        <v>3.6000000000000005</v>
      </c>
      <c r="AC74" s="19">
        <f t="shared" si="38"/>
        <v>3.2</v>
      </c>
      <c r="AD74" s="34"/>
      <c r="AE74" s="34"/>
      <c r="AF74" s="11"/>
      <c r="AG74" s="11"/>
      <c r="AH74" s="11"/>
    </row>
    <row r="75" spans="1:124" x14ac:dyDescent="0.25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17.77</v>
      </c>
    </row>
    <row r="76" spans="1:124" x14ac:dyDescent="0.25">
      <c r="A76" s="14" t="s">
        <v>65</v>
      </c>
      <c r="B76" s="20"/>
      <c r="C76" s="15">
        <v>1</v>
      </c>
      <c r="D76" s="15"/>
      <c r="E76" s="15"/>
      <c r="F76" s="71">
        <v>0.82</v>
      </c>
      <c r="G76" s="71">
        <v>0.79</v>
      </c>
      <c r="H76" s="71">
        <v>0.75</v>
      </c>
      <c r="I76" s="71">
        <v>0.72</v>
      </c>
      <c r="J76" s="71">
        <v>0.69</v>
      </c>
      <c r="K76" s="71">
        <v>0.71</v>
      </c>
      <c r="L76" s="71"/>
      <c r="M76" s="71"/>
      <c r="N76" s="71"/>
      <c r="O76" s="71"/>
      <c r="P76" s="71"/>
      <c r="Q76" s="71"/>
      <c r="R76" s="71"/>
      <c r="S76" s="71"/>
      <c r="T76" s="71">
        <v>0</v>
      </c>
      <c r="U76" s="71">
        <v>0.81</v>
      </c>
      <c r="V76" s="71">
        <v>0.93</v>
      </c>
      <c r="W76" s="71">
        <v>0.93</v>
      </c>
      <c r="X76" s="71">
        <v>0.94</v>
      </c>
      <c r="Y76" s="71">
        <v>1.04</v>
      </c>
      <c r="Z76" s="71">
        <v>1.05</v>
      </c>
      <c r="AA76" s="71">
        <v>0.96</v>
      </c>
      <c r="AB76" s="71">
        <v>0.96</v>
      </c>
      <c r="AC76" s="71">
        <v>0.93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5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>
        <v>0.7</v>
      </c>
      <c r="M77" s="71">
        <v>0.78</v>
      </c>
      <c r="N77" s="71">
        <v>0.75</v>
      </c>
      <c r="O77" s="71">
        <v>0.78</v>
      </c>
      <c r="P77" s="71">
        <v>0.89</v>
      </c>
      <c r="Q77" s="71">
        <v>0.84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>
        <v>0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18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5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9">SUM(F76:F77)</f>
        <v>0.82</v>
      </c>
      <c r="G78" s="19">
        <f>SUM(G76:G77)</f>
        <v>0.79</v>
      </c>
      <c r="H78" s="19">
        <f>SUM(H76:H77)</f>
        <v>0.75</v>
      </c>
      <c r="I78" s="19">
        <f>SUM(I76:I77)</f>
        <v>0.72</v>
      </c>
      <c r="J78" s="19">
        <f t="shared" ref="J78:AC78" si="40">SUM(J76:J77)</f>
        <v>0.69</v>
      </c>
      <c r="K78" s="19">
        <f t="shared" si="40"/>
        <v>0.71</v>
      </c>
      <c r="L78" s="19">
        <f>SUM(L76:L77)</f>
        <v>0.7</v>
      </c>
      <c r="M78" s="19">
        <f t="shared" si="40"/>
        <v>0.78</v>
      </c>
      <c r="N78" s="19">
        <f t="shared" si="40"/>
        <v>0.75</v>
      </c>
      <c r="O78" s="19">
        <f>SUM(O76:O77)</f>
        <v>0.78</v>
      </c>
      <c r="P78" s="19">
        <f t="shared" si="40"/>
        <v>0.89</v>
      </c>
      <c r="Q78" s="19">
        <f t="shared" si="40"/>
        <v>0.84</v>
      </c>
      <c r="R78" s="19">
        <f t="shared" si="40"/>
        <v>0</v>
      </c>
      <c r="S78" s="19">
        <f t="shared" si="40"/>
        <v>0</v>
      </c>
      <c r="T78" s="19">
        <f t="shared" si="40"/>
        <v>0</v>
      </c>
      <c r="U78" s="19">
        <f t="shared" si="40"/>
        <v>0.81</v>
      </c>
      <c r="V78" s="19">
        <f t="shared" si="40"/>
        <v>0.93</v>
      </c>
      <c r="W78" s="19">
        <f t="shared" si="40"/>
        <v>0.93</v>
      </c>
      <c r="X78" s="19">
        <f t="shared" si="40"/>
        <v>0.94</v>
      </c>
      <c r="Y78" s="19">
        <f t="shared" si="40"/>
        <v>1.04</v>
      </c>
      <c r="Z78" s="19">
        <f t="shared" si="40"/>
        <v>1.05</v>
      </c>
      <c r="AA78" s="19">
        <f t="shared" si="40"/>
        <v>0.96</v>
      </c>
      <c r="AB78" s="19">
        <f t="shared" si="40"/>
        <v>0.96</v>
      </c>
      <c r="AC78" s="19">
        <f t="shared" si="40"/>
        <v>0.93</v>
      </c>
      <c r="AD78" s="34"/>
      <c r="AE78" s="34"/>
      <c r="AF78" s="11"/>
      <c r="AG78" s="11"/>
      <c r="AH78" s="11"/>
    </row>
    <row r="79" spans="1:124" x14ac:dyDescent="0.25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41">SUM(F17,F22,F25,F29,F32,F58,F63,F74,F78)</f>
        <v>43.959999999999994</v>
      </c>
      <c r="G79" s="28">
        <f>SUM(G17,G22,G25,G29,G32,G58,G63,G74,G78)</f>
        <v>40.189999999999991</v>
      </c>
      <c r="H79" s="28">
        <f>SUM(H17,H22,H25,H29,H32,H58,H63,H74,H78)</f>
        <v>38.090000000000003</v>
      </c>
      <c r="I79" s="28">
        <f t="shared" ref="I79:AC79" si="42">SUM(I17,I22,I25,I29,I32,I58,I63,I74,I78)</f>
        <v>37.239999999999995</v>
      </c>
      <c r="J79" s="28">
        <f t="shared" si="42"/>
        <v>36.39</v>
      </c>
      <c r="K79" s="28">
        <f>SUM(K17,K22,K25,K29,K32,K58,K63,K74,K78)</f>
        <v>36.010000000000005</v>
      </c>
      <c r="L79" s="28">
        <f t="shared" si="42"/>
        <v>36.170000000000009</v>
      </c>
      <c r="M79" s="28">
        <f t="shared" si="42"/>
        <v>37.419999999999995</v>
      </c>
      <c r="N79" s="28">
        <f t="shared" si="42"/>
        <v>39.299999999999997</v>
      </c>
      <c r="O79" s="28">
        <f t="shared" si="42"/>
        <v>44.150000000000006</v>
      </c>
      <c r="P79" s="28">
        <f>SUM(P17,P22,P25,P29,P32,P58,P63,P74,P78)</f>
        <v>48.78</v>
      </c>
      <c r="Q79" s="28">
        <f t="shared" si="42"/>
        <v>48.860000000000007</v>
      </c>
      <c r="R79" s="28">
        <f>SUM(R17,R22,R24,R29,R32,R58,R63,R74,R78)</f>
        <v>47.78</v>
      </c>
      <c r="S79" s="28">
        <f t="shared" si="42"/>
        <v>49.500000000000007</v>
      </c>
      <c r="T79" s="28">
        <f t="shared" si="42"/>
        <v>49.271999999999998</v>
      </c>
      <c r="U79" s="28">
        <f t="shared" si="42"/>
        <v>50.54</v>
      </c>
      <c r="V79" s="28">
        <f t="shared" si="42"/>
        <v>50.300000000000004</v>
      </c>
      <c r="W79" s="28">
        <f t="shared" si="42"/>
        <v>49.830000000000005</v>
      </c>
      <c r="X79" s="28">
        <f t="shared" si="42"/>
        <v>50.338000000000001</v>
      </c>
      <c r="Y79" s="28">
        <f t="shared" si="42"/>
        <v>55.179999999999986</v>
      </c>
      <c r="Z79" s="28">
        <f t="shared" si="42"/>
        <v>54.639999999999993</v>
      </c>
      <c r="AA79" s="28">
        <f t="shared" si="42"/>
        <v>53.719999999999992</v>
      </c>
      <c r="AB79" s="28">
        <f>SUM(AB17,AB22,AB25,AB29,AB32,AB58,AB63,AB74,AB78)</f>
        <v>49.06</v>
      </c>
      <c r="AC79" s="28">
        <f t="shared" si="42"/>
        <v>43.930000000000007</v>
      </c>
      <c r="AD79" s="42"/>
      <c r="AE79" s="42"/>
      <c r="AF79" s="11"/>
      <c r="AG79" s="11"/>
      <c r="AH79" s="11"/>
    </row>
    <row r="80" spans="1:124" ht="15" x14ac:dyDescent="0.2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 x14ac:dyDescent="0.25">
      <c r="A81" s="404" t="s">
        <v>68</v>
      </c>
      <c r="B81" s="404"/>
      <c r="C81" s="404"/>
      <c r="D81" s="404"/>
      <c r="E81" s="404"/>
      <c r="F81" s="404"/>
      <c r="G81" s="404"/>
      <c r="H81" s="404"/>
      <c r="I81" s="404"/>
      <c r="J81" s="404"/>
      <c r="K81" s="404"/>
      <c r="L81" s="404"/>
      <c r="M81" s="404"/>
      <c r="N81" s="404"/>
      <c r="O81" s="404"/>
      <c r="P81" s="404"/>
      <c r="Q81" s="404"/>
      <c r="R81" s="404"/>
      <c r="S81" s="404"/>
      <c r="T81" s="404"/>
      <c r="U81" s="404"/>
      <c r="V81" s="404"/>
      <c r="W81" s="404"/>
      <c r="X81" s="404"/>
      <c r="Y81" s="404"/>
      <c r="Z81" s="404"/>
      <c r="AA81" s="404"/>
      <c r="AB81" s="404"/>
      <c r="AC81" s="404"/>
      <c r="AD81" s="22"/>
      <c r="AE81" s="22"/>
      <c r="AF81" s="22"/>
      <c r="AG81" s="22"/>
      <c r="AH81" s="22"/>
    </row>
    <row r="82" spans="1:40" ht="15" x14ac:dyDescent="0.2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5">
      <c r="A83" s="405" t="s">
        <v>69</v>
      </c>
      <c r="B83" s="406"/>
      <c r="C83" s="407"/>
      <c r="D83" s="49"/>
      <c r="E83" s="49"/>
      <c r="F83" s="411" t="s">
        <v>70</v>
      </c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411"/>
      <c r="R83" s="411"/>
      <c r="S83" s="411"/>
      <c r="T83" s="411"/>
      <c r="U83" s="411"/>
      <c r="V83" s="411"/>
      <c r="W83" s="411"/>
      <c r="X83" s="411"/>
      <c r="Y83" s="411"/>
      <c r="Z83" s="411"/>
      <c r="AA83" s="411"/>
      <c r="AB83" s="411"/>
      <c r="AC83" s="411"/>
      <c r="AD83" s="5"/>
      <c r="AE83" s="5"/>
      <c r="AF83" s="5"/>
      <c r="AG83" s="5"/>
      <c r="AH83" s="5"/>
    </row>
    <row r="84" spans="1:40" ht="15.6" customHeight="1" x14ac:dyDescent="0.25">
      <c r="A84" s="408"/>
      <c r="B84" s="409"/>
      <c r="C84" s="410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5">
      <c r="A85" s="399" t="s">
        <v>27</v>
      </c>
      <c r="B85" s="400"/>
      <c r="C85" s="401"/>
      <c r="D85" s="45"/>
      <c r="E85" s="45"/>
      <c r="F85" s="64">
        <f t="shared" ref="F85:AC85" si="43">SUM(F22,F25)</f>
        <v>3.2</v>
      </c>
      <c r="G85" s="64">
        <f t="shared" si="43"/>
        <v>3.5</v>
      </c>
      <c r="H85" s="64">
        <f t="shared" si="43"/>
        <v>4</v>
      </c>
      <c r="I85" s="64">
        <f t="shared" si="43"/>
        <v>3.2</v>
      </c>
      <c r="J85" s="64">
        <f t="shared" si="43"/>
        <v>3.2</v>
      </c>
      <c r="K85" s="64">
        <f t="shared" si="43"/>
        <v>3.2</v>
      </c>
      <c r="L85" s="64">
        <f t="shared" si="43"/>
        <v>3.2</v>
      </c>
      <c r="M85" s="64">
        <f t="shared" si="43"/>
        <v>3.2</v>
      </c>
      <c r="N85" s="64">
        <f t="shared" si="43"/>
        <v>3.2</v>
      </c>
      <c r="O85" s="64">
        <f t="shared" si="43"/>
        <v>3.2</v>
      </c>
      <c r="P85" s="64">
        <f t="shared" si="43"/>
        <v>3.2</v>
      </c>
      <c r="Q85" s="64">
        <f t="shared" si="43"/>
        <v>3.2</v>
      </c>
      <c r="R85" s="64">
        <f t="shared" si="43"/>
        <v>3.2</v>
      </c>
      <c r="S85" s="64">
        <f t="shared" si="43"/>
        <v>3.2</v>
      </c>
      <c r="T85" s="64">
        <f t="shared" si="43"/>
        <v>3.2</v>
      </c>
      <c r="U85" s="64">
        <f t="shared" si="43"/>
        <v>6.2</v>
      </c>
      <c r="V85" s="64">
        <f t="shared" si="43"/>
        <v>3.2</v>
      </c>
      <c r="W85" s="64">
        <f t="shared" si="43"/>
        <v>3.2</v>
      </c>
      <c r="X85" s="64">
        <f t="shared" si="43"/>
        <v>3.2</v>
      </c>
      <c r="Y85" s="64">
        <f t="shared" si="43"/>
        <v>3.2</v>
      </c>
      <c r="Z85" s="64">
        <f t="shared" si="43"/>
        <v>3.2</v>
      </c>
      <c r="AA85" s="64">
        <f t="shared" si="43"/>
        <v>3.2</v>
      </c>
      <c r="AB85" s="64">
        <f>SUM(AB22,AB25)</f>
        <v>3.2</v>
      </c>
      <c r="AC85" s="64">
        <f t="shared" si="43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5">
      <c r="A86" s="413" t="s">
        <v>71</v>
      </c>
      <c r="B86" s="413"/>
      <c r="C86" s="414"/>
      <c r="D86" s="45"/>
      <c r="E86" s="45"/>
      <c r="F86" s="68">
        <v>4.5999999999999999E-2</v>
      </c>
      <c r="G86" s="68">
        <v>0.16500000000000001</v>
      </c>
      <c r="H86" s="68">
        <v>0.20499999999999999</v>
      </c>
      <c r="I86" s="68" t="s">
        <v>1</v>
      </c>
      <c r="J86" s="68" t="s">
        <v>1</v>
      </c>
      <c r="K86" s="68" t="s">
        <v>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>
        <v>0.17199999999999999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 t="s">
        <v>1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5">
      <c r="A87" s="399" t="s">
        <v>72</v>
      </c>
      <c r="B87" s="400"/>
      <c r="C87" s="401"/>
      <c r="D87" s="45"/>
      <c r="E87" s="45"/>
      <c r="F87" s="64">
        <f t="shared" ref="F87:AC87" si="44">F17</f>
        <v>25.6</v>
      </c>
      <c r="G87" s="64">
        <f t="shared" si="44"/>
        <v>26.8</v>
      </c>
      <c r="H87" s="64">
        <f t="shared" si="44"/>
        <v>25.6</v>
      </c>
      <c r="I87" s="64">
        <f t="shared" si="44"/>
        <v>26.8</v>
      </c>
      <c r="J87" s="64">
        <f t="shared" si="44"/>
        <v>26</v>
      </c>
      <c r="K87" s="64">
        <f t="shared" si="44"/>
        <v>20.100000000000001</v>
      </c>
      <c r="L87" s="64">
        <f t="shared" si="44"/>
        <v>20.100000000000001</v>
      </c>
      <c r="M87" s="64">
        <f t="shared" si="44"/>
        <v>20.399999999999999</v>
      </c>
      <c r="N87" s="64">
        <f t="shared" si="44"/>
        <v>20.399999999999999</v>
      </c>
      <c r="O87" s="64">
        <f t="shared" si="44"/>
        <v>26.8</v>
      </c>
      <c r="P87" s="64">
        <f t="shared" si="44"/>
        <v>26</v>
      </c>
      <c r="Q87" s="64">
        <f t="shared" si="44"/>
        <v>26.4</v>
      </c>
      <c r="R87" s="64">
        <f t="shared" si="44"/>
        <v>26.4</v>
      </c>
      <c r="S87" s="64">
        <f t="shared" si="44"/>
        <v>25.6</v>
      </c>
      <c r="T87" s="64">
        <f t="shared" si="44"/>
        <v>26.4</v>
      </c>
      <c r="U87" s="64">
        <f t="shared" si="44"/>
        <v>26.8</v>
      </c>
      <c r="V87" s="64">
        <f t="shared" si="44"/>
        <v>26.8</v>
      </c>
      <c r="W87" s="64">
        <f t="shared" si="44"/>
        <v>26.4</v>
      </c>
      <c r="X87" s="64">
        <f t="shared" si="44"/>
        <v>26.8</v>
      </c>
      <c r="Y87" s="64">
        <f t="shared" si="44"/>
        <v>26.4</v>
      </c>
      <c r="Z87" s="64">
        <f t="shared" si="44"/>
        <v>26.2</v>
      </c>
      <c r="AA87" s="64">
        <f t="shared" si="44"/>
        <v>26.4</v>
      </c>
      <c r="AB87" s="64">
        <f t="shared" si="44"/>
        <v>26.4</v>
      </c>
      <c r="AC87" s="64">
        <f t="shared" si="44"/>
        <v>25.2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413" t="s">
        <v>73</v>
      </c>
      <c r="B88" s="413"/>
      <c r="C88" s="414"/>
      <c r="D88" s="45"/>
      <c r="E88" s="45"/>
      <c r="F88" s="68">
        <v>0.83099999999999996</v>
      </c>
      <c r="G88" s="68">
        <v>0.89400000000000002</v>
      </c>
      <c r="H88" s="68">
        <v>0.92400000000000004</v>
      </c>
      <c r="I88" s="68">
        <v>0.98099999999999998</v>
      </c>
      <c r="J88" s="68">
        <v>0.91400000000000003</v>
      </c>
      <c r="K88" s="68">
        <v>0.86</v>
      </c>
      <c r="L88" s="68">
        <v>0.85399999999999998</v>
      </c>
      <c r="M88" s="68">
        <v>0.80200000000000005</v>
      </c>
      <c r="N88" s="68">
        <v>0.7</v>
      </c>
      <c r="O88" s="68">
        <v>0.91500000000000004</v>
      </c>
      <c r="P88" s="68">
        <v>0.64200000000000002</v>
      </c>
      <c r="Q88" s="68">
        <v>0.62</v>
      </c>
      <c r="R88" s="68">
        <v>0.68899999999999995</v>
      </c>
      <c r="S88" s="68">
        <v>0.73</v>
      </c>
      <c r="T88" s="68">
        <v>0.74</v>
      </c>
      <c r="U88" s="68">
        <v>0.61</v>
      </c>
      <c r="V88" s="68">
        <v>0.74</v>
      </c>
      <c r="W88" s="68">
        <v>0.71</v>
      </c>
      <c r="X88" s="68">
        <v>0.71199999999999997</v>
      </c>
      <c r="Y88" s="68">
        <v>0.74</v>
      </c>
      <c r="Z88" s="68">
        <v>0.98</v>
      </c>
      <c r="AA88" s="68">
        <v>0.94099999999999995</v>
      </c>
      <c r="AB88" s="68">
        <v>0.93100000000000005</v>
      </c>
      <c r="AC88" s="68">
        <v>0.72899999999999998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399" t="s">
        <v>29</v>
      </c>
      <c r="B89" s="400"/>
      <c r="C89" s="401"/>
      <c r="D89" s="45"/>
      <c r="E89" s="45"/>
      <c r="F89" s="65">
        <f t="shared" ref="F89:AC89" si="45">F29</f>
        <v>3.8</v>
      </c>
      <c r="G89" s="65">
        <f t="shared" si="45"/>
        <v>4</v>
      </c>
      <c r="H89" s="65">
        <f t="shared" si="45"/>
        <v>3.5</v>
      </c>
      <c r="I89" s="65">
        <f t="shared" si="45"/>
        <v>2.5</v>
      </c>
      <c r="J89" s="65">
        <f t="shared" si="45"/>
        <v>2.7</v>
      </c>
      <c r="K89" s="65">
        <f t="shared" si="45"/>
        <v>4.0999999999999996</v>
      </c>
      <c r="L89" s="65">
        <f t="shared" si="45"/>
        <v>4.2</v>
      </c>
      <c r="M89" s="65">
        <f t="shared" si="45"/>
        <v>4.0999999999999996</v>
      </c>
      <c r="N89" s="65">
        <f t="shared" si="45"/>
        <v>4</v>
      </c>
      <c r="O89" s="65">
        <f t="shared" si="45"/>
        <v>4</v>
      </c>
      <c r="P89" s="65">
        <f t="shared" si="45"/>
        <v>3.9</v>
      </c>
      <c r="Q89" s="65">
        <f t="shared" si="45"/>
        <v>3.9</v>
      </c>
      <c r="R89" s="65">
        <f t="shared" si="45"/>
        <v>3.8</v>
      </c>
      <c r="S89" s="65">
        <f t="shared" si="45"/>
        <v>3.7</v>
      </c>
      <c r="T89" s="65">
        <f t="shared" si="45"/>
        <v>3.8</v>
      </c>
      <c r="U89" s="65">
        <f t="shared" si="45"/>
        <v>4</v>
      </c>
      <c r="V89" s="65">
        <f t="shared" si="45"/>
        <v>4</v>
      </c>
      <c r="W89" s="65">
        <f t="shared" si="45"/>
        <v>3.9</v>
      </c>
      <c r="X89" s="65">
        <f t="shared" si="45"/>
        <v>4</v>
      </c>
      <c r="Y89" s="65">
        <f t="shared" si="45"/>
        <v>4.0999999999999996</v>
      </c>
      <c r="Z89" s="65">
        <f t="shared" si="45"/>
        <v>4.0999999999999996</v>
      </c>
      <c r="AA89" s="65">
        <f t="shared" si="45"/>
        <v>5.7</v>
      </c>
      <c r="AB89" s="65">
        <f t="shared" si="45"/>
        <v>7.2</v>
      </c>
      <c r="AC89" s="65">
        <f t="shared" si="45"/>
        <v>7.2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413" t="s">
        <v>74</v>
      </c>
      <c r="B90" s="413"/>
      <c r="C90" s="414"/>
      <c r="D90" s="45"/>
      <c r="E90" s="45"/>
      <c r="F90" s="68">
        <v>0.21299999999999999</v>
      </c>
      <c r="G90" s="68">
        <v>0.215</v>
      </c>
      <c r="H90" s="68">
        <v>0.20899999999999999</v>
      </c>
      <c r="I90" s="68">
        <v>0.21099999999999999</v>
      </c>
      <c r="J90" s="68">
        <v>0.218</v>
      </c>
      <c r="K90" s="68">
        <v>0.21199999999999999</v>
      </c>
      <c r="L90" s="68">
        <v>0.20599999999999999</v>
      </c>
      <c r="M90" s="68">
        <v>0.19900000000000001</v>
      </c>
      <c r="N90" s="68">
        <v>0.192</v>
      </c>
      <c r="O90" s="68">
        <v>0.219</v>
      </c>
      <c r="P90" s="68">
        <v>0.22500000000000001</v>
      </c>
      <c r="Q90" s="68">
        <v>0.215</v>
      </c>
      <c r="R90" s="68">
        <v>0.217</v>
      </c>
      <c r="S90" s="68">
        <v>0.20100000000000001</v>
      </c>
      <c r="T90" s="68">
        <v>0.216</v>
      </c>
      <c r="U90" s="68">
        <v>0.22</v>
      </c>
      <c r="V90" s="68">
        <v>0.20300000000000001</v>
      </c>
      <c r="W90" s="68">
        <v>0.246</v>
      </c>
      <c r="X90" s="68">
        <v>0.24399999999999999</v>
      </c>
      <c r="Y90" s="68">
        <v>0.25600000000000001</v>
      </c>
      <c r="Z90" s="68">
        <v>0.27800000000000002</v>
      </c>
      <c r="AA90" s="68">
        <v>0.25900000000000001</v>
      </c>
      <c r="AB90" s="68">
        <v>0.27500000000000002</v>
      </c>
      <c r="AC90" s="68">
        <v>0.249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399" t="s">
        <v>30</v>
      </c>
      <c r="B91" s="400"/>
      <c r="C91" s="401"/>
      <c r="D91" s="45"/>
      <c r="E91" s="45"/>
      <c r="F91" s="65">
        <f t="shared" ref="F91:AC91" si="46">F32</f>
        <v>0</v>
      </c>
      <c r="G91" s="65">
        <f t="shared" si="46"/>
        <v>0</v>
      </c>
      <c r="H91" s="65">
        <f t="shared" si="46"/>
        <v>0</v>
      </c>
      <c r="I91" s="65">
        <f t="shared" si="46"/>
        <v>0</v>
      </c>
      <c r="J91" s="65">
        <f t="shared" si="46"/>
        <v>0</v>
      </c>
      <c r="K91" s="65">
        <f t="shared" si="46"/>
        <v>0</v>
      </c>
      <c r="L91" s="65">
        <f t="shared" si="46"/>
        <v>0</v>
      </c>
      <c r="M91" s="65">
        <f t="shared" si="46"/>
        <v>0</v>
      </c>
      <c r="N91" s="65">
        <f t="shared" si="46"/>
        <v>0</v>
      </c>
      <c r="O91" s="65">
        <f t="shared" si="46"/>
        <v>0</v>
      </c>
      <c r="P91" s="65">
        <f t="shared" si="46"/>
        <v>0</v>
      </c>
      <c r="Q91" s="65">
        <f t="shared" si="46"/>
        <v>0</v>
      </c>
      <c r="R91" s="65">
        <f t="shared" si="46"/>
        <v>0</v>
      </c>
      <c r="S91" s="65">
        <f t="shared" si="46"/>
        <v>0</v>
      </c>
      <c r="T91" s="65">
        <f t="shared" si="46"/>
        <v>0</v>
      </c>
      <c r="U91" s="65">
        <f t="shared" si="46"/>
        <v>0</v>
      </c>
      <c r="V91" s="65">
        <f t="shared" si="46"/>
        <v>0</v>
      </c>
      <c r="W91" s="65">
        <f t="shared" si="46"/>
        <v>0</v>
      </c>
      <c r="X91" s="65">
        <f t="shared" si="46"/>
        <v>0</v>
      </c>
      <c r="Y91" s="65">
        <f t="shared" si="46"/>
        <v>0</v>
      </c>
      <c r="Z91" s="65">
        <f t="shared" si="46"/>
        <v>0</v>
      </c>
      <c r="AA91" s="65">
        <f t="shared" si="46"/>
        <v>0</v>
      </c>
      <c r="AB91" s="65">
        <f t="shared" si="46"/>
        <v>0</v>
      </c>
      <c r="AC91" s="65">
        <f t="shared" si="46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5">
      <c r="A92" s="413" t="s">
        <v>75</v>
      </c>
      <c r="B92" s="413"/>
      <c r="C92" s="414"/>
      <c r="D92" s="68"/>
      <c r="E92" s="68"/>
      <c r="F92" s="68">
        <v>0.04</v>
      </c>
      <c r="G92" s="68">
        <v>0.04</v>
      </c>
      <c r="H92" s="68">
        <v>0.05</v>
      </c>
      <c r="I92" s="68">
        <v>0.06</v>
      </c>
      <c r="J92" s="68">
        <v>0.03</v>
      </c>
      <c r="K92" s="68">
        <v>0.02</v>
      </c>
      <c r="L92" s="68">
        <v>0.03</v>
      </c>
      <c r="M92" s="68">
        <v>0.01</v>
      </c>
      <c r="N92" s="68">
        <v>0.05</v>
      </c>
      <c r="O92" s="68">
        <v>0.06</v>
      </c>
      <c r="P92" s="68">
        <v>0.09</v>
      </c>
      <c r="Q92" s="68">
        <v>0.05</v>
      </c>
      <c r="R92" s="68">
        <v>0.06</v>
      </c>
      <c r="S92" s="68">
        <v>0.09</v>
      </c>
      <c r="T92" s="68">
        <v>0.09</v>
      </c>
      <c r="U92" s="68">
        <v>5.6000000000000001E-2</v>
      </c>
      <c r="V92" s="68">
        <v>0.05</v>
      </c>
      <c r="W92" s="68">
        <v>0.06</v>
      </c>
      <c r="X92" s="68">
        <v>0.06</v>
      </c>
      <c r="Y92" s="68">
        <v>0.06</v>
      </c>
      <c r="Z92" s="68">
        <v>0.05</v>
      </c>
      <c r="AA92" s="68">
        <v>4.2000000000000003E-2</v>
      </c>
      <c r="AB92" s="68">
        <v>0.04</v>
      </c>
      <c r="AC92" s="68">
        <v>7.0000000000000007E-2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5">
      <c r="A93" s="399" t="s">
        <v>31</v>
      </c>
      <c r="B93" s="400"/>
      <c r="C93" s="401"/>
      <c r="D93" s="45"/>
      <c r="E93" s="45"/>
      <c r="F93" s="64">
        <f>F58</f>
        <v>5.6999999999999993</v>
      </c>
      <c r="G93" s="64">
        <f t="shared" ref="G93:AC93" si="47">G58</f>
        <v>0.8</v>
      </c>
      <c r="H93" s="64">
        <f t="shared" si="47"/>
        <v>0</v>
      </c>
      <c r="I93" s="64">
        <f t="shared" si="47"/>
        <v>0</v>
      </c>
      <c r="J93" s="64">
        <f t="shared" si="47"/>
        <v>0</v>
      </c>
      <c r="K93" s="64">
        <f t="shared" si="47"/>
        <v>4</v>
      </c>
      <c r="L93" s="64">
        <f t="shared" si="47"/>
        <v>4</v>
      </c>
      <c r="M93" s="64">
        <f t="shared" si="47"/>
        <v>4.8</v>
      </c>
      <c r="N93" s="64">
        <f t="shared" si="47"/>
        <v>6.2999999999999989</v>
      </c>
      <c r="O93" s="64">
        <f t="shared" si="47"/>
        <v>4.7</v>
      </c>
      <c r="P93" s="64">
        <f t="shared" si="47"/>
        <v>9.8999999999999986</v>
      </c>
      <c r="Q93" s="64">
        <f t="shared" si="47"/>
        <v>9.7000000000000011</v>
      </c>
      <c r="R93" s="64">
        <f t="shared" si="47"/>
        <v>9.7000000000000011</v>
      </c>
      <c r="S93" s="64">
        <f t="shared" si="47"/>
        <v>12.1</v>
      </c>
      <c r="T93" s="64">
        <f t="shared" si="47"/>
        <v>11.1</v>
      </c>
      <c r="U93" s="64">
        <f t="shared" si="47"/>
        <v>7.9</v>
      </c>
      <c r="V93" s="64">
        <f t="shared" si="47"/>
        <v>10.600000000000001</v>
      </c>
      <c r="W93" s="64">
        <f t="shared" si="47"/>
        <v>10.600000000000001</v>
      </c>
      <c r="X93" s="64">
        <f t="shared" si="47"/>
        <v>10.499999999999996</v>
      </c>
      <c r="Y93" s="64">
        <f t="shared" si="47"/>
        <v>14.699999999999996</v>
      </c>
      <c r="Z93" s="64">
        <f t="shared" si="47"/>
        <v>14.699999999999996</v>
      </c>
      <c r="AA93" s="64">
        <f t="shared" si="47"/>
        <v>12.099999999999998</v>
      </c>
      <c r="AB93" s="64">
        <f t="shared" si="47"/>
        <v>6.4999999999999991</v>
      </c>
      <c r="AC93" s="64">
        <f t="shared" si="47"/>
        <v>3.2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50</v>
      </c>
      <c r="B94" s="400"/>
      <c r="C94" s="401"/>
      <c r="D94" s="45"/>
      <c r="E94" s="45"/>
      <c r="F94" s="64">
        <f t="shared" ref="F94:AC94" si="48">F63</f>
        <v>0.94</v>
      </c>
      <c r="G94" s="64">
        <f t="shared" si="48"/>
        <v>0.8</v>
      </c>
      <c r="H94" s="64">
        <f t="shared" si="48"/>
        <v>0.74</v>
      </c>
      <c r="I94" s="64">
        <f t="shared" si="48"/>
        <v>0.72</v>
      </c>
      <c r="J94" s="64">
        <f t="shared" si="48"/>
        <v>0.7</v>
      </c>
      <c r="K94" s="64">
        <f t="shared" si="48"/>
        <v>0.7</v>
      </c>
      <c r="L94" s="64">
        <f t="shared" si="48"/>
        <v>0.77</v>
      </c>
      <c r="M94" s="64">
        <f t="shared" si="48"/>
        <v>0.9</v>
      </c>
      <c r="N94" s="64">
        <f t="shared" si="48"/>
        <v>1.05</v>
      </c>
      <c r="O94" s="64">
        <f t="shared" si="48"/>
        <v>1.04</v>
      </c>
      <c r="P94" s="64">
        <f t="shared" si="48"/>
        <v>1.04</v>
      </c>
      <c r="Q94" s="64">
        <f t="shared" si="48"/>
        <v>1.1000000000000001</v>
      </c>
      <c r="R94" s="64">
        <f t="shared" si="48"/>
        <v>1.01</v>
      </c>
      <c r="S94" s="64">
        <f t="shared" si="48"/>
        <v>1.0900000000000001</v>
      </c>
      <c r="T94" s="64">
        <f t="shared" si="48"/>
        <v>1.1100000000000001</v>
      </c>
      <c r="U94" s="64">
        <f t="shared" si="48"/>
        <v>1.08</v>
      </c>
      <c r="V94" s="64">
        <f t="shared" si="48"/>
        <v>1.07</v>
      </c>
      <c r="W94" s="64">
        <f t="shared" si="48"/>
        <v>1.0900000000000001</v>
      </c>
      <c r="X94" s="64">
        <f t="shared" si="48"/>
        <v>1.2</v>
      </c>
      <c r="Y94" s="64">
        <f t="shared" si="48"/>
        <v>1.47</v>
      </c>
      <c r="Z94" s="64">
        <f t="shared" si="48"/>
        <v>1.49</v>
      </c>
      <c r="AA94" s="64">
        <f t="shared" si="48"/>
        <v>1.36</v>
      </c>
      <c r="AB94" s="64">
        <f t="shared" si="48"/>
        <v>1.2</v>
      </c>
      <c r="AC94" s="64">
        <f t="shared" si="48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399" t="s">
        <v>54</v>
      </c>
      <c r="B95" s="400"/>
      <c r="C95" s="401"/>
      <c r="D95" s="45"/>
      <c r="E95" s="45"/>
      <c r="F95" s="64">
        <f t="shared" ref="F95:AC95" si="49">F74</f>
        <v>3.9</v>
      </c>
      <c r="G95" s="64">
        <f t="shared" si="49"/>
        <v>3.5</v>
      </c>
      <c r="H95" s="64">
        <f t="shared" si="49"/>
        <v>3.5</v>
      </c>
      <c r="I95" s="64">
        <f t="shared" si="49"/>
        <v>3.3</v>
      </c>
      <c r="J95" s="64">
        <f t="shared" si="49"/>
        <v>3.1</v>
      </c>
      <c r="K95" s="64">
        <f t="shared" si="49"/>
        <v>3.2</v>
      </c>
      <c r="L95" s="64">
        <f t="shared" si="49"/>
        <v>3.2</v>
      </c>
      <c r="M95" s="64">
        <f t="shared" si="49"/>
        <v>3.24</v>
      </c>
      <c r="N95" s="64">
        <f t="shared" si="49"/>
        <v>3.5999999999999996</v>
      </c>
      <c r="O95" s="64">
        <f t="shared" si="49"/>
        <v>3.63</v>
      </c>
      <c r="P95" s="64">
        <f t="shared" si="49"/>
        <v>3.85</v>
      </c>
      <c r="Q95" s="64">
        <f t="shared" si="49"/>
        <v>3.7199999999999998</v>
      </c>
      <c r="R95" s="64">
        <f t="shared" si="49"/>
        <v>3.67</v>
      </c>
      <c r="S95" s="64">
        <f t="shared" si="49"/>
        <v>3.81</v>
      </c>
      <c r="T95" s="64">
        <f t="shared" si="49"/>
        <v>3.6619999999999999</v>
      </c>
      <c r="U95" s="64">
        <f t="shared" si="49"/>
        <v>3.75</v>
      </c>
      <c r="V95" s="64">
        <f t="shared" si="49"/>
        <v>3.7</v>
      </c>
      <c r="W95" s="64">
        <f t="shared" si="49"/>
        <v>3.71</v>
      </c>
      <c r="X95" s="64">
        <f t="shared" si="49"/>
        <v>3.698</v>
      </c>
      <c r="Y95" s="64">
        <f t="shared" si="49"/>
        <v>4.2699999999999996</v>
      </c>
      <c r="Z95" s="64">
        <f t="shared" si="49"/>
        <v>3.9000000000000004</v>
      </c>
      <c r="AA95" s="64">
        <f t="shared" si="49"/>
        <v>4</v>
      </c>
      <c r="AB95" s="64">
        <f t="shared" si="49"/>
        <v>3.6000000000000005</v>
      </c>
      <c r="AC95" s="64">
        <f t="shared" si="49"/>
        <v>3.2</v>
      </c>
    </row>
    <row r="96" spans="1:40" ht="18" x14ac:dyDescent="0.25">
      <c r="A96" s="399" t="s">
        <v>64</v>
      </c>
      <c r="B96" s="400"/>
      <c r="C96" s="401"/>
      <c r="D96" s="45"/>
      <c r="E96" s="45"/>
      <c r="F96" s="64">
        <f t="shared" ref="F96:AC96" si="50">F78</f>
        <v>0.82</v>
      </c>
      <c r="G96" s="64">
        <f t="shared" si="50"/>
        <v>0.79</v>
      </c>
      <c r="H96" s="64">
        <f t="shared" si="50"/>
        <v>0.75</v>
      </c>
      <c r="I96" s="64">
        <f t="shared" si="50"/>
        <v>0.72</v>
      </c>
      <c r="J96" s="64">
        <f t="shared" si="50"/>
        <v>0.69</v>
      </c>
      <c r="K96" s="64">
        <f t="shared" si="50"/>
        <v>0.71</v>
      </c>
      <c r="L96" s="64">
        <f t="shared" si="50"/>
        <v>0.7</v>
      </c>
      <c r="M96" s="64">
        <f t="shared" si="50"/>
        <v>0.78</v>
      </c>
      <c r="N96" s="64">
        <f t="shared" si="50"/>
        <v>0.75</v>
      </c>
      <c r="O96" s="64">
        <f t="shared" si="50"/>
        <v>0.78</v>
      </c>
      <c r="P96" s="64">
        <f t="shared" si="50"/>
        <v>0.89</v>
      </c>
      <c r="Q96" s="64">
        <f t="shared" si="50"/>
        <v>0.84</v>
      </c>
      <c r="R96" s="64">
        <f t="shared" si="50"/>
        <v>0</v>
      </c>
      <c r="S96" s="64">
        <f t="shared" si="50"/>
        <v>0</v>
      </c>
      <c r="T96" s="64">
        <f t="shared" si="50"/>
        <v>0</v>
      </c>
      <c r="U96" s="64">
        <f t="shared" si="50"/>
        <v>0.81</v>
      </c>
      <c r="V96" s="64">
        <f t="shared" si="50"/>
        <v>0.93</v>
      </c>
      <c r="W96" s="64">
        <f t="shared" si="50"/>
        <v>0.93</v>
      </c>
      <c r="X96" s="64">
        <f t="shared" si="50"/>
        <v>0.94</v>
      </c>
      <c r="Y96" s="64">
        <f t="shared" si="50"/>
        <v>1.04</v>
      </c>
      <c r="Z96" s="64">
        <f t="shared" si="50"/>
        <v>1.05</v>
      </c>
      <c r="AA96" s="64">
        <f t="shared" si="50"/>
        <v>0.96</v>
      </c>
      <c r="AB96" s="64">
        <f t="shared" si="50"/>
        <v>0.96</v>
      </c>
      <c r="AC96" s="64">
        <f t="shared" si="50"/>
        <v>0.93</v>
      </c>
    </row>
    <row r="97" spans="1:40" ht="22.35" customHeight="1" x14ac:dyDescent="0.25">
      <c r="A97" s="412" t="s">
        <v>76</v>
      </c>
      <c r="B97" s="412"/>
      <c r="C97" s="412"/>
      <c r="D97" s="47"/>
      <c r="E97" s="47"/>
      <c r="F97" s="61">
        <f t="shared" ref="F97:AC97" si="51">SUM(F85,F87,F89,F91,F93:F96)</f>
        <v>43.959999999999994</v>
      </c>
      <c r="G97" s="61">
        <f t="shared" si="51"/>
        <v>40.189999999999991</v>
      </c>
      <c r="H97" s="61">
        <f t="shared" si="51"/>
        <v>38.090000000000003</v>
      </c>
      <c r="I97" s="61">
        <f t="shared" si="51"/>
        <v>37.239999999999995</v>
      </c>
      <c r="J97" s="61">
        <f t="shared" si="51"/>
        <v>36.39</v>
      </c>
      <c r="K97" s="61">
        <f>SUM(K85,K87,K89,K91,K93:K96)</f>
        <v>36.010000000000005</v>
      </c>
      <c r="L97" s="61">
        <f t="shared" si="51"/>
        <v>36.170000000000009</v>
      </c>
      <c r="M97" s="61">
        <f t="shared" si="51"/>
        <v>37.419999999999995</v>
      </c>
      <c r="N97" s="61">
        <f t="shared" si="51"/>
        <v>39.299999999999997</v>
      </c>
      <c r="O97" s="61">
        <f t="shared" si="51"/>
        <v>44.150000000000006</v>
      </c>
      <c r="P97" s="61">
        <f t="shared" si="51"/>
        <v>48.78</v>
      </c>
      <c r="Q97" s="61">
        <f t="shared" si="51"/>
        <v>48.860000000000007</v>
      </c>
      <c r="R97" s="61">
        <f t="shared" si="51"/>
        <v>47.78</v>
      </c>
      <c r="S97" s="61">
        <f t="shared" si="51"/>
        <v>49.500000000000007</v>
      </c>
      <c r="T97" s="61">
        <f t="shared" si="51"/>
        <v>49.271999999999998</v>
      </c>
      <c r="U97" s="61">
        <f t="shared" si="51"/>
        <v>50.54</v>
      </c>
      <c r="V97" s="61">
        <f t="shared" si="51"/>
        <v>50.300000000000004</v>
      </c>
      <c r="W97" s="61">
        <f t="shared" si="51"/>
        <v>49.830000000000005</v>
      </c>
      <c r="X97" s="61">
        <f t="shared" si="51"/>
        <v>50.338000000000001</v>
      </c>
      <c r="Y97" s="61">
        <f t="shared" si="51"/>
        <v>55.179999999999986</v>
      </c>
      <c r="Z97" s="61">
        <f>SUM(Z85,Z87,Z89,Z91,Z93:Z96)</f>
        <v>54.639999999999993</v>
      </c>
      <c r="AA97" s="61">
        <f t="shared" si="51"/>
        <v>53.719999999999992</v>
      </c>
      <c r="AB97" s="61">
        <f>SUM(AB85,AB87,AB89,AB91,AB93:AB96)</f>
        <v>49.06</v>
      </c>
      <c r="AC97" s="61">
        <f t="shared" si="51"/>
        <v>43.930000000000007</v>
      </c>
    </row>
    <row r="98" spans="1:40" ht="22.35" customHeight="1" x14ac:dyDescent="0.25">
      <c r="A98" s="415" t="s">
        <v>77</v>
      </c>
      <c r="B98" s="415"/>
      <c r="C98" s="415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>
        <v>2.17</v>
      </c>
      <c r="Z98" s="77"/>
      <c r="AA98" s="77"/>
      <c r="AB98" s="77"/>
      <c r="AC98" s="77"/>
    </row>
    <row r="99" spans="1:40" ht="22.35" customHeight="1" x14ac:dyDescent="0.25">
      <c r="A99" s="415" t="s">
        <v>78</v>
      </c>
      <c r="B99" s="415"/>
      <c r="C99" s="415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>
        <v>0.6</v>
      </c>
      <c r="Y99" s="77"/>
      <c r="Z99" s="77"/>
      <c r="AA99" s="77"/>
      <c r="AB99" s="77"/>
      <c r="AC99" s="77"/>
    </row>
    <row r="100" spans="1:40" ht="22.35" customHeight="1" x14ac:dyDescent="0.25">
      <c r="A100" s="415" t="s">
        <v>79</v>
      </c>
      <c r="B100" s="415"/>
      <c r="C100" s="415"/>
      <c r="D100" s="46"/>
      <c r="E100" s="46"/>
      <c r="F100" s="77"/>
      <c r="G100" s="77"/>
      <c r="H100" s="77"/>
      <c r="I100" s="77"/>
      <c r="J100" s="77"/>
      <c r="K100" s="77"/>
      <c r="L100" s="77">
        <v>0.7</v>
      </c>
      <c r="M100" s="77"/>
      <c r="N100" s="77"/>
      <c r="O100" s="77"/>
      <c r="P100" s="77"/>
      <c r="Q100" s="77"/>
      <c r="R100" s="77">
        <v>0.84</v>
      </c>
      <c r="S100" s="77">
        <v>0.84</v>
      </c>
      <c r="T100" s="77">
        <v>0.84</v>
      </c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5">
      <c r="A101" s="412" t="s">
        <v>80</v>
      </c>
      <c r="B101" s="412"/>
      <c r="C101" s="412"/>
      <c r="D101" s="47"/>
      <c r="E101" s="47"/>
      <c r="F101" s="61">
        <f t="shared" ref="F101:AC101" si="52">SUM(F98:F100)</f>
        <v>0</v>
      </c>
      <c r="G101" s="61">
        <f t="shared" si="52"/>
        <v>0</v>
      </c>
      <c r="H101" s="61">
        <f t="shared" si="52"/>
        <v>0</v>
      </c>
      <c r="I101" s="61">
        <f t="shared" si="52"/>
        <v>0</v>
      </c>
      <c r="J101" s="61">
        <f t="shared" si="52"/>
        <v>0</v>
      </c>
      <c r="K101" s="61">
        <f t="shared" si="52"/>
        <v>0</v>
      </c>
      <c r="L101" s="61">
        <f t="shared" si="52"/>
        <v>0.7</v>
      </c>
      <c r="M101" s="61">
        <f t="shared" si="52"/>
        <v>0</v>
      </c>
      <c r="N101" s="61">
        <f t="shared" si="52"/>
        <v>0</v>
      </c>
      <c r="O101" s="61">
        <f t="shared" si="52"/>
        <v>0</v>
      </c>
      <c r="P101" s="61">
        <f t="shared" si="52"/>
        <v>0</v>
      </c>
      <c r="Q101" s="61">
        <f t="shared" si="52"/>
        <v>0</v>
      </c>
      <c r="R101" s="61">
        <f t="shared" si="52"/>
        <v>0.84</v>
      </c>
      <c r="S101" s="61">
        <f t="shared" si="52"/>
        <v>0.84</v>
      </c>
      <c r="T101" s="61">
        <f t="shared" si="52"/>
        <v>0.84</v>
      </c>
      <c r="U101" s="61">
        <f t="shared" si="52"/>
        <v>0</v>
      </c>
      <c r="V101" s="61">
        <f t="shared" si="52"/>
        <v>0</v>
      </c>
      <c r="W101" s="61">
        <f t="shared" si="52"/>
        <v>0</v>
      </c>
      <c r="X101" s="61">
        <f t="shared" si="52"/>
        <v>0.6</v>
      </c>
      <c r="Y101" s="61">
        <f t="shared" si="52"/>
        <v>2.17</v>
      </c>
      <c r="Z101" s="61">
        <f t="shared" si="52"/>
        <v>0</v>
      </c>
      <c r="AA101" s="61">
        <f t="shared" si="52"/>
        <v>0</v>
      </c>
      <c r="AB101" s="61">
        <f t="shared" si="52"/>
        <v>0</v>
      </c>
      <c r="AC101" s="61">
        <f t="shared" si="52"/>
        <v>0</v>
      </c>
    </row>
    <row r="102" spans="1:40" ht="22.35" customHeight="1" x14ac:dyDescent="0.25">
      <c r="A102" s="416" t="s">
        <v>81</v>
      </c>
      <c r="B102" s="416"/>
      <c r="C102" s="416"/>
      <c r="D102" s="48"/>
      <c r="E102" s="48"/>
      <c r="F102" s="62">
        <f t="shared" ref="F102:AC102" si="53">F97+F101</f>
        <v>43.959999999999994</v>
      </c>
      <c r="G102" s="62">
        <f t="shared" si="53"/>
        <v>40.189999999999991</v>
      </c>
      <c r="H102" s="62">
        <f t="shared" si="53"/>
        <v>38.090000000000003</v>
      </c>
      <c r="I102" s="62">
        <f t="shared" si="53"/>
        <v>37.239999999999995</v>
      </c>
      <c r="J102" s="62">
        <f t="shared" si="53"/>
        <v>36.39</v>
      </c>
      <c r="K102" s="62">
        <f t="shared" si="53"/>
        <v>36.010000000000005</v>
      </c>
      <c r="L102" s="62">
        <f t="shared" si="53"/>
        <v>36.870000000000012</v>
      </c>
      <c r="M102" s="62">
        <f t="shared" si="53"/>
        <v>37.419999999999995</v>
      </c>
      <c r="N102" s="62">
        <f t="shared" si="53"/>
        <v>39.299999999999997</v>
      </c>
      <c r="O102" s="62">
        <f t="shared" si="53"/>
        <v>44.150000000000006</v>
      </c>
      <c r="P102" s="62">
        <f t="shared" si="53"/>
        <v>48.78</v>
      </c>
      <c r="Q102" s="62">
        <f t="shared" si="53"/>
        <v>48.860000000000007</v>
      </c>
      <c r="R102" s="62">
        <f t="shared" si="53"/>
        <v>48.620000000000005</v>
      </c>
      <c r="S102" s="62">
        <f t="shared" si="53"/>
        <v>50.340000000000011</v>
      </c>
      <c r="T102" s="62">
        <f t="shared" si="53"/>
        <v>50.112000000000002</v>
      </c>
      <c r="U102" s="62">
        <f t="shared" si="53"/>
        <v>50.54</v>
      </c>
      <c r="V102" s="62">
        <f t="shared" si="53"/>
        <v>50.300000000000004</v>
      </c>
      <c r="W102" s="62">
        <f t="shared" si="53"/>
        <v>49.830000000000005</v>
      </c>
      <c r="X102" s="62">
        <f t="shared" si="53"/>
        <v>50.938000000000002</v>
      </c>
      <c r="Y102" s="62">
        <f t="shared" si="53"/>
        <v>57.349999999999987</v>
      </c>
      <c r="Z102" s="62">
        <f t="shared" si="53"/>
        <v>54.639999999999993</v>
      </c>
      <c r="AA102" s="62">
        <f t="shared" si="53"/>
        <v>53.719999999999992</v>
      </c>
      <c r="AB102" s="62">
        <f>AB97+AB101</f>
        <v>49.06</v>
      </c>
      <c r="AC102" s="62">
        <f t="shared" si="53"/>
        <v>43.930000000000007</v>
      </c>
    </row>
    <row r="103" spans="1:40" ht="20.25" hidden="1" x14ac:dyDescent="0.25">
      <c r="A103" s="417" t="s">
        <v>82</v>
      </c>
      <c r="B103" s="417"/>
      <c r="C103" s="417"/>
      <c r="D103" s="52"/>
      <c r="E103" s="52"/>
      <c r="F103" s="63">
        <f t="shared" ref="F103:AC103" si="54">(COUNT(F13:F16))*7.2+(COUNT(F27:F28)*4.9)+(COUNT(F19:F21)*4.5)-F87-F89</f>
        <v>8.8000000000000007</v>
      </c>
      <c r="G103" s="63">
        <f t="shared" si="54"/>
        <v>7.4000000000000021</v>
      </c>
      <c r="H103" s="63">
        <f t="shared" si="54"/>
        <v>9.1000000000000014</v>
      </c>
      <c r="I103" s="63">
        <f t="shared" si="54"/>
        <v>8.9000000000000021</v>
      </c>
      <c r="J103" s="63">
        <f t="shared" si="54"/>
        <v>9.5000000000000036</v>
      </c>
      <c r="K103" s="63">
        <f t="shared" si="54"/>
        <v>6.7999999999999989</v>
      </c>
      <c r="L103" s="63">
        <f t="shared" si="54"/>
        <v>6.6999999999999984</v>
      </c>
      <c r="M103" s="63">
        <f t="shared" si="54"/>
        <v>6.5000000000000018</v>
      </c>
      <c r="N103" s="63">
        <f t="shared" si="54"/>
        <v>6.6000000000000014</v>
      </c>
      <c r="O103" s="63">
        <f t="shared" si="54"/>
        <v>7.4000000000000021</v>
      </c>
      <c r="P103" s="63">
        <f t="shared" si="54"/>
        <v>8.3000000000000025</v>
      </c>
      <c r="Q103" s="63">
        <f t="shared" si="54"/>
        <v>7.9000000000000039</v>
      </c>
      <c r="R103" s="63">
        <f t="shared" si="54"/>
        <v>8.0000000000000036</v>
      </c>
      <c r="S103" s="63">
        <f>(COUNT(S13:S16))*7.2+(COUNT(S27:S28)*4.9)+(COUNT(S19:S21)*4.5)-S87-S89</f>
        <v>8.9000000000000021</v>
      </c>
      <c r="T103" s="63">
        <f t="shared" si="54"/>
        <v>8.0000000000000036</v>
      </c>
      <c r="U103" s="63">
        <f t="shared" si="54"/>
        <v>7.4000000000000021</v>
      </c>
      <c r="V103" s="63">
        <f t="shared" si="54"/>
        <v>7.4000000000000021</v>
      </c>
      <c r="W103" s="63">
        <f t="shared" si="54"/>
        <v>7.9000000000000039</v>
      </c>
      <c r="X103" s="63">
        <f t="shared" si="54"/>
        <v>7.4000000000000021</v>
      </c>
      <c r="Y103" s="63">
        <f t="shared" si="54"/>
        <v>7.7000000000000046</v>
      </c>
      <c r="Z103" s="63">
        <f t="shared" si="54"/>
        <v>7.9000000000000039</v>
      </c>
      <c r="AA103" s="63">
        <f t="shared" si="54"/>
        <v>11.000000000000004</v>
      </c>
      <c r="AB103" s="63">
        <f t="shared" si="54"/>
        <v>9.5000000000000036</v>
      </c>
      <c r="AC103" s="63">
        <f t="shared" si="54"/>
        <v>10.700000000000003</v>
      </c>
      <c r="AD103" s="26"/>
      <c r="AE103" s="26"/>
    </row>
    <row r="104" spans="1:40" ht="20.25" x14ac:dyDescent="0.25">
      <c r="A104" s="418" t="s">
        <v>83</v>
      </c>
      <c r="B104" s="419"/>
      <c r="C104" s="420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5.6000000000000005</v>
      </c>
      <c r="G104" s="206">
        <f t="shared" ref="G104:P104" si="55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8.4</v>
      </c>
      <c r="H104" s="206">
        <f t="shared" si="55"/>
        <v>9.6</v>
      </c>
      <c r="I104" s="206">
        <f t="shared" si="55"/>
        <v>5.7</v>
      </c>
      <c r="J104" s="206">
        <f t="shared" si="55"/>
        <v>6.3</v>
      </c>
      <c r="K104" s="206">
        <f t="shared" si="55"/>
        <v>3.6000000000000005</v>
      </c>
      <c r="L104" s="206">
        <f t="shared" si="55"/>
        <v>3.5</v>
      </c>
      <c r="M104" s="206">
        <f t="shared" si="55"/>
        <v>3.3000000000000034</v>
      </c>
      <c r="N104" s="206">
        <f t="shared" si="55"/>
        <v>3.400000000000003</v>
      </c>
      <c r="O104" s="206">
        <f t="shared" si="55"/>
        <v>4.2</v>
      </c>
      <c r="P104" s="206">
        <f t="shared" si="55"/>
        <v>5.1000000000000005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4.700000000000002</v>
      </c>
      <c r="R104" s="206">
        <f t="shared" ref="R104:AC104" si="5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4.4000000000000021</v>
      </c>
      <c r="S104" s="206">
        <f t="shared" si="56"/>
        <v>5.3</v>
      </c>
      <c r="T104" s="206">
        <f t="shared" si="56"/>
        <v>4.4000000000000021</v>
      </c>
      <c r="U104" s="206">
        <f t="shared" si="56"/>
        <v>5.3</v>
      </c>
      <c r="V104" s="206">
        <f t="shared" si="56"/>
        <v>3.8</v>
      </c>
      <c r="W104" s="206">
        <f t="shared" si="56"/>
        <v>4.3000000000000016</v>
      </c>
      <c r="X104" s="206">
        <f t="shared" si="56"/>
        <v>3.8</v>
      </c>
      <c r="Y104" s="206">
        <f t="shared" si="56"/>
        <v>4.1000000000000023</v>
      </c>
      <c r="Z104" s="206">
        <f t="shared" si="56"/>
        <v>4.3000000000000016</v>
      </c>
      <c r="AA104" s="206">
        <f t="shared" si="56"/>
        <v>7.0000000000000027</v>
      </c>
      <c r="AB104" s="206">
        <f t="shared" si="56"/>
        <v>5.5000000000000027</v>
      </c>
      <c r="AC104" s="206">
        <f t="shared" si="56"/>
        <v>6.700000000000002</v>
      </c>
      <c r="AD104" s="26"/>
      <c r="AE104" s="26"/>
    </row>
    <row r="105" spans="1:40" ht="20.25" x14ac:dyDescent="0.25">
      <c r="A105" s="421" t="s">
        <v>84</v>
      </c>
      <c r="B105" s="421"/>
      <c r="C105" s="421"/>
      <c r="D105" s="60"/>
      <c r="E105" s="73"/>
      <c r="F105" s="75">
        <v>60.23</v>
      </c>
      <c r="G105" s="75">
        <v>60.08</v>
      </c>
      <c r="H105" s="75">
        <v>60.14</v>
      </c>
      <c r="I105" s="75">
        <v>60.08</v>
      </c>
      <c r="J105" s="75">
        <v>60.19</v>
      </c>
      <c r="K105" s="75">
        <v>60.07</v>
      </c>
      <c r="L105" s="75">
        <v>60.08</v>
      </c>
      <c r="M105" s="75">
        <v>60.1</v>
      </c>
      <c r="N105" s="75">
        <v>60.05</v>
      </c>
      <c r="O105" s="75">
        <v>60.09</v>
      </c>
      <c r="P105" s="84">
        <v>60.19</v>
      </c>
      <c r="Q105" s="84">
        <v>60.14</v>
      </c>
      <c r="R105" s="84">
        <v>60.15</v>
      </c>
      <c r="S105" s="84">
        <v>60.22</v>
      </c>
      <c r="T105" s="84">
        <v>60.12</v>
      </c>
      <c r="U105" s="75">
        <v>6.11</v>
      </c>
      <c r="V105" s="75">
        <v>60.07</v>
      </c>
      <c r="W105" s="75">
        <v>60.12</v>
      </c>
      <c r="X105" s="75">
        <v>60.08</v>
      </c>
      <c r="Y105" s="75">
        <v>60.13</v>
      </c>
      <c r="Z105" s="75">
        <v>60.12</v>
      </c>
      <c r="AA105" s="75">
        <v>60.15</v>
      </c>
      <c r="AB105" s="75">
        <v>60.16</v>
      </c>
      <c r="AC105" s="75">
        <v>60.21</v>
      </c>
      <c r="AD105" s="26"/>
      <c r="AE105" s="26"/>
    </row>
    <row r="106" spans="1:40" ht="20.25" x14ac:dyDescent="0.25">
      <c r="A106" s="421" t="s">
        <v>85</v>
      </c>
      <c r="B106" s="421"/>
      <c r="C106" s="421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5">
      <c r="A107" s="421" t="s">
        <v>86</v>
      </c>
      <c r="B107" s="421"/>
      <c r="C107" s="421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5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 x14ac:dyDescent="0.25">
      <c r="A109" s="422" t="s">
        <v>87</v>
      </c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  <c r="L109" s="422"/>
      <c r="M109" s="422"/>
      <c r="N109" s="422"/>
      <c r="O109" s="422"/>
      <c r="P109" s="422"/>
      <c r="Q109" s="422"/>
      <c r="R109" s="422"/>
      <c r="S109" s="422"/>
      <c r="T109" s="422"/>
      <c r="U109" s="422"/>
      <c r="V109" s="422"/>
      <c r="W109" s="422"/>
      <c r="X109" s="422"/>
      <c r="Y109" s="422"/>
      <c r="Z109" s="422"/>
      <c r="AA109" s="422"/>
      <c r="AB109" s="422"/>
      <c r="AC109" s="422"/>
      <c r="AD109" s="26"/>
      <c r="AE109" s="26"/>
    </row>
    <row r="110" spans="1:40" hidden="1" x14ac:dyDescent="0.25">
      <c r="B110" s="5"/>
      <c r="AC110" s="26"/>
      <c r="AD110" s="26"/>
      <c r="AE110" s="26"/>
    </row>
    <row r="111" spans="1:40" ht="18" hidden="1" x14ac:dyDescent="0.25">
      <c r="A111" s="405" t="s">
        <v>69</v>
      </c>
      <c r="B111" s="406"/>
      <c r="C111" s="407"/>
      <c r="D111" s="49"/>
      <c r="E111" s="49"/>
      <c r="F111" s="411" t="s">
        <v>70</v>
      </c>
      <c r="G111" s="411"/>
      <c r="H111" s="411"/>
      <c r="I111" s="411"/>
      <c r="J111" s="411"/>
      <c r="K111" s="411"/>
      <c r="L111" s="411"/>
      <c r="M111" s="411"/>
      <c r="N111" s="411"/>
      <c r="O111" s="411"/>
      <c r="P111" s="411"/>
      <c r="Q111" s="411"/>
      <c r="R111" s="411"/>
      <c r="S111" s="411"/>
      <c r="T111" s="411"/>
      <c r="U111" s="411"/>
      <c r="V111" s="411"/>
      <c r="W111" s="411"/>
      <c r="X111" s="411"/>
      <c r="Y111" s="411"/>
      <c r="Z111" s="411"/>
      <c r="AA111" s="411"/>
      <c r="AB111" s="411"/>
      <c r="AC111" s="411"/>
      <c r="AD111" s="5"/>
      <c r="AE111" s="5"/>
      <c r="AF111" s="5"/>
      <c r="AG111" s="5"/>
      <c r="AH111" s="5"/>
    </row>
    <row r="112" spans="1:40" ht="15.6" hidden="1" customHeight="1" x14ac:dyDescent="0.25">
      <c r="A112" s="408"/>
      <c r="B112" s="409"/>
      <c r="C112" s="410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5">
      <c r="A113" s="399" t="s">
        <v>27</v>
      </c>
      <c r="B113" s="400"/>
      <c r="C113" s="401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5">
      <c r="A114" s="399" t="s">
        <v>72</v>
      </c>
      <c r="B114" s="400"/>
      <c r="C114" s="401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5">
      <c r="A115" s="399" t="s">
        <v>29</v>
      </c>
      <c r="B115" s="400"/>
      <c r="C115" s="401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5">
      <c r="A116" s="399" t="s">
        <v>30</v>
      </c>
      <c r="B116" s="400"/>
      <c r="C116" s="40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31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50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54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5">
      <c r="A120" s="399" t="s">
        <v>64</v>
      </c>
      <c r="B120" s="400"/>
      <c r="C120" s="401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5">
      <c r="A121" s="423" t="s">
        <v>88</v>
      </c>
      <c r="B121" s="424"/>
      <c r="C121" s="425"/>
      <c r="D121" s="51"/>
      <c r="E121" s="51"/>
      <c r="F121" s="44">
        <f>SUM(F113:F120)</f>
        <v>0</v>
      </c>
      <c r="G121" s="44">
        <f t="shared" ref="G121:AB121" si="57">SUM(G113:G120)</f>
        <v>0</v>
      </c>
      <c r="H121" s="44">
        <f t="shared" si="57"/>
        <v>0</v>
      </c>
      <c r="I121" s="44">
        <f t="shared" si="57"/>
        <v>0</v>
      </c>
      <c r="J121" s="44">
        <f t="shared" si="57"/>
        <v>0</v>
      </c>
      <c r="K121" s="44">
        <f t="shared" si="57"/>
        <v>0</v>
      </c>
      <c r="L121" s="44">
        <f t="shared" si="57"/>
        <v>0</v>
      </c>
      <c r="M121" s="44">
        <f t="shared" si="57"/>
        <v>0</v>
      </c>
      <c r="N121" s="44">
        <f t="shared" si="57"/>
        <v>0</v>
      </c>
      <c r="O121" s="44">
        <f t="shared" si="57"/>
        <v>0</v>
      </c>
      <c r="P121" s="44">
        <f t="shared" si="57"/>
        <v>0</v>
      </c>
      <c r="Q121" s="44">
        <f t="shared" si="57"/>
        <v>0</v>
      </c>
      <c r="R121" s="44">
        <f t="shared" si="57"/>
        <v>0</v>
      </c>
      <c r="S121" s="44">
        <f t="shared" si="57"/>
        <v>0</v>
      </c>
      <c r="T121" s="44">
        <f t="shared" si="57"/>
        <v>0</v>
      </c>
      <c r="U121" s="44">
        <f t="shared" si="57"/>
        <v>0</v>
      </c>
      <c r="V121" s="44">
        <f t="shared" si="57"/>
        <v>0</v>
      </c>
      <c r="W121" s="44">
        <f t="shared" si="57"/>
        <v>0</v>
      </c>
      <c r="X121" s="44">
        <f t="shared" si="57"/>
        <v>0</v>
      </c>
      <c r="Y121" s="44">
        <f t="shared" si="57"/>
        <v>0</v>
      </c>
      <c r="Z121" s="44">
        <f t="shared" si="57"/>
        <v>0</v>
      </c>
      <c r="AA121" s="44">
        <f t="shared" si="57"/>
        <v>0</v>
      </c>
      <c r="AB121" s="44">
        <f t="shared" si="57"/>
        <v>0</v>
      </c>
      <c r="AC121" s="44">
        <f>SUM(AC113:AC120)</f>
        <v>0</v>
      </c>
    </row>
    <row r="122" spans="1:124" x14ac:dyDescent="0.25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 x14ac:dyDescent="0.25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5">
      <c r="AB124" s="26"/>
      <c r="AC124" s="27"/>
      <c r="AD124" s="5"/>
      <c r="AE124" s="5"/>
    </row>
    <row r="125" spans="1:124" s="2" customFormat="1" x14ac:dyDescent="0.25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5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5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5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5">
      <c r="C131" s="26"/>
      <c r="D131" s="26"/>
      <c r="E131" s="26"/>
    </row>
    <row r="132" spans="1:124" x14ac:dyDescent="0.25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5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32860" priority="1159" operator="greaterThan">
      <formula>60.3</formula>
    </cfRule>
  </conditionalFormatting>
  <conditionalFormatting sqref="G52:G54 K15 H20:AC21 I31:AC31 H27:AC28 L13:P15 K16:P16 H39:I55 G57:M57 H56:M56 K60:AC60 H13:K14 H15:J16 H60:H62 J55:M55 J43:P54 N55:P57 H76:AC77 J34:S42 Q43:S57 H24:AC24 Q13:AC16 T34:AC57 L61:AC62 H65:AC73">
    <cfRule type="cellIs" dxfId="32859" priority="1151" operator="equal">
      <formula>"PMS"</formula>
    </cfRule>
    <cfRule type="containsText" dxfId="32858" priority="1152" operator="containsText" text="CMS">
      <formula>NOT(ISERROR(SEARCH("CMS",G13)))</formula>
    </cfRule>
    <cfRule type="cellIs" dxfId="32857" priority="1153" operator="equal">
      <formula>0</formula>
    </cfRule>
    <cfRule type="cellIs" dxfId="32856" priority="1154" operator="greaterThan">
      <formula>0</formula>
    </cfRule>
    <cfRule type="cellIs" dxfId="32855" priority="1155" operator="equal">
      <formula>"PMS"</formula>
    </cfRule>
    <cfRule type="containsText" dxfId="32854" priority="1156" operator="containsText" text="CMS">
      <formula>NOT(ISERROR(SEARCH("CMS",G13)))</formula>
    </cfRule>
    <cfRule type="cellIs" dxfId="32853" priority="1157" operator="equal">
      <formula>0</formula>
    </cfRule>
    <cfRule type="cellIs" dxfId="32852" priority="1158" operator="greaterThan">
      <formula>0</formula>
    </cfRule>
  </conditionalFormatting>
  <conditionalFormatting sqref="O76:AC77 O60:AC62 O65:AC73">
    <cfRule type="cellIs" dxfId="32851" priority="1147" operator="equal">
      <formula>"PMS"</formula>
    </cfRule>
    <cfRule type="containsText" dxfId="32850" priority="1148" operator="containsText" text="CMS">
      <formula>NOT(ISERROR(SEARCH("CMS",O60)))</formula>
    </cfRule>
    <cfRule type="cellIs" dxfId="32849" priority="1149" operator="equal">
      <formula>0</formula>
    </cfRule>
    <cfRule type="cellIs" dxfId="32848" priority="1150" operator="greaterThan">
      <formula>0</formula>
    </cfRule>
  </conditionalFormatting>
  <conditionalFormatting sqref="P65:AC73">
    <cfRule type="cellIs" dxfId="32847" priority="1143" operator="equal">
      <formula>"PMS"</formula>
    </cfRule>
    <cfRule type="containsText" dxfId="32846" priority="1144" operator="containsText" text="CMS">
      <formula>NOT(ISERROR(SEARCH("CMS",P65)))</formula>
    </cfRule>
    <cfRule type="cellIs" dxfId="32845" priority="1145" operator="equal">
      <formula>0</formula>
    </cfRule>
    <cfRule type="cellIs" dxfId="32844" priority="1146" operator="greaterThan">
      <formula>0</formula>
    </cfRule>
  </conditionalFormatting>
  <conditionalFormatting sqref="O13:AC16">
    <cfRule type="cellIs" dxfId="32843" priority="1139" operator="equal">
      <formula>"PMS"</formula>
    </cfRule>
    <cfRule type="containsText" dxfId="32842" priority="1140" operator="containsText" text="CMS">
      <formula>NOT(ISERROR(SEARCH("CMS",O13)))</formula>
    </cfRule>
    <cfRule type="cellIs" dxfId="32841" priority="1141" operator="equal">
      <formula>0</formula>
    </cfRule>
    <cfRule type="cellIs" dxfId="32840" priority="1142" operator="greaterThan">
      <formula>0</formula>
    </cfRule>
  </conditionalFormatting>
  <conditionalFormatting sqref="P13:AC16">
    <cfRule type="cellIs" dxfId="32839" priority="1135" operator="equal">
      <formula>"PMS"</formula>
    </cfRule>
    <cfRule type="containsText" dxfId="32838" priority="1136" operator="containsText" text="CMS">
      <formula>NOT(ISERROR(SEARCH("CMS",P13)))</formula>
    </cfRule>
    <cfRule type="cellIs" dxfId="32837" priority="1137" operator="equal">
      <formula>0</formula>
    </cfRule>
    <cfRule type="cellIs" dxfId="32836" priority="1138" operator="greaterThan">
      <formula>0</formula>
    </cfRule>
  </conditionalFormatting>
  <conditionalFormatting sqref="O20:AC21">
    <cfRule type="cellIs" dxfId="32835" priority="1131" operator="equal">
      <formula>"PMS"</formula>
    </cfRule>
    <cfRule type="containsText" dxfId="32834" priority="1132" operator="containsText" text="CMS">
      <formula>NOT(ISERROR(SEARCH("CMS",O20)))</formula>
    </cfRule>
    <cfRule type="cellIs" dxfId="32833" priority="1133" operator="equal">
      <formula>0</formula>
    </cfRule>
    <cfRule type="cellIs" dxfId="32832" priority="1134" operator="greaterThan">
      <formula>0</formula>
    </cfRule>
  </conditionalFormatting>
  <conditionalFormatting sqref="P20:AC21">
    <cfRule type="cellIs" dxfId="32831" priority="1127" operator="equal">
      <formula>"PMS"</formula>
    </cfRule>
    <cfRule type="containsText" dxfId="32830" priority="1128" operator="containsText" text="CMS">
      <formula>NOT(ISERROR(SEARCH("CMS",P20)))</formula>
    </cfRule>
    <cfRule type="cellIs" dxfId="32829" priority="1129" operator="equal">
      <formula>0</formula>
    </cfRule>
    <cfRule type="cellIs" dxfId="32828" priority="1130" operator="greaterThan">
      <formula>0</formula>
    </cfRule>
  </conditionalFormatting>
  <conditionalFormatting sqref="O24:AC24">
    <cfRule type="cellIs" dxfId="32827" priority="1123" operator="equal">
      <formula>"PMS"</formula>
    </cfRule>
    <cfRule type="containsText" dxfId="32826" priority="1124" operator="containsText" text="CMS">
      <formula>NOT(ISERROR(SEARCH("CMS",O24)))</formula>
    </cfRule>
    <cfRule type="cellIs" dxfId="32825" priority="1125" operator="equal">
      <formula>0</formula>
    </cfRule>
    <cfRule type="cellIs" dxfId="32824" priority="1126" operator="greaterThan">
      <formula>0</formula>
    </cfRule>
  </conditionalFormatting>
  <conditionalFormatting sqref="P24:AC24">
    <cfRule type="cellIs" dxfId="32823" priority="1119" operator="equal">
      <formula>"PMS"</formula>
    </cfRule>
    <cfRule type="containsText" dxfId="32822" priority="1120" operator="containsText" text="CMS">
      <formula>NOT(ISERROR(SEARCH("CMS",P24)))</formula>
    </cfRule>
    <cfRule type="cellIs" dxfId="32821" priority="1121" operator="equal">
      <formula>0</formula>
    </cfRule>
    <cfRule type="cellIs" dxfId="32820" priority="1122" operator="greaterThan">
      <formula>0</formula>
    </cfRule>
  </conditionalFormatting>
  <conditionalFormatting sqref="O27:AC28">
    <cfRule type="cellIs" dxfId="32819" priority="1115" operator="equal">
      <formula>"PMS"</formula>
    </cfRule>
    <cfRule type="containsText" dxfId="32818" priority="1116" operator="containsText" text="CMS">
      <formula>NOT(ISERROR(SEARCH("CMS",O27)))</formula>
    </cfRule>
    <cfRule type="cellIs" dxfId="32817" priority="1117" operator="equal">
      <formula>0</formula>
    </cfRule>
    <cfRule type="cellIs" dxfId="32816" priority="1118" operator="greaterThan">
      <formula>0</formula>
    </cfRule>
  </conditionalFormatting>
  <conditionalFormatting sqref="P27:AC28">
    <cfRule type="cellIs" dxfId="32815" priority="1111" operator="equal">
      <formula>"PMS"</formula>
    </cfRule>
    <cfRule type="containsText" dxfId="32814" priority="1112" operator="containsText" text="CMS">
      <formula>NOT(ISERROR(SEARCH("CMS",P27)))</formula>
    </cfRule>
    <cfRule type="cellIs" dxfId="32813" priority="1113" operator="equal">
      <formula>0</formula>
    </cfRule>
    <cfRule type="cellIs" dxfId="32812" priority="1114" operator="greaterThan">
      <formula>0</formula>
    </cfRule>
  </conditionalFormatting>
  <conditionalFormatting sqref="O31:AC31">
    <cfRule type="cellIs" dxfId="32811" priority="1107" operator="equal">
      <formula>"PMS"</formula>
    </cfRule>
    <cfRule type="containsText" dxfId="32810" priority="1108" operator="containsText" text="CMS">
      <formula>NOT(ISERROR(SEARCH("CMS",O31)))</formula>
    </cfRule>
    <cfRule type="cellIs" dxfId="32809" priority="1109" operator="equal">
      <formula>0</formula>
    </cfRule>
    <cfRule type="cellIs" dxfId="32808" priority="1110" operator="greaterThan">
      <formula>0</formula>
    </cfRule>
  </conditionalFormatting>
  <conditionalFormatting sqref="P31:AC31">
    <cfRule type="cellIs" dxfId="32807" priority="1103" operator="equal">
      <formula>"PMS"</formula>
    </cfRule>
    <cfRule type="containsText" dxfId="32806" priority="1104" operator="containsText" text="CMS">
      <formula>NOT(ISERROR(SEARCH("CMS",P31)))</formula>
    </cfRule>
    <cfRule type="cellIs" dxfId="32805" priority="1105" operator="equal">
      <formula>0</formula>
    </cfRule>
    <cfRule type="cellIs" dxfId="32804" priority="1106" operator="greaterThan">
      <formula>0</formula>
    </cfRule>
  </conditionalFormatting>
  <conditionalFormatting sqref="O34:AC57">
    <cfRule type="cellIs" dxfId="32803" priority="1099" operator="equal">
      <formula>"PMS"</formula>
    </cfRule>
    <cfRule type="containsText" dxfId="32802" priority="1100" operator="containsText" text="CMS">
      <formula>NOT(ISERROR(SEARCH("CMS",O34)))</formula>
    </cfRule>
    <cfRule type="cellIs" dxfId="32801" priority="1101" operator="equal">
      <formula>0</formula>
    </cfRule>
    <cfRule type="cellIs" dxfId="32800" priority="1102" operator="greaterThan">
      <formula>0</formula>
    </cfRule>
  </conditionalFormatting>
  <conditionalFormatting sqref="O48:AC48 O50 O44:O47 O52:O57 P43:AC47 Q44:R48 S43:T48 O37:AC42 P34:AC36 U44:V48 X44:X48 P49:AC57">
    <cfRule type="cellIs" dxfId="32799" priority="1095" operator="equal">
      <formula>"PMS"</formula>
    </cfRule>
    <cfRule type="containsText" dxfId="32798" priority="1096" operator="containsText" text="CMS">
      <formula>NOT(ISERROR(SEARCH("CMS",O34)))</formula>
    </cfRule>
    <cfRule type="cellIs" dxfId="32797" priority="1097" operator="equal">
      <formula>0</formula>
    </cfRule>
    <cfRule type="cellIs" dxfId="32796" priority="1098" operator="greaterThan">
      <formula>0</formula>
    </cfRule>
  </conditionalFormatting>
  <conditionalFormatting sqref="V13:AC13 W14:X16">
    <cfRule type="cellIs" dxfId="32795" priority="1091" operator="equal">
      <formula>"PMS"</formula>
    </cfRule>
    <cfRule type="containsText" dxfId="32794" priority="1092" operator="containsText" text="CMS">
      <formula>NOT(ISERROR(SEARCH("CMS",V13)))</formula>
    </cfRule>
    <cfRule type="cellIs" dxfId="32793" priority="1093" operator="equal">
      <formula>0</formula>
    </cfRule>
    <cfRule type="cellIs" dxfId="32792" priority="1094" operator="greaterThan">
      <formula>0</formula>
    </cfRule>
  </conditionalFormatting>
  <conditionalFormatting sqref="V13:AC13 W14:X16">
    <cfRule type="cellIs" dxfId="32791" priority="1087" operator="equal">
      <formula>"PMS"</formula>
    </cfRule>
    <cfRule type="containsText" dxfId="32790" priority="1088" operator="containsText" text="CMS">
      <formula>NOT(ISERROR(SEARCH("CMS",V13)))</formula>
    </cfRule>
    <cfRule type="cellIs" dxfId="32789" priority="1089" operator="equal">
      <formula>0</formula>
    </cfRule>
    <cfRule type="cellIs" dxfId="32788" priority="1090" operator="greaterThan">
      <formula>0</formula>
    </cfRule>
  </conditionalFormatting>
  <conditionalFormatting sqref="X56:AC56">
    <cfRule type="cellIs" dxfId="32787" priority="1083" operator="equal">
      <formula>"PMS"</formula>
    </cfRule>
    <cfRule type="containsText" dxfId="32786" priority="1084" operator="containsText" text="CMS">
      <formula>NOT(ISERROR(SEARCH("CMS",X56)))</formula>
    </cfRule>
    <cfRule type="cellIs" dxfId="32785" priority="1085" operator="equal">
      <formula>0</formula>
    </cfRule>
    <cfRule type="cellIs" dxfId="32784" priority="1086" operator="greaterThan">
      <formula>0</formula>
    </cfRule>
  </conditionalFormatting>
  <conditionalFormatting sqref="X56:AC56">
    <cfRule type="cellIs" dxfId="32783" priority="1079" operator="equal">
      <formula>"PMS"</formula>
    </cfRule>
    <cfRule type="containsText" dxfId="32782" priority="1080" operator="containsText" text="CMS">
      <formula>NOT(ISERROR(SEARCH("CMS",X56)))</formula>
    </cfRule>
    <cfRule type="cellIs" dxfId="32781" priority="1081" operator="equal">
      <formula>0</formula>
    </cfRule>
    <cfRule type="cellIs" dxfId="32780" priority="1082" operator="greaterThan">
      <formula>0</formula>
    </cfRule>
  </conditionalFormatting>
  <conditionalFormatting sqref="X56:AC56">
    <cfRule type="cellIs" dxfId="32779" priority="1075" operator="equal">
      <formula>"PMS"</formula>
    </cfRule>
    <cfRule type="containsText" dxfId="32778" priority="1076" operator="containsText" text="CMS">
      <formula>NOT(ISERROR(SEARCH("CMS",X56)))</formula>
    </cfRule>
    <cfRule type="cellIs" dxfId="32777" priority="1077" operator="equal">
      <formula>0</formula>
    </cfRule>
    <cfRule type="cellIs" dxfId="32776" priority="1078" operator="greaterThan">
      <formula>0</formula>
    </cfRule>
  </conditionalFormatting>
  <conditionalFormatting sqref="X56:AC56">
    <cfRule type="cellIs" dxfId="32775" priority="1071" operator="equal">
      <formula>"PMS"</formula>
    </cfRule>
    <cfRule type="containsText" dxfId="32774" priority="1072" operator="containsText" text="CMS">
      <formula>NOT(ISERROR(SEARCH("CMS",X56)))</formula>
    </cfRule>
    <cfRule type="cellIs" dxfId="32773" priority="1073" operator="equal">
      <formula>0</formula>
    </cfRule>
    <cfRule type="cellIs" dxfId="32772" priority="1074" operator="greaterThan">
      <formula>0</formula>
    </cfRule>
  </conditionalFormatting>
  <conditionalFormatting sqref="AB57:AC57">
    <cfRule type="cellIs" dxfId="32771" priority="1067" operator="equal">
      <formula>"PMS"</formula>
    </cfRule>
    <cfRule type="containsText" dxfId="32770" priority="1068" operator="containsText" text="CMS">
      <formula>NOT(ISERROR(SEARCH("CMS",AB57)))</formula>
    </cfRule>
    <cfRule type="cellIs" dxfId="32769" priority="1069" operator="equal">
      <formula>0</formula>
    </cfRule>
    <cfRule type="cellIs" dxfId="32768" priority="1070" operator="greaterThan">
      <formula>0</formula>
    </cfRule>
  </conditionalFormatting>
  <conditionalFormatting sqref="AB57:AC57">
    <cfRule type="cellIs" dxfId="32767" priority="1063" operator="equal">
      <formula>"PMS"</formula>
    </cfRule>
    <cfRule type="containsText" dxfId="32766" priority="1064" operator="containsText" text="CMS">
      <formula>NOT(ISERROR(SEARCH("CMS",AB57)))</formula>
    </cfRule>
    <cfRule type="cellIs" dxfId="32765" priority="1065" operator="equal">
      <formula>0</formula>
    </cfRule>
    <cfRule type="cellIs" dxfId="32764" priority="1066" operator="greaterThan">
      <formula>0</formula>
    </cfRule>
  </conditionalFormatting>
  <conditionalFormatting sqref="AB57:AC57">
    <cfRule type="cellIs" dxfId="32763" priority="1059" operator="equal">
      <formula>"PMS"</formula>
    </cfRule>
    <cfRule type="containsText" dxfId="32762" priority="1060" operator="containsText" text="CMS">
      <formula>NOT(ISERROR(SEARCH("CMS",AB57)))</formula>
    </cfRule>
    <cfRule type="cellIs" dxfId="32761" priority="1061" operator="equal">
      <formula>0</formula>
    </cfRule>
    <cfRule type="cellIs" dxfId="32760" priority="1062" operator="greaterThan">
      <formula>0</formula>
    </cfRule>
  </conditionalFormatting>
  <conditionalFormatting sqref="AB57:AC57">
    <cfRule type="cellIs" dxfId="32759" priority="1055" operator="equal">
      <formula>"PMS"</formula>
    </cfRule>
    <cfRule type="containsText" dxfId="32758" priority="1056" operator="containsText" text="CMS">
      <formula>NOT(ISERROR(SEARCH("CMS",AB57)))</formula>
    </cfRule>
    <cfRule type="cellIs" dxfId="32757" priority="1057" operator="equal">
      <formula>0</formula>
    </cfRule>
    <cfRule type="cellIs" dxfId="32756" priority="1058" operator="greaterThan">
      <formula>0</formula>
    </cfRule>
  </conditionalFormatting>
  <conditionalFormatting sqref="AB77">
    <cfRule type="cellIs" dxfId="32755" priority="1051" operator="equal">
      <formula>"PMS"</formula>
    </cfRule>
    <cfRule type="containsText" dxfId="32754" priority="1052" operator="containsText" text="CMS">
      <formula>NOT(ISERROR(SEARCH("CMS",AB77)))</formula>
    </cfRule>
    <cfRule type="cellIs" dxfId="32753" priority="1053" operator="equal">
      <formula>0</formula>
    </cfRule>
    <cfRule type="cellIs" dxfId="32752" priority="1054" operator="greaterThan">
      <formula>0</formula>
    </cfRule>
  </conditionalFormatting>
  <conditionalFormatting sqref="AB77">
    <cfRule type="cellIs" dxfId="32751" priority="1047" operator="equal">
      <formula>"PMS"</formula>
    </cfRule>
    <cfRule type="containsText" dxfId="32750" priority="1048" operator="containsText" text="CMS">
      <formula>NOT(ISERROR(SEARCH("CMS",AB77)))</formula>
    </cfRule>
    <cfRule type="cellIs" dxfId="32749" priority="1049" operator="equal">
      <formula>0</formula>
    </cfRule>
    <cfRule type="cellIs" dxfId="32748" priority="1050" operator="greaterThan">
      <formula>0</formula>
    </cfRule>
  </conditionalFormatting>
  <conditionalFormatting sqref="O43:O45">
    <cfRule type="cellIs" dxfId="32747" priority="1043" operator="equal">
      <formula>"PMS"</formula>
    </cfRule>
    <cfRule type="containsText" dxfId="32746" priority="1044" operator="containsText" text="CMS">
      <formula>NOT(ISERROR(SEARCH("CMS",O43)))</formula>
    </cfRule>
    <cfRule type="cellIs" dxfId="32745" priority="1045" operator="equal">
      <formula>0</formula>
    </cfRule>
    <cfRule type="cellIs" dxfId="32744" priority="1046" operator="greaterThan">
      <formula>0</formula>
    </cfRule>
  </conditionalFormatting>
  <conditionalFormatting sqref="O54:O55">
    <cfRule type="cellIs" dxfId="32743" priority="1039" operator="equal">
      <formula>"PMS"</formula>
    </cfRule>
    <cfRule type="containsText" dxfId="32742" priority="1040" operator="containsText" text="CMS">
      <formula>NOT(ISERROR(SEARCH("CMS",O54)))</formula>
    </cfRule>
    <cfRule type="cellIs" dxfId="32741" priority="1041" operator="equal">
      <formula>0</formula>
    </cfRule>
    <cfRule type="cellIs" dxfId="32740" priority="1042" operator="greaterThan">
      <formula>0</formula>
    </cfRule>
  </conditionalFormatting>
  <conditionalFormatting sqref="O48">
    <cfRule type="cellIs" dxfId="32739" priority="1035" operator="equal">
      <formula>"PMS"</formula>
    </cfRule>
    <cfRule type="containsText" dxfId="32738" priority="1036" operator="containsText" text="CMS">
      <formula>NOT(ISERROR(SEARCH("CMS",O48)))</formula>
    </cfRule>
    <cfRule type="cellIs" dxfId="32737" priority="1037" operator="equal">
      <formula>0</formula>
    </cfRule>
    <cfRule type="cellIs" dxfId="32736" priority="1038" operator="greaterThan">
      <formula>0</formula>
    </cfRule>
  </conditionalFormatting>
  <conditionalFormatting sqref="O54:O56">
    <cfRule type="cellIs" dxfId="32735" priority="1031" operator="equal">
      <formula>"PMS"</formula>
    </cfRule>
    <cfRule type="containsText" dxfId="32734" priority="1032" operator="containsText" text="CMS">
      <formula>NOT(ISERROR(SEARCH("CMS",O54)))</formula>
    </cfRule>
    <cfRule type="cellIs" dxfId="32733" priority="1033" operator="equal">
      <formula>0</formula>
    </cfRule>
    <cfRule type="cellIs" dxfId="32732" priority="1034" operator="greaterThan">
      <formula>0</formula>
    </cfRule>
  </conditionalFormatting>
  <conditionalFormatting sqref="Q24:V24">
    <cfRule type="cellIs" dxfId="32731" priority="1027" operator="equal">
      <formula>"PMS"</formula>
    </cfRule>
    <cfRule type="containsText" dxfId="32730" priority="1028" operator="containsText" text="CMS">
      <formula>NOT(ISERROR(SEARCH("CMS",Q24)))</formula>
    </cfRule>
    <cfRule type="cellIs" dxfId="32729" priority="1029" operator="equal">
      <formula>0</formula>
    </cfRule>
    <cfRule type="cellIs" dxfId="32728" priority="1030" operator="greaterThan">
      <formula>0</formula>
    </cfRule>
  </conditionalFormatting>
  <conditionalFormatting sqref="Q24:V24">
    <cfRule type="cellIs" dxfId="32727" priority="1023" operator="equal">
      <formula>"PMS"</formula>
    </cfRule>
    <cfRule type="containsText" dxfId="32726" priority="1024" operator="containsText" text="CMS">
      <formula>NOT(ISERROR(SEARCH("CMS",Q24)))</formula>
    </cfRule>
    <cfRule type="cellIs" dxfId="32725" priority="1025" operator="equal">
      <formula>0</formula>
    </cfRule>
    <cfRule type="cellIs" dxfId="32724" priority="1026" operator="greaterThan">
      <formula>0</formula>
    </cfRule>
  </conditionalFormatting>
  <conditionalFormatting sqref="Q27:U28">
    <cfRule type="cellIs" dxfId="32723" priority="1019" operator="equal">
      <formula>"PMS"</formula>
    </cfRule>
    <cfRule type="containsText" dxfId="32722" priority="1020" operator="containsText" text="CMS">
      <formula>NOT(ISERROR(SEARCH("CMS",Q27)))</formula>
    </cfRule>
    <cfRule type="cellIs" dxfId="32721" priority="1021" operator="equal">
      <formula>0</formula>
    </cfRule>
    <cfRule type="cellIs" dxfId="32720" priority="1022" operator="greaterThan">
      <formula>0</formula>
    </cfRule>
  </conditionalFormatting>
  <conditionalFormatting sqref="Q27:U28">
    <cfRule type="cellIs" dxfId="32719" priority="1015" operator="equal">
      <formula>"PMS"</formula>
    </cfRule>
    <cfRule type="containsText" dxfId="32718" priority="1016" operator="containsText" text="CMS">
      <formula>NOT(ISERROR(SEARCH("CMS",Q27)))</formula>
    </cfRule>
    <cfRule type="cellIs" dxfId="32717" priority="1017" operator="equal">
      <formula>0</formula>
    </cfRule>
    <cfRule type="cellIs" dxfId="32716" priority="1018" operator="greaterThan">
      <formula>0</formula>
    </cfRule>
  </conditionalFormatting>
  <conditionalFormatting sqref="R27:U28">
    <cfRule type="cellIs" dxfId="32715" priority="1011" operator="equal">
      <formula>"PMS"</formula>
    </cfRule>
    <cfRule type="containsText" dxfId="32714" priority="1012" operator="containsText" text="CMS">
      <formula>NOT(ISERROR(SEARCH("CMS",R27)))</formula>
    </cfRule>
    <cfRule type="cellIs" dxfId="32713" priority="1013" operator="equal">
      <formula>0</formula>
    </cfRule>
    <cfRule type="cellIs" dxfId="32712" priority="1014" operator="greaterThan">
      <formula>0</formula>
    </cfRule>
  </conditionalFormatting>
  <conditionalFormatting sqref="R27:U28">
    <cfRule type="cellIs" dxfId="32711" priority="1007" operator="equal">
      <formula>"PMS"</formula>
    </cfRule>
    <cfRule type="containsText" dxfId="32710" priority="1008" operator="containsText" text="CMS">
      <formula>NOT(ISERROR(SEARCH("CMS",R27)))</formula>
    </cfRule>
    <cfRule type="cellIs" dxfId="32709" priority="1009" operator="equal">
      <formula>0</formula>
    </cfRule>
    <cfRule type="cellIs" dxfId="32708" priority="1010" operator="greaterThan">
      <formula>0</formula>
    </cfRule>
  </conditionalFormatting>
  <conditionalFormatting sqref="O54:O55">
    <cfRule type="cellIs" dxfId="32707" priority="1003" operator="equal">
      <formula>"PMS"</formula>
    </cfRule>
    <cfRule type="containsText" dxfId="32706" priority="1004" operator="containsText" text="CMS">
      <formula>NOT(ISERROR(SEARCH("CMS",O54)))</formula>
    </cfRule>
    <cfRule type="cellIs" dxfId="32705" priority="1005" operator="equal">
      <formula>0</formula>
    </cfRule>
    <cfRule type="cellIs" dxfId="32704" priority="1006" operator="greaterThan">
      <formula>0</formula>
    </cfRule>
  </conditionalFormatting>
  <conditionalFormatting sqref="O44">
    <cfRule type="cellIs" dxfId="32703" priority="999" operator="equal">
      <formula>"PMS"</formula>
    </cfRule>
    <cfRule type="containsText" dxfId="32702" priority="1000" operator="containsText" text="CMS">
      <formula>NOT(ISERROR(SEARCH("CMS",O44)))</formula>
    </cfRule>
    <cfRule type="cellIs" dxfId="32701" priority="1001" operator="equal">
      <formula>0</formula>
    </cfRule>
    <cfRule type="cellIs" dxfId="32700" priority="1002" operator="greaterThan">
      <formula>0</formula>
    </cfRule>
  </conditionalFormatting>
  <conditionalFormatting sqref="O44">
    <cfRule type="cellIs" dxfId="32699" priority="995" operator="equal">
      <formula>"PMS"</formula>
    </cfRule>
    <cfRule type="containsText" dxfId="32698" priority="996" operator="containsText" text="CMS">
      <formula>NOT(ISERROR(SEARCH("CMS",O44)))</formula>
    </cfRule>
    <cfRule type="cellIs" dxfId="32697" priority="997" operator="equal">
      <formula>0</formula>
    </cfRule>
    <cfRule type="cellIs" dxfId="32696" priority="998" operator="greaterThan">
      <formula>0</formula>
    </cfRule>
  </conditionalFormatting>
  <conditionalFormatting sqref="O44">
    <cfRule type="cellIs" dxfId="32695" priority="991" operator="equal">
      <formula>"PMS"</formula>
    </cfRule>
    <cfRule type="containsText" dxfId="32694" priority="992" operator="containsText" text="CMS">
      <formula>NOT(ISERROR(SEARCH("CMS",O44)))</formula>
    </cfRule>
    <cfRule type="cellIs" dxfId="32693" priority="993" operator="equal">
      <formula>0</formula>
    </cfRule>
    <cfRule type="cellIs" dxfId="32692" priority="994" operator="greaterThan">
      <formula>0</formula>
    </cfRule>
  </conditionalFormatting>
  <conditionalFormatting sqref="O45">
    <cfRule type="cellIs" dxfId="32691" priority="987" operator="equal">
      <formula>"PMS"</formula>
    </cfRule>
    <cfRule type="containsText" dxfId="32690" priority="988" operator="containsText" text="CMS">
      <formula>NOT(ISERROR(SEARCH("CMS",O45)))</formula>
    </cfRule>
    <cfRule type="cellIs" dxfId="32689" priority="989" operator="equal">
      <formula>0</formula>
    </cfRule>
    <cfRule type="cellIs" dxfId="32688" priority="990" operator="greaterThan">
      <formula>0</formula>
    </cfRule>
  </conditionalFormatting>
  <conditionalFormatting sqref="O45">
    <cfRule type="cellIs" dxfId="32687" priority="983" operator="equal">
      <formula>"PMS"</formula>
    </cfRule>
    <cfRule type="containsText" dxfId="32686" priority="984" operator="containsText" text="CMS">
      <formula>NOT(ISERROR(SEARCH("CMS",O45)))</formula>
    </cfRule>
    <cfRule type="cellIs" dxfId="32685" priority="985" operator="equal">
      <formula>0</formula>
    </cfRule>
    <cfRule type="cellIs" dxfId="32684" priority="986" operator="greaterThan">
      <formula>0</formula>
    </cfRule>
  </conditionalFormatting>
  <conditionalFormatting sqref="O45">
    <cfRule type="cellIs" dxfId="32683" priority="979" operator="equal">
      <formula>"PMS"</formula>
    </cfRule>
    <cfRule type="containsText" dxfId="32682" priority="980" operator="containsText" text="CMS">
      <formula>NOT(ISERROR(SEARCH("CMS",O45)))</formula>
    </cfRule>
    <cfRule type="cellIs" dxfId="32681" priority="981" operator="equal">
      <formula>0</formula>
    </cfRule>
    <cfRule type="cellIs" dxfId="32680" priority="982" operator="greaterThan">
      <formula>0</formula>
    </cfRule>
  </conditionalFormatting>
  <conditionalFormatting sqref="H19:AC19">
    <cfRule type="cellIs" dxfId="32679" priority="975" operator="equal">
      <formula>"CMS"</formula>
    </cfRule>
    <cfRule type="cellIs" dxfId="32678" priority="976" operator="equal">
      <formula>"PMS"</formula>
    </cfRule>
    <cfRule type="cellIs" dxfId="32677" priority="977" operator="greaterThan">
      <formula>0</formula>
    </cfRule>
    <cfRule type="cellIs" dxfId="32676" priority="978" operator="equal">
      <formula>0</formula>
    </cfRule>
  </conditionalFormatting>
  <conditionalFormatting sqref="H31">
    <cfRule type="cellIs" dxfId="32675" priority="971" operator="equal">
      <formula>"CMS"</formula>
    </cfRule>
    <cfRule type="cellIs" dxfId="32674" priority="972" operator="equal">
      <formula>"PMS"</formula>
    </cfRule>
    <cfRule type="cellIs" dxfId="32673" priority="973" operator="greaterThan">
      <formula>0</formula>
    </cfRule>
    <cfRule type="cellIs" dxfId="32672" priority="974" operator="equal">
      <formula>0</formula>
    </cfRule>
  </conditionalFormatting>
  <conditionalFormatting sqref="G60">
    <cfRule type="cellIs" dxfId="32671" priority="967" operator="equal">
      <formula>"CMS"</formula>
    </cfRule>
    <cfRule type="cellIs" dxfId="32670" priority="968" operator="equal">
      <formula>"PMS"</formula>
    </cfRule>
    <cfRule type="cellIs" dxfId="32669" priority="969" operator="greaterThan">
      <formula>0</formula>
    </cfRule>
    <cfRule type="cellIs" dxfId="32668" priority="970" operator="equal">
      <formula>0</formula>
    </cfRule>
  </conditionalFormatting>
  <conditionalFormatting sqref="G76:G77">
    <cfRule type="cellIs" dxfId="32667" priority="962" operator="equal">
      <formula>"EOC"</formula>
    </cfRule>
    <cfRule type="cellIs" dxfId="32666" priority="963" operator="equal">
      <formula>"CMS"</formula>
    </cfRule>
    <cfRule type="cellIs" dxfId="32665" priority="964" operator="equal">
      <formula>"PMS"</formula>
    </cfRule>
    <cfRule type="cellIs" dxfId="32664" priority="965" operator="greaterThan">
      <formula>0</formula>
    </cfRule>
    <cfRule type="cellIs" dxfId="32663" priority="966" operator="equal">
      <formula>0</formula>
    </cfRule>
  </conditionalFormatting>
  <conditionalFormatting sqref="F105">
    <cfRule type="cellIs" dxfId="32662" priority="961" operator="greaterThan">
      <formula>60.3</formula>
    </cfRule>
  </conditionalFormatting>
  <conditionalFormatting sqref="G35:G43 G48:G51 G46">
    <cfRule type="cellIs" dxfId="32661" priority="953" operator="equal">
      <formula>"PMS"</formula>
    </cfRule>
    <cfRule type="containsText" dxfId="32660" priority="954" operator="containsText" text="CMS">
      <formula>NOT(ISERROR(SEARCH("CMS",G35)))</formula>
    </cfRule>
    <cfRule type="cellIs" dxfId="32659" priority="955" operator="equal">
      <formula>0</formula>
    </cfRule>
    <cfRule type="cellIs" dxfId="32658" priority="956" operator="greaterThan">
      <formula>0</formula>
    </cfRule>
    <cfRule type="cellIs" dxfId="32657" priority="957" operator="equal">
      <formula>"PMS"</formula>
    </cfRule>
    <cfRule type="containsText" dxfId="32656" priority="958" operator="containsText" text="CMS">
      <formula>NOT(ISERROR(SEARCH("CMS",G35)))</formula>
    </cfRule>
    <cfRule type="cellIs" dxfId="32655" priority="959" operator="equal">
      <formula>0</formula>
    </cfRule>
    <cfRule type="cellIs" dxfId="32654" priority="960" operator="greaterThan">
      <formula>0</formula>
    </cfRule>
  </conditionalFormatting>
  <conditionalFormatting sqref="G35:G43 G48:G51 G46">
    <cfRule type="cellIs" dxfId="32653" priority="949" operator="equal">
      <formula>"PMS"</formula>
    </cfRule>
    <cfRule type="containsText" dxfId="32652" priority="950" operator="containsText" text="CMS">
      <formula>NOT(ISERROR(SEARCH("CMS",G35)))</formula>
    </cfRule>
    <cfRule type="cellIs" dxfId="32651" priority="951" operator="equal">
      <formula>0</formula>
    </cfRule>
    <cfRule type="cellIs" dxfId="32650" priority="952" operator="greaterThan">
      <formula>0</formula>
    </cfRule>
  </conditionalFormatting>
  <conditionalFormatting sqref="G35:G43 G48:G51 G46">
    <cfRule type="cellIs" dxfId="32649" priority="945" operator="equal">
      <formula>"PMS"</formula>
    </cfRule>
    <cfRule type="containsText" dxfId="32648" priority="946" operator="containsText" text="CMS">
      <formula>NOT(ISERROR(SEARCH("CMS",G35)))</formula>
    </cfRule>
    <cfRule type="cellIs" dxfId="32647" priority="947" operator="equal">
      <formula>0</formula>
    </cfRule>
    <cfRule type="cellIs" dxfId="32646" priority="948" operator="greaterThan">
      <formula>0</formula>
    </cfRule>
  </conditionalFormatting>
  <conditionalFormatting sqref="H34:H38">
    <cfRule type="cellIs" dxfId="32645" priority="937" operator="equal">
      <formula>"PMS"</formula>
    </cfRule>
    <cfRule type="containsText" dxfId="32644" priority="938" operator="containsText" text="CMS">
      <formula>NOT(ISERROR(SEARCH("CMS",H34)))</formula>
    </cfRule>
    <cfRule type="cellIs" dxfId="32643" priority="939" operator="equal">
      <formula>0</formula>
    </cfRule>
    <cfRule type="cellIs" dxfId="32642" priority="940" operator="greaterThan">
      <formula>0</formula>
    </cfRule>
    <cfRule type="cellIs" dxfId="32641" priority="941" operator="equal">
      <formula>"PMS"</formula>
    </cfRule>
    <cfRule type="containsText" dxfId="32640" priority="942" operator="containsText" text="CMS">
      <formula>NOT(ISERROR(SEARCH("CMS",H34)))</formula>
    </cfRule>
    <cfRule type="cellIs" dxfId="32639" priority="943" operator="equal">
      <formula>0</formula>
    </cfRule>
    <cfRule type="cellIs" dxfId="32638" priority="944" operator="greaterThan">
      <formula>0</formula>
    </cfRule>
  </conditionalFormatting>
  <conditionalFormatting sqref="H34:H38">
    <cfRule type="cellIs" dxfId="32637" priority="933" operator="equal">
      <formula>"PMS"</formula>
    </cfRule>
    <cfRule type="containsText" dxfId="32636" priority="934" operator="containsText" text="CMS">
      <formula>NOT(ISERROR(SEARCH("CMS",H34)))</formula>
    </cfRule>
    <cfRule type="cellIs" dxfId="32635" priority="935" operator="equal">
      <formula>0</formula>
    </cfRule>
    <cfRule type="cellIs" dxfId="32634" priority="936" operator="greaterThan">
      <formula>0</formula>
    </cfRule>
  </conditionalFormatting>
  <conditionalFormatting sqref="H34:H38">
    <cfRule type="cellIs" dxfId="32633" priority="929" operator="equal">
      <formula>"PMS"</formula>
    </cfRule>
    <cfRule type="containsText" dxfId="32632" priority="930" operator="containsText" text="CMS">
      <formula>NOT(ISERROR(SEARCH("CMS",H34)))</formula>
    </cfRule>
    <cfRule type="cellIs" dxfId="32631" priority="931" operator="equal">
      <formula>0</formula>
    </cfRule>
    <cfRule type="cellIs" dxfId="32630" priority="932" operator="greaterThan">
      <formula>0</formula>
    </cfRule>
  </conditionalFormatting>
  <conditionalFormatting sqref="I34:I38">
    <cfRule type="cellIs" dxfId="32629" priority="921" operator="equal">
      <formula>"PMS"</formula>
    </cfRule>
    <cfRule type="containsText" dxfId="32628" priority="922" operator="containsText" text="CMS">
      <formula>NOT(ISERROR(SEARCH("CMS",I34)))</formula>
    </cfRule>
    <cfRule type="cellIs" dxfId="32627" priority="923" operator="equal">
      <formula>0</formula>
    </cfRule>
    <cfRule type="cellIs" dxfId="32626" priority="924" operator="greaterThan">
      <formula>0</formula>
    </cfRule>
    <cfRule type="cellIs" dxfId="32625" priority="925" operator="equal">
      <formula>"PMS"</formula>
    </cfRule>
    <cfRule type="containsText" dxfId="32624" priority="926" operator="containsText" text="CMS">
      <formula>NOT(ISERROR(SEARCH("CMS",I34)))</formula>
    </cfRule>
    <cfRule type="cellIs" dxfId="32623" priority="927" operator="equal">
      <formula>0</formula>
    </cfRule>
    <cfRule type="cellIs" dxfId="32622" priority="928" operator="greaterThan">
      <formula>0</formula>
    </cfRule>
  </conditionalFormatting>
  <conditionalFormatting sqref="I34:I38">
    <cfRule type="cellIs" dxfId="32621" priority="917" operator="equal">
      <formula>"PMS"</formula>
    </cfRule>
    <cfRule type="containsText" dxfId="32620" priority="918" operator="containsText" text="CMS">
      <formula>NOT(ISERROR(SEARCH("CMS",I34)))</formula>
    </cfRule>
    <cfRule type="cellIs" dxfId="32619" priority="919" operator="equal">
      <formula>0</formula>
    </cfRule>
    <cfRule type="cellIs" dxfId="32618" priority="920" operator="greaterThan">
      <formula>0</formula>
    </cfRule>
  </conditionalFormatting>
  <conditionalFormatting sqref="I34:I38">
    <cfRule type="cellIs" dxfId="32617" priority="913" operator="equal">
      <formula>"PMS"</formula>
    </cfRule>
    <cfRule type="containsText" dxfId="32616" priority="914" operator="containsText" text="CMS">
      <formula>NOT(ISERROR(SEARCH("CMS",I34)))</formula>
    </cfRule>
    <cfRule type="cellIs" dxfId="32615" priority="915" operator="equal">
      <formula>0</formula>
    </cfRule>
    <cfRule type="cellIs" dxfId="32614" priority="916" operator="greaterThan">
      <formula>0</formula>
    </cfRule>
  </conditionalFormatting>
  <conditionalFormatting sqref="O48">
    <cfRule type="cellIs" dxfId="32613" priority="909" operator="equal">
      <formula>"PMS"</formula>
    </cfRule>
    <cfRule type="containsText" dxfId="32612" priority="910" operator="containsText" text="CMS">
      <formula>NOT(ISERROR(SEARCH("CMS",O48)))</formula>
    </cfRule>
    <cfRule type="cellIs" dxfId="32611" priority="911" operator="equal">
      <formula>0</formula>
    </cfRule>
    <cfRule type="cellIs" dxfId="32610" priority="912" operator="greaterThan">
      <formula>0</formula>
    </cfRule>
  </conditionalFormatting>
  <conditionalFormatting sqref="O54:O55">
    <cfRule type="cellIs" dxfId="32609" priority="905" operator="equal">
      <formula>"PMS"</formula>
    </cfRule>
    <cfRule type="containsText" dxfId="32608" priority="906" operator="containsText" text="CMS">
      <formula>NOT(ISERROR(SEARCH("CMS",O54)))</formula>
    </cfRule>
    <cfRule type="cellIs" dxfId="32607" priority="907" operator="equal">
      <formula>0</formula>
    </cfRule>
    <cfRule type="cellIs" dxfId="32606" priority="908" operator="greaterThan">
      <formula>0</formula>
    </cfRule>
  </conditionalFormatting>
  <conditionalFormatting sqref="O56">
    <cfRule type="cellIs" dxfId="32605" priority="901" operator="equal">
      <formula>"PMS"</formula>
    </cfRule>
    <cfRule type="containsText" dxfId="32604" priority="902" operator="containsText" text="CMS">
      <formula>NOT(ISERROR(SEARCH("CMS",O56)))</formula>
    </cfRule>
    <cfRule type="cellIs" dxfId="32603" priority="903" operator="equal">
      <formula>0</formula>
    </cfRule>
    <cfRule type="cellIs" dxfId="32602" priority="904" operator="greaterThan">
      <formula>0</formula>
    </cfRule>
  </conditionalFormatting>
  <conditionalFormatting sqref="O48">
    <cfRule type="cellIs" dxfId="32601" priority="897" operator="equal">
      <formula>"PMS"</formula>
    </cfRule>
    <cfRule type="containsText" dxfId="32600" priority="898" operator="containsText" text="CMS">
      <formula>NOT(ISERROR(SEARCH("CMS",O48)))</formula>
    </cfRule>
    <cfRule type="cellIs" dxfId="32599" priority="899" operator="equal">
      <formula>0</formula>
    </cfRule>
    <cfRule type="cellIs" dxfId="32598" priority="900" operator="greaterThan">
      <formula>0</formula>
    </cfRule>
  </conditionalFormatting>
  <conditionalFormatting sqref="O54:O56">
    <cfRule type="cellIs" dxfId="32597" priority="893" operator="equal">
      <formula>"PMS"</formula>
    </cfRule>
    <cfRule type="containsText" dxfId="32596" priority="894" operator="containsText" text="CMS">
      <formula>NOT(ISERROR(SEARCH("CMS",O54)))</formula>
    </cfRule>
    <cfRule type="cellIs" dxfId="32595" priority="895" operator="equal">
      <formula>0</formula>
    </cfRule>
    <cfRule type="cellIs" dxfId="32594" priority="896" operator="greaterThan">
      <formula>0</formula>
    </cfRule>
  </conditionalFormatting>
  <conditionalFormatting sqref="O48">
    <cfRule type="cellIs" dxfId="32593" priority="889" operator="equal">
      <formula>"PMS"</formula>
    </cfRule>
    <cfRule type="containsText" dxfId="32592" priority="890" operator="containsText" text="CMS">
      <formula>NOT(ISERROR(SEARCH("CMS",O48)))</formula>
    </cfRule>
    <cfRule type="cellIs" dxfId="32591" priority="891" operator="equal">
      <formula>0</formula>
    </cfRule>
    <cfRule type="cellIs" dxfId="32590" priority="892" operator="greaterThan">
      <formula>0</formula>
    </cfRule>
  </conditionalFormatting>
  <conditionalFormatting sqref="O54:O56">
    <cfRule type="cellIs" dxfId="32589" priority="885" operator="equal">
      <formula>"PMS"</formula>
    </cfRule>
    <cfRule type="containsText" dxfId="32588" priority="886" operator="containsText" text="CMS">
      <formula>NOT(ISERROR(SEARCH("CMS",O54)))</formula>
    </cfRule>
    <cfRule type="cellIs" dxfId="32587" priority="887" operator="equal">
      <formula>0</formula>
    </cfRule>
    <cfRule type="cellIs" dxfId="32586" priority="888" operator="greaterThan">
      <formula>0</formula>
    </cfRule>
  </conditionalFormatting>
  <conditionalFormatting sqref="V14:V16">
    <cfRule type="cellIs" dxfId="32585" priority="881" operator="equal">
      <formula>"PMS"</formula>
    </cfRule>
    <cfRule type="containsText" dxfId="32584" priority="882" operator="containsText" text="CMS">
      <formula>NOT(ISERROR(SEARCH("CMS",V14)))</formula>
    </cfRule>
    <cfRule type="cellIs" dxfId="32583" priority="883" operator="equal">
      <formula>0</formula>
    </cfRule>
    <cfRule type="cellIs" dxfId="32582" priority="884" operator="greaterThan">
      <formula>0</formula>
    </cfRule>
  </conditionalFormatting>
  <conditionalFormatting sqref="V14:V16">
    <cfRule type="cellIs" dxfId="32581" priority="877" operator="equal">
      <formula>"PMS"</formula>
    </cfRule>
    <cfRule type="containsText" dxfId="32580" priority="878" operator="containsText" text="CMS">
      <formula>NOT(ISERROR(SEARCH("CMS",V14)))</formula>
    </cfRule>
    <cfRule type="cellIs" dxfId="32579" priority="879" operator="equal">
      <formula>0</formula>
    </cfRule>
    <cfRule type="cellIs" dxfId="32578" priority="880" operator="greaterThan">
      <formula>0</formula>
    </cfRule>
  </conditionalFormatting>
  <conditionalFormatting sqref="W14:W16">
    <cfRule type="cellIs" dxfId="32577" priority="873" operator="equal">
      <formula>"PMS"</formula>
    </cfRule>
    <cfRule type="containsText" dxfId="32576" priority="874" operator="containsText" text="CMS">
      <formula>NOT(ISERROR(SEARCH("CMS",W14)))</formula>
    </cfRule>
    <cfRule type="cellIs" dxfId="32575" priority="875" operator="equal">
      <formula>0</formula>
    </cfRule>
    <cfRule type="cellIs" dxfId="32574" priority="876" operator="greaterThan">
      <formula>0</formula>
    </cfRule>
  </conditionalFormatting>
  <conditionalFormatting sqref="W14:W16">
    <cfRule type="cellIs" dxfId="32573" priority="869" operator="equal">
      <formula>"PMS"</formula>
    </cfRule>
    <cfRule type="containsText" dxfId="32572" priority="870" operator="containsText" text="CMS">
      <formula>NOT(ISERROR(SEARCH("CMS",W14)))</formula>
    </cfRule>
    <cfRule type="cellIs" dxfId="32571" priority="871" operator="equal">
      <formula>0</formula>
    </cfRule>
    <cfRule type="cellIs" dxfId="32570" priority="872" operator="greaterThan">
      <formula>0</formula>
    </cfRule>
  </conditionalFormatting>
  <conditionalFormatting sqref="X16">
    <cfRule type="cellIs" dxfId="32569" priority="865" operator="equal">
      <formula>"PMS"</formula>
    </cfRule>
    <cfRule type="containsText" dxfId="32568" priority="866" operator="containsText" text="CMS">
      <formula>NOT(ISERROR(SEARCH("CMS",X16)))</formula>
    </cfRule>
    <cfRule type="cellIs" dxfId="32567" priority="867" operator="equal">
      <formula>0</formula>
    </cfRule>
    <cfRule type="cellIs" dxfId="32566" priority="868" operator="greaterThan">
      <formula>0</formula>
    </cfRule>
  </conditionalFormatting>
  <conditionalFormatting sqref="X16">
    <cfRule type="cellIs" dxfId="32565" priority="861" operator="equal">
      <formula>"PMS"</formula>
    </cfRule>
    <cfRule type="containsText" dxfId="32564" priority="862" operator="containsText" text="CMS">
      <formula>NOT(ISERROR(SEARCH("CMS",X16)))</formula>
    </cfRule>
    <cfRule type="cellIs" dxfId="32563" priority="863" operator="equal">
      <formula>0</formula>
    </cfRule>
    <cfRule type="cellIs" dxfId="32562" priority="864" operator="greaterThan">
      <formula>0</formula>
    </cfRule>
  </conditionalFormatting>
  <conditionalFormatting sqref="O48">
    <cfRule type="cellIs" dxfId="32561" priority="857" operator="equal">
      <formula>"PMS"</formula>
    </cfRule>
    <cfRule type="containsText" dxfId="32560" priority="858" operator="containsText" text="CMS">
      <formula>NOT(ISERROR(SEARCH("CMS",O48)))</formula>
    </cfRule>
    <cfRule type="cellIs" dxfId="32559" priority="859" operator="equal">
      <formula>0</formula>
    </cfRule>
    <cfRule type="cellIs" dxfId="32558" priority="860" operator="greaterThan">
      <formula>0</formula>
    </cfRule>
  </conditionalFormatting>
  <conditionalFormatting sqref="O55">
    <cfRule type="cellIs" dxfId="32557" priority="853" operator="equal">
      <formula>"PMS"</formula>
    </cfRule>
    <cfRule type="containsText" dxfId="32556" priority="854" operator="containsText" text="CMS">
      <formula>NOT(ISERROR(SEARCH("CMS",O55)))</formula>
    </cfRule>
    <cfRule type="cellIs" dxfId="32555" priority="855" operator="equal">
      <formula>0</formula>
    </cfRule>
    <cfRule type="cellIs" dxfId="32554" priority="856" operator="greaterThan">
      <formula>0</formula>
    </cfRule>
  </conditionalFormatting>
  <conditionalFormatting sqref="Z14">
    <cfRule type="cellIs" dxfId="32553" priority="849" operator="equal">
      <formula>"PMS"</formula>
    </cfRule>
    <cfRule type="containsText" dxfId="32552" priority="850" operator="containsText" text="CMS">
      <formula>NOT(ISERROR(SEARCH("CMS",Z14)))</formula>
    </cfRule>
    <cfRule type="cellIs" dxfId="32551" priority="851" operator="equal">
      <formula>0</formula>
    </cfRule>
    <cfRule type="cellIs" dxfId="32550" priority="852" operator="greaterThan">
      <formula>0</formula>
    </cfRule>
  </conditionalFormatting>
  <conditionalFormatting sqref="Z14">
    <cfRule type="cellIs" dxfId="32549" priority="845" operator="equal">
      <formula>"PMS"</formula>
    </cfRule>
    <cfRule type="containsText" dxfId="32548" priority="846" operator="containsText" text="CMS">
      <formula>NOT(ISERROR(SEARCH("CMS",Z14)))</formula>
    </cfRule>
    <cfRule type="cellIs" dxfId="32547" priority="847" operator="equal">
      <formula>0</formula>
    </cfRule>
    <cfRule type="cellIs" dxfId="32546" priority="848" operator="greaterThan">
      <formula>0</formula>
    </cfRule>
  </conditionalFormatting>
  <conditionalFormatting sqref="Z15">
    <cfRule type="cellIs" dxfId="32545" priority="841" operator="equal">
      <formula>"PMS"</formula>
    </cfRule>
    <cfRule type="containsText" dxfId="32544" priority="842" operator="containsText" text="CMS">
      <formula>NOT(ISERROR(SEARCH("CMS",Z15)))</formula>
    </cfRule>
    <cfRule type="cellIs" dxfId="32543" priority="843" operator="equal">
      <formula>0</formula>
    </cfRule>
    <cfRule type="cellIs" dxfId="32542" priority="844" operator="greaterThan">
      <formula>0</formula>
    </cfRule>
  </conditionalFormatting>
  <conditionalFormatting sqref="Z15">
    <cfRule type="cellIs" dxfId="32541" priority="837" operator="equal">
      <formula>"PMS"</formula>
    </cfRule>
    <cfRule type="containsText" dxfId="32540" priority="838" operator="containsText" text="CMS">
      <formula>NOT(ISERROR(SEARCH("CMS",Z15)))</formula>
    </cfRule>
    <cfRule type="cellIs" dxfId="32539" priority="839" operator="equal">
      <formula>0</formula>
    </cfRule>
    <cfRule type="cellIs" dxfId="32538" priority="840" operator="greaterThan">
      <formula>0</formula>
    </cfRule>
  </conditionalFormatting>
  <conditionalFormatting sqref="Z16">
    <cfRule type="cellIs" dxfId="32537" priority="833" operator="equal">
      <formula>"PMS"</formula>
    </cfRule>
    <cfRule type="containsText" dxfId="32536" priority="834" operator="containsText" text="CMS">
      <formula>NOT(ISERROR(SEARCH("CMS",Z16)))</formula>
    </cfRule>
    <cfRule type="cellIs" dxfId="32535" priority="835" operator="equal">
      <formula>0</formula>
    </cfRule>
    <cfRule type="cellIs" dxfId="32534" priority="836" operator="greaterThan">
      <formula>0</formula>
    </cfRule>
  </conditionalFormatting>
  <conditionalFormatting sqref="Z16">
    <cfRule type="cellIs" dxfId="32533" priority="829" operator="equal">
      <formula>"PMS"</formula>
    </cfRule>
    <cfRule type="containsText" dxfId="32532" priority="830" operator="containsText" text="CMS">
      <formula>NOT(ISERROR(SEARCH("CMS",Z16)))</formula>
    </cfRule>
    <cfRule type="cellIs" dxfId="32531" priority="831" operator="equal">
      <formula>0</formula>
    </cfRule>
    <cfRule type="cellIs" dxfId="32530" priority="832" operator="greaterThan">
      <formula>0</formula>
    </cfRule>
  </conditionalFormatting>
  <conditionalFormatting sqref="AA14">
    <cfRule type="cellIs" dxfId="32529" priority="825" operator="equal">
      <formula>"PMS"</formula>
    </cfRule>
    <cfRule type="containsText" dxfId="32528" priority="826" operator="containsText" text="CMS">
      <formula>NOT(ISERROR(SEARCH("CMS",AA14)))</formula>
    </cfRule>
    <cfRule type="cellIs" dxfId="32527" priority="827" operator="equal">
      <formula>0</formula>
    </cfRule>
    <cfRule type="cellIs" dxfId="32526" priority="828" operator="greaterThan">
      <formula>0</formula>
    </cfRule>
  </conditionalFormatting>
  <conditionalFormatting sqref="AA14">
    <cfRule type="cellIs" dxfId="32525" priority="821" operator="equal">
      <formula>"PMS"</formula>
    </cfRule>
    <cfRule type="containsText" dxfId="32524" priority="822" operator="containsText" text="CMS">
      <formula>NOT(ISERROR(SEARCH("CMS",AA14)))</formula>
    </cfRule>
    <cfRule type="cellIs" dxfId="32523" priority="823" operator="equal">
      <formula>0</formula>
    </cfRule>
    <cfRule type="cellIs" dxfId="32522" priority="824" operator="greaterThan">
      <formula>0</formula>
    </cfRule>
  </conditionalFormatting>
  <conditionalFormatting sqref="AA15">
    <cfRule type="cellIs" dxfId="32521" priority="817" operator="equal">
      <formula>"PMS"</formula>
    </cfRule>
    <cfRule type="containsText" dxfId="32520" priority="818" operator="containsText" text="CMS">
      <formula>NOT(ISERROR(SEARCH("CMS",AA15)))</formula>
    </cfRule>
    <cfRule type="cellIs" dxfId="32519" priority="819" operator="equal">
      <formula>0</formula>
    </cfRule>
    <cfRule type="cellIs" dxfId="32518" priority="820" operator="greaterThan">
      <formula>0</formula>
    </cfRule>
  </conditionalFormatting>
  <conditionalFormatting sqref="AA15">
    <cfRule type="cellIs" dxfId="32517" priority="813" operator="equal">
      <formula>"PMS"</formula>
    </cfRule>
    <cfRule type="containsText" dxfId="32516" priority="814" operator="containsText" text="CMS">
      <formula>NOT(ISERROR(SEARCH("CMS",AA15)))</formula>
    </cfRule>
    <cfRule type="cellIs" dxfId="32515" priority="815" operator="equal">
      <formula>0</formula>
    </cfRule>
    <cfRule type="cellIs" dxfId="32514" priority="816" operator="greaterThan">
      <formula>0</formula>
    </cfRule>
  </conditionalFormatting>
  <conditionalFormatting sqref="AA16">
    <cfRule type="cellIs" dxfId="32513" priority="809" operator="equal">
      <formula>"PMS"</formula>
    </cfRule>
    <cfRule type="containsText" dxfId="32512" priority="810" operator="containsText" text="CMS">
      <formula>NOT(ISERROR(SEARCH("CMS",AA16)))</formula>
    </cfRule>
    <cfRule type="cellIs" dxfId="32511" priority="811" operator="equal">
      <formula>0</formula>
    </cfRule>
    <cfRule type="cellIs" dxfId="32510" priority="812" operator="greaterThan">
      <formula>0</formula>
    </cfRule>
  </conditionalFormatting>
  <conditionalFormatting sqref="AA16">
    <cfRule type="cellIs" dxfId="32509" priority="805" operator="equal">
      <formula>"PMS"</formula>
    </cfRule>
    <cfRule type="containsText" dxfId="32508" priority="806" operator="containsText" text="CMS">
      <formula>NOT(ISERROR(SEARCH("CMS",AA16)))</formula>
    </cfRule>
    <cfRule type="cellIs" dxfId="32507" priority="807" operator="equal">
      <formula>0</formula>
    </cfRule>
    <cfRule type="cellIs" dxfId="32506" priority="808" operator="greaterThan">
      <formula>0</formula>
    </cfRule>
  </conditionalFormatting>
  <conditionalFormatting sqref="AA27">
    <cfRule type="cellIs" dxfId="32505" priority="801" operator="equal">
      <formula>"PMS"</formula>
    </cfRule>
    <cfRule type="containsText" dxfId="32504" priority="802" operator="containsText" text="CMS">
      <formula>NOT(ISERROR(SEARCH("CMS",AA27)))</formula>
    </cfRule>
    <cfRule type="cellIs" dxfId="32503" priority="803" operator="equal">
      <formula>0</formula>
    </cfRule>
    <cfRule type="cellIs" dxfId="32502" priority="804" operator="greaterThan">
      <formula>0</formula>
    </cfRule>
  </conditionalFormatting>
  <conditionalFormatting sqref="AA27">
    <cfRule type="cellIs" dxfId="32501" priority="797" operator="equal">
      <formula>"PMS"</formula>
    </cfRule>
    <cfRule type="containsText" dxfId="32500" priority="798" operator="containsText" text="CMS">
      <formula>NOT(ISERROR(SEARCH("CMS",AA27)))</formula>
    </cfRule>
    <cfRule type="cellIs" dxfId="32499" priority="799" operator="equal">
      <formula>0</formula>
    </cfRule>
    <cfRule type="cellIs" dxfId="32498" priority="800" operator="greaterThan">
      <formula>0</formula>
    </cfRule>
  </conditionalFormatting>
  <conditionalFormatting sqref="AA28">
    <cfRule type="cellIs" dxfId="32497" priority="793" operator="equal">
      <formula>"PMS"</formula>
    </cfRule>
    <cfRule type="containsText" dxfId="32496" priority="794" operator="containsText" text="CMS">
      <formula>NOT(ISERROR(SEARCH("CMS",AA28)))</formula>
    </cfRule>
    <cfRule type="cellIs" dxfId="32495" priority="795" operator="equal">
      <formula>0</formula>
    </cfRule>
    <cfRule type="cellIs" dxfId="32494" priority="796" operator="greaterThan">
      <formula>0</formula>
    </cfRule>
  </conditionalFormatting>
  <conditionalFormatting sqref="AA28">
    <cfRule type="cellIs" dxfId="32493" priority="789" operator="equal">
      <formula>"PMS"</formula>
    </cfRule>
    <cfRule type="containsText" dxfId="32492" priority="790" operator="containsText" text="CMS">
      <formula>NOT(ISERROR(SEARCH("CMS",AA28)))</formula>
    </cfRule>
    <cfRule type="cellIs" dxfId="32491" priority="791" operator="equal">
      <formula>0</formula>
    </cfRule>
    <cfRule type="cellIs" dxfId="32490" priority="792" operator="greaterThan">
      <formula>0</formula>
    </cfRule>
  </conditionalFormatting>
  <conditionalFormatting sqref="AB14">
    <cfRule type="cellIs" dxfId="32489" priority="785" operator="equal">
      <formula>"PMS"</formula>
    </cfRule>
    <cfRule type="containsText" dxfId="32488" priority="786" operator="containsText" text="CMS">
      <formula>NOT(ISERROR(SEARCH("CMS",AB14)))</formula>
    </cfRule>
    <cfRule type="cellIs" dxfId="32487" priority="787" operator="equal">
      <formula>0</formula>
    </cfRule>
    <cfRule type="cellIs" dxfId="32486" priority="788" operator="greaterThan">
      <formula>0</formula>
    </cfRule>
  </conditionalFormatting>
  <conditionalFormatting sqref="AB14">
    <cfRule type="cellIs" dxfId="32485" priority="781" operator="equal">
      <formula>"PMS"</formula>
    </cfRule>
    <cfRule type="containsText" dxfId="32484" priority="782" operator="containsText" text="CMS">
      <formula>NOT(ISERROR(SEARCH("CMS",AB14)))</formula>
    </cfRule>
    <cfRule type="cellIs" dxfId="32483" priority="783" operator="equal">
      <formula>0</formula>
    </cfRule>
    <cfRule type="cellIs" dxfId="32482" priority="784" operator="greaterThan">
      <formula>0</formula>
    </cfRule>
  </conditionalFormatting>
  <conditionalFormatting sqref="AB15">
    <cfRule type="cellIs" dxfId="32481" priority="777" operator="equal">
      <formula>"PMS"</formula>
    </cfRule>
    <cfRule type="containsText" dxfId="32480" priority="778" operator="containsText" text="CMS">
      <formula>NOT(ISERROR(SEARCH("CMS",AB15)))</formula>
    </cfRule>
    <cfRule type="cellIs" dxfId="32479" priority="779" operator="equal">
      <formula>0</formula>
    </cfRule>
    <cfRule type="cellIs" dxfId="32478" priority="780" operator="greaterThan">
      <formula>0</formula>
    </cfRule>
  </conditionalFormatting>
  <conditionalFormatting sqref="AB15">
    <cfRule type="cellIs" dxfId="32477" priority="773" operator="equal">
      <formula>"PMS"</formula>
    </cfRule>
    <cfRule type="containsText" dxfId="32476" priority="774" operator="containsText" text="CMS">
      <formula>NOT(ISERROR(SEARCH("CMS",AB15)))</formula>
    </cfRule>
    <cfRule type="cellIs" dxfId="32475" priority="775" operator="equal">
      <formula>0</formula>
    </cfRule>
    <cfRule type="cellIs" dxfId="32474" priority="776" operator="greaterThan">
      <formula>0</formula>
    </cfRule>
  </conditionalFormatting>
  <conditionalFormatting sqref="AB16">
    <cfRule type="cellIs" dxfId="32473" priority="769" operator="equal">
      <formula>"PMS"</formula>
    </cfRule>
    <cfRule type="containsText" dxfId="32472" priority="770" operator="containsText" text="CMS">
      <formula>NOT(ISERROR(SEARCH("CMS",AB16)))</formula>
    </cfRule>
    <cfRule type="cellIs" dxfId="32471" priority="771" operator="equal">
      <formula>0</formula>
    </cfRule>
    <cfRule type="cellIs" dxfId="32470" priority="772" operator="greaterThan">
      <formula>0</formula>
    </cfRule>
  </conditionalFormatting>
  <conditionalFormatting sqref="AB16">
    <cfRule type="cellIs" dxfId="32469" priority="765" operator="equal">
      <formula>"PMS"</formula>
    </cfRule>
    <cfRule type="containsText" dxfId="32468" priority="766" operator="containsText" text="CMS">
      <formula>NOT(ISERROR(SEARCH("CMS",AB16)))</formula>
    </cfRule>
    <cfRule type="cellIs" dxfId="32467" priority="767" operator="equal">
      <formula>0</formula>
    </cfRule>
    <cfRule type="cellIs" dxfId="32466" priority="768" operator="greaterThan">
      <formula>0</formula>
    </cfRule>
  </conditionalFormatting>
  <conditionalFormatting sqref="J62">
    <cfRule type="cellIs" dxfId="32465" priority="757" operator="equal">
      <formula>"PMS"</formula>
    </cfRule>
    <cfRule type="containsText" dxfId="32464" priority="758" operator="containsText" text="CMS">
      <formula>NOT(ISERROR(SEARCH("CMS",J62)))</formula>
    </cfRule>
    <cfRule type="cellIs" dxfId="32463" priority="759" operator="equal">
      <formula>0</formula>
    </cfRule>
    <cfRule type="cellIs" dxfId="32462" priority="760" operator="greaterThan">
      <formula>0</formula>
    </cfRule>
    <cfRule type="cellIs" dxfId="32461" priority="761" operator="equal">
      <formula>"PMS"</formula>
    </cfRule>
    <cfRule type="containsText" dxfId="32460" priority="762" operator="containsText" text="CMS">
      <formula>NOT(ISERROR(SEARCH("CMS",J62)))</formula>
    </cfRule>
    <cfRule type="cellIs" dxfId="32459" priority="763" operator="equal">
      <formula>0</formula>
    </cfRule>
    <cfRule type="cellIs" dxfId="32458" priority="764" operator="greaterThan">
      <formula>0</formula>
    </cfRule>
  </conditionalFormatting>
  <conditionalFormatting sqref="J60:J61">
    <cfRule type="cellIs" dxfId="32457" priority="749" operator="equal">
      <formula>"PMS"</formula>
    </cfRule>
    <cfRule type="containsText" dxfId="32456" priority="750" operator="containsText" text="CMS">
      <formula>NOT(ISERROR(SEARCH("CMS",J60)))</formula>
    </cfRule>
    <cfRule type="cellIs" dxfId="32455" priority="751" operator="equal">
      <formula>0</formula>
    </cfRule>
    <cfRule type="cellIs" dxfId="32454" priority="752" operator="greaterThan">
      <formula>0</formula>
    </cfRule>
    <cfRule type="cellIs" dxfId="32453" priority="753" operator="equal">
      <formula>"PMS"</formula>
    </cfRule>
    <cfRule type="containsText" dxfId="32452" priority="754" operator="containsText" text="CMS">
      <formula>NOT(ISERROR(SEARCH("CMS",J60)))</formula>
    </cfRule>
    <cfRule type="cellIs" dxfId="32451" priority="755" operator="equal">
      <formula>0</formula>
    </cfRule>
    <cfRule type="cellIs" dxfId="32450" priority="756" operator="greaterThan">
      <formula>0</formula>
    </cfRule>
  </conditionalFormatting>
  <conditionalFormatting sqref="V14">
    <cfRule type="cellIs" dxfId="32449" priority="745" operator="equal">
      <formula>"PMS"</formula>
    </cfRule>
    <cfRule type="containsText" dxfId="32448" priority="746" operator="containsText" text="CMS">
      <formula>NOT(ISERROR(SEARCH("CMS",V14)))</formula>
    </cfRule>
    <cfRule type="cellIs" dxfId="32447" priority="747" operator="equal">
      <formula>0</formula>
    </cfRule>
    <cfRule type="cellIs" dxfId="32446" priority="748" operator="greaterThan">
      <formula>0</formula>
    </cfRule>
  </conditionalFormatting>
  <conditionalFormatting sqref="V14">
    <cfRule type="cellIs" dxfId="32445" priority="741" operator="equal">
      <formula>"PMS"</formula>
    </cfRule>
    <cfRule type="containsText" dxfId="32444" priority="742" operator="containsText" text="CMS">
      <formula>NOT(ISERROR(SEARCH("CMS",V14)))</formula>
    </cfRule>
    <cfRule type="cellIs" dxfId="32443" priority="743" operator="equal">
      <formula>0</formula>
    </cfRule>
    <cfRule type="cellIs" dxfId="32442" priority="744" operator="greaterThan">
      <formula>0</formula>
    </cfRule>
  </conditionalFormatting>
  <conditionalFormatting sqref="V15">
    <cfRule type="cellIs" dxfId="32441" priority="737" operator="equal">
      <formula>"PMS"</formula>
    </cfRule>
    <cfRule type="containsText" dxfId="32440" priority="738" operator="containsText" text="CMS">
      <formula>NOT(ISERROR(SEARCH("CMS",V15)))</formula>
    </cfRule>
    <cfRule type="cellIs" dxfId="32439" priority="739" operator="equal">
      <formula>0</formula>
    </cfRule>
    <cfRule type="cellIs" dxfId="32438" priority="740" operator="greaterThan">
      <formula>0</formula>
    </cfRule>
  </conditionalFormatting>
  <conditionalFormatting sqref="V15">
    <cfRule type="cellIs" dxfId="32437" priority="733" operator="equal">
      <formula>"PMS"</formula>
    </cfRule>
    <cfRule type="containsText" dxfId="32436" priority="734" operator="containsText" text="CMS">
      <formula>NOT(ISERROR(SEARCH("CMS",V15)))</formula>
    </cfRule>
    <cfRule type="cellIs" dxfId="32435" priority="735" operator="equal">
      <formula>0</formula>
    </cfRule>
    <cfRule type="cellIs" dxfId="32434" priority="736" operator="greaterThan">
      <formula>0</formula>
    </cfRule>
  </conditionalFormatting>
  <conditionalFormatting sqref="V16">
    <cfRule type="cellIs" dxfId="32433" priority="729" operator="equal">
      <formula>"PMS"</formula>
    </cfRule>
    <cfRule type="containsText" dxfId="32432" priority="730" operator="containsText" text="CMS">
      <formula>NOT(ISERROR(SEARCH("CMS",V16)))</formula>
    </cfRule>
    <cfRule type="cellIs" dxfId="32431" priority="731" operator="equal">
      <formula>0</formula>
    </cfRule>
    <cfRule type="cellIs" dxfId="32430" priority="732" operator="greaterThan">
      <formula>0</formula>
    </cfRule>
  </conditionalFormatting>
  <conditionalFormatting sqref="V16">
    <cfRule type="cellIs" dxfId="32429" priority="725" operator="equal">
      <formula>"PMS"</formula>
    </cfRule>
    <cfRule type="containsText" dxfId="32428" priority="726" operator="containsText" text="CMS">
      <formula>NOT(ISERROR(SEARCH("CMS",V16)))</formula>
    </cfRule>
    <cfRule type="cellIs" dxfId="32427" priority="727" operator="equal">
      <formula>0</formula>
    </cfRule>
    <cfRule type="cellIs" dxfId="32426" priority="728" operator="greaterThan">
      <formula>0</formula>
    </cfRule>
  </conditionalFormatting>
  <conditionalFormatting sqref="W14">
    <cfRule type="cellIs" dxfId="32425" priority="721" operator="equal">
      <formula>"PMS"</formula>
    </cfRule>
    <cfRule type="containsText" dxfId="32424" priority="722" operator="containsText" text="CMS">
      <formula>NOT(ISERROR(SEARCH("CMS",W14)))</formula>
    </cfRule>
    <cfRule type="cellIs" dxfId="32423" priority="723" operator="equal">
      <formula>0</formula>
    </cfRule>
    <cfRule type="cellIs" dxfId="32422" priority="724" operator="greaterThan">
      <formula>0</formula>
    </cfRule>
  </conditionalFormatting>
  <conditionalFormatting sqref="W14">
    <cfRule type="cellIs" dxfId="32421" priority="717" operator="equal">
      <formula>"PMS"</formula>
    </cfRule>
    <cfRule type="containsText" dxfId="32420" priority="718" operator="containsText" text="CMS">
      <formula>NOT(ISERROR(SEARCH("CMS",W14)))</formula>
    </cfRule>
    <cfRule type="cellIs" dxfId="32419" priority="719" operator="equal">
      <formula>0</formula>
    </cfRule>
    <cfRule type="cellIs" dxfId="32418" priority="720" operator="greaterThan">
      <formula>0</formula>
    </cfRule>
  </conditionalFormatting>
  <conditionalFormatting sqref="W15">
    <cfRule type="cellIs" dxfId="32417" priority="713" operator="equal">
      <formula>"PMS"</formula>
    </cfRule>
    <cfRule type="containsText" dxfId="32416" priority="714" operator="containsText" text="CMS">
      <formula>NOT(ISERROR(SEARCH("CMS",W15)))</formula>
    </cfRule>
    <cfRule type="cellIs" dxfId="32415" priority="715" operator="equal">
      <formula>0</formula>
    </cfRule>
    <cfRule type="cellIs" dxfId="32414" priority="716" operator="greaterThan">
      <formula>0</formula>
    </cfRule>
  </conditionalFormatting>
  <conditionalFormatting sqref="W15">
    <cfRule type="cellIs" dxfId="32413" priority="709" operator="equal">
      <formula>"PMS"</formula>
    </cfRule>
    <cfRule type="containsText" dxfId="32412" priority="710" operator="containsText" text="CMS">
      <formula>NOT(ISERROR(SEARCH("CMS",W15)))</formula>
    </cfRule>
    <cfRule type="cellIs" dxfId="32411" priority="711" operator="equal">
      <formula>0</formula>
    </cfRule>
    <cfRule type="cellIs" dxfId="32410" priority="712" operator="greaterThan">
      <formula>0</formula>
    </cfRule>
  </conditionalFormatting>
  <conditionalFormatting sqref="W16">
    <cfRule type="cellIs" dxfId="32409" priority="705" operator="equal">
      <formula>"PMS"</formula>
    </cfRule>
    <cfRule type="containsText" dxfId="32408" priority="706" operator="containsText" text="CMS">
      <formula>NOT(ISERROR(SEARCH("CMS",W16)))</formula>
    </cfRule>
    <cfRule type="cellIs" dxfId="32407" priority="707" operator="equal">
      <formula>0</formula>
    </cfRule>
    <cfRule type="cellIs" dxfId="32406" priority="708" operator="greaterThan">
      <formula>0</formula>
    </cfRule>
  </conditionalFormatting>
  <conditionalFormatting sqref="W16">
    <cfRule type="cellIs" dxfId="32405" priority="701" operator="equal">
      <formula>"PMS"</formula>
    </cfRule>
    <cfRule type="containsText" dxfId="32404" priority="702" operator="containsText" text="CMS">
      <formula>NOT(ISERROR(SEARCH("CMS",W16)))</formula>
    </cfRule>
    <cfRule type="cellIs" dxfId="32403" priority="703" operator="equal">
      <formula>0</formula>
    </cfRule>
    <cfRule type="cellIs" dxfId="32402" priority="704" operator="greaterThan">
      <formula>0</formula>
    </cfRule>
  </conditionalFormatting>
  <conditionalFormatting sqref="G55">
    <cfRule type="cellIs" dxfId="32401" priority="693" operator="equal">
      <formula>"PMS"</formula>
    </cfRule>
    <cfRule type="containsText" dxfId="32400" priority="694" operator="containsText" text="CMS">
      <formula>NOT(ISERROR(SEARCH("CMS",G55)))</formula>
    </cfRule>
    <cfRule type="cellIs" dxfId="32399" priority="695" operator="equal">
      <formula>0</formula>
    </cfRule>
    <cfRule type="cellIs" dxfId="32398" priority="696" operator="greaterThan">
      <formula>0</formula>
    </cfRule>
    <cfRule type="cellIs" dxfId="32397" priority="697" operator="equal">
      <formula>"PMS"</formula>
    </cfRule>
    <cfRule type="containsText" dxfId="32396" priority="698" operator="containsText" text="CMS">
      <formula>NOT(ISERROR(SEARCH("CMS",G55)))</formula>
    </cfRule>
    <cfRule type="cellIs" dxfId="32395" priority="699" operator="equal">
      <formula>0</formula>
    </cfRule>
    <cfRule type="cellIs" dxfId="32394" priority="700" operator="greaterThan">
      <formula>0</formula>
    </cfRule>
  </conditionalFormatting>
  <conditionalFormatting sqref="G55">
    <cfRule type="cellIs" dxfId="32393" priority="689" operator="equal">
      <formula>"PMS"</formula>
    </cfRule>
    <cfRule type="containsText" dxfId="32392" priority="690" operator="containsText" text="CMS">
      <formula>NOT(ISERROR(SEARCH("CMS",G55)))</formula>
    </cfRule>
    <cfRule type="cellIs" dxfId="32391" priority="691" operator="equal">
      <formula>0</formula>
    </cfRule>
    <cfRule type="cellIs" dxfId="32390" priority="692" operator="greaterThan">
      <formula>0</formula>
    </cfRule>
  </conditionalFormatting>
  <conditionalFormatting sqref="G55">
    <cfRule type="cellIs" dxfId="32389" priority="685" operator="equal">
      <formula>"PMS"</formula>
    </cfRule>
    <cfRule type="containsText" dxfId="32388" priority="686" operator="containsText" text="CMS">
      <formula>NOT(ISERROR(SEARCH("CMS",G55)))</formula>
    </cfRule>
    <cfRule type="cellIs" dxfId="32387" priority="687" operator="equal">
      <formula>0</formula>
    </cfRule>
    <cfRule type="cellIs" dxfId="32386" priority="688" operator="greaterThan">
      <formula>0</formula>
    </cfRule>
  </conditionalFormatting>
  <conditionalFormatting sqref="K62">
    <cfRule type="cellIs" dxfId="32385" priority="669" operator="equal">
      <formula>"PMS"</formula>
    </cfRule>
    <cfRule type="containsText" dxfId="32384" priority="670" operator="containsText" text="CMS">
      <formula>NOT(ISERROR(SEARCH("CMS",K62)))</formula>
    </cfRule>
    <cfRule type="cellIs" dxfId="32383" priority="671" operator="equal">
      <formula>0</formula>
    </cfRule>
    <cfRule type="cellIs" dxfId="32382" priority="672" operator="greaterThan">
      <formula>0</formula>
    </cfRule>
    <cfRule type="cellIs" dxfId="32381" priority="673" operator="equal">
      <formula>"PMS"</formula>
    </cfRule>
    <cfRule type="containsText" dxfId="32380" priority="674" operator="containsText" text="CMS">
      <formula>NOT(ISERROR(SEARCH("CMS",K62)))</formula>
    </cfRule>
    <cfRule type="cellIs" dxfId="32379" priority="675" operator="equal">
      <formula>0</formula>
    </cfRule>
    <cfRule type="cellIs" dxfId="32378" priority="676" operator="greaterThan">
      <formula>0</formula>
    </cfRule>
  </conditionalFormatting>
  <conditionalFormatting sqref="G13:G16">
    <cfRule type="cellIs" dxfId="32377" priority="661" operator="equal">
      <formula>"PMS"</formula>
    </cfRule>
    <cfRule type="containsText" dxfId="32376" priority="662" operator="containsText" text="CMS">
      <formula>NOT(ISERROR(SEARCH("CMS",G13)))</formula>
    </cfRule>
    <cfRule type="cellIs" dxfId="32375" priority="663" operator="equal">
      <formula>0</formula>
    </cfRule>
    <cfRule type="cellIs" dxfId="32374" priority="664" operator="greaterThan">
      <formula>0</formula>
    </cfRule>
    <cfRule type="cellIs" dxfId="32373" priority="665" operator="equal">
      <formula>"PMS"</formula>
    </cfRule>
    <cfRule type="containsText" dxfId="32372" priority="666" operator="containsText" text="CMS">
      <formula>NOT(ISERROR(SEARCH("CMS",G13)))</formula>
    </cfRule>
    <cfRule type="cellIs" dxfId="32371" priority="667" operator="equal">
      <formula>0</formula>
    </cfRule>
    <cfRule type="cellIs" dxfId="32370" priority="668" operator="greaterThan">
      <formula>0</formula>
    </cfRule>
  </conditionalFormatting>
  <conditionalFormatting sqref="G13:G16">
    <cfRule type="cellIs" dxfId="32369" priority="657" operator="equal">
      <formula>"PMS"</formula>
    </cfRule>
    <cfRule type="containsText" dxfId="32368" priority="658" operator="containsText" text="CMS">
      <formula>NOT(ISERROR(SEARCH("CMS",G13)))</formula>
    </cfRule>
    <cfRule type="cellIs" dxfId="32367" priority="659" operator="equal">
      <formula>0</formula>
    </cfRule>
    <cfRule type="cellIs" dxfId="32366" priority="660" operator="greaterThan">
      <formula>0</formula>
    </cfRule>
  </conditionalFormatting>
  <conditionalFormatting sqref="G13:G16">
    <cfRule type="cellIs" dxfId="32365" priority="653" operator="equal">
      <formula>"PMS"</formula>
    </cfRule>
    <cfRule type="containsText" dxfId="32364" priority="654" operator="containsText" text="CMS">
      <formula>NOT(ISERROR(SEARCH("CMS",G13)))</formula>
    </cfRule>
    <cfRule type="cellIs" dxfId="32363" priority="655" operator="equal">
      <formula>0</formula>
    </cfRule>
    <cfRule type="cellIs" dxfId="32362" priority="656" operator="greaterThan">
      <formula>0</formula>
    </cfRule>
  </conditionalFormatting>
  <conditionalFormatting sqref="G13:G16">
    <cfRule type="cellIs" dxfId="32361" priority="649" operator="equal">
      <formula>"PMS"</formula>
    </cfRule>
    <cfRule type="containsText" dxfId="32360" priority="650" operator="containsText" text="CMS">
      <formula>NOT(ISERROR(SEARCH("CMS",G13)))</formula>
    </cfRule>
    <cfRule type="cellIs" dxfId="32359" priority="651" operator="equal">
      <formula>0</formula>
    </cfRule>
    <cfRule type="cellIs" dxfId="32358" priority="652" operator="greaterThan">
      <formula>0</formula>
    </cfRule>
  </conditionalFormatting>
  <conditionalFormatting sqref="G13:G16">
    <cfRule type="cellIs" dxfId="32357" priority="645" operator="equal">
      <formula>"PMS"</formula>
    </cfRule>
    <cfRule type="containsText" dxfId="32356" priority="646" operator="containsText" text="CMS">
      <formula>NOT(ISERROR(SEARCH("CMS",G13)))</formula>
    </cfRule>
    <cfRule type="cellIs" dxfId="32355" priority="647" operator="equal">
      <formula>0</formula>
    </cfRule>
    <cfRule type="cellIs" dxfId="32354" priority="648" operator="greaterThan">
      <formula>0</formula>
    </cfRule>
  </conditionalFormatting>
  <conditionalFormatting sqref="G20:G21">
    <cfRule type="cellIs" dxfId="32353" priority="637" operator="equal">
      <formula>"PMS"</formula>
    </cfRule>
    <cfRule type="containsText" dxfId="32352" priority="638" operator="containsText" text="CMS">
      <formula>NOT(ISERROR(SEARCH("CMS",G20)))</formula>
    </cfRule>
    <cfRule type="cellIs" dxfId="32351" priority="639" operator="equal">
      <formula>0</formula>
    </cfRule>
    <cfRule type="cellIs" dxfId="32350" priority="640" operator="greaterThan">
      <formula>0</formula>
    </cfRule>
    <cfRule type="cellIs" dxfId="32349" priority="641" operator="equal">
      <formula>"PMS"</formula>
    </cfRule>
    <cfRule type="containsText" dxfId="32348" priority="642" operator="containsText" text="CMS">
      <formula>NOT(ISERROR(SEARCH("CMS",G20)))</formula>
    </cfRule>
    <cfRule type="cellIs" dxfId="32347" priority="643" operator="equal">
      <formula>0</formula>
    </cfRule>
    <cfRule type="cellIs" dxfId="32346" priority="644" operator="greaterThan">
      <formula>0</formula>
    </cfRule>
  </conditionalFormatting>
  <conditionalFormatting sqref="G20:G21">
    <cfRule type="cellIs" dxfId="32345" priority="633" operator="equal">
      <formula>"PMS"</formula>
    </cfRule>
    <cfRule type="containsText" dxfId="32344" priority="634" operator="containsText" text="CMS">
      <formula>NOT(ISERROR(SEARCH("CMS",G20)))</formula>
    </cfRule>
    <cfRule type="cellIs" dxfId="32343" priority="635" operator="equal">
      <formula>0</formula>
    </cfRule>
    <cfRule type="cellIs" dxfId="32342" priority="636" operator="greaterThan">
      <formula>0</formula>
    </cfRule>
  </conditionalFormatting>
  <conditionalFormatting sqref="G20:G21">
    <cfRule type="cellIs" dxfId="32341" priority="629" operator="equal">
      <formula>"PMS"</formula>
    </cfRule>
    <cfRule type="containsText" dxfId="32340" priority="630" operator="containsText" text="CMS">
      <formula>NOT(ISERROR(SEARCH("CMS",G20)))</formula>
    </cfRule>
    <cfRule type="cellIs" dxfId="32339" priority="631" operator="equal">
      <formula>0</formula>
    </cfRule>
    <cfRule type="cellIs" dxfId="32338" priority="632" operator="greaterThan">
      <formula>0</formula>
    </cfRule>
  </conditionalFormatting>
  <conditionalFormatting sqref="G19">
    <cfRule type="cellIs" dxfId="32337" priority="625" operator="equal">
      <formula>"CMS"</formula>
    </cfRule>
    <cfRule type="cellIs" dxfId="32336" priority="626" operator="equal">
      <formula>"PMS"</formula>
    </cfRule>
    <cfRule type="cellIs" dxfId="32335" priority="627" operator="greaterThan">
      <formula>0</formula>
    </cfRule>
    <cfRule type="cellIs" dxfId="32334" priority="628" operator="equal">
      <formula>0</formula>
    </cfRule>
  </conditionalFormatting>
  <conditionalFormatting sqref="G24">
    <cfRule type="cellIs" dxfId="32333" priority="617" operator="equal">
      <formula>"PMS"</formula>
    </cfRule>
    <cfRule type="containsText" dxfId="32332" priority="618" operator="containsText" text="CMS">
      <formula>NOT(ISERROR(SEARCH("CMS",G24)))</formula>
    </cfRule>
    <cfRule type="cellIs" dxfId="32331" priority="619" operator="equal">
      <formula>0</formula>
    </cfRule>
    <cfRule type="cellIs" dxfId="32330" priority="620" operator="greaterThan">
      <formula>0</formula>
    </cfRule>
    <cfRule type="cellIs" dxfId="32329" priority="621" operator="equal">
      <formula>"PMS"</formula>
    </cfRule>
    <cfRule type="containsText" dxfId="32328" priority="622" operator="containsText" text="CMS">
      <formula>NOT(ISERROR(SEARCH("CMS",G24)))</formula>
    </cfRule>
    <cfRule type="cellIs" dxfId="32327" priority="623" operator="equal">
      <formula>0</formula>
    </cfRule>
    <cfRule type="cellIs" dxfId="32326" priority="624" operator="greaterThan">
      <formula>0</formula>
    </cfRule>
  </conditionalFormatting>
  <conditionalFormatting sqref="G24">
    <cfRule type="cellIs" dxfId="32325" priority="613" operator="equal">
      <formula>"PMS"</formula>
    </cfRule>
    <cfRule type="containsText" dxfId="32324" priority="614" operator="containsText" text="CMS">
      <formula>NOT(ISERROR(SEARCH("CMS",G24)))</formula>
    </cfRule>
    <cfRule type="cellIs" dxfId="32323" priority="615" operator="equal">
      <formula>0</formula>
    </cfRule>
    <cfRule type="cellIs" dxfId="32322" priority="616" operator="greaterThan">
      <formula>0</formula>
    </cfRule>
  </conditionalFormatting>
  <conditionalFormatting sqref="G24">
    <cfRule type="cellIs" dxfId="32321" priority="609" operator="equal">
      <formula>"PMS"</formula>
    </cfRule>
    <cfRule type="containsText" dxfId="32320" priority="610" operator="containsText" text="CMS">
      <formula>NOT(ISERROR(SEARCH("CMS",G24)))</formula>
    </cfRule>
    <cfRule type="cellIs" dxfId="32319" priority="611" operator="equal">
      <formula>0</formula>
    </cfRule>
    <cfRule type="cellIs" dxfId="32318" priority="612" operator="greaterThan">
      <formula>0</formula>
    </cfRule>
  </conditionalFormatting>
  <conditionalFormatting sqref="G27:G28">
    <cfRule type="cellIs" dxfId="32317" priority="601" operator="equal">
      <formula>"PMS"</formula>
    </cfRule>
    <cfRule type="containsText" dxfId="32316" priority="602" operator="containsText" text="CMS">
      <formula>NOT(ISERROR(SEARCH("CMS",G27)))</formula>
    </cfRule>
    <cfRule type="cellIs" dxfId="32315" priority="603" operator="equal">
      <formula>0</formula>
    </cfRule>
    <cfRule type="cellIs" dxfId="32314" priority="604" operator="greaterThan">
      <formula>0</formula>
    </cfRule>
    <cfRule type="cellIs" dxfId="32313" priority="605" operator="equal">
      <formula>"PMS"</formula>
    </cfRule>
    <cfRule type="containsText" dxfId="32312" priority="606" operator="containsText" text="CMS">
      <formula>NOT(ISERROR(SEARCH("CMS",G27)))</formula>
    </cfRule>
    <cfRule type="cellIs" dxfId="32311" priority="607" operator="equal">
      <formula>0</formula>
    </cfRule>
    <cfRule type="cellIs" dxfId="32310" priority="608" operator="greaterThan">
      <formula>0</formula>
    </cfRule>
  </conditionalFormatting>
  <conditionalFormatting sqref="G27:G28">
    <cfRule type="cellIs" dxfId="32309" priority="597" operator="equal">
      <formula>"PMS"</formula>
    </cfRule>
    <cfRule type="containsText" dxfId="32308" priority="598" operator="containsText" text="CMS">
      <formula>NOT(ISERROR(SEARCH("CMS",G27)))</formula>
    </cfRule>
    <cfRule type="cellIs" dxfId="32307" priority="599" operator="equal">
      <formula>0</formula>
    </cfRule>
    <cfRule type="cellIs" dxfId="32306" priority="600" operator="greaterThan">
      <formula>0</formula>
    </cfRule>
  </conditionalFormatting>
  <conditionalFormatting sqref="G27:G28">
    <cfRule type="cellIs" dxfId="32305" priority="593" operator="equal">
      <formula>"PMS"</formula>
    </cfRule>
    <cfRule type="containsText" dxfId="32304" priority="594" operator="containsText" text="CMS">
      <formula>NOT(ISERROR(SEARCH("CMS",G27)))</formula>
    </cfRule>
    <cfRule type="cellIs" dxfId="32303" priority="595" operator="equal">
      <formula>0</formula>
    </cfRule>
    <cfRule type="cellIs" dxfId="32302" priority="596" operator="greaterThan">
      <formula>0</formula>
    </cfRule>
  </conditionalFormatting>
  <conditionalFormatting sqref="G31">
    <cfRule type="cellIs" dxfId="32301" priority="585" operator="equal">
      <formula>"PMS"</formula>
    </cfRule>
    <cfRule type="containsText" dxfId="32300" priority="586" operator="containsText" text="CMS">
      <formula>NOT(ISERROR(SEARCH("CMS",G31)))</formula>
    </cfRule>
    <cfRule type="cellIs" dxfId="32299" priority="587" operator="equal">
      <formula>0</formula>
    </cfRule>
    <cfRule type="cellIs" dxfId="32298" priority="588" operator="greaterThan">
      <formula>0</formula>
    </cfRule>
    <cfRule type="cellIs" dxfId="32297" priority="589" operator="equal">
      <formula>"PMS"</formula>
    </cfRule>
    <cfRule type="containsText" dxfId="32296" priority="590" operator="containsText" text="CMS">
      <formula>NOT(ISERROR(SEARCH("CMS",G31)))</formula>
    </cfRule>
    <cfRule type="cellIs" dxfId="32295" priority="591" operator="equal">
      <formula>0</formula>
    </cfRule>
    <cfRule type="cellIs" dxfId="32294" priority="592" operator="greaterThan">
      <formula>0</formula>
    </cfRule>
  </conditionalFormatting>
  <conditionalFormatting sqref="G31">
    <cfRule type="cellIs" dxfId="32293" priority="581" operator="equal">
      <formula>"PMS"</formula>
    </cfRule>
    <cfRule type="containsText" dxfId="32292" priority="582" operator="containsText" text="CMS">
      <formula>NOT(ISERROR(SEARCH("CMS",G31)))</formula>
    </cfRule>
    <cfRule type="cellIs" dxfId="32291" priority="583" operator="equal">
      <formula>0</formula>
    </cfRule>
    <cfRule type="cellIs" dxfId="32290" priority="584" operator="greaterThan">
      <formula>0</formula>
    </cfRule>
  </conditionalFormatting>
  <conditionalFormatting sqref="G31">
    <cfRule type="cellIs" dxfId="32289" priority="577" operator="equal">
      <formula>"PMS"</formula>
    </cfRule>
    <cfRule type="containsText" dxfId="32288" priority="578" operator="containsText" text="CMS">
      <formula>NOT(ISERROR(SEARCH("CMS",G31)))</formula>
    </cfRule>
    <cfRule type="cellIs" dxfId="32287" priority="579" operator="equal">
      <formula>0</formula>
    </cfRule>
    <cfRule type="cellIs" dxfId="32286" priority="580" operator="greaterThan">
      <formula>0</formula>
    </cfRule>
  </conditionalFormatting>
  <conditionalFormatting sqref="G34">
    <cfRule type="cellIs" dxfId="32285" priority="569" operator="equal">
      <formula>"PMS"</formula>
    </cfRule>
    <cfRule type="containsText" dxfId="32284" priority="570" operator="containsText" text="CMS">
      <formula>NOT(ISERROR(SEARCH("CMS",G34)))</formula>
    </cfRule>
    <cfRule type="cellIs" dxfId="32283" priority="571" operator="equal">
      <formula>0</formula>
    </cfRule>
    <cfRule type="cellIs" dxfId="32282" priority="572" operator="greaterThan">
      <formula>0</formula>
    </cfRule>
    <cfRule type="cellIs" dxfId="32281" priority="573" operator="equal">
      <formula>"PMS"</formula>
    </cfRule>
    <cfRule type="containsText" dxfId="32280" priority="574" operator="containsText" text="CMS">
      <formula>NOT(ISERROR(SEARCH("CMS",G34)))</formula>
    </cfRule>
    <cfRule type="cellIs" dxfId="32279" priority="575" operator="equal">
      <formula>0</formula>
    </cfRule>
    <cfRule type="cellIs" dxfId="32278" priority="576" operator="greaterThan">
      <formula>0</formula>
    </cfRule>
  </conditionalFormatting>
  <conditionalFormatting sqref="G34">
    <cfRule type="cellIs" dxfId="32277" priority="565" operator="equal">
      <formula>"PMS"</formula>
    </cfRule>
    <cfRule type="containsText" dxfId="32276" priority="566" operator="containsText" text="CMS">
      <formula>NOT(ISERROR(SEARCH("CMS",G34)))</formula>
    </cfRule>
    <cfRule type="cellIs" dxfId="32275" priority="567" operator="equal">
      <formula>0</formula>
    </cfRule>
    <cfRule type="cellIs" dxfId="32274" priority="568" operator="greaterThan">
      <formula>0</formula>
    </cfRule>
  </conditionalFormatting>
  <conditionalFormatting sqref="G34">
    <cfRule type="cellIs" dxfId="32273" priority="561" operator="equal">
      <formula>"PMS"</formula>
    </cfRule>
    <cfRule type="containsText" dxfId="32272" priority="562" operator="containsText" text="CMS">
      <formula>NOT(ISERROR(SEARCH("CMS",G34)))</formula>
    </cfRule>
    <cfRule type="cellIs" dxfId="32271" priority="563" operator="equal">
      <formula>0</formula>
    </cfRule>
    <cfRule type="cellIs" dxfId="32270" priority="564" operator="greaterThan">
      <formula>0</formula>
    </cfRule>
  </conditionalFormatting>
  <conditionalFormatting sqref="G56">
    <cfRule type="cellIs" dxfId="32269" priority="553" operator="equal">
      <formula>"PMS"</formula>
    </cfRule>
    <cfRule type="containsText" dxfId="32268" priority="554" operator="containsText" text="CMS">
      <formula>NOT(ISERROR(SEARCH("CMS",G56)))</formula>
    </cfRule>
    <cfRule type="cellIs" dxfId="32267" priority="555" operator="equal">
      <formula>0</formula>
    </cfRule>
    <cfRule type="cellIs" dxfId="32266" priority="556" operator="greaterThan">
      <formula>0</formula>
    </cfRule>
    <cfRule type="cellIs" dxfId="32265" priority="557" operator="equal">
      <formula>"PMS"</formula>
    </cfRule>
    <cfRule type="containsText" dxfId="32264" priority="558" operator="containsText" text="CMS">
      <formula>NOT(ISERROR(SEARCH("CMS",G56)))</formula>
    </cfRule>
    <cfRule type="cellIs" dxfId="32263" priority="559" operator="equal">
      <formula>0</formula>
    </cfRule>
    <cfRule type="cellIs" dxfId="32262" priority="560" operator="greaterThan">
      <formula>0</formula>
    </cfRule>
  </conditionalFormatting>
  <conditionalFormatting sqref="G56">
    <cfRule type="cellIs" dxfId="32261" priority="549" operator="equal">
      <formula>"PMS"</formula>
    </cfRule>
    <cfRule type="containsText" dxfId="32260" priority="550" operator="containsText" text="CMS">
      <formula>NOT(ISERROR(SEARCH("CMS",G56)))</formula>
    </cfRule>
    <cfRule type="cellIs" dxfId="32259" priority="551" operator="equal">
      <formula>0</formula>
    </cfRule>
    <cfRule type="cellIs" dxfId="32258" priority="552" operator="greaterThan">
      <formula>0</formula>
    </cfRule>
  </conditionalFormatting>
  <conditionalFormatting sqref="G56">
    <cfRule type="cellIs" dxfId="32257" priority="545" operator="equal">
      <formula>"PMS"</formula>
    </cfRule>
    <cfRule type="containsText" dxfId="32256" priority="546" operator="containsText" text="CMS">
      <formula>NOT(ISERROR(SEARCH("CMS",G56)))</formula>
    </cfRule>
    <cfRule type="cellIs" dxfId="32255" priority="547" operator="equal">
      <formula>0</formula>
    </cfRule>
    <cfRule type="cellIs" dxfId="32254" priority="548" operator="greaterThan">
      <formula>0</formula>
    </cfRule>
  </conditionalFormatting>
  <conditionalFormatting sqref="G56">
    <cfRule type="cellIs" dxfId="32253" priority="541" operator="equal">
      <formula>"PMS"</formula>
    </cfRule>
    <cfRule type="containsText" dxfId="32252" priority="542" operator="containsText" text="CMS">
      <formula>NOT(ISERROR(SEARCH("CMS",G56)))</formula>
    </cfRule>
    <cfRule type="cellIs" dxfId="32251" priority="543" operator="equal">
      <formula>0</formula>
    </cfRule>
    <cfRule type="cellIs" dxfId="32250" priority="544" operator="greaterThan">
      <formula>0</formula>
    </cfRule>
  </conditionalFormatting>
  <conditionalFormatting sqref="G56">
    <cfRule type="cellIs" dxfId="32249" priority="537" operator="equal">
      <formula>"PMS"</formula>
    </cfRule>
    <cfRule type="containsText" dxfId="32248" priority="538" operator="containsText" text="CMS">
      <formula>NOT(ISERROR(SEARCH("CMS",G56)))</formula>
    </cfRule>
    <cfRule type="cellIs" dxfId="32247" priority="539" operator="equal">
      <formula>0</formula>
    </cfRule>
    <cfRule type="cellIs" dxfId="32246" priority="540" operator="greaterThan">
      <formula>0</formula>
    </cfRule>
  </conditionalFormatting>
  <conditionalFormatting sqref="G56">
    <cfRule type="cellIs" dxfId="32245" priority="533" operator="equal">
      <formula>"PMS"</formula>
    </cfRule>
    <cfRule type="containsText" dxfId="32244" priority="534" operator="containsText" text="CMS">
      <formula>NOT(ISERROR(SEARCH("CMS",G56)))</formula>
    </cfRule>
    <cfRule type="cellIs" dxfId="32243" priority="535" operator="equal">
      <formula>0</formula>
    </cfRule>
    <cfRule type="cellIs" dxfId="32242" priority="536" operator="greaterThan">
      <formula>0</formula>
    </cfRule>
  </conditionalFormatting>
  <conditionalFormatting sqref="G56">
    <cfRule type="cellIs" dxfId="32241" priority="529" operator="equal">
      <formula>"PMS"</formula>
    </cfRule>
    <cfRule type="containsText" dxfId="32240" priority="530" operator="containsText" text="CMS">
      <formula>NOT(ISERROR(SEARCH("CMS",G56)))</formula>
    </cfRule>
    <cfRule type="cellIs" dxfId="32239" priority="531" operator="equal">
      <formula>0</formula>
    </cfRule>
    <cfRule type="cellIs" dxfId="32238" priority="532" operator="greaterThan">
      <formula>0</formula>
    </cfRule>
  </conditionalFormatting>
  <conditionalFormatting sqref="G61:G62">
    <cfRule type="cellIs" dxfId="32237" priority="521" operator="equal">
      <formula>"PMS"</formula>
    </cfRule>
    <cfRule type="containsText" dxfId="32236" priority="522" operator="containsText" text="CMS">
      <formula>NOT(ISERROR(SEARCH("CMS",G61)))</formula>
    </cfRule>
    <cfRule type="cellIs" dxfId="32235" priority="523" operator="equal">
      <formula>0</formula>
    </cfRule>
    <cfRule type="cellIs" dxfId="32234" priority="524" operator="greaterThan">
      <formula>0</formula>
    </cfRule>
    <cfRule type="cellIs" dxfId="32233" priority="525" operator="equal">
      <formula>"PMS"</formula>
    </cfRule>
    <cfRule type="containsText" dxfId="32232" priority="526" operator="containsText" text="CMS">
      <formula>NOT(ISERROR(SEARCH("CMS",G61)))</formula>
    </cfRule>
    <cfRule type="cellIs" dxfId="32231" priority="527" operator="equal">
      <formula>0</formula>
    </cfRule>
    <cfRule type="cellIs" dxfId="32230" priority="528" operator="greaterThan">
      <formula>0</formula>
    </cfRule>
  </conditionalFormatting>
  <conditionalFormatting sqref="G61:G62">
    <cfRule type="cellIs" dxfId="32229" priority="517" operator="equal">
      <formula>"PMS"</formula>
    </cfRule>
    <cfRule type="containsText" dxfId="32228" priority="518" operator="containsText" text="CMS">
      <formula>NOT(ISERROR(SEARCH("CMS",G61)))</formula>
    </cfRule>
    <cfRule type="cellIs" dxfId="32227" priority="519" operator="equal">
      <formula>0</formula>
    </cfRule>
    <cfRule type="cellIs" dxfId="32226" priority="520" operator="greaterThan">
      <formula>0</formula>
    </cfRule>
  </conditionalFormatting>
  <conditionalFormatting sqref="G65:G70">
    <cfRule type="cellIs" dxfId="32225" priority="509" operator="equal">
      <formula>"PMS"</formula>
    </cfRule>
    <cfRule type="containsText" dxfId="32224" priority="510" operator="containsText" text="CMS">
      <formula>NOT(ISERROR(SEARCH("CMS",G65)))</formula>
    </cfRule>
    <cfRule type="cellIs" dxfId="32223" priority="511" operator="equal">
      <formula>0</formula>
    </cfRule>
    <cfRule type="cellIs" dxfId="32222" priority="512" operator="greaterThan">
      <formula>0</formula>
    </cfRule>
    <cfRule type="cellIs" dxfId="32221" priority="513" operator="equal">
      <formula>"PMS"</formula>
    </cfRule>
    <cfRule type="containsText" dxfId="32220" priority="514" operator="containsText" text="CMS">
      <formula>NOT(ISERROR(SEARCH("CMS",G65)))</formula>
    </cfRule>
    <cfRule type="cellIs" dxfId="32219" priority="515" operator="equal">
      <formula>0</formula>
    </cfRule>
    <cfRule type="cellIs" dxfId="32218" priority="516" operator="greaterThan">
      <formula>0</formula>
    </cfRule>
  </conditionalFormatting>
  <conditionalFormatting sqref="G65:G70">
    <cfRule type="cellIs" dxfId="32217" priority="505" operator="equal">
      <formula>"PMS"</formula>
    </cfRule>
    <cfRule type="containsText" dxfId="32216" priority="506" operator="containsText" text="CMS">
      <formula>NOT(ISERROR(SEARCH("CMS",G65)))</formula>
    </cfRule>
    <cfRule type="cellIs" dxfId="32215" priority="507" operator="equal">
      <formula>0</formula>
    </cfRule>
    <cfRule type="cellIs" dxfId="32214" priority="508" operator="greaterThan">
      <formula>0</formula>
    </cfRule>
  </conditionalFormatting>
  <conditionalFormatting sqref="G65:G70">
    <cfRule type="cellIs" dxfId="32213" priority="501" operator="equal">
      <formula>"PMS"</formula>
    </cfRule>
    <cfRule type="containsText" dxfId="32212" priority="502" operator="containsText" text="CMS">
      <formula>NOT(ISERROR(SEARCH("CMS",G65)))</formula>
    </cfRule>
    <cfRule type="cellIs" dxfId="32211" priority="503" operator="equal">
      <formula>0</formula>
    </cfRule>
    <cfRule type="cellIs" dxfId="32210" priority="504" operator="greaterThan">
      <formula>0</formula>
    </cfRule>
  </conditionalFormatting>
  <conditionalFormatting sqref="G47">
    <cfRule type="cellIs" dxfId="32209" priority="481" operator="equal">
      <formula>"PMS"</formula>
    </cfRule>
    <cfRule type="containsText" dxfId="32208" priority="482" operator="containsText" text="CMS">
      <formula>NOT(ISERROR(SEARCH("CMS",G47)))</formula>
    </cfRule>
    <cfRule type="cellIs" dxfId="32207" priority="483" operator="equal">
      <formula>0</formula>
    </cfRule>
    <cfRule type="cellIs" dxfId="32206" priority="484" operator="greaterThan">
      <formula>0</formula>
    </cfRule>
    <cfRule type="cellIs" dxfId="32205" priority="485" operator="equal">
      <formula>"PMS"</formula>
    </cfRule>
    <cfRule type="containsText" dxfId="32204" priority="486" operator="containsText" text="CMS">
      <formula>NOT(ISERROR(SEARCH("CMS",G47)))</formula>
    </cfRule>
    <cfRule type="cellIs" dxfId="32203" priority="487" operator="equal">
      <formula>0</formula>
    </cfRule>
    <cfRule type="cellIs" dxfId="32202" priority="488" operator="greaterThan">
      <formula>0</formula>
    </cfRule>
  </conditionalFormatting>
  <conditionalFormatting sqref="G47">
    <cfRule type="cellIs" dxfId="32201" priority="477" operator="equal">
      <formula>"PMS"</formula>
    </cfRule>
    <cfRule type="containsText" dxfId="32200" priority="478" operator="containsText" text="CMS">
      <formula>NOT(ISERROR(SEARCH("CMS",G47)))</formula>
    </cfRule>
    <cfRule type="cellIs" dxfId="32199" priority="479" operator="equal">
      <formula>0</formula>
    </cfRule>
    <cfRule type="cellIs" dxfId="32198" priority="480" operator="greaterThan">
      <formula>0</formula>
    </cfRule>
  </conditionalFormatting>
  <conditionalFormatting sqref="G47">
    <cfRule type="cellIs" dxfId="32197" priority="473" operator="equal">
      <formula>"PMS"</formula>
    </cfRule>
    <cfRule type="containsText" dxfId="32196" priority="474" operator="containsText" text="CMS">
      <formula>NOT(ISERROR(SEARCH("CMS",G47)))</formula>
    </cfRule>
    <cfRule type="cellIs" dxfId="32195" priority="475" operator="equal">
      <formula>0</formula>
    </cfRule>
    <cfRule type="cellIs" dxfId="32194" priority="476" operator="greaterThan">
      <formula>0</formula>
    </cfRule>
  </conditionalFormatting>
  <conditionalFormatting sqref="G44:G45">
    <cfRule type="cellIs" dxfId="32193" priority="465" operator="equal">
      <formula>"PMS"</formula>
    </cfRule>
    <cfRule type="containsText" dxfId="32192" priority="466" operator="containsText" text="CMS">
      <formula>NOT(ISERROR(SEARCH("CMS",G44)))</formula>
    </cfRule>
    <cfRule type="cellIs" dxfId="32191" priority="467" operator="equal">
      <formula>0</formula>
    </cfRule>
    <cfRule type="cellIs" dxfId="32190" priority="468" operator="greaterThan">
      <formula>0</formula>
    </cfRule>
    <cfRule type="cellIs" dxfId="32189" priority="469" operator="equal">
      <formula>"PMS"</formula>
    </cfRule>
    <cfRule type="containsText" dxfId="32188" priority="470" operator="containsText" text="CMS">
      <formula>NOT(ISERROR(SEARCH("CMS",G44)))</formula>
    </cfRule>
    <cfRule type="cellIs" dxfId="32187" priority="471" operator="equal">
      <formula>0</formula>
    </cfRule>
    <cfRule type="cellIs" dxfId="32186" priority="472" operator="greaterThan">
      <formula>0</formula>
    </cfRule>
  </conditionalFormatting>
  <conditionalFormatting sqref="G44:G45">
    <cfRule type="cellIs" dxfId="32185" priority="461" operator="equal">
      <formula>"PMS"</formula>
    </cfRule>
    <cfRule type="containsText" dxfId="32184" priority="462" operator="containsText" text="CMS">
      <formula>NOT(ISERROR(SEARCH("CMS",G44)))</formula>
    </cfRule>
    <cfRule type="cellIs" dxfId="32183" priority="463" operator="equal">
      <formula>0</formula>
    </cfRule>
    <cfRule type="cellIs" dxfId="32182" priority="464" operator="greaterThan">
      <formula>0</formula>
    </cfRule>
  </conditionalFormatting>
  <conditionalFormatting sqref="G44:G45">
    <cfRule type="cellIs" dxfId="32181" priority="457" operator="equal">
      <formula>"PMS"</formula>
    </cfRule>
    <cfRule type="containsText" dxfId="32180" priority="458" operator="containsText" text="CMS">
      <formula>NOT(ISERROR(SEARCH("CMS",G44)))</formula>
    </cfRule>
    <cfRule type="cellIs" dxfId="32179" priority="459" operator="equal">
      <formula>0</formula>
    </cfRule>
    <cfRule type="cellIs" dxfId="32178" priority="460" operator="greaterThan">
      <formula>0</formula>
    </cfRule>
  </conditionalFormatting>
  <conditionalFormatting sqref="G71:G72">
    <cfRule type="cellIs" dxfId="32177" priority="449" operator="equal">
      <formula>"PMS"</formula>
    </cfRule>
    <cfRule type="containsText" dxfId="32176" priority="450" operator="containsText" text="CMS">
      <formula>NOT(ISERROR(SEARCH("CMS",G71)))</formula>
    </cfRule>
    <cfRule type="cellIs" dxfId="32175" priority="451" operator="equal">
      <formula>0</formula>
    </cfRule>
    <cfRule type="cellIs" dxfId="32174" priority="452" operator="greaterThan">
      <formula>0</formula>
    </cfRule>
    <cfRule type="cellIs" dxfId="32173" priority="453" operator="equal">
      <formula>"PMS"</formula>
    </cfRule>
    <cfRule type="containsText" dxfId="32172" priority="454" operator="containsText" text="CMS">
      <formula>NOT(ISERROR(SEARCH("CMS",G71)))</formula>
    </cfRule>
    <cfRule type="cellIs" dxfId="32171" priority="455" operator="equal">
      <formula>0</formula>
    </cfRule>
    <cfRule type="cellIs" dxfId="32170" priority="456" operator="greaterThan">
      <formula>0</formula>
    </cfRule>
  </conditionalFormatting>
  <conditionalFormatting sqref="G71:G72">
    <cfRule type="cellIs" dxfId="32169" priority="445" operator="equal">
      <formula>"PMS"</formula>
    </cfRule>
    <cfRule type="containsText" dxfId="32168" priority="446" operator="containsText" text="CMS">
      <formula>NOT(ISERROR(SEARCH("CMS",G71)))</formula>
    </cfRule>
    <cfRule type="cellIs" dxfId="32167" priority="447" operator="equal">
      <formula>0</formula>
    </cfRule>
    <cfRule type="cellIs" dxfId="32166" priority="448" operator="greaterThan">
      <formula>0</formula>
    </cfRule>
  </conditionalFormatting>
  <conditionalFormatting sqref="G71:G72">
    <cfRule type="cellIs" dxfId="32165" priority="441" operator="equal">
      <formula>"PMS"</formula>
    </cfRule>
    <cfRule type="containsText" dxfId="32164" priority="442" operator="containsText" text="CMS">
      <formula>NOT(ISERROR(SEARCH("CMS",G71)))</formula>
    </cfRule>
    <cfRule type="cellIs" dxfId="32163" priority="443" operator="equal">
      <formula>0</formula>
    </cfRule>
    <cfRule type="cellIs" dxfId="32162" priority="444" operator="greaterThan">
      <formula>0</formula>
    </cfRule>
  </conditionalFormatting>
  <conditionalFormatting sqref="I60:I62">
    <cfRule type="cellIs" dxfId="32161" priority="425" operator="equal">
      <formula>"PMS"</formula>
    </cfRule>
    <cfRule type="containsText" dxfId="32160" priority="426" operator="containsText" text="CMS">
      <formula>NOT(ISERROR(SEARCH("CMS",I60)))</formula>
    </cfRule>
    <cfRule type="cellIs" dxfId="32159" priority="427" operator="equal">
      <formula>0</formula>
    </cfRule>
    <cfRule type="cellIs" dxfId="32158" priority="428" operator="greaterThan">
      <formula>0</formula>
    </cfRule>
    <cfRule type="cellIs" dxfId="32157" priority="429" operator="equal">
      <formula>"PMS"</formula>
    </cfRule>
    <cfRule type="containsText" dxfId="32156" priority="430" operator="containsText" text="CMS">
      <formula>NOT(ISERROR(SEARCH("CMS",I60)))</formula>
    </cfRule>
    <cfRule type="cellIs" dxfId="32155" priority="431" operator="equal">
      <formula>0</formula>
    </cfRule>
    <cfRule type="cellIs" dxfId="32154" priority="432" operator="greaterThan">
      <formula>0</formula>
    </cfRule>
  </conditionalFormatting>
  <conditionalFormatting sqref="K61">
    <cfRule type="cellIs" dxfId="32153" priority="221" operator="equal">
      <formula>"PMS"</formula>
    </cfRule>
    <cfRule type="containsText" dxfId="32152" priority="222" operator="containsText" text="CMS">
      <formula>NOT(ISERROR(SEARCH("CMS",K61)))</formula>
    </cfRule>
    <cfRule type="cellIs" dxfId="32151" priority="223" operator="equal">
      <formula>0</formula>
    </cfRule>
    <cfRule type="cellIs" dxfId="32150" priority="224" operator="greaterThan">
      <formula>0</formula>
    </cfRule>
    <cfRule type="cellIs" dxfId="32149" priority="225" operator="equal">
      <formula>"PMS"</formula>
    </cfRule>
    <cfRule type="containsText" dxfId="32148" priority="226" operator="containsText" text="CMS">
      <formula>NOT(ISERROR(SEARCH("CMS",K61)))</formula>
    </cfRule>
    <cfRule type="cellIs" dxfId="32147" priority="227" operator="equal">
      <formula>0</formula>
    </cfRule>
    <cfRule type="cellIs" dxfId="32146" priority="228" operator="greaterThan">
      <formula>0</formula>
    </cfRule>
  </conditionalFormatting>
  <conditionalFormatting sqref="F20:F21 F31 F27:F28 F24 F65 F13:F16 F34:F57 F60:F62 F71:F72 F76:F77">
    <cfRule type="cellIs" dxfId="32145" priority="213" operator="equal">
      <formula>"PMS"</formula>
    </cfRule>
    <cfRule type="containsText" dxfId="32144" priority="214" operator="containsText" text="CMS">
      <formula>NOT(ISERROR(SEARCH("CMS",F13)))</formula>
    </cfRule>
    <cfRule type="cellIs" dxfId="32143" priority="215" operator="equal">
      <formula>0</formula>
    </cfRule>
    <cfRule type="cellIs" dxfId="32142" priority="216" operator="greaterThan">
      <formula>0</formula>
    </cfRule>
    <cfRule type="cellIs" dxfId="32141" priority="217" operator="equal">
      <formula>"PMS"</formula>
    </cfRule>
    <cfRule type="containsText" dxfId="32140" priority="218" operator="containsText" text="CMS">
      <formula>NOT(ISERROR(SEARCH("CMS",F13)))</formula>
    </cfRule>
    <cfRule type="cellIs" dxfId="32139" priority="219" operator="equal">
      <formula>0</formula>
    </cfRule>
    <cfRule type="cellIs" dxfId="32138" priority="220" operator="greaterThan">
      <formula>0</formula>
    </cfRule>
  </conditionalFormatting>
  <conditionalFormatting sqref="F65 F60:F62 F71:F72 F76:F77">
    <cfRule type="cellIs" dxfId="32137" priority="209" operator="equal">
      <formula>"PMS"</formula>
    </cfRule>
    <cfRule type="containsText" dxfId="32136" priority="210" operator="containsText" text="CMS">
      <formula>NOT(ISERROR(SEARCH("CMS",F60)))</formula>
    </cfRule>
    <cfRule type="cellIs" dxfId="32135" priority="211" operator="equal">
      <formula>0</formula>
    </cfRule>
    <cfRule type="cellIs" dxfId="32134" priority="212" operator="greaterThan">
      <formula>0</formula>
    </cfRule>
  </conditionalFormatting>
  <conditionalFormatting sqref="F65 F71:F72">
    <cfRule type="cellIs" dxfId="32133" priority="205" operator="equal">
      <formula>"PMS"</formula>
    </cfRule>
    <cfRule type="containsText" dxfId="32132" priority="206" operator="containsText" text="CMS">
      <formula>NOT(ISERROR(SEARCH("CMS",F65)))</formula>
    </cfRule>
    <cfRule type="cellIs" dxfId="32131" priority="207" operator="equal">
      <formula>0</formula>
    </cfRule>
    <cfRule type="cellIs" dxfId="32130" priority="208" operator="greaterThan">
      <formula>0</formula>
    </cfRule>
  </conditionalFormatting>
  <conditionalFormatting sqref="F13:F16">
    <cfRule type="cellIs" dxfId="32129" priority="201" operator="equal">
      <formula>"PMS"</formula>
    </cfRule>
    <cfRule type="containsText" dxfId="32128" priority="202" operator="containsText" text="CMS">
      <formula>NOT(ISERROR(SEARCH("CMS",F13)))</formula>
    </cfRule>
    <cfRule type="cellIs" dxfId="32127" priority="203" operator="equal">
      <formula>0</formula>
    </cfRule>
    <cfRule type="cellIs" dxfId="32126" priority="204" operator="greaterThan">
      <formula>0</formula>
    </cfRule>
  </conditionalFormatting>
  <conditionalFormatting sqref="F13:F16">
    <cfRule type="cellIs" dxfId="32125" priority="197" operator="equal">
      <formula>"PMS"</formula>
    </cfRule>
    <cfRule type="containsText" dxfId="32124" priority="198" operator="containsText" text="CMS">
      <formula>NOT(ISERROR(SEARCH("CMS",F13)))</formula>
    </cfRule>
    <cfRule type="cellIs" dxfId="32123" priority="199" operator="equal">
      <formula>0</formula>
    </cfRule>
    <cfRule type="cellIs" dxfId="32122" priority="200" operator="greaterThan">
      <formula>0</formula>
    </cfRule>
  </conditionalFormatting>
  <conditionalFormatting sqref="F20:F21">
    <cfRule type="cellIs" dxfId="32121" priority="193" operator="equal">
      <formula>"PMS"</formula>
    </cfRule>
    <cfRule type="containsText" dxfId="32120" priority="194" operator="containsText" text="CMS">
      <formula>NOT(ISERROR(SEARCH("CMS",F20)))</formula>
    </cfRule>
    <cfRule type="cellIs" dxfId="32119" priority="195" operator="equal">
      <formula>0</formula>
    </cfRule>
    <cfRule type="cellIs" dxfId="32118" priority="196" operator="greaterThan">
      <formula>0</formula>
    </cfRule>
  </conditionalFormatting>
  <conditionalFormatting sqref="F20:F21">
    <cfRule type="cellIs" dxfId="32117" priority="189" operator="equal">
      <formula>"PMS"</formula>
    </cfRule>
    <cfRule type="containsText" dxfId="32116" priority="190" operator="containsText" text="CMS">
      <formula>NOT(ISERROR(SEARCH("CMS",F20)))</formula>
    </cfRule>
    <cfRule type="cellIs" dxfId="32115" priority="191" operator="equal">
      <formula>0</formula>
    </cfRule>
    <cfRule type="cellIs" dxfId="32114" priority="192" operator="greaterThan">
      <formula>0</formula>
    </cfRule>
  </conditionalFormatting>
  <conditionalFormatting sqref="F24">
    <cfRule type="cellIs" dxfId="32113" priority="185" operator="equal">
      <formula>"PMS"</formula>
    </cfRule>
    <cfRule type="containsText" dxfId="32112" priority="186" operator="containsText" text="CMS">
      <formula>NOT(ISERROR(SEARCH("CMS",F24)))</formula>
    </cfRule>
    <cfRule type="cellIs" dxfId="32111" priority="187" operator="equal">
      <formula>0</formula>
    </cfRule>
    <cfRule type="cellIs" dxfId="32110" priority="188" operator="greaterThan">
      <formula>0</formula>
    </cfRule>
  </conditionalFormatting>
  <conditionalFormatting sqref="F24">
    <cfRule type="cellIs" dxfId="32109" priority="181" operator="equal">
      <formula>"PMS"</formula>
    </cfRule>
    <cfRule type="containsText" dxfId="32108" priority="182" operator="containsText" text="CMS">
      <formula>NOT(ISERROR(SEARCH("CMS",F24)))</formula>
    </cfRule>
    <cfRule type="cellIs" dxfId="32107" priority="183" operator="equal">
      <formula>0</formula>
    </cfRule>
    <cfRule type="cellIs" dxfId="32106" priority="184" operator="greaterThan">
      <formula>0</formula>
    </cfRule>
  </conditionalFormatting>
  <conditionalFormatting sqref="F27:F28">
    <cfRule type="cellIs" dxfId="32105" priority="177" operator="equal">
      <formula>"PMS"</formula>
    </cfRule>
    <cfRule type="containsText" dxfId="32104" priority="178" operator="containsText" text="CMS">
      <formula>NOT(ISERROR(SEARCH("CMS",F27)))</formula>
    </cfRule>
    <cfRule type="cellIs" dxfId="32103" priority="179" operator="equal">
      <formula>0</formula>
    </cfRule>
    <cfRule type="cellIs" dxfId="32102" priority="180" operator="greaterThan">
      <formula>0</formula>
    </cfRule>
  </conditionalFormatting>
  <conditionalFormatting sqref="F27:F28">
    <cfRule type="cellIs" dxfId="32101" priority="173" operator="equal">
      <formula>"PMS"</formula>
    </cfRule>
    <cfRule type="containsText" dxfId="32100" priority="174" operator="containsText" text="CMS">
      <formula>NOT(ISERROR(SEARCH("CMS",F27)))</formula>
    </cfRule>
    <cfRule type="cellIs" dxfId="32099" priority="175" operator="equal">
      <formula>0</formula>
    </cfRule>
    <cfRule type="cellIs" dxfId="32098" priority="176" operator="greaterThan">
      <formula>0</formula>
    </cfRule>
  </conditionalFormatting>
  <conditionalFormatting sqref="F31">
    <cfRule type="cellIs" dxfId="32097" priority="169" operator="equal">
      <formula>"PMS"</formula>
    </cfRule>
    <cfRule type="containsText" dxfId="32096" priority="170" operator="containsText" text="CMS">
      <formula>NOT(ISERROR(SEARCH("CMS",F31)))</formula>
    </cfRule>
    <cfRule type="cellIs" dxfId="32095" priority="171" operator="equal">
      <formula>0</formula>
    </cfRule>
    <cfRule type="cellIs" dxfId="32094" priority="172" operator="greaterThan">
      <formula>0</formula>
    </cfRule>
  </conditionalFormatting>
  <conditionalFormatting sqref="F31">
    <cfRule type="cellIs" dxfId="32093" priority="165" operator="equal">
      <formula>"PMS"</formula>
    </cfRule>
    <cfRule type="containsText" dxfId="32092" priority="166" operator="containsText" text="CMS">
      <formula>NOT(ISERROR(SEARCH("CMS",F31)))</formula>
    </cfRule>
    <cfRule type="cellIs" dxfId="32091" priority="167" operator="equal">
      <formula>0</formula>
    </cfRule>
    <cfRule type="cellIs" dxfId="32090" priority="168" operator="greaterThan">
      <formula>0</formula>
    </cfRule>
  </conditionalFormatting>
  <conditionalFormatting sqref="F34:F57">
    <cfRule type="cellIs" dxfId="32089" priority="161" operator="equal">
      <formula>"PMS"</formula>
    </cfRule>
    <cfRule type="containsText" dxfId="32088" priority="162" operator="containsText" text="CMS">
      <formula>NOT(ISERROR(SEARCH("CMS",F34)))</formula>
    </cfRule>
    <cfRule type="cellIs" dxfId="32087" priority="163" operator="equal">
      <formula>0</formula>
    </cfRule>
    <cfRule type="cellIs" dxfId="32086" priority="164" operator="greaterThan">
      <formula>0</formula>
    </cfRule>
  </conditionalFormatting>
  <conditionalFormatting sqref="F34:F57">
    <cfRule type="cellIs" dxfId="32085" priority="157" operator="equal">
      <formula>"PMS"</formula>
    </cfRule>
    <cfRule type="containsText" dxfId="32084" priority="158" operator="containsText" text="CMS">
      <formula>NOT(ISERROR(SEARCH("CMS",F34)))</formula>
    </cfRule>
    <cfRule type="cellIs" dxfId="32083" priority="159" operator="equal">
      <formula>0</formula>
    </cfRule>
    <cfRule type="cellIs" dxfId="32082" priority="160" operator="greaterThan">
      <formula>0</formula>
    </cfRule>
  </conditionalFormatting>
  <conditionalFormatting sqref="F13:F16">
    <cfRule type="cellIs" dxfId="32081" priority="153" operator="equal">
      <formula>"PMS"</formula>
    </cfRule>
    <cfRule type="containsText" dxfId="32080" priority="154" operator="containsText" text="CMS">
      <formula>NOT(ISERROR(SEARCH("CMS",F13)))</formula>
    </cfRule>
    <cfRule type="cellIs" dxfId="32079" priority="155" operator="equal">
      <formula>0</formula>
    </cfRule>
    <cfRule type="cellIs" dxfId="32078" priority="156" operator="greaterThan">
      <formula>0</formula>
    </cfRule>
  </conditionalFormatting>
  <conditionalFormatting sqref="F13:F16">
    <cfRule type="cellIs" dxfId="32077" priority="149" operator="equal">
      <formula>"PMS"</formula>
    </cfRule>
    <cfRule type="containsText" dxfId="32076" priority="150" operator="containsText" text="CMS">
      <formula>NOT(ISERROR(SEARCH("CMS",F13)))</formula>
    </cfRule>
    <cfRule type="cellIs" dxfId="32075" priority="151" operator="equal">
      <formula>0</formula>
    </cfRule>
    <cfRule type="cellIs" dxfId="32074" priority="152" operator="greaterThan">
      <formula>0</formula>
    </cfRule>
  </conditionalFormatting>
  <conditionalFormatting sqref="F56">
    <cfRule type="cellIs" dxfId="32073" priority="145" operator="equal">
      <formula>"PMS"</formula>
    </cfRule>
    <cfRule type="containsText" dxfId="32072" priority="146" operator="containsText" text="CMS">
      <formula>NOT(ISERROR(SEARCH("CMS",F56)))</formula>
    </cfRule>
    <cfRule type="cellIs" dxfId="32071" priority="147" operator="equal">
      <formula>0</formula>
    </cfRule>
    <cfRule type="cellIs" dxfId="32070" priority="148" operator="greaterThan">
      <formula>0</formula>
    </cfRule>
  </conditionalFormatting>
  <conditionalFormatting sqref="F56">
    <cfRule type="cellIs" dxfId="32069" priority="141" operator="equal">
      <formula>"PMS"</formula>
    </cfRule>
    <cfRule type="containsText" dxfId="32068" priority="142" operator="containsText" text="CMS">
      <formula>NOT(ISERROR(SEARCH("CMS",F56)))</formula>
    </cfRule>
    <cfRule type="cellIs" dxfId="32067" priority="143" operator="equal">
      <formula>0</formula>
    </cfRule>
    <cfRule type="cellIs" dxfId="32066" priority="144" operator="greaterThan">
      <formula>0</formula>
    </cfRule>
  </conditionalFormatting>
  <conditionalFormatting sqref="F56">
    <cfRule type="cellIs" dxfId="32065" priority="137" operator="equal">
      <formula>"PMS"</formula>
    </cfRule>
    <cfRule type="containsText" dxfId="32064" priority="138" operator="containsText" text="CMS">
      <formula>NOT(ISERROR(SEARCH("CMS",F56)))</formula>
    </cfRule>
    <cfRule type="cellIs" dxfId="32063" priority="139" operator="equal">
      <formula>0</formula>
    </cfRule>
    <cfRule type="cellIs" dxfId="32062" priority="140" operator="greaterThan">
      <formula>0</formula>
    </cfRule>
  </conditionalFormatting>
  <conditionalFormatting sqref="F56">
    <cfRule type="cellIs" dxfId="32061" priority="133" operator="equal">
      <formula>"PMS"</formula>
    </cfRule>
    <cfRule type="containsText" dxfId="32060" priority="134" operator="containsText" text="CMS">
      <formula>NOT(ISERROR(SEARCH("CMS",F56)))</formula>
    </cfRule>
    <cfRule type="cellIs" dxfId="32059" priority="135" operator="equal">
      <formula>0</formula>
    </cfRule>
    <cfRule type="cellIs" dxfId="32058" priority="136" operator="greaterThan">
      <formula>0</formula>
    </cfRule>
  </conditionalFormatting>
  <conditionalFormatting sqref="F57">
    <cfRule type="cellIs" dxfId="32057" priority="129" operator="equal">
      <formula>"PMS"</formula>
    </cfRule>
    <cfRule type="containsText" dxfId="32056" priority="130" operator="containsText" text="CMS">
      <formula>NOT(ISERROR(SEARCH("CMS",F57)))</formula>
    </cfRule>
    <cfRule type="cellIs" dxfId="32055" priority="131" operator="equal">
      <formula>0</formula>
    </cfRule>
    <cfRule type="cellIs" dxfId="32054" priority="132" operator="greaterThan">
      <formula>0</formula>
    </cfRule>
  </conditionalFormatting>
  <conditionalFormatting sqref="F57">
    <cfRule type="cellIs" dxfId="32053" priority="125" operator="equal">
      <formula>"PMS"</formula>
    </cfRule>
    <cfRule type="containsText" dxfId="32052" priority="126" operator="containsText" text="CMS">
      <formula>NOT(ISERROR(SEARCH("CMS",F57)))</formula>
    </cfRule>
    <cfRule type="cellIs" dxfId="32051" priority="127" operator="equal">
      <formula>0</formula>
    </cfRule>
    <cfRule type="cellIs" dxfId="32050" priority="128" operator="greaterThan">
      <formula>0</formula>
    </cfRule>
  </conditionalFormatting>
  <conditionalFormatting sqref="F57">
    <cfRule type="cellIs" dxfId="32049" priority="121" operator="equal">
      <formula>"PMS"</formula>
    </cfRule>
    <cfRule type="containsText" dxfId="32048" priority="122" operator="containsText" text="CMS">
      <formula>NOT(ISERROR(SEARCH("CMS",F57)))</formula>
    </cfRule>
    <cfRule type="cellIs" dxfId="32047" priority="123" operator="equal">
      <formula>0</formula>
    </cfRule>
    <cfRule type="cellIs" dxfId="32046" priority="124" operator="greaterThan">
      <formula>0</formula>
    </cfRule>
  </conditionalFormatting>
  <conditionalFormatting sqref="F57">
    <cfRule type="cellIs" dxfId="32045" priority="117" operator="equal">
      <formula>"PMS"</formula>
    </cfRule>
    <cfRule type="containsText" dxfId="32044" priority="118" operator="containsText" text="CMS">
      <formula>NOT(ISERROR(SEARCH("CMS",F57)))</formula>
    </cfRule>
    <cfRule type="cellIs" dxfId="32043" priority="119" operator="equal">
      <formula>0</formula>
    </cfRule>
    <cfRule type="cellIs" dxfId="32042" priority="120" operator="greaterThan">
      <formula>0</formula>
    </cfRule>
  </conditionalFormatting>
  <conditionalFormatting sqref="F19">
    <cfRule type="cellIs" dxfId="32041" priority="113" operator="equal">
      <formula>"CMS"</formula>
    </cfRule>
    <cfRule type="cellIs" dxfId="32040" priority="114" operator="equal">
      <formula>"PMS"</formula>
    </cfRule>
    <cfRule type="cellIs" dxfId="32039" priority="115" operator="greaterThan">
      <formula>0</formula>
    </cfRule>
    <cfRule type="cellIs" dxfId="32038" priority="116" operator="equal">
      <formula>0</formula>
    </cfRule>
  </conditionalFormatting>
  <conditionalFormatting sqref="F66:F70">
    <cfRule type="cellIs" dxfId="32037" priority="105" operator="equal">
      <formula>"PMS"</formula>
    </cfRule>
    <cfRule type="containsText" dxfId="32036" priority="106" operator="containsText" text="CMS">
      <formula>NOT(ISERROR(SEARCH("CMS",F66)))</formula>
    </cfRule>
    <cfRule type="cellIs" dxfId="32035" priority="107" operator="equal">
      <formula>0</formula>
    </cfRule>
    <cfRule type="cellIs" dxfId="32034" priority="108" operator="greaterThan">
      <formula>0</formula>
    </cfRule>
    <cfRule type="cellIs" dxfId="32033" priority="109" operator="equal">
      <formula>"PMS"</formula>
    </cfRule>
    <cfRule type="containsText" dxfId="32032" priority="110" operator="containsText" text="CMS">
      <formula>NOT(ISERROR(SEARCH("CMS",F66)))</formula>
    </cfRule>
    <cfRule type="cellIs" dxfId="32031" priority="111" operator="equal">
      <formula>0</formula>
    </cfRule>
    <cfRule type="cellIs" dxfId="32030" priority="112" operator="greaterThan">
      <formula>0</formula>
    </cfRule>
  </conditionalFormatting>
  <conditionalFormatting sqref="F66:F70">
    <cfRule type="cellIs" dxfId="32029" priority="101" operator="equal">
      <formula>"PMS"</formula>
    </cfRule>
    <cfRule type="containsText" dxfId="32028" priority="102" operator="containsText" text="CMS">
      <formula>NOT(ISERROR(SEARCH("CMS",F66)))</formula>
    </cfRule>
    <cfRule type="cellIs" dxfId="32027" priority="103" operator="equal">
      <formula>0</formula>
    </cfRule>
    <cfRule type="cellIs" dxfId="32026" priority="104" operator="greaterThan">
      <formula>0</formula>
    </cfRule>
  </conditionalFormatting>
  <conditionalFormatting sqref="F66:F70">
    <cfRule type="cellIs" dxfId="32025" priority="97" operator="equal">
      <formula>"PMS"</formula>
    </cfRule>
    <cfRule type="containsText" dxfId="32024" priority="98" operator="containsText" text="CMS">
      <formula>NOT(ISERROR(SEARCH("CMS",F66)))</formula>
    </cfRule>
    <cfRule type="cellIs" dxfId="32023" priority="99" operator="equal">
      <formula>0</formula>
    </cfRule>
    <cfRule type="cellIs" dxfId="32022" priority="100" operator="greaterThan">
      <formula>0</formula>
    </cfRule>
  </conditionalFormatting>
  <conditionalFormatting sqref="F73">
    <cfRule type="cellIs" dxfId="32021" priority="89" operator="equal">
      <formula>"PMS"</formula>
    </cfRule>
    <cfRule type="containsText" dxfId="32020" priority="90" operator="containsText" text="CMS">
      <formula>NOT(ISERROR(SEARCH("CMS",F73)))</formula>
    </cfRule>
    <cfRule type="cellIs" dxfId="32019" priority="91" operator="equal">
      <formula>0</formula>
    </cfRule>
    <cfRule type="cellIs" dxfId="32018" priority="92" operator="greaterThan">
      <formula>0</formula>
    </cfRule>
    <cfRule type="cellIs" dxfId="32017" priority="93" operator="equal">
      <formula>"PMS"</formula>
    </cfRule>
    <cfRule type="containsText" dxfId="32016" priority="94" operator="containsText" text="CMS">
      <formula>NOT(ISERROR(SEARCH("CMS",F73)))</formula>
    </cfRule>
    <cfRule type="cellIs" dxfId="32015" priority="95" operator="equal">
      <formula>0</formula>
    </cfRule>
    <cfRule type="cellIs" dxfId="32014" priority="96" operator="greaterThan">
      <formula>0</formula>
    </cfRule>
  </conditionalFormatting>
  <conditionalFormatting sqref="F73">
    <cfRule type="cellIs" dxfId="32013" priority="85" operator="equal">
      <formula>"PMS"</formula>
    </cfRule>
    <cfRule type="containsText" dxfId="32012" priority="86" operator="containsText" text="CMS">
      <formula>NOT(ISERROR(SEARCH("CMS",F73)))</formula>
    </cfRule>
    <cfRule type="cellIs" dxfId="32011" priority="87" operator="equal">
      <formula>0</formula>
    </cfRule>
    <cfRule type="cellIs" dxfId="32010" priority="88" operator="greaterThan">
      <formula>0</formula>
    </cfRule>
  </conditionalFormatting>
  <conditionalFormatting sqref="F73">
    <cfRule type="cellIs" dxfId="32009" priority="81" operator="equal">
      <formula>"PMS"</formula>
    </cfRule>
    <cfRule type="containsText" dxfId="32008" priority="82" operator="containsText" text="CMS">
      <formula>NOT(ISERROR(SEARCH("CMS",F73)))</formula>
    </cfRule>
    <cfRule type="cellIs" dxfId="32007" priority="83" operator="equal">
      <formula>0</formula>
    </cfRule>
    <cfRule type="cellIs" dxfId="32006" priority="84" operator="greaterThan">
      <formula>0</formula>
    </cfRule>
  </conditionalFormatting>
  <conditionalFormatting sqref="G73">
    <cfRule type="cellIs" dxfId="32005" priority="57" operator="equal">
      <formula>"PMS"</formula>
    </cfRule>
    <cfRule type="containsText" dxfId="32004" priority="58" operator="containsText" text="CMS">
      <formula>NOT(ISERROR(SEARCH("CMS",G73)))</formula>
    </cfRule>
    <cfRule type="cellIs" dxfId="32003" priority="59" operator="equal">
      <formula>0</formula>
    </cfRule>
    <cfRule type="cellIs" dxfId="32002" priority="60" operator="greaterThan">
      <formula>0</formula>
    </cfRule>
    <cfRule type="cellIs" dxfId="32001" priority="61" operator="equal">
      <formula>"PMS"</formula>
    </cfRule>
    <cfRule type="containsText" dxfId="32000" priority="62" operator="containsText" text="CMS">
      <formula>NOT(ISERROR(SEARCH("CMS",G73)))</formula>
    </cfRule>
    <cfRule type="cellIs" dxfId="31999" priority="63" operator="equal">
      <formula>0</formula>
    </cfRule>
    <cfRule type="cellIs" dxfId="31998" priority="64" operator="greaterThan">
      <formula>0</formula>
    </cfRule>
  </conditionalFormatting>
  <conditionalFormatting sqref="G73">
    <cfRule type="cellIs" dxfId="31997" priority="53" operator="equal">
      <formula>"PMS"</formula>
    </cfRule>
    <cfRule type="containsText" dxfId="31996" priority="54" operator="containsText" text="CMS">
      <formula>NOT(ISERROR(SEARCH("CMS",G73)))</formula>
    </cfRule>
    <cfRule type="cellIs" dxfId="31995" priority="55" operator="equal">
      <formula>0</formula>
    </cfRule>
    <cfRule type="cellIs" dxfId="31994" priority="56" operator="greaterThan">
      <formula>0</formula>
    </cfRule>
  </conditionalFormatting>
  <conditionalFormatting sqref="G73">
    <cfRule type="cellIs" dxfId="31993" priority="49" operator="equal">
      <formula>"PMS"</formula>
    </cfRule>
    <cfRule type="containsText" dxfId="31992" priority="50" operator="containsText" text="CMS">
      <formula>NOT(ISERROR(SEARCH("CMS",G73)))</formula>
    </cfRule>
    <cfRule type="cellIs" dxfId="31991" priority="51" operator="equal">
      <formula>0</formula>
    </cfRule>
    <cfRule type="cellIs" dxfId="31990" priority="52" operator="greaterThan">
      <formula>0</formula>
    </cfRule>
  </conditionalFormatting>
  <conditionalFormatting sqref="O47">
    <cfRule type="cellIs" dxfId="31989" priority="45" operator="equal">
      <formula>"PMS"</formula>
    </cfRule>
    <cfRule type="containsText" dxfId="31988" priority="46" operator="containsText" text="CMS">
      <formula>NOT(ISERROR(SEARCH("CMS",O47)))</formula>
    </cfRule>
    <cfRule type="cellIs" dxfId="31987" priority="47" operator="equal">
      <formula>0</formula>
    </cfRule>
    <cfRule type="cellIs" dxfId="31986" priority="48" operator="greaterThan">
      <formula>0</formula>
    </cfRule>
  </conditionalFormatting>
  <conditionalFormatting sqref="O47">
    <cfRule type="cellIs" dxfId="31985" priority="41" operator="equal">
      <formula>"PMS"</formula>
    </cfRule>
    <cfRule type="containsText" dxfId="31984" priority="42" operator="containsText" text="CMS">
      <formula>NOT(ISERROR(SEARCH("CMS",O47)))</formula>
    </cfRule>
    <cfRule type="cellIs" dxfId="31983" priority="43" operator="equal">
      <formula>0</formula>
    </cfRule>
    <cfRule type="cellIs" dxfId="31982" priority="44" operator="greaterThan">
      <formula>0</formula>
    </cfRule>
  </conditionalFormatting>
  <conditionalFormatting sqref="O47">
    <cfRule type="cellIs" dxfId="31981" priority="37" operator="equal">
      <formula>"PMS"</formula>
    </cfRule>
    <cfRule type="containsText" dxfId="31980" priority="38" operator="containsText" text="CMS">
      <formula>NOT(ISERROR(SEARCH("CMS",O47)))</formula>
    </cfRule>
    <cfRule type="cellIs" dxfId="31979" priority="39" operator="equal">
      <formula>0</formula>
    </cfRule>
    <cfRule type="cellIs" dxfId="31978" priority="40" operator="greaterThan">
      <formula>0</formula>
    </cfRule>
  </conditionalFormatting>
  <conditionalFormatting sqref="O47">
    <cfRule type="cellIs" dxfId="31977" priority="33" operator="equal">
      <formula>"PMS"</formula>
    </cfRule>
    <cfRule type="containsText" dxfId="31976" priority="34" operator="containsText" text="CMS">
      <formula>NOT(ISERROR(SEARCH("CMS",O47)))</formula>
    </cfRule>
    <cfRule type="cellIs" dxfId="31975" priority="35" operator="equal">
      <formula>0</formula>
    </cfRule>
    <cfRule type="cellIs" dxfId="31974" priority="36" operator="greaterThan">
      <formula>0</formula>
    </cfRule>
  </conditionalFormatting>
  <conditionalFormatting sqref="O55">
    <cfRule type="cellIs" dxfId="31973" priority="29" operator="equal">
      <formula>"PMS"</formula>
    </cfRule>
    <cfRule type="containsText" dxfId="31972" priority="30" operator="containsText" text="CMS">
      <formula>NOT(ISERROR(SEARCH("CMS",O55)))</formula>
    </cfRule>
    <cfRule type="cellIs" dxfId="31971" priority="31" operator="equal">
      <formula>0</formula>
    </cfRule>
    <cfRule type="cellIs" dxfId="31970" priority="32" operator="greaterThan">
      <formula>0</formula>
    </cfRule>
  </conditionalFormatting>
  <conditionalFormatting sqref="O55">
    <cfRule type="cellIs" dxfId="31969" priority="25" operator="equal">
      <formula>"PMS"</formula>
    </cfRule>
    <cfRule type="containsText" dxfId="31968" priority="26" operator="containsText" text="CMS">
      <formula>NOT(ISERROR(SEARCH("CMS",O55)))</formula>
    </cfRule>
    <cfRule type="cellIs" dxfId="31967" priority="27" operator="equal">
      <formula>0</formula>
    </cfRule>
    <cfRule type="cellIs" dxfId="31966" priority="28" operator="greaterThan">
      <formula>0</formula>
    </cfRule>
  </conditionalFormatting>
  <conditionalFormatting sqref="O55">
    <cfRule type="cellIs" dxfId="31965" priority="21" operator="equal">
      <formula>"PMS"</formula>
    </cfRule>
    <cfRule type="containsText" dxfId="31964" priority="22" operator="containsText" text="CMS">
      <formula>NOT(ISERROR(SEARCH("CMS",O55)))</formula>
    </cfRule>
    <cfRule type="cellIs" dxfId="31963" priority="23" operator="equal">
      <formula>0</formula>
    </cfRule>
    <cfRule type="cellIs" dxfId="31962" priority="24" operator="greaterThan">
      <formula>0</formula>
    </cfRule>
  </conditionalFormatting>
  <conditionalFormatting sqref="O55">
    <cfRule type="cellIs" dxfId="31961" priority="17" operator="equal">
      <formula>"PMS"</formula>
    </cfRule>
    <cfRule type="containsText" dxfId="31960" priority="18" operator="containsText" text="CMS">
      <formula>NOT(ISERROR(SEARCH("CMS",O55)))</formula>
    </cfRule>
    <cfRule type="cellIs" dxfId="31959" priority="19" operator="equal">
      <formula>0</formula>
    </cfRule>
    <cfRule type="cellIs" dxfId="31958" priority="20" operator="greaterThan">
      <formula>0</formula>
    </cfRule>
  </conditionalFormatting>
  <conditionalFormatting sqref="O56">
    <cfRule type="cellIs" dxfId="31957" priority="13" operator="equal">
      <formula>"PMS"</formula>
    </cfRule>
    <cfRule type="containsText" dxfId="31956" priority="14" operator="containsText" text="CMS">
      <formula>NOT(ISERROR(SEARCH("CMS",O56)))</formula>
    </cfRule>
    <cfRule type="cellIs" dxfId="31955" priority="15" operator="equal">
      <formula>0</formula>
    </cfRule>
    <cfRule type="cellIs" dxfId="31954" priority="16" operator="greaterThan">
      <formula>0</formula>
    </cfRule>
  </conditionalFormatting>
  <conditionalFormatting sqref="O56">
    <cfRule type="cellIs" dxfId="31953" priority="9" operator="equal">
      <formula>"PMS"</formula>
    </cfRule>
    <cfRule type="containsText" dxfId="31952" priority="10" operator="containsText" text="CMS">
      <formula>NOT(ISERROR(SEARCH("CMS",O56)))</formula>
    </cfRule>
    <cfRule type="cellIs" dxfId="31951" priority="11" operator="equal">
      <formula>0</formula>
    </cfRule>
    <cfRule type="cellIs" dxfId="31950" priority="12" operator="greaterThan">
      <formula>0</formula>
    </cfRule>
  </conditionalFormatting>
  <conditionalFormatting sqref="O56">
    <cfRule type="cellIs" dxfId="31949" priority="5" operator="equal">
      <formula>"PMS"</formula>
    </cfRule>
    <cfRule type="containsText" dxfId="31948" priority="6" operator="containsText" text="CMS">
      <formula>NOT(ISERROR(SEARCH("CMS",O56)))</formula>
    </cfRule>
    <cfRule type="cellIs" dxfId="31947" priority="7" operator="equal">
      <formula>0</formula>
    </cfRule>
    <cfRule type="cellIs" dxfId="31946" priority="8" operator="greaterThan">
      <formula>0</formula>
    </cfRule>
  </conditionalFormatting>
  <conditionalFormatting sqref="O56">
    <cfRule type="cellIs" dxfId="31945" priority="1" operator="equal">
      <formula>"PMS"</formula>
    </cfRule>
    <cfRule type="containsText" dxfId="31944" priority="2" operator="containsText" text="CMS">
      <formula>NOT(ISERROR(SEARCH("CMS",O56)))</formula>
    </cfRule>
    <cfRule type="cellIs" dxfId="31943" priority="3" operator="equal">
      <formula>0</formula>
    </cfRule>
    <cfRule type="cellIs" dxfId="3194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63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61BF-6A94-48C8-B708-5370DC9968A8}">
  <sheetPr codeName="Sheet100"/>
  <dimension ref="A2:DT133"/>
  <sheetViews>
    <sheetView zoomScale="70" zoomScaleNormal="70" zoomScaleSheetLayoutView="51" zoomScalePageLayoutView="55" workbookViewId="0">
      <pane xSplit="5" ySplit="11" topLeftCell="F15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S79" sqref="S7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3,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583.80000000000041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6.6</v>
      </c>
      <c r="I13" s="71">
        <v>6.7</v>
      </c>
      <c r="J13" s="71">
        <v>6.6</v>
      </c>
      <c r="K13" s="71">
        <v>6.8</v>
      </c>
      <c r="L13" s="71">
        <v>6.7</v>
      </c>
      <c r="M13" s="71">
        <v>6.4</v>
      </c>
      <c r="N13" s="71">
        <v>6.6</v>
      </c>
      <c r="O13" s="219">
        <v>6.6</v>
      </c>
      <c r="P13" s="71">
        <v>6.6</v>
      </c>
      <c r="Q13" s="71">
        <v>6.7</v>
      </c>
      <c r="R13" s="71">
        <v>6.6</v>
      </c>
      <c r="S13" s="71">
        <v>6.6</v>
      </c>
      <c r="T13" s="71">
        <v>6.7</v>
      </c>
      <c r="U13" s="71">
        <v>6.6</v>
      </c>
      <c r="V13" s="71">
        <v>6.8</v>
      </c>
      <c r="W13" s="71">
        <v>6.6</v>
      </c>
      <c r="X13" s="71">
        <v>6.7</v>
      </c>
      <c r="Y13" s="71">
        <v>6.6</v>
      </c>
      <c r="Z13" s="71">
        <v>6.6</v>
      </c>
      <c r="AA13" s="71">
        <v>6.6</v>
      </c>
      <c r="AB13" s="71">
        <v>6.5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6.7</v>
      </c>
      <c r="G14" s="71"/>
      <c r="H14" s="71">
        <v>6.6</v>
      </c>
      <c r="I14" s="71">
        <v>6.7</v>
      </c>
      <c r="J14" s="71">
        <v>6.6</v>
      </c>
      <c r="K14" s="71">
        <v>6.8</v>
      </c>
      <c r="L14" s="71">
        <v>6.7</v>
      </c>
      <c r="M14" s="71">
        <v>6.4</v>
      </c>
      <c r="N14" s="71">
        <v>6.6</v>
      </c>
      <c r="O14" s="219">
        <v>6.6</v>
      </c>
      <c r="P14" s="71">
        <v>6.6</v>
      </c>
      <c r="Q14" s="71">
        <v>6.7</v>
      </c>
      <c r="R14" s="71">
        <v>6.6</v>
      </c>
      <c r="S14" s="71">
        <v>6.6</v>
      </c>
      <c r="T14" s="71">
        <v>6.7</v>
      </c>
      <c r="U14" s="71">
        <v>6.6</v>
      </c>
      <c r="V14" s="71">
        <v>6.8</v>
      </c>
      <c r="W14" s="71">
        <v>6.6</v>
      </c>
      <c r="X14" s="71">
        <v>6.7</v>
      </c>
      <c r="Y14" s="71">
        <v>6.6</v>
      </c>
      <c r="Z14" s="71">
        <v>6.6</v>
      </c>
      <c r="AA14" s="71">
        <v>6.6</v>
      </c>
      <c r="AB14" s="71">
        <v>6.5</v>
      </c>
      <c r="AC14" s="71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6.6</v>
      </c>
      <c r="H15" s="71"/>
      <c r="I15" s="71"/>
      <c r="J15" s="71">
        <v>6.6</v>
      </c>
      <c r="K15" s="71">
        <v>6.9</v>
      </c>
      <c r="L15" s="71">
        <v>6.7</v>
      </c>
      <c r="M15" s="71">
        <v>6.4</v>
      </c>
      <c r="N15" s="71">
        <v>6.6</v>
      </c>
      <c r="O15" s="219">
        <v>6.6</v>
      </c>
      <c r="P15" s="71">
        <v>6.6</v>
      </c>
      <c r="Q15" s="71">
        <v>6.7</v>
      </c>
      <c r="R15" s="71">
        <v>6.6</v>
      </c>
      <c r="S15" s="71">
        <v>6.6</v>
      </c>
      <c r="T15" s="71">
        <v>6.7</v>
      </c>
      <c r="U15" s="71">
        <v>6.6</v>
      </c>
      <c r="V15" s="71">
        <v>6.8</v>
      </c>
      <c r="W15" s="71">
        <v>6.6</v>
      </c>
      <c r="X15" s="71">
        <v>6.7</v>
      </c>
      <c r="Y15" s="71">
        <v>6.6</v>
      </c>
      <c r="Z15" s="71">
        <v>6.7</v>
      </c>
      <c r="AA15" s="71">
        <v>6.6</v>
      </c>
      <c r="AB15" s="71">
        <v>6.5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6.6</v>
      </c>
      <c r="I16" s="71">
        <v>6.7</v>
      </c>
      <c r="J16" s="71"/>
      <c r="K16" s="71"/>
      <c r="L16" s="71"/>
      <c r="M16" s="71"/>
      <c r="N16" s="71">
        <v>1.5</v>
      </c>
      <c r="O16" s="219">
        <v>6.6</v>
      </c>
      <c r="P16" s="71">
        <v>6.6</v>
      </c>
      <c r="Q16" s="71">
        <v>6.7</v>
      </c>
      <c r="R16" s="71">
        <v>6.6</v>
      </c>
      <c r="S16" s="71">
        <v>6.6</v>
      </c>
      <c r="T16" s="71">
        <v>6.7</v>
      </c>
      <c r="U16" s="71">
        <v>6.6</v>
      </c>
      <c r="V16" s="71">
        <v>6.8</v>
      </c>
      <c r="W16" s="71">
        <v>6.6</v>
      </c>
      <c r="X16" s="71">
        <v>6.7</v>
      </c>
      <c r="Y16" s="71">
        <v>6.6</v>
      </c>
      <c r="Z16" s="71">
        <v>6.7</v>
      </c>
      <c r="AA16" s="71">
        <v>6.6</v>
      </c>
      <c r="AB16" s="71">
        <v>6.5</v>
      </c>
      <c r="AC16" s="71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26.6</v>
      </c>
      <c r="G17" s="19">
        <f t="shared" si="0"/>
        <v>19.799999999999997</v>
      </c>
      <c r="H17" s="19">
        <f t="shared" si="0"/>
        <v>19.799999999999997</v>
      </c>
      <c r="I17" s="19">
        <f t="shared" si="0"/>
        <v>20.100000000000001</v>
      </c>
      <c r="J17" s="19">
        <f t="shared" si="0"/>
        <v>19.799999999999997</v>
      </c>
      <c r="K17" s="19">
        <f t="shared" si="0"/>
        <v>20.5</v>
      </c>
      <c r="L17" s="19">
        <f t="shared" si="0"/>
        <v>20.100000000000001</v>
      </c>
      <c r="M17" s="19">
        <f t="shared" si="0"/>
        <v>19.200000000000003</v>
      </c>
      <c r="N17" s="19">
        <f t="shared" si="0"/>
        <v>21.299999999999997</v>
      </c>
      <c r="O17" s="19">
        <f t="shared" si="0"/>
        <v>26.4</v>
      </c>
      <c r="P17" s="19">
        <f t="shared" si="0"/>
        <v>26.4</v>
      </c>
      <c r="Q17" s="19">
        <f t="shared" si="0"/>
        <v>26.8</v>
      </c>
      <c r="R17" s="19">
        <f t="shared" si="0"/>
        <v>26.4</v>
      </c>
      <c r="S17" s="19">
        <f t="shared" si="0"/>
        <v>26.4</v>
      </c>
      <c r="T17" s="19">
        <f t="shared" si="0"/>
        <v>26.8</v>
      </c>
      <c r="U17" s="19">
        <f t="shared" si="0"/>
        <v>26.4</v>
      </c>
      <c r="V17" s="19">
        <f t="shared" si="0"/>
        <v>27.2</v>
      </c>
      <c r="W17" s="19">
        <f t="shared" si="0"/>
        <v>26.4</v>
      </c>
      <c r="X17" s="19">
        <f t="shared" si="0"/>
        <v>26.8</v>
      </c>
      <c r="Y17" s="19">
        <f t="shared" si="0"/>
        <v>26.4</v>
      </c>
      <c r="Z17" s="19">
        <f t="shared" si="0"/>
        <v>26.599999999999998</v>
      </c>
      <c r="AA17" s="19">
        <f t="shared" si="0"/>
        <v>26.4</v>
      </c>
      <c r="AB17" s="19">
        <f t="shared" si="0"/>
        <v>26</v>
      </c>
      <c r="AC17" s="19">
        <f t="shared" si="0"/>
        <v>25.2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77.000000000000043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3.3</v>
      </c>
      <c r="K21" s="71">
        <v>3.3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3.2</v>
      </c>
      <c r="I22" s="19">
        <f t="shared" si="1"/>
        <v>3.2</v>
      </c>
      <c r="J22" s="19">
        <f t="shared" si="1"/>
        <v>3.3</v>
      </c>
      <c r="K22" s="19">
        <f t="shared" si="1"/>
        <v>3.3</v>
      </c>
      <c r="L22" s="19">
        <f t="shared" si="1"/>
        <v>3.2</v>
      </c>
      <c r="M22" s="19">
        <f t="shared" si="1"/>
        <v>3.2</v>
      </c>
      <c r="N22" s="19">
        <f t="shared" si="1"/>
        <v>3.2</v>
      </c>
      <c r="O22" s="19">
        <f t="shared" si="1"/>
        <v>3.2</v>
      </c>
      <c r="P22" s="19">
        <f t="shared" si="1"/>
        <v>3.2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24</v>
      </c>
      <c r="AG24" s="11">
        <f>COUNTIF(G24:AD24,$AJ$7)</f>
        <v>0</v>
      </c>
      <c r="AH24" s="11">
        <f>COUNT(F24:AC24)</f>
        <v>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188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</v>
      </c>
      <c r="I27" s="71">
        <v>3.8</v>
      </c>
      <c r="J27" s="71">
        <v>3.8</v>
      </c>
      <c r="K27" s="71">
        <v>4</v>
      </c>
      <c r="L27" s="71">
        <v>4.2</v>
      </c>
      <c r="M27" s="71">
        <v>3.9</v>
      </c>
      <c r="N27" s="71">
        <v>3.9</v>
      </c>
      <c r="O27" s="219">
        <v>3.9</v>
      </c>
      <c r="P27" s="71">
        <v>4.3</v>
      </c>
      <c r="Q27" s="71">
        <v>4.3</v>
      </c>
      <c r="R27" s="71">
        <v>4</v>
      </c>
      <c r="S27" s="71">
        <v>4.0999999999999996</v>
      </c>
      <c r="T27" s="71">
        <v>4.3</v>
      </c>
      <c r="U27" s="71">
        <v>4.2</v>
      </c>
      <c r="V27" s="71">
        <v>4.2</v>
      </c>
      <c r="W27" s="71">
        <v>4.2</v>
      </c>
      <c r="X27" s="71">
        <v>3.9</v>
      </c>
      <c r="Y27" s="71">
        <v>4</v>
      </c>
      <c r="Z27" s="71">
        <v>3.9</v>
      </c>
      <c r="AA27" s="71">
        <v>3.6</v>
      </c>
      <c r="AB27" s="71">
        <v>3.6</v>
      </c>
      <c r="AC27" s="71">
        <v>2.9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</v>
      </c>
      <c r="I28" s="71">
        <v>3.8</v>
      </c>
      <c r="J28" s="71">
        <v>3.8</v>
      </c>
      <c r="K28" s="71">
        <v>4</v>
      </c>
      <c r="L28" s="71">
        <v>4.2</v>
      </c>
      <c r="M28" s="71">
        <v>3.9</v>
      </c>
      <c r="N28" s="71">
        <v>3.9</v>
      </c>
      <c r="O28" s="219">
        <v>3.9</v>
      </c>
      <c r="P28" s="71">
        <v>4.3</v>
      </c>
      <c r="Q28" s="71">
        <v>4.3</v>
      </c>
      <c r="R28" s="71">
        <v>4</v>
      </c>
      <c r="S28" s="71">
        <v>4.0999999999999996</v>
      </c>
      <c r="T28" s="71">
        <v>4.3</v>
      </c>
      <c r="U28" s="71">
        <v>4.2</v>
      </c>
      <c r="V28" s="71">
        <v>4.2</v>
      </c>
      <c r="W28" s="71">
        <v>4.2</v>
      </c>
      <c r="X28" s="71">
        <v>3.9</v>
      </c>
      <c r="Y28" s="71">
        <v>4</v>
      </c>
      <c r="Z28" s="71">
        <v>3.9</v>
      </c>
      <c r="AA28" s="71">
        <v>3.6</v>
      </c>
      <c r="AB28" s="71">
        <v>3.6</v>
      </c>
      <c r="AC28" s="71">
        <v>2.9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5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8</v>
      </c>
      <c r="H29" s="19">
        <f t="shared" si="4"/>
        <v>8</v>
      </c>
      <c r="I29" s="19">
        <f t="shared" si="4"/>
        <v>7.6</v>
      </c>
      <c r="J29" s="19">
        <f t="shared" si="4"/>
        <v>7.6</v>
      </c>
      <c r="K29" s="19">
        <f t="shared" si="4"/>
        <v>8</v>
      </c>
      <c r="L29" s="19">
        <f t="shared" si="4"/>
        <v>8.4</v>
      </c>
      <c r="M29" s="19">
        <f t="shared" si="4"/>
        <v>7.8</v>
      </c>
      <c r="N29" s="19">
        <f t="shared" si="4"/>
        <v>7.8</v>
      </c>
      <c r="O29" s="19">
        <f t="shared" si="4"/>
        <v>7.8</v>
      </c>
      <c r="P29" s="19">
        <f t="shared" si="4"/>
        <v>8.6</v>
      </c>
      <c r="Q29" s="19">
        <f t="shared" si="4"/>
        <v>8.6</v>
      </c>
      <c r="R29" s="19">
        <f t="shared" si="4"/>
        <v>8</v>
      </c>
      <c r="S29" s="19">
        <f t="shared" si="4"/>
        <v>8.1999999999999993</v>
      </c>
      <c r="T29" s="19">
        <f t="shared" si="4"/>
        <v>8.6</v>
      </c>
      <c r="U29" s="19">
        <f t="shared" si="4"/>
        <v>8.4</v>
      </c>
      <c r="V29" s="19">
        <f t="shared" si="4"/>
        <v>8.4</v>
      </c>
      <c r="W29" s="19">
        <f t="shared" si="4"/>
        <v>8.4</v>
      </c>
      <c r="X29" s="19">
        <f t="shared" si="4"/>
        <v>7.8</v>
      </c>
      <c r="Y29" s="19">
        <f t="shared" si="4"/>
        <v>8</v>
      </c>
      <c r="Z29" s="19">
        <f t="shared" si="4"/>
        <v>7.8</v>
      </c>
      <c r="AA29" s="19">
        <f t="shared" si="4"/>
        <v>7.2</v>
      </c>
      <c r="AB29" s="19">
        <f t="shared" si="4"/>
        <v>7.2</v>
      </c>
      <c r="AC29" s="19">
        <f t="shared" si="4"/>
        <v>5.8</v>
      </c>
      <c r="AD29" s="41"/>
      <c r="AE29" s="41"/>
      <c r="AF29" s="11"/>
      <c r="AG29" s="11"/>
      <c r="AH29" s="11"/>
    </row>
    <row r="30" spans="1:51" x14ac:dyDescent="0.25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 x14ac:dyDescent="0.25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71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71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 x14ac:dyDescent="0.25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0</v>
      </c>
      <c r="G32" s="19">
        <f t="shared" ref="G32:AC32" si="6">SUM(G31)</f>
        <v>0</v>
      </c>
      <c r="H32" s="19">
        <f t="shared" si="6"/>
        <v>0</v>
      </c>
      <c r="I32" s="19">
        <f t="shared" si="6"/>
        <v>0</v>
      </c>
      <c r="J32" s="19">
        <f t="shared" si="6"/>
        <v>0</v>
      </c>
      <c r="K32" s="19">
        <f t="shared" si="6"/>
        <v>0</v>
      </c>
      <c r="L32" s="19">
        <f t="shared" si="6"/>
        <v>0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 x14ac:dyDescent="0.2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203.89583333333354</v>
      </c>
    </row>
    <row r="34" spans="1:35" x14ac:dyDescent="0.2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 x14ac:dyDescent="0.2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>
        <f>14.8/18</f>
        <v>0.8222222222222223</v>
      </c>
      <c r="Q36" s="71">
        <v>0.81764705882352939</v>
      </c>
      <c r="R36" s="71">
        <v>0.81764705882352895</v>
      </c>
      <c r="S36" s="71">
        <v>0.79999999999999993</v>
      </c>
      <c r="T36" s="71">
        <v>0.82777777777777783</v>
      </c>
      <c r="U36" s="71">
        <v>0.84</v>
      </c>
      <c r="V36" s="71">
        <v>0.82777777777777795</v>
      </c>
      <c r="W36" s="71">
        <v>0</v>
      </c>
      <c r="X36" s="71">
        <v>0</v>
      </c>
      <c r="Y36" s="71">
        <v>0.8</v>
      </c>
      <c r="Z36" s="71">
        <v>0.8</v>
      </c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11</v>
      </c>
    </row>
    <row r="37" spans="1:35" x14ac:dyDescent="0.2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>
        <f t="shared" ref="P37:P40" si="10">14.8/18</f>
        <v>0.8222222222222223</v>
      </c>
      <c r="Q37" s="71">
        <v>0.81764705882352939</v>
      </c>
      <c r="R37" s="71">
        <v>0.81764705882352895</v>
      </c>
      <c r="S37" s="71">
        <v>0.8</v>
      </c>
      <c r="T37" s="71">
        <v>0.82777777777777783</v>
      </c>
      <c r="U37" s="71">
        <v>0.84</v>
      </c>
      <c r="V37" s="71">
        <v>0.82777777777777795</v>
      </c>
      <c r="W37" s="71">
        <v>0.82777777777777795</v>
      </c>
      <c r="X37" s="71">
        <v>0.82777777777777795</v>
      </c>
      <c r="Y37" s="71">
        <v>0.82777777777777795</v>
      </c>
      <c r="Z37" s="71">
        <v>0.82777777777777795</v>
      </c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11</v>
      </c>
    </row>
    <row r="38" spans="1:35" x14ac:dyDescent="0.2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>
        <f t="shared" si="10"/>
        <v>0.8222222222222223</v>
      </c>
      <c r="Q38" s="71">
        <v>0.81764705882352939</v>
      </c>
      <c r="R38" s="71">
        <v>0.81764705882352895</v>
      </c>
      <c r="S38" s="71">
        <v>0.8</v>
      </c>
      <c r="T38" s="71">
        <v>0.82777777777777783</v>
      </c>
      <c r="U38" s="71">
        <v>0.84</v>
      </c>
      <c r="V38" s="71">
        <v>0.82777777777777795</v>
      </c>
      <c r="W38" s="71">
        <v>0.82777777777777795</v>
      </c>
      <c r="X38" s="71">
        <v>0.87</v>
      </c>
      <c r="Y38" s="71">
        <v>0.87</v>
      </c>
      <c r="Z38" s="71">
        <v>0.87</v>
      </c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11</v>
      </c>
    </row>
    <row r="39" spans="1:35" x14ac:dyDescent="0.2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f t="shared" si="10"/>
        <v>0.8222222222222223</v>
      </c>
      <c r="Q39" s="71">
        <v>0.81764705882352939</v>
      </c>
      <c r="R39" s="71">
        <v>0.81764705882352895</v>
      </c>
      <c r="S39" s="71">
        <v>0.8</v>
      </c>
      <c r="T39" s="71">
        <v>0.82777777777777783</v>
      </c>
      <c r="U39" s="71">
        <v>0.82</v>
      </c>
      <c r="V39" s="71">
        <v>0.82777777777777795</v>
      </c>
      <c r="W39" s="71">
        <v>0.82777777777777795</v>
      </c>
      <c r="X39" s="71">
        <v>0.87</v>
      </c>
      <c r="Y39" s="71">
        <v>0.87</v>
      </c>
      <c r="Z39" s="71">
        <v>0.87</v>
      </c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11</v>
      </c>
    </row>
    <row r="40" spans="1:35" x14ac:dyDescent="0.2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>
        <f t="shared" si="10"/>
        <v>0.8222222222222223</v>
      </c>
      <c r="Q40" s="71">
        <v>0.81764705882352939</v>
      </c>
      <c r="R40" s="71">
        <v>0.81764705882352895</v>
      </c>
      <c r="S40" s="71">
        <v>0.8</v>
      </c>
      <c r="T40" s="71">
        <v>0.82777777777777783</v>
      </c>
      <c r="U40" s="71">
        <v>0.82777777777777795</v>
      </c>
      <c r="V40" s="71">
        <v>0.82777777777777795</v>
      </c>
      <c r="W40" s="71">
        <v>0.82777777777777795</v>
      </c>
      <c r="X40" s="71">
        <v>0.87</v>
      </c>
      <c r="Y40" s="71">
        <v>0.87</v>
      </c>
      <c r="Z40" s="71">
        <v>0.87</v>
      </c>
      <c r="AA40" s="71">
        <v>0.9</v>
      </c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12</v>
      </c>
    </row>
    <row r="41" spans="1:35" x14ac:dyDescent="0.2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>
        <v>0</v>
      </c>
      <c r="Q41" s="71">
        <v>0</v>
      </c>
      <c r="R41" s="71">
        <v>0</v>
      </c>
      <c r="S41" s="71">
        <v>0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>
        <v>0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14</v>
      </c>
    </row>
    <row r="42" spans="1:35" ht="16.5" customHeight="1" x14ac:dyDescent="0.2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>
        <f t="shared" ref="P42:P48" si="11">14.8/18</f>
        <v>0.8222222222222223</v>
      </c>
      <c r="Q42" s="71">
        <v>0.81764705882352939</v>
      </c>
      <c r="R42" s="71">
        <v>0.81764705882352895</v>
      </c>
      <c r="S42" s="71">
        <v>0.8</v>
      </c>
      <c r="T42" s="71">
        <v>0.82777777777777783</v>
      </c>
      <c r="U42" s="71">
        <v>0.82777777777777795</v>
      </c>
      <c r="V42" s="71">
        <v>0.82777777777777795</v>
      </c>
      <c r="W42" s="71">
        <v>0.82777777777777795</v>
      </c>
      <c r="X42" s="71">
        <v>0.87</v>
      </c>
      <c r="Y42" s="71">
        <v>0.87</v>
      </c>
      <c r="Z42" s="71">
        <v>0.8</v>
      </c>
      <c r="AA42" s="71">
        <v>0.8</v>
      </c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12</v>
      </c>
    </row>
    <row r="43" spans="1:35" ht="16.5" customHeight="1" x14ac:dyDescent="0.25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f>4.8/6</f>
        <v>0.79999999999999993</v>
      </c>
      <c r="O43" s="219">
        <f>9.7/12</f>
        <v>0.80833333333333324</v>
      </c>
      <c r="P43" s="71">
        <f t="shared" si="11"/>
        <v>0.8222222222222223</v>
      </c>
      <c r="Q43" s="71">
        <v>0.81764705882352939</v>
      </c>
      <c r="R43" s="71">
        <v>0.81764705882352895</v>
      </c>
      <c r="S43" s="71">
        <v>0.8</v>
      </c>
      <c r="T43" s="71">
        <v>0.82777777777777783</v>
      </c>
      <c r="U43" s="71">
        <v>0.82777777777777795</v>
      </c>
      <c r="V43" s="71">
        <v>0.82777777777777795</v>
      </c>
      <c r="W43" s="71">
        <v>0.82777777777777795</v>
      </c>
      <c r="X43" s="71">
        <v>0.82777777777777795</v>
      </c>
      <c r="Y43" s="71">
        <v>0.82777777777777795</v>
      </c>
      <c r="Z43" s="71">
        <v>0.81</v>
      </c>
      <c r="AA43" s="71">
        <v>0.8</v>
      </c>
      <c r="AB43" s="71">
        <v>0.8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 x14ac:dyDescent="0.2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>
        <v>0.8</v>
      </c>
      <c r="L44" s="71">
        <v>0.8</v>
      </c>
      <c r="M44" s="71">
        <v>0</v>
      </c>
      <c r="N44" s="71">
        <v>0</v>
      </c>
      <c r="O44" s="219">
        <f t="shared" ref="O44:O48" si="12">9.7/12</f>
        <v>0.80833333333333324</v>
      </c>
      <c r="P44" s="71">
        <f t="shared" si="11"/>
        <v>0.8222222222222223</v>
      </c>
      <c r="Q44" s="71">
        <v>0.81764705882352939</v>
      </c>
      <c r="R44" s="71">
        <v>0.81764705882352895</v>
      </c>
      <c r="S44" s="71">
        <v>0.8</v>
      </c>
      <c r="T44" s="71">
        <v>0.82777777777777783</v>
      </c>
      <c r="U44" s="71">
        <v>0.82777777777777795</v>
      </c>
      <c r="V44" s="71">
        <v>0.82777777777777795</v>
      </c>
      <c r="W44" s="71">
        <v>0</v>
      </c>
      <c r="X44" s="71">
        <v>0.82</v>
      </c>
      <c r="Y44" s="71">
        <v>0.82</v>
      </c>
      <c r="Z44" s="71">
        <v>0.8</v>
      </c>
      <c r="AA44" s="71">
        <v>0.85</v>
      </c>
      <c r="AB44" s="71">
        <v>0.8</v>
      </c>
      <c r="AC44" s="71">
        <f>3.19/4</f>
        <v>0.79749999999999999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19</v>
      </c>
    </row>
    <row r="45" spans="1:35" x14ac:dyDescent="0.25">
      <c r="A45" s="70" t="s">
        <v>37</v>
      </c>
      <c r="B45" s="15"/>
      <c r="C45" s="15">
        <v>0.8</v>
      </c>
      <c r="D45" s="15"/>
      <c r="E45" s="15"/>
      <c r="F45" s="71"/>
      <c r="G45" s="71">
        <f>2.3/3</f>
        <v>0.76666666666666661</v>
      </c>
      <c r="H45" s="71"/>
      <c r="I45" s="71"/>
      <c r="J45" s="71"/>
      <c r="K45" s="71"/>
      <c r="L45" s="71"/>
      <c r="M45" s="71"/>
      <c r="N45" s="71"/>
      <c r="O45" s="219">
        <f t="shared" si="12"/>
        <v>0.80833333333333324</v>
      </c>
      <c r="P45" s="71">
        <f t="shared" si="11"/>
        <v>0.8222222222222223</v>
      </c>
      <c r="Q45" s="71">
        <v>0.81764705882352939</v>
      </c>
      <c r="R45" s="71">
        <v>0.81764705882352895</v>
      </c>
      <c r="S45" s="71">
        <v>0.8</v>
      </c>
      <c r="T45" s="71">
        <v>0.82777777777777783</v>
      </c>
      <c r="U45" s="71">
        <v>0.82777777777777795</v>
      </c>
      <c r="V45" s="71">
        <v>0.82777777777777795</v>
      </c>
      <c r="W45" s="71">
        <v>0</v>
      </c>
      <c r="X45" s="71">
        <v>0</v>
      </c>
      <c r="Y45" s="71">
        <v>0.83</v>
      </c>
      <c r="Z45" s="71">
        <v>0.85</v>
      </c>
      <c r="AA45" s="71">
        <v>0.85</v>
      </c>
      <c r="AB45" s="71">
        <v>0.8</v>
      </c>
      <c r="AC45" s="71">
        <f>3.19/4</f>
        <v>0.79749999999999999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16</v>
      </c>
    </row>
    <row r="46" spans="1:35" x14ac:dyDescent="0.2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0.8</v>
      </c>
      <c r="M46" s="71">
        <f>4/5</f>
        <v>0.8</v>
      </c>
      <c r="N46" s="71">
        <v>0</v>
      </c>
      <c r="O46" s="219">
        <f t="shared" si="12"/>
        <v>0.80833333333333324</v>
      </c>
      <c r="P46" s="71">
        <f t="shared" si="11"/>
        <v>0.8222222222222223</v>
      </c>
      <c r="Q46" s="71">
        <v>0.81764705882352939</v>
      </c>
      <c r="R46" s="71">
        <v>0.81764705882352895</v>
      </c>
      <c r="S46" s="71">
        <v>0.8</v>
      </c>
      <c r="T46" s="71">
        <v>0.82777777777777783</v>
      </c>
      <c r="U46" s="71">
        <v>0.82777777777777795</v>
      </c>
      <c r="V46" s="71">
        <v>0.82777777777777795</v>
      </c>
      <c r="W46" s="71">
        <v>0.82777777777777795</v>
      </c>
      <c r="X46" s="71">
        <v>0.82</v>
      </c>
      <c r="Y46" s="71">
        <v>0.82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ht="15" customHeight="1" x14ac:dyDescent="0.25">
      <c r="A47" s="70" t="s">
        <v>39</v>
      </c>
      <c r="B47" s="15"/>
      <c r="C47" s="15">
        <v>0.8</v>
      </c>
      <c r="D47" s="15"/>
      <c r="E47" s="15"/>
      <c r="F47" s="71"/>
      <c r="G47" s="71">
        <f t="shared" ref="G47:G48" si="13">2.3/3</f>
        <v>0.76666666666666661</v>
      </c>
      <c r="H47" s="71"/>
      <c r="I47" s="71"/>
      <c r="J47" s="71"/>
      <c r="K47" s="71"/>
      <c r="L47" s="71"/>
      <c r="M47" s="71"/>
      <c r="N47" s="71"/>
      <c r="O47" s="219">
        <f t="shared" si="12"/>
        <v>0.80833333333333324</v>
      </c>
      <c r="P47" s="71">
        <f t="shared" si="11"/>
        <v>0.8222222222222223</v>
      </c>
      <c r="Q47" s="71">
        <v>0.81764705882352939</v>
      </c>
      <c r="R47" s="71">
        <v>0.81764705882352895</v>
      </c>
      <c r="S47" s="71">
        <v>0.8</v>
      </c>
      <c r="T47" s="71">
        <v>0.82777777777777783</v>
      </c>
      <c r="U47" s="71">
        <v>0</v>
      </c>
      <c r="V47" s="71">
        <v>0.83</v>
      </c>
      <c r="W47" s="71">
        <v>0.83</v>
      </c>
      <c r="X47" s="71">
        <v>0.82</v>
      </c>
      <c r="Y47" s="71">
        <v>0.82</v>
      </c>
      <c r="Z47" s="71">
        <v>0.85</v>
      </c>
      <c r="AA47" s="71">
        <v>0.85</v>
      </c>
      <c r="AB47" s="71">
        <v>0.8</v>
      </c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15</v>
      </c>
    </row>
    <row r="48" spans="1:35" ht="16.5" customHeight="1" x14ac:dyDescent="0.25">
      <c r="A48" s="70" t="s">
        <v>40</v>
      </c>
      <c r="B48" s="15"/>
      <c r="C48" s="15">
        <v>0.8</v>
      </c>
      <c r="D48" s="15"/>
      <c r="E48" s="15"/>
      <c r="F48" s="71"/>
      <c r="G48" s="71">
        <f t="shared" si="13"/>
        <v>0.76666666666666661</v>
      </c>
      <c r="H48" s="71">
        <v>0.8</v>
      </c>
      <c r="I48" s="71"/>
      <c r="J48" s="71"/>
      <c r="K48" s="71"/>
      <c r="L48" s="71"/>
      <c r="M48" s="71"/>
      <c r="N48" s="71"/>
      <c r="O48" s="219">
        <f t="shared" si="12"/>
        <v>0.80833333333333324</v>
      </c>
      <c r="P48" s="71">
        <f t="shared" si="11"/>
        <v>0.8222222222222223</v>
      </c>
      <c r="Q48" s="71">
        <v>0.81764705882352939</v>
      </c>
      <c r="R48" s="71">
        <v>0.81764705882352895</v>
      </c>
      <c r="S48" s="71">
        <v>0.8</v>
      </c>
      <c r="T48" s="71">
        <v>0.82777777777777783</v>
      </c>
      <c r="U48" s="71">
        <v>0.82777777777777795</v>
      </c>
      <c r="V48" s="71">
        <v>0.82777777777777795</v>
      </c>
      <c r="W48" s="71">
        <v>0.82777777777777795</v>
      </c>
      <c r="X48" s="71">
        <v>0</v>
      </c>
      <c r="Y48" s="71">
        <v>0.8</v>
      </c>
      <c r="Z48" s="71">
        <v>0.85</v>
      </c>
      <c r="AA48" s="71">
        <v>0.85</v>
      </c>
      <c r="AB48" s="71">
        <v>0.8</v>
      </c>
      <c r="AC48" s="71">
        <f>3.19/4</f>
        <v>0.79749999999999999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17</v>
      </c>
    </row>
    <row r="49" spans="1:124" x14ac:dyDescent="0.25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 x14ac:dyDescent="0.25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19"/>
      <c r="P51" s="71"/>
      <c r="Q51" s="71"/>
      <c r="R51" s="71">
        <v>0.5</v>
      </c>
      <c r="S51" s="71">
        <v>0.8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10</v>
      </c>
      <c r="AG51" s="11">
        <f t="shared" si="8"/>
        <v>0</v>
      </c>
      <c r="AH51" s="11">
        <f t="shared" si="9"/>
        <v>2</v>
      </c>
    </row>
    <row r="52" spans="1:124" ht="16.5" customHeight="1" x14ac:dyDescent="0.25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0.8</v>
      </c>
      <c r="M52" s="71">
        <f t="shared" ref="M52:M53" si="14">4/5</f>
        <v>0.8</v>
      </c>
      <c r="N52" s="71">
        <v>0.8</v>
      </c>
      <c r="O52" s="219">
        <f t="shared" ref="O52:O57" si="15">9.7/12</f>
        <v>0.80833333333333324</v>
      </c>
      <c r="P52" s="71">
        <f t="shared" ref="P52:P57" si="16">14.8/18</f>
        <v>0.8222222222222223</v>
      </c>
      <c r="Q52" s="71">
        <v>0.81764705882352939</v>
      </c>
      <c r="R52" s="71">
        <v>0.81764705882352895</v>
      </c>
      <c r="S52" s="71">
        <v>0.8</v>
      </c>
      <c r="T52" s="71">
        <v>0.82777777777777783</v>
      </c>
      <c r="U52" s="71">
        <v>0.82777777777777795</v>
      </c>
      <c r="V52" s="71">
        <v>0.82777777777777795</v>
      </c>
      <c r="W52" s="71">
        <v>0.82777777777777795</v>
      </c>
      <c r="X52" s="71">
        <v>0.82</v>
      </c>
      <c r="Y52" s="71">
        <v>0.82</v>
      </c>
      <c r="Z52" s="71">
        <v>0.8</v>
      </c>
      <c r="AA52" s="71">
        <v>0.85</v>
      </c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16</v>
      </c>
    </row>
    <row r="53" spans="1:124" x14ac:dyDescent="0.25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>
        <f t="shared" si="14"/>
        <v>0.8</v>
      </c>
      <c r="N53" s="71">
        <v>0.8</v>
      </c>
      <c r="O53" s="219">
        <f t="shared" si="15"/>
        <v>0.80833333333333324</v>
      </c>
      <c r="P53" s="71">
        <f t="shared" si="16"/>
        <v>0.8222222222222223</v>
      </c>
      <c r="Q53" s="71">
        <v>0.81764705882352939</v>
      </c>
      <c r="R53" s="71">
        <v>0.81764705882352895</v>
      </c>
      <c r="S53" s="71">
        <v>0.8</v>
      </c>
      <c r="T53" s="71">
        <v>0.82777777777777783</v>
      </c>
      <c r="U53" s="71">
        <v>0.82777777777777795</v>
      </c>
      <c r="V53" s="71">
        <v>0.82777777777777795</v>
      </c>
      <c r="W53" s="71">
        <v>0.82</v>
      </c>
      <c r="X53" s="71">
        <v>0.82</v>
      </c>
      <c r="Y53" s="71">
        <v>0.82</v>
      </c>
      <c r="Z53" s="71">
        <v>0.8</v>
      </c>
      <c r="AA53" s="71">
        <v>0.85</v>
      </c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16</v>
      </c>
    </row>
    <row r="54" spans="1:124" x14ac:dyDescent="0.25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>
        <v>0.8</v>
      </c>
      <c r="M54" s="71">
        <v>0</v>
      </c>
      <c r="N54" s="71">
        <v>0</v>
      </c>
      <c r="O54" s="219">
        <f t="shared" si="15"/>
        <v>0.80833333333333324</v>
      </c>
      <c r="P54" s="71">
        <f t="shared" si="16"/>
        <v>0.8222222222222223</v>
      </c>
      <c r="Q54" s="71">
        <v>0.81764705882352939</v>
      </c>
      <c r="R54" s="71">
        <v>0.81764705882352895</v>
      </c>
      <c r="S54" s="71">
        <v>0.8</v>
      </c>
      <c r="T54" s="71">
        <v>0.82777777777777783</v>
      </c>
      <c r="U54" s="71">
        <v>0.82777777777777795</v>
      </c>
      <c r="V54" s="71">
        <v>0.82777777777777795</v>
      </c>
      <c r="W54" s="71">
        <v>0.82</v>
      </c>
      <c r="X54" s="71">
        <v>0</v>
      </c>
      <c r="Y54" s="71">
        <v>0.8</v>
      </c>
      <c r="Z54" s="71">
        <v>0.8</v>
      </c>
      <c r="AA54" s="71">
        <v>0.85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18</v>
      </c>
    </row>
    <row r="55" spans="1:124" x14ac:dyDescent="0.25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219">
        <f t="shared" si="15"/>
        <v>0.80833333333333324</v>
      </c>
      <c r="P55" s="71">
        <f t="shared" si="16"/>
        <v>0.8222222222222223</v>
      </c>
      <c r="Q55" s="71">
        <v>0</v>
      </c>
      <c r="R55" s="71">
        <v>0.8</v>
      </c>
      <c r="S55" s="71">
        <v>0.8</v>
      </c>
      <c r="T55" s="71">
        <v>0.82777777777777783</v>
      </c>
      <c r="U55" s="71">
        <v>0.82777777777777795</v>
      </c>
      <c r="V55" s="71">
        <v>0.82777777777777795</v>
      </c>
      <c r="W55" s="71">
        <v>0.82777777777777795</v>
      </c>
      <c r="X55" s="71">
        <v>0.82</v>
      </c>
      <c r="Y55" s="71">
        <v>0.82</v>
      </c>
      <c r="Z55" s="71">
        <v>0.8</v>
      </c>
      <c r="AA55" s="71">
        <v>0.85</v>
      </c>
      <c r="AB55" s="71">
        <v>0.8</v>
      </c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15</v>
      </c>
    </row>
    <row r="56" spans="1:124" x14ac:dyDescent="0.25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f t="shared" ref="M56:M57" si="17">4/5</f>
        <v>0.8</v>
      </c>
      <c r="N56" s="71">
        <v>0.8</v>
      </c>
      <c r="O56" s="219">
        <f t="shared" si="15"/>
        <v>0.80833333333333324</v>
      </c>
      <c r="P56" s="71">
        <f t="shared" si="16"/>
        <v>0.8222222222222223</v>
      </c>
      <c r="Q56" s="71">
        <v>0.81764705882352939</v>
      </c>
      <c r="R56" s="71">
        <v>0.81764705882352895</v>
      </c>
      <c r="S56" s="71">
        <v>0.8</v>
      </c>
      <c r="T56" s="71">
        <v>0.82777777777777783</v>
      </c>
      <c r="U56" s="71">
        <v>0.82777777777777795</v>
      </c>
      <c r="V56" s="71">
        <v>0.82777777777777795</v>
      </c>
      <c r="W56" s="71">
        <v>0.82777777777777795</v>
      </c>
      <c r="X56" s="71">
        <v>0.82</v>
      </c>
      <c r="Y56" s="71">
        <v>0.81</v>
      </c>
      <c r="Z56" s="71">
        <v>0.8</v>
      </c>
      <c r="AA56" s="71">
        <v>0.85</v>
      </c>
      <c r="AB56" s="71">
        <v>0.8</v>
      </c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16</v>
      </c>
    </row>
    <row r="57" spans="1:124" x14ac:dyDescent="0.25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f t="shared" si="17"/>
        <v>0.8</v>
      </c>
      <c r="N57" s="71">
        <v>0.8</v>
      </c>
      <c r="O57" s="219">
        <f t="shared" si="15"/>
        <v>0.80833333333333324</v>
      </c>
      <c r="P57" s="71">
        <f t="shared" si="16"/>
        <v>0.8222222222222223</v>
      </c>
      <c r="Q57" s="71">
        <v>0.81764705882352939</v>
      </c>
      <c r="R57" s="71">
        <v>0.81764705882352895</v>
      </c>
      <c r="S57" s="71">
        <v>0.8</v>
      </c>
      <c r="T57" s="71">
        <v>0.82777777777777783</v>
      </c>
      <c r="U57" s="71">
        <v>0.82777777777777795</v>
      </c>
      <c r="V57" s="71">
        <v>0.82777777777777795</v>
      </c>
      <c r="W57" s="71">
        <v>0.82777777777777795</v>
      </c>
      <c r="X57" s="71">
        <v>0.82777777777777795</v>
      </c>
      <c r="Y57" s="71">
        <v>0.8</v>
      </c>
      <c r="Z57" s="71">
        <v>0.9</v>
      </c>
      <c r="AA57" s="71">
        <v>0.85</v>
      </c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16</v>
      </c>
    </row>
    <row r="58" spans="1:124" x14ac:dyDescent="0.25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8">SUM(F34:F57)</f>
        <v>0</v>
      </c>
      <c r="G58" s="19">
        <f t="shared" si="18"/>
        <v>2.2999999999999998</v>
      </c>
      <c r="H58" s="19">
        <f t="shared" si="18"/>
        <v>0.8</v>
      </c>
      <c r="I58" s="19">
        <f t="shared" si="18"/>
        <v>0</v>
      </c>
      <c r="J58" s="19">
        <f t="shared" si="18"/>
        <v>0</v>
      </c>
      <c r="K58" s="19">
        <f t="shared" si="18"/>
        <v>0.8</v>
      </c>
      <c r="L58" s="19">
        <f t="shared" si="18"/>
        <v>4.8</v>
      </c>
      <c r="M58" s="19">
        <f t="shared" si="18"/>
        <v>4</v>
      </c>
      <c r="N58" s="19">
        <f t="shared" si="18"/>
        <v>4.8</v>
      </c>
      <c r="O58" s="19">
        <f t="shared" si="18"/>
        <v>9.7000000000000011</v>
      </c>
      <c r="P58" s="19">
        <f t="shared" si="18"/>
        <v>14.800000000000004</v>
      </c>
      <c r="Q58" s="19">
        <f t="shared" si="18"/>
        <v>13.900000000000004</v>
      </c>
      <c r="R58" s="19">
        <f t="shared" si="18"/>
        <v>15.199999999999989</v>
      </c>
      <c r="S58" s="19">
        <f t="shared" si="18"/>
        <v>15.200000000000005</v>
      </c>
      <c r="T58" s="19">
        <f t="shared" si="18"/>
        <v>14.899999999999997</v>
      </c>
      <c r="U58" s="19">
        <f t="shared" si="18"/>
        <v>14.101111111111107</v>
      </c>
      <c r="V58" s="19">
        <f t="shared" si="18"/>
        <v>14.902222222222219</v>
      </c>
      <c r="W58" s="19">
        <f t="shared" si="18"/>
        <v>12.403333333333332</v>
      </c>
      <c r="X58" s="19">
        <f t="shared" si="18"/>
        <v>11.703333333333335</v>
      </c>
      <c r="Y58" s="19">
        <f t="shared" si="18"/>
        <v>14.895555555555561</v>
      </c>
      <c r="Z58" s="19">
        <f t="shared" si="18"/>
        <v>14.097777777777781</v>
      </c>
      <c r="AA58" s="19">
        <f t="shared" si="18"/>
        <v>10.999999999999998</v>
      </c>
      <c r="AB58" s="19">
        <f t="shared" si="18"/>
        <v>6.3999999999999995</v>
      </c>
      <c r="AC58" s="19">
        <f t="shared" si="18"/>
        <v>3.1924999999999999</v>
      </c>
      <c r="AD58" s="34"/>
      <c r="AE58" s="34"/>
      <c r="AF58" s="11"/>
      <c r="AG58" s="11"/>
      <c r="AH58" s="11"/>
    </row>
    <row r="59" spans="1:124" x14ac:dyDescent="0.25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27.594999999999995</v>
      </c>
      <c r="AN59" s="357"/>
    </row>
    <row r="60" spans="1:124" x14ac:dyDescent="0.25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v>0.5</v>
      </c>
      <c r="M60" s="71">
        <f>1.05/2</f>
        <v>0.52500000000000002</v>
      </c>
      <c r="N60" s="71">
        <f>0.95/2</f>
        <v>0.47499999999999998</v>
      </c>
      <c r="O60" s="71">
        <f>1.18/2</f>
        <v>0.59</v>
      </c>
      <c r="P60" s="71">
        <f>1.24/2</f>
        <v>0.62</v>
      </c>
      <c r="Q60" s="71">
        <v>0.64500000000000002</v>
      </c>
      <c r="R60" s="71">
        <v>0.64500000000000002</v>
      </c>
      <c r="S60" s="71">
        <v>0.66500000000000004</v>
      </c>
      <c r="T60" s="71">
        <v>0.66500000000000004</v>
      </c>
      <c r="U60" s="71">
        <f>1.18/2</f>
        <v>0.59</v>
      </c>
      <c r="V60" s="71">
        <f>1.34/2</f>
        <v>0.67</v>
      </c>
      <c r="W60" s="71">
        <f>1.32/2</f>
        <v>0.66</v>
      </c>
      <c r="X60" s="71">
        <f>1.36/2</f>
        <v>0.68</v>
      </c>
      <c r="Y60" s="71">
        <v>0.77</v>
      </c>
      <c r="Z60" s="71">
        <v>0.755</v>
      </c>
      <c r="AA60" s="71">
        <v>0.71499999999999997</v>
      </c>
      <c r="AB60" s="71">
        <v>0.66</v>
      </c>
      <c r="AC60" s="71">
        <f>1.14/2</f>
        <v>0.56999999999999995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5">
      <c r="A61" s="14" t="s">
        <v>52</v>
      </c>
      <c r="B61" s="20"/>
      <c r="C61" s="15">
        <v>0.85</v>
      </c>
      <c r="D61" s="15"/>
      <c r="E61" s="15"/>
      <c r="F61" s="71">
        <f>0.91/2</f>
        <v>0.45500000000000002</v>
      </c>
      <c r="G61" s="71">
        <f>0.8/2</f>
        <v>0.4</v>
      </c>
      <c r="H61" s="71">
        <f>0.77/2</f>
        <v>0.38500000000000001</v>
      </c>
      <c r="I61" s="71">
        <f>0.76/2</f>
        <v>0.38</v>
      </c>
      <c r="J61" s="71">
        <f>0.75/2</f>
        <v>0.375</v>
      </c>
      <c r="K61" s="71">
        <f>0.81/2</f>
        <v>0.40500000000000003</v>
      </c>
      <c r="L61" s="71">
        <v>0.5</v>
      </c>
      <c r="M61" s="71">
        <f>1.05/2</f>
        <v>0.52500000000000002</v>
      </c>
      <c r="N61" s="71">
        <f>0.95/2</f>
        <v>0.47499999999999998</v>
      </c>
      <c r="O61" s="71">
        <f>1.18/2</f>
        <v>0.59</v>
      </c>
      <c r="P61" s="71">
        <f>1.24/2</f>
        <v>0.62</v>
      </c>
      <c r="Q61" s="71">
        <v>0.64500000000000002</v>
      </c>
      <c r="R61" s="71">
        <v>0.64500000000000002</v>
      </c>
      <c r="S61" s="71">
        <v>0.66500000000000004</v>
      </c>
      <c r="T61" s="71">
        <v>0.66500000000000004</v>
      </c>
      <c r="U61" s="71">
        <f>1.18/2</f>
        <v>0.59</v>
      </c>
      <c r="V61" s="71">
        <v>0.66500000000000004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5">
      <c r="A62" s="14" t="s">
        <v>53</v>
      </c>
      <c r="B62" s="20"/>
      <c r="C62" s="15">
        <v>0.85</v>
      </c>
      <c r="D62" s="15"/>
      <c r="E62" s="15"/>
      <c r="F62" s="71">
        <f>0.91/2</f>
        <v>0.45500000000000002</v>
      </c>
      <c r="G62" s="71">
        <f>0.8/2</f>
        <v>0.4</v>
      </c>
      <c r="H62" s="71">
        <f>0.77/2</f>
        <v>0.38500000000000001</v>
      </c>
      <c r="I62" s="71">
        <f>0.76/2</f>
        <v>0.38</v>
      </c>
      <c r="J62" s="71">
        <f>0.75/2</f>
        <v>0.375</v>
      </c>
      <c r="K62" s="71">
        <f>0.81/2</f>
        <v>0.40500000000000003</v>
      </c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>
        <f>1.32/2</f>
        <v>0.66</v>
      </c>
      <c r="X62" s="71">
        <f>1.36/2</f>
        <v>0.68</v>
      </c>
      <c r="Y62" s="71">
        <v>0.77</v>
      </c>
      <c r="Z62" s="71">
        <v>0.755</v>
      </c>
      <c r="AA62" s="71">
        <v>0.71499999999999997</v>
      </c>
      <c r="AB62" s="71">
        <v>0.66</v>
      </c>
      <c r="AC62" s="71">
        <f>1.14/2</f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9">SUM(F60:F62)</f>
        <v>0.91</v>
      </c>
      <c r="G63" s="19">
        <f>SUM(G60:G62)</f>
        <v>0.8</v>
      </c>
      <c r="H63" s="19">
        <f>SUM(H60:H62)</f>
        <v>0.77</v>
      </c>
      <c r="I63" s="19">
        <f>SUM(I60:I62)</f>
        <v>0.76</v>
      </c>
      <c r="J63" s="19">
        <f t="shared" ref="J63:AC63" si="20">SUM(J60:J62)</f>
        <v>0.75</v>
      </c>
      <c r="K63" s="19">
        <f>SUM(K60:K62)</f>
        <v>0.81</v>
      </c>
      <c r="L63" s="19">
        <f t="shared" si="20"/>
        <v>1</v>
      </c>
      <c r="M63" s="19">
        <f t="shared" si="20"/>
        <v>1.05</v>
      </c>
      <c r="N63" s="19">
        <f t="shared" si="20"/>
        <v>0.95</v>
      </c>
      <c r="O63" s="19">
        <f t="shared" si="20"/>
        <v>1.18</v>
      </c>
      <c r="P63" s="19">
        <f t="shared" si="20"/>
        <v>1.24</v>
      </c>
      <c r="Q63" s="19">
        <f t="shared" si="20"/>
        <v>1.29</v>
      </c>
      <c r="R63" s="19">
        <f t="shared" si="20"/>
        <v>1.29</v>
      </c>
      <c r="S63" s="19">
        <f t="shared" si="20"/>
        <v>1.33</v>
      </c>
      <c r="T63" s="19">
        <f t="shared" si="20"/>
        <v>1.33</v>
      </c>
      <c r="U63" s="19">
        <f>SUM(U60:U62)</f>
        <v>1.18</v>
      </c>
      <c r="V63" s="19">
        <f t="shared" si="20"/>
        <v>1.335</v>
      </c>
      <c r="W63" s="19">
        <f t="shared" si="20"/>
        <v>1.32</v>
      </c>
      <c r="X63" s="19">
        <f t="shared" si="20"/>
        <v>1.36</v>
      </c>
      <c r="Y63" s="19">
        <f t="shared" si="20"/>
        <v>1.54</v>
      </c>
      <c r="Z63" s="19">
        <f t="shared" si="20"/>
        <v>1.51</v>
      </c>
      <c r="AA63" s="19">
        <f t="shared" si="20"/>
        <v>1.43</v>
      </c>
      <c r="AB63" s="19">
        <f t="shared" si="20"/>
        <v>1.32</v>
      </c>
      <c r="AC63" s="19">
        <f t="shared" si="20"/>
        <v>1.1399999999999999</v>
      </c>
      <c r="AD63" s="34"/>
      <c r="AE63" s="34"/>
      <c r="AF63" s="11"/>
      <c r="AG63" s="11"/>
      <c r="AH63" s="11"/>
    </row>
    <row r="64" spans="1:124" x14ac:dyDescent="0.25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74.750000000000043</v>
      </c>
    </row>
    <row r="65" spans="1:124" x14ac:dyDescent="0.25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1">COUNTIF(F65:AC65,$AF$11)</f>
        <v>0</v>
      </c>
      <c r="AG65" s="11">
        <f t="shared" ref="AG65:AG73" si="22">COUNTIF(G65:AC65,$AG$11)</f>
        <v>0</v>
      </c>
      <c r="AH65" s="11">
        <f t="shared" ref="AH65:AH73" si="23">COUNT(F65:AC65)</f>
        <v>0</v>
      </c>
    </row>
    <row r="66" spans="1:124" x14ac:dyDescent="0.25">
      <c r="A66" s="14" t="s">
        <v>56</v>
      </c>
      <c r="B66" s="15"/>
      <c r="C66" s="15">
        <v>0.85</v>
      </c>
      <c r="D66" s="15"/>
      <c r="E66" s="15"/>
      <c r="F66" s="71">
        <f>3/5</f>
        <v>0.6</v>
      </c>
      <c r="G66" s="71">
        <f>2.8/4</f>
        <v>0.7</v>
      </c>
      <c r="H66" s="71">
        <f>2.6/4</f>
        <v>0.65</v>
      </c>
      <c r="I66" s="71">
        <f>2.5/4</f>
        <v>0.625</v>
      </c>
      <c r="J66" s="71">
        <f>2.5/4</f>
        <v>0.625</v>
      </c>
      <c r="K66" s="71">
        <f>2.7/4</f>
        <v>0.67500000000000004</v>
      </c>
      <c r="L66" s="71">
        <f>3.1/4</f>
        <v>0.77500000000000002</v>
      </c>
      <c r="M66" s="71">
        <f>2.9/4</f>
        <v>0.72499999999999998</v>
      </c>
      <c r="N66" s="71">
        <v>0</v>
      </c>
      <c r="O66" s="71">
        <v>0</v>
      </c>
      <c r="P66" s="71">
        <f>3.3/4</f>
        <v>0.82499999999999996</v>
      </c>
      <c r="Q66" s="71">
        <v>0.82499999999999996</v>
      </c>
      <c r="R66" s="71">
        <v>0.82499999999999996</v>
      </c>
      <c r="S66" s="71">
        <v>0.82499999999999996</v>
      </c>
      <c r="T66" s="71">
        <v>0.82499999999999996</v>
      </c>
      <c r="U66" s="71">
        <v>0.82499999999999996</v>
      </c>
      <c r="V66" s="71">
        <f>3.5/5</f>
        <v>0.7</v>
      </c>
      <c r="W66" s="71">
        <v>0.8</v>
      </c>
      <c r="X66" s="71">
        <f>3.6/5</f>
        <v>0.72</v>
      </c>
      <c r="Y66" s="71">
        <v>0.8</v>
      </c>
      <c r="Z66" s="71">
        <v>0.8</v>
      </c>
      <c r="AA66" s="71">
        <v>0.7</v>
      </c>
      <c r="AB66" s="71">
        <v>0.7</v>
      </c>
      <c r="AC66" s="71">
        <v>0.7</v>
      </c>
      <c r="AD66" s="35"/>
      <c r="AE66" s="35"/>
      <c r="AF66" s="11">
        <f t="shared" si="21"/>
        <v>0</v>
      </c>
      <c r="AG66" s="11">
        <f t="shared" si="22"/>
        <v>0</v>
      </c>
      <c r="AH66" s="11">
        <f t="shared" si="23"/>
        <v>24</v>
      </c>
    </row>
    <row r="67" spans="1:124" x14ac:dyDescent="0.25">
      <c r="A67" s="14" t="s">
        <v>57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>
        <v>0</v>
      </c>
      <c r="O67" s="71">
        <v>0</v>
      </c>
      <c r="P67" s="71">
        <v>0</v>
      </c>
      <c r="Q67" s="71">
        <v>0</v>
      </c>
      <c r="R67" s="71">
        <v>0</v>
      </c>
      <c r="S67" s="71">
        <v>0</v>
      </c>
      <c r="T67" s="71">
        <v>0</v>
      </c>
      <c r="U67" s="71">
        <v>0</v>
      </c>
      <c r="V67" s="71">
        <f>3.5/5</f>
        <v>0.7</v>
      </c>
      <c r="W67" s="71">
        <v>0.8</v>
      </c>
      <c r="X67" s="71">
        <f>3.6/5</f>
        <v>0.72</v>
      </c>
      <c r="Y67" s="71">
        <v>0.85</v>
      </c>
      <c r="Z67" s="71">
        <v>0.85</v>
      </c>
      <c r="AA67" s="71">
        <v>0.7</v>
      </c>
      <c r="AB67" s="71">
        <v>0.7</v>
      </c>
      <c r="AC67" s="71">
        <v>0.7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3"/>
        <v>24</v>
      </c>
    </row>
    <row r="68" spans="1:124" x14ac:dyDescent="0.25">
      <c r="A68" s="14" t="s">
        <v>58</v>
      </c>
      <c r="B68" s="15"/>
      <c r="C68" s="15">
        <v>0.85</v>
      </c>
      <c r="D68" s="15"/>
      <c r="E68" s="15"/>
      <c r="F68" s="71">
        <f t="shared" ref="F68:F70" si="24">3/5</f>
        <v>0.6</v>
      </c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1</v>
      </c>
      <c r="AI68" s="5"/>
      <c r="AJ68" s="5"/>
      <c r="AK68" s="5"/>
      <c r="AL68" s="5"/>
    </row>
    <row r="69" spans="1:124" x14ac:dyDescent="0.25">
      <c r="A69" s="14" t="s">
        <v>59</v>
      </c>
      <c r="B69" s="15"/>
      <c r="C69" s="15">
        <v>0.85</v>
      </c>
      <c r="D69" s="15"/>
      <c r="E69" s="15"/>
      <c r="F69" s="71">
        <f t="shared" si="24"/>
        <v>0.6</v>
      </c>
      <c r="G69" s="71">
        <f t="shared" ref="G69:G70" si="25">2.8/4</f>
        <v>0.7</v>
      </c>
      <c r="H69" s="71">
        <f t="shared" ref="H69:H70" si="26">2.6/4</f>
        <v>0.65</v>
      </c>
      <c r="I69" s="71">
        <f>2.5/4</f>
        <v>0.625</v>
      </c>
      <c r="J69" s="71">
        <f>2.5/4</f>
        <v>0.625</v>
      </c>
      <c r="K69" s="71">
        <f>2.7/4</f>
        <v>0.67500000000000004</v>
      </c>
      <c r="L69" s="71">
        <f t="shared" ref="L69:L70" si="27">3.1/4</f>
        <v>0.77500000000000002</v>
      </c>
      <c r="M69" s="71">
        <f t="shared" ref="M69:M70" si="28">2.9/4</f>
        <v>0.72499999999999998</v>
      </c>
      <c r="N69" s="71">
        <v>0</v>
      </c>
      <c r="O69" s="71">
        <f>2.5/3</f>
        <v>0.83333333333333337</v>
      </c>
      <c r="P69" s="71">
        <f t="shared" ref="P69:P70" si="29">3.3/4</f>
        <v>0.82499999999999996</v>
      </c>
      <c r="Q69" s="71">
        <v>0.82499999999999996</v>
      </c>
      <c r="R69" s="71">
        <v>0.82499999999999996</v>
      </c>
      <c r="S69" s="71">
        <v>0.82499999999999996</v>
      </c>
      <c r="T69" s="71">
        <v>0.82499999999999996</v>
      </c>
      <c r="U69" s="71">
        <v>0.82499999999999996</v>
      </c>
      <c r="V69" s="71">
        <f t="shared" ref="V69:V70" si="30">3.5/5</f>
        <v>0.7</v>
      </c>
      <c r="W69" s="71">
        <v>0.8</v>
      </c>
      <c r="X69" s="71">
        <f t="shared" ref="X69:X70" si="31">3.6/5</f>
        <v>0.72</v>
      </c>
      <c r="Y69" s="71">
        <v>0.85</v>
      </c>
      <c r="Z69" s="71">
        <v>0.85</v>
      </c>
      <c r="AA69" s="71">
        <v>0.8</v>
      </c>
      <c r="AB69" s="71">
        <v>0.7</v>
      </c>
      <c r="AC69" s="71">
        <v>0.7</v>
      </c>
      <c r="AD69" s="35"/>
      <c r="AE69" s="35"/>
      <c r="AF69" s="11">
        <f t="shared" si="21"/>
        <v>0</v>
      </c>
      <c r="AG69" s="11">
        <f t="shared" si="22"/>
        <v>0</v>
      </c>
      <c r="AH69" s="11">
        <f t="shared" si="23"/>
        <v>24</v>
      </c>
    </row>
    <row r="70" spans="1:124" x14ac:dyDescent="0.25">
      <c r="A70" s="14" t="s">
        <v>60</v>
      </c>
      <c r="B70" s="15"/>
      <c r="C70" s="15">
        <v>0.85</v>
      </c>
      <c r="D70" s="15"/>
      <c r="E70" s="15"/>
      <c r="F70" s="71">
        <f t="shared" si="24"/>
        <v>0.6</v>
      </c>
      <c r="G70" s="71">
        <f t="shared" si="25"/>
        <v>0.7</v>
      </c>
      <c r="H70" s="71">
        <f t="shared" si="26"/>
        <v>0.65</v>
      </c>
      <c r="I70" s="71">
        <f>2.5/4</f>
        <v>0.625</v>
      </c>
      <c r="J70" s="71">
        <f>2.5/4</f>
        <v>0.625</v>
      </c>
      <c r="K70" s="71">
        <f>2.7/4</f>
        <v>0.67500000000000004</v>
      </c>
      <c r="L70" s="71">
        <f t="shared" si="27"/>
        <v>0.77500000000000002</v>
      </c>
      <c r="M70" s="71">
        <f t="shared" si="28"/>
        <v>0.72499999999999998</v>
      </c>
      <c r="N70" s="71">
        <v>0</v>
      </c>
      <c r="O70" s="71">
        <f>2.5/3</f>
        <v>0.83333333333333337</v>
      </c>
      <c r="P70" s="71">
        <f t="shared" si="29"/>
        <v>0.82499999999999996</v>
      </c>
      <c r="Q70" s="71">
        <v>0.82499999999999996</v>
      </c>
      <c r="R70" s="71">
        <v>0.82499999999999996</v>
      </c>
      <c r="S70" s="71">
        <v>0.82499999999999996</v>
      </c>
      <c r="T70" s="71">
        <v>0.82499999999999996</v>
      </c>
      <c r="U70" s="71">
        <v>0.82499999999999996</v>
      </c>
      <c r="V70" s="71">
        <f t="shared" si="30"/>
        <v>0.7</v>
      </c>
      <c r="W70" s="71">
        <v>0.8</v>
      </c>
      <c r="X70" s="71">
        <f t="shared" si="31"/>
        <v>0.72</v>
      </c>
      <c r="Y70" s="71">
        <v>0.85</v>
      </c>
      <c r="Z70" s="71">
        <v>0.85</v>
      </c>
      <c r="AA70" s="71">
        <v>0.8</v>
      </c>
      <c r="AB70" s="71">
        <v>0.7</v>
      </c>
      <c r="AC70" s="71">
        <v>0.7</v>
      </c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24</v>
      </c>
    </row>
    <row r="71" spans="1:124" x14ac:dyDescent="0.25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x14ac:dyDescent="0.25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1"/>
        <v>24</v>
      </c>
      <c r="AG72" s="11">
        <f t="shared" si="22"/>
        <v>0</v>
      </c>
      <c r="AH72" s="11">
        <f t="shared" si="23"/>
        <v>0</v>
      </c>
    </row>
    <row r="73" spans="1:124" ht="14.25" customHeight="1" x14ac:dyDescent="0.25">
      <c r="A73" s="14" t="s">
        <v>63</v>
      </c>
      <c r="B73" s="9"/>
      <c r="C73" s="15">
        <v>0.85</v>
      </c>
      <c r="D73" s="15"/>
      <c r="E73" s="15"/>
      <c r="F73" s="71">
        <f>3/5</f>
        <v>0.6</v>
      </c>
      <c r="G73" s="71">
        <f>2.8/4</f>
        <v>0.7</v>
      </c>
      <c r="H73" s="71">
        <f>2.6/4</f>
        <v>0.65</v>
      </c>
      <c r="I73" s="71">
        <f>2.5/4</f>
        <v>0.625</v>
      </c>
      <c r="J73" s="71">
        <f>2.5/4</f>
        <v>0.625</v>
      </c>
      <c r="K73" s="71">
        <f>2.7/4</f>
        <v>0.67500000000000004</v>
      </c>
      <c r="L73" s="71">
        <f>3.1/4</f>
        <v>0.77500000000000002</v>
      </c>
      <c r="M73" s="71">
        <f>2.9/4</f>
        <v>0.72499999999999998</v>
      </c>
      <c r="N73" s="71">
        <v>0</v>
      </c>
      <c r="O73" s="71">
        <f>2.5/3</f>
        <v>0.83333333333333337</v>
      </c>
      <c r="P73" s="71">
        <f>3.3/4</f>
        <v>0.82499999999999996</v>
      </c>
      <c r="Q73" s="71">
        <v>0.82499999999999996</v>
      </c>
      <c r="R73" s="71">
        <v>0.82499999999999996</v>
      </c>
      <c r="S73" s="71">
        <v>0.82499999999999996</v>
      </c>
      <c r="T73" s="71">
        <v>0.82499999999999996</v>
      </c>
      <c r="U73" s="71">
        <v>0.82499999999999996</v>
      </c>
      <c r="V73" s="71">
        <f>3.5/5</f>
        <v>0.7</v>
      </c>
      <c r="W73" s="71">
        <v>0.8</v>
      </c>
      <c r="X73" s="71">
        <f>3.6/5</f>
        <v>0.72</v>
      </c>
      <c r="Y73" s="71">
        <v>0.85</v>
      </c>
      <c r="Z73" s="71">
        <v>0.85</v>
      </c>
      <c r="AA73" s="71">
        <v>0.8</v>
      </c>
      <c r="AB73" s="71">
        <v>0.75</v>
      </c>
      <c r="AC73" s="71">
        <v>0.7</v>
      </c>
      <c r="AD73" s="31"/>
      <c r="AE73" s="31"/>
      <c r="AF73" s="11">
        <f t="shared" si="21"/>
        <v>0</v>
      </c>
      <c r="AG73" s="11">
        <f t="shared" si="22"/>
        <v>0</v>
      </c>
      <c r="AH73" s="11">
        <f t="shared" si="23"/>
        <v>24</v>
      </c>
    </row>
    <row r="74" spans="1:124" x14ac:dyDescent="0.25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32">SUM(F65:F73)</f>
        <v>3</v>
      </c>
      <c r="G74" s="19">
        <f t="shared" si="32"/>
        <v>2.8</v>
      </c>
      <c r="H74" s="19">
        <f t="shared" si="32"/>
        <v>2.6</v>
      </c>
      <c r="I74" s="19">
        <f t="shared" si="32"/>
        <v>2.5</v>
      </c>
      <c r="J74" s="19">
        <f t="shared" si="32"/>
        <v>2.5</v>
      </c>
      <c r="K74" s="19">
        <f t="shared" si="32"/>
        <v>2.7</v>
      </c>
      <c r="L74" s="19">
        <f>SUM(L65:L73)</f>
        <v>3.1</v>
      </c>
      <c r="M74" s="19">
        <f t="shared" si="32"/>
        <v>2.9</v>
      </c>
      <c r="N74" s="19">
        <f t="shared" si="32"/>
        <v>0</v>
      </c>
      <c r="O74" s="19">
        <f t="shared" si="32"/>
        <v>2.5</v>
      </c>
      <c r="P74" s="19">
        <f t="shared" si="32"/>
        <v>3.3</v>
      </c>
      <c r="Q74" s="19">
        <f t="shared" si="32"/>
        <v>3.3</v>
      </c>
      <c r="R74" s="19">
        <f t="shared" si="32"/>
        <v>3.3</v>
      </c>
      <c r="S74" s="19">
        <f t="shared" si="32"/>
        <v>3.3</v>
      </c>
      <c r="T74" s="19">
        <f t="shared" si="32"/>
        <v>3.3</v>
      </c>
      <c r="U74" s="19">
        <f t="shared" si="32"/>
        <v>3.3</v>
      </c>
      <c r="V74" s="19">
        <f t="shared" si="32"/>
        <v>3.5</v>
      </c>
      <c r="W74" s="19">
        <f t="shared" si="32"/>
        <v>4</v>
      </c>
      <c r="X74" s="19">
        <f t="shared" si="32"/>
        <v>3.5999999999999996</v>
      </c>
      <c r="Y74" s="19">
        <f t="shared" si="32"/>
        <v>4.2</v>
      </c>
      <c r="Z74" s="19">
        <f t="shared" si="32"/>
        <v>4.2</v>
      </c>
      <c r="AA74" s="19">
        <f t="shared" si="32"/>
        <v>3.8</v>
      </c>
      <c r="AB74" s="19">
        <f t="shared" si="32"/>
        <v>3.55</v>
      </c>
      <c r="AC74" s="19">
        <f t="shared" si="32"/>
        <v>3.5</v>
      </c>
      <c r="AD74" s="34"/>
      <c r="AE74" s="34"/>
      <c r="AF74" s="11"/>
      <c r="AG74" s="11"/>
      <c r="AH74" s="11"/>
    </row>
    <row r="75" spans="1:124" x14ac:dyDescent="0.25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20.590000000000003</v>
      </c>
    </row>
    <row r="76" spans="1:124" x14ac:dyDescent="0.25">
      <c r="A76" s="14" t="s">
        <v>65</v>
      </c>
      <c r="B76" s="20"/>
      <c r="C76" s="15">
        <v>1</v>
      </c>
      <c r="D76" s="15"/>
      <c r="E76" s="15"/>
      <c r="F76" s="71">
        <v>0.83</v>
      </c>
      <c r="G76" s="71">
        <v>0.79</v>
      </c>
      <c r="H76" s="71">
        <v>0.76</v>
      </c>
      <c r="I76" s="71">
        <v>0.73</v>
      </c>
      <c r="J76" s="71">
        <v>0.74</v>
      </c>
      <c r="K76" s="71">
        <v>0.75</v>
      </c>
      <c r="L76" s="71">
        <v>0.84</v>
      </c>
      <c r="M76" s="71">
        <v>0.8</v>
      </c>
      <c r="N76" s="71">
        <v>0.71</v>
      </c>
      <c r="O76" s="71">
        <v>0.78</v>
      </c>
      <c r="P76" s="71">
        <v>0.84</v>
      </c>
      <c r="Q76" s="71">
        <v>0.89</v>
      </c>
      <c r="R76" s="71">
        <v>0.89</v>
      </c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5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>
        <v>0.94</v>
      </c>
      <c r="T77" s="71">
        <v>0.93</v>
      </c>
      <c r="U77" s="71">
        <v>0.91</v>
      </c>
      <c r="V77" s="71">
        <v>0.9</v>
      </c>
      <c r="W77" s="71">
        <v>0.88</v>
      </c>
      <c r="X77" s="71">
        <v>0.91</v>
      </c>
      <c r="Y77" s="71">
        <v>1.02</v>
      </c>
      <c r="Z77" s="71">
        <v>1.02</v>
      </c>
      <c r="AA77" s="71">
        <v>0.98</v>
      </c>
      <c r="AB77" s="71">
        <v>0.91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5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3">SUM(F76:F77)</f>
        <v>0.83</v>
      </c>
      <c r="G78" s="19">
        <f>SUM(G76:G77)</f>
        <v>0.79</v>
      </c>
      <c r="H78" s="19">
        <f>SUM(H76:H77)</f>
        <v>0.76</v>
      </c>
      <c r="I78" s="19">
        <f>SUM(I76:I77)</f>
        <v>0.73</v>
      </c>
      <c r="J78" s="19">
        <f t="shared" ref="J78:AC78" si="34">SUM(J76:J77)</f>
        <v>0.74</v>
      </c>
      <c r="K78" s="19">
        <f t="shared" si="34"/>
        <v>0.75</v>
      </c>
      <c r="L78" s="19">
        <f>SUM(L76:L77)</f>
        <v>0.84</v>
      </c>
      <c r="M78" s="19">
        <f t="shared" si="34"/>
        <v>0.8</v>
      </c>
      <c r="N78" s="19">
        <f t="shared" si="34"/>
        <v>0.71</v>
      </c>
      <c r="O78" s="19">
        <f>SUM(O76:O77)</f>
        <v>0.78</v>
      </c>
      <c r="P78" s="19">
        <f t="shared" si="34"/>
        <v>0.84</v>
      </c>
      <c r="Q78" s="19">
        <f t="shared" si="34"/>
        <v>0.89</v>
      </c>
      <c r="R78" s="19">
        <f t="shared" si="34"/>
        <v>0.89</v>
      </c>
      <c r="S78" s="19">
        <f t="shared" si="34"/>
        <v>0.94</v>
      </c>
      <c r="T78" s="19">
        <f t="shared" si="34"/>
        <v>0.93</v>
      </c>
      <c r="U78" s="19">
        <f t="shared" si="34"/>
        <v>0.91</v>
      </c>
      <c r="V78" s="19">
        <f t="shared" si="34"/>
        <v>0.9</v>
      </c>
      <c r="W78" s="19">
        <f t="shared" si="34"/>
        <v>0.88</v>
      </c>
      <c r="X78" s="19">
        <f t="shared" si="34"/>
        <v>0.91</v>
      </c>
      <c r="Y78" s="19">
        <f t="shared" si="34"/>
        <v>1.02</v>
      </c>
      <c r="Z78" s="19">
        <f t="shared" si="34"/>
        <v>1.02</v>
      </c>
      <c r="AA78" s="19">
        <f t="shared" si="34"/>
        <v>0.98</v>
      </c>
      <c r="AB78" s="19">
        <f t="shared" si="34"/>
        <v>0.91</v>
      </c>
      <c r="AC78" s="19">
        <f t="shared" si="34"/>
        <v>0.84</v>
      </c>
      <c r="AD78" s="34"/>
      <c r="AE78" s="34"/>
      <c r="AF78" s="11"/>
      <c r="AG78" s="11"/>
      <c r="AH78" s="11"/>
    </row>
    <row r="79" spans="1:124" x14ac:dyDescent="0.25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5">SUM(F17,F22,F25,F29,F32,F58,F63,F74,F78)</f>
        <v>40.539999999999992</v>
      </c>
      <c r="G79" s="28">
        <f>SUM(G17,G22,G25,G29,G32,G58,G63,G74,G78)</f>
        <v>37.689999999999991</v>
      </c>
      <c r="H79" s="28">
        <f>SUM(H17,H22,H25,H29,H32,H58,H63,H74,H78)</f>
        <v>35.93</v>
      </c>
      <c r="I79" s="28">
        <f t="shared" ref="I79:AC79" si="36">SUM(I17,I22,I25,I29,I32,I58,I63,I74,I78)</f>
        <v>34.889999999999993</v>
      </c>
      <c r="J79" s="28">
        <f t="shared" si="36"/>
        <v>34.69</v>
      </c>
      <c r="K79" s="28">
        <f>SUM(K17,K22,K25,K29,K32,K58,K63,K74,K78)</f>
        <v>36.860000000000007</v>
      </c>
      <c r="L79" s="28">
        <f t="shared" si="36"/>
        <v>41.440000000000005</v>
      </c>
      <c r="M79" s="28">
        <f t="shared" si="36"/>
        <v>38.949999999999996</v>
      </c>
      <c r="N79" s="28">
        <f t="shared" si="36"/>
        <v>38.76</v>
      </c>
      <c r="O79" s="28">
        <f t="shared" si="36"/>
        <v>51.56</v>
      </c>
      <c r="P79" s="28">
        <f>SUM(P17,P22,P25,P29,P32,P58,P63,P74,P78)</f>
        <v>58.38</v>
      </c>
      <c r="Q79" s="28">
        <f t="shared" si="36"/>
        <v>57.980000000000004</v>
      </c>
      <c r="R79" s="28">
        <f>SUM(R17,R22,R24,R29,R32,R58,R63,R74,R78)</f>
        <v>58.27999999999998</v>
      </c>
      <c r="S79" s="28">
        <f t="shared" si="36"/>
        <v>58.569999999999993</v>
      </c>
      <c r="T79" s="28">
        <f t="shared" si="36"/>
        <v>59.059999999999995</v>
      </c>
      <c r="U79" s="28">
        <f t="shared" si="36"/>
        <v>57.491111111111103</v>
      </c>
      <c r="V79" s="28">
        <f t="shared" si="36"/>
        <v>59.437222222222218</v>
      </c>
      <c r="W79" s="28">
        <f t="shared" si="36"/>
        <v>56.603333333333339</v>
      </c>
      <c r="X79" s="28">
        <f t="shared" si="36"/>
        <v>55.373333333333328</v>
      </c>
      <c r="Y79" s="28">
        <f t="shared" si="36"/>
        <v>59.25555555555556</v>
      </c>
      <c r="Z79" s="28">
        <f t="shared" si="36"/>
        <v>58.427777777777777</v>
      </c>
      <c r="AA79" s="28">
        <f t="shared" si="36"/>
        <v>54.009999999999991</v>
      </c>
      <c r="AB79" s="28">
        <f>SUM(AB17,AB22,AB25,AB29,AB32,AB58,AB63,AB74,AB78)</f>
        <v>48.579999999999991</v>
      </c>
      <c r="AC79" s="28">
        <f t="shared" si="36"/>
        <v>42.872500000000002</v>
      </c>
      <c r="AD79" s="42"/>
      <c r="AE79" s="42"/>
      <c r="AF79" s="11"/>
      <c r="AG79" s="11"/>
      <c r="AH79" s="11"/>
    </row>
    <row r="80" spans="1:124" ht="15" x14ac:dyDescent="0.2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 x14ac:dyDescent="0.25">
      <c r="A81" s="404" t="s">
        <v>68</v>
      </c>
      <c r="B81" s="404"/>
      <c r="C81" s="404"/>
      <c r="D81" s="404"/>
      <c r="E81" s="404"/>
      <c r="F81" s="404"/>
      <c r="G81" s="404"/>
      <c r="H81" s="404"/>
      <c r="I81" s="404"/>
      <c r="J81" s="404"/>
      <c r="K81" s="404"/>
      <c r="L81" s="404"/>
      <c r="M81" s="404"/>
      <c r="N81" s="404"/>
      <c r="O81" s="404"/>
      <c r="P81" s="404"/>
      <c r="Q81" s="404"/>
      <c r="R81" s="404"/>
      <c r="S81" s="404"/>
      <c r="T81" s="404"/>
      <c r="U81" s="404"/>
      <c r="V81" s="404"/>
      <c r="W81" s="404"/>
      <c r="X81" s="404"/>
      <c r="Y81" s="404"/>
      <c r="Z81" s="404"/>
      <c r="AA81" s="404"/>
      <c r="AB81" s="404"/>
      <c r="AC81" s="404"/>
      <c r="AD81" s="22"/>
      <c r="AE81" s="22"/>
      <c r="AF81" s="22"/>
      <c r="AG81" s="22"/>
      <c r="AH81" s="22"/>
    </row>
    <row r="82" spans="1:40" ht="15" x14ac:dyDescent="0.2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5">
      <c r="A83" s="405" t="s">
        <v>69</v>
      </c>
      <c r="B83" s="406"/>
      <c r="C83" s="407"/>
      <c r="D83" s="49"/>
      <c r="E83" s="49"/>
      <c r="F83" s="411" t="s">
        <v>70</v>
      </c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411"/>
      <c r="R83" s="411"/>
      <c r="S83" s="411"/>
      <c r="T83" s="411"/>
      <c r="U83" s="411"/>
      <c r="V83" s="411"/>
      <c r="W83" s="411"/>
      <c r="X83" s="411"/>
      <c r="Y83" s="411"/>
      <c r="Z83" s="411"/>
      <c r="AA83" s="411"/>
      <c r="AB83" s="411"/>
      <c r="AC83" s="411"/>
      <c r="AD83" s="5"/>
      <c r="AE83" s="5"/>
      <c r="AF83" s="5"/>
      <c r="AG83" s="5"/>
      <c r="AH83" s="5"/>
    </row>
    <row r="84" spans="1:40" ht="15.6" customHeight="1" x14ac:dyDescent="0.25">
      <c r="A84" s="408"/>
      <c r="B84" s="409"/>
      <c r="C84" s="410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5">
      <c r="A85" s="399" t="s">
        <v>27</v>
      </c>
      <c r="B85" s="400"/>
      <c r="C85" s="401"/>
      <c r="D85" s="45"/>
      <c r="E85" s="45"/>
      <c r="F85" s="64">
        <f t="shared" ref="F85:AC85" si="37">SUM(F22,F25)</f>
        <v>3.2</v>
      </c>
      <c r="G85" s="64">
        <f t="shared" si="37"/>
        <v>3.2</v>
      </c>
      <c r="H85" s="64">
        <f t="shared" si="37"/>
        <v>3.2</v>
      </c>
      <c r="I85" s="64">
        <f t="shared" si="37"/>
        <v>3.2</v>
      </c>
      <c r="J85" s="64">
        <f t="shared" si="37"/>
        <v>3.3</v>
      </c>
      <c r="K85" s="64">
        <f t="shared" si="37"/>
        <v>3.3</v>
      </c>
      <c r="L85" s="64">
        <f t="shared" si="37"/>
        <v>3.2</v>
      </c>
      <c r="M85" s="64">
        <f t="shared" si="37"/>
        <v>3.2</v>
      </c>
      <c r="N85" s="64">
        <f t="shared" si="37"/>
        <v>3.2</v>
      </c>
      <c r="O85" s="64">
        <f t="shared" si="37"/>
        <v>3.2</v>
      </c>
      <c r="P85" s="64">
        <f t="shared" si="37"/>
        <v>3.2</v>
      </c>
      <c r="Q85" s="64">
        <f t="shared" si="37"/>
        <v>3.2</v>
      </c>
      <c r="R85" s="64">
        <f t="shared" si="37"/>
        <v>3.2</v>
      </c>
      <c r="S85" s="64">
        <f t="shared" si="37"/>
        <v>3.2</v>
      </c>
      <c r="T85" s="64">
        <f t="shared" si="37"/>
        <v>3.2</v>
      </c>
      <c r="U85" s="64">
        <f t="shared" si="37"/>
        <v>3.2</v>
      </c>
      <c r="V85" s="64">
        <f t="shared" si="37"/>
        <v>3.2</v>
      </c>
      <c r="W85" s="64">
        <f t="shared" si="37"/>
        <v>3.2</v>
      </c>
      <c r="X85" s="64">
        <f t="shared" si="37"/>
        <v>3.2</v>
      </c>
      <c r="Y85" s="64">
        <f t="shared" si="37"/>
        <v>3.2</v>
      </c>
      <c r="Z85" s="64">
        <f t="shared" si="37"/>
        <v>3.2</v>
      </c>
      <c r="AA85" s="64">
        <f t="shared" si="37"/>
        <v>3.2</v>
      </c>
      <c r="AB85" s="64">
        <f>SUM(AB22,AB25)</f>
        <v>3.2</v>
      </c>
      <c r="AC85" s="64">
        <f t="shared" si="37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5">
      <c r="A86" s="413" t="s">
        <v>71</v>
      </c>
      <c r="B86" s="413"/>
      <c r="C86" s="414"/>
      <c r="D86" s="45"/>
      <c r="E86" s="45"/>
      <c r="F86" s="68">
        <v>1.4E-2</v>
      </c>
      <c r="G86" s="68" t="s">
        <v>1</v>
      </c>
      <c r="H86" s="68" t="s">
        <v>1</v>
      </c>
      <c r="I86" s="68" t="s">
        <v>1</v>
      </c>
      <c r="J86" s="68" t="s">
        <v>1</v>
      </c>
      <c r="K86" s="68" t="s">
        <v>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 t="s">
        <v>1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 x14ac:dyDescent="0.25">
      <c r="A87" s="399" t="s">
        <v>72</v>
      </c>
      <c r="B87" s="400"/>
      <c r="C87" s="401"/>
      <c r="D87" s="45"/>
      <c r="E87" s="45"/>
      <c r="F87" s="64">
        <f t="shared" ref="F87:AC87" si="38">F17</f>
        <v>26.6</v>
      </c>
      <c r="G87" s="64">
        <f t="shared" si="38"/>
        <v>19.799999999999997</v>
      </c>
      <c r="H87" s="64">
        <f t="shared" si="38"/>
        <v>19.799999999999997</v>
      </c>
      <c r="I87" s="64">
        <f t="shared" si="38"/>
        <v>20.100000000000001</v>
      </c>
      <c r="J87" s="64">
        <f t="shared" si="38"/>
        <v>19.799999999999997</v>
      </c>
      <c r="K87" s="64">
        <f t="shared" si="38"/>
        <v>20.5</v>
      </c>
      <c r="L87" s="64">
        <f t="shared" si="38"/>
        <v>20.100000000000001</v>
      </c>
      <c r="M87" s="64">
        <f t="shared" si="38"/>
        <v>19.200000000000003</v>
      </c>
      <c r="N87" s="64">
        <f t="shared" si="38"/>
        <v>21.299999999999997</v>
      </c>
      <c r="O87" s="64">
        <f t="shared" si="38"/>
        <v>26.4</v>
      </c>
      <c r="P87" s="64">
        <f t="shared" si="38"/>
        <v>26.4</v>
      </c>
      <c r="Q87" s="64">
        <f t="shared" si="38"/>
        <v>26.8</v>
      </c>
      <c r="R87" s="64">
        <f t="shared" si="38"/>
        <v>26.4</v>
      </c>
      <c r="S87" s="64">
        <f t="shared" si="38"/>
        <v>26.4</v>
      </c>
      <c r="T87" s="64">
        <f t="shared" si="38"/>
        <v>26.8</v>
      </c>
      <c r="U87" s="64">
        <f t="shared" si="38"/>
        <v>26.4</v>
      </c>
      <c r="V87" s="64">
        <f t="shared" si="38"/>
        <v>27.2</v>
      </c>
      <c r="W87" s="64">
        <f t="shared" si="38"/>
        <v>26.4</v>
      </c>
      <c r="X87" s="64">
        <f t="shared" si="38"/>
        <v>26.8</v>
      </c>
      <c r="Y87" s="64">
        <f t="shared" si="38"/>
        <v>26.4</v>
      </c>
      <c r="Z87" s="64">
        <f t="shared" si="38"/>
        <v>26.599999999999998</v>
      </c>
      <c r="AA87" s="64">
        <f t="shared" si="38"/>
        <v>26.4</v>
      </c>
      <c r="AB87" s="64">
        <f t="shared" si="38"/>
        <v>26</v>
      </c>
      <c r="AC87" s="64">
        <f t="shared" si="38"/>
        <v>25.2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413" t="s">
        <v>73</v>
      </c>
      <c r="B88" s="413"/>
      <c r="C88" s="414"/>
      <c r="D88" s="45"/>
      <c r="E88" s="45"/>
      <c r="F88" s="68">
        <v>0.71</v>
      </c>
      <c r="G88" s="68">
        <v>0.88100000000000001</v>
      </c>
      <c r="H88" s="68">
        <v>0.9</v>
      </c>
      <c r="I88" s="68">
        <v>0.88300000000000001</v>
      </c>
      <c r="J88" s="68">
        <v>0.67700000000000005</v>
      </c>
      <c r="K88" s="68">
        <v>0.69899999999999995</v>
      </c>
      <c r="L88" s="68">
        <v>0.80600000000000005</v>
      </c>
      <c r="M88" s="68">
        <v>0.82699999999999996</v>
      </c>
      <c r="N88" s="68">
        <v>0.998</v>
      </c>
      <c r="O88" s="68">
        <v>0.68500000000000005</v>
      </c>
      <c r="P88" s="68">
        <v>0.81</v>
      </c>
      <c r="Q88" s="68">
        <v>1.08</v>
      </c>
      <c r="R88" s="68">
        <v>0.7</v>
      </c>
      <c r="S88" s="68">
        <v>0.8</v>
      </c>
      <c r="T88" s="68">
        <v>0.88</v>
      </c>
      <c r="U88" s="68">
        <v>0.92</v>
      </c>
      <c r="V88" s="68">
        <v>0.90600000000000003</v>
      </c>
      <c r="W88" s="68">
        <v>0.69499999999999995</v>
      </c>
      <c r="X88" s="68">
        <v>0.82</v>
      </c>
      <c r="Y88" s="68">
        <v>0.8</v>
      </c>
      <c r="Z88" s="68">
        <v>0.90300000000000002</v>
      </c>
      <c r="AA88" s="68">
        <v>0.90100000000000002</v>
      </c>
      <c r="AB88" s="68">
        <v>0.90300000000000002</v>
      </c>
      <c r="AC88" s="68">
        <v>0.92700000000000005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399" t="s">
        <v>29</v>
      </c>
      <c r="B89" s="400"/>
      <c r="C89" s="401"/>
      <c r="D89" s="45"/>
      <c r="E89" s="45"/>
      <c r="F89" s="65">
        <f t="shared" ref="F89:AC89" si="39">F29</f>
        <v>6</v>
      </c>
      <c r="G89" s="65">
        <f t="shared" si="39"/>
        <v>8</v>
      </c>
      <c r="H89" s="65">
        <f t="shared" si="39"/>
        <v>8</v>
      </c>
      <c r="I89" s="65">
        <f t="shared" si="39"/>
        <v>7.6</v>
      </c>
      <c r="J89" s="65">
        <f t="shared" si="39"/>
        <v>7.6</v>
      </c>
      <c r="K89" s="65">
        <f t="shared" si="39"/>
        <v>8</v>
      </c>
      <c r="L89" s="65">
        <f t="shared" si="39"/>
        <v>8.4</v>
      </c>
      <c r="M89" s="65">
        <f t="shared" si="39"/>
        <v>7.8</v>
      </c>
      <c r="N89" s="65">
        <f t="shared" si="39"/>
        <v>7.8</v>
      </c>
      <c r="O89" s="65">
        <f t="shared" si="39"/>
        <v>7.8</v>
      </c>
      <c r="P89" s="65">
        <f t="shared" si="39"/>
        <v>8.6</v>
      </c>
      <c r="Q89" s="65">
        <f t="shared" si="39"/>
        <v>8.6</v>
      </c>
      <c r="R89" s="65">
        <f t="shared" si="39"/>
        <v>8</v>
      </c>
      <c r="S89" s="65">
        <f t="shared" si="39"/>
        <v>8.1999999999999993</v>
      </c>
      <c r="T89" s="65">
        <f t="shared" si="39"/>
        <v>8.6</v>
      </c>
      <c r="U89" s="65">
        <f t="shared" si="39"/>
        <v>8.4</v>
      </c>
      <c r="V89" s="65">
        <f t="shared" si="39"/>
        <v>8.4</v>
      </c>
      <c r="W89" s="65">
        <f t="shared" si="39"/>
        <v>8.4</v>
      </c>
      <c r="X89" s="65">
        <f t="shared" si="39"/>
        <v>7.8</v>
      </c>
      <c r="Y89" s="65">
        <f t="shared" si="39"/>
        <v>8</v>
      </c>
      <c r="Z89" s="65">
        <f t="shared" si="39"/>
        <v>7.8</v>
      </c>
      <c r="AA89" s="65">
        <f t="shared" si="39"/>
        <v>7.2</v>
      </c>
      <c r="AB89" s="65">
        <f t="shared" si="39"/>
        <v>7.2</v>
      </c>
      <c r="AC89" s="65">
        <f t="shared" si="39"/>
        <v>5.8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413" t="s">
        <v>74</v>
      </c>
      <c r="B90" s="413"/>
      <c r="C90" s="414"/>
      <c r="D90" s="45"/>
      <c r="E90" s="45"/>
      <c r="F90" s="68">
        <v>0.26300000000000001</v>
      </c>
      <c r="G90" s="68">
        <v>0.24399999999999999</v>
      </c>
      <c r="H90" s="68">
        <v>0.26400000000000001</v>
      </c>
      <c r="I90" s="68">
        <v>0.254</v>
      </c>
      <c r="J90" s="68">
        <v>0.245</v>
      </c>
      <c r="K90" s="68">
        <v>0.254</v>
      </c>
      <c r="L90" s="68">
        <v>0.25600000000000001</v>
      </c>
      <c r="M90" s="68">
        <v>0.255</v>
      </c>
      <c r="N90" s="68">
        <v>0.29199999999999998</v>
      </c>
      <c r="O90" s="68">
        <v>0.28799999999999998</v>
      </c>
      <c r="P90" s="68">
        <v>0.28000000000000003</v>
      </c>
      <c r="Q90" s="68">
        <v>0.28699999999999998</v>
      </c>
      <c r="R90" s="68">
        <v>0.28199999999999997</v>
      </c>
      <c r="S90" s="68">
        <v>0.28100000000000003</v>
      </c>
      <c r="T90" s="68">
        <v>0.3</v>
      </c>
      <c r="U90" s="68">
        <v>0.30199999999999999</v>
      </c>
      <c r="V90" s="68">
        <v>0.29899999999999999</v>
      </c>
      <c r="W90" s="68">
        <v>0.28599999999999998</v>
      </c>
      <c r="X90" s="68">
        <v>0.27700000000000002</v>
      </c>
      <c r="Y90" s="68">
        <v>0.26800000000000002</v>
      </c>
      <c r="Z90" s="68">
        <v>0.3</v>
      </c>
      <c r="AA90" s="68">
        <v>0.29299999999999998</v>
      </c>
      <c r="AB90" s="68">
        <v>0.29299999999999998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399" t="s">
        <v>30</v>
      </c>
      <c r="B91" s="400"/>
      <c r="C91" s="401"/>
      <c r="D91" s="45"/>
      <c r="E91" s="45"/>
      <c r="F91" s="65">
        <f t="shared" ref="F91:AC91" si="40">F32</f>
        <v>0</v>
      </c>
      <c r="G91" s="65">
        <f t="shared" si="40"/>
        <v>0</v>
      </c>
      <c r="H91" s="65">
        <f t="shared" si="40"/>
        <v>0</v>
      </c>
      <c r="I91" s="65">
        <f t="shared" si="40"/>
        <v>0</v>
      </c>
      <c r="J91" s="65">
        <f t="shared" si="40"/>
        <v>0</v>
      </c>
      <c r="K91" s="65">
        <f t="shared" si="40"/>
        <v>0</v>
      </c>
      <c r="L91" s="65">
        <f t="shared" si="40"/>
        <v>0</v>
      </c>
      <c r="M91" s="65">
        <f t="shared" si="40"/>
        <v>0</v>
      </c>
      <c r="N91" s="65">
        <f t="shared" si="40"/>
        <v>0</v>
      </c>
      <c r="O91" s="65">
        <f t="shared" si="40"/>
        <v>0</v>
      </c>
      <c r="P91" s="65">
        <f t="shared" si="40"/>
        <v>0</v>
      </c>
      <c r="Q91" s="65">
        <f t="shared" si="40"/>
        <v>0</v>
      </c>
      <c r="R91" s="65">
        <f t="shared" si="40"/>
        <v>0</v>
      </c>
      <c r="S91" s="65">
        <f t="shared" si="40"/>
        <v>0</v>
      </c>
      <c r="T91" s="65">
        <f t="shared" si="40"/>
        <v>0</v>
      </c>
      <c r="U91" s="65">
        <f t="shared" si="40"/>
        <v>0</v>
      </c>
      <c r="V91" s="65">
        <f t="shared" si="40"/>
        <v>0</v>
      </c>
      <c r="W91" s="65">
        <f t="shared" si="40"/>
        <v>0</v>
      </c>
      <c r="X91" s="65">
        <f t="shared" si="40"/>
        <v>0</v>
      </c>
      <c r="Y91" s="65">
        <f t="shared" si="40"/>
        <v>0</v>
      </c>
      <c r="Z91" s="65">
        <f t="shared" si="40"/>
        <v>0</v>
      </c>
      <c r="AA91" s="65">
        <f t="shared" si="40"/>
        <v>0</v>
      </c>
      <c r="AB91" s="65">
        <f t="shared" si="40"/>
        <v>0</v>
      </c>
      <c r="AC91" s="65">
        <f t="shared" si="40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5">
      <c r="A92" s="413" t="s">
        <v>75</v>
      </c>
      <c r="B92" s="413"/>
      <c r="C92" s="414"/>
      <c r="D92" s="68"/>
      <c r="E92" s="68"/>
      <c r="F92" s="68">
        <v>0.06</v>
      </c>
      <c r="G92" s="68">
        <v>7.0000000000000007E-2</v>
      </c>
      <c r="H92" s="68">
        <v>7.0000000000000007E-2</v>
      </c>
      <c r="I92" s="68">
        <v>0.08</v>
      </c>
      <c r="J92" s="68">
        <v>0.06</v>
      </c>
      <c r="K92" s="68">
        <v>0.06</v>
      </c>
      <c r="L92" s="68">
        <v>0.09</v>
      </c>
      <c r="M92" s="68">
        <v>7.0000000000000007E-2</v>
      </c>
      <c r="N92" s="68">
        <v>0.06</v>
      </c>
      <c r="O92" s="68">
        <v>0.08</v>
      </c>
      <c r="P92" s="68">
        <v>0.09</v>
      </c>
      <c r="Q92" s="68">
        <v>0.08</v>
      </c>
      <c r="R92" s="68">
        <v>0.08</v>
      </c>
      <c r="S92" s="68">
        <v>7.0000000000000007E-2</v>
      </c>
      <c r="T92" s="68">
        <v>0.09</v>
      </c>
      <c r="U92" s="68">
        <v>7.0000000000000007E-2</v>
      </c>
      <c r="V92" s="68">
        <v>7.0000000000000007E-2</v>
      </c>
      <c r="W92" s="68">
        <v>0.09</v>
      </c>
      <c r="X92" s="68">
        <v>7.0000000000000007E-2</v>
      </c>
      <c r="Y92" s="68">
        <v>0.09</v>
      </c>
      <c r="Z92" s="68">
        <v>0.09</v>
      </c>
      <c r="AA92" s="68">
        <v>0.03</v>
      </c>
      <c r="AB92" s="68">
        <v>0.03</v>
      </c>
      <c r="AC92" s="68">
        <v>0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5">
      <c r="A93" s="399" t="s">
        <v>31</v>
      </c>
      <c r="B93" s="400"/>
      <c r="C93" s="401"/>
      <c r="D93" s="45"/>
      <c r="E93" s="45"/>
      <c r="F93" s="64">
        <f>F58</f>
        <v>0</v>
      </c>
      <c r="G93" s="64">
        <f t="shared" ref="G93:AC93" si="41">G58</f>
        <v>2.2999999999999998</v>
      </c>
      <c r="H93" s="64">
        <f t="shared" si="41"/>
        <v>0.8</v>
      </c>
      <c r="I93" s="64">
        <f t="shared" si="41"/>
        <v>0</v>
      </c>
      <c r="J93" s="64">
        <f t="shared" si="41"/>
        <v>0</v>
      </c>
      <c r="K93" s="64">
        <f t="shared" si="41"/>
        <v>0.8</v>
      </c>
      <c r="L93" s="64">
        <f t="shared" si="41"/>
        <v>4.8</v>
      </c>
      <c r="M93" s="64">
        <f t="shared" si="41"/>
        <v>4</v>
      </c>
      <c r="N93" s="64">
        <f t="shared" si="41"/>
        <v>4.8</v>
      </c>
      <c r="O93" s="64">
        <f t="shared" si="41"/>
        <v>9.7000000000000011</v>
      </c>
      <c r="P93" s="64">
        <f t="shared" si="41"/>
        <v>14.800000000000004</v>
      </c>
      <c r="Q93" s="64">
        <f t="shared" si="41"/>
        <v>13.900000000000004</v>
      </c>
      <c r="R93" s="64">
        <f t="shared" si="41"/>
        <v>15.199999999999989</v>
      </c>
      <c r="S93" s="64">
        <f t="shared" si="41"/>
        <v>15.200000000000005</v>
      </c>
      <c r="T93" s="64">
        <f t="shared" si="41"/>
        <v>14.899999999999997</v>
      </c>
      <c r="U93" s="64">
        <f t="shared" si="41"/>
        <v>14.101111111111107</v>
      </c>
      <c r="V93" s="64">
        <f t="shared" si="41"/>
        <v>14.902222222222219</v>
      </c>
      <c r="W93" s="64">
        <f t="shared" si="41"/>
        <v>12.403333333333332</v>
      </c>
      <c r="X93" s="64">
        <f t="shared" si="41"/>
        <v>11.703333333333335</v>
      </c>
      <c r="Y93" s="64">
        <f t="shared" si="41"/>
        <v>14.895555555555561</v>
      </c>
      <c r="Z93" s="64">
        <f t="shared" si="41"/>
        <v>14.097777777777781</v>
      </c>
      <c r="AA93" s="64">
        <f t="shared" si="41"/>
        <v>10.999999999999998</v>
      </c>
      <c r="AB93" s="64">
        <f t="shared" si="41"/>
        <v>6.3999999999999995</v>
      </c>
      <c r="AC93" s="64">
        <f t="shared" si="41"/>
        <v>3.1924999999999999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50</v>
      </c>
      <c r="B94" s="400"/>
      <c r="C94" s="401"/>
      <c r="D94" s="45"/>
      <c r="E94" s="45"/>
      <c r="F94" s="64">
        <f t="shared" ref="F94:AC94" si="42">F63</f>
        <v>0.91</v>
      </c>
      <c r="G94" s="64">
        <f t="shared" si="42"/>
        <v>0.8</v>
      </c>
      <c r="H94" s="64">
        <f t="shared" si="42"/>
        <v>0.77</v>
      </c>
      <c r="I94" s="64">
        <f t="shared" si="42"/>
        <v>0.76</v>
      </c>
      <c r="J94" s="64">
        <f t="shared" si="42"/>
        <v>0.75</v>
      </c>
      <c r="K94" s="64">
        <f t="shared" si="42"/>
        <v>0.81</v>
      </c>
      <c r="L94" s="64">
        <f t="shared" si="42"/>
        <v>1</v>
      </c>
      <c r="M94" s="64">
        <f t="shared" si="42"/>
        <v>1.05</v>
      </c>
      <c r="N94" s="64">
        <f t="shared" si="42"/>
        <v>0.95</v>
      </c>
      <c r="O94" s="64">
        <f t="shared" si="42"/>
        <v>1.18</v>
      </c>
      <c r="P94" s="64">
        <f t="shared" si="42"/>
        <v>1.24</v>
      </c>
      <c r="Q94" s="64">
        <f t="shared" si="42"/>
        <v>1.29</v>
      </c>
      <c r="R94" s="64">
        <f t="shared" si="42"/>
        <v>1.29</v>
      </c>
      <c r="S94" s="64">
        <f t="shared" si="42"/>
        <v>1.33</v>
      </c>
      <c r="T94" s="64">
        <f t="shared" si="42"/>
        <v>1.33</v>
      </c>
      <c r="U94" s="64">
        <f t="shared" si="42"/>
        <v>1.18</v>
      </c>
      <c r="V94" s="64">
        <f t="shared" si="42"/>
        <v>1.335</v>
      </c>
      <c r="W94" s="64">
        <f t="shared" si="42"/>
        <v>1.32</v>
      </c>
      <c r="X94" s="64">
        <f t="shared" si="42"/>
        <v>1.36</v>
      </c>
      <c r="Y94" s="64">
        <f t="shared" si="42"/>
        <v>1.54</v>
      </c>
      <c r="Z94" s="64">
        <f t="shared" si="42"/>
        <v>1.51</v>
      </c>
      <c r="AA94" s="64">
        <f t="shared" si="42"/>
        <v>1.43</v>
      </c>
      <c r="AB94" s="64">
        <f t="shared" si="42"/>
        <v>1.32</v>
      </c>
      <c r="AC94" s="64">
        <f t="shared" si="42"/>
        <v>1.1399999999999999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399" t="s">
        <v>54</v>
      </c>
      <c r="B95" s="400"/>
      <c r="C95" s="401"/>
      <c r="D95" s="45"/>
      <c r="E95" s="45"/>
      <c r="F95" s="64">
        <f t="shared" ref="F95:AC95" si="43">F74</f>
        <v>3</v>
      </c>
      <c r="G95" s="64">
        <f t="shared" si="43"/>
        <v>2.8</v>
      </c>
      <c r="H95" s="64">
        <f t="shared" si="43"/>
        <v>2.6</v>
      </c>
      <c r="I95" s="64">
        <f t="shared" si="43"/>
        <v>2.5</v>
      </c>
      <c r="J95" s="64">
        <f t="shared" si="43"/>
        <v>2.5</v>
      </c>
      <c r="K95" s="64">
        <f t="shared" si="43"/>
        <v>2.7</v>
      </c>
      <c r="L95" s="64">
        <f t="shared" si="43"/>
        <v>3.1</v>
      </c>
      <c r="M95" s="64">
        <f t="shared" si="43"/>
        <v>2.9</v>
      </c>
      <c r="N95" s="64">
        <f t="shared" si="43"/>
        <v>0</v>
      </c>
      <c r="O95" s="64">
        <f t="shared" si="43"/>
        <v>2.5</v>
      </c>
      <c r="P95" s="64">
        <f t="shared" si="43"/>
        <v>3.3</v>
      </c>
      <c r="Q95" s="64">
        <f t="shared" si="43"/>
        <v>3.3</v>
      </c>
      <c r="R95" s="64">
        <f t="shared" si="43"/>
        <v>3.3</v>
      </c>
      <c r="S95" s="64">
        <f t="shared" si="43"/>
        <v>3.3</v>
      </c>
      <c r="T95" s="64">
        <f t="shared" si="43"/>
        <v>3.3</v>
      </c>
      <c r="U95" s="64">
        <f t="shared" si="43"/>
        <v>3.3</v>
      </c>
      <c r="V95" s="64">
        <f t="shared" si="43"/>
        <v>3.5</v>
      </c>
      <c r="W95" s="64">
        <f t="shared" si="43"/>
        <v>4</v>
      </c>
      <c r="X95" s="64">
        <f t="shared" si="43"/>
        <v>3.5999999999999996</v>
      </c>
      <c r="Y95" s="64">
        <f t="shared" si="43"/>
        <v>4.2</v>
      </c>
      <c r="Z95" s="64">
        <f t="shared" si="43"/>
        <v>4.2</v>
      </c>
      <c r="AA95" s="64">
        <f t="shared" si="43"/>
        <v>3.8</v>
      </c>
      <c r="AB95" s="64">
        <f t="shared" si="43"/>
        <v>3.55</v>
      </c>
      <c r="AC95" s="64">
        <f t="shared" si="43"/>
        <v>3.5</v>
      </c>
    </row>
    <row r="96" spans="1:40" ht="18" x14ac:dyDescent="0.25">
      <c r="A96" s="399" t="s">
        <v>64</v>
      </c>
      <c r="B96" s="400"/>
      <c r="C96" s="401"/>
      <c r="D96" s="45"/>
      <c r="E96" s="45"/>
      <c r="F96" s="64">
        <f t="shared" ref="F96:AC96" si="44">F78</f>
        <v>0.83</v>
      </c>
      <c r="G96" s="64">
        <f t="shared" si="44"/>
        <v>0.79</v>
      </c>
      <c r="H96" s="64">
        <f t="shared" si="44"/>
        <v>0.76</v>
      </c>
      <c r="I96" s="64">
        <f t="shared" si="44"/>
        <v>0.73</v>
      </c>
      <c r="J96" s="64">
        <f t="shared" si="44"/>
        <v>0.74</v>
      </c>
      <c r="K96" s="64">
        <f t="shared" si="44"/>
        <v>0.75</v>
      </c>
      <c r="L96" s="64">
        <f t="shared" si="44"/>
        <v>0.84</v>
      </c>
      <c r="M96" s="64">
        <f t="shared" si="44"/>
        <v>0.8</v>
      </c>
      <c r="N96" s="64">
        <f t="shared" si="44"/>
        <v>0.71</v>
      </c>
      <c r="O96" s="64">
        <f t="shared" si="44"/>
        <v>0.78</v>
      </c>
      <c r="P96" s="64">
        <f t="shared" si="44"/>
        <v>0.84</v>
      </c>
      <c r="Q96" s="64">
        <f t="shared" si="44"/>
        <v>0.89</v>
      </c>
      <c r="R96" s="64">
        <f t="shared" si="44"/>
        <v>0.89</v>
      </c>
      <c r="S96" s="64">
        <f t="shared" si="44"/>
        <v>0.94</v>
      </c>
      <c r="T96" s="64">
        <f t="shared" si="44"/>
        <v>0.93</v>
      </c>
      <c r="U96" s="64">
        <f t="shared" si="44"/>
        <v>0.91</v>
      </c>
      <c r="V96" s="64">
        <f t="shared" si="44"/>
        <v>0.9</v>
      </c>
      <c r="W96" s="64">
        <f t="shared" si="44"/>
        <v>0.88</v>
      </c>
      <c r="X96" s="64">
        <f t="shared" si="44"/>
        <v>0.91</v>
      </c>
      <c r="Y96" s="64">
        <f t="shared" si="44"/>
        <v>1.02</v>
      </c>
      <c r="Z96" s="64">
        <f t="shared" si="44"/>
        <v>1.02</v>
      </c>
      <c r="AA96" s="64">
        <f t="shared" si="44"/>
        <v>0.98</v>
      </c>
      <c r="AB96" s="64">
        <f t="shared" si="44"/>
        <v>0.91</v>
      </c>
      <c r="AC96" s="64">
        <f t="shared" si="44"/>
        <v>0.84</v>
      </c>
    </row>
    <row r="97" spans="1:40" ht="22.35" customHeight="1" x14ac:dyDescent="0.25">
      <c r="A97" s="412" t="s">
        <v>76</v>
      </c>
      <c r="B97" s="412"/>
      <c r="C97" s="412"/>
      <c r="D97" s="47"/>
      <c r="E97" s="47"/>
      <c r="F97" s="61">
        <f t="shared" ref="F97:AC97" si="45">SUM(F85,F87,F89,F91,F93:F96)</f>
        <v>40.539999999999992</v>
      </c>
      <c r="G97" s="61">
        <f t="shared" si="45"/>
        <v>37.689999999999991</v>
      </c>
      <c r="H97" s="61">
        <f t="shared" si="45"/>
        <v>35.93</v>
      </c>
      <c r="I97" s="61">
        <f t="shared" si="45"/>
        <v>34.889999999999993</v>
      </c>
      <c r="J97" s="61">
        <f t="shared" si="45"/>
        <v>34.69</v>
      </c>
      <c r="K97" s="61">
        <f>SUM(K85,K87,K89,K91,K93:K96)</f>
        <v>36.860000000000007</v>
      </c>
      <c r="L97" s="61">
        <f t="shared" si="45"/>
        <v>41.440000000000005</v>
      </c>
      <c r="M97" s="61">
        <f t="shared" si="45"/>
        <v>38.949999999999996</v>
      </c>
      <c r="N97" s="61">
        <f t="shared" si="45"/>
        <v>38.76</v>
      </c>
      <c r="O97" s="61">
        <f t="shared" si="45"/>
        <v>51.56</v>
      </c>
      <c r="P97" s="61">
        <f t="shared" si="45"/>
        <v>58.38</v>
      </c>
      <c r="Q97" s="61">
        <f t="shared" si="45"/>
        <v>57.980000000000004</v>
      </c>
      <c r="R97" s="61">
        <f t="shared" si="45"/>
        <v>58.27999999999998</v>
      </c>
      <c r="S97" s="61">
        <f>SUM(S85,S87,S89,S91,S93:S96)</f>
        <v>58.569999999999993</v>
      </c>
      <c r="T97" s="61">
        <f t="shared" si="45"/>
        <v>59.059999999999995</v>
      </c>
      <c r="U97" s="61">
        <f t="shared" si="45"/>
        <v>57.491111111111103</v>
      </c>
      <c r="V97" s="61">
        <f t="shared" si="45"/>
        <v>59.437222222222218</v>
      </c>
      <c r="W97" s="61">
        <f t="shared" si="45"/>
        <v>56.603333333333339</v>
      </c>
      <c r="X97" s="61">
        <f t="shared" si="45"/>
        <v>55.373333333333328</v>
      </c>
      <c r="Y97" s="61">
        <f t="shared" si="45"/>
        <v>59.25555555555556</v>
      </c>
      <c r="Z97" s="61">
        <f>SUM(Z85,Z87,Z89,Z91,Z93:Z96)</f>
        <v>58.427777777777777</v>
      </c>
      <c r="AA97" s="61">
        <f t="shared" si="45"/>
        <v>54.009999999999991</v>
      </c>
      <c r="AB97" s="61">
        <f>SUM(AB85,AB87,AB89,AB91,AB93:AB96)</f>
        <v>48.579999999999991</v>
      </c>
      <c r="AC97" s="61">
        <f t="shared" si="45"/>
        <v>42.872500000000002</v>
      </c>
    </row>
    <row r="98" spans="1:40" ht="22.35" customHeight="1" x14ac:dyDescent="0.25">
      <c r="A98" s="415" t="s">
        <v>77</v>
      </c>
      <c r="B98" s="415"/>
      <c r="C98" s="415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>
        <v>1.66</v>
      </c>
      <c r="R98" s="77">
        <v>1.66</v>
      </c>
      <c r="S98" s="77">
        <f>1.66+1</f>
        <v>2.66</v>
      </c>
      <c r="T98" s="77">
        <f>3.13+0.48+1.7</f>
        <v>5.31</v>
      </c>
      <c r="U98" s="77">
        <f>3.13+1.7</f>
        <v>4.83</v>
      </c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5">
      <c r="A99" s="415" t="s">
        <v>78</v>
      </c>
      <c r="B99" s="415"/>
      <c r="C99" s="415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5">
      <c r="A100" s="415" t="s">
        <v>79</v>
      </c>
      <c r="B100" s="415"/>
      <c r="C100" s="415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5">
      <c r="A101" s="412" t="s">
        <v>80</v>
      </c>
      <c r="B101" s="412"/>
      <c r="C101" s="412"/>
      <c r="D101" s="47"/>
      <c r="E101" s="47"/>
      <c r="F101" s="61">
        <f t="shared" ref="F101:AC101" si="46">SUM(F98:F100)</f>
        <v>0</v>
      </c>
      <c r="G101" s="61">
        <f t="shared" si="46"/>
        <v>0</v>
      </c>
      <c r="H101" s="61">
        <f t="shared" si="46"/>
        <v>0</v>
      </c>
      <c r="I101" s="61">
        <f t="shared" si="46"/>
        <v>0</v>
      </c>
      <c r="J101" s="61">
        <f t="shared" si="46"/>
        <v>0</v>
      </c>
      <c r="K101" s="61">
        <f t="shared" si="46"/>
        <v>0</v>
      </c>
      <c r="L101" s="61">
        <f t="shared" si="46"/>
        <v>0</v>
      </c>
      <c r="M101" s="61">
        <f t="shared" si="46"/>
        <v>0</v>
      </c>
      <c r="N101" s="61">
        <f t="shared" si="46"/>
        <v>0</v>
      </c>
      <c r="O101" s="61">
        <f t="shared" si="46"/>
        <v>0</v>
      </c>
      <c r="P101" s="61">
        <f t="shared" si="46"/>
        <v>0</v>
      </c>
      <c r="Q101" s="61">
        <f t="shared" si="46"/>
        <v>1.66</v>
      </c>
      <c r="R101" s="61">
        <f t="shared" si="46"/>
        <v>1.66</v>
      </c>
      <c r="S101" s="61">
        <f t="shared" si="46"/>
        <v>2.66</v>
      </c>
      <c r="T101" s="61">
        <f t="shared" si="46"/>
        <v>5.31</v>
      </c>
      <c r="U101" s="61">
        <f t="shared" si="46"/>
        <v>4.83</v>
      </c>
      <c r="V101" s="61">
        <f t="shared" si="46"/>
        <v>0</v>
      </c>
      <c r="W101" s="61">
        <f t="shared" si="46"/>
        <v>0</v>
      </c>
      <c r="X101" s="61">
        <f t="shared" si="46"/>
        <v>0</v>
      </c>
      <c r="Y101" s="61">
        <f t="shared" si="46"/>
        <v>0</v>
      </c>
      <c r="Z101" s="61">
        <f t="shared" si="46"/>
        <v>0</v>
      </c>
      <c r="AA101" s="61">
        <f t="shared" si="46"/>
        <v>0</v>
      </c>
      <c r="AB101" s="61">
        <f t="shared" si="46"/>
        <v>0</v>
      </c>
      <c r="AC101" s="61">
        <f t="shared" si="46"/>
        <v>0</v>
      </c>
    </row>
    <row r="102" spans="1:40" ht="22.35" customHeight="1" x14ac:dyDescent="0.25">
      <c r="A102" s="416" t="s">
        <v>81</v>
      </c>
      <c r="B102" s="416"/>
      <c r="C102" s="416"/>
      <c r="D102" s="48"/>
      <c r="E102" s="48"/>
      <c r="F102" s="62">
        <f t="shared" ref="F102:AC102" si="47">F97+F101</f>
        <v>40.539999999999992</v>
      </c>
      <c r="G102" s="62">
        <f t="shared" si="47"/>
        <v>37.689999999999991</v>
      </c>
      <c r="H102" s="62">
        <f t="shared" si="47"/>
        <v>35.93</v>
      </c>
      <c r="I102" s="62">
        <f t="shared" si="47"/>
        <v>34.889999999999993</v>
      </c>
      <c r="J102" s="62">
        <f t="shared" si="47"/>
        <v>34.69</v>
      </c>
      <c r="K102" s="62">
        <f t="shared" si="47"/>
        <v>36.860000000000007</v>
      </c>
      <c r="L102" s="62">
        <f t="shared" si="47"/>
        <v>41.440000000000005</v>
      </c>
      <c r="M102" s="62">
        <f t="shared" si="47"/>
        <v>38.949999999999996</v>
      </c>
      <c r="N102" s="62">
        <f t="shared" si="47"/>
        <v>38.76</v>
      </c>
      <c r="O102" s="62">
        <f t="shared" si="47"/>
        <v>51.56</v>
      </c>
      <c r="P102" s="62">
        <f t="shared" si="47"/>
        <v>58.38</v>
      </c>
      <c r="Q102" s="62">
        <f t="shared" si="47"/>
        <v>59.64</v>
      </c>
      <c r="R102" s="62">
        <f t="shared" si="47"/>
        <v>59.939999999999976</v>
      </c>
      <c r="S102" s="62">
        <f t="shared" si="47"/>
        <v>61.22999999999999</v>
      </c>
      <c r="T102" s="62">
        <f>T97+T101</f>
        <v>64.36999999999999</v>
      </c>
      <c r="U102" s="62">
        <f t="shared" si="47"/>
        <v>62.321111111111101</v>
      </c>
      <c r="V102" s="62">
        <f t="shared" si="47"/>
        <v>59.437222222222218</v>
      </c>
      <c r="W102" s="62">
        <f t="shared" si="47"/>
        <v>56.603333333333339</v>
      </c>
      <c r="X102" s="62">
        <f t="shared" si="47"/>
        <v>55.373333333333328</v>
      </c>
      <c r="Y102" s="62">
        <f t="shared" si="47"/>
        <v>59.25555555555556</v>
      </c>
      <c r="Z102" s="62">
        <f t="shared" si="47"/>
        <v>58.427777777777777</v>
      </c>
      <c r="AA102" s="62">
        <f t="shared" si="47"/>
        <v>54.009999999999991</v>
      </c>
      <c r="AB102" s="62">
        <f>AB97+AB101</f>
        <v>48.579999999999991</v>
      </c>
      <c r="AC102" s="62">
        <f t="shared" si="47"/>
        <v>42.872500000000002</v>
      </c>
    </row>
    <row r="103" spans="1:40" ht="20.25" hidden="1" x14ac:dyDescent="0.25">
      <c r="A103" s="417" t="s">
        <v>82</v>
      </c>
      <c r="B103" s="417"/>
      <c r="C103" s="417"/>
      <c r="D103" s="52"/>
      <c r="E103" s="52"/>
      <c r="F103" s="63">
        <f t="shared" ref="F103:AC103" si="48">(COUNT(F13:F16))*7.2+(COUNT(F27:F28)*4.9)+(COUNT(F19:F21)*4.5)-F87-F89</f>
        <v>10.5</v>
      </c>
      <c r="G103" s="63">
        <f t="shared" si="48"/>
        <v>8.1000000000000085</v>
      </c>
      <c r="H103" s="63">
        <f t="shared" si="48"/>
        <v>8.1000000000000085</v>
      </c>
      <c r="I103" s="63">
        <f t="shared" si="48"/>
        <v>8.2000000000000046</v>
      </c>
      <c r="J103" s="63">
        <f t="shared" si="48"/>
        <v>8.5000000000000089</v>
      </c>
      <c r="K103" s="63">
        <f t="shared" si="48"/>
        <v>7.4000000000000057</v>
      </c>
      <c r="L103" s="63">
        <f t="shared" si="48"/>
        <v>7.4000000000000039</v>
      </c>
      <c r="M103" s="63">
        <f t="shared" si="48"/>
        <v>8.9000000000000021</v>
      </c>
      <c r="N103" s="63">
        <f t="shared" si="48"/>
        <v>14.000000000000004</v>
      </c>
      <c r="O103" s="63">
        <f t="shared" si="48"/>
        <v>8.9000000000000021</v>
      </c>
      <c r="P103" s="63">
        <f t="shared" si="48"/>
        <v>8.1000000000000032</v>
      </c>
      <c r="Q103" s="63">
        <f t="shared" si="48"/>
        <v>7.7000000000000011</v>
      </c>
      <c r="R103" s="63">
        <f t="shared" si="48"/>
        <v>8.7000000000000028</v>
      </c>
      <c r="S103" s="63">
        <f>(COUNT(S13:S16))*7.2+(COUNT(S27:S28)*4.9)+(COUNT(S19:S21)*4.5)-S87-S89</f>
        <v>8.5000000000000036</v>
      </c>
      <c r="T103" s="63">
        <f t="shared" si="48"/>
        <v>7.7000000000000011</v>
      </c>
      <c r="U103" s="63">
        <f t="shared" si="48"/>
        <v>8.3000000000000025</v>
      </c>
      <c r="V103" s="63">
        <f t="shared" si="48"/>
        <v>7.5000000000000018</v>
      </c>
      <c r="W103" s="63">
        <f t="shared" si="48"/>
        <v>8.3000000000000025</v>
      </c>
      <c r="X103" s="63">
        <f t="shared" si="48"/>
        <v>8.5</v>
      </c>
      <c r="Y103" s="63">
        <f t="shared" si="48"/>
        <v>8.7000000000000028</v>
      </c>
      <c r="Z103" s="63">
        <f t="shared" si="48"/>
        <v>8.7000000000000028</v>
      </c>
      <c r="AA103" s="63">
        <f t="shared" si="48"/>
        <v>9.5000000000000036</v>
      </c>
      <c r="AB103" s="63">
        <f t="shared" si="48"/>
        <v>9.9000000000000021</v>
      </c>
      <c r="AC103" s="63">
        <f t="shared" si="48"/>
        <v>12.100000000000001</v>
      </c>
      <c r="AD103" s="26"/>
      <c r="AE103" s="26"/>
    </row>
    <row r="104" spans="1:40" ht="20.25" x14ac:dyDescent="0.25">
      <c r="A104" s="418" t="s">
        <v>83</v>
      </c>
      <c r="B104" s="419"/>
      <c r="C104" s="420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5.8999999999999995</v>
      </c>
      <c r="G104" s="206">
        <f t="shared" ref="G104:P104" si="4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3.5000000000000044</v>
      </c>
      <c r="H104" s="206">
        <f t="shared" si="49"/>
        <v>3.5000000000000044</v>
      </c>
      <c r="I104" s="206">
        <f t="shared" si="49"/>
        <v>3.6000000000000005</v>
      </c>
      <c r="J104" s="206">
        <f t="shared" si="49"/>
        <v>3.8000000000000052</v>
      </c>
      <c r="K104" s="206">
        <f t="shared" si="49"/>
        <v>2.700000000000002</v>
      </c>
      <c r="L104" s="206">
        <f t="shared" si="49"/>
        <v>2.8</v>
      </c>
      <c r="M104" s="206">
        <f t="shared" si="49"/>
        <v>4.2999999999999989</v>
      </c>
      <c r="N104" s="206">
        <f t="shared" si="49"/>
        <v>9.4000000000000057</v>
      </c>
      <c r="O104" s="206">
        <f t="shared" si="49"/>
        <v>4.3000000000000025</v>
      </c>
      <c r="P104" s="206">
        <f t="shared" si="49"/>
        <v>3.5000000000000027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4" s="206">
        <f t="shared" ref="R104:AC104" si="5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4.700000000000002</v>
      </c>
      <c r="S104" s="206">
        <f t="shared" si="50"/>
        <v>4.5000000000000027</v>
      </c>
      <c r="T104" s="206">
        <f t="shared" si="50"/>
        <v>3.7</v>
      </c>
      <c r="U104" s="206">
        <f t="shared" si="50"/>
        <v>4.3000000000000016</v>
      </c>
      <c r="V104" s="206">
        <f t="shared" si="50"/>
        <v>3.5000000000000009</v>
      </c>
      <c r="W104" s="206">
        <f t="shared" si="50"/>
        <v>4.3000000000000016</v>
      </c>
      <c r="X104" s="206">
        <f t="shared" si="50"/>
        <v>4.5</v>
      </c>
      <c r="Y104" s="206">
        <f t="shared" si="50"/>
        <v>4.700000000000002</v>
      </c>
      <c r="Z104" s="206">
        <f t="shared" si="50"/>
        <v>4.7000000000000028</v>
      </c>
      <c r="AA104" s="206">
        <f t="shared" si="50"/>
        <v>5.5000000000000027</v>
      </c>
      <c r="AB104" s="206">
        <f t="shared" si="50"/>
        <v>5.9000000000000012</v>
      </c>
      <c r="AC104" s="206">
        <f t="shared" si="50"/>
        <v>8.1000000000000014</v>
      </c>
      <c r="AD104" s="26"/>
      <c r="AE104" s="26"/>
    </row>
    <row r="105" spans="1:40" ht="20.25" x14ac:dyDescent="0.25">
      <c r="A105" s="421" t="s">
        <v>84</v>
      </c>
      <c r="B105" s="421"/>
      <c r="C105" s="421"/>
      <c r="D105" s="60"/>
      <c r="E105" s="73"/>
      <c r="F105" s="75">
        <v>60.1</v>
      </c>
      <c r="G105" s="75">
        <v>60.12</v>
      </c>
      <c r="H105" s="75">
        <v>60.11</v>
      </c>
      <c r="I105" s="75">
        <v>60.07</v>
      </c>
      <c r="J105" s="75">
        <v>60.1</v>
      </c>
      <c r="K105" s="75">
        <v>60.03</v>
      </c>
      <c r="L105" s="75">
        <v>60.11</v>
      </c>
      <c r="M105" s="75">
        <v>60.14</v>
      </c>
      <c r="N105" s="75">
        <v>60.06</v>
      </c>
      <c r="O105" s="75">
        <v>60.06</v>
      </c>
      <c r="P105" s="84">
        <v>60.11</v>
      </c>
      <c r="Q105" s="84">
        <v>60.11</v>
      </c>
      <c r="R105" s="84">
        <v>60.14</v>
      </c>
      <c r="S105" s="84">
        <v>60.17</v>
      </c>
      <c r="T105" s="84">
        <v>60.07</v>
      </c>
      <c r="U105" s="75">
        <v>60.14</v>
      </c>
      <c r="V105" s="75">
        <v>60.08</v>
      </c>
      <c r="W105" s="75">
        <v>60.12</v>
      </c>
      <c r="X105" s="75">
        <v>60.12</v>
      </c>
      <c r="Y105" s="75">
        <v>60.11</v>
      </c>
      <c r="Z105" s="75">
        <v>60.16</v>
      </c>
      <c r="AA105" s="75">
        <v>60.17</v>
      </c>
      <c r="AB105" s="75">
        <v>60.13</v>
      </c>
      <c r="AC105" s="75">
        <v>60.25</v>
      </c>
      <c r="AD105" s="26"/>
      <c r="AE105" s="26"/>
    </row>
    <row r="106" spans="1:40" ht="20.25" x14ac:dyDescent="0.25">
      <c r="A106" s="421" t="s">
        <v>85</v>
      </c>
      <c r="B106" s="421"/>
      <c r="C106" s="421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5">
      <c r="A107" s="421" t="s">
        <v>86</v>
      </c>
      <c r="B107" s="421"/>
      <c r="C107" s="421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5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 x14ac:dyDescent="0.25">
      <c r="A109" s="422" t="s">
        <v>87</v>
      </c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  <c r="L109" s="422"/>
      <c r="M109" s="422"/>
      <c r="N109" s="422"/>
      <c r="O109" s="422"/>
      <c r="P109" s="422"/>
      <c r="Q109" s="422"/>
      <c r="R109" s="422"/>
      <c r="S109" s="422"/>
      <c r="T109" s="422"/>
      <c r="U109" s="422"/>
      <c r="V109" s="422"/>
      <c r="W109" s="422"/>
      <c r="X109" s="422"/>
      <c r="Y109" s="422"/>
      <c r="Z109" s="422"/>
      <c r="AA109" s="422"/>
      <c r="AB109" s="422"/>
      <c r="AC109" s="422"/>
      <c r="AD109" s="26"/>
      <c r="AE109" s="26"/>
    </row>
    <row r="110" spans="1:40" hidden="1" x14ac:dyDescent="0.25">
      <c r="B110" s="5"/>
      <c r="AC110" s="26"/>
      <c r="AD110" s="26"/>
      <c r="AE110" s="26"/>
    </row>
    <row r="111" spans="1:40" ht="18" hidden="1" x14ac:dyDescent="0.25">
      <c r="A111" s="405" t="s">
        <v>69</v>
      </c>
      <c r="B111" s="406"/>
      <c r="C111" s="407"/>
      <c r="D111" s="49"/>
      <c r="E111" s="49"/>
      <c r="F111" s="411" t="s">
        <v>70</v>
      </c>
      <c r="G111" s="411"/>
      <c r="H111" s="411"/>
      <c r="I111" s="411"/>
      <c r="J111" s="411"/>
      <c r="K111" s="411"/>
      <c r="L111" s="411"/>
      <c r="M111" s="411"/>
      <c r="N111" s="411"/>
      <c r="O111" s="411"/>
      <c r="P111" s="411"/>
      <c r="Q111" s="411"/>
      <c r="R111" s="411"/>
      <c r="S111" s="411"/>
      <c r="T111" s="411"/>
      <c r="U111" s="411"/>
      <c r="V111" s="411"/>
      <c r="W111" s="411"/>
      <c r="X111" s="411"/>
      <c r="Y111" s="411"/>
      <c r="Z111" s="411"/>
      <c r="AA111" s="411"/>
      <c r="AB111" s="411"/>
      <c r="AC111" s="411"/>
      <c r="AD111" s="5"/>
      <c r="AE111" s="5"/>
      <c r="AF111" s="5"/>
      <c r="AG111" s="5"/>
      <c r="AH111" s="5"/>
    </row>
    <row r="112" spans="1:40" ht="15.6" hidden="1" customHeight="1" x14ac:dyDescent="0.25">
      <c r="A112" s="408"/>
      <c r="B112" s="409"/>
      <c r="C112" s="410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5">
      <c r="A113" s="399" t="s">
        <v>27</v>
      </c>
      <c r="B113" s="400"/>
      <c r="C113" s="401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5">
      <c r="A114" s="399" t="s">
        <v>72</v>
      </c>
      <c r="B114" s="400"/>
      <c r="C114" s="401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5">
      <c r="A115" s="399" t="s">
        <v>29</v>
      </c>
      <c r="B115" s="400"/>
      <c r="C115" s="401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5">
      <c r="A116" s="399" t="s">
        <v>30</v>
      </c>
      <c r="B116" s="400"/>
      <c r="C116" s="40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31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50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54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5">
      <c r="A120" s="399" t="s">
        <v>64</v>
      </c>
      <c r="B120" s="400"/>
      <c r="C120" s="401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5">
      <c r="A121" s="423" t="s">
        <v>88</v>
      </c>
      <c r="B121" s="424"/>
      <c r="C121" s="425"/>
      <c r="D121" s="51"/>
      <c r="E121" s="51"/>
      <c r="F121" s="44">
        <f>SUM(F113:F120)</f>
        <v>0</v>
      </c>
      <c r="G121" s="44">
        <f t="shared" ref="G121:AB121" si="51">SUM(G113:G120)</f>
        <v>0</v>
      </c>
      <c r="H121" s="44">
        <f t="shared" si="51"/>
        <v>0</v>
      </c>
      <c r="I121" s="44">
        <f t="shared" si="51"/>
        <v>0</v>
      </c>
      <c r="J121" s="44">
        <f t="shared" si="51"/>
        <v>0</v>
      </c>
      <c r="K121" s="44">
        <f t="shared" si="51"/>
        <v>0</v>
      </c>
      <c r="L121" s="44">
        <f t="shared" si="51"/>
        <v>0</v>
      </c>
      <c r="M121" s="44">
        <f t="shared" si="51"/>
        <v>0</v>
      </c>
      <c r="N121" s="44">
        <f t="shared" si="51"/>
        <v>0</v>
      </c>
      <c r="O121" s="44">
        <f t="shared" si="51"/>
        <v>0</v>
      </c>
      <c r="P121" s="44">
        <f t="shared" si="51"/>
        <v>0</v>
      </c>
      <c r="Q121" s="44">
        <f t="shared" si="51"/>
        <v>0</v>
      </c>
      <c r="R121" s="44">
        <f t="shared" si="51"/>
        <v>0</v>
      </c>
      <c r="S121" s="44">
        <f t="shared" si="51"/>
        <v>0</v>
      </c>
      <c r="T121" s="44">
        <f t="shared" si="51"/>
        <v>0</v>
      </c>
      <c r="U121" s="44">
        <f t="shared" si="51"/>
        <v>0</v>
      </c>
      <c r="V121" s="44">
        <f t="shared" si="51"/>
        <v>0</v>
      </c>
      <c r="W121" s="44">
        <f t="shared" si="51"/>
        <v>0</v>
      </c>
      <c r="X121" s="44">
        <f t="shared" si="51"/>
        <v>0</v>
      </c>
      <c r="Y121" s="44">
        <f t="shared" si="51"/>
        <v>0</v>
      </c>
      <c r="Z121" s="44">
        <f t="shared" si="51"/>
        <v>0</v>
      </c>
      <c r="AA121" s="44">
        <f t="shared" si="51"/>
        <v>0</v>
      </c>
      <c r="AB121" s="44">
        <f t="shared" si="51"/>
        <v>0</v>
      </c>
      <c r="AC121" s="44">
        <f>SUM(AC113:AC120)</f>
        <v>0</v>
      </c>
    </row>
    <row r="122" spans="1:124" x14ac:dyDescent="0.25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 x14ac:dyDescent="0.25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5">
      <c r="AB124" s="26"/>
      <c r="AC124" s="27"/>
      <c r="AD124" s="5"/>
      <c r="AE124" s="5"/>
    </row>
    <row r="125" spans="1:124" s="2" customFormat="1" x14ac:dyDescent="0.25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5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5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5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5">
      <c r="C131" s="26"/>
      <c r="D131" s="26"/>
      <c r="E131" s="26"/>
    </row>
    <row r="132" spans="1:124" x14ac:dyDescent="0.25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5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31941" priority="1043" operator="greaterThan">
      <formula>60.3</formula>
    </cfRule>
  </conditionalFormatting>
  <conditionalFormatting sqref="G52:G54 K15 H20:AC21 L13:P15 K16:P16 H39:I55 G57:L57 H56:L56 H15:J16 H60:H62 J55:M55 Q43:S57 H24:AC24 H13:K14 N55:P57 M56:M57 J43:P54 P42:P48 O52:P57 H76:AC77 J34:S42 K60:AC60 Q13:AC16 H27:AC28 H65:AC73 T34:AC57 L61:AC62">
    <cfRule type="cellIs" dxfId="31940" priority="1035" operator="equal">
      <formula>"PMS"</formula>
    </cfRule>
    <cfRule type="containsText" dxfId="31939" priority="1036" operator="containsText" text="CMS">
      <formula>NOT(ISERROR(SEARCH("CMS",G13)))</formula>
    </cfRule>
    <cfRule type="cellIs" dxfId="31938" priority="1037" operator="equal">
      <formula>0</formula>
    </cfRule>
    <cfRule type="cellIs" dxfId="31937" priority="1038" operator="greaterThan">
      <formula>0</formula>
    </cfRule>
    <cfRule type="cellIs" dxfId="31936" priority="1039" operator="equal">
      <formula>"PMS"</formula>
    </cfRule>
    <cfRule type="containsText" dxfId="31935" priority="1040" operator="containsText" text="CMS">
      <formula>NOT(ISERROR(SEARCH("CMS",G13)))</formula>
    </cfRule>
    <cfRule type="cellIs" dxfId="31934" priority="1041" operator="equal">
      <formula>0</formula>
    </cfRule>
    <cfRule type="cellIs" dxfId="31933" priority="1042" operator="greaterThan">
      <formula>0</formula>
    </cfRule>
  </conditionalFormatting>
  <conditionalFormatting sqref="O76:AC77 O65:AC73 O60:AC62">
    <cfRule type="cellIs" dxfId="31932" priority="1031" operator="equal">
      <formula>"PMS"</formula>
    </cfRule>
    <cfRule type="containsText" dxfId="31931" priority="1032" operator="containsText" text="CMS">
      <formula>NOT(ISERROR(SEARCH("CMS",O60)))</formula>
    </cfRule>
    <cfRule type="cellIs" dxfId="31930" priority="1033" operator="equal">
      <formula>0</formula>
    </cfRule>
    <cfRule type="cellIs" dxfId="31929" priority="1034" operator="greaterThan">
      <formula>0</formula>
    </cfRule>
  </conditionalFormatting>
  <conditionalFormatting sqref="P65:AC73">
    <cfRule type="cellIs" dxfId="31928" priority="1027" operator="equal">
      <formula>"PMS"</formula>
    </cfRule>
    <cfRule type="containsText" dxfId="31927" priority="1028" operator="containsText" text="CMS">
      <formula>NOT(ISERROR(SEARCH("CMS",P65)))</formula>
    </cfRule>
    <cfRule type="cellIs" dxfId="31926" priority="1029" operator="equal">
      <formula>0</formula>
    </cfRule>
    <cfRule type="cellIs" dxfId="31925" priority="1030" operator="greaterThan">
      <formula>0</formula>
    </cfRule>
  </conditionalFormatting>
  <conditionalFormatting sqref="O13:AC16">
    <cfRule type="cellIs" dxfId="31924" priority="1023" operator="equal">
      <formula>"PMS"</formula>
    </cfRule>
    <cfRule type="containsText" dxfId="31923" priority="1024" operator="containsText" text="CMS">
      <formula>NOT(ISERROR(SEARCH("CMS",O13)))</formula>
    </cfRule>
    <cfRule type="cellIs" dxfId="31922" priority="1025" operator="equal">
      <formula>0</formula>
    </cfRule>
    <cfRule type="cellIs" dxfId="31921" priority="1026" operator="greaterThan">
      <formula>0</formula>
    </cfRule>
  </conditionalFormatting>
  <conditionalFormatting sqref="P13:AC16">
    <cfRule type="cellIs" dxfId="31920" priority="1019" operator="equal">
      <formula>"PMS"</formula>
    </cfRule>
    <cfRule type="containsText" dxfId="31919" priority="1020" operator="containsText" text="CMS">
      <formula>NOT(ISERROR(SEARCH("CMS",P13)))</formula>
    </cfRule>
    <cfRule type="cellIs" dxfId="31918" priority="1021" operator="equal">
      <formula>0</formula>
    </cfRule>
    <cfRule type="cellIs" dxfId="31917" priority="1022" operator="greaterThan">
      <formula>0</formula>
    </cfRule>
  </conditionalFormatting>
  <conditionalFormatting sqref="O20:AC21">
    <cfRule type="cellIs" dxfId="31916" priority="1015" operator="equal">
      <formula>"PMS"</formula>
    </cfRule>
    <cfRule type="containsText" dxfId="31915" priority="1016" operator="containsText" text="CMS">
      <formula>NOT(ISERROR(SEARCH("CMS",O20)))</formula>
    </cfRule>
    <cfRule type="cellIs" dxfId="31914" priority="1017" operator="equal">
      <formula>0</formula>
    </cfRule>
    <cfRule type="cellIs" dxfId="31913" priority="1018" operator="greaterThan">
      <formula>0</formula>
    </cfRule>
  </conditionalFormatting>
  <conditionalFormatting sqref="P20:AC21">
    <cfRule type="cellIs" dxfId="31912" priority="1011" operator="equal">
      <formula>"PMS"</formula>
    </cfRule>
    <cfRule type="containsText" dxfId="31911" priority="1012" operator="containsText" text="CMS">
      <formula>NOT(ISERROR(SEARCH("CMS",P20)))</formula>
    </cfRule>
    <cfRule type="cellIs" dxfId="31910" priority="1013" operator="equal">
      <formula>0</formula>
    </cfRule>
    <cfRule type="cellIs" dxfId="31909" priority="1014" operator="greaterThan">
      <formula>0</formula>
    </cfRule>
  </conditionalFormatting>
  <conditionalFormatting sqref="O24:AC24">
    <cfRule type="cellIs" dxfId="31908" priority="1007" operator="equal">
      <formula>"PMS"</formula>
    </cfRule>
    <cfRule type="containsText" dxfId="31907" priority="1008" operator="containsText" text="CMS">
      <formula>NOT(ISERROR(SEARCH("CMS",O24)))</formula>
    </cfRule>
    <cfRule type="cellIs" dxfId="31906" priority="1009" operator="equal">
      <formula>0</formula>
    </cfRule>
    <cfRule type="cellIs" dxfId="31905" priority="1010" operator="greaterThan">
      <formula>0</formula>
    </cfRule>
  </conditionalFormatting>
  <conditionalFormatting sqref="P24:AC24">
    <cfRule type="cellIs" dxfId="31904" priority="1003" operator="equal">
      <formula>"PMS"</formula>
    </cfRule>
    <cfRule type="containsText" dxfId="31903" priority="1004" operator="containsText" text="CMS">
      <formula>NOT(ISERROR(SEARCH("CMS",P24)))</formula>
    </cfRule>
    <cfRule type="cellIs" dxfId="31902" priority="1005" operator="equal">
      <formula>0</formula>
    </cfRule>
    <cfRule type="cellIs" dxfId="31901" priority="1006" operator="greaterThan">
      <formula>0</formula>
    </cfRule>
  </conditionalFormatting>
  <conditionalFormatting sqref="O27:AC28">
    <cfRule type="cellIs" dxfId="31900" priority="999" operator="equal">
      <formula>"PMS"</formula>
    </cfRule>
    <cfRule type="containsText" dxfId="31899" priority="1000" operator="containsText" text="CMS">
      <formula>NOT(ISERROR(SEARCH("CMS",O27)))</formula>
    </cfRule>
    <cfRule type="cellIs" dxfId="31898" priority="1001" operator="equal">
      <formula>0</formula>
    </cfRule>
    <cfRule type="cellIs" dxfId="31897" priority="1002" operator="greaterThan">
      <formula>0</formula>
    </cfRule>
  </conditionalFormatting>
  <conditionalFormatting sqref="P27:AC28">
    <cfRule type="cellIs" dxfId="31896" priority="995" operator="equal">
      <formula>"PMS"</formula>
    </cfRule>
    <cfRule type="containsText" dxfId="31895" priority="996" operator="containsText" text="CMS">
      <formula>NOT(ISERROR(SEARCH("CMS",P27)))</formula>
    </cfRule>
    <cfRule type="cellIs" dxfId="31894" priority="997" operator="equal">
      <formula>0</formula>
    </cfRule>
    <cfRule type="cellIs" dxfId="31893" priority="998" operator="greaterThan">
      <formula>0</formula>
    </cfRule>
  </conditionalFormatting>
  <conditionalFormatting sqref="O34:AC57">
    <cfRule type="cellIs" dxfId="31892" priority="983" operator="equal">
      <formula>"PMS"</formula>
    </cfRule>
    <cfRule type="containsText" dxfId="31891" priority="984" operator="containsText" text="CMS">
      <formula>NOT(ISERROR(SEARCH("CMS",O34)))</formula>
    </cfRule>
    <cfRule type="cellIs" dxfId="31890" priority="985" operator="equal">
      <formula>0</formula>
    </cfRule>
    <cfRule type="cellIs" dxfId="31889" priority="986" operator="greaterThan">
      <formula>0</formula>
    </cfRule>
  </conditionalFormatting>
  <conditionalFormatting sqref="O50 O44:O47 O52:O57 P34:AC36 P42:P48 O37:AC42 P49:AC57 P43:AC47 O48:AC48">
    <cfRule type="cellIs" dxfId="31888" priority="979" operator="equal">
      <formula>"PMS"</formula>
    </cfRule>
    <cfRule type="containsText" dxfId="31887" priority="980" operator="containsText" text="CMS">
      <formula>NOT(ISERROR(SEARCH("CMS",O34)))</formula>
    </cfRule>
    <cfRule type="cellIs" dxfId="31886" priority="981" operator="equal">
      <formula>0</formula>
    </cfRule>
    <cfRule type="cellIs" dxfId="31885" priority="982" operator="greaterThan">
      <formula>0</formula>
    </cfRule>
  </conditionalFormatting>
  <conditionalFormatting sqref="V13:AC13 V14:X16">
    <cfRule type="cellIs" dxfId="31884" priority="975" operator="equal">
      <formula>"PMS"</formula>
    </cfRule>
    <cfRule type="containsText" dxfId="31883" priority="976" operator="containsText" text="CMS">
      <formula>NOT(ISERROR(SEARCH("CMS",V13)))</formula>
    </cfRule>
    <cfRule type="cellIs" dxfId="31882" priority="977" operator="equal">
      <formula>0</formula>
    </cfRule>
    <cfRule type="cellIs" dxfId="31881" priority="978" operator="greaterThan">
      <formula>0</formula>
    </cfRule>
  </conditionalFormatting>
  <conditionalFormatting sqref="V13:AC13 V14:X16">
    <cfRule type="cellIs" dxfId="31880" priority="971" operator="equal">
      <formula>"PMS"</formula>
    </cfRule>
    <cfRule type="containsText" dxfId="31879" priority="972" operator="containsText" text="CMS">
      <formula>NOT(ISERROR(SEARCH("CMS",V13)))</formula>
    </cfRule>
    <cfRule type="cellIs" dxfId="31878" priority="973" operator="equal">
      <formula>0</formula>
    </cfRule>
    <cfRule type="cellIs" dxfId="31877" priority="974" operator="greaterThan">
      <formula>0</formula>
    </cfRule>
  </conditionalFormatting>
  <conditionalFormatting sqref="X56:AC56">
    <cfRule type="cellIs" dxfId="31876" priority="967" operator="equal">
      <formula>"PMS"</formula>
    </cfRule>
    <cfRule type="containsText" dxfId="31875" priority="968" operator="containsText" text="CMS">
      <formula>NOT(ISERROR(SEARCH("CMS",X56)))</formula>
    </cfRule>
    <cfRule type="cellIs" dxfId="31874" priority="969" operator="equal">
      <formula>0</formula>
    </cfRule>
    <cfRule type="cellIs" dxfId="31873" priority="970" operator="greaterThan">
      <formula>0</formula>
    </cfRule>
  </conditionalFormatting>
  <conditionalFormatting sqref="X56:AC56">
    <cfRule type="cellIs" dxfId="31872" priority="963" operator="equal">
      <formula>"PMS"</formula>
    </cfRule>
    <cfRule type="containsText" dxfId="31871" priority="964" operator="containsText" text="CMS">
      <formula>NOT(ISERROR(SEARCH("CMS",X56)))</formula>
    </cfRule>
    <cfRule type="cellIs" dxfId="31870" priority="965" operator="equal">
      <formula>0</formula>
    </cfRule>
    <cfRule type="cellIs" dxfId="31869" priority="966" operator="greaterThan">
      <formula>0</formula>
    </cfRule>
  </conditionalFormatting>
  <conditionalFormatting sqref="X56:AC56">
    <cfRule type="cellIs" dxfId="31868" priority="959" operator="equal">
      <formula>"PMS"</formula>
    </cfRule>
    <cfRule type="containsText" dxfId="31867" priority="960" operator="containsText" text="CMS">
      <formula>NOT(ISERROR(SEARCH("CMS",X56)))</formula>
    </cfRule>
    <cfRule type="cellIs" dxfId="31866" priority="961" operator="equal">
      <formula>0</formula>
    </cfRule>
    <cfRule type="cellIs" dxfId="31865" priority="962" operator="greaterThan">
      <formula>0</formula>
    </cfRule>
  </conditionalFormatting>
  <conditionalFormatting sqref="X56:AC56">
    <cfRule type="cellIs" dxfId="31864" priority="955" operator="equal">
      <formula>"PMS"</formula>
    </cfRule>
    <cfRule type="containsText" dxfId="31863" priority="956" operator="containsText" text="CMS">
      <formula>NOT(ISERROR(SEARCH("CMS",X56)))</formula>
    </cfRule>
    <cfRule type="cellIs" dxfId="31862" priority="957" operator="equal">
      <formula>0</formula>
    </cfRule>
    <cfRule type="cellIs" dxfId="31861" priority="958" operator="greaterThan">
      <formula>0</formula>
    </cfRule>
  </conditionalFormatting>
  <conditionalFormatting sqref="AB57:AC57">
    <cfRule type="cellIs" dxfId="31860" priority="951" operator="equal">
      <formula>"PMS"</formula>
    </cfRule>
    <cfRule type="containsText" dxfId="31859" priority="952" operator="containsText" text="CMS">
      <formula>NOT(ISERROR(SEARCH("CMS",AB57)))</formula>
    </cfRule>
    <cfRule type="cellIs" dxfId="31858" priority="953" operator="equal">
      <formula>0</formula>
    </cfRule>
    <cfRule type="cellIs" dxfId="31857" priority="954" operator="greaterThan">
      <formula>0</formula>
    </cfRule>
  </conditionalFormatting>
  <conditionalFormatting sqref="AB57:AC57">
    <cfRule type="cellIs" dxfId="31856" priority="947" operator="equal">
      <formula>"PMS"</formula>
    </cfRule>
    <cfRule type="containsText" dxfId="31855" priority="948" operator="containsText" text="CMS">
      <formula>NOT(ISERROR(SEARCH("CMS",AB57)))</formula>
    </cfRule>
    <cfRule type="cellIs" dxfId="31854" priority="949" operator="equal">
      <formula>0</formula>
    </cfRule>
    <cfRule type="cellIs" dxfId="31853" priority="950" operator="greaterThan">
      <formula>0</formula>
    </cfRule>
  </conditionalFormatting>
  <conditionalFormatting sqref="AB57:AC57">
    <cfRule type="cellIs" dxfId="31852" priority="943" operator="equal">
      <formula>"PMS"</formula>
    </cfRule>
    <cfRule type="containsText" dxfId="31851" priority="944" operator="containsText" text="CMS">
      <formula>NOT(ISERROR(SEARCH("CMS",AB57)))</formula>
    </cfRule>
    <cfRule type="cellIs" dxfId="31850" priority="945" operator="equal">
      <formula>0</formula>
    </cfRule>
    <cfRule type="cellIs" dxfId="31849" priority="946" operator="greaterThan">
      <formula>0</formula>
    </cfRule>
  </conditionalFormatting>
  <conditionalFormatting sqref="AB57:AC57">
    <cfRule type="cellIs" dxfId="31848" priority="939" operator="equal">
      <formula>"PMS"</formula>
    </cfRule>
    <cfRule type="containsText" dxfId="31847" priority="940" operator="containsText" text="CMS">
      <formula>NOT(ISERROR(SEARCH("CMS",AB57)))</formula>
    </cfRule>
    <cfRule type="cellIs" dxfId="31846" priority="941" operator="equal">
      <formula>0</formula>
    </cfRule>
    <cfRule type="cellIs" dxfId="31845" priority="942" operator="greaterThan">
      <formula>0</formula>
    </cfRule>
  </conditionalFormatting>
  <conditionalFormatting sqref="AB77">
    <cfRule type="cellIs" dxfId="31844" priority="935" operator="equal">
      <formula>"PMS"</formula>
    </cfRule>
    <cfRule type="containsText" dxfId="31843" priority="936" operator="containsText" text="CMS">
      <formula>NOT(ISERROR(SEARCH("CMS",AB77)))</formula>
    </cfRule>
    <cfRule type="cellIs" dxfId="31842" priority="937" operator="equal">
      <formula>0</formula>
    </cfRule>
    <cfRule type="cellIs" dxfId="31841" priority="938" operator="greaterThan">
      <formula>0</formula>
    </cfRule>
  </conditionalFormatting>
  <conditionalFormatting sqref="AB77">
    <cfRule type="cellIs" dxfId="31840" priority="931" operator="equal">
      <formula>"PMS"</formula>
    </cfRule>
    <cfRule type="containsText" dxfId="31839" priority="932" operator="containsText" text="CMS">
      <formula>NOT(ISERROR(SEARCH("CMS",AB77)))</formula>
    </cfRule>
    <cfRule type="cellIs" dxfId="31838" priority="933" operator="equal">
      <formula>0</formula>
    </cfRule>
    <cfRule type="cellIs" dxfId="31837" priority="934" operator="greaterThan">
      <formula>0</formula>
    </cfRule>
  </conditionalFormatting>
  <conditionalFormatting sqref="O43:O48">
    <cfRule type="cellIs" dxfId="31836" priority="927" operator="equal">
      <formula>"PMS"</formula>
    </cfRule>
    <cfRule type="containsText" dxfId="31835" priority="928" operator="containsText" text="CMS">
      <formula>NOT(ISERROR(SEARCH("CMS",O43)))</formula>
    </cfRule>
    <cfRule type="cellIs" dxfId="31834" priority="929" operator="equal">
      <formula>0</formula>
    </cfRule>
    <cfRule type="cellIs" dxfId="31833" priority="930" operator="greaterThan">
      <formula>0</formula>
    </cfRule>
  </conditionalFormatting>
  <conditionalFormatting sqref="O54:O55">
    <cfRule type="cellIs" dxfId="31832" priority="923" operator="equal">
      <formula>"PMS"</formula>
    </cfRule>
    <cfRule type="containsText" dxfId="31831" priority="924" operator="containsText" text="CMS">
      <formula>NOT(ISERROR(SEARCH("CMS",O54)))</formula>
    </cfRule>
    <cfRule type="cellIs" dxfId="31830" priority="925" operator="equal">
      <formula>0</formula>
    </cfRule>
    <cfRule type="cellIs" dxfId="31829" priority="926" operator="greaterThan">
      <formula>0</formula>
    </cfRule>
  </conditionalFormatting>
  <conditionalFormatting sqref="O48">
    <cfRule type="cellIs" dxfId="31828" priority="919" operator="equal">
      <formula>"PMS"</formula>
    </cfRule>
    <cfRule type="containsText" dxfId="31827" priority="920" operator="containsText" text="CMS">
      <formula>NOT(ISERROR(SEARCH("CMS",O48)))</formula>
    </cfRule>
    <cfRule type="cellIs" dxfId="31826" priority="921" operator="equal">
      <formula>0</formula>
    </cfRule>
    <cfRule type="cellIs" dxfId="31825" priority="922" operator="greaterThan">
      <formula>0</formula>
    </cfRule>
  </conditionalFormatting>
  <conditionalFormatting sqref="O54:O56">
    <cfRule type="cellIs" dxfId="31824" priority="915" operator="equal">
      <formula>"PMS"</formula>
    </cfRule>
    <cfRule type="containsText" dxfId="31823" priority="916" operator="containsText" text="CMS">
      <formula>NOT(ISERROR(SEARCH("CMS",O54)))</formula>
    </cfRule>
    <cfRule type="cellIs" dxfId="31822" priority="917" operator="equal">
      <formula>0</formula>
    </cfRule>
    <cfRule type="cellIs" dxfId="31821" priority="918" operator="greaterThan">
      <formula>0</formula>
    </cfRule>
  </conditionalFormatting>
  <conditionalFormatting sqref="Q24:V24">
    <cfRule type="cellIs" dxfId="31820" priority="911" operator="equal">
      <formula>"PMS"</formula>
    </cfRule>
    <cfRule type="containsText" dxfId="31819" priority="912" operator="containsText" text="CMS">
      <formula>NOT(ISERROR(SEARCH("CMS",Q24)))</formula>
    </cfRule>
    <cfRule type="cellIs" dxfId="31818" priority="913" operator="equal">
      <formula>0</formula>
    </cfRule>
    <cfRule type="cellIs" dxfId="31817" priority="914" operator="greaterThan">
      <formula>0</formula>
    </cfRule>
  </conditionalFormatting>
  <conditionalFormatting sqref="Q24:V24">
    <cfRule type="cellIs" dxfId="31816" priority="907" operator="equal">
      <formula>"PMS"</formula>
    </cfRule>
    <cfRule type="containsText" dxfId="31815" priority="908" operator="containsText" text="CMS">
      <formula>NOT(ISERROR(SEARCH("CMS",Q24)))</formula>
    </cfRule>
    <cfRule type="cellIs" dxfId="31814" priority="909" operator="equal">
      <formula>0</formula>
    </cfRule>
    <cfRule type="cellIs" dxfId="31813" priority="910" operator="greaterThan">
      <formula>0</formula>
    </cfRule>
  </conditionalFormatting>
  <conditionalFormatting sqref="Q27:V28">
    <cfRule type="cellIs" dxfId="31812" priority="903" operator="equal">
      <formula>"PMS"</formula>
    </cfRule>
    <cfRule type="containsText" dxfId="31811" priority="904" operator="containsText" text="CMS">
      <formula>NOT(ISERROR(SEARCH("CMS",Q27)))</formula>
    </cfRule>
    <cfRule type="cellIs" dxfId="31810" priority="905" operator="equal">
      <formula>0</formula>
    </cfRule>
    <cfRule type="cellIs" dxfId="31809" priority="906" operator="greaterThan">
      <formula>0</formula>
    </cfRule>
  </conditionalFormatting>
  <conditionalFormatting sqref="Q27:V28">
    <cfRule type="cellIs" dxfId="31808" priority="899" operator="equal">
      <formula>"PMS"</formula>
    </cfRule>
    <cfRule type="containsText" dxfId="31807" priority="900" operator="containsText" text="CMS">
      <formula>NOT(ISERROR(SEARCH("CMS",Q27)))</formula>
    </cfRule>
    <cfRule type="cellIs" dxfId="31806" priority="901" operator="equal">
      <formula>0</formula>
    </cfRule>
    <cfRule type="cellIs" dxfId="31805" priority="902" operator="greaterThan">
      <formula>0</formula>
    </cfRule>
  </conditionalFormatting>
  <conditionalFormatting sqref="R27:V28">
    <cfRule type="cellIs" dxfId="31804" priority="895" operator="equal">
      <formula>"PMS"</formula>
    </cfRule>
    <cfRule type="containsText" dxfId="31803" priority="896" operator="containsText" text="CMS">
      <formula>NOT(ISERROR(SEARCH("CMS",R27)))</formula>
    </cfRule>
    <cfRule type="cellIs" dxfId="31802" priority="897" operator="equal">
      <formula>0</formula>
    </cfRule>
    <cfRule type="cellIs" dxfId="31801" priority="898" operator="greaterThan">
      <formula>0</formula>
    </cfRule>
  </conditionalFormatting>
  <conditionalFormatting sqref="R27:V28">
    <cfRule type="cellIs" dxfId="31800" priority="891" operator="equal">
      <formula>"PMS"</formula>
    </cfRule>
    <cfRule type="containsText" dxfId="31799" priority="892" operator="containsText" text="CMS">
      <formula>NOT(ISERROR(SEARCH("CMS",R27)))</formula>
    </cfRule>
    <cfRule type="cellIs" dxfId="31798" priority="893" operator="equal">
      <formula>0</formula>
    </cfRule>
    <cfRule type="cellIs" dxfId="31797" priority="894" operator="greaterThan">
      <formula>0</formula>
    </cfRule>
  </conditionalFormatting>
  <conditionalFormatting sqref="O54:O55">
    <cfRule type="cellIs" dxfId="31796" priority="887" operator="equal">
      <formula>"PMS"</formula>
    </cfRule>
    <cfRule type="containsText" dxfId="31795" priority="888" operator="containsText" text="CMS">
      <formula>NOT(ISERROR(SEARCH("CMS",O54)))</formula>
    </cfRule>
    <cfRule type="cellIs" dxfId="31794" priority="889" operator="equal">
      <formula>0</formula>
    </cfRule>
    <cfRule type="cellIs" dxfId="31793" priority="890" operator="greaterThan">
      <formula>0</formula>
    </cfRule>
  </conditionalFormatting>
  <conditionalFormatting sqref="O44">
    <cfRule type="cellIs" dxfId="31792" priority="883" operator="equal">
      <formula>"PMS"</formula>
    </cfRule>
    <cfRule type="containsText" dxfId="31791" priority="884" operator="containsText" text="CMS">
      <formula>NOT(ISERROR(SEARCH("CMS",O44)))</formula>
    </cfRule>
    <cfRule type="cellIs" dxfId="31790" priority="885" operator="equal">
      <formula>0</formula>
    </cfRule>
    <cfRule type="cellIs" dxfId="31789" priority="886" operator="greaterThan">
      <formula>0</formula>
    </cfRule>
  </conditionalFormatting>
  <conditionalFormatting sqref="O44">
    <cfRule type="cellIs" dxfId="31788" priority="879" operator="equal">
      <formula>"PMS"</formula>
    </cfRule>
    <cfRule type="containsText" dxfId="31787" priority="880" operator="containsText" text="CMS">
      <formula>NOT(ISERROR(SEARCH("CMS",O44)))</formula>
    </cfRule>
    <cfRule type="cellIs" dxfId="31786" priority="881" operator="equal">
      <formula>0</formula>
    </cfRule>
    <cfRule type="cellIs" dxfId="31785" priority="882" operator="greaterThan">
      <formula>0</formula>
    </cfRule>
  </conditionalFormatting>
  <conditionalFormatting sqref="O44">
    <cfRule type="cellIs" dxfId="31784" priority="875" operator="equal">
      <formula>"PMS"</formula>
    </cfRule>
    <cfRule type="containsText" dxfId="31783" priority="876" operator="containsText" text="CMS">
      <formula>NOT(ISERROR(SEARCH("CMS",O44)))</formula>
    </cfRule>
    <cfRule type="cellIs" dxfId="31782" priority="877" operator="equal">
      <formula>0</formula>
    </cfRule>
    <cfRule type="cellIs" dxfId="31781" priority="878" operator="greaterThan">
      <formula>0</formula>
    </cfRule>
  </conditionalFormatting>
  <conditionalFormatting sqref="O45">
    <cfRule type="cellIs" dxfId="31780" priority="871" operator="equal">
      <formula>"PMS"</formula>
    </cfRule>
    <cfRule type="containsText" dxfId="31779" priority="872" operator="containsText" text="CMS">
      <formula>NOT(ISERROR(SEARCH("CMS",O45)))</formula>
    </cfRule>
    <cfRule type="cellIs" dxfId="31778" priority="873" operator="equal">
      <formula>0</formula>
    </cfRule>
    <cfRule type="cellIs" dxfId="31777" priority="874" operator="greaterThan">
      <formula>0</formula>
    </cfRule>
  </conditionalFormatting>
  <conditionalFormatting sqref="O45">
    <cfRule type="cellIs" dxfId="31776" priority="867" operator="equal">
      <formula>"PMS"</formula>
    </cfRule>
    <cfRule type="containsText" dxfId="31775" priority="868" operator="containsText" text="CMS">
      <formula>NOT(ISERROR(SEARCH("CMS",O45)))</formula>
    </cfRule>
    <cfRule type="cellIs" dxfId="31774" priority="869" operator="equal">
      <formula>0</formula>
    </cfRule>
    <cfRule type="cellIs" dxfId="31773" priority="870" operator="greaterThan">
      <formula>0</formula>
    </cfRule>
  </conditionalFormatting>
  <conditionalFormatting sqref="O45">
    <cfRule type="cellIs" dxfId="31772" priority="863" operator="equal">
      <formula>"PMS"</formula>
    </cfRule>
    <cfRule type="containsText" dxfId="31771" priority="864" operator="containsText" text="CMS">
      <formula>NOT(ISERROR(SEARCH("CMS",O45)))</formula>
    </cfRule>
    <cfRule type="cellIs" dxfId="31770" priority="865" operator="equal">
      <formula>0</formula>
    </cfRule>
    <cfRule type="cellIs" dxfId="31769" priority="866" operator="greaterThan">
      <formula>0</formula>
    </cfRule>
  </conditionalFormatting>
  <conditionalFormatting sqref="H19:AC19">
    <cfRule type="cellIs" dxfId="31768" priority="859" operator="equal">
      <formula>"CMS"</formula>
    </cfRule>
    <cfRule type="cellIs" dxfId="31767" priority="860" operator="equal">
      <formula>"PMS"</formula>
    </cfRule>
    <cfRule type="cellIs" dxfId="31766" priority="861" operator="greaterThan">
      <formula>0</formula>
    </cfRule>
    <cfRule type="cellIs" dxfId="31765" priority="862" operator="equal">
      <formula>0</formula>
    </cfRule>
  </conditionalFormatting>
  <conditionalFormatting sqref="G60">
    <cfRule type="cellIs" dxfId="31764" priority="851" operator="equal">
      <formula>"CMS"</formula>
    </cfRule>
    <cfRule type="cellIs" dxfId="31763" priority="852" operator="equal">
      <formula>"PMS"</formula>
    </cfRule>
    <cfRule type="cellIs" dxfId="31762" priority="853" operator="greaterThan">
      <formula>0</formula>
    </cfRule>
    <cfRule type="cellIs" dxfId="31761" priority="854" operator="equal">
      <formula>0</formula>
    </cfRule>
  </conditionalFormatting>
  <conditionalFormatting sqref="G76:G77">
    <cfRule type="cellIs" dxfId="31760" priority="846" operator="equal">
      <formula>"EOC"</formula>
    </cfRule>
    <cfRule type="cellIs" dxfId="31759" priority="847" operator="equal">
      <formula>"CMS"</formula>
    </cfRule>
    <cfRule type="cellIs" dxfId="31758" priority="848" operator="equal">
      <formula>"PMS"</formula>
    </cfRule>
    <cfRule type="cellIs" dxfId="31757" priority="849" operator="greaterThan">
      <formula>0</formula>
    </cfRule>
    <cfRule type="cellIs" dxfId="31756" priority="850" operator="equal">
      <formula>0</formula>
    </cfRule>
  </conditionalFormatting>
  <conditionalFormatting sqref="F105">
    <cfRule type="cellIs" dxfId="31755" priority="845" operator="greaterThan">
      <formula>60.3</formula>
    </cfRule>
  </conditionalFormatting>
  <conditionalFormatting sqref="G35:G43 G49:G51 G46">
    <cfRule type="cellIs" dxfId="31754" priority="837" operator="equal">
      <formula>"PMS"</formula>
    </cfRule>
    <cfRule type="containsText" dxfId="31753" priority="838" operator="containsText" text="CMS">
      <formula>NOT(ISERROR(SEARCH("CMS",G35)))</formula>
    </cfRule>
    <cfRule type="cellIs" dxfId="31752" priority="839" operator="equal">
      <formula>0</formula>
    </cfRule>
    <cfRule type="cellIs" dxfId="31751" priority="840" operator="greaterThan">
      <formula>0</formula>
    </cfRule>
    <cfRule type="cellIs" dxfId="31750" priority="841" operator="equal">
      <formula>"PMS"</formula>
    </cfRule>
    <cfRule type="containsText" dxfId="31749" priority="842" operator="containsText" text="CMS">
      <formula>NOT(ISERROR(SEARCH("CMS",G35)))</formula>
    </cfRule>
    <cfRule type="cellIs" dxfId="31748" priority="843" operator="equal">
      <formula>0</formula>
    </cfRule>
    <cfRule type="cellIs" dxfId="31747" priority="844" operator="greaterThan">
      <formula>0</formula>
    </cfRule>
  </conditionalFormatting>
  <conditionalFormatting sqref="G35:G43 G49:G51 G46">
    <cfRule type="cellIs" dxfId="31746" priority="833" operator="equal">
      <formula>"PMS"</formula>
    </cfRule>
    <cfRule type="containsText" dxfId="31745" priority="834" operator="containsText" text="CMS">
      <formula>NOT(ISERROR(SEARCH("CMS",G35)))</formula>
    </cfRule>
    <cfRule type="cellIs" dxfId="31744" priority="835" operator="equal">
      <formula>0</formula>
    </cfRule>
    <cfRule type="cellIs" dxfId="31743" priority="836" operator="greaterThan">
      <formula>0</formula>
    </cfRule>
  </conditionalFormatting>
  <conditionalFormatting sqref="G35:G43 G49:G51 G46">
    <cfRule type="cellIs" dxfId="31742" priority="829" operator="equal">
      <formula>"PMS"</formula>
    </cfRule>
    <cfRule type="containsText" dxfId="31741" priority="830" operator="containsText" text="CMS">
      <formula>NOT(ISERROR(SEARCH("CMS",G35)))</formula>
    </cfRule>
    <cfRule type="cellIs" dxfId="31740" priority="831" operator="equal">
      <formula>0</formula>
    </cfRule>
    <cfRule type="cellIs" dxfId="31739" priority="832" operator="greaterThan">
      <formula>0</formula>
    </cfRule>
  </conditionalFormatting>
  <conditionalFormatting sqref="H34:H38">
    <cfRule type="cellIs" dxfId="31738" priority="821" operator="equal">
      <formula>"PMS"</formula>
    </cfRule>
    <cfRule type="containsText" dxfId="31737" priority="822" operator="containsText" text="CMS">
      <formula>NOT(ISERROR(SEARCH("CMS",H34)))</formula>
    </cfRule>
    <cfRule type="cellIs" dxfId="31736" priority="823" operator="equal">
      <formula>0</formula>
    </cfRule>
    <cfRule type="cellIs" dxfId="31735" priority="824" operator="greaterThan">
      <formula>0</formula>
    </cfRule>
    <cfRule type="cellIs" dxfId="31734" priority="825" operator="equal">
      <formula>"PMS"</formula>
    </cfRule>
    <cfRule type="containsText" dxfId="31733" priority="826" operator="containsText" text="CMS">
      <formula>NOT(ISERROR(SEARCH("CMS",H34)))</formula>
    </cfRule>
    <cfRule type="cellIs" dxfId="31732" priority="827" operator="equal">
      <formula>0</formula>
    </cfRule>
    <cfRule type="cellIs" dxfId="31731" priority="828" operator="greaterThan">
      <formula>0</formula>
    </cfRule>
  </conditionalFormatting>
  <conditionalFormatting sqref="H34:H38">
    <cfRule type="cellIs" dxfId="31730" priority="817" operator="equal">
      <formula>"PMS"</formula>
    </cfRule>
    <cfRule type="containsText" dxfId="31729" priority="818" operator="containsText" text="CMS">
      <formula>NOT(ISERROR(SEARCH("CMS",H34)))</formula>
    </cfRule>
    <cfRule type="cellIs" dxfId="31728" priority="819" operator="equal">
      <formula>0</formula>
    </cfRule>
    <cfRule type="cellIs" dxfId="31727" priority="820" operator="greaterThan">
      <formula>0</formula>
    </cfRule>
  </conditionalFormatting>
  <conditionalFormatting sqref="H34:H38">
    <cfRule type="cellIs" dxfId="31726" priority="813" operator="equal">
      <formula>"PMS"</formula>
    </cfRule>
    <cfRule type="containsText" dxfId="31725" priority="814" operator="containsText" text="CMS">
      <formula>NOT(ISERROR(SEARCH("CMS",H34)))</formula>
    </cfRule>
    <cfRule type="cellIs" dxfId="31724" priority="815" operator="equal">
      <formula>0</formula>
    </cfRule>
    <cfRule type="cellIs" dxfId="31723" priority="816" operator="greaterThan">
      <formula>0</formula>
    </cfRule>
  </conditionalFormatting>
  <conditionalFormatting sqref="I34:I38">
    <cfRule type="cellIs" dxfId="31722" priority="805" operator="equal">
      <formula>"PMS"</formula>
    </cfRule>
    <cfRule type="containsText" dxfId="31721" priority="806" operator="containsText" text="CMS">
      <formula>NOT(ISERROR(SEARCH("CMS",I34)))</formula>
    </cfRule>
    <cfRule type="cellIs" dxfId="31720" priority="807" operator="equal">
      <formula>0</formula>
    </cfRule>
    <cfRule type="cellIs" dxfId="31719" priority="808" operator="greaterThan">
      <formula>0</formula>
    </cfRule>
    <cfRule type="cellIs" dxfId="31718" priority="809" operator="equal">
      <formula>"PMS"</formula>
    </cfRule>
    <cfRule type="containsText" dxfId="31717" priority="810" operator="containsText" text="CMS">
      <formula>NOT(ISERROR(SEARCH("CMS",I34)))</formula>
    </cfRule>
    <cfRule type="cellIs" dxfId="31716" priority="811" operator="equal">
      <formula>0</formula>
    </cfRule>
    <cfRule type="cellIs" dxfId="31715" priority="812" operator="greaterThan">
      <formula>0</formula>
    </cfRule>
  </conditionalFormatting>
  <conditionalFormatting sqref="I34:I38">
    <cfRule type="cellIs" dxfId="31714" priority="801" operator="equal">
      <formula>"PMS"</formula>
    </cfRule>
    <cfRule type="containsText" dxfId="31713" priority="802" operator="containsText" text="CMS">
      <formula>NOT(ISERROR(SEARCH("CMS",I34)))</formula>
    </cfRule>
    <cfRule type="cellIs" dxfId="31712" priority="803" operator="equal">
      <formula>0</formula>
    </cfRule>
    <cfRule type="cellIs" dxfId="31711" priority="804" operator="greaterThan">
      <formula>0</formula>
    </cfRule>
  </conditionalFormatting>
  <conditionalFormatting sqref="I34:I38">
    <cfRule type="cellIs" dxfId="31710" priority="797" operator="equal">
      <formula>"PMS"</formula>
    </cfRule>
    <cfRule type="containsText" dxfId="31709" priority="798" operator="containsText" text="CMS">
      <formula>NOT(ISERROR(SEARCH("CMS",I34)))</formula>
    </cfRule>
    <cfRule type="cellIs" dxfId="31708" priority="799" operator="equal">
      <formula>0</formula>
    </cfRule>
    <cfRule type="cellIs" dxfId="31707" priority="800" operator="greaterThan">
      <formula>0</formula>
    </cfRule>
  </conditionalFormatting>
  <conditionalFormatting sqref="O48">
    <cfRule type="cellIs" dxfId="31706" priority="793" operator="equal">
      <formula>"PMS"</formula>
    </cfRule>
    <cfRule type="containsText" dxfId="31705" priority="794" operator="containsText" text="CMS">
      <formula>NOT(ISERROR(SEARCH("CMS",O48)))</formula>
    </cfRule>
    <cfRule type="cellIs" dxfId="31704" priority="795" operator="equal">
      <formula>0</formula>
    </cfRule>
    <cfRule type="cellIs" dxfId="31703" priority="796" operator="greaterThan">
      <formula>0</formula>
    </cfRule>
  </conditionalFormatting>
  <conditionalFormatting sqref="O54:O55">
    <cfRule type="cellIs" dxfId="31702" priority="789" operator="equal">
      <formula>"PMS"</formula>
    </cfRule>
    <cfRule type="containsText" dxfId="31701" priority="790" operator="containsText" text="CMS">
      <formula>NOT(ISERROR(SEARCH("CMS",O54)))</formula>
    </cfRule>
    <cfRule type="cellIs" dxfId="31700" priority="791" operator="equal">
      <formula>0</formula>
    </cfRule>
    <cfRule type="cellIs" dxfId="31699" priority="792" operator="greaterThan">
      <formula>0</formula>
    </cfRule>
  </conditionalFormatting>
  <conditionalFormatting sqref="O56">
    <cfRule type="cellIs" dxfId="31698" priority="785" operator="equal">
      <formula>"PMS"</formula>
    </cfRule>
    <cfRule type="containsText" dxfId="31697" priority="786" operator="containsText" text="CMS">
      <formula>NOT(ISERROR(SEARCH("CMS",O56)))</formula>
    </cfRule>
    <cfRule type="cellIs" dxfId="31696" priority="787" operator="equal">
      <formula>0</formula>
    </cfRule>
    <cfRule type="cellIs" dxfId="31695" priority="788" operator="greaterThan">
      <formula>0</formula>
    </cfRule>
  </conditionalFormatting>
  <conditionalFormatting sqref="O48">
    <cfRule type="cellIs" dxfId="31694" priority="781" operator="equal">
      <formula>"PMS"</formula>
    </cfRule>
    <cfRule type="containsText" dxfId="31693" priority="782" operator="containsText" text="CMS">
      <formula>NOT(ISERROR(SEARCH("CMS",O48)))</formula>
    </cfRule>
    <cfRule type="cellIs" dxfId="31692" priority="783" operator="equal">
      <formula>0</formula>
    </cfRule>
    <cfRule type="cellIs" dxfId="31691" priority="784" operator="greaterThan">
      <formula>0</formula>
    </cfRule>
  </conditionalFormatting>
  <conditionalFormatting sqref="O54:O56">
    <cfRule type="cellIs" dxfId="31690" priority="777" operator="equal">
      <formula>"PMS"</formula>
    </cfRule>
    <cfRule type="containsText" dxfId="31689" priority="778" operator="containsText" text="CMS">
      <formula>NOT(ISERROR(SEARCH("CMS",O54)))</formula>
    </cfRule>
    <cfRule type="cellIs" dxfId="31688" priority="779" operator="equal">
      <formula>0</formula>
    </cfRule>
    <cfRule type="cellIs" dxfId="31687" priority="780" operator="greaterThan">
      <formula>0</formula>
    </cfRule>
  </conditionalFormatting>
  <conditionalFormatting sqref="O48">
    <cfRule type="cellIs" dxfId="31686" priority="773" operator="equal">
      <formula>"PMS"</formula>
    </cfRule>
    <cfRule type="containsText" dxfId="31685" priority="774" operator="containsText" text="CMS">
      <formula>NOT(ISERROR(SEARCH("CMS",O48)))</formula>
    </cfRule>
    <cfRule type="cellIs" dxfId="31684" priority="775" operator="equal">
      <formula>0</formula>
    </cfRule>
    <cfRule type="cellIs" dxfId="31683" priority="776" operator="greaterThan">
      <formula>0</formula>
    </cfRule>
  </conditionalFormatting>
  <conditionalFormatting sqref="O54:O56">
    <cfRule type="cellIs" dxfId="31682" priority="769" operator="equal">
      <formula>"PMS"</formula>
    </cfRule>
    <cfRule type="containsText" dxfId="31681" priority="770" operator="containsText" text="CMS">
      <formula>NOT(ISERROR(SEARCH("CMS",O54)))</formula>
    </cfRule>
    <cfRule type="cellIs" dxfId="31680" priority="771" operator="equal">
      <formula>0</formula>
    </cfRule>
    <cfRule type="cellIs" dxfId="31679" priority="772" operator="greaterThan">
      <formula>0</formula>
    </cfRule>
  </conditionalFormatting>
  <conditionalFormatting sqref="V14:V16">
    <cfRule type="cellIs" dxfId="31678" priority="765" operator="equal">
      <formula>"PMS"</formula>
    </cfRule>
    <cfRule type="containsText" dxfId="31677" priority="766" operator="containsText" text="CMS">
      <formula>NOT(ISERROR(SEARCH("CMS",V14)))</formula>
    </cfRule>
    <cfRule type="cellIs" dxfId="31676" priority="767" operator="equal">
      <formula>0</formula>
    </cfRule>
    <cfRule type="cellIs" dxfId="31675" priority="768" operator="greaterThan">
      <formula>0</formula>
    </cfRule>
  </conditionalFormatting>
  <conditionalFormatting sqref="V14:V16">
    <cfRule type="cellIs" dxfId="31674" priority="761" operator="equal">
      <formula>"PMS"</formula>
    </cfRule>
    <cfRule type="containsText" dxfId="31673" priority="762" operator="containsText" text="CMS">
      <formula>NOT(ISERROR(SEARCH("CMS",V14)))</formula>
    </cfRule>
    <cfRule type="cellIs" dxfId="31672" priority="763" operator="equal">
      <formula>0</formula>
    </cfRule>
    <cfRule type="cellIs" dxfId="31671" priority="764" operator="greaterThan">
      <formula>0</formula>
    </cfRule>
  </conditionalFormatting>
  <conditionalFormatting sqref="W14:W16">
    <cfRule type="cellIs" dxfId="31670" priority="757" operator="equal">
      <formula>"PMS"</formula>
    </cfRule>
    <cfRule type="containsText" dxfId="31669" priority="758" operator="containsText" text="CMS">
      <formula>NOT(ISERROR(SEARCH("CMS",W14)))</formula>
    </cfRule>
    <cfRule type="cellIs" dxfId="31668" priority="759" operator="equal">
      <formula>0</formula>
    </cfRule>
    <cfRule type="cellIs" dxfId="31667" priority="760" operator="greaterThan">
      <formula>0</formula>
    </cfRule>
  </conditionalFormatting>
  <conditionalFormatting sqref="W14:W16">
    <cfRule type="cellIs" dxfId="31666" priority="753" operator="equal">
      <formula>"PMS"</formula>
    </cfRule>
    <cfRule type="containsText" dxfId="31665" priority="754" operator="containsText" text="CMS">
      <formula>NOT(ISERROR(SEARCH("CMS",W14)))</formula>
    </cfRule>
    <cfRule type="cellIs" dxfId="31664" priority="755" operator="equal">
      <formula>0</formula>
    </cfRule>
    <cfRule type="cellIs" dxfId="31663" priority="756" operator="greaterThan">
      <formula>0</formula>
    </cfRule>
  </conditionalFormatting>
  <conditionalFormatting sqref="X16">
    <cfRule type="cellIs" dxfId="31662" priority="749" operator="equal">
      <formula>"PMS"</formula>
    </cfRule>
    <cfRule type="containsText" dxfId="31661" priority="750" operator="containsText" text="CMS">
      <formula>NOT(ISERROR(SEARCH("CMS",X16)))</formula>
    </cfRule>
    <cfRule type="cellIs" dxfId="31660" priority="751" operator="equal">
      <formula>0</formula>
    </cfRule>
    <cfRule type="cellIs" dxfId="31659" priority="752" operator="greaterThan">
      <formula>0</formula>
    </cfRule>
  </conditionalFormatting>
  <conditionalFormatting sqref="X16">
    <cfRule type="cellIs" dxfId="31658" priority="745" operator="equal">
      <formula>"PMS"</formula>
    </cfRule>
    <cfRule type="containsText" dxfId="31657" priority="746" operator="containsText" text="CMS">
      <formula>NOT(ISERROR(SEARCH("CMS",X16)))</formula>
    </cfRule>
    <cfRule type="cellIs" dxfId="31656" priority="747" operator="equal">
      <formula>0</formula>
    </cfRule>
    <cfRule type="cellIs" dxfId="31655" priority="748" operator="greaterThan">
      <formula>0</formula>
    </cfRule>
  </conditionalFormatting>
  <conditionalFormatting sqref="O48">
    <cfRule type="cellIs" dxfId="31654" priority="741" operator="equal">
      <formula>"PMS"</formula>
    </cfRule>
    <cfRule type="containsText" dxfId="31653" priority="742" operator="containsText" text="CMS">
      <formula>NOT(ISERROR(SEARCH("CMS",O48)))</formula>
    </cfRule>
    <cfRule type="cellIs" dxfId="31652" priority="743" operator="equal">
      <formula>0</formula>
    </cfRule>
    <cfRule type="cellIs" dxfId="31651" priority="744" operator="greaterThan">
      <formula>0</formula>
    </cfRule>
  </conditionalFormatting>
  <conditionalFormatting sqref="O55">
    <cfRule type="cellIs" dxfId="31650" priority="737" operator="equal">
      <formula>"PMS"</formula>
    </cfRule>
    <cfRule type="containsText" dxfId="31649" priority="738" operator="containsText" text="CMS">
      <formula>NOT(ISERROR(SEARCH("CMS",O55)))</formula>
    </cfRule>
    <cfRule type="cellIs" dxfId="31648" priority="739" operator="equal">
      <formula>0</formula>
    </cfRule>
    <cfRule type="cellIs" dxfId="31647" priority="740" operator="greaterThan">
      <formula>0</formula>
    </cfRule>
  </conditionalFormatting>
  <conditionalFormatting sqref="Z14">
    <cfRule type="cellIs" dxfId="31646" priority="733" operator="equal">
      <formula>"PMS"</formula>
    </cfRule>
    <cfRule type="containsText" dxfId="31645" priority="734" operator="containsText" text="CMS">
      <formula>NOT(ISERROR(SEARCH("CMS",Z14)))</formula>
    </cfRule>
    <cfRule type="cellIs" dxfId="31644" priority="735" operator="equal">
      <formula>0</formula>
    </cfRule>
    <cfRule type="cellIs" dxfId="31643" priority="736" operator="greaterThan">
      <formula>0</formula>
    </cfRule>
  </conditionalFormatting>
  <conditionalFormatting sqref="Z14">
    <cfRule type="cellIs" dxfId="31642" priority="729" operator="equal">
      <formula>"PMS"</formula>
    </cfRule>
    <cfRule type="containsText" dxfId="31641" priority="730" operator="containsText" text="CMS">
      <formula>NOT(ISERROR(SEARCH("CMS",Z14)))</formula>
    </cfRule>
    <cfRule type="cellIs" dxfId="31640" priority="731" operator="equal">
      <formula>0</formula>
    </cfRule>
    <cfRule type="cellIs" dxfId="31639" priority="732" operator="greaterThan">
      <formula>0</formula>
    </cfRule>
  </conditionalFormatting>
  <conditionalFormatting sqref="Z15">
    <cfRule type="cellIs" dxfId="31638" priority="725" operator="equal">
      <formula>"PMS"</formula>
    </cfRule>
    <cfRule type="containsText" dxfId="31637" priority="726" operator="containsText" text="CMS">
      <formula>NOT(ISERROR(SEARCH("CMS",Z15)))</formula>
    </cfRule>
    <cfRule type="cellIs" dxfId="31636" priority="727" operator="equal">
      <formula>0</formula>
    </cfRule>
    <cfRule type="cellIs" dxfId="31635" priority="728" operator="greaterThan">
      <formula>0</formula>
    </cfRule>
  </conditionalFormatting>
  <conditionalFormatting sqref="Z15">
    <cfRule type="cellIs" dxfId="31634" priority="721" operator="equal">
      <formula>"PMS"</formula>
    </cfRule>
    <cfRule type="containsText" dxfId="31633" priority="722" operator="containsText" text="CMS">
      <formula>NOT(ISERROR(SEARCH("CMS",Z15)))</formula>
    </cfRule>
    <cfRule type="cellIs" dxfId="31632" priority="723" operator="equal">
      <formula>0</formula>
    </cfRule>
    <cfRule type="cellIs" dxfId="31631" priority="724" operator="greaterThan">
      <formula>0</formula>
    </cfRule>
  </conditionalFormatting>
  <conditionalFormatting sqref="Z16">
    <cfRule type="cellIs" dxfId="31630" priority="717" operator="equal">
      <formula>"PMS"</formula>
    </cfRule>
    <cfRule type="containsText" dxfId="31629" priority="718" operator="containsText" text="CMS">
      <formula>NOT(ISERROR(SEARCH("CMS",Z16)))</formula>
    </cfRule>
    <cfRule type="cellIs" dxfId="31628" priority="719" operator="equal">
      <formula>0</formula>
    </cfRule>
    <cfRule type="cellIs" dxfId="31627" priority="720" operator="greaterThan">
      <formula>0</formula>
    </cfRule>
  </conditionalFormatting>
  <conditionalFormatting sqref="Z16">
    <cfRule type="cellIs" dxfId="31626" priority="713" operator="equal">
      <formula>"PMS"</formula>
    </cfRule>
    <cfRule type="containsText" dxfId="31625" priority="714" operator="containsText" text="CMS">
      <formula>NOT(ISERROR(SEARCH("CMS",Z16)))</formula>
    </cfRule>
    <cfRule type="cellIs" dxfId="31624" priority="715" operator="equal">
      <formula>0</formula>
    </cfRule>
    <cfRule type="cellIs" dxfId="31623" priority="716" operator="greaterThan">
      <formula>0</formula>
    </cfRule>
  </conditionalFormatting>
  <conditionalFormatting sqref="AA14">
    <cfRule type="cellIs" dxfId="31622" priority="709" operator="equal">
      <formula>"PMS"</formula>
    </cfRule>
    <cfRule type="containsText" dxfId="31621" priority="710" operator="containsText" text="CMS">
      <formula>NOT(ISERROR(SEARCH("CMS",AA14)))</formula>
    </cfRule>
    <cfRule type="cellIs" dxfId="31620" priority="711" operator="equal">
      <formula>0</formula>
    </cfRule>
    <cfRule type="cellIs" dxfId="31619" priority="712" operator="greaterThan">
      <formula>0</formula>
    </cfRule>
  </conditionalFormatting>
  <conditionalFormatting sqref="AA14">
    <cfRule type="cellIs" dxfId="31618" priority="705" operator="equal">
      <formula>"PMS"</formula>
    </cfRule>
    <cfRule type="containsText" dxfId="31617" priority="706" operator="containsText" text="CMS">
      <formula>NOT(ISERROR(SEARCH("CMS",AA14)))</formula>
    </cfRule>
    <cfRule type="cellIs" dxfId="31616" priority="707" operator="equal">
      <formula>0</formula>
    </cfRule>
    <cfRule type="cellIs" dxfId="31615" priority="708" operator="greaterThan">
      <formula>0</formula>
    </cfRule>
  </conditionalFormatting>
  <conditionalFormatting sqref="AA15">
    <cfRule type="cellIs" dxfId="31614" priority="701" operator="equal">
      <formula>"PMS"</formula>
    </cfRule>
    <cfRule type="containsText" dxfId="31613" priority="702" operator="containsText" text="CMS">
      <formula>NOT(ISERROR(SEARCH("CMS",AA15)))</formula>
    </cfRule>
    <cfRule type="cellIs" dxfId="31612" priority="703" operator="equal">
      <formula>0</formula>
    </cfRule>
    <cfRule type="cellIs" dxfId="31611" priority="704" operator="greaterThan">
      <formula>0</formula>
    </cfRule>
  </conditionalFormatting>
  <conditionalFormatting sqref="AA15">
    <cfRule type="cellIs" dxfId="31610" priority="697" operator="equal">
      <formula>"PMS"</formula>
    </cfRule>
    <cfRule type="containsText" dxfId="31609" priority="698" operator="containsText" text="CMS">
      <formula>NOT(ISERROR(SEARCH("CMS",AA15)))</formula>
    </cfRule>
    <cfRule type="cellIs" dxfId="31608" priority="699" operator="equal">
      <formula>0</formula>
    </cfRule>
    <cfRule type="cellIs" dxfId="31607" priority="700" operator="greaterThan">
      <formula>0</formula>
    </cfRule>
  </conditionalFormatting>
  <conditionalFormatting sqref="AA16">
    <cfRule type="cellIs" dxfId="31606" priority="693" operator="equal">
      <formula>"PMS"</formula>
    </cfRule>
    <cfRule type="containsText" dxfId="31605" priority="694" operator="containsText" text="CMS">
      <formula>NOT(ISERROR(SEARCH("CMS",AA16)))</formula>
    </cfRule>
    <cfRule type="cellIs" dxfId="31604" priority="695" operator="equal">
      <formula>0</formula>
    </cfRule>
    <cfRule type="cellIs" dxfId="31603" priority="696" operator="greaterThan">
      <formula>0</formula>
    </cfRule>
  </conditionalFormatting>
  <conditionalFormatting sqref="AA16">
    <cfRule type="cellIs" dxfId="31602" priority="689" operator="equal">
      <formula>"PMS"</formula>
    </cfRule>
    <cfRule type="containsText" dxfId="31601" priority="690" operator="containsText" text="CMS">
      <formula>NOT(ISERROR(SEARCH("CMS",AA16)))</formula>
    </cfRule>
    <cfRule type="cellIs" dxfId="31600" priority="691" operator="equal">
      <formula>0</formula>
    </cfRule>
    <cfRule type="cellIs" dxfId="31599" priority="692" operator="greaterThan">
      <formula>0</formula>
    </cfRule>
  </conditionalFormatting>
  <conditionalFormatting sqref="AA27">
    <cfRule type="cellIs" dxfId="31598" priority="685" operator="equal">
      <formula>"PMS"</formula>
    </cfRule>
    <cfRule type="containsText" dxfId="31597" priority="686" operator="containsText" text="CMS">
      <formula>NOT(ISERROR(SEARCH("CMS",AA27)))</formula>
    </cfRule>
    <cfRule type="cellIs" dxfId="31596" priority="687" operator="equal">
      <formula>0</formula>
    </cfRule>
    <cfRule type="cellIs" dxfId="31595" priority="688" operator="greaterThan">
      <formula>0</formula>
    </cfRule>
  </conditionalFormatting>
  <conditionalFormatting sqref="AA27">
    <cfRule type="cellIs" dxfId="31594" priority="681" operator="equal">
      <formula>"PMS"</formula>
    </cfRule>
    <cfRule type="containsText" dxfId="31593" priority="682" operator="containsText" text="CMS">
      <formula>NOT(ISERROR(SEARCH("CMS",AA27)))</formula>
    </cfRule>
    <cfRule type="cellIs" dxfId="31592" priority="683" operator="equal">
      <formula>0</formula>
    </cfRule>
    <cfRule type="cellIs" dxfId="31591" priority="684" operator="greaterThan">
      <formula>0</formula>
    </cfRule>
  </conditionalFormatting>
  <conditionalFormatting sqref="AA28">
    <cfRule type="cellIs" dxfId="31590" priority="677" operator="equal">
      <formula>"PMS"</formula>
    </cfRule>
    <cfRule type="containsText" dxfId="31589" priority="678" operator="containsText" text="CMS">
      <formula>NOT(ISERROR(SEARCH("CMS",AA28)))</formula>
    </cfRule>
    <cfRule type="cellIs" dxfId="31588" priority="679" operator="equal">
      <formula>0</formula>
    </cfRule>
    <cfRule type="cellIs" dxfId="31587" priority="680" operator="greaterThan">
      <formula>0</formula>
    </cfRule>
  </conditionalFormatting>
  <conditionalFormatting sqref="AA28">
    <cfRule type="cellIs" dxfId="31586" priority="673" operator="equal">
      <formula>"PMS"</formula>
    </cfRule>
    <cfRule type="containsText" dxfId="31585" priority="674" operator="containsText" text="CMS">
      <formula>NOT(ISERROR(SEARCH("CMS",AA28)))</formula>
    </cfRule>
    <cfRule type="cellIs" dxfId="31584" priority="675" operator="equal">
      <formula>0</formula>
    </cfRule>
    <cfRule type="cellIs" dxfId="31583" priority="676" operator="greaterThan">
      <formula>0</formula>
    </cfRule>
  </conditionalFormatting>
  <conditionalFormatting sqref="AB14">
    <cfRule type="cellIs" dxfId="31582" priority="669" operator="equal">
      <formula>"PMS"</formula>
    </cfRule>
    <cfRule type="containsText" dxfId="31581" priority="670" operator="containsText" text="CMS">
      <formula>NOT(ISERROR(SEARCH("CMS",AB14)))</formula>
    </cfRule>
    <cfRule type="cellIs" dxfId="31580" priority="671" operator="equal">
      <formula>0</formula>
    </cfRule>
    <cfRule type="cellIs" dxfId="31579" priority="672" operator="greaterThan">
      <formula>0</formula>
    </cfRule>
  </conditionalFormatting>
  <conditionalFormatting sqref="AB14">
    <cfRule type="cellIs" dxfId="31578" priority="665" operator="equal">
      <formula>"PMS"</formula>
    </cfRule>
    <cfRule type="containsText" dxfId="31577" priority="666" operator="containsText" text="CMS">
      <formula>NOT(ISERROR(SEARCH("CMS",AB14)))</formula>
    </cfRule>
    <cfRule type="cellIs" dxfId="31576" priority="667" operator="equal">
      <formula>0</formula>
    </cfRule>
    <cfRule type="cellIs" dxfId="31575" priority="668" operator="greaterThan">
      <formula>0</formula>
    </cfRule>
  </conditionalFormatting>
  <conditionalFormatting sqref="AB15">
    <cfRule type="cellIs" dxfId="31574" priority="661" operator="equal">
      <formula>"PMS"</formula>
    </cfRule>
    <cfRule type="containsText" dxfId="31573" priority="662" operator="containsText" text="CMS">
      <formula>NOT(ISERROR(SEARCH("CMS",AB15)))</formula>
    </cfRule>
    <cfRule type="cellIs" dxfId="31572" priority="663" operator="equal">
      <formula>0</formula>
    </cfRule>
    <cfRule type="cellIs" dxfId="31571" priority="664" operator="greaterThan">
      <formula>0</formula>
    </cfRule>
  </conditionalFormatting>
  <conditionalFormatting sqref="AB15">
    <cfRule type="cellIs" dxfId="31570" priority="657" operator="equal">
      <formula>"PMS"</formula>
    </cfRule>
    <cfRule type="containsText" dxfId="31569" priority="658" operator="containsText" text="CMS">
      <formula>NOT(ISERROR(SEARCH("CMS",AB15)))</formula>
    </cfRule>
    <cfRule type="cellIs" dxfId="31568" priority="659" operator="equal">
      <formula>0</formula>
    </cfRule>
    <cfRule type="cellIs" dxfId="31567" priority="660" operator="greaterThan">
      <formula>0</formula>
    </cfRule>
  </conditionalFormatting>
  <conditionalFormatting sqref="AB16">
    <cfRule type="cellIs" dxfId="31566" priority="653" operator="equal">
      <formula>"PMS"</formula>
    </cfRule>
    <cfRule type="containsText" dxfId="31565" priority="654" operator="containsText" text="CMS">
      <formula>NOT(ISERROR(SEARCH("CMS",AB16)))</formula>
    </cfRule>
    <cfRule type="cellIs" dxfId="31564" priority="655" operator="equal">
      <formula>0</formula>
    </cfRule>
    <cfRule type="cellIs" dxfId="31563" priority="656" operator="greaterThan">
      <formula>0</formula>
    </cfRule>
  </conditionalFormatting>
  <conditionalFormatting sqref="AB16">
    <cfRule type="cellIs" dxfId="31562" priority="649" operator="equal">
      <formula>"PMS"</formula>
    </cfRule>
    <cfRule type="containsText" dxfId="31561" priority="650" operator="containsText" text="CMS">
      <formula>NOT(ISERROR(SEARCH("CMS",AB16)))</formula>
    </cfRule>
    <cfRule type="cellIs" dxfId="31560" priority="651" operator="equal">
      <formula>0</formula>
    </cfRule>
    <cfRule type="cellIs" dxfId="31559" priority="652" operator="greaterThan">
      <formula>0</formula>
    </cfRule>
  </conditionalFormatting>
  <conditionalFormatting sqref="J60:J62">
    <cfRule type="cellIs" dxfId="31558" priority="633" operator="equal">
      <formula>"PMS"</formula>
    </cfRule>
    <cfRule type="containsText" dxfId="31557" priority="634" operator="containsText" text="CMS">
      <formula>NOT(ISERROR(SEARCH("CMS",J60)))</formula>
    </cfRule>
    <cfRule type="cellIs" dxfId="31556" priority="635" operator="equal">
      <formula>0</formula>
    </cfRule>
    <cfRule type="cellIs" dxfId="31555" priority="636" operator="greaterThan">
      <formula>0</formula>
    </cfRule>
    <cfRule type="cellIs" dxfId="31554" priority="637" operator="equal">
      <formula>"PMS"</formula>
    </cfRule>
    <cfRule type="containsText" dxfId="31553" priority="638" operator="containsText" text="CMS">
      <formula>NOT(ISERROR(SEARCH("CMS",J60)))</formula>
    </cfRule>
    <cfRule type="cellIs" dxfId="31552" priority="639" operator="equal">
      <formula>0</formula>
    </cfRule>
    <cfRule type="cellIs" dxfId="31551" priority="640" operator="greaterThan">
      <formula>0</formula>
    </cfRule>
  </conditionalFormatting>
  <conditionalFormatting sqref="V14">
    <cfRule type="cellIs" dxfId="31550" priority="629" operator="equal">
      <formula>"PMS"</formula>
    </cfRule>
    <cfRule type="containsText" dxfId="31549" priority="630" operator="containsText" text="CMS">
      <formula>NOT(ISERROR(SEARCH("CMS",V14)))</formula>
    </cfRule>
    <cfRule type="cellIs" dxfId="31548" priority="631" operator="equal">
      <formula>0</formula>
    </cfRule>
    <cfRule type="cellIs" dxfId="31547" priority="632" operator="greaterThan">
      <formula>0</formula>
    </cfRule>
  </conditionalFormatting>
  <conditionalFormatting sqref="V14">
    <cfRule type="cellIs" dxfId="31546" priority="625" operator="equal">
      <formula>"PMS"</formula>
    </cfRule>
    <cfRule type="containsText" dxfId="31545" priority="626" operator="containsText" text="CMS">
      <formula>NOT(ISERROR(SEARCH("CMS",V14)))</formula>
    </cfRule>
    <cfRule type="cellIs" dxfId="31544" priority="627" operator="equal">
      <formula>0</formula>
    </cfRule>
    <cfRule type="cellIs" dxfId="31543" priority="628" operator="greaterThan">
      <formula>0</formula>
    </cfRule>
  </conditionalFormatting>
  <conditionalFormatting sqref="V15">
    <cfRule type="cellIs" dxfId="31542" priority="621" operator="equal">
      <formula>"PMS"</formula>
    </cfRule>
    <cfRule type="containsText" dxfId="31541" priority="622" operator="containsText" text="CMS">
      <formula>NOT(ISERROR(SEARCH("CMS",V15)))</formula>
    </cfRule>
    <cfRule type="cellIs" dxfId="31540" priority="623" operator="equal">
      <formula>0</formula>
    </cfRule>
    <cfRule type="cellIs" dxfId="31539" priority="624" operator="greaterThan">
      <formula>0</formula>
    </cfRule>
  </conditionalFormatting>
  <conditionalFormatting sqref="V15">
    <cfRule type="cellIs" dxfId="31538" priority="617" operator="equal">
      <formula>"PMS"</formula>
    </cfRule>
    <cfRule type="containsText" dxfId="31537" priority="618" operator="containsText" text="CMS">
      <formula>NOT(ISERROR(SEARCH("CMS",V15)))</formula>
    </cfRule>
    <cfRule type="cellIs" dxfId="31536" priority="619" operator="equal">
      <formula>0</formula>
    </cfRule>
    <cfRule type="cellIs" dxfId="31535" priority="620" operator="greaterThan">
      <formula>0</formula>
    </cfRule>
  </conditionalFormatting>
  <conditionalFormatting sqref="V16">
    <cfRule type="cellIs" dxfId="31534" priority="613" operator="equal">
      <formula>"PMS"</formula>
    </cfRule>
    <cfRule type="containsText" dxfId="31533" priority="614" operator="containsText" text="CMS">
      <formula>NOT(ISERROR(SEARCH("CMS",V16)))</formula>
    </cfRule>
    <cfRule type="cellIs" dxfId="31532" priority="615" operator="equal">
      <formula>0</formula>
    </cfRule>
    <cfRule type="cellIs" dxfId="31531" priority="616" operator="greaterThan">
      <formula>0</formula>
    </cfRule>
  </conditionalFormatting>
  <conditionalFormatting sqref="V16">
    <cfRule type="cellIs" dxfId="31530" priority="609" operator="equal">
      <formula>"PMS"</formula>
    </cfRule>
    <cfRule type="containsText" dxfId="31529" priority="610" operator="containsText" text="CMS">
      <formula>NOT(ISERROR(SEARCH("CMS",V16)))</formula>
    </cfRule>
    <cfRule type="cellIs" dxfId="31528" priority="611" operator="equal">
      <formula>0</formula>
    </cfRule>
    <cfRule type="cellIs" dxfId="31527" priority="612" operator="greaterThan">
      <formula>0</formula>
    </cfRule>
  </conditionalFormatting>
  <conditionalFormatting sqref="W14">
    <cfRule type="cellIs" dxfId="31526" priority="605" operator="equal">
      <formula>"PMS"</formula>
    </cfRule>
    <cfRule type="containsText" dxfId="31525" priority="606" operator="containsText" text="CMS">
      <formula>NOT(ISERROR(SEARCH("CMS",W14)))</formula>
    </cfRule>
    <cfRule type="cellIs" dxfId="31524" priority="607" operator="equal">
      <formula>0</formula>
    </cfRule>
    <cfRule type="cellIs" dxfId="31523" priority="608" operator="greaterThan">
      <formula>0</formula>
    </cfRule>
  </conditionalFormatting>
  <conditionalFormatting sqref="W14">
    <cfRule type="cellIs" dxfId="31522" priority="601" operator="equal">
      <formula>"PMS"</formula>
    </cfRule>
    <cfRule type="containsText" dxfId="31521" priority="602" operator="containsText" text="CMS">
      <formula>NOT(ISERROR(SEARCH("CMS",W14)))</formula>
    </cfRule>
    <cfRule type="cellIs" dxfId="31520" priority="603" operator="equal">
      <formula>0</formula>
    </cfRule>
    <cfRule type="cellIs" dxfId="31519" priority="604" operator="greaterThan">
      <formula>0</formula>
    </cfRule>
  </conditionalFormatting>
  <conditionalFormatting sqref="W15">
    <cfRule type="cellIs" dxfId="31518" priority="597" operator="equal">
      <formula>"PMS"</formula>
    </cfRule>
    <cfRule type="containsText" dxfId="31517" priority="598" operator="containsText" text="CMS">
      <formula>NOT(ISERROR(SEARCH("CMS",W15)))</formula>
    </cfRule>
    <cfRule type="cellIs" dxfId="31516" priority="599" operator="equal">
      <formula>0</formula>
    </cfRule>
    <cfRule type="cellIs" dxfId="31515" priority="600" operator="greaterThan">
      <formula>0</formula>
    </cfRule>
  </conditionalFormatting>
  <conditionalFormatting sqref="W15">
    <cfRule type="cellIs" dxfId="31514" priority="593" operator="equal">
      <formula>"PMS"</formula>
    </cfRule>
    <cfRule type="containsText" dxfId="31513" priority="594" operator="containsText" text="CMS">
      <formula>NOT(ISERROR(SEARCH("CMS",W15)))</formula>
    </cfRule>
    <cfRule type="cellIs" dxfId="31512" priority="595" operator="equal">
      <formula>0</formula>
    </cfRule>
    <cfRule type="cellIs" dxfId="31511" priority="596" operator="greaterThan">
      <formula>0</formula>
    </cfRule>
  </conditionalFormatting>
  <conditionalFormatting sqref="W16">
    <cfRule type="cellIs" dxfId="31510" priority="589" operator="equal">
      <formula>"PMS"</formula>
    </cfRule>
    <cfRule type="containsText" dxfId="31509" priority="590" operator="containsText" text="CMS">
      <formula>NOT(ISERROR(SEARCH("CMS",W16)))</formula>
    </cfRule>
    <cfRule type="cellIs" dxfId="31508" priority="591" operator="equal">
      <formula>0</formula>
    </cfRule>
    <cfRule type="cellIs" dxfId="31507" priority="592" operator="greaterThan">
      <formula>0</formula>
    </cfRule>
  </conditionalFormatting>
  <conditionalFormatting sqref="W16">
    <cfRule type="cellIs" dxfId="31506" priority="585" operator="equal">
      <formula>"PMS"</formula>
    </cfRule>
    <cfRule type="containsText" dxfId="31505" priority="586" operator="containsText" text="CMS">
      <formula>NOT(ISERROR(SEARCH("CMS",W16)))</formula>
    </cfRule>
    <cfRule type="cellIs" dxfId="31504" priority="587" operator="equal">
      <formula>0</formula>
    </cfRule>
    <cfRule type="cellIs" dxfId="31503" priority="588" operator="greaterThan">
      <formula>0</formula>
    </cfRule>
  </conditionalFormatting>
  <conditionalFormatting sqref="G55">
    <cfRule type="cellIs" dxfId="31502" priority="577" operator="equal">
      <formula>"PMS"</formula>
    </cfRule>
    <cfRule type="containsText" dxfId="31501" priority="578" operator="containsText" text="CMS">
      <formula>NOT(ISERROR(SEARCH("CMS",G55)))</formula>
    </cfRule>
    <cfRule type="cellIs" dxfId="31500" priority="579" operator="equal">
      <formula>0</formula>
    </cfRule>
    <cfRule type="cellIs" dxfId="31499" priority="580" operator="greaterThan">
      <formula>0</formula>
    </cfRule>
    <cfRule type="cellIs" dxfId="31498" priority="581" operator="equal">
      <formula>"PMS"</formula>
    </cfRule>
    <cfRule type="containsText" dxfId="31497" priority="582" operator="containsText" text="CMS">
      <formula>NOT(ISERROR(SEARCH("CMS",G55)))</formula>
    </cfRule>
    <cfRule type="cellIs" dxfId="31496" priority="583" operator="equal">
      <formula>0</formula>
    </cfRule>
    <cfRule type="cellIs" dxfId="31495" priority="584" operator="greaterThan">
      <formula>0</formula>
    </cfRule>
  </conditionalFormatting>
  <conditionalFormatting sqref="G55">
    <cfRule type="cellIs" dxfId="31494" priority="573" operator="equal">
      <formula>"PMS"</formula>
    </cfRule>
    <cfRule type="containsText" dxfId="31493" priority="574" operator="containsText" text="CMS">
      <formula>NOT(ISERROR(SEARCH("CMS",G55)))</formula>
    </cfRule>
    <cfRule type="cellIs" dxfId="31492" priority="575" operator="equal">
      <formula>0</formula>
    </cfRule>
    <cfRule type="cellIs" dxfId="31491" priority="576" operator="greaterThan">
      <formula>0</formula>
    </cfRule>
  </conditionalFormatting>
  <conditionalFormatting sqref="G55">
    <cfRule type="cellIs" dxfId="31490" priority="569" operator="equal">
      <formula>"PMS"</formula>
    </cfRule>
    <cfRule type="containsText" dxfId="31489" priority="570" operator="containsText" text="CMS">
      <formula>NOT(ISERROR(SEARCH("CMS",G55)))</formula>
    </cfRule>
    <cfRule type="cellIs" dxfId="31488" priority="571" operator="equal">
      <formula>0</formula>
    </cfRule>
    <cfRule type="cellIs" dxfId="31487" priority="572" operator="greaterThan">
      <formula>0</formula>
    </cfRule>
  </conditionalFormatting>
  <conditionalFormatting sqref="G13:G16">
    <cfRule type="cellIs" dxfId="31486" priority="553" operator="equal">
      <formula>"PMS"</formula>
    </cfRule>
    <cfRule type="containsText" dxfId="31485" priority="554" operator="containsText" text="CMS">
      <formula>NOT(ISERROR(SEARCH("CMS",G13)))</formula>
    </cfRule>
    <cfRule type="cellIs" dxfId="31484" priority="555" operator="equal">
      <formula>0</formula>
    </cfRule>
    <cfRule type="cellIs" dxfId="31483" priority="556" operator="greaterThan">
      <formula>0</formula>
    </cfRule>
    <cfRule type="cellIs" dxfId="31482" priority="557" operator="equal">
      <formula>"PMS"</formula>
    </cfRule>
    <cfRule type="containsText" dxfId="31481" priority="558" operator="containsText" text="CMS">
      <formula>NOT(ISERROR(SEARCH("CMS",G13)))</formula>
    </cfRule>
    <cfRule type="cellIs" dxfId="31480" priority="559" operator="equal">
      <formula>0</formula>
    </cfRule>
    <cfRule type="cellIs" dxfId="31479" priority="560" operator="greaterThan">
      <formula>0</formula>
    </cfRule>
  </conditionalFormatting>
  <conditionalFormatting sqref="G13:G16">
    <cfRule type="cellIs" dxfId="31478" priority="549" operator="equal">
      <formula>"PMS"</formula>
    </cfRule>
    <cfRule type="containsText" dxfId="31477" priority="550" operator="containsText" text="CMS">
      <formula>NOT(ISERROR(SEARCH("CMS",G13)))</formula>
    </cfRule>
    <cfRule type="cellIs" dxfId="31476" priority="551" operator="equal">
      <formula>0</formula>
    </cfRule>
    <cfRule type="cellIs" dxfId="31475" priority="552" operator="greaterThan">
      <formula>0</formula>
    </cfRule>
  </conditionalFormatting>
  <conditionalFormatting sqref="G13:G16">
    <cfRule type="cellIs" dxfId="31474" priority="545" operator="equal">
      <formula>"PMS"</formula>
    </cfRule>
    <cfRule type="containsText" dxfId="31473" priority="546" operator="containsText" text="CMS">
      <formula>NOT(ISERROR(SEARCH("CMS",G13)))</formula>
    </cfRule>
    <cfRule type="cellIs" dxfId="31472" priority="547" operator="equal">
      <formula>0</formula>
    </cfRule>
    <cfRule type="cellIs" dxfId="31471" priority="548" operator="greaterThan">
      <formula>0</formula>
    </cfRule>
  </conditionalFormatting>
  <conditionalFormatting sqref="G13:G16">
    <cfRule type="cellIs" dxfId="31470" priority="541" operator="equal">
      <formula>"PMS"</formula>
    </cfRule>
    <cfRule type="containsText" dxfId="31469" priority="542" operator="containsText" text="CMS">
      <formula>NOT(ISERROR(SEARCH("CMS",G13)))</formula>
    </cfRule>
    <cfRule type="cellIs" dxfId="31468" priority="543" operator="equal">
      <formula>0</formula>
    </cfRule>
    <cfRule type="cellIs" dxfId="31467" priority="544" operator="greaterThan">
      <formula>0</formula>
    </cfRule>
  </conditionalFormatting>
  <conditionalFormatting sqref="G13:G16">
    <cfRule type="cellIs" dxfId="31466" priority="537" operator="equal">
      <formula>"PMS"</formula>
    </cfRule>
    <cfRule type="containsText" dxfId="31465" priority="538" operator="containsText" text="CMS">
      <formula>NOT(ISERROR(SEARCH("CMS",G13)))</formula>
    </cfRule>
    <cfRule type="cellIs" dxfId="31464" priority="539" operator="equal">
      <formula>0</formula>
    </cfRule>
    <cfRule type="cellIs" dxfId="31463" priority="540" operator="greaterThan">
      <formula>0</formula>
    </cfRule>
  </conditionalFormatting>
  <conditionalFormatting sqref="G20:G21">
    <cfRule type="cellIs" dxfId="31462" priority="529" operator="equal">
      <formula>"PMS"</formula>
    </cfRule>
    <cfRule type="containsText" dxfId="31461" priority="530" operator="containsText" text="CMS">
      <formula>NOT(ISERROR(SEARCH("CMS",G20)))</formula>
    </cfRule>
    <cfRule type="cellIs" dxfId="31460" priority="531" operator="equal">
      <formula>0</formula>
    </cfRule>
    <cfRule type="cellIs" dxfId="31459" priority="532" operator="greaterThan">
      <formula>0</formula>
    </cfRule>
    <cfRule type="cellIs" dxfId="31458" priority="533" operator="equal">
      <formula>"PMS"</formula>
    </cfRule>
    <cfRule type="containsText" dxfId="31457" priority="534" operator="containsText" text="CMS">
      <formula>NOT(ISERROR(SEARCH("CMS",G20)))</formula>
    </cfRule>
    <cfRule type="cellIs" dxfId="31456" priority="535" operator="equal">
      <formula>0</formula>
    </cfRule>
    <cfRule type="cellIs" dxfId="31455" priority="536" operator="greaterThan">
      <formula>0</formula>
    </cfRule>
  </conditionalFormatting>
  <conditionalFormatting sqref="G20:G21">
    <cfRule type="cellIs" dxfId="31454" priority="525" operator="equal">
      <formula>"PMS"</formula>
    </cfRule>
    <cfRule type="containsText" dxfId="31453" priority="526" operator="containsText" text="CMS">
      <formula>NOT(ISERROR(SEARCH("CMS",G20)))</formula>
    </cfRule>
    <cfRule type="cellIs" dxfId="31452" priority="527" operator="equal">
      <formula>0</formula>
    </cfRule>
    <cfRule type="cellIs" dxfId="31451" priority="528" operator="greaterThan">
      <formula>0</formula>
    </cfRule>
  </conditionalFormatting>
  <conditionalFormatting sqref="G20:G21">
    <cfRule type="cellIs" dxfId="31450" priority="521" operator="equal">
      <formula>"PMS"</formula>
    </cfRule>
    <cfRule type="containsText" dxfId="31449" priority="522" operator="containsText" text="CMS">
      <formula>NOT(ISERROR(SEARCH("CMS",G20)))</formula>
    </cfRule>
    <cfRule type="cellIs" dxfId="31448" priority="523" operator="equal">
      <formula>0</formula>
    </cfRule>
    <cfRule type="cellIs" dxfId="31447" priority="524" operator="greaterThan">
      <formula>0</formula>
    </cfRule>
  </conditionalFormatting>
  <conditionalFormatting sqref="G19">
    <cfRule type="cellIs" dxfId="31446" priority="517" operator="equal">
      <formula>"CMS"</formula>
    </cfRule>
    <cfRule type="cellIs" dxfId="31445" priority="518" operator="equal">
      <formula>"PMS"</formula>
    </cfRule>
    <cfRule type="cellIs" dxfId="31444" priority="519" operator="greaterThan">
      <formula>0</formula>
    </cfRule>
    <cfRule type="cellIs" dxfId="31443" priority="520" operator="equal">
      <formula>0</formula>
    </cfRule>
  </conditionalFormatting>
  <conditionalFormatting sqref="G24">
    <cfRule type="cellIs" dxfId="31442" priority="509" operator="equal">
      <formula>"PMS"</formula>
    </cfRule>
    <cfRule type="containsText" dxfId="31441" priority="510" operator="containsText" text="CMS">
      <formula>NOT(ISERROR(SEARCH("CMS",G24)))</formula>
    </cfRule>
    <cfRule type="cellIs" dxfId="31440" priority="511" operator="equal">
      <formula>0</formula>
    </cfRule>
    <cfRule type="cellIs" dxfId="31439" priority="512" operator="greaterThan">
      <formula>0</formula>
    </cfRule>
    <cfRule type="cellIs" dxfId="31438" priority="513" operator="equal">
      <formula>"PMS"</formula>
    </cfRule>
    <cfRule type="containsText" dxfId="31437" priority="514" operator="containsText" text="CMS">
      <formula>NOT(ISERROR(SEARCH("CMS",G24)))</formula>
    </cfRule>
    <cfRule type="cellIs" dxfId="31436" priority="515" operator="equal">
      <formula>0</formula>
    </cfRule>
    <cfRule type="cellIs" dxfId="31435" priority="516" operator="greaterThan">
      <formula>0</formula>
    </cfRule>
  </conditionalFormatting>
  <conditionalFormatting sqref="G24">
    <cfRule type="cellIs" dxfId="31434" priority="505" operator="equal">
      <formula>"PMS"</formula>
    </cfRule>
    <cfRule type="containsText" dxfId="31433" priority="506" operator="containsText" text="CMS">
      <formula>NOT(ISERROR(SEARCH("CMS",G24)))</formula>
    </cfRule>
    <cfRule type="cellIs" dxfId="31432" priority="507" operator="equal">
      <formula>0</formula>
    </cfRule>
    <cfRule type="cellIs" dxfId="31431" priority="508" operator="greaterThan">
      <formula>0</formula>
    </cfRule>
  </conditionalFormatting>
  <conditionalFormatting sqref="G24">
    <cfRule type="cellIs" dxfId="31430" priority="501" operator="equal">
      <formula>"PMS"</formula>
    </cfRule>
    <cfRule type="containsText" dxfId="31429" priority="502" operator="containsText" text="CMS">
      <formula>NOT(ISERROR(SEARCH("CMS",G24)))</formula>
    </cfRule>
    <cfRule type="cellIs" dxfId="31428" priority="503" operator="equal">
      <formula>0</formula>
    </cfRule>
    <cfRule type="cellIs" dxfId="31427" priority="504" operator="greaterThan">
      <formula>0</formula>
    </cfRule>
  </conditionalFormatting>
  <conditionalFormatting sqref="G27:G28">
    <cfRule type="cellIs" dxfId="31426" priority="493" operator="equal">
      <formula>"PMS"</formula>
    </cfRule>
    <cfRule type="containsText" dxfId="31425" priority="494" operator="containsText" text="CMS">
      <formula>NOT(ISERROR(SEARCH("CMS",G27)))</formula>
    </cfRule>
    <cfRule type="cellIs" dxfId="31424" priority="495" operator="equal">
      <formula>0</formula>
    </cfRule>
    <cfRule type="cellIs" dxfId="31423" priority="496" operator="greaterThan">
      <formula>0</formula>
    </cfRule>
    <cfRule type="cellIs" dxfId="31422" priority="497" operator="equal">
      <formula>"PMS"</formula>
    </cfRule>
    <cfRule type="containsText" dxfId="31421" priority="498" operator="containsText" text="CMS">
      <formula>NOT(ISERROR(SEARCH("CMS",G27)))</formula>
    </cfRule>
    <cfRule type="cellIs" dxfId="31420" priority="499" operator="equal">
      <formula>0</formula>
    </cfRule>
    <cfRule type="cellIs" dxfId="31419" priority="500" operator="greaterThan">
      <formula>0</formula>
    </cfRule>
  </conditionalFormatting>
  <conditionalFormatting sqref="G27:G28">
    <cfRule type="cellIs" dxfId="31418" priority="489" operator="equal">
      <formula>"PMS"</formula>
    </cfRule>
    <cfRule type="containsText" dxfId="31417" priority="490" operator="containsText" text="CMS">
      <formula>NOT(ISERROR(SEARCH("CMS",G27)))</formula>
    </cfRule>
    <cfRule type="cellIs" dxfId="31416" priority="491" operator="equal">
      <formula>0</formula>
    </cfRule>
    <cfRule type="cellIs" dxfId="31415" priority="492" operator="greaterThan">
      <formula>0</formula>
    </cfRule>
  </conditionalFormatting>
  <conditionalFormatting sqref="G27:G28">
    <cfRule type="cellIs" dxfId="31414" priority="485" operator="equal">
      <formula>"PMS"</formula>
    </cfRule>
    <cfRule type="containsText" dxfId="31413" priority="486" operator="containsText" text="CMS">
      <formula>NOT(ISERROR(SEARCH("CMS",G27)))</formula>
    </cfRule>
    <cfRule type="cellIs" dxfId="31412" priority="487" operator="equal">
      <formula>0</formula>
    </cfRule>
    <cfRule type="cellIs" dxfId="31411" priority="488" operator="greaterThan">
      <formula>0</formula>
    </cfRule>
  </conditionalFormatting>
  <conditionalFormatting sqref="G34">
    <cfRule type="cellIs" dxfId="31410" priority="461" operator="equal">
      <formula>"PMS"</formula>
    </cfRule>
    <cfRule type="containsText" dxfId="31409" priority="462" operator="containsText" text="CMS">
      <formula>NOT(ISERROR(SEARCH("CMS",G34)))</formula>
    </cfRule>
    <cfRule type="cellIs" dxfId="31408" priority="463" operator="equal">
      <formula>0</formula>
    </cfRule>
    <cfRule type="cellIs" dxfId="31407" priority="464" operator="greaterThan">
      <formula>0</formula>
    </cfRule>
    <cfRule type="cellIs" dxfId="31406" priority="465" operator="equal">
      <formula>"PMS"</formula>
    </cfRule>
    <cfRule type="containsText" dxfId="31405" priority="466" operator="containsText" text="CMS">
      <formula>NOT(ISERROR(SEARCH("CMS",G34)))</formula>
    </cfRule>
    <cfRule type="cellIs" dxfId="31404" priority="467" operator="equal">
      <formula>0</formula>
    </cfRule>
    <cfRule type="cellIs" dxfId="31403" priority="468" operator="greaterThan">
      <formula>0</formula>
    </cfRule>
  </conditionalFormatting>
  <conditionalFormatting sqref="G34">
    <cfRule type="cellIs" dxfId="31402" priority="457" operator="equal">
      <formula>"PMS"</formula>
    </cfRule>
    <cfRule type="containsText" dxfId="31401" priority="458" operator="containsText" text="CMS">
      <formula>NOT(ISERROR(SEARCH("CMS",G34)))</formula>
    </cfRule>
    <cfRule type="cellIs" dxfId="31400" priority="459" operator="equal">
      <formula>0</formula>
    </cfRule>
    <cfRule type="cellIs" dxfId="31399" priority="460" operator="greaterThan">
      <formula>0</formula>
    </cfRule>
  </conditionalFormatting>
  <conditionalFormatting sqref="G34">
    <cfRule type="cellIs" dxfId="31398" priority="453" operator="equal">
      <formula>"PMS"</formula>
    </cfRule>
    <cfRule type="containsText" dxfId="31397" priority="454" operator="containsText" text="CMS">
      <formula>NOT(ISERROR(SEARCH("CMS",G34)))</formula>
    </cfRule>
    <cfRule type="cellIs" dxfId="31396" priority="455" operator="equal">
      <formula>0</formula>
    </cfRule>
    <cfRule type="cellIs" dxfId="31395" priority="456" operator="greaterThan">
      <formula>0</formula>
    </cfRule>
  </conditionalFormatting>
  <conditionalFormatting sqref="G56">
    <cfRule type="cellIs" dxfId="31394" priority="445" operator="equal">
      <formula>"PMS"</formula>
    </cfRule>
    <cfRule type="containsText" dxfId="31393" priority="446" operator="containsText" text="CMS">
      <formula>NOT(ISERROR(SEARCH("CMS",G56)))</formula>
    </cfRule>
    <cfRule type="cellIs" dxfId="31392" priority="447" operator="equal">
      <formula>0</formula>
    </cfRule>
    <cfRule type="cellIs" dxfId="31391" priority="448" operator="greaterThan">
      <formula>0</formula>
    </cfRule>
    <cfRule type="cellIs" dxfId="31390" priority="449" operator="equal">
      <formula>"PMS"</formula>
    </cfRule>
    <cfRule type="containsText" dxfId="31389" priority="450" operator="containsText" text="CMS">
      <formula>NOT(ISERROR(SEARCH("CMS",G56)))</formula>
    </cfRule>
    <cfRule type="cellIs" dxfId="31388" priority="451" operator="equal">
      <formula>0</formula>
    </cfRule>
    <cfRule type="cellIs" dxfId="31387" priority="452" operator="greaterThan">
      <formula>0</formula>
    </cfRule>
  </conditionalFormatting>
  <conditionalFormatting sqref="G56">
    <cfRule type="cellIs" dxfId="31386" priority="441" operator="equal">
      <formula>"PMS"</formula>
    </cfRule>
    <cfRule type="containsText" dxfId="31385" priority="442" operator="containsText" text="CMS">
      <formula>NOT(ISERROR(SEARCH("CMS",G56)))</formula>
    </cfRule>
    <cfRule type="cellIs" dxfId="31384" priority="443" operator="equal">
      <formula>0</formula>
    </cfRule>
    <cfRule type="cellIs" dxfId="31383" priority="444" operator="greaterThan">
      <formula>0</formula>
    </cfRule>
  </conditionalFormatting>
  <conditionalFormatting sqref="G56">
    <cfRule type="cellIs" dxfId="31382" priority="437" operator="equal">
      <formula>"PMS"</formula>
    </cfRule>
    <cfRule type="containsText" dxfId="31381" priority="438" operator="containsText" text="CMS">
      <formula>NOT(ISERROR(SEARCH("CMS",G56)))</formula>
    </cfRule>
    <cfRule type="cellIs" dxfId="31380" priority="439" operator="equal">
      <formula>0</formula>
    </cfRule>
    <cfRule type="cellIs" dxfId="31379" priority="440" operator="greaterThan">
      <formula>0</formula>
    </cfRule>
  </conditionalFormatting>
  <conditionalFormatting sqref="G56">
    <cfRule type="cellIs" dxfId="31378" priority="433" operator="equal">
      <formula>"PMS"</formula>
    </cfRule>
    <cfRule type="containsText" dxfId="31377" priority="434" operator="containsText" text="CMS">
      <formula>NOT(ISERROR(SEARCH("CMS",G56)))</formula>
    </cfRule>
    <cfRule type="cellIs" dxfId="31376" priority="435" operator="equal">
      <formula>0</formula>
    </cfRule>
    <cfRule type="cellIs" dxfId="31375" priority="436" operator="greaterThan">
      <formula>0</formula>
    </cfRule>
  </conditionalFormatting>
  <conditionalFormatting sqref="G56">
    <cfRule type="cellIs" dxfId="31374" priority="429" operator="equal">
      <formula>"PMS"</formula>
    </cfRule>
    <cfRule type="containsText" dxfId="31373" priority="430" operator="containsText" text="CMS">
      <formula>NOT(ISERROR(SEARCH("CMS",G56)))</formula>
    </cfRule>
    <cfRule type="cellIs" dxfId="31372" priority="431" operator="equal">
      <formula>0</formula>
    </cfRule>
    <cfRule type="cellIs" dxfId="31371" priority="432" operator="greaterThan">
      <formula>0</formula>
    </cfRule>
  </conditionalFormatting>
  <conditionalFormatting sqref="G56">
    <cfRule type="cellIs" dxfId="31370" priority="425" operator="equal">
      <formula>"PMS"</formula>
    </cfRule>
    <cfRule type="containsText" dxfId="31369" priority="426" operator="containsText" text="CMS">
      <formula>NOT(ISERROR(SEARCH("CMS",G56)))</formula>
    </cfRule>
    <cfRule type="cellIs" dxfId="31368" priority="427" operator="equal">
      <formula>0</formula>
    </cfRule>
    <cfRule type="cellIs" dxfId="31367" priority="428" operator="greaterThan">
      <formula>0</formula>
    </cfRule>
  </conditionalFormatting>
  <conditionalFormatting sqref="G56">
    <cfRule type="cellIs" dxfId="31366" priority="421" operator="equal">
      <formula>"PMS"</formula>
    </cfRule>
    <cfRule type="containsText" dxfId="31365" priority="422" operator="containsText" text="CMS">
      <formula>NOT(ISERROR(SEARCH("CMS",G56)))</formula>
    </cfRule>
    <cfRule type="cellIs" dxfId="31364" priority="423" operator="equal">
      <formula>0</formula>
    </cfRule>
    <cfRule type="cellIs" dxfId="31363" priority="424" operator="greaterThan">
      <formula>0</formula>
    </cfRule>
  </conditionalFormatting>
  <conditionalFormatting sqref="G61:G62">
    <cfRule type="cellIs" dxfId="31362" priority="413" operator="equal">
      <formula>"PMS"</formula>
    </cfRule>
    <cfRule type="containsText" dxfId="31361" priority="414" operator="containsText" text="CMS">
      <formula>NOT(ISERROR(SEARCH("CMS",G61)))</formula>
    </cfRule>
    <cfRule type="cellIs" dxfId="31360" priority="415" operator="equal">
      <formula>0</formula>
    </cfRule>
    <cfRule type="cellIs" dxfId="31359" priority="416" operator="greaterThan">
      <formula>0</formula>
    </cfRule>
    <cfRule type="cellIs" dxfId="31358" priority="417" operator="equal">
      <formula>"PMS"</formula>
    </cfRule>
    <cfRule type="containsText" dxfId="31357" priority="418" operator="containsText" text="CMS">
      <formula>NOT(ISERROR(SEARCH("CMS",G61)))</formula>
    </cfRule>
    <cfRule type="cellIs" dxfId="31356" priority="419" operator="equal">
      <formula>0</formula>
    </cfRule>
    <cfRule type="cellIs" dxfId="31355" priority="420" operator="greaterThan">
      <formula>0</formula>
    </cfRule>
  </conditionalFormatting>
  <conditionalFormatting sqref="G61:G62">
    <cfRule type="cellIs" dxfId="31354" priority="409" operator="equal">
      <formula>"PMS"</formula>
    </cfRule>
    <cfRule type="containsText" dxfId="31353" priority="410" operator="containsText" text="CMS">
      <formula>NOT(ISERROR(SEARCH("CMS",G61)))</formula>
    </cfRule>
    <cfRule type="cellIs" dxfId="31352" priority="411" operator="equal">
      <formula>0</formula>
    </cfRule>
    <cfRule type="cellIs" dxfId="31351" priority="412" operator="greaterThan">
      <formula>0</formula>
    </cfRule>
  </conditionalFormatting>
  <conditionalFormatting sqref="G44:G45">
    <cfRule type="cellIs" dxfId="31350" priority="369" operator="equal">
      <formula>"PMS"</formula>
    </cfRule>
    <cfRule type="containsText" dxfId="31349" priority="370" operator="containsText" text="CMS">
      <formula>NOT(ISERROR(SEARCH("CMS",G44)))</formula>
    </cfRule>
    <cfRule type="cellIs" dxfId="31348" priority="371" operator="equal">
      <formula>0</formula>
    </cfRule>
    <cfRule type="cellIs" dxfId="31347" priority="372" operator="greaterThan">
      <formula>0</formula>
    </cfRule>
    <cfRule type="cellIs" dxfId="31346" priority="373" operator="equal">
      <formula>"PMS"</formula>
    </cfRule>
    <cfRule type="containsText" dxfId="31345" priority="374" operator="containsText" text="CMS">
      <formula>NOT(ISERROR(SEARCH("CMS",G44)))</formula>
    </cfRule>
    <cfRule type="cellIs" dxfId="31344" priority="375" operator="equal">
      <formula>0</formula>
    </cfRule>
    <cfRule type="cellIs" dxfId="31343" priority="376" operator="greaterThan">
      <formula>0</formula>
    </cfRule>
  </conditionalFormatting>
  <conditionalFormatting sqref="G44:G45">
    <cfRule type="cellIs" dxfId="31342" priority="365" operator="equal">
      <formula>"PMS"</formula>
    </cfRule>
    <cfRule type="containsText" dxfId="31341" priority="366" operator="containsText" text="CMS">
      <formula>NOT(ISERROR(SEARCH("CMS",G44)))</formula>
    </cfRule>
    <cfRule type="cellIs" dxfId="31340" priority="367" operator="equal">
      <formula>0</formula>
    </cfRule>
    <cfRule type="cellIs" dxfId="31339" priority="368" operator="greaterThan">
      <formula>0</formula>
    </cfRule>
  </conditionalFormatting>
  <conditionalFormatting sqref="G44:G45">
    <cfRule type="cellIs" dxfId="31338" priority="361" operator="equal">
      <formula>"PMS"</formula>
    </cfRule>
    <cfRule type="containsText" dxfId="31337" priority="362" operator="containsText" text="CMS">
      <formula>NOT(ISERROR(SEARCH("CMS",G44)))</formula>
    </cfRule>
    <cfRule type="cellIs" dxfId="31336" priority="363" operator="equal">
      <formula>0</formula>
    </cfRule>
    <cfRule type="cellIs" dxfId="31335" priority="364" operator="greaterThan">
      <formula>0</formula>
    </cfRule>
  </conditionalFormatting>
  <conditionalFormatting sqref="I60:I62">
    <cfRule type="cellIs" dxfId="31334" priority="337" operator="equal">
      <formula>"PMS"</formula>
    </cfRule>
    <cfRule type="containsText" dxfId="31333" priority="338" operator="containsText" text="CMS">
      <formula>NOT(ISERROR(SEARCH("CMS",I60)))</formula>
    </cfRule>
    <cfRule type="cellIs" dxfId="31332" priority="339" operator="equal">
      <formula>0</formula>
    </cfRule>
    <cfRule type="cellIs" dxfId="31331" priority="340" operator="greaterThan">
      <formula>0</formula>
    </cfRule>
    <cfRule type="cellIs" dxfId="31330" priority="341" operator="equal">
      <formula>"PMS"</formula>
    </cfRule>
    <cfRule type="containsText" dxfId="31329" priority="342" operator="containsText" text="CMS">
      <formula>NOT(ISERROR(SEARCH("CMS",I60)))</formula>
    </cfRule>
    <cfRule type="cellIs" dxfId="31328" priority="343" operator="equal">
      <formula>0</formula>
    </cfRule>
    <cfRule type="cellIs" dxfId="31327" priority="344" operator="greaterThan">
      <formula>0</formula>
    </cfRule>
  </conditionalFormatting>
  <conditionalFormatting sqref="K61:K62">
    <cfRule type="cellIs" dxfId="31326" priority="329" operator="equal">
      <formula>"PMS"</formula>
    </cfRule>
    <cfRule type="containsText" dxfId="31325" priority="330" operator="containsText" text="CMS">
      <formula>NOT(ISERROR(SEARCH("CMS",K61)))</formula>
    </cfRule>
    <cfRule type="cellIs" dxfId="31324" priority="331" operator="equal">
      <formula>0</formula>
    </cfRule>
    <cfRule type="cellIs" dxfId="31323" priority="332" operator="greaterThan">
      <formula>0</formula>
    </cfRule>
    <cfRule type="cellIs" dxfId="31322" priority="333" operator="equal">
      <formula>"PMS"</formula>
    </cfRule>
    <cfRule type="containsText" dxfId="31321" priority="334" operator="containsText" text="CMS">
      <formula>NOT(ISERROR(SEARCH("CMS",K61)))</formula>
    </cfRule>
    <cfRule type="cellIs" dxfId="31320" priority="335" operator="equal">
      <formula>0</formula>
    </cfRule>
    <cfRule type="cellIs" dxfId="31319" priority="336" operator="greaterThan">
      <formula>0</formula>
    </cfRule>
  </conditionalFormatting>
  <conditionalFormatting sqref="F20:F21 F24 F13:F16 F76:F77 F60:F62 F31:AC31">
    <cfRule type="cellIs" dxfId="31318" priority="321" operator="equal">
      <formula>"PMS"</formula>
    </cfRule>
    <cfRule type="containsText" dxfId="31317" priority="322" operator="containsText" text="CMS">
      <formula>NOT(ISERROR(SEARCH("CMS",F13)))</formula>
    </cfRule>
    <cfRule type="cellIs" dxfId="31316" priority="323" operator="equal">
      <formula>0</formula>
    </cfRule>
    <cfRule type="cellIs" dxfId="31315" priority="324" operator="greaterThan">
      <formula>0</formula>
    </cfRule>
    <cfRule type="cellIs" dxfId="31314" priority="325" operator="equal">
      <formula>"PMS"</formula>
    </cfRule>
    <cfRule type="containsText" dxfId="31313" priority="326" operator="containsText" text="CMS">
      <formula>NOT(ISERROR(SEARCH("CMS",F13)))</formula>
    </cfRule>
    <cfRule type="cellIs" dxfId="31312" priority="327" operator="equal">
      <formula>0</formula>
    </cfRule>
    <cfRule type="cellIs" dxfId="31311" priority="328" operator="greaterThan">
      <formula>0</formula>
    </cfRule>
  </conditionalFormatting>
  <conditionalFormatting sqref="F76:F77 F60:F62">
    <cfRule type="cellIs" dxfId="31310" priority="317" operator="equal">
      <formula>"PMS"</formula>
    </cfRule>
    <cfRule type="containsText" dxfId="31309" priority="318" operator="containsText" text="CMS">
      <formula>NOT(ISERROR(SEARCH("CMS",F60)))</formula>
    </cfRule>
    <cfRule type="cellIs" dxfId="31308" priority="319" operator="equal">
      <formula>0</formula>
    </cfRule>
    <cfRule type="cellIs" dxfId="31307" priority="320" operator="greaterThan">
      <formula>0</formula>
    </cfRule>
  </conditionalFormatting>
  <conditionalFormatting sqref="F13:F16">
    <cfRule type="cellIs" dxfId="31306" priority="309" operator="equal">
      <formula>"PMS"</formula>
    </cfRule>
    <cfRule type="containsText" dxfId="31305" priority="310" operator="containsText" text="CMS">
      <formula>NOT(ISERROR(SEARCH("CMS",F13)))</formula>
    </cfRule>
    <cfRule type="cellIs" dxfId="31304" priority="311" operator="equal">
      <formula>0</formula>
    </cfRule>
    <cfRule type="cellIs" dxfId="31303" priority="312" operator="greaterThan">
      <formula>0</formula>
    </cfRule>
  </conditionalFormatting>
  <conditionalFormatting sqref="F13:F16">
    <cfRule type="cellIs" dxfId="31302" priority="305" operator="equal">
      <formula>"PMS"</formula>
    </cfRule>
    <cfRule type="containsText" dxfId="31301" priority="306" operator="containsText" text="CMS">
      <formula>NOT(ISERROR(SEARCH("CMS",F13)))</formula>
    </cfRule>
    <cfRule type="cellIs" dxfId="31300" priority="307" operator="equal">
      <formula>0</formula>
    </cfRule>
    <cfRule type="cellIs" dxfId="31299" priority="308" operator="greaterThan">
      <formula>0</formula>
    </cfRule>
  </conditionalFormatting>
  <conditionalFormatting sqref="F20:F21">
    <cfRule type="cellIs" dxfId="31298" priority="301" operator="equal">
      <formula>"PMS"</formula>
    </cfRule>
    <cfRule type="containsText" dxfId="31297" priority="302" operator="containsText" text="CMS">
      <formula>NOT(ISERROR(SEARCH("CMS",F20)))</formula>
    </cfRule>
    <cfRule type="cellIs" dxfId="31296" priority="303" operator="equal">
      <formula>0</formula>
    </cfRule>
    <cfRule type="cellIs" dxfId="31295" priority="304" operator="greaterThan">
      <formula>0</formula>
    </cfRule>
  </conditionalFormatting>
  <conditionalFormatting sqref="F20:F21">
    <cfRule type="cellIs" dxfId="31294" priority="297" operator="equal">
      <formula>"PMS"</formula>
    </cfRule>
    <cfRule type="containsText" dxfId="31293" priority="298" operator="containsText" text="CMS">
      <formula>NOT(ISERROR(SEARCH("CMS",F20)))</formula>
    </cfRule>
    <cfRule type="cellIs" dxfId="31292" priority="299" operator="equal">
      <formula>0</formula>
    </cfRule>
    <cfRule type="cellIs" dxfId="31291" priority="300" operator="greaterThan">
      <formula>0</formula>
    </cfRule>
  </conditionalFormatting>
  <conditionalFormatting sqref="F24">
    <cfRule type="cellIs" dxfId="31290" priority="293" operator="equal">
      <formula>"PMS"</formula>
    </cfRule>
    <cfRule type="containsText" dxfId="31289" priority="294" operator="containsText" text="CMS">
      <formula>NOT(ISERROR(SEARCH("CMS",F24)))</formula>
    </cfRule>
    <cfRule type="cellIs" dxfId="31288" priority="295" operator="equal">
      <formula>0</formula>
    </cfRule>
    <cfRule type="cellIs" dxfId="31287" priority="296" operator="greaterThan">
      <formula>0</formula>
    </cfRule>
  </conditionalFormatting>
  <conditionalFormatting sqref="F24">
    <cfRule type="cellIs" dxfId="31286" priority="289" operator="equal">
      <formula>"PMS"</formula>
    </cfRule>
    <cfRule type="containsText" dxfId="31285" priority="290" operator="containsText" text="CMS">
      <formula>NOT(ISERROR(SEARCH("CMS",F24)))</formula>
    </cfRule>
    <cfRule type="cellIs" dxfId="31284" priority="291" operator="equal">
      <formula>0</formula>
    </cfRule>
    <cfRule type="cellIs" dxfId="31283" priority="292" operator="greaterThan">
      <formula>0</formula>
    </cfRule>
  </conditionalFormatting>
  <conditionalFormatting sqref="F31:AC31">
    <cfRule type="cellIs" dxfId="31282" priority="277" operator="equal">
      <formula>"PMS"</formula>
    </cfRule>
    <cfRule type="containsText" dxfId="31281" priority="278" operator="containsText" text="CMS">
      <formula>NOT(ISERROR(SEARCH("CMS",F31)))</formula>
    </cfRule>
    <cfRule type="cellIs" dxfId="31280" priority="279" operator="equal">
      <formula>0</formula>
    </cfRule>
    <cfRule type="cellIs" dxfId="31279" priority="280" operator="greaterThan">
      <formula>0</formula>
    </cfRule>
  </conditionalFormatting>
  <conditionalFormatting sqref="F31:AC31">
    <cfRule type="cellIs" dxfId="31278" priority="273" operator="equal">
      <formula>"PMS"</formula>
    </cfRule>
    <cfRule type="containsText" dxfId="31277" priority="274" operator="containsText" text="CMS">
      <formula>NOT(ISERROR(SEARCH("CMS",F31)))</formula>
    </cfRule>
    <cfRule type="cellIs" dxfId="31276" priority="275" operator="equal">
      <formula>0</formula>
    </cfRule>
    <cfRule type="cellIs" dxfId="31275" priority="276" operator="greaterThan">
      <formula>0</formula>
    </cfRule>
  </conditionalFormatting>
  <conditionalFormatting sqref="F13:F16">
    <cfRule type="cellIs" dxfId="31274" priority="261" operator="equal">
      <formula>"PMS"</formula>
    </cfRule>
    <cfRule type="containsText" dxfId="31273" priority="262" operator="containsText" text="CMS">
      <formula>NOT(ISERROR(SEARCH("CMS",F13)))</formula>
    </cfRule>
    <cfRule type="cellIs" dxfId="31272" priority="263" operator="equal">
      <formula>0</formula>
    </cfRule>
    <cfRule type="cellIs" dxfId="31271" priority="264" operator="greaterThan">
      <formula>0</formula>
    </cfRule>
  </conditionalFormatting>
  <conditionalFormatting sqref="F13:F16">
    <cfRule type="cellIs" dxfId="31270" priority="257" operator="equal">
      <formula>"PMS"</formula>
    </cfRule>
    <cfRule type="containsText" dxfId="31269" priority="258" operator="containsText" text="CMS">
      <formula>NOT(ISERROR(SEARCH("CMS",F13)))</formula>
    </cfRule>
    <cfRule type="cellIs" dxfId="31268" priority="259" operator="equal">
      <formula>0</formula>
    </cfRule>
    <cfRule type="cellIs" dxfId="31267" priority="260" operator="greaterThan">
      <formula>0</formula>
    </cfRule>
  </conditionalFormatting>
  <conditionalFormatting sqref="F19">
    <cfRule type="cellIs" dxfId="31266" priority="221" operator="equal">
      <formula>"CMS"</formula>
    </cfRule>
    <cfRule type="cellIs" dxfId="31265" priority="222" operator="equal">
      <formula>"PMS"</formula>
    </cfRule>
    <cfRule type="cellIs" dxfId="31264" priority="223" operator="greaterThan">
      <formula>0</formula>
    </cfRule>
    <cfRule type="cellIs" dxfId="31263" priority="224" operator="equal">
      <formula>0</formula>
    </cfRule>
  </conditionalFormatting>
  <conditionalFormatting sqref="O47">
    <cfRule type="cellIs" dxfId="31262" priority="169" operator="equal">
      <formula>"PMS"</formula>
    </cfRule>
    <cfRule type="containsText" dxfId="31261" priority="170" operator="containsText" text="CMS">
      <formula>NOT(ISERROR(SEARCH("CMS",O47)))</formula>
    </cfRule>
    <cfRule type="cellIs" dxfId="31260" priority="171" operator="equal">
      <formula>0</formula>
    </cfRule>
    <cfRule type="cellIs" dxfId="31259" priority="172" operator="greaterThan">
      <formula>0</formula>
    </cfRule>
  </conditionalFormatting>
  <conditionalFormatting sqref="O47">
    <cfRule type="cellIs" dxfId="31258" priority="165" operator="equal">
      <formula>"PMS"</formula>
    </cfRule>
    <cfRule type="containsText" dxfId="31257" priority="166" operator="containsText" text="CMS">
      <formula>NOT(ISERROR(SEARCH("CMS",O47)))</formula>
    </cfRule>
    <cfRule type="cellIs" dxfId="31256" priority="167" operator="equal">
      <formula>0</formula>
    </cfRule>
    <cfRule type="cellIs" dxfId="31255" priority="168" operator="greaterThan">
      <formula>0</formula>
    </cfRule>
  </conditionalFormatting>
  <conditionalFormatting sqref="O47">
    <cfRule type="cellIs" dxfId="31254" priority="161" operator="equal">
      <formula>"PMS"</formula>
    </cfRule>
    <cfRule type="containsText" dxfId="31253" priority="162" operator="containsText" text="CMS">
      <formula>NOT(ISERROR(SEARCH("CMS",O47)))</formula>
    </cfRule>
    <cfRule type="cellIs" dxfId="31252" priority="163" operator="equal">
      <formula>0</formula>
    </cfRule>
    <cfRule type="cellIs" dxfId="31251" priority="164" operator="greaterThan">
      <formula>0</formula>
    </cfRule>
  </conditionalFormatting>
  <conditionalFormatting sqref="O47">
    <cfRule type="cellIs" dxfId="31250" priority="157" operator="equal">
      <formula>"PMS"</formula>
    </cfRule>
    <cfRule type="containsText" dxfId="31249" priority="158" operator="containsText" text="CMS">
      <formula>NOT(ISERROR(SEARCH("CMS",O47)))</formula>
    </cfRule>
    <cfRule type="cellIs" dxfId="31248" priority="159" operator="equal">
      <formula>0</formula>
    </cfRule>
    <cfRule type="cellIs" dxfId="31247" priority="160" operator="greaterThan">
      <formula>0</formula>
    </cfRule>
  </conditionalFormatting>
  <conditionalFormatting sqref="O55">
    <cfRule type="cellIs" dxfId="31246" priority="153" operator="equal">
      <formula>"PMS"</formula>
    </cfRule>
    <cfRule type="containsText" dxfId="31245" priority="154" operator="containsText" text="CMS">
      <formula>NOT(ISERROR(SEARCH("CMS",O55)))</formula>
    </cfRule>
    <cfRule type="cellIs" dxfId="31244" priority="155" operator="equal">
      <formula>0</formula>
    </cfRule>
    <cfRule type="cellIs" dxfId="31243" priority="156" operator="greaterThan">
      <formula>0</formula>
    </cfRule>
  </conditionalFormatting>
  <conditionalFormatting sqref="O55">
    <cfRule type="cellIs" dxfId="31242" priority="149" operator="equal">
      <formula>"PMS"</formula>
    </cfRule>
    <cfRule type="containsText" dxfId="31241" priority="150" operator="containsText" text="CMS">
      <formula>NOT(ISERROR(SEARCH("CMS",O55)))</formula>
    </cfRule>
    <cfRule type="cellIs" dxfId="31240" priority="151" operator="equal">
      <formula>0</formula>
    </cfRule>
    <cfRule type="cellIs" dxfId="31239" priority="152" operator="greaterThan">
      <formula>0</formula>
    </cfRule>
  </conditionalFormatting>
  <conditionalFormatting sqref="O55">
    <cfRule type="cellIs" dxfId="31238" priority="145" operator="equal">
      <formula>"PMS"</formula>
    </cfRule>
    <cfRule type="containsText" dxfId="31237" priority="146" operator="containsText" text="CMS">
      <formula>NOT(ISERROR(SEARCH("CMS",O55)))</formula>
    </cfRule>
    <cfRule type="cellIs" dxfId="31236" priority="147" operator="equal">
      <formula>0</formula>
    </cfRule>
    <cfRule type="cellIs" dxfId="31235" priority="148" operator="greaterThan">
      <formula>0</formula>
    </cfRule>
  </conditionalFormatting>
  <conditionalFormatting sqref="O55">
    <cfRule type="cellIs" dxfId="31234" priority="141" operator="equal">
      <formula>"PMS"</formula>
    </cfRule>
    <cfRule type="containsText" dxfId="31233" priority="142" operator="containsText" text="CMS">
      <formula>NOT(ISERROR(SEARCH("CMS",O55)))</formula>
    </cfRule>
    <cfRule type="cellIs" dxfId="31232" priority="143" operator="equal">
      <formula>0</formula>
    </cfRule>
    <cfRule type="cellIs" dxfId="31231" priority="144" operator="greaterThan">
      <formula>0</formula>
    </cfRule>
  </conditionalFormatting>
  <conditionalFormatting sqref="O56">
    <cfRule type="cellIs" dxfId="31230" priority="137" operator="equal">
      <formula>"PMS"</formula>
    </cfRule>
    <cfRule type="containsText" dxfId="31229" priority="138" operator="containsText" text="CMS">
      <formula>NOT(ISERROR(SEARCH("CMS",O56)))</formula>
    </cfRule>
    <cfRule type="cellIs" dxfId="31228" priority="139" operator="equal">
      <formula>0</formula>
    </cfRule>
    <cfRule type="cellIs" dxfId="31227" priority="140" operator="greaterThan">
      <formula>0</formula>
    </cfRule>
  </conditionalFormatting>
  <conditionalFormatting sqref="O56">
    <cfRule type="cellIs" dxfId="31226" priority="133" operator="equal">
      <formula>"PMS"</formula>
    </cfRule>
    <cfRule type="containsText" dxfId="31225" priority="134" operator="containsText" text="CMS">
      <formula>NOT(ISERROR(SEARCH("CMS",O56)))</formula>
    </cfRule>
    <cfRule type="cellIs" dxfId="31224" priority="135" operator="equal">
      <formula>0</formula>
    </cfRule>
    <cfRule type="cellIs" dxfId="31223" priority="136" operator="greaterThan">
      <formula>0</formula>
    </cfRule>
  </conditionalFormatting>
  <conditionalFormatting sqref="O56">
    <cfRule type="cellIs" dxfId="31222" priority="129" operator="equal">
      <formula>"PMS"</formula>
    </cfRule>
    <cfRule type="containsText" dxfId="31221" priority="130" operator="containsText" text="CMS">
      <formula>NOT(ISERROR(SEARCH("CMS",O56)))</formula>
    </cfRule>
    <cfRule type="cellIs" dxfId="31220" priority="131" operator="equal">
      <formula>0</formula>
    </cfRule>
    <cfRule type="cellIs" dxfId="31219" priority="132" operator="greaterThan">
      <formula>0</formula>
    </cfRule>
  </conditionalFormatting>
  <conditionalFormatting sqref="O56">
    <cfRule type="cellIs" dxfId="31218" priority="125" operator="equal">
      <formula>"PMS"</formula>
    </cfRule>
    <cfRule type="containsText" dxfId="31217" priority="126" operator="containsText" text="CMS">
      <formula>NOT(ISERROR(SEARCH("CMS",O56)))</formula>
    </cfRule>
    <cfRule type="cellIs" dxfId="31216" priority="127" operator="equal">
      <formula>0</formula>
    </cfRule>
    <cfRule type="cellIs" dxfId="31215" priority="128" operator="greaterThan">
      <formula>0</formula>
    </cfRule>
  </conditionalFormatting>
  <conditionalFormatting sqref="F34:F57">
    <cfRule type="cellIs" dxfId="31214" priority="117" operator="equal">
      <formula>"PMS"</formula>
    </cfRule>
    <cfRule type="containsText" dxfId="31213" priority="118" operator="containsText" text="CMS">
      <formula>NOT(ISERROR(SEARCH("CMS",F34)))</formula>
    </cfRule>
    <cfRule type="cellIs" dxfId="31212" priority="119" operator="equal">
      <formula>0</formula>
    </cfRule>
    <cfRule type="cellIs" dxfId="31211" priority="120" operator="greaterThan">
      <formula>0</formula>
    </cfRule>
    <cfRule type="cellIs" dxfId="31210" priority="121" operator="equal">
      <formula>"PMS"</formula>
    </cfRule>
    <cfRule type="containsText" dxfId="31209" priority="122" operator="containsText" text="CMS">
      <formula>NOT(ISERROR(SEARCH("CMS",F34)))</formula>
    </cfRule>
    <cfRule type="cellIs" dxfId="31208" priority="123" operator="equal">
      <formula>0</formula>
    </cfRule>
    <cfRule type="cellIs" dxfId="31207" priority="124" operator="greaterThan">
      <formula>0</formula>
    </cfRule>
  </conditionalFormatting>
  <conditionalFormatting sqref="F34:F57">
    <cfRule type="cellIs" dxfId="31206" priority="113" operator="equal">
      <formula>"PMS"</formula>
    </cfRule>
    <cfRule type="containsText" dxfId="31205" priority="114" operator="containsText" text="CMS">
      <formula>NOT(ISERROR(SEARCH("CMS",F34)))</formula>
    </cfRule>
    <cfRule type="cellIs" dxfId="31204" priority="115" operator="equal">
      <formula>0</formula>
    </cfRule>
    <cfRule type="cellIs" dxfId="31203" priority="116" operator="greaterThan">
      <formula>0</formula>
    </cfRule>
  </conditionalFormatting>
  <conditionalFormatting sqref="F34:F57">
    <cfRule type="cellIs" dxfId="31202" priority="109" operator="equal">
      <formula>"PMS"</formula>
    </cfRule>
    <cfRule type="containsText" dxfId="31201" priority="110" operator="containsText" text="CMS">
      <formula>NOT(ISERROR(SEARCH("CMS",F34)))</formula>
    </cfRule>
    <cfRule type="cellIs" dxfId="31200" priority="111" operator="equal">
      <formula>0</formula>
    </cfRule>
    <cfRule type="cellIs" dxfId="31199" priority="112" operator="greaterThan">
      <formula>0</formula>
    </cfRule>
  </conditionalFormatting>
  <conditionalFormatting sqref="F56">
    <cfRule type="cellIs" dxfId="31198" priority="105" operator="equal">
      <formula>"PMS"</formula>
    </cfRule>
    <cfRule type="containsText" dxfId="31197" priority="106" operator="containsText" text="CMS">
      <formula>NOT(ISERROR(SEARCH("CMS",F56)))</formula>
    </cfRule>
    <cfRule type="cellIs" dxfId="31196" priority="107" operator="equal">
      <formula>0</formula>
    </cfRule>
    <cfRule type="cellIs" dxfId="31195" priority="108" operator="greaterThan">
      <formula>0</formula>
    </cfRule>
  </conditionalFormatting>
  <conditionalFormatting sqref="F56">
    <cfRule type="cellIs" dxfId="31194" priority="101" operator="equal">
      <formula>"PMS"</formula>
    </cfRule>
    <cfRule type="containsText" dxfId="31193" priority="102" operator="containsText" text="CMS">
      <formula>NOT(ISERROR(SEARCH("CMS",F56)))</formula>
    </cfRule>
    <cfRule type="cellIs" dxfId="31192" priority="103" operator="equal">
      <formula>0</formula>
    </cfRule>
    <cfRule type="cellIs" dxfId="31191" priority="104" operator="greaterThan">
      <formula>0</formula>
    </cfRule>
  </conditionalFormatting>
  <conditionalFormatting sqref="F56">
    <cfRule type="cellIs" dxfId="31190" priority="97" operator="equal">
      <formula>"PMS"</formula>
    </cfRule>
    <cfRule type="containsText" dxfId="31189" priority="98" operator="containsText" text="CMS">
      <formula>NOT(ISERROR(SEARCH("CMS",F56)))</formula>
    </cfRule>
    <cfRule type="cellIs" dxfId="31188" priority="99" operator="equal">
      <formula>0</formula>
    </cfRule>
    <cfRule type="cellIs" dxfId="31187" priority="100" operator="greaterThan">
      <formula>0</formula>
    </cfRule>
  </conditionalFormatting>
  <conditionalFormatting sqref="F56">
    <cfRule type="cellIs" dxfId="31186" priority="93" operator="equal">
      <formula>"PMS"</formula>
    </cfRule>
    <cfRule type="containsText" dxfId="31185" priority="94" operator="containsText" text="CMS">
      <formula>NOT(ISERROR(SEARCH("CMS",F56)))</formula>
    </cfRule>
    <cfRule type="cellIs" dxfId="31184" priority="95" operator="equal">
      <formula>0</formula>
    </cfRule>
    <cfRule type="cellIs" dxfId="31183" priority="96" operator="greaterThan">
      <formula>0</formula>
    </cfRule>
  </conditionalFormatting>
  <conditionalFormatting sqref="F57">
    <cfRule type="cellIs" dxfId="31182" priority="89" operator="equal">
      <formula>"PMS"</formula>
    </cfRule>
    <cfRule type="containsText" dxfId="31181" priority="90" operator="containsText" text="CMS">
      <formula>NOT(ISERROR(SEARCH("CMS",F57)))</formula>
    </cfRule>
    <cfRule type="cellIs" dxfId="31180" priority="91" operator="equal">
      <formula>0</formula>
    </cfRule>
    <cfRule type="cellIs" dxfId="31179" priority="92" operator="greaterThan">
      <formula>0</formula>
    </cfRule>
  </conditionalFormatting>
  <conditionalFormatting sqref="F57">
    <cfRule type="cellIs" dxfId="31178" priority="85" operator="equal">
      <formula>"PMS"</formula>
    </cfRule>
    <cfRule type="containsText" dxfId="31177" priority="86" operator="containsText" text="CMS">
      <formula>NOT(ISERROR(SEARCH("CMS",F57)))</formula>
    </cfRule>
    <cfRule type="cellIs" dxfId="31176" priority="87" operator="equal">
      <formula>0</formula>
    </cfRule>
    <cfRule type="cellIs" dxfId="31175" priority="88" operator="greaterThan">
      <formula>0</formula>
    </cfRule>
  </conditionalFormatting>
  <conditionalFormatting sqref="F57">
    <cfRule type="cellIs" dxfId="31174" priority="81" operator="equal">
      <formula>"PMS"</formula>
    </cfRule>
    <cfRule type="containsText" dxfId="31173" priority="82" operator="containsText" text="CMS">
      <formula>NOT(ISERROR(SEARCH("CMS",F57)))</formula>
    </cfRule>
    <cfRule type="cellIs" dxfId="31172" priority="83" operator="equal">
      <formula>0</formula>
    </cfRule>
    <cfRule type="cellIs" dxfId="31171" priority="84" operator="greaterThan">
      <formula>0</formula>
    </cfRule>
  </conditionalFormatting>
  <conditionalFormatting sqref="F57">
    <cfRule type="cellIs" dxfId="31170" priority="77" operator="equal">
      <formula>"PMS"</formula>
    </cfRule>
    <cfRule type="containsText" dxfId="31169" priority="78" operator="containsText" text="CMS">
      <formula>NOT(ISERROR(SEARCH("CMS",F57)))</formula>
    </cfRule>
    <cfRule type="cellIs" dxfId="31168" priority="79" operator="equal">
      <formula>0</formula>
    </cfRule>
    <cfRule type="cellIs" dxfId="31167" priority="80" operator="greaterThan">
      <formula>0</formula>
    </cfRule>
  </conditionalFormatting>
  <conditionalFormatting sqref="F27:F28">
    <cfRule type="cellIs" dxfId="31166" priority="69" operator="equal">
      <formula>"PMS"</formula>
    </cfRule>
    <cfRule type="containsText" dxfId="31165" priority="70" operator="containsText" text="CMS">
      <formula>NOT(ISERROR(SEARCH("CMS",F27)))</formula>
    </cfRule>
    <cfRule type="cellIs" dxfId="31164" priority="71" operator="equal">
      <formula>0</formula>
    </cfRule>
    <cfRule type="cellIs" dxfId="31163" priority="72" operator="greaterThan">
      <formula>0</formula>
    </cfRule>
    <cfRule type="cellIs" dxfId="31162" priority="73" operator="equal">
      <formula>"PMS"</formula>
    </cfRule>
    <cfRule type="containsText" dxfId="31161" priority="74" operator="containsText" text="CMS">
      <formula>NOT(ISERROR(SEARCH("CMS",F27)))</formula>
    </cfRule>
    <cfRule type="cellIs" dxfId="31160" priority="75" operator="equal">
      <formula>0</formula>
    </cfRule>
    <cfRule type="cellIs" dxfId="31159" priority="76" operator="greaterThan">
      <formula>0</formula>
    </cfRule>
  </conditionalFormatting>
  <conditionalFormatting sqref="F27:F28">
    <cfRule type="cellIs" dxfId="31158" priority="65" operator="equal">
      <formula>"PMS"</formula>
    </cfRule>
    <cfRule type="containsText" dxfId="31157" priority="66" operator="containsText" text="CMS">
      <formula>NOT(ISERROR(SEARCH("CMS",F27)))</formula>
    </cfRule>
    <cfRule type="cellIs" dxfId="31156" priority="67" operator="equal">
      <formula>0</formula>
    </cfRule>
    <cfRule type="cellIs" dxfId="31155" priority="68" operator="greaterThan">
      <formula>0</formula>
    </cfRule>
  </conditionalFormatting>
  <conditionalFormatting sqref="F27:F28">
    <cfRule type="cellIs" dxfId="31154" priority="61" operator="equal">
      <formula>"PMS"</formula>
    </cfRule>
    <cfRule type="containsText" dxfId="31153" priority="62" operator="containsText" text="CMS">
      <formula>NOT(ISERROR(SEARCH("CMS",F27)))</formula>
    </cfRule>
    <cfRule type="cellIs" dxfId="31152" priority="63" operator="equal">
      <formula>0</formula>
    </cfRule>
    <cfRule type="cellIs" dxfId="31151" priority="64" operator="greaterThan">
      <formula>0</formula>
    </cfRule>
  </conditionalFormatting>
  <conditionalFormatting sqref="F65:F73">
    <cfRule type="cellIs" dxfId="31150" priority="53" operator="equal">
      <formula>"PMS"</formula>
    </cfRule>
    <cfRule type="containsText" dxfId="31149" priority="54" operator="containsText" text="CMS">
      <formula>NOT(ISERROR(SEARCH("CMS",F65)))</formula>
    </cfRule>
    <cfRule type="cellIs" dxfId="31148" priority="55" operator="equal">
      <formula>0</formula>
    </cfRule>
    <cfRule type="cellIs" dxfId="31147" priority="56" operator="greaterThan">
      <formula>0</formula>
    </cfRule>
    <cfRule type="cellIs" dxfId="31146" priority="57" operator="equal">
      <formula>"PMS"</formula>
    </cfRule>
    <cfRule type="containsText" dxfId="31145" priority="58" operator="containsText" text="CMS">
      <formula>NOT(ISERROR(SEARCH("CMS",F65)))</formula>
    </cfRule>
    <cfRule type="cellIs" dxfId="31144" priority="59" operator="equal">
      <formula>0</formula>
    </cfRule>
    <cfRule type="cellIs" dxfId="31143" priority="60" operator="greaterThan">
      <formula>0</formula>
    </cfRule>
  </conditionalFormatting>
  <conditionalFormatting sqref="F65:F73">
    <cfRule type="cellIs" dxfId="31142" priority="49" operator="equal">
      <formula>"PMS"</formula>
    </cfRule>
    <cfRule type="containsText" dxfId="31141" priority="50" operator="containsText" text="CMS">
      <formula>NOT(ISERROR(SEARCH("CMS",F65)))</formula>
    </cfRule>
    <cfRule type="cellIs" dxfId="31140" priority="51" operator="equal">
      <formula>0</formula>
    </cfRule>
    <cfRule type="cellIs" dxfId="31139" priority="52" operator="greaterThan">
      <formula>0</formula>
    </cfRule>
  </conditionalFormatting>
  <conditionalFormatting sqref="F65:F73">
    <cfRule type="cellIs" dxfId="31138" priority="45" operator="equal">
      <formula>"PMS"</formula>
    </cfRule>
    <cfRule type="containsText" dxfId="31137" priority="46" operator="containsText" text="CMS">
      <formula>NOT(ISERROR(SEARCH("CMS",F65)))</formula>
    </cfRule>
    <cfRule type="cellIs" dxfId="31136" priority="47" operator="equal">
      <formula>0</formula>
    </cfRule>
    <cfRule type="cellIs" dxfId="31135" priority="48" operator="greaterThan">
      <formula>0</formula>
    </cfRule>
  </conditionalFormatting>
  <conditionalFormatting sqref="G47:G48">
    <cfRule type="cellIs" dxfId="31134" priority="21" operator="equal">
      <formula>"PMS"</formula>
    </cfRule>
    <cfRule type="containsText" dxfId="31133" priority="22" operator="containsText" text="CMS">
      <formula>NOT(ISERROR(SEARCH("CMS",G47)))</formula>
    </cfRule>
    <cfRule type="cellIs" dxfId="31132" priority="23" operator="equal">
      <formula>0</formula>
    </cfRule>
    <cfRule type="cellIs" dxfId="31131" priority="24" operator="greaterThan">
      <formula>0</formula>
    </cfRule>
    <cfRule type="cellIs" dxfId="31130" priority="25" operator="equal">
      <formula>"PMS"</formula>
    </cfRule>
    <cfRule type="containsText" dxfId="31129" priority="26" operator="containsText" text="CMS">
      <formula>NOT(ISERROR(SEARCH("CMS",G47)))</formula>
    </cfRule>
    <cfRule type="cellIs" dxfId="31128" priority="27" operator="equal">
      <formula>0</formula>
    </cfRule>
    <cfRule type="cellIs" dxfId="31127" priority="28" operator="greaterThan">
      <formula>0</formula>
    </cfRule>
  </conditionalFormatting>
  <conditionalFormatting sqref="G47:G48">
    <cfRule type="cellIs" dxfId="31126" priority="17" operator="equal">
      <formula>"PMS"</formula>
    </cfRule>
    <cfRule type="containsText" dxfId="31125" priority="18" operator="containsText" text="CMS">
      <formula>NOT(ISERROR(SEARCH("CMS",G47)))</formula>
    </cfRule>
    <cfRule type="cellIs" dxfId="31124" priority="19" operator="equal">
      <formula>0</formula>
    </cfRule>
    <cfRule type="cellIs" dxfId="31123" priority="20" operator="greaterThan">
      <formula>0</formula>
    </cfRule>
  </conditionalFormatting>
  <conditionalFormatting sqref="G47:G48">
    <cfRule type="cellIs" dxfId="31122" priority="13" operator="equal">
      <formula>"PMS"</formula>
    </cfRule>
    <cfRule type="containsText" dxfId="31121" priority="14" operator="containsText" text="CMS">
      <formula>NOT(ISERROR(SEARCH("CMS",G47)))</formula>
    </cfRule>
    <cfRule type="cellIs" dxfId="31120" priority="15" operator="equal">
      <formula>0</formula>
    </cfRule>
    <cfRule type="cellIs" dxfId="31119" priority="16" operator="greaterThan">
      <formula>0</formula>
    </cfRule>
  </conditionalFormatting>
  <conditionalFormatting sqref="G65:G73">
    <cfRule type="cellIs" dxfId="31118" priority="5" operator="equal">
      <formula>"PMS"</formula>
    </cfRule>
    <cfRule type="containsText" dxfId="31117" priority="6" operator="containsText" text="CMS">
      <formula>NOT(ISERROR(SEARCH("CMS",G65)))</formula>
    </cfRule>
    <cfRule type="cellIs" dxfId="31116" priority="7" operator="equal">
      <formula>0</formula>
    </cfRule>
    <cfRule type="cellIs" dxfId="31115" priority="8" operator="greaterThan">
      <formula>0</formula>
    </cfRule>
    <cfRule type="cellIs" dxfId="31114" priority="9" operator="equal">
      <formula>"PMS"</formula>
    </cfRule>
    <cfRule type="containsText" dxfId="31113" priority="10" operator="containsText" text="CMS">
      <formula>NOT(ISERROR(SEARCH("CMS",G65)))</formula>
    </cfRule>
    <cfRule type="cellIs" dxfId="31112" priority="11" operator="equal">
      <formula>0</formula>
    </cfRule>
    <cfRule type="cellIs" dxfId="31111" priority="12" operator="greaterThan">
      <formula>0</formula>
    </cfRule>
  </conditionalFormatting>
  <conditionalFormatting sqref="O52:O57">
    <cfRule type="cellIs" dxfId="31110" priority="1" operator="equal">
      <formula>"PMS"</formula>
    </cfRule>
    <cfRule type="containsText" dxfId="31109" priority="2" operator="containsText" text="CMS">
      <formula>NOT(ISERROR(SEARCH("CMS",O52)))</formula>
    </cfRule>
    <cfRule type="cellIs" dxfId="31108" priority="3" operator="equal">
      <formula>0</formula>
    </cfRule>
    <cfRule type="cellIs" dxfId="3110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86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5F725-549A-41AB-8AC2-2F7D1AC39792}">
  <sheetPr codeName="Sheet101"/>
  <dimension ref="A2:DT136"/>
  <sheetViews>
    <sheetView zoomScale="70" zoomScaleNormal="70" zoomScaleSheetLayoutView="51" zoomScalePageLayoutView="55" workbookViewId="0">
      <pane xSplit="5" ySplit="11" topLeftCell="F63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R81" sqref="R8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4,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585.10000000000036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6.2</v>
      </c>
      <c r="G13" s="71">
        <v>5.0999999999999996</v>
      </c>
      <c r="H13" s="71">
        <v>7</v>
      </c>
      <c r="I13" s="71">
        <v>6.6</v>
      </c>
      <c r="J13" s="71">
        <v>6.7</v>
      </c>
      <c r="K13" s="71">
        <v>6.9</v>
      </c>
      <c r="L13" s="71">
        <v>6.6</v>
      </c>
      <c r="M13" s="71">
        <v>6.9</v>
      </c>
      <c r="N13" s="71">
        <v>6.8</v>
      </c>
      <c r="O13" s="219">
        <v>6.6</v>
      </c>
      <c r="P13" s="71">
        <v>6.6</v>
      </c>
      <c r="Q13" s="71">
        <v>6.6</v>
      </c>
      <c r="R13" s="71">
        <v>6.5</v>
      </c>
      <c r="S13" s="71">
        <v>6.7</v>
      </c>
      <c r="T13" s="71">
        <v>6.6</v>
      </c>
      <c r="U13" s="71">
        <v>6.8</v>
      </c>
      <c r="V13" s="71">
        <v>6.7</v>
      </c>
      <c r="W13" s="71">
        <v>6.5</v>
      </c>
      <c r="X13" s="71">
        <v>6.6</v>
      </c>
      <c r="Y13" s="71">
        <v>6.5</v>
      </c>
      <c r="Z13" s="71">
        <v>6.5</v>
      </c>
      <c r="AA13" s="71">
        <v>6.6</v>
      </c>
      <c r="AB13" s="71">
        <v>6.7</v>
      </c>
      <c r="AC13" s="71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6.1</v>
      </c>
      <c r="G14" s="71">
        <v>5</v>
      </c>
      <c r="H14" s="71">
        <v>6.6</v>
      </c>
      <c r="I14" s="71">
        <v>6.6</v>
      </c>
      <c r="J14" s="71">
        <v>6.7</v>
      </c>
      <c r="K14" s="71"/>
      <c r="L14" s="71"/>
      <c r="M14" s="71"/>
      <c r="N14" s="71"/>
      <c r="O14" s="219">
        <v>6.6</v>
      </c>
      <c r="P14" s="219">
        <v>6.6</v>
      </c>
      <c r="Q14" s="71">
        <v>6.6</v>
      </c>
      <c r="R14" s="71">
        <v>6.5</v>
      </c>
      <c r="S14" s="71">
        <v>6.7</v>
      </c>
      <c r="T14" s="71">
        <v>6.6</v>
      </c>
      <c r="U14" s="71">
        <v>6.8</v>
      </c>
      <c r="V14" s="71">
        <v>6.7</v>
      </c>
      <c r="W14" s="71">
        <v>6.5</v>
      </c>
      <c r="X14" s="71">
        <v>6.6</v>
      </c>
      <c r="Y14" s="71">
        <v>6.5</v>
      </c>
      <c r="Z14" s="71">
        <v>6.6</v>
      </c>
      <c r="AA14" s="71">
        <v>6.6</v>
      </c>
      <c r="AB14" s="71">
        <v>6.7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6.1</v>
      </c>
      <c r="G15" s="71">
        <v>7</v>
      </c>
      <c r="H15" s="71"/>
      <c r="I15" s="71"/>
      <c r="J15" s="71"/>
      <c r="K15" s="71">
        <v>6.9</v>
      </c>
      <c r="L15" s="71">
        <v>6.6</v>
      </c>
      <c r="M15" s="71">
        <v>6.9</v>
      </c>
      <c r="N15" s="71">
        <v>6.8</v>
      </c>
      <c r="O15" s="219">
        <v>6.6</v>
      </c>
      <c r="P15" s="71">
        <v>6.6</v>
      </c>
      <c r="Q15" s="71">
        <v>6.6</v>
      </c>
      <c r="R15" s="71">
        <v>6.5</v>
      </c>
      <c r="S15" s="71">
        <v>6.7</v>
      </c>
      <c r="T15" s="71">
        <v>6.6</v>
      </c>
      <c r="U15" s="71">
        <v>6.8</v>
      </c>
      <c r="V15" s="71">
        <v>6.7</v>
      </c>
      <c r="W15" s="71">
        <v>6.5</v>
      </c>
      <c r="X15" s="71">
        <v>6.6</v>
      </c>
      <c r="Y15" s="71">
        <v>6.5</v>
      </c>
      <c r="Z15" s="71">
        <v>6.6</v>
      </c>
      <c r="AA15" s="71">
        <v>6.6</v>
      </c>
      <c r="AB15" s="71">
        <v>6.7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6.1</v>
      </c>
      <c r="G16" s="71">
        <v>5</v>
      </c>
      <c r="H16" s="71">
        <v>6.6</v>
      </c>
      <c r="I16" s="71">
        <v>7</v>
      </c>
      <c r="J16" s="71">
        <v>6.7</v>
      </c>
      <c r="K16" s="71">
        <v>6.9</v>
      </c>
      <c r="L16" s="71">
        <v>6.6</v>
      </c>
      <c r="M16" s="71">
        <v>6.9</v>
      </c>
      <c r="N16" s="71">
        <v>6.6</v>
      </c>
      <c r="O16" s="219">
        <v>6.9</v>
      </c>
      <c r="P16" s="71">
        <v>6.6</v>
      </c>
      <c r="Q16" s="71">
        <v>6.6</v>
      </c>
      <c r="R16" s="71">
        <v>6.5</v>
      </c>
      <c r="S16" s="71">
        <v>6.7</v>
      </c>
      <c r="T16" s="71">
        <v>6.6</v>
      </c>
      <c r="U16" s="71">
        <v>6.8</v>
      </c>
      <c r="V16" s="71">
        <v>6.7</v>
      </c>
      <c r="W16" s="71">
        <v>6.5</v>
      </c>
      <c r="X16" s="71">
        <v>6.6</v>
      </c>
      <c r="Y16" s="71">
        <v>6.5</v>
      </c>
      <c r="Z16" s="71">
        <v>6.6</v>
      </c>
      <c r="AA16" s="71">
        <v>6.6</v>
      </c>
      <c r="AB16" s="71">
        <v>6.7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24.5</v>
      </c>
      <c r="G17" s="19">
        <f t="shared" ref="G17:AC17" si="1">SUM(G13:G16)</f>
        <v>22.1</v>
      </c>
      <c r="H17" s="19">
        <f t="shared" si="1"/>
        <v>20.2</v>
      </c>
      <c r="I17" s="19">
        <f t="shared" si="1"/>
        <v>20.2</v>
      </c>
      <c r="J17" s="19">
        <f t="shared" si="1"/>
        <v>20.100000000000001</v>
      </c>
      <c r="K17" s="19">
        <f t="shared" si="1"/>
        <v>20.700000000000003</v>
      </c>
      <c r="L17" s="19">
        <f t="shared" si="1"/>
        <v>19.799999999999997</v>
      </c>
      <c r="M17" s="19">
        <f t="shared" si="1"/>
        <v>20.700000000000003</v>
      </c>
      <c r="N17" s="19">
        <f t="shared" si="1"/>
        <v>20.2</v>
      </c>
      <c r="O17" s="19">
        <f t="shared" si="1"/>
        <v>26.699999999999996</v>
      </c>
      <c r="P17" s="19">
        <f t="shared" si="1"/>
        <v>26.4</v>
      </c>
      <c r="Q17" s="19">
        <f t="shared" si="1"/>
        <v>26.4</v>
      </c>
      <c r="R17" s="19">
        <f t="shared" si="1"/>
        <v>26</v>
      </c>
      <c r="S17" s="19">
        <f t="shared" si="1"/>
        <v>26.8</v>
      </c>
      <c r="T17" s="19">
        <f t="shared" si="1"/>
        <v>26.4</v>
      </c>
      <c r="U17" s="19">
        <f t="shared" si="1"/>
        <v>27.2</v>
      </c>
      <c r="V17" s="19">
        <f t="shared" si="1"/>
        <v>26.8</v>
      </c>
      <c r="W17" s="19">
        <f t="shared" si="1"/>
        <v>26</v>
      </c>
      <c r="X17" s="19">
        <f t="shared" si="1"/>
        <v>26.4</v>
      </c>
      <c r="Y17" s="19">
        <f t="shared" si="1"/>
        <v>26</v>
      </c>
      <c r="Z17" s="19">
        <f t="shared" si="1"/>
        <v>26.299999999999997</v>
      </c>
      <c r="AA17" s="19">
        <f t="shared" si="1"/>
        <v>26.4</v>
      </c>
      <c r="AB17" s="19">
        <f t="shared" si="1"/>
        <v>26.8</v>
      </c>
      <c r="AC17" s="19">
        <f t="shared" si="1"/>
        <v>26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48.000000000000007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9</v>
      </c>
      <c r="AG21" s="11">
        <f>COUNTIF(G21:AD21,$AJ$7)</f>
        <v>0</v>
      </c>
      <c r="AH21" s="11">
        <f>COUNT(F21:AC21)</f>
        <v>15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3.2</v>
      </c>
      <c r="H22" s="19">
        <f t="shared" si="3"/>
        <v>3.2</v>
      </c>
      <c r="I22" s="19">
        <f t="shared" si="3"/>
        <v>3.2</v>
      </c>
      <c r="J22" s="19">
        <f t="shared" si="3"/>
        <v>3.2</v>
      </c>
      <c r="K22" s="19">
        <f t="shared" si="3"/>
        <v>3.2</v>
      </c>
      <c r="L22" s="19">
        <f t="shared" si="3"/>
        <v>3.2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56.299999999999983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>
        <v>0.5</v>
      </c>
      <c r="O24" s="219">
        <v>2.6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8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0.5</v>
      </c>
      <c r="O25" s="19">
        <f t="shared" si="5"/>
        <v>2.6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183.99999999999997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2</v>
      </c>
      <c r="G27" s="71">
        <v>3.9</v>
      </c>
      <c r="H27" s="71">
        <v>3.8</v>
      </c>
      <c r="I27" s="71">
        <v>3.7</v>
      </c>
      <c r="J27" s="71">
        <v>3.7</v>
      </c>
      <c r="K27" s="71">
        <v>3.6</v>
      </c>
      <c r="L27" s="71">
        <v>4</v>
      </c>
      <c r="M27" s="71">
        <v>4.0999999999999996</v>
      </c>
      <c r="N27" s="71">
        <v>4.2</v>
      </c>
      <c r="O27" s="219">
        <v>3.8</v>
      </c>
      <c r="P27" s="71">
        <v>3</v>
      </c>
      <c r="Q27" s="71">
        <v>4</v>
      </c>
      <c r="R27" s="71">
        <v>4</v>
      </c>
      <c r="S27" s="71">
        <v>3.8</v>
      </c>
      <c r="T27" s="71">
        <v>4</v>
      </c>
      <c r="U27" s="71">
        <v>4.0999999999999996</v>
      </c>
      <c r="V27" s="71">
        <v>4</v>
      </c>
      <c r="W27" s="71">
        <v>4.0999999999999996</v>
      </c>
      <c r="X27" s="71">
        <v>4.0999999999999996</v>
      </c>
      <c r="Y27" s="71">
        <v>4</v>
      </c>
      <c r="Z27" s="71">
        <v>4</v>
      </c>
      <c r="AA27" s="71">
        <v>4.0999999999999996</v>
      </c>
      <c r="AB27" s="71">
        <v>3.7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2</v>
      </c>
      <c r="G28" s="71">
        <v>3.9</v>
      </c>
      <c r="H28" s="71">
        <v>3.8</v>
      </c>
      <c r="I28" s="71">
        <v>3.7</v>
      </c>
      <c r="J28" s="71">
        <v>3.7</v>
      </c>
      <c r="K28" s="71">
        <v>3.6</v>
      </c>
      <c r="L28" s="71">
        <v>4</v>
      </c>
      <c r="M28" s="71">
        <v>4.0999999999999996</v>
      </c>
      <c r="N28" s="71">
        <v>4.2</v>
      </c>
      <c r="O28" s="219">
        <v>3.8</v>
      </c>
      <c r="P28" s="71">
        <v>4</v>
      </c>
      <c r="Q28" s="71">
        <v>4</v>
      </c>
      <c r="R28" s="71">
        <v>4</v>
      </c>
      <c r="S28" s="71">
        <v>3.8</v>
      </c>
      <c r="T28" s="71">
        <v>4</v>
      </c>
      <c r="U28" s="71">
        <v>4.0999999999999996</v>
      </c>
      <c r="V28" s="71">
        <v>4</v>
      </c>
      <c r="W28" s="71">
        <v>4.0999999999999996</v>
      </c>
      <c r="X28" s="71">
        <v>4.0999999999999996</v>
      </c>
      <c r="Y28" s="71">
        <v>4</v>
      </c>
      <c r="Z28" s="71">
        <v>4</v>
      </c>
      <c r="AA28" s="71">
        <v>4.0999999999999996</v>
      </c>
      <c r="AB28" s="71">
        <v>3.7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5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4</v>
      </c>
      <c r="G29" s="19">
        <f t="shared" ref="G29:AC29" si="7">SUM(G27:G28)</f>
        <v>7.8</v>
      </c>
      <c r="H29" s="19">
        <f t="shared" si="7"/>
        <v>7.6</v>
      </c>
      <c r="I29" s="19">
        <f t="shared" si="7"/>
        <v>7.4</v>
      </c>
      <c r="J29" s="19">
        <f t="shared" si="7"/>
        <v>7.4</v>
      </c>
      <c r="K29" s="19">
        <f t="shared" si="7"/>
        <v>7.2</v>
      </c>
      <c r="L29" s="19">
        <f t="shared" si="7"/>
        <v>8</v>
      </c>
      <c r="M29" s="19">
        <f t="shared" si="7"/>
        <v>8.1999999999999993</v>
      </c>
      <c r="N29" s="19">
        <f t="shared" si="7"/>
        <v>8.4</v>
      </c>
      <c r="O29" s="19">
        <f t="shared" si="7"/>
        <v>7.6</v>
      </c>
      <c r="P29" s="19">
        <f t="shared" si="7"/>
        <v>7</v>
      </c>
      <c r="Q29" s="19">
        <f t="shared" si="7"/>
        <v>8</v>
      </c>
      <c r="R29" s="19">
        <f t="shared" si="7"/>
        <v>8</v>
      </c>
      <c r="S29" s="19">
        <f t="shared" si="7"/>
        <v>7.6</v>
      </c>
      <c r="T29" s="19">
        <f t="shared" si="7"/>
        <v>8</v>
      </c>
      <c r="U29" s="19">
        <f t="shared" si="7"/>
        <v>8.1999999999999993</v>
      </c>
      <c r="V29" s="19">
        <f t="shared" si="7"/>
        <v>8</v>
      </c>
      <c r="W29" s="19">
        <f t="shared" si="7"/>
        <v>8.1999999999999993</v>
      </c>
      <c r="X29" s="19">
        <f t="shared" si="7"/>
        <v>8.1999999999999993</v>
      </c>
      <c r="Y29" s="19">
        <f t="shared" si="7"/>
        <v>8</v>
      </c>
      <c r="Z29" s="19">
        <f t="shared" si="7"/>
        <v>8</v>
      </c>
      <c r="AA29" s="19">
        <f t="shared" si="7"/>
        <v>8.1999999999999993</v>
      </c>
      <c r="AB29" s="19">
        <f t="shared" si="7"/>
        <v>7.4</v>
      </c>
      <c r="AC29" s="19">
        <f t="shared" si="7"/>
        <v>7.6</v>
      </c>
      <c r="AD29" s="41"/>
      <c r="AE29" s="41"/>
      <c r="AF29" s="11"/>
      <c r="AG29" s="11"/>
      <c r="AH29" s="11"/>
    </row>
    <row r="30" spans="1:51" x14ac:dyDescent="0.25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 x14ac:dyDescent="0.25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71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71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 x14ac:dyDescent="0.25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0</v>
      </c>
      <c r="G32" s="19">
        <f t="shared" ref="G32:AC32" si="9">SUM(G31)</f>
        <v>0</v>
      </c>
      <c r="H32" s="19">
        <f t="shared" si="9"/>
        <v>0</v>
      </c>
      <c r="I32" s="19">
        <f t="shared" si="9"/>
        <v>0</v>
      </c>
      <c r="J32" s="19">
        <f t="shared" si="9"/>
        <v>0</v>
      </c>
      <c r="K32" s="19">
        <f t="shared" si="9"/>
        <v>0</v>
      </c>
      <c r="L32" s="19">
        <f t="shared" si="9"/>
        <v>0</v>
      </c>
      <c r="M32" s="19">
        <f t="shared" si="9"/>
        <v>0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 x14ac:dyDescent="0.2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159.29204545454522</v>
      </c>
    </row>
    <row r="34" spans="1:35" x14ac:dyDescent="0.2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 x14ac:dyDescent="0.2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/>
      <c r="T36" s="71"/>
      <c r="U36" s="71"/>
      <c r="V36" s="71">
        <v>0.77</v>
      </c>
      <c r="W36" s="71">
        <v>0.77</v>
      </c>
      <c r="X36" s="71">
        <v>0.78</v>
      </c>
      <c r="Y36" s="71">
        <v>0.9</v>
      </c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4</v>
      </c>
    </row>
    <row r="37" spans="1:35" x14ac:dyDescent="0.2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>
        <v>0.9</v>
      </c>
      <c r="P37" s="71">
        <f>11/13</f>
        <v>0.84615384615384615</v>
      </c>
      <c r="Q37" s="71">
        <v>0.84545454545454557</v>
      </c>
      <c r="R37" s="71">
        <v>0.84545454545454601</v>
      </c>
      <c r="S37" s="71">
        <v>1</v>
      </c>
      <c r="T37" s="71">
        <v>1</v>
      </c>
      <c r="U37" s="71">
        <v>1</v>
      </c>
      <c r="V37" s="71">
        <v>0.89</v>
      </c>
      <c r="W37" s="71">
        <v>0.89</v>
      </c>
      <c r="X37" s="71">
        <v>0.87</v>
      </c>
      <c r="Y37" s="71">
        <v>0.9</v>
      </c>
      <c r="Z37" s="71">
        <v>0.9</v>
      </c>
      <c r="AA37" s="71">
        <v>0.9</v>
      </c>
      <c r="AB37" s="71">
        <v>0.9</v>
      </c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14</v>
      </c>
    </row>
    <row r="38" spans="1:35" x14ac:dyDescent="0.2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>
        <v>0.89</v>
      </c>
      <c r="X38" s="71">
        <v>0.87</v>
      </c>
      <c r="Y38" s="71">
        <v>0.9</v>
      </c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3</v>
      </c>
    </row>
    <row r="39" spans="1:35" x14ac:dyDescent="0.2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>
        <v>0.9</v>
      </c>
      <c r="P39" s="71">
        <f t="shared" ref="P39:P40" si="13">11/13</f>
        <v>0.84615384615384615</v>
      </c>
      <c r="Q39" s="71">
        <v>0.84545454545454557</v>
      </c>
      <c r="R39" s="71">
        <v>0.84545454545454601</v>
      </c>
      <c r="S39" s="71">
        <v>1</v>
      </c>
      <c r="T39" s="71">
        <v>1</v>
      </c>
      <c r="U39" s="71">
        <v>1</v>
      </c>
      <c r="V39" s="71">
        <v>0.89</v>
      </c>
      <c r="W39" s="71">
        <v>0.89</v>
      </c>
      <c r="X39" s="71">
        <v>0.87</v>
      </c>
      <c r="Y39" s="71">
        <v>0.9</v>
      </c>
      <c r="Z39" s="71">
        <v>0.9</v>
      </c>
      <c r="AA39" s="71">
        <v>0.9</v>
      </c>
      <c r="AB39" s="71">
        <v>0.9</v>
      </c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14</v>
      </c>
    </row>
    <row r="40" spans="1:35" x14ac:dyDescent="0.2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>
        <v>0.9</v>
      </c>
      <c r="P40" s="71">
        <f t="shared" si="13"/>
        <v>0.84615384615384615</v>
      </c>
      <c r="Q40" s="71">
        <v>0.84545454545454557</v>
      </c>
      <c r="R40" s="71">
        <v>0.84545454545454601</v>
      </c>
      <c r="S40" s="71">
        <v>1</v>
      </c>
      <c r="T40" s="71">
        <v>1</v>
      </c>
      <c r="U40" s="71">
        <v>1</v>
      </c>
      <c r="V40" s="71">
        <v>0.89</v>
      </c>
      <c r="W40" s="71">
        <v>0.89</v>
      </c>
      <c r="X40" s="71">
        <v>0.87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15</v>
      </c>
    </row>
    <row r="41" spans="1:35" x14ac:dyDescent="0.25">
      <c r="A41" s="70">
        <v>38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</v>
      </c>
      <c r="M41" s="71">
        <v>0</v>
      </c>
      <c r="N41" s="71">
        <v>0</v>
      </c>
      <c r="O41" s="71">
        <v>0</v>
      </c>
      <c r="P41" s="71">
        <v>0</v>
      </c>
      <c r="Q41" s="71">
        <v>0</v>
      </c>
      <c r="R41" s="71">
        <v>0</v>
      </c>
      <c r="S41" s="71">
        <v>0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19</v>
      </c>
    </row>
    <row r="42" spans="1:35" ht="16.5" customHeight="1" x14ac:dyDescent="0.2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0.9</v>
      </c>
      <c r="P42" s="71">
        <f t="shared" ref="P42:P43" si="14">11/13</f>
        <v>0.84615384615384615</v>
      </c>
      <c r="Q42" s="71">
        <v>0.84545454545454557</v>
      </c>
      <c r="R42" s="71">
        <v>0.84545454545454601</v>
      </c>
      <c r="S42" s="71">
        <v>0.73750000000000004</v>
      </c>
      <c r="T42" s="71">
        <v>0.73750000000000004</v>
      </c>
      <c r="U42" s="71">
        <v>0.8</v>
      </c>
      <c r="V42" s="71">
        <v>0.89</v>
      </c>
      <c r="W42" s="71">
        <v>0.89</v>
      </c>
      <c r="X42" s="71">
        <v>0.88</v>
      </c>
      <c r="Y42" s="71">
        <v>0.9</v>
      </c>
      <c r="Z42" s="71">
        <v>0.9</v>
      </c>
      <c r="AA42" s="71">
        <v>0.9</v>
      </c>
      <c r="AB42" s="71">
        <v>0.9</v>
      </c>
      <c r="AC42" s="71">
        <v>0.9</v>
      </c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15</v>
      </c>
    </row>
    <row r="43" spans="1:35" ht="16.5" customHeight="1" x14ac:dyDescent="0.25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f>4/5</f>
        <v>0.8</v>
      </c>
      <c r="M43" s="71">
        <f>3.27/4</f>
        <v>0.8175</v>
      </c>
      <c r="N43" s="71">
        <f>4.9/6</f>
        <v>0.81666666666666676</v>
      </c>
      <c r="O43" s="219">
        <v>0</v>
      </c>
      <c r="P43" s="71">
        <f t="shared" si="14"/>
        <v>0.84615384615384615</v>
      </c>
      <c r="Q43" s="71">
        <v>0.84545454545454557</v>
      </c>
      <c r="R43" s="71">
        <v>0.84545454545454601</v>
      </c>
      <c r="S43" s="71">
        <v>0.73750000000000004</v>
      </c>
      <c r="T43" s="71">
        <v>0.76363636363636367</v>
      </c>
      <c r="U43" s="71">
        <v>0.763636363636364</v>
      </c>
      <c r="V43" s="71">
        <v>0.77</v>
      </c>
      <c r="W43" s="71">
        <v>0.78</v>
      </c>
      <c r="X43" s="71">
        <v>0</v>
      </c>
      <c r="Y43" s="71">
        <v>0.8</v>
      </c>
      <c r="Z43" s="71">
        <v>0.8</v>
      </c>
      <c r="AA43" s="71">
        <v>0.8</v>
      </c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16</v>
      </c>
    </row>
    <row r="44" spans="1:35" x14ac:dyDescent="0.2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f t="shared" ref="N44:N45" si="15">4.9/6</f>
        <v>0.81666666666666676</v>
      </c>
      <c r="O44" s="219">
        <v>0</v>
      </c>
      <c r="P44" s="71">
        <v>0</v>
      </c>
      <c r="Q44" s="71">
        <v>0</v>
      </c>
      <c r="R44" s="71">
        <v>0</v>
      </c>
      <c r="S44" s="71">
        <v>0</v>
      </c>
      <c r="T44" s="71">
        <v>0.76363636363636367</v>
      </c>
      <c r="U44" s="71">
        <v>0.763636363636364</v>
      </c>
      <c r="V44" s="71">
        <v>0.77</v>
      </c>
      <c r="W44" s="71">
        <v>0.78</v>
      </c>
      <c r="X44" s="71">
        <v>0.8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12</v>
      </c>
    </row>
    <row r="45" spans="1:35" x14ac:dyDescent="0.2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 t="shared" si="15"/>
        <v>0.81666666666666676</v>
      </c>
      <c r="O45" s="219">
        <v>0</v>
      </c>
      <c r="P45" s="71">
        <v>0</v>
      </c>
      <c r="Q45" s="71">
        <v>0</v>
      </c>
      <c r="R45" s="71">
        <v>0</v>
      </c>
      <c r="S45" s="71">
        <v>0</v>
      </c>
      <c r="T45" s="71">
        <v>0.76363636363636367</v>
      </c>
      <c r="U45" s="71">
        <v>0.763636363636364</v>
      </c>
      <c r="V45" s="71">
        <v>0.77</v>
      </c>
      <c r="W45" s="71">
        <v>0.78</v>
      </c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12</v>
      </c>
    </row>
    <row r="46" spans="1:35" x14ac:dyDescent="0.2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2.5/3</f>
        <v>0.83333333333333337</v>
      </c>
      <c r="P46" s="71">
        <f>11/13</f>
        <v>0.84615384615384615</v>
      </c>
      <c r="Q46" s="71">
        <v>0.84545454545454557</v>
      </c>
      <c r="R46" s="71">
        <v>0.84545454545454601</v>
      </c>
      <c r="S46" s="71">
        <v>0.73750000000000004</v>
      </c>
      <c r="T46" s="71">
        <v>0.76363636363636367</v>
      </c>
      <c r="U46" s="71">
        <v>0.8</v>
      </c>
      <c r="V46" s="71">
        <v>0</v>
      </c>
      <c r="W46" s="71">
        <v>0</v>
      </c>
      <c r="X46" s="71">
        <v>0.8</v>
      </c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12</v>
      </c>
    </row>
    <row r="47" spans="1:35" ht="15" customHeight="1" x14ac:dyDescent="0.25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>
        <f>4.9/6</f>
        <v>0.81666666666666676</v>
      </c>
      <c r="O47" s="219">
        <v>0</v>
      </c>
      <c r="P47" s="71">
        <v>0</v>
      </c>
      <c r="Q47" s="71">
        <v>0</v>
      </c>
      <c r="R47" s="71">
        <v>0</v>
      </c>
      <c r="S47" s="71">
        <v>0</v>
      </c>
      <c r="T47" s="71">
        <v>0.76363636363636367</v>
      </c>
      <c r="U47" s="71">
        <v>0.8</v>
      </c>
      <c r="V47" s="71">
        <v>0.77</v>
      </c>
      <c r="W47" s="71">
        <v>0.78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16</v>
      </c>
    </row>
    <row r="48" spans="1:35" ht="16.5" customHeight="1" x14ac:dyDescent="0.25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f>2.5/3</f>
        <v>0.83333333333333337</v>
      </c>
      <c r="P48" s="71">
        <f>11/13</f>
        <v>0.84615384615384615</v>
      </c>
      <c r="Q48" s="71"/>
      <c r="R48" s="71"/>
      <c r="S48" s="71"/>
      <c r="T48" s="71"/>
      <c r="U48" s="71">
        <v>0.8</v>
      </c>
      <c r="V48" s="71">
        <v>0.77</v>
      </c>
      <c r="W48" s="71">
        <v>0.78</v>
      </c>
      <c r="X48" s="71">
        <v>0.78</v>
      </c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 x14ac:dyDescent="0.25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25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0</v>
      </c>
    </row>
    <row r="51" spans="1:124" x14ac:dyDescent="0.25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19"/>
      <c r="P51" s="71"/>
      <c r="Q51" s="71"/>
      <c r="R51" s="71"/>
      <c r="S51" s="71"/>
      <c r="T51" s="71"/>
      <c r="U51" s="71"/>
      <c r="V51" s="71">
        <v>0.76</v>
      </c>
      <c r="W51" s="71">
        <v>0.77</v>
      </c>
      <c r="X51" s="71">
        <v>0</v>
      </c>
      <c r="Y51" s="71">
        <v>0.8</v>
      </c>
      <c r="Z51" s="71">
        <v>0.8</v>
      </c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5</v>
      </c>
    </row>
    <row r="52" spans="1:124" ht="16.5" customHeight="1" x14ac:dyDescent="0.25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0.8</v>
      </c>
      <c r="L52" s="71">
        <v>0.8</v>
      </c>
      <c r="M52" s="71">
        <v>0</v>
      </c>
      <c r="N52" s="71">
        <v>0</v>
      </c>
      <c r="O52" s="219">
        <v>0</v>
      </c>
      <c r="P52" s="71">
        <f t="shared" ref="P52:P57" si="16">11/13</f>
        <v>0.84615384615384615</v>
      </c>
      <c r="Q52" s="71">
        <v>0.84545454545454557</v>
      </c>
      <c r="R52" s="71">
        <v>0.84545454545454601</v>
      </c>
      <c r="S52" s="71">
        <v>0.73750000000000004</v>
      </c>
      <c r="T52" s="71">
        <v>0.76363636363636367</v>
      </c>
      <c r="U52" s="71">
        <v>0.8</v>
      </c>
      <c r="V52" s="71">
        <v>0.76</v>
      </c>
      <c r="W52" s="71">
        <v>0</v>
      </c>
      <c r="X52" s="71">
        <v>0</v>
      </c>
      <c r="Y52" s="71">
        <v>0.8</v>
      </c>
      <c r="Z52" s="71">
        <v>0.8</v>
      </c>
      <c r="AA52" s="71">
        <v>0.8</v>
      </c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17</v>
      </c>
    </row>
    <row r="53" spans="1:124" x14ac:dyDescent="0.25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>
        <v>0</v>
      </c>
      <c r="N53" s="71">
        <v>0</v>
      </c>
      <c r="O53" s="219">
        <v>0</v>
      </c>
      <c r="P53" s="71">
        <f t="shared" si="16"/>
        <v>0.84615384615384615</v>
      </c>
      <c r="Q53" s="71">
        <v>0.84545454545454557</v>
      </c>
      <c r="R53" s="71">
        <v>0.84545454545454601</v>
      </c>
      <c r="S53" s="71">
        <v>0.73750000000000004</v>
      </c>
      <c r="T53" s="71">
        <v>0.76363636363636367</v>
      </c>
      <c r="U53" s="71">
        <v>0.8</v>
      </c>
      <c r="V53" s="71">
        <v>0.76</v>
      </c>
      <c r="W53" s="71">
        <v>0</v>
      </c>
      <c r="X53" s="71">
        <v>0</v>
      </c>
      <c r="Y53" s="71">
        <v>0.8</v>
      </c>
      <c r="Z53" s="71">
        <v>0.8</v>
      </c>
      <c r="AA53" s="71">
        <v>0.8</v>
      </c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16</v>
      </c>
    </row>
    <row r="54" spans="1:124" x14ac:dyDescent="0.25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>2.5/3</f>
        <v>0.83333333333333337</v>
      </c>
      <c r="P54" s="71">
        <f t="shared" si="16"/>
        <v>0.84615384615384615</v>
      </c>
      <c r="Q54" s="71">
        <v>0</v>
      </c>
      <c r="R54" s="71"/>
      <c r="S54" s="71"/>
      <c r="T54" s="71"/>
      <c r="U54" s="71">
        <v>0.8</v>
      </c>
      <c r="V54" s="71">
        <v>0.76</v>
      </c>
      <c r="W54" s="71">
        <v>0.77</v>
      </c>
      <c r="X54" s="71">
        <v>0.78</v>
      </c>
      <c r="Y54" s="71">
        <v>0.8</v>
      </c>
      <c r="Z54" s="71">
        <v>0.85</v>
      </c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9</v>
      </c>
    </row>
    <row r="55" spans="1:124" x14ac:dyDescent="0.25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f t="shared" ref="M55:M57" si="17">3.27/4</f>
        <v>0.8175</v>
      </c>
      <c r="N55" s="71">
        <f t="shared" ref="N55:N56" si="18">4.9/6</f>
        <v>0.81666666666666676</v>
      </c>
      <c r="O55" s="219">
        <v>0</v>
      </c>
      <c r="P55" s="71">
        <f t="shared" si="16"/>
        <v>0.84615384615384615</v>
      </c>
      <c r="Q55" s="71">
        <v>0.84545454545454557</v>
      </c>
      <c r="R55" s="71">
        <v>0.84545454545454601</v>
      </c>
      <c r="S55" s="71">
        <v>0.73750000000000004</v>
      </c>
      <c r="T55" s="71">
        <v>0.76363636363636367</v>
      </c>
      <c r="U55" s="71">
        <v>0.78</v>
      </c>
      <c r="V55" s="71">
        <v>0.76</v>
      </c>
      <c r="W55" s="71">
        <v>0.77</v>
      </c>
      <c r="X55" s="71">
        <v>0</v>
      </c>
      <c r="Y55" s="71">
        <v>0</v>
      </c>
      <c r="Z55" s="71">
        <v>0.85</v>
      </c>
      <c r="AA55" s="71">
        <v>0.85</v>
      </c>
      <c r="AB55" s="71">
        <v>0.8</v>
      </c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16</v>
      </c>
    </row>
    <row r="56" spans="1:124" x14ac:dyDescent="0.25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v>0.8</v>
      </c>
      <c r="M56" s="71">
        <f t="shared" si="17"/>
        <v>0.8175</v>
      </c>
      <c r="N56" s="71">
        <f t="shared" si="18"/>
        <v>0.81666666666666676</v>
      </c>
      <c r="O56" s="219">
        <v>0</v>
      </c>
      <c r="P56" s="71">
        <f t="shared" si="16"/>
        <v>0.84615384615384615</v>
      </c>
      <c r="Q56" s="71">
        <v>0.84545454545454557</v>
      </c>
      <c r="R56" s="71">
        <v>0.84545454545454601</v>
      </c>
      <c r="S56" s="71">
        <v>0.73750000000000004</v>
      </c>
      <c r="T56" s="71">
        <v>0.76363636363636367</v>
      </c>
      <c r="U56" s="71">
        <v>0.763636363636364</v>
      </c>
      <c r="V56" s="71">
        <v>0.76</v>
      </c>
      <c r="W56" s="71">
        <v>0</v>
      </c>
      <c r="X56" s="71">
        <v>0</v>
      </c>
      <c r="Y56" s="71">
        <v>0.8</v>
      </c>
      <c r="Z56" s="71">
        <v>0.85</v>
      </c>
      <c r="AA56" s="71">
        <v>0.85</v>
      </c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16</v>
      </c>
    </row>
    <row r="57" spans="1:124" x14ac:dyDescent="0.25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f t="shared" si="17"/>
        <v>0.8175</v>
      </c>
      <c r="N57" s="71">
        <v>0</v>
      </c>
      <c r="O57" s="219">
        <v>0</v>
      </c>
      <c r="P57" s="71">
        <f t="shared" si="16"/>
        <v>0.84615384615384615</v>
      </c>
      <c r="Q57" s="71">
        <v>0.84545454545454557</v>
      </c>
      <c r="R57" s="71">
        <v>0.84545454545454601</v>
      </c>
      <c r="S57" s="71">
        <v>0.73750000000000004</v>
      </c>
      <c r="T57" s="71">
        <v>0.76363636363636367</v>
      </c>
      <c r="U57" s="71">
        <v>0.763636363636364</v>
      </c>
      <c r="V57" s="71">
        <v>0.76</v>
      </c>
      <c r="W57" s="71">
        <v>0.77</v>
      </c>
      <c r="X57" s="71">
        <v>0</v>
      </c>
      <c r="Y57" s="71">
        <v>0.8</v>
      </c>
      <c r="Z57" s="71">
        <v>0.85</v>
      </c>
      <c r="AA57" s="71">
        <v>0.85</v>
      </c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16</v>
      </c>
    </row>
    <row r="58" spans="1:124" x14ac:dyDescent="0.25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9">SUM(F34:F57)</f>
        <v>0</v>
      </c>
      <c r="G58" s="19">
        <f t="shared" ref="G58:AC58" si="20">SUM(G34:G57)</f>
        <v>0</v>
      </c>
      <c r="H58" s="19">
        <f t="shared" si="20"/>
        <v>0</v>
      </c>
      <c r="I58" s="19">
        <f t="shared" si="20"/>
        <v>0</v>
      </c>
      <c r="J58" s="19">
        <f t="shared" si="20"/>
        <v>0</v>
      </c>
      <c r="K58" s="19">
        <f t="shared" si="20"/>
        <v>0.8</v>
      </c>
      <c r="L58" s="19">
        <f t="shared" si="20"/>
        <v>4</v>
      </c>
      <c r="M58" s="19">
        <f t="shared" si="20"/>
        <v>3.27</v>
      </c>
      <c r="N58" s="19">
        <f t="shared" si="20"/>
        <v>4.9000000000000004</v>
      </c>
      <c r="O58" s="19">
        <f t="shared" si="20"/>
        <v>6.1</v>
      </c>
      <c r="P58" s="19">
        <f t="shared" si="20"/>
        <v>11</v>
      </c>
      <c r="Q58" s="19">
        <f t="shared" si="20"/>
        <v>9.3000000000000007</v>
      </c>
      <c r="R58" s="19">
        <f t="shared" si="20"/>
        <v>9.3000000000000043</v>
      </c>
      <c r="S58" s="19">
        <f t="shared" si="20"/>
        <v>8.9</v>
      </c>
      <c r="T58" s="19">
        <f t="shared" si="20"/>
        <v>11.373863636363637</v>
      </c>
      <c r="U58" s="19">
        <f t="shared" si="20"/>
        <v>13.198181818181819</v>
      </c>
      <c r="V58" s="19">
        <f t="shared" si="20"/>
        <v>13.499999999999996</v>
      </c>
      <c r="W58" s="19">
        <f t="shared" si="20"/>
        <v>12.199999999999998</v>
      </c>
      <c r="X58" s="19">
        <f t="shared" si="20"/>
        <v>9.0999999999999979</v>
      </c>
      <c r="Y58" s="19">
        <f t="shared" si="20"/>
        <v>14.200000000000005</v>
      </c>
      <c r="Z58" s="19">
        <f t="shared" si="20"/>
        <v>11.799999999999999</v>
      </c>
      <c r="AA58" s="19">
        <f t="shared" si="20"/>
        <v>9.35</v>
      </c>
      <c r="AB58" s="19">
        <f t="shared" si="20"/>
        <v>5.2</v>
      </c>
      <c r="AC58" s="19">
        <f t="shared" si="20"/>
        <v>1.8</v>
      </c>
      <c r="AD58" s="34"/>
      <c r="AE58" s="34"/>
      <c r="AF58" s="11"/>
      <c r="AG58" s="11"/>
      <c r="AH58" s="11"/>
    </row>
    <row r="59" spans="1:124" x14ac:dyDescent="0.25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27.939999999999994</v>
      </c>
      <c r="AN59" s="357"/>
    </row>
    <row r="60" spans="1:124" x14ac:dyDescent="0.25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1.01/2</f>
        <v>0.505</v>
      </c>
      <c r="M60" s="71">
        <f>1.11/2</f>
        <v>0.55500000000000005</v>
      </c>
      <c r="N60" s="71">
        <f>0.99/2</f>
        <v>0.495</v>
      </c>
      <c r="O60" s="71">
        <f>1.22/2</f>
        <v>0.61</v>
      </c>
      <c r="P60" s="71">
        <f>1.29/2</f>
        <v>0.64500000000000002</v>
      </c>
      <c r="Q60" s="71">
        <v>0.65</v>
      </c>
      <c r="R60" s="71">
        <v>0.68</v>
      </c>
      <c r="S60" s="71">
        <v>0.65500000000000003</v>
      </c>
      <c r="T60" s="71">
        <v>0.67500000000000004</v>
      </c>
      <c r="U60" s="71">
        <v>0.65</v>
      </c>
      <c r="V60" s="71">
        <f>1.26/2</f>
        <v>0.63</v>
      </c>
      <c r="W60" s="71">
        <f>1.25/2</f>
        <v>0.625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5">
      <c r="A61" s="14" t="s">
        <v>52</v>
      </c>
      <c r="B61" s="20"/>
      <c r="C61" s="15">
        <v>0.85</v>
      </c>
      <c r="D61" s="15"/>
      <c r="E61" s="15"/>
      <c r="F61" s="71">
        <v>0.5</v>
      </c>
      <c r="G61" s="71">
        <f>0.95/2</f>
        <v>0.47499999999999998</v>
      </c>
      <c r="H61" s="71">
        <f>0.93/2</f>
        <v>0.46500000000000002</v>
      </c>
      <c r="I61" s="71">
        <f>0.87/2</f>
        <v>0.435</v>
      </c>
      <c r="J61" s="71">
        <f>0.8/2</f>
        <v>0.4</v>
      </c>
      <c r="K61" s="71">
        <f>0.85/2</f>
        <v>0.42499999999999999</v>
      </c>
      <c r="L61" s="71">
        <f>1.01/2</f>
        <v>0.505</v>
      </c>
      <c r="M61" s="71">
        <f>1.11/2</f>
        <v>0.55500000000000005</v>
      </c>
      <c r="N61" s="71">
        <f>0.99/2</f>
        <v>0.495</v>
      </c>
      <c r="O61" s="71">
        <f>1.22/2</f>
        <v>0.61</v>
      </c>
      <c r="P61" s="71">
        <f>1.29/2</f>
        <v>0.64500000000000002</v>
      </c>
      <c r="Q61" s="71">
        <v>0.65</v>
      </c>
      <c r="R61" s="71">
        <v>0.68</v>
      </c>
      <c r="S61" s="71"/>
      <c r="T61" s="71"/>
      <c r="U61" s="71"/>
      <c r="V61" s="71"/>
      <c r="W61" s="71"/>
      <c r="X61" s="71">
        <f>1.26/2</f>
        <v>0.63</v>
      </c>
      <c r="Y61" s="71">
        <v>0.75</v>
      </c>
      <c r="Z61" s="71">
        <v>0.71499999999999997</v>
      </c>
      <c r="AA61" s="71">
        <v>0.68500000000000005</v>
      </c>
      <c r="AB61" s="71">
        <v>0.61499999999999999</v>
      </c>
      <c r="AC61" s="71"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5">
      <c r="A62" s="14" t="s">
        <v>53</v>
      </c>
      <c r="B62" s="20"/>
      <c r="C62" s="15">
        <v>0.85</v>
      </c>
      <c r="D62" s="15"/>
      <c r="E62" s="15"/>
      <c r="F62" s="71">
        <v>0.5</v>
      </c>
      <c r="G62" s="71">
        <f>0.95/2</f>
        <v>0.47499999999999998</v>
      </c>
      <c r="H62" s="71">
        <f>0.93/2</f>
        <v>0.46500000000000002</v>
      </c>
      <c r="I62" s="71">
        <f>I61</f>
        <v>0.435</v>
      </c>
      <c r="J62" s="71">
        <f>J61</f>
        <v>0.4</v>
      </c>
      <c r="K62" s="71">
        <f>K61</f>
        <v>0.42499999999999999</v>
      </c>
      <c r="L62" s="71"/>
      <c r="M62" s="71"/>
      <c r="N62" s="71"/>
      <c r="O62" s="71"/>
      <c r="P62" s="71"/>
      <c r="Q62" s="71"/>
      <c r="R62" s="71"/>
      <c r="S62" s="71">
        <v>0.65500000000000003</v>
      </c>
      <c r="T62" s="71">
        <v>0.67500000000000004</v>
      </c>
      <c r="U62" s="71">
        <v>0.65</v>
      </c>
      <c r="V62" s="71">
        <f>1.26/2</f>
        <v>0.63</v>
      </c>
      <c r="W62" s="71">
        <f>1.25/2</f>
        <v>0.625</v>
      </c>
      <c r="X62" s="71">
        <f>1.26/2</f>
        <v>0.63</v>
      </c>
      <c r="Y62" s="71">
        <v>0.75</v>
      </c>
      <c r="Z62" s="71">
        <v>0.71499999999999997</v>
      </c>
      <c r="AA62" s="71">
        <v>0.68500000000000005</v>
      </c>
      <c r="AB62" s="71">
        <v>0.61499999999999999</v>
      </c>
      <c r="AC62" s="71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1">SUM(F60:F62)</f>
        <v>1</v>
      </c>
      <c r="G63" s="19">
        <f>SUM(G60:G62)</f>
        <v>0.95</v>
      </c>
      <c r="H63" s="19">
        <f>SUM(H60:H62)</f>
        <v>0.93</v>
      </c>
      <c r="I63" s="19">
        <f>SUM(I60:I62)</f>
        <v>0.87</v>
      </c>
      <c r="J63" s="19">
        <f t="shared" ref="J63:AC63" si="22">SUM(J60:J62)</f>
        <v>0.8</v>
      </c>
      <c r="K63" s="19">
        <f>SUM(K60:K62)</f>
        <v>0.85</v>
      </c>
      <c r="L63" s="19">
        <f t="shared" si="22"/>
        <v>1.01</v>
      </c>
      <c r="M63" s="19">
        <f t="shared" si="22"/>
        <v>1.1100000000000001</v>
      </c>
      <c r="N63" s="19">
        <f t="shared" si="22"/>
        <v>0.99</v>
      </c>
      <c r="O63" s="19">
        <f t="shared" si="22"/>
        <v>1.22</v>
      </c>
      <c r="P63" s="19">
        <f t="shared" si="22"/>
        <v>1.29</v>
      </c>
      <c r="Q63" s="19">
        <f t="shared" si="22"/>
        <v>1.3</v>
      </c>
      <c r="R63" s="19">
        <f t="shared" si="22"/>
        <v>1.36</v>
      </c>
      <c r="S63" s="19">
        <f t="shared" si="22"/>
        <v>1.31</v>
      </c>
      <c r="T63" s="19">
        <f t="shared" si="22"/>
        <v>1.35</v>
      </c>
      <c r="U63" s="19">
        <f>SUM(U60:U62)</f>
        <v>1.3</v>
      </c>
      <c r="V63" s="19">
        <f t="shared" si="22"/>
        <v>1.26</v>
      </c>
      <c r="W63" s="19">
        <f t="shared" si="22"/>
        <v>1.25</v>
      </c>
      <c r="X63" s="19">
        <f t="shared" si="22"/>
        <v>1.26</v>
      </c>
      <c r="Y63" s="19">
        <f t="shared" si="22"/>
        <v>1.5</v>
      </c>
      <c r="Z63" s="19">
        <f t="shared" si="22"/>
        <v>1.43</v>
      </c>
      <c r="AA63" s="19">
        <f t="shared" si="22"/>
        <v>1.37</v>
      </c>
      <c r="AB63" s="19">
        <f t="shared" si="22"/>
        <v>1.23</v>
      </c>
      <c r="AC63" s="19">
        <f t="shared" si="22"/>
        <v>1</v>
      </c>
      <c r="AD63" s="34"/>
      <c r="AE63" s="34"/>
      <c r="AF63" s="11"/>
      <c r="AG63" s="11"/>
      <c r="AH63" s="11"/>
    </row>
    <row r="64" spans="1:124" x14ac:dyDescent="0.25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98.589999999999961</v>
      </c>
    </row>
    <row r="65" spans="1:124" x14ac:dyDescent="0.25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>
        <v>0.72833333333333339</v>
      </c>
      <c r="T65" s="71">
        <v>0.73666666666666669</v>
      </c>
      <c r="U65" s="71">
        <f>4.7/6</f>
        <v>0.78333333333333333</v>
      </c>
      <c r="V65" s="71">
        <f>4.88/7</f>
        <v>0.69714285714285718</v>
      </c>
      <c r="W65" s="71">
        <v>0</v>
      </c>
      <c r="X65" s="71">
        <v>0</v>
      </c>
      <c r="Y65" s="71">
        <v>0</v>
      </c>
      <c r="Z65" s="71">
        <v>0</v>
      </c>
      <c r="AA65" s="71">
        <v>0</v>
      </c>
      <c r="AB65" s="71">
        <v>0</v>
      </c>
      <c r="AC65" s="71">
        <v>0</v>
      </c>
      <c r="AD65" s="35"/>
      <c r="AE65" s="35"/>
      <c r="AF65" s="11">
        <f t="shared" ref="AF65:AF73" si="23">COUNTIF(F65:AC65,$AF$11)</f>
        <v>0</v>
      </c>
      <c r="AG65" s="11">
        <f t="shared" ref="AG65:AG73" si="24">COUNTIF(G65:AC65,$AG$11)</f>
        <v>0</v>
      </c>
      <c r="AH65" s="11">
        <f t="shared" ref="AH65:AH73" si="25">COUNT(F65:AC65)</f>
        <v>11</v>
      </c>
    </row>
    <row r="66" spans="1:124" x14ac:dyDescent="0.25">
      <c r="A66" s="14" t="s">
        <v>56</v>
      </c>
      <c r="B66" s="15"/>
      <c r="C66" s="15">
        <v>0.85</v>
      </c>
      <c r="D66" s="15"/>
      <c r="E66" s="15"/>
      <c r="F66" s="71">
        <f>3.32/4</f>
        <v>0.83</v>
      </c>
      <c r="G66" s="71">
        <f>3.18/4</f>
        <v>0.79500000000000004</v>
      </c>
      <c r="H66" s="71">
        <f>3/4</f>
        <v>0.75</v>
      </c>
      <c r="I66" s="71">
        <f>2.9/4</f>
        <v>0.72499999999999998</v>
      </c>
      <c r="J66" s="71">
        <f>3/4</f>
        <v>0.75</v>
      </c>
      <c r="K66" s="71">
        <f>3.13/4</f>
        <v>0.78249999999999997</v>
      </c>
      <c r="L66" s="71">
        <f>3.46/4</f>
        <v>0.86499999999999999</v>
      </c>
      <c r="M66" s="71">
        <f>3.58/5</f>
        <v>0.71599999999999997</v>
      </c>
      <c r="N66" s="71">
        <f>3.64/5</f>
        <v>0.72799999999999998</v>
      </c>
      <c r="O66" s="71">
        <f>4.82/6</f>
        <v>0.80333333333333334</v>
      </c>
      <c r="P66" s="71">
        <f>4.85/6</f>
        <v>0.80833333333333324</v>
      </c>
      <c r="Q66" s="71">
        <v>0.80500000000000005</v>
      </c>
      <c r="R66" s="71">
        <v>0.75</v>
      </c>
      <c r="S66" s="71">
        <v>0.72833333333333339</v>
      </c>
      <c r="T66" s="71">
        <v>0.73666666666666669</v>
      </c>
      <c r="U66" s="71">
        <f t="shared" ref="U66:U67" si="26">4.7/6</f>
        <v>0.78333333333333333</v>
      </c>
      <c r="V66" s="71">
        <f t="shared" ref="V66:V70" si="27">4.88/7</f>
        <v>0.69714285714285718</v>
      </c>
      <c r="W66" s="71">
        <f>4.51/6</f>
        <v>0.75166666666666659</v>
      </c>
      <c r="X66" s="71">
        <f>4.36/6</f>
        <v>0.72666666666666668</v>
      </c>
      <c r="Y66" s="71">
        <f>4.79/6</f>
        <v>0.79833333333333334</v>
      </c>
      <c r="Z66" s="71">
        <f>4.79/6</f>
        <v>0.79833333333333334</v>
      </c>
      <c r="AA66" s="71">
        <f>4.79/6</f>
        <v>0.79833333333333334</v>
      </c>
      <c r="AB66" s="71">
        <f>4.79/6</f>
        <v>0.79833333333333334</v>
      </c>
      <c r="AC66" s="71">
        <f t="shared" ref="AC66:AC69" si="28">4.2/6</f>
        <v>0.70000000000000007</v>
      </c>
      <c r="AD66" s="35"/>
      <c r="AE66" s="35"/>
      <c r="AF66" s="11">
        <f t="shared" si="23"/>
        <v>0</v>
      </c>
      <c r="AG66" s="11">
        <f t="shared" si="24"/>
        <v>0</v>
      </c>
      <c r="AH66" s="11">
        <f t="shared" si="25"/>
        <v>24</v>
      </c>
    </row>
    <row r="67" spans="1:124" x14ac:dyDescent="0.25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>
        <f>3.58/5</f>
        <v>0.71599999999999997</v>
      </c>
      <c r="N67" s="71">
        <f>3.64/5</f>
        <v>0.72799999999999998</v>
      </c>
      <c r="O67" s="71">
        <f t="shared" ref="O67:O70" si="29">4.82/6</f>
        <v>0.80333333333333334</v>
      </c>
      <c r="P67" s="71">
        <f t="shared" ref="P67:P70" si="30">4.85/6</f>
        <v>0.80833333333333324</v>
      </c>
      <c r="Q67" s="71">
        <v>0.80500000000000005</v>
      </c>
      <c r="R67" s="71">
        <v>0.75</v>
      </c>
      <c r="S67" s="71">
        <v>0.72833333333333339</v>
      </c>
      <c r="T67" s="71">
        <v>0.73666666666666669</v>
      </c>
      <c r="U67" s="71">
        <f t="shared" si="26"/>
        <v>0.78333333333333333</v>
      </c>
      <c r="V67" s="71">
        <f t="shared" si="27"/>
        <v>0.69714285714285718</v>
      </c>
      <c r="W67" s="71">
        <f t="shared" ref="W67:W70" si="31">4.51/6</f>
        <v>0.75166666666666659</v>
      </c>
      <c r="X67" s="71">
        <f t="shared" ref="X67:X70" si="32">4.36/6</f>
        <v>0.72666666666666668</v>
      </c>
      <c r="Y67" s="71">
        <f t="shared" ref="Y67:Y70" si="33">4.79/6</f>
        <v>0.79833333333333334</v>
      </c>
      <c r="Z67" s="71">
        <f>4.79/6</f>
        <v>0.79833333333333334</v>
      </c>
      <c r="AA67" s="71">
        <f>4.79/6</f>
        <v>0.79833333333333334</v>
      </c>
      <c r="AB67" s="71">
        <f>4.79/6</f>
        <v>0.79833333333333334</v>
      </c>
      <c r="AC67" s="71">
        <f t="shared" si="28"/>
        <v>0.70000000000000007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5"/>
        <v>17</v>
      </c>
    </row>
    <row r="68" spans="1:124" x14ac:dyDescent="0.25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>
        <f t="shared" si="29"/>
        <v>0.80333333333333334</v>
      </c>
      <c r="P68" s="71">
        <f t="shared" si="30"/>
        <v>0.80833333333333324</v>
      </c>
      <c r="Q68" s="71">
        <v>0.80500000000000005</v>
      </c>
      <c r="R68" s="71">
        <v>0.75</v>
      </c>
      <c r="S68" s="71"/>
      <c r="T68" s="71"/>
      <c r="U68" s="71"/>
      <c r="V68" s="71">
        <f t="shared" si="27"/>
        <v>0.69714285714285718</v>
      </c>
      <c r="W68" s="71">
        <f t="shared" si="31"/>
        <v>0.75166666666666659</v>
      </c>
      <c r="X68" s="71">
        <f t="shared" si="32"/>
        <v>0.72666666666666668</v>
      </c>
      <c r="Y68" s="71">
        <f t="shared" si="33"/>
        <v>0.79833333333333334</v>
      </c>
      <c r="Z68" s="71">
        <f t="shared" ref="Z68:AA70" si="34">4.79/6</f>
        <v>0.79833333333333334</v>
      </c>
      <c r="AA68" s="71">
        <f t="shared" si="34"/>
        <v>0.79833333333333334</v>
      </c>
      <c r="AB68" s="71">
        <v>0.7</v>
      </c>
      <c r="AC68" s="71">
        <f t="shared" si="28"/>
        <v>0.70000000000000007</v>
      </c>
      <c r="AD68" s="35"/>
      <c r="AE68" s="35"/>
      <c r="AF68" s="11">
        <f t="shared" si="23"/>
        <v>0</v>
      </c>
      <c r="AG68" s="11">
        <f t="shared" si="24"/>
        <v>0</v>
      </c>
      <c r="AH68" s="11">
        <f t="shared" si="25"/>
        <v>12</v>
      </c>
      <c r="AI68" s="5"/>
      <c r="AJ68" s="5"/>
      <c r="AK68" s="5"/>
      <c r="AL68" s="5"/>
    </row>
    <row r="69" spans="1:124" x14ac:dyDescent="0.25">
      <c r="A69" s="14" t="s">
        <v>59</v>
      </c>
      <c r="B69" s="15"/>
      <c r="C69" s="15">
        <v>0.85</v>
      </c>
      <c r="D69" s="15"/>
      <c r="E69" s="15"/>
      <c r="F69" s="71">
        <f>3.32/4</f>
        <v>0.83</v>
      </c>
      <c r="G69" s="71">
        <f>3.18/4</f>
        <v>0.79500000000000004</v>
      </c>
      <c r="H69" s="71">
        <f>3/4</f>
        <v>0.75</v>
      </c>
      <c r="I69" s="71">
        <f t="shared" ref="I69:I70" si="35">2.9/4</f>
        <v>0.72499999999999998</v>
      </c>
      <c r="J69" s="71">
        <f>3/4</f>
        <v>0.75</v>
      </c>
      <c r="K69" s="71">
        <f t="shared" ref="K69:K70" si="36">3.13/4</f>
        <v>0.78249999999999997</v>
      </c>
      <c r="L69" s="71">
        <f t="shared" ref="L69:L70" si="37">3.46/4</f>
        <v>0.86499999999999999</v>
      </c>
      <c r="M69" s="71">
        <f t="shared" ref="M69:M70" si="38">3.58/5</f>
        <v>0.71599999999999997</v>
      </c>
      <c r="N69" s="71">
        <f t="shared" ref="N69:N70" si="39">3.64/5</f>
        <v>0.72799999999999998</v>
      </c>
      <c r="O69" s="71">
        <f t="shared" si="29"/>
        <v>0.80333333333333334</v>
      </c>
      <c r="P69" s="71">
        <f t="shared" si="30"/>
        <v>0.80833333333333324</v>
      </c>
      <c r="Q69" s="71">
        <v>0.80500000000000005</v>
      </c>
      <c r="R69" s="71">
        <v>0.75</v>
      </c>
      <c r="S69" s="71">
        <v>0.72833333333333339</v>
      </c>
      <c r="T69" s="71">
        <v>0.73666666666666669</v>
      </c>
      <c r="U69" s="71">
        <f t="shared" ref="U69:U70" si="40">4.7/6</f>
        <v>0.78333333333333333</v>
      </c>
      <c r="V69" s="71">
        <f t="shared" si="27"/>
        <v>0.69714285714285718</v>
      </c>
      <c r="W69" s="71">
        <f t="shared" si="31"/>
        <v>0.75166666666666659</v>
      </c>
      <c r="X69" s="71">
        <f t="shared" si="32"/>
        <v>0.72666666666666668</v>
      </c>
      <c r="Y69" s="71">
        <f t="shared" si="33"/>
        <v>0.79833333333333334</v>
      </c>
      <c r="Z69" s="71">
        <f t="shared" si="34"/>
        <v>0.79833333333333334</v>
      </c>
      <c r="AA69" s="71">
        <f t="shared" si="34"/>
        <v>0.79833333333333334</v>
      </c>
      <c r="AB69" s="71">
        <v>0.7</v>
      </c>
      <c r="AC69" s="71">
        <f t="shared" si="28"/>
        <v>0.70000000000000007</v>
      </c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24</v>
      </c>
    </row>
    <row r="70" spans="1:124" x14ac:dyDescent="0.25">
      <c r="A70" s="14" t="s">
        <v>60</v>
      </c>
      <c r="B70" s="15"/>
      <c r="C70" s="15">
        <v>0.85</v>
      </c>
      <c r="D70" s="15"/>
      <c r="E70" s="15"/>
      <c r="F70" s="71">
        <f>3.32/4</f>
        <v>0.83</v>
      </c>
      <c r="G70" s="71">
        <f>3.18/4</f>
        <v>0.79500000000000004</v>
      </c>
      <c r="H70" s="71">
        <f>3/4</f>
        <v>0.75</v>
      </c>
      <c r="I70" s="71">
        <f t="shared" si="35"/>
        <v>0.72499999999999998</v>
      </c>
      <c r="J70" s="71">
        <f>3/4</f>
        <v>0.75</v>
      </c>
      <c r="K70" s="71">
        <f t="shared" si="36"/>
        <v>0.78249999999999997</v>
      </c>
      <c r="L70" s="71">
        <f t="shared" si="37"/>
        <v>0.86499999999999999</v>
      </c>
      <c r="M70" s="71">
        <f t="shared" si="38"/>
        <v>0.71599999999999997</v>
      </c>
      <c r="N70" s="71">
        <f t="shared" si="39"/>
        <v>0.72799999999999998</v>
      </c>
      <c r="O70" s="71">
        <f t="shared" si="29"/>
        <v>0.80333333333333334</v>
      </c>
      <c r="P70" s="71">
        <f t="shared" si="30"/>
        <v>0.80833333333333324</v>
      </c>
      <c r="Q70" s="71">
        <v>0.80500000000000005</v>
      </c>
      <c r="R70" s="71">
        <v>0.75</v>
      </c>
      <c r="S70" s="71">
        <v>0.72833333333333339</v>
      </c>
      <c r="T70" s="71">
        <v>0.73666666666666669</v>
      </c>
      <c r="U70" s="71">
        <f t="shared" si="40"/>
        <v>0.78333333333333333</v>
      </c>
      <c r="V70" s="71">
        <f t="shared" si="27"/>
        <v>0.69714285714285718</v>
      </c>
      <c r="W70" s="71">
        <f t="shared" si="31"/>
        <v>0.75166666666666659</v>
      </c>
      <c r="X70" s="71">
        <f t="shared" si="32"/>
        <v>0.72666666666666668</v>
      </c>
      <c r="Y70" s="71">
        <f t="shared" si="33"/>
        <v>0.79833333333333334</v>
      </c>
      <c r="Z70" s="71">
        <f t="shared" si="34"/>
        <v>0.79833333333333334</v>
      </c>
      <c r="AA70" s="71">
        <f t="shared" si="34"/>
        <v>0.79833333333333334</v>
      </c>
      <c r="AB70" s="71">
        <v>0.7</v>
      </c>
      <c r="AC70" s="71">
        <f>4.2/6</f>
        <v>0.70000000000000007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24</v>
      </c>
    </row>
    <row r="71" spans="1:124" x14ac:dyDescent="0.25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 x14ac:dyDescent="0.25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3"/>
        <v>24</v>
      </c>
      <c r="AG72" s="11">
        <f t="shared" si="24"/>
        <v>0</v>
      </c>
      <c r="AH72" s="11">
        <f t="shared" si="25"/>
        <v>0</v>
      </c>
    </row>
    <row r="73" spans="1:124" ht="14.25" customHeight="1" x14ac:dyDescent="0.25">
      <c r="A73" s="14" t="s">
        <v>63</v>
      </c>
      <c r="B73" s="9"/>
      <c r="C73" s="15">
        <v>0.85</v>
      </c>
      <c r="D73" s="15"/>
      <c r="E73" s="15"/>
      <c r="F73" s="71">
        <f>3.32/4</f>
        <v>0.83</v>
      </c>
      <c r="G73" s="71">
        <f>3.18/4</f>
        <v>0.79500000000000004</v>
      </c>
      <c r="H73" s="71">
        <f>3/4</f>
        <v>0.75</v>
      </c>
      <c r="I73" s="71">
        <f>2.9/4</f>
        <v>0.72499999999999998</v>
      </c>
      <c r="J73" s="71">
        <f>3/4</f>
        <v>0.75</v>
      </c>
      <c r="K73" s="71">
        <f>3.13/4</f>
        <v>0.78249999999999997</v>
      </c>
      <c r="L73" s="71">
        <f>3.46/4</f>
        <v>0.86499999999999999</v>
      </c>
      <c r="M73" s="71">
        <f>3.58/5</f>
        <v>0.71599999999999997</v>
      </c>
      <c r="N73" s="71">
        <f>3.64/5</f>
        <v>0.72799999999999998</v>
      </c>
      <c r="O73" s="71">
        <f>4.82/6</f>
        <v>0.80333333333333334</v>
      </c>
      <c r="P73" s="71">
        <f>4.85/6</f>
        <v>0.80833333333333324</v>
      </c>
      <c r="Q73" s="71">
        <v>0.80500000000000005</v>
      </c>
      <c r="R73" s="71">
        <v>0.75</v>
      </c>
      <c r="S73" s="71">
        <v>0.72833333333333339</v>
      </c>
      <c r="T73" s="71">
        <v>0.73666666666666669</v>
      </c>
      <c r="U73" s="71">
        <f>4.7/6</f>
        <v>0.78333333333333333</v>
      </c>
      <c r="V73" s="71">
        <f>4.88/7</f>
        <v>0.69714285714285718</v>
      </c>
      <c r="W73" s="71">
        <f t="shared" ref="W73" si="41">4.51/6</f>
        <v>0.75166666666666659</v>
      </c>
      <c r="X73" s="71">
        <f t="shared" ref="X73" si="42">4.36/6</f>
        <v>0.72666666666666668</v>
      </c>
      <c r="Y73" s="71">
        <f>4.79/6</f>
        <v>0.79833333333333334</v>
      </c>
      <c r="Z73" s="71">
        <v>0.86</v>
      </c>
      <c r="AA73" s="71">
        <v>0.81</v>
      </c>
      <c r="AB73" s="71">
        <v>0.8</v>
      </c>
      <c r="AC73" s="71">
        <v>0.7</v>
      </c>
      <c r="AD73" s="31"/>
      <c r="AE73" s="31"/>
      <c r="AF73" s="11">
        <f t="shared" si="23"/>
        <v>0</v>
      </c>
      <c r="AG73" s="11">
        <f t="shared" si="24"/>
        <v>0</v>
      </c>
      <c r="AH73" s="11">
        <f t="shared" si="25"/>
        <v>24</v>
      </c>
    </row>
    <row r="74" spans="1:124" x14ac:dyDescent="0.25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43">SUM(F65:F73)</f>
        <v>3.32</v>
      </c>
      <c r="G74" s="19">
        <f t="shared" ref="G74:AC74" si="44">SUM(G65:G73)</f>
        <v>3.18</v>
      </c>
      <c r="H74" s="19">
        <f t="shared" si="44"/>
        <v>3</v>
      </c>
      <c r="I74" s="19">
        <f t="shared" si="44"/>
        <v>2.9</v>
      </c>
      <c r="J74" s="19">
        <f t="shared" si="44"/>
        <v>3</v>
      </c>
      <c r="K74" s="19">
        <f t="shared" si="44"/>
        <v>3.13</v>
      </c>
      <c r="L74" s="19">
        <f>SUM(L65:L73)</f>
        <v>3.46</v>
      </c>
      <c r="M74" s="19">
        <f t="shared" si="44"/>
        <v>3.58</v>
      </c>
      <c r="N74" s="19">
        <f t="shared" si="44"/>
        <v>3.6399999999999997</v>
      </c>
      <c r="O74" s="19">
        <f t="shared" si="44"/>
        <v>4.82</v>
      </c>
      <c r="P74" s="19">
        <f t="shared" si="44"/>
        <v>4.8499999999999996</v>
      </c>
      <c r="Q74" s="19">
        <f t="shared" si="44"/>
        <v>4.83</v>
      </c>
      <c r="R74" s="19">
        <f t="shared" si="44"/>
        <v>4.5</v>
      </c>
      <c r="S74" s="19">
        <f t="shared" si="44"/>
        <v>4.37</v>
      </c>
      <c r="T74" s="19">
        <f t="shared" si="44"/>
        <v>4.42</v>
      </c>
      <c r="U74" s="19">
        <f t="shared" si="44"/>
        <v>4.7</v>
      </c>
      <c r="V74" s="19">
        <f t="shared" si="44"/>
        <v>4.8800000000000008</v>
      </c>
      <c r="W74" s="19">
        <f t="shared" si="44"/>
        <v>4.51</v>
      </c>
      <c r="X74" s="19">
        <f t="shared" si="44"/>
        <v>4.3600000000000003</v>
      </c>
      <c r="Y74" s="19">
        <f t="shared" si="44"/>
        <v>4.79</v>
      </c>
      <c r="Z74" s="19">
        <f t="shared" si="44"/>
        <v>4.8516666666666666</v>
      </c>
      <c r="AA74" s="19">
        <f t="shared" si="44"/>
        <v>4.8016666666666667</v>
      </c>
      <c r="AB74" s="19">
        <f t="shared" si="44"/>
        <v>4.496666666666667</v>
      </c>
      <c r="AC74" s="19">
        <f t="shared" si="44"/>
        <v>4.2</v>
      </c>
      <c r="AD74" s="34"/>
      <c r="AE74" s="34"/>
      <c r="AF74" s="11"/>
      <c r="AG74" s="11"/>
      <c r="AH74" s="11"/>
    </row>
    <row r="75" spans="1:124" x14ac:dyDescent="0.25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19.400000000000006</v>
      </c>
    </row>
    <row r="76" spans="1:124" x14ac:dyDescent="0.25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>
        <v>0.74</v>
      </c>
      <c r="O76" s="71">
        <v>0.76</v>
      </c>
      <c r="P76" s="71">
        <v>0.84</v>
      </c>
      <c r="Q76" s="71">
        <v>0.86</v>
      </c>
      <c r="R76" s="71">
        <v>0.88</v>
      </c>
      <c r="S76" s="71">
        <v>0.9</v>
      </c>
      <c r="T76" s="71">
        <v>0.91</v>
      </c>
      <c r="U76" s="71">
        <v>0.92</v>
      </c>
      <c r="V76" s="71">
        <v>0.9</v>
      </c>
      <c r="W76" s="71">
        <v>0.88</v>
      </c>
      <c r="X76" s="71">
        <v>0.92</v>
      </c>
      <c r="Y76" s="71">
        <v>0</v>
      </c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5">
      <c r="A77" s="14" t="s">
        <v>66</v>
      </c>
      <c r="B77" s="20"/>
      <c r="C77" s="15">
        <v>1</v>
      </c>
      <c r="D77" s="15"/>
      <c r="E77" s="15"/>
      <c r="F77" s="71">
        <v>0.8</v>
      </c>
      <c r="G77" s="71">
        <v>0.78</v>
      </c>
      <c r="H77" s="71">
        <v>0.74</v>
      </c>
      <c r="I77" s="71">
        <v>0.73</v>
      </c>
      <c r="J77" s="71">
        <v>0.72</v>
      </c>
      <c r="K77" s="71">
        <v>0.79</v>
      </c>
      <c r="L77" s="71">
        <v>0.81</v>
      </c>
      <c r="M77" s="71">
        <v>0.79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/>
      <c r="Z77" s="71">
        <v>1</v>
      </c>
      <c r="AA77" s="71">
        <v>0.96</v>
      </c>
      <c r="AB77" s="71">
        <v>0.91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5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45">SUM(F76:F77)</f>
        <v>0.8</v>
      </c>
      <c r="G78" s="19">
        <f>SUM(G76:G77)</f>
        <v>0.78</v>
      </c>
      <c r="H78" s="19">
        <f>SUM(H76:H77)</f>
        <v>0.74</v>
      </c>
      <c r="I78" s="19">
        <f>SUM(I76:I77)</f>
        <v>0.73</v>
      </c>
      <c r="J78" s="19">
        <f t="shared" ref="J78:AC78" si="46">SUM(J76:J77)</f>
        <v>0.72</v>
      </c>
      <c r="K78" s="19">
        <f t="shared" si="46"/>
        <v>0.79</v>
      </c>
      <c r="L78" s="19">
        <f>SUM(L76:L77)</f>
        <v>0.81</v>
      </c>
      <c r="M78" s="19">
        <f t="shared" si="46"/>
        <v>0.79</v>
      </c>
      <c r="N78" s="19">
        <f t="shared" si="46"/>
        <v>0.74</v>
      </c>
      <c r="O78" s="19">
        <f>SUM(O76:O77)</f>
        <v>0.76</v>
      </c>
      <c r="P78" s="19">
        <f t="shared" si="46"/>
        <v>0.84</v>
      </c>
      <c r="Q78" s="19">
        <f t="shared" si="46"/>
        <v>0.86</v>
      </c>
      <c r="R78" s="19">
        <f t="shared" si="46"/>
        <v>0.88</v>
      </c>
      <c r="S78" s="19">
        <f t="shared" si="46"/>
        <v>0.9</v>
      </c>
      <c r="T78" s="19">
        <f t="shared" si="46"/>
        <v>0.91</v>
      </c>
      <c r="U78" s="19">
        <f t="shared" si="46"/>
        <v>0.92</v>
      </c>
      <c r="V78" s="19">
        <f t="shared" si="46"/>
        <v>0.9</v>
      </c>
      <c r="W78" s="19">
        <f t="shared" si="46"/>
        <v>0.88</v>
      </c>
      <c r="X78" s="19">
        <f t="shared" si="46"/>
        <v>0.92</v>
      </c>
      <c r="Y78" s="19">
        <f t="shared" si="46"/>
        <v>0</v>
      </c>
      <c r="Z78" s="19">
        <f t="shared" si="46"/>
        <v>1</v>
      </c>
      <c r="AA78" s="19">
        <f t="shared" si="46"/>
        <v>0.96</v>
      </c>
      <c r="AB78" s="19">
        <f t="shared" si="46"/>
        <v>0.91</v>
      </c>
      <c r="AC78" s="19">
        <f t="shared" si="46"/>
        <v>0.86</v>
      </c>
      <c r="AD78" s="34"/>
      <c r="AE78" s="34"/>
      <c r="AF78" s="11"/>
      <c r="AG78" s="11"/>
      <c r="AH78" s="11"/>
    </row>
    <row r="79" spans="1:124" ht="18" x14ac:dyDescent="0.25">
      <c r="A79" s="373" t="s">
        <v>1129</v>
      </c>
      <c r="B79" s="372"/>
      <c r="C79" s="374">
        <v>2</v>
      </c>
      <c r="D79" s="370"/>
      <c r="E79" s="370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371"/>
      <c r="V79" s="371"/>
      <c r="W79" s="371"/>
      <c r="X79" s="371"/>
      <c r="Y79" s="371"/>
      <c r="Z79" s="371"/>
      <c r="AA79" s="371"/>
      <c r="AB79" s="371"/>
      <c r="AC79" s="371"/>
    </row>
    <row r="80" spans="1:124" ht="18" x14ac:dyDescent="0.25">
      <c r="A80" s="375"/>
      <c r="B80" s="376"/>
      <c r="C80" s="377"/>
      <c r="D80" s="378"/>
      <c r="E80" s="378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>
        <v>1.597</v>
      </c>
      <c r="R80" s="19">
        <v>1.6</v>
      </c>
      <c r="S80" s="19">
        <v>1.6</v>
      </c>
      <c r="T80" s="19">
        <v>1.71</v>
      </c>
      <c r="U80" s="19">
        <v>1.6819999999999999</v>
      </c>
      <c r="V80" s="19">
        <v>1.722</v>
      </c>
      <c r="W80" s="19">
        <v>1.6779999999999999</v>
      </c>
      <c r="X80" s="19">
        <v>1.7010000000000001</v>
      </c>
      <c r="Y80" s="19">
        <v>1.69</v>
      </c>
      <c r="Z80" s="19"/>
      <c r="AA80" s="19"/>
      <c r="AB80" s="19"/>
      <c r="AC80" s="19"/>
    </row>
    <row r="81" spans="1:40" x14ac:dyDescent="0.25">
      <c r="A81" s="21" t="s">
        <v>67</v>
      </c>
      <c r="B81" s="28">
        <f>SUM(B17,B22,B29,B32,B58,B63,B74)</f>
        <v>0</v>
      </c>
      <c r="C81" s="28">
        <f>SUM(C17,C22,C29,C32,C58,C63,C74)</f>
        <v>83.299999999999983</v>
      </c>
      <c r="D81" s="28"/>
      <c r="E81" s="28"/>
      <c r="F81" s="28">
        <f t="shared" ref="F81:AC81" si="47">SUM(F17,F22,F25,F29,F32,F58,F63,F74,F78,F80)</f>
        <v>36.82</v>
      </c>
      <c r="G81" s="28">
        <f t="shared" si="47"/>
        <v>38.010000000000005</v>
      </c>
      <c r="H81" s="28">
        <f t="shared" si="47"/>
        <v>35.67</v>
      </c>
      <c r="I81" s="28">
        <f t="shared" si="47"/>
        <v>35.299999999999997</v>
      </c>
      <c r="J81" s="28">
        <f t="shared" si="47"/>
        <v>35.22</v>
      </c>
      <c r="K81" s="28">
        <f t="shared" si="47"/>
        <v>36.67</v>
      </c>
      <c r="L81" s="28">
        <f t="shared" si="47"/>
        <v>40.28</v>
      </c>
      <c r="M81" s="28">
        <f t="shared" si="47"/>
        <v>40.85</v>
      </c>
      <c r="N81" s="28">
        <f t="shared" si="47"/>
        <v>42.57</v>
      </c>
      <c r="O81" s="28">
        <f t="shared" si="47"/>
        <v>52.999999999999993</v>
      </c>
      <c r="P81" s="28">
        <f t="shared" si="47"/>
        <v>58.38</v>
      </c>
      <c r="Q81" s="28">
        <f t="shared" si="47"/>
        <v>59.286999999999999</v>
      </c>
      <c r="R81" s="28">
        <f t="shared" si="47"/>
        <v>58.640000000000008</v>
      </c>
      <c r="S81" s="28">
        <f t="shared" si="47"/>
        <v>58.48</v>
      </c>
      <c r="T81" s="28">
        <f t="shared" si="47"/>
        <v>61.163863636363637</v>
      </c>
      <c r="U81" s="28">
        <f t="shared" si="47"/>
        <v>61.000181818181829</v>
      </c>
      <c r="V81" s="28">
        <f t="shared" si="47"/>
        <v>60.861999999999995</v>
      </c>
      <c r="W81" s="28">
        <f t="shared" si="47"/>
        <v>58.517999999999994</v>
      </c>
      <c r="X81" s="28">
        <f t="shared" si="47"/>
        <v>55.741</v>
      </c>
      <c r="Y81" s="28">
        <f t="shared" si="47"/>
        <v>59.98</v>
      </c>
      <c r="Z81" s="28">
        <f t="shared" si="47"/>
        <v>57.181666666666658</v>
      </c>
      <c r="AA81" s="28">
        <f t="shared" si="47"/>
        <v>54.881666666666668</v>
      </c>
      <c r="AB81" s="28">
        <f t="shared" si="47"/>
        <v>49.836666666666666</v>
      </c>
      <c r="AC81" s="28">
        <f t="shared" si="47"/>
        <v>45.26</v>
      </c>
      <c r="AD81" s="42"/>
      <c r="AE81" s="42"/>
      <c r="AF81" s="11"/>
      <c r="AG81" s="11"/>
      <c r="AH81" s="11"/>
    </row>
    <row r="82" spans="1:40" ht="15" x14ac:dyDescent="0.25">
      <c r="A82" s="5"/>
      <c r="B82" s="5"/>
      <c r="C82" s="22"/>
      <c r="D82" s="22"/>
      <c r="E82" s="22"/>
      <c r="F82" s="155"/>
      <c r="G82" s="155"/>
      <c r="H82" s="155"/>
      <c r="I82" s="155"/>
      <c r="J82" s="155"/>
      <c r="K82" s="155"/>
      <c r="L82" s="155"/>
      <c r="M82" s="155"/>
      <c r="N82" s="155"/>
      <c r="O82" s="155"/>
      <c r="P82" s="155"/>
      <c r="Q82" s="155"/>
      <c r="R82" s="155"/>
      <c r="S82" s="155"/>
      <c r="T82" s="155"/>
      <c r="U82" s="155"/>
      <c r="V82" s="155"/>
      <c r="W82" s="155"/>
      <c r="X82" s="155"/>
      <c r="Y82" s="155"/>
      <c r="Z82" s="155"/>
      <c r="AA82" s="155"/>
      <c r="AB82" s="155"/>
      <c r="AC82" s="155"/>
      <c r="AD82" s="22"/>
      <c r="AE82" s="22"/>
      <c r="AF82" s="22"/>
      <c r="AG82" s="22"/>
      <c r="AH82" s="22"/>
    </row>
    <row r="83" spans="1:40" ht="14.85" customHeight="1" x14ac:dyDescent="0.25">
      <c r="A83" s="404" t="s">
        <v>68</v>
      </c>
      <c r="B83" s="404"/>
      <c r="C83" s="404"/>
      <c r="D83" s="404"/>
      <c r="E83" s="404"/>
      <c r="F83" s="404"/>
      <c r="G83" s="404"/>
      <c r="H83" s="404"/>
      <c r="I83" s="404"/>
      <c r="J83" s="404"/>
      <c r="K83" s="404"/>
      <c r="L83" s="404"/>
      <c r="M83" s="404"/>
      <c r="N83" s="404"/>
      <c r="O83" s="404"/>
      <c r="P83" s="404"/>
      <c r="Q83" s="404"/>
      <c r="R83" s="404"/>
      <c r="S83" s="404"/>
      <c r="T83" s="404"/>
      <c r="U83" s="404"/>
      <c r="V83" s="404"/>
      <c r="W83" s="404"/>
      <c r="X83" s="404"/>
      <c r="Y83" s="404"/>
      <c r="Z83" s="404"/>
      <c r="AA83" s="404"/>
      <c r="AB83" s="404"/>
      <c r="AC83" s="404"/>
      <c r="AD83" s="22"/>
      <c r="AE83" s="22"/>
      <c r="AF83" s="22"/>
      <c r="AG83" s="22"/>
      <c r="AH83" s="22"/>
    </row>
    <row r="84" spans="1:40" ht="15" x14ac:dyDescent="0.25">
      <c r="A84" s="5"/>
      <c r="B84" s="5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</row>
    <row r="85" spans="1:40" ht="18" x14ac:dyDescent="0.25">
      <c r="A85" s="405" t="s">
        <v>69</v>
      </c>
      <c r="B85" s="406"/>
      <c r="C85" s="407"/>
      <c r="D85" s="49"/>
      <c r="E85" s="49"/>
      <c r="F85" s="411" t="s">
        <v>70</v>
      </c>
      <c r="G85" s="411"/>
      <c r="H85" s="411"/>
      <c r="I85" s="411"/>
      <c r="J85" s="411"/>
      <c r="K85" s="411"/>
      <c r="L85" s="411"/>
      <c r="M85" s="411"/>
      <c r="N85" s="411"/>
      <c r="O85" s="411"/>
      <c r="P85" s="411"/>
      <c r="Q85" s="411"/>
      <c r="R85" s="411"/>
      <c r="S85" s="411"/>
      <c r="T85" s="411"/>
      <c r="U85" s="411"/>
      <c r="V85" s="411"/>
      <c r="W85" s="411"/>
      <c r="X85" s="411"/>
      <c r="Y85" s="411"/>
      <c r="Z85" s="411"/>
      <c r="AA85" s="411"/>
      <c r="AB85" s="411"/>
      <c r="AC85" s="411"/>
      <c r="AD85" s="5"/>
      <c r="AE85" s="5"/>
      <c r="AF85" s="5"/>
      <c r="AG85" s="5"/>
      <c r="AH85" s="5"/>
    </row>
    <row r="86" spans="1:40" ht="15.6" customHeight="1" x14ac:dyDescent="0.25">
      <c r="A86" s="408"/>
      <c r="B86" s="409"/>
      <c r="C86" s="410"/>
      <c r="D86" s="50"/>
      <c r="E86" s="50"/>
      <c r="F86" s="43">
        <v>0</v>
      </c>
      <c r="G86" s="43">
        <v>4.1666666666666699E-2</v>
      </c>
      <c r="H86" s="43">
        <v>8.3333333333333301E-2</v>
      </c>
      <c r="I86" s="43">
        <v>0.125</v>
      </c>
      <c r="J86" s="43">
        <v>0.16666666666666699</v>
      </c>
      <c r="K86" s="43">
        <v>0.20833333333333301</v>
      </c>
      <c r="L86" s="43">
        <v>0.25</v>
      </c>
      <c r="M86" s="43">
        <v>0.29166666666666702</v>
      </c>
      <c r="N86" s="43">
        <v>0.33333333333333398</v>
      </c>
      <c r="O86" s="43">
        <v>0.375</v>
      </c>
      <c r="P86" s="43">
        <v>0.41666666666666702</v>
      </c>
      <c r="Q86" s="43">
        <v>0.45833333333333398</v>
      </c>
      <c r="R86" s="43">
        <v>0.5</v>
      </c>
      <c r="S86" s="43">
        <v>0.54166666666666696</v>
      </c>
      <c r="T86" s="43">
        <v>0.58333333333333404</v>
      </c>
      <c r="U86" s="43">
        <v>0.625</v>
      </c>
      <c r="V86" s="43">
        <v>0.66666666666666696</v>
      </c>
      <c r="W86" s="43">
        <v>0.70833333333333404</v>
      </c>
      <c r="X86" s="43">
        <v>0.750000000000001</v>
      </c>
      <c r="Y86" s="43">
        <v>0.79166666666666696</v>
      </c>
      <c r="Z86" s="43">
        <v>0.83333333333333337</v>
      </c>
      <c r="AA86" s="43">
        <v>0.875000000000001</v>
      </c>
      <c r="AB86" s="43">
        <v>0.91666666666666696</v>
      </c>
      <c r="AC86" s="43">
        <v>0.95833333333333404</v>
      </c>
      <c r="AD86" s="37"/>
      <c r="AE86" s="37"/>
      <c r="AG86" s="5"/>
      <c r="AH86" s="5"/>
      <c r="AI86" s="5"/>
      <c r="AJ86" s="5"/>
      <c r="AK86" s="5"/>
      <c r="AL86" s="5"/>
      <c r="AM86" s="5"/>
      <c r="AN86" s="5"/>
    </row>
    <row r="87" spans="1:40" ht="18" x14ac:dyDescent="0.25">
      <c r="A87" s="399" t="s">
        <v>27</v>
      </c>
      <c r="B87" s="400"/>
      <c r="C87" s="401"/>
      <c r="D87" s="45"/>
      <c r="E87" s="45"/>
      <c r="F87" s="64">
        <f t="shared" ref="F87:AC87" si="48">SUM(F22,F25)</f>
        <v>3.2</v>
      </c>
      <c r="G87" s="64">
        <f t="shared" si="48"/>
        <v>3.2</v>
      </c>
      <c r="H87" s="64">
        <f t="shared" si="48"/>
        <v>3.2</v>
      </c>
      <c r="I87" s="64">
        <f t="shared" si="48"/>
        <v>3.2</v>
      </c>
      <c r="J87" s="64">
        <f t="shared" si="48"/>
        <v>3.2</v>
      </c>
      <c r="K87" s="64">
        <f t="shared" si="48"/>
        <v>3.2</v>
      </c>
      <c r="L87" s="64">
        <f t="shared" si="48"/>
        <v>3.2</v>
      </c>
      <c r="M87" s="64">
        <f t="shared" si="48"/>
        <v>3.2</v>
      </c>
      <c r="N87" s="64">
        <f t="shared" si="48"/>
        <v>3.7</v>
      </c>
      <c r="O87" s="64">
        <f t="shared" si="48"/>
        <v>5.8000000000000007</v>
      </c>
      <c r="P87" s="64">
        <f t="shared" si="48"/>
        <v>7</v>
      </c>
      <c r="Q87" s="64">
        <f t="shared" si="48"/>
        <v>7</v>
      </c>
      <c r="R87" s="64">
        <f t="shared" si="48"/>
        <v>7</v>
      </c>
      <c r="S87" s="64">
        <f t="shared" si="48"/>
        <v>7</v>
      </c>
      <c r="T87" s="64">
        <f t="shared" si="48"/>
        <v>7</v>
      </c>
      <c r="U87" s="64">
        <f t="shared" si="48"/>
        <v>3.8</v>
      </c>
      <c r="V87" s="64">
        <f t="shared" si="48"/>
        <v>3.8</v>
      </c>
      <c r="W87" s="64">
        <f t="shared" si="48"/>
        <v>3.8</v>
      </c>
      <c r="X87" s="64">
        <f t="shared" si="48"/>
        <v>3.8</v>
      </c>
      <c r="Y87" s="64">
        <f t="shared" si="48"/>
        <v>3.8</v>
      </c>
      <c r="Z87" s="64">
        <f t="shared" si="48"/>
        <v>3.8</v>
      </c>
      <c r="AA87" s="64">
        <f t="shared" si="48"/>
        <v>3.8</v>
      </c>
      <c r="AB87" s="64">
        <f>SUM(AB22,AB25)</f>
        <v>3.8</v>
      </c>
      <c r="AC87" s="64">
        <f t="shared" si="48"/>
        <v>3.8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413" t="s">
        <v>71</v>
      </c>
      <c r="B88" s="413"/>
      <c r="C88" s="414"/>
      <c r="D88" s="45"/>
      <c r="E88" s="45"/>
      <c r="F88" s="68" t="s">
        <v>1</v>
      </c>
      <c r="G88" s="68" t="s">
        <v>1</v>
      </c>
      <c r="H88" s="68" t="s">
        <v>1</v>
      </c>
      <c r="I88" s="68" t="s">
        <v>1</v>
      </c>
      <c r="J88" s="68" t="s">
        <v>1</v>
      </c>
      <c r="K88" s="68" t="s">
        <v>1</v>
      </c>
      <c r="L88" s="68" t="s">
        <v>1</v>
      </c>
      <c r="M88" s="68" t="s">
        <v>1</v>
      </c>
      <c r="N88" s="68">
        <v>0.21199999999999999</v>
      </c>
      <c r="O88" s="68">
        <v>0.24299999999999999</v>
      </c>
      <c r="P88" s="68">
        <v>0.19400000000000001</v>
      </c>
      <c r="Q88" s="68">
        <v>0.24</v>
      </c>
      <c r="R88" s="68">
        <v>0.25</v>
      </c>
      <c r="S88" s="68">
        <v>0.25600000000000001</v>
      </c>
      <c r="T88" s="68">
        <v>0.26400000000000001</v>
      </c>
      <c r="U88" s="68">
        <v>0.21</v>
      </c>
      <c r="V88" s="68">
        <v>0.224</v>
      </c>
      <c r="W88" s="68">
        <v>0.27</v>
      </c>
      <c r="X88" s="68">
        <v>0.17399999999999999</v>
      </c>
      <c r="Y88" s="68">
        <v>0.22</v>
      </c>
      <c r="Z88" s="68">
        <v>0.19800000000000001</v>
      </c>
      <c r="AA88" s="68">
        <v>0.255</v>
      </c>
      <c r="AB88" s="68">
        <v>0.21299999999999999</v>
      </c>
      <c r="AC88" s="68">
        <v>0.245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399" t="s">
        <v>72</v>
      </c>
      <c r="B89" s="400"/>
      <c r="C89" s="401"/>
      <c r="D89" s="45"/>
      <c r="E89" s="45"/>
      <c r="F89" s="64">
        <f t="shared" ref="F89:AC89" si="49">F17</f>
        <v>24.5</v>
      </c>
      <c r="G89" s="64">
        <f t="shared" si="49"/>
        <v>22.1</v>
      </c>
      <c r="H89" s="64">
        <f t="shared" si="49"/>
        <v>20.2</v>
      </c>
      <c r="I89" s="64">
        <f t="shared" si="49"/>
        <v>20.2</v>
      </c>
      <c r="J89" s="64">
        <f t="shared" si="49"/>
        <v>20.100000000000001</v>
      </c>
      <c r="K89" s="64">
        <f t="shared" si="49"/>
        <v>20.700000000000003</v>
      </c>
      <c r="L89" s="64">
        <f t="shared" si="49"/>
        <v>19.799999999999997</v>
      </c>
      <c r="M89" s="64">
        <f t="shared" si="49"/>
        <v>20.700000000000003</v>
      </c>
      <c r="N89" s="64">
        <f t="shared" si="49"/>
        <v>20.2</v>
      </c>
      <c r="O89" s="64">
        <f t="shared" si="49"/>
        <v>26.699999999999996</v>
      </c>
      <c r="P89" s="64">
        <f t="shared" si="49"/>
        <v>26.4</v>
      </c>
      <c r="Q89" s="64">
        <f t="shared" si="49"/>
        <v>26.4</v>
      </c>
      <c r="R89" s="64">
        <f t="shared" si="49"/>
        <v>26</v>
      </c>
      <c r="S89" s="64">
        <f t="shared" si="49"/>
        <v>26.8</v>
      </c>
      <c r="T89" s="64">
        <f t="shared" si="49"/>
        <v>26.4</v>
      </c>
      <c r="U89" s="64">
        <f t="shared" si="49"/>
        <v>27.2</v>
      </c>
      <c r="V89" s="64">
        <f t="shared" si="49"/>
        <v>26.8</v>
      </c>
      <c r="W89" s="64">
        <f t="shared" si="49"/>
        <v>26</v>
      </c>
      <c r="X89" s="64">
        <f t="shared" si="49"/>
        <v>26.4</v>
      </c>
      <c r="Y89" s="64">
        <f t="shared" si="49"/>
        <v>26</v>
      </c>
      <c r="Z89" s="64">
        <f t="shared" si="49"/>
        <v>26.299999999999997</v>
      </c>
      <c r="AA89" s="64">
        <f t="shared" si="49"/>
        <v>26.4</v>
      </c>
      <c r="AB89" s="64">
        <f t="shared" si="49"/>
        <v>26.8</v>
      </c>
      <c r="AC89" s="64">
        <f t="shared" si="49"/>
        <v>26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413" t="s">
        <v>73</v>
      </c>
      <c r="B90" s="413"/>
      <c r="C90" s="414"/>
      <c r="D90" s="45"/>
      <c r="E90" s="45"/>
      <c r="F90" s="68">
        <v>0.92700000000000005</v>
      </c>
      <c r="G90" s="68">
        <v>0.90100000000000002</v>
      </c>
      <c r="H90" s="68">
        <v>0.65100000000000002</v>
      </c>
      <c r="I90" s="68">
        <v>0.82099999999999995</v>
      </c>
      <c r="J90" s="68">
        <v>0.65600000000000003</v>
      </c>
      <c r="K90" s="68">
        <v>0.65900000000000003</v>
      </c>
      <c r="L90" s="68">
        <v>0.64800000000000002</v>
      </c>
      <c r="M90" s="68">
        <v>0.84699999999999998</v>
      </c>
      <c r="N90" s="68">
        <v>0.84099999999999997</v>
      </c>
      <c r="O90" s="68">
        <v>0.92</v>
      </c>
      <c r="P90" s="68">
        <v>0.75</v>
      </c>
      <c r="Q90" s="68">
        <v>0.751</v>
      </c>
      <c r="R90" s="68">
        <v>0.69499999999999995</v>
      </c>
      <c r="S90" s="68">
        <v>0.754</v>
      </c>
      <c r="T90" s="68">
        <v>0.75</v>
      </c>
      <c r="U90" s="68">
        <v>0.68</v>
      </c>
      <c r="V90" s="68">
        <v>0.77</v>
      </c>
      <c r="W90" s="68">
        <v>0.72</v>
      </c>
      <c r="X90" s="68">
        <v>0.88</v>
      </c>
      <c r="Y90" s="68">
        <v>0.873</v>
      </c>
      <c r="Z90" s="68">
        <v>0.88800000000000001</v>
      </c>
      <c r="AA90" s="68">
        <v>0.95799999999999996</v>
      </c>
      <c r="AB90" s="68">
        <v>0.94299999999999995</v>
      </c>
      <c r="AC90" s="68">
        <v>0.92100000000000004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399" t="s">
        <v>29</v>
      </c>
      <c r="B91" s="400"/>
      <c r="C91" s="401"/>
      <c r="D91" s="45"/>
      <c r="E91" s="45"/>
      <c r="F91" s="65">
        <f t="shared" ref="F91:AC91" si="50">F29</f>
        <v>4</v>
      </c>
      <c r="G91" s="65">
        <f t="shared" si="50"/>
        <v>7.8</v>
      </c>
      <c r="H91" s="65">
        <f t="shared" si="50"/>
        <v>7.6</v>
      </c>
      <c r="I91" s="65">
        <f t="shared" si="50"/>
        <v>7.4</v>
      </c>
      <c r="J91" s="65">
        <f t="shared" si="50"/>
        <v>7.4</v>
      </c>
      <c r="K91" s="65">
        <f t="shared" si="50"/>
        <v>7.2</v>
      </c>
      <c r="L91" s="65">
        <f t="shared" si="50"/>
        <v>8</v>
      </c>
      <c r="M91" s="65">
        <f t="shared" si="50"/>
        <v>8.1999999999999993</v>
      </c>
      <c r="N91" s="65">
        <f t="shared" si="50"/>
        <v>8.4</v>
      </c>
      <c r="O91" s="65">
        <f t="shared" si="50"/>
        <v>7.6</v>
      </c>
      <c r="P91" s="65">
        <f t="shared" si="50"/>
        <v>7</v>
      </c>
      <c r="Q91" s="65">
        <f t="shared" si="50"/>
        <v>8</v>
      </c>
      <c r="R91" s="65">
        <f t="shared" si="50"/>
        <v>8</v>
      </c>
      <c r="S91" s="65">
        <f t="shared" si="50"/>
        <v>7.6</v>
      </c>
      <c r="T91" s="65">
        <f t="shared" si="50"/>
        <v>8</v>
      </c>
      <c r="U91" s="65">
        <f t="shared" si="50"/>
        <v>8.1999999999999993</v>
      </c>
      <c r="V91" s="65">
        <f t="shared" si="50"/>
        <v>8</v>
      </c>
      <c r="W91" s="65">
        <f t="shared" si="50"/>
        <v>8.1999999999999993</v>
      </c>
      <c r="X91" s="65">
        <f t="shared" si="50"/>
        <v>8.1999999999999993</v>
      </c>
      <c r="Y91" s="65">
        <f t="shared" si="50"/>
        <v>8</v>
      </c>
      <c r="Z91" s="65">
        <f t="shared" si="50"/>
        <v>8</v>
      </c>
      <c r="AA91" s="65">
        <f t="shared" si="50"/>
        <v>8.1999999999999993</v>
      </c>
      <c r="AB91" s="65">
        <f t="shared" si="50"/>
        <v>7.4</v>
      </c>
      <c r="AC91" s="65">
        <f t="shared" si="50"/>
        <v>7.6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413" t="s">
        <v>74</v>
      </c>
      <c r="B92" s="413"/>
      <c r="C92" s="414"/>
      <c r="D92" s="45"/>
      <c r="E92" s="45"/>
      <c r="F92" s="68">
        <v>0.28999999999999998</v>
      </c>
      <c r="G92" s="68">
        <v>0.27</v>
      </c>
      <c r="H92" s="68">
        <v>0.28100000000000003</v>
      </c>
      <c r="I92" s="68">
        <v>0.27500000000000002</v>
      </c>
      <c r="J92" s="68">
        <v>0.27500000000000002</v>
      </c>
      <c r="K92" s="68">
        <v>0.26</v>
      </c>
      <c r="L92" s="68">
        <v>0.27500000000000002</v>
      </c>
      <c r="M92" s="68">
        <v>0.26500000000000001</v>
      </c>
      <c r="N92" s="68">
        <v>0.28499999999999998</v>
      </c>
      <c r="O92" s="68">
        <v>0.26200000000000001</v>
      </c>
      <c r="P92" s="68">
        <v>0.27400000000000002</v>
      </c>
      <c r="Q92" s="68">
        <v>0.27900000000000003</v>
      </c>
      <c r="R92" s="68">
        <v>0.27300000000000002</v>
      </c>
      <c r="S92" s="68">
        <v>0.26600000000000001</v>
      </c>
      <c r="T92" s="68">
        <v>0.30599999999999999</v>
      </c>
      <c r="U92" s="68">
        <v>0.28999999999999998</v>
      </c>
      <c r="V92" s="68">
        <v>0.29599999999999999</v>
      </c>
      <c r="W92" s="68">
        <v>0.27300000000000002</v>
      </c>
      <c r="X92" s="68">
        <v>0.26200000000000001</v>
      </c>
      <c r="Y92" s="68">
        <v>0.27100000000000002</v>
      </c>
      <c r="Z92" s="68">
        <v>0.311</v>
      </c>
      <c r="AA92" s="68">
        <v>0.30099999999999999</v>
      </c>
      <c r="AB92" s="68">
        <v>0.28899999999999998</v>
      </c>
      <c r="AC92" s="68">
        <v>0.30399999999999999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399" t="s">
        <v>30</v>
      </c>
      <c r="B93" s="400"/>
      <c r="C93" s="401"/>
      <c r="D93" s="45"/>
      <c r="E93" s="45"/>
      <c r="F93" s="65">
        <f t="shared" ref="F93:AC93" si="51">F32</f>
        <v>0</v>
      </c>
      <c r="G93" s="65">
        <f t="shared" si="51"/>
        <v>0</v>
      </c>
      <c r="H93" s="65">
        <f t="shared" si="51"/>
        <v>0</v>
      </c>
      <c r="I93" s="65">
        <f t="shared" si="51"/>
        <v>0</v>
      </c>
      <c r="J93" s="65">
        <f t="shared" si="51"/>
        <v>0</v>
      </c>
      <c r="K93" s="65">
        <f t="shared" si="51"/>
        <v>0</v>
      </c>
      <c r="L93" s="65">
        <f t="shared" si="51"/>
        <v>0</v>
      </c>
      <c r="M93" s="65">
        <f t="shared" si="51"/>
        <v>0</v>
      </c>
      <c r="N93" s="65">
        <f t="shared" si="51"/>
        <v>0</v>
      </c>
      <c r="O93" s="65">
        <f t="shared" si="51"/>
        <v>0</v>
      </c>
      <c r="P93" s="65">
        <f t="shared" si="51"/>
        <v>0</v>
      </c>
      <c r="Q93" s="65">
        <f t="shared" si="51"/>
        <v>0</v>
      </c>
      <c r="R93" s="65">
        <f t="shared" si="51"/>
        <v>0</v>
      </c>
      <c r="S93" s="65">
        <f t="shared" si="51"/>
        <v>0</v>
      </c>
      <c r="T93" s="65">
        <f t="shared" si="51"/>
        <v>0</v>
      </c>
      <c r="U93" s="65">
        <f t="shared" si="51"/>
        <v>0</v>
      </c>
      <c r="V93" s="65">
        <f t="shared" si="51"/>
        <v>0</v>
      </c>
      <c r="W93" s="65">
        <f t="shared" si="51"/>
        <v>0</v>
      </c>
      <c r="X93" s="65">
        <f t="shared" si="51"/>
        <v>0</v>
      </c>
      <c r="Y93" s="65">
        <f t="shared" si="51"/>
        <v>0</v>
      </c>
      <c r="Z93" s="65">
        <f t="shared" si="51"/>
        <v>0</v>
      </c>
      <c r="AA93" s="65">
        <f t="shared" si="51"/>
        <v>0</v>
      </c>
      <c r="AB93" s="65">
        <f t="shared" si="51"/>
        <v>0</v>
      </c>
      <c r="AC93" s="65">
        <f t="shared" si="5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s="67" customFormat="1" ht="18" x14ac:dyDescent="0.25">
      <c r="A94" s="413" t="s">
        <v>75</v>
      </c>
      <c r="B94" s="413"/>
      <c r="C94" s="414"/>
      <c r="D94" s="68"/>
      <c r="E94" s="68"/>
      <c r="F94" s="68" t="s">
        <v>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>
        <f>0.08/1000</f>
        <v>8.0000000000000007E-5</v>
      </c>
      <c r="O94" s="68">
        <f>0.08/1000</f>
        <v>8.0000000000000007E-5</v>
      </c>
      <c r="P94" s="68">
        <f>0.09/1000</f>
        <v>8.9999999999999992E-5</v>
      </c>
      <c r="Q94" s="68">
        <f>0.08/1000</f>
        <v>8.0000000000000007E-5</v>
      </c>
      <c r="R94" s="68">
        <f>0.09/1000</f>
        <v>8.9999999999999992E-5</v>
      </c>
      <c r="S94" s="68">
        <f>0.08/1000</f>
        <v>8.0000000000000007E-5</v>
      </c>
      <c r="T94" s="68">
        <f t="shared" ref="T94:Z94" si="52">0.09/1000</f>
        <v>8.9999999999999992E-5</v>
      </c>
      <c r="U94" s="68">
        <f t="shared" si="52"/>
        <v>8.9999999999999992E-5</v>
      </c>
      <c r="V94" s="68">
        <f t="shared" si="52"/>
        <v>8.9999999999999992E-5</v>
      </c>
      <c r="W94" s="68">
        <f t="shared" si="52"/>
        <v>8.9999999999999992E-5</v>
      </c>
      <c r="X94" s="68">
        <f t="shared" si="52"/>
        <v>8.9999999999999992E-5</v>
      </c>
      <c r="Y94" s="68">
        <f t="shared" si="52"/>
        <v>8.9999999999999992E-5</v>
      </c>
      <c r="Z94" s="68">
        <f t="shared" si="52"/>
        <v>8.9999999999999992E-5</v>
      </c>
      <c r="AA94" s="68">
        <f>0.08/1000</f>
        <v>8.0000000000000007E-5</v>
      </c>
      <c r="AB94" s="68">
        <f>0.08/1000</f>
        <v>8.0000000000000007E-5</v>
      </c>
      <c r="AC94" s="68">
        <f>0.06/1000</f>
        <v>5.9999999999999995E-5</v>
      </c>
      <c r="AD94" s="69"/>
      <c r="AE94" s="69"/>
      <c r="AF94" s="69"/>
      <c r="AG94" s="69"/>
      <c r="AH94" s="69"/>
      <c r="AI94" s="69"/>
      <c r="AJ94" s="69"/>
      <c r="AK94" s="69"/>
    </row>
    <row r="95" spans="1:40" ht="18" x14ac:dyDescent="0.25">
      <c r="A95" s="399" t="s">
        <v>31</v>
      </c>
      <c r="B95" s="400"/>
      <c r="C95" s="401"/>
      <c r="D95" s="45"/>
      <c r="E95" s="45"/>
      <c r="F95" s="64">
        <f>F58</f>
        <v>0</v>
      </c>
      <c r="G95" s="64">
        <f t="shared" ref="G95:AC95" si="53">G58</f>
        <v>0</v>
      </c>
      <c r="H95" s="64">
        <f t="shared" si="53"/>
        <v>0</v>
      </c>
      <c r="I95" s="64">
        <f t="shared" si="53"/>
        <v>0</v>
      </c>
      <c r="J95" s="64">
        <f t="shared" si="53"/>
        <v>0</v>
      </c>
      <c r="K95" s="64">
        <f t="shared" si="53"/>
        <v>0.8</v>
      </c>
      <c r="L95" s="64">
        <f t="shared" si="53"/>
        <v>4</v>
      </c>
      <c r="M95" s="64">
        <f t="shared" si="53"/>
        <v>3.27</v>
      </c>
      <c r="N95" s="64">
        <f t="shared" si="53"/>
        <v>4.9000000000000004</v>
      </c>
      <c r="O95" s="64">
        <f t="shared" si="53"/>
        <v>6.1</v>
      </c>
      <c r="P95" s="64">
        <f t="shared" si="53"/>
        <v>11</v>
      </c>
      <c r="Q95" s="64">
        <f t="shared" si="53"/>
        <v>9.3000000000000007</v>
      </c>
      <c r="R95" s="64">
        <f t="shared" si="53"/>
        <v>9.3000000000000043</v>
      </c>
      <c r="S95" s="64">
        <f t="shared" si="53"/>
        <v>8.9</v>
      </c>
      <c r="T95" s="64">
        <f t="shared" si="53"/>
        <v>11.373863636363637</v>
      </c>
      <c r="U95" s="64">
        <f t="shared" si="53"/>
        <v>13.198181818181819</v>
      </c>
      <c r="V95" s="64">
        <f t="shared" si="53"/>
        <v>13.499999999999996</v>
      </c>
      <c r="W95" s="64">
        <f t="shared" si="53"/>
        <v>12.199999999999998</v>
      </c>
      <c r="X95" s="64">
        <f t="shared" si="53"/>
        <v>9.0999999999999979</v>
      </c>
      <c r="Y95" s="64">
        <f t="shared" si="53"/>
        <v>14.200000000000005</v>
      </c>
      <c r="Z95" s="64">
        <f t="shared" si="53"/>
        <v>11.799999999999999</v>
      </c>
      <c r="AA95" s="64">
        <f t="shared" si="53"/>
        <v>9.35</v>
      </c>
      <c r="AB95" s="64">
        <f t="shared" si="53"/>
        <v>5.2</v>
      </c>
      <c r="AC95" s="64">
        <f t="shared" si="53"/>
        <v>1.8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399" t="s">
        <v>50</v>
      </c>
      <c r="B96" s="400"/>
      <c r="C96" s="401"/>
      <c r="D96" s="45"/>
      <c r="E96" s="45"/>
      <c r="F96" s="64">
        <f t="shared" ref="F96:AC96" si="54">F63</f>
        <v>1</v>
      </c>
      <c r="G96" s="64">
        <f t="shared" si="54"/>
        <v>0.95</v>
      </c>
      <c r="H96" s="64">
        <f t="shared" si="54"/>
        <v>0.93</v>
      </c>
      <c r="I96" s="64">
        <f t="shared" si="54"/>
        <v>0.87</v>
      </c>
      <c r="J96" s="64">
        <f t="shared" si="54"/>
        <v>0.8</v>
      </c>
      <c r="K96" s="64">
        <f t="shared" si="54"/>
        <v>0.85</v>
      </c>
      <c r="L96" s="64">
        <f t="shared" si="54"/>
        <v>1.01</v>
      </c>
      <c r="M96" s="64">
        <f t="shared" si="54"/>
        <v>1.1100000000000001</v>
      </c>
      <c r="N96" s="64">
        <f t="shared" si="54"/>
        <v>0.99</v>
      </c>
      <c r="O96" s="64">
        <f t="shared" si="54"/>
        <v>1.22</v>
      </c>
      <c r="P96" s="64">
        <f t="shared" si="54"/>
        <v>1.29</v>
      </c>
      <c r="Q96" s="64">
        <f t="shared" si="54"/>
        <v>1.3</v>
      </c>
      <c r="R96" s="64">
        <f t="shared" si="54"/>
        <v>1.36</v>
      </c>
      <c r="S96" s="64">
        <f t="shared" si="54"/>
        <v>1.31</v>
      </c>
      <c r="T96" s="64">
        <f t="shared" si="54"/>
        <v>1.35</v>
      </c>
      <c r="U96" s="64">
        <f t="shared" si="54"/>
        <v>1.3</v>
      </c>
      <c r="V96" s="64">
        <f t="shared" si="54"/>
        <v>1.26</v>
      </c>
      <c r="W96" s="64">
        <f t="shared" si="54"/>
        <v>1.25</v>
      </c>
      <c r="X96" s="64">
        <f t="shared" si="54"/>
        <v>1.26</v>
      </c>
      <c r="Y96" s="64">
        <f t="shared" si="54"/>
        <v>1.5</v>
      </c>
      <c r="Z96" s="64">
        <f t="shared" si="54"/>
        <v>1.43</v>
      </c>
      <c r="AA96" s="64">
        <f t="shared" si="54"/>
        <v>1.37</v>
      </c>
      <c r="AB96" s="64">
        <f t="shared" si="54"/>
        <v>1.23</v>
      </c>
      <c r="AC96" s="64">
        <f t="shared" si="54"/>
        <v>1</v>
      </c>
      <c r="AG96" s="5"/>
      <c r="AH96" s="5"/>
      <c r="AI96" s="5"/>
      <c r="AJ96" s="5"/>
      <c r="AK96" s="5"/>
      <c r="AL96" s="5"/>
      <c r="AM96" s="5"/>
      <c r="AN96" s="5"/>
    </row>
    <row r="97" spans="1:31" ht="18" x14ac:dyDescent="0.25">
      <c r="A97" s="399" t="s">
        <v>54</v>
      </c>
      <c r="B97" s="400"/>
      <c r="C97" s="401"/>
      <c r="D97" s="45"/>
      <c r="E97" s="45"/>
      <c r="F97" s="64">
        <f t="shared" ref="F97:AC97" si="55">F74</f>
        <v>3.32</v>
      </c>
      <c r="G97" s="64">
        <f t="shared" si="55"/>
        <v>3.18</v>
      </c>
      <c r="H97" s="64">
        <f t="shared" si="55"/>
        <v>3</v>
      </c>
      <c r="I97" s="64">
        <f t="shared" si="55"/>
        <v>2.9</v>
      </c>
      <c r="J97" s="64">
        <f t="shared" si="55"/>
        <v>3</v>
      </c>
      <c r="K97" s="64">
        <f t="shared" si="55"/>
        <v>3.13</v>
      </c>
      <c r="L97" s="64">
        <f t="shared" si="55"/>
        <v>3.46</v>
      </c>
      <c r="M97" s="64">
        <f t="shared" si="55"/>
        <v>3.58</v>
      </c>
      <c r="N97" s="64">
        <f t="shared" si="55"/>
        <v>3.6399999999999997</v>
      </c>
      <c r="O97" s="64">
        <f t="shared" si="55"/>
        <v>4.82</v>
      </c>
      <c r="P97" s="64">
        <f t="shared" si="55"/>
        <v>4.8499999999999996</v>
      </c>
      <c r="Q97" s="64">
        <f t="shared" si="55"/>
        <v>4.83</v>
      </c>
      <c r="R97" s="64">
        <f t="shared" si="55"/>
        <v>4.5</v>
      </c>
      <c r="S97" s="64">
        <f t="shared" si="55"/>
        <v>4.37</v>
      </c>
      <c r="T97" s="64">
        <f t="shared" si="55"/>
        <v>4.42</v>
      </c>
      <c r="U97" s="64">
        <f t="shared" si="55"/>
        <v>4.7</v>
      </c>
      <c r="V97" s="64">
        <f t="shared" si="55"/>
        <v>4.8800000000000008</v>
      </c>
      <c r="W97" s="64">
        <f t="shared" si="55"/>
        <v>4.51</v>
      </c>
      <c r="X97" s="64">
        <f t="shared" si="55"/>
        <v>4.3600000000000003</v>
      </c>
      <c r="Y97" s="64">
        <f t="shared" si="55"/>
        <v>4.79</v>
      </c>
      <c r="Z97" s="64">
        <f t="shared" si="55"/>
        <v>4.8516666666666666</v>
      </c>
      <c r="AA97" s="64">
        <f t="shared" si="55"/>
        <v>4.8016666666666667</v>
      </c>
      <c r="AB97" s="64">
        <f t="shared" si="55"/>
        <v>4.496666666666667</v>
      </c>
      <c r="AC97" s="64">
        <f t="shared" si="55"/>
        <v>4.2</v>
      </c>
    </row>
    <row r="98" spans="1:31" ht="18" x14ac:dyDescent="0.25">
      <c r="A98" s="399" t="s">
        <v>64</v>
      </c>
      <c r="B98" s="400"/>
      <c r="C98" s="401"/>
      <c r="D98" s="45"/>
      <c r="E98" s="45"/>
      <c r="F98" s="64">
        <f t="shared" ref="F98:AC98" si="56">F78</f>
        <v>0.8</v>
      </c>
      <c r="G98" s="64">
        <f t="shared" si="56"/>
        <v>0.78</v>
      </c>
      <c r="H98" s="64">
        <f t="shared" si="56"/>
        <v>0.74</v>
      </c>
      <c r="I98" s="64">
        <f t="shared" si="56"/>
        <v>0.73</v>
      </c>
      <c r="J98" s="64">
        <f t="shared" si="56"/>
        <v>0.72</v>
      </c>
      <c r="K98" s="64">
        <f t="shared" si="56"/>
        <v>0.79</v>
      </c>
      <c r="L98" s="64">
        <f t="shared" si="56"/>
        <v>0.81</v>
      </c>
      <c r="M98" s="64">
        <f t="shared" si="56"/>
        <v>0.79</v>
      </c>
      <c r="N98" s="64">
        <f t="shared" si="56"/>
        <v>0.74</v>
      </c>
      <c r="O98" s="64">
        <f t="shared" si="56"/>
        <v>0.76</v>
      </c>
      <c r="P98" s="64">
        <f t="shared" si="56"/>
        <v>0.84</v>
      </c>
      <c r="Q98" s="64">
        <f t="shared" si="56"/>
        <v>0.86</v>
      </c>
      <c r="R98" s="64">
        <f t="shared" si="56"/>
        <v>0.88</v>
      </c>
      <c r="S98" s="64">
        <f t="shared" si="56"/>
        <v>0.9</v>
      </c>
      <c r="T98" s="64">
        <f t="shared" si="56"/>
        <v>0.91</v>
      </c>
      <c r="U98" s="64">
        <f t="shared" si="56"/>
        <v>0.92</v>
      </c>
      <c r="V98" s="64">
        <f t="shared" si="56"/>
        <v>0.9</v>
      </c>
      <c r="W98" s="64">
        <f t="shared" si="56"/>
        <v>0.88</v>
      </c>
      <c r="X98" s="64">
        <f t="shared" si="56"/>
        <v>0.92</v>
      </c>
      <c r="Y98" s="64">
        <f t="shared" si="56"/>
        <v>0</v>
      </c>
      <c r="Z98" s="64">
        <f t="shared" si="56"/>
        <v>1</v>
      </c>
      <c r="AA98" s="64">
        <f t="shared" si="56"/>
        <v>0.96</v>
      </c>
      <c r="AB98" s="64">
        <f t="shared" si="56"/>
        <v>0.91</v>
      </c>
      <c r="AC98" s="64">
        <f t="shared" si="56"/>
        <v>0.86</v>
      </c>
    </row>
    <row r="99" spans="1:31" ht="18" x14ac:dyDescent="0.25">
      <c r="A99" s="399" t="s">
        <v>1129</v>
      </c>
      <c r="B99" s="400"/>
      <c r="C99" s="401"/>
      <c r="D99" s="45"/>
      <c r="E99" s="45"/>
      <c r="F99" s="64">
        <f t="shared" ref="F99:AC99" si="57">F80</f>
        <v>0</v>
      </c>
      <c r="G99" s="64">
        <f t="shared" si="57"/>
        <v>0</v>
      </c>
      <c r="H99" s="64">
        <f t="shared" si="57"/>
        <v>0</v>
      </c>
      <c r="I99" s="64">
        <f t="shared" si="57"/>
        <v>0</v>
      </c>
      <c r="J99" s="64">
        <f t="shared" si="57"/>
        <v>0</v>
      </c>
      <c r="K99" s="64">
        <f t="shared" si="57"/>
        <v>0</v>
      </c>
      <c r="L99" s="64">
        <f t="shared" si="57"/>
        <v>0</v>
      </c>
      <c r="M99" s="64">
        <f t="shared" si="57"/>
        <v>0</v>
      </c>
      <c r="N99" s="64">
        <f t="shared" si="57"/>
        <v>0</v>
      </c>
      <c r="O99" s="64">
        <f t="shared" si="57"/>
        <v>0</v>
      </c>
      <c r="P99" s="64">
        <f t="shared" si="57"/>
        <v>0</v>
      </c>
      <c r="Q99" s="64">
        <f t="shared" si="57"/>
        <v>1.597</v>
      </c>
      <c r="R99" s="64">
        <f t="shared" si="57"/>
        <v>1.6</v>
      </c>
      <c r="S99" s="64">
        <f t="shared" si="57"/>
        <v>1.6</v>
      </c>
      <c r="T99" s="64">
        <f t="shared" si="57"/>
        <v>1.71</v>
      </c>
      <c r="U99" s="64">
        <f t="shared" si="57"/>
        <v>1.6819999999999999</v>
      </c>
      <c r="V99" s="64">
        <f t="shared" si="57"/>
        <v>1.722</v>
      </c>
      <c r="W99" s="64">
        <f t="shared" si="57"/>
        <v>1.6779999999999999</v>
      </c>
      <c r="X99" s="64">
        <f t="shared" si="57"/>
        <v>1.7010000000000001</v>
      </c>
      <c r="Y99" s="64">
        <f t="shared" si="57"/>
        <v>1.69</v>
      </c>
      <c r="Z99" s="64">
        <f t="shared" si="57"/>
        <v>0</v>
      </c>
      <c r="AA99" s="64">
        <f t="shared" si="57"/>
        <v>0</v>
      </c>
      <c r="AB99" s="64">
        <f t="shared" si="57"/>
        <v>0</v>
      </c>
      <c r="AC99" s="64">
        <f t="shared" si="57"/>
        <v>0</v>
      </c>
    </row>
    <row r="100" spans="1:31" ht="22.35" customHeight="1" x14ac:dyDescent="0.25">
      <c r="A100" s="412" t="s">
        <v>76</v>
      </c>
      <c r="B100" s="412"/>
      <c r="C100" s="412"/>
      <c r="D100" s="47"/>
      <c r="E100" s="47"/>
      <c r="F100" s="61">
        <f t="shared" ref="F100:AC100" si="58">SUM(F87,F89,F91,F93,F95:F99,F79)</f>
        <v>36.82</v>
      </c>
      <c r="G100" s="61">
        <f t="shared" si="58"/>
        <v>38.010000000000005</v>
      </c>
      <c r="H100" s="61">
        <f t="shared" si="58"/>
        <v>35.67</v>
      </c>
      <c r="I100" s="61">
        <f t="shared" si="58"/>
        <v>35.299999999999997</v>
      </c>
      <c r="J100" s="61">
        <f t="shared" si="58"/>
        <v>35.22</v>
      </c>
      <c r="K100" s="61">
        <f t="shared" si="58"/>
        <v>36.67</v>
      </c>
      <c r="L100" s="61">
        <f t="shared" si="58"/>
        <v>40.28</v>
      </c>
      <c r="M100" s="61">
        <f t="shared" si="58"/>
        <v>40.85</v>
      </c>
      <c r="N100" s="61">
        <f t="shared" si="58"/>
        <v>42.57</v>
      </c>
      <c r="O100" s="61">
        <f t="shared" si="58"/>
        <v>53</v>
      </c>
      <c r="P100" s="61">
        <f t="shared" si="58"/>
        <v>58.38</v>
      </c>
      <c r="Q100" s="61">
        <f t="shared" si="58"/>
        <v>59.286999999999999</v>
      </c>
      <c r="R100" s="61">
        <f t="shared" si="58"/>
        <v>58.640000000000008</v>
      </c>
      <c r="S100" s="61">
        <f t="shared" si="58"/>
        <v>58.48</v>
      </c>
      <c r="T100" s="61">
        <f t="shared" si="58"/>
        <v>61.163863636363637</v>
      </c>
      <c r="U100" s="61">
        <f t="shared" si="58"/>
        <v>61.000181818181829</v>
      </c>
      <c r="V100" s="61">
        <f t="shared" si="58"/>
        <v>60.861999999999995</v>
      </c>
      <c r="W100" s="61">
        <f t="shared" si="58"/>
        <v>58.517999999999994</v>
      </c>
      <c r="X100" s="61">
        <f t="shared" si="58"/>
        <v>55.741</v>
      </c>
      <c r="Y100" s="61">
        <f t="shared" si="58"/>
        <v>59.98</v>
      </c>
      <c r="Z100" s="61">
        <f t="shared" si="58"/>
        <v>57.181666666666658</v>
      </c>
      <c r="AA100" s="61">
        <f t="shared" si="58"/>
        <v>54.881666666666668</v>
      </c>
      <c r="AB100" s="61">
        <f t="shared" si="58"/>
        <v>49.836666666666666</v>
      </c>
      <c r="AC100" s="61">
        <f t="shared" si="58"/>
        <v>45.26</v>
      </c>
    </row>
    <row r="101" spans="1:31" ht="22.35" customHeight="1" x14ac:dyDescent="0.25">
      <c r="A101" s="415" t="s">
        <v>77</v>
      </c>
      <c r="B101" s="415"/>
      <c r="C101" s="415"/>
      <c r="D101" s="46"/>
      <c r="E101" s="46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</row>
    <row r="102" spans="1:31" ht="22.35" customHeight="1" x14ac:dyDescent="0.25">
      <c r="A102" s="415" t="s">
        <v>78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</row>
    <row r="103" spans="1:31" ht="22.35" customHeight="1" x14ac:dyDescent="0.25">
      <c r="A103" s="415" t="s">
        <v>79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</row>
    <row r="104" spans="1:31" ht="22.35" customHeight="1" x14ac:dyDescent="0.25">
      <c r="A104" s="412" t="s">
        <v>80</v>
      </c>
      <c r="B104" s="412"/>
      <c r="C104" s="412"/>
      <c r="D104" s="47"/>
      <c r="E104" s="47"/>
      <c r="F104" s="61">
        <f t="shared" ref="F104:AC104" si="59">SUM(F101:F103)</f>
        <v>0</v>
      </c>
      <c r="G104" s="61">
        <f t="shared" si="59"/>
        <v>0</v>
      </c>
      <c r="H104" s="61">
        <f t="shared" si="59"/>
        <v>0</v>
      </c>
      <c r="I104" s="61">
        <f t="shared" si="59"/>
        <v>0</v>
      </c>
      <c r="J104" s="61">
        <f t="shared" si="59"/>
        <v>0</v>
      </c>
      <c r="K104" s="61">
        <f t="shared" si="59"/>
        <v>0</v>
      </c>
      <c r="L104" s="61">
        <f t="shared" si="59"/>
        <v>0</v>
      </c>
      <c r="M104" s="61">
        <f t="shared" si="59"/>
        <v>0</v>
      </c>
      <c r="N104" s="61">
        <f t="shared" si="59"/>
        <v>0</v>
      </c>
      <c r="O104" s="61">
        <f t="shared" si="59"/>
        <v>0</v>
      </c>
      <c r="P104" s="61">
        <f t="shared" si="59"/>
        <v>0</v>
      </c>
      <c r="Q104" s="61">
        <f t="shared" si="59"/>
        <v>0</v>
      </c>
      <c r="R104" s="61">
        <f t="shared" si="59"/>
        <v>0</v>
      </c>
      <c r="S104" s="61">
        <f t="shared" si="59"/>
        <v>0</v>
      </c>
      <c r="T104" s="61">
        <f t="shared" si="59"/>
        <v>0</v>
      </c>
      <c r="U104" s="61">
        <f t="shared" si="59"/>
        <v>0</v>
      </c>
      <c r="V104" s="61">
        <f t="shared" si="59"/>
        <v>0</v>
      </c>
      <c r="W104" s="61">
        <f t="shared" si="59"/>
        <v>0</v>
      </c>
      <c r="X104" s="61">
        <f t="shared" si="59"/>
        <v>0</v>
      </c>
      <c r="Y104" s="61">
        <f t="shared" si="59"/>
        <v>0</v>
      </c>
      <c r="Z104" s="61">
        <f t="shared" si="59"/>
        <v>0</v>
      </c>
      <c r="AA104" s="61">
        <f t="shared" si="59"/>
        <v>0</v>
      </c>
      <c r="AB104" s="61">
        <f t="shared" si="59"/>
        <v>0</v>
      </c>
      <c r="AC104" s="61">
        <f t="shared" si="59"/>
        <v>0</v>
      </c>
    </row>
    <row r="105" spans="1:31" ht="22.35" customHeight="1" x14ac:dyDescent="0.25">
      <c r="A105" s="416" t="s">
        <v>81</v>
      </c>
      <c r="B105" s="416"/>
      <c r="C105" s="416"/>
      <c r="D105" s="48"/>
      <c r="E105" s="48"/>
      <c r="F105" s="62">
        <f>F100+F104</f>
        <v>36.82</v>
      </c>
      <c r="G105" s="62">
        <f t="shared" ref="G105:AC105" si="60">G100+G104</f>
        <v>38.010000000000005</v>
      </c>
      <c r="H105" s="62">
        <f t="shared" si="60"/>
        <v>35.67</v>
      </c>
      <c r="I105" s="62">
        <f t="shared" si="60"/>
        <v>35.299999999999997</v>
      </c>
      <c r="J105" s="62">
        <f t="shared" si="60"/>
        <v>35.22</v>
      </c>
      <c r="K105" s="62">
        <f t="shared" si="60"/>
        <v>36.67</v>
      </c>
      <c r="L105" s="62">
        <f t="shared" si="60"/>
        <v>40.28</v>
      </c>
      <c r="M105" s="62">
        <f t="shared" si="60"/>
        <v>40.85</v>
      </c>
      <c r="N105" s="62">
        <f t="shared" si="60"/>
        <v>42.57</v>
      </c>
      <c r="O105" s="62">
        <f t="shared" si="60"/>
        <v>53</v>
      </c>
      <c r="P105" s="62">
        <f t="shared" si="60"/>
        <v>58.38</v>
      </c>
      <c r="Q105" s="62">
        <f t="shared" si="60"/>
        <v>59.286999999999999</v>
      </c>
      <c r="R105" s="62">
        <f t="shared" si="60"/>
        <v>58.640000000000008</v>
      </c>
      <c r="S105" s="62">
        <f t="shared" si="60"/>
        <v>58.48</v>
      </c>
      <c r="T105" s="62">
        <f t="shared" si="60"/>
        <v>61.163863636363637</v>
      </c>
      <c r="U105" s="62">
        <f t="shared" si="60"/>
        <v>61.000181818181829</v>
      </c>
      <c r="V105" s="62">
        <f t="shared" si="60"/>
        <v>60.861999999999995</v>
      </c>
      <c r="W105" s="62">
        <f t="shared" si="60"/>
        <v>58.517999999999994</v>
      </c>
      <c r="X105" s="62">
        <f t="shared" si="60"/>
        <v>55.741</v>
      </c>
      <c r="Y105" s="62">
        <f t="shared" si="60"/>
        <v>59.98</v>
      </c>
      <c r="Z105" s="62">
        <f t="shared" si="60"/>
        <v>57.181666666666658</v>
      </c>
      <c r="AA105" s="62">
        <f t="shared" si="60"/>
        <v>54.881666666666668</v>
      </c>
      <c r="AB105" s="62">
        <f t="shared" si="60"/>
        <v>49.836666666666666</v>
      </c>
      <c r="AC105" s="62">
        <f t="shared" si="60"/>
        <v>45.26</v>
      </c>
    </row>
    <row r="106" spans="1:31" ht="20.25" hidden="1" x14ac:dyDescent="0.25">
      <c r="A106" s="417" t="s">
        <v>82</v>
      </c>
      <c r="B106" s="417"/>
      <c r="C106" s="417"/>
      <c r="D106" s="52"/>
      <c r="E106" s="52"/>
      <c r="F106" s="63">
        <f t="shared" ref="F106:AC106" si="61">(COUNT(F13:F16))*7.2+(COUNT(F27:F28)*4.9)+(COUNT(F19:F21)*4.5)-F89-F91</f>
        <v>14.600000000000001</v>
      </c>
      <c r="G106" s="63">
        <f t="shared" si="61"/>
        <v>13.2</v>
      </c>
      <c r="H106" s="63">
        <f t="shared" si="61"/>
        <v>8.1000000000000068</v>
      </c>
      <c r="I106" s="63">
        <f t="shared" si="61"/>
        <v>8.300000000000006</v>
      </c>
      <c r="J106" s="63">
        <f t="shared" si="61"/>
        <v>8.4000000000000039</v>
      </c>
      <c r="K106" s="63">
        <f t="shared" si="61"/>
        <v>8.0000000000000036</v>
      </c>
      <c r="L106" s="63">
        <f t="shared" si="61"/>
        <v>8.1000000000000085</v>
      </c>
      <c r="M106" s="63">
        <f t="shared" si="61"/>
        <v>7.0000000000000036</v>
      </c>
      <c r="N106" s="63">
        <f t="shared" si="61"/>
        <v>7.300000000000006</v>
      </c>
      <c r="O106" s="63">
        <f t="shared" si="61"/>
        <v>8.800000000000006</v>
      </c>
      <c r="P106" s="63">
        <f t="shared" si="61"/>
        <v>9.7000000000000028</v>
      </c>
      <c r="Q106" s="63">
        <f t="shared" si="61"/>
        <v>8.7000000000000028</v>
      </c>
      <c r="R106" s="63">
        <f t="shared" si="61"/>
        <v>9.1000000000000014</v>
      </c>
      <c r="S106" s="63">
        <f t="shared" si="61"/>
        <v>8.7000000000000011</v>
      </c>
      <c r="T106" s="63">
        <f t="shared" si="61"/>
        <v>8.7000000000000028</v>
      </c>
      <c r="U106" s="63">
        <f t="shared" si="61"/>
        <v>3.2000000000000028</v>
      </c>
      <c r="V106" s="63">
        <f t="shared" si="61"/>
        <v>3.8000000000000007</v>
      </c>
      <c r="W106" s="63">
        <f t="shared" si="61"/>
        <v>4.4000000000000021</v>
      </c>
      <c r="X106" s="63">
        <f t="shared" si="61"/>
        <v>4.0000000000000036</v>
      </c>
      <c r="Y106" s="63">
        <f t="shared" si="61"/>
        <v>4.6000000000000014</v>
      </c>
      <c r="Z106" s="63">
        <f t="shared" si="61"/>
        <v>4.3000000000000043</v>
      </c>
      <c r="AA106" s="63">
        <f t="shared" si="61"/>
        <v>4.0000000000000036</v>
      </c>
      <c r="AB106" s="63">
        <f t="shared" si="61"/>
        <v>4.4000000000000004</v>
      </c>
      <c r="AC106" s="63">
        <f t="shared" si="61"/>
        <v>5.0000000000000018</v>
      </c>
      <c r="AD106" s="26"/>
      <c r="AE106" s="26"/>
    </row>
    <row r="107" spans="1:31" ht="20.25" x14ac:dyDescent="0.25">
      <c r="A107" s="418" t="s">
        <v>83</v>
      </c>
      <c r="B107" s="419"/>
      <c r="C107" s="420"/>
      <c r="D107" s="205"/>
      <c r="E107" s="205"/>
      <c r="F107" s="206">
        <f t="shared" ref="F107:P107" si="6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10</v>
      </c>
      <c r="G107" s="206">
        <f t="shared" si="62"/>
        <v>8.6000000000000014</v>
      </c>
      <c r="H107" s="206">
        <f t="shared" si="62"/>
        <v>3.5000000000000027</v>
      </c>
      <c r="I107" s="206">
        <f t="shared" si="62"/>
        <v>3.700000000000002</v>
      </c>
      <c r="J107" s="206">
        <f t="shared" si="62"/>
        <v>3.8</v>
      </c>
      <c r="K107" s="206">
        <f t="shared" si="62"/>
        <v>3.3999999999999986</v>
      </c>
      <c r="L107" s="206">
        <f t="shared" si="62"/>
        <v>3.5000000000000044</v>
      </c>
      <c r="M107" s="206">
        <f t="shared" si="62"/>
        <v>2.3999999999999995</v>
      </c>
      <c r="N107" s="206">
        <f t="shared" si="62"/>
        <v>6.700000000000002</v>
      </c>
      <c r="O107" s="206">
        <f t="shared" si="62"/>
        <v>6.1000000000000059</v>
      </c>
      <c r="P107" s="206">
        <f t="shared" si="62"/>
        <v>5.8000000000000034</v>
      </c>
      <c r="Q107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6.200000000000002</v>
      </c>
      <c r="R107" s="206">
        <f t="shared" ref="R107:AC107" si="6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5.8</v>
      </c>
      <c r="S107" s="206">
        <f t="shared" si="63"/>
        <v>5.4000000000000012</v>
      </c>
      <c r="T107" s="206">
        <f t="shared" si="63"/>
        <v>5.4000000000000012</v>
      </c>
      <c r="U107" s="206">
        <f t="shared" si="63"/>
        <v>3.1000000000000023</v>
      </c>
      <c r="V107" s="206">
        <f t="shared" si="63"/>
        <v>3.7</v>
      </c>
      <c r="W107" s="206">
        <f t="shared" si="63"/>
        <v>4.3000000000000016</v>
      </c>
      <c r="X107" s="206">
        <f t="shared" si="63"/>
        <v>3.900000000000003</v>
      </c>
      <c r="Y107" s="206">
        <f t="shared" si="63"/>
        <v>4.5000000000000009</v>
      </c>
      <c r="Z107" s="206">
        <f t="shared" si="63"/>
        <v>4.2000000000000037</v>
      </c>
      <c r="AA107" s="206">
        <f t="shared" si="63"/>
        <v>3.900000000000003</v>
      </c>
      <c r="AB107" s="206">
        <f t="shared" si="63"/>
        <v>4.3</v>
      </c>
      <c r="AC107" s="206">
        <f t="shared" si="63"/>
        <v>4.9000000000000012</v>
      </c>
      <c r="AD107" s="26"/>
      <c r="AE107" s="26"/>
    </row>
    <row r="108" spans="1:31" ht="20.25" x14ac:dyDescent="0.25">
      <c r="A108" s="421" t="s">
        <v>84</v>
      </c>
      <c r="B108" s="421"/>
      <c r="C108" s="421"/>
      <c r="D108" s="60"/>
      <c r="E108" s="73"/>
      <c r="F108" s="75">
        <v>60.24</v>
      </c>
      <c r="G108" s="75">
        <v>60.27</v>
      </c>
      <c r="H108" s="75">
        <v>60.09</v>
      </c>
      <c r="I108" s="75">
        <v>60</v>
      </c>
      <c r="J108" s="75">
        <v>60.12</v>
      </c>
      <c r="K108" s="75">
        <v>60.09</v>
      </c>
      <c r="L108" s="75">
        <v>60.15</v>
      </c>
      <c r="M108" s="75">
        <v>60.11</v>
      </c>
      <c r="N108" s="75">
        <v>60.08</v>
      </c>
      <c r="O108" s="75">
        <v>60.11</v>
      </c>
      <c r="P108" s="84">
        <v>60.12</v>
      </c>
      <c r="Q108" s="84">
        <v>60.13</v>
      </c>
      <c r="R108" s="84">
        <v>60.17</v>
      </c>
      <c r="S108" s="84">
        <v>60.05</v>
      </c>
      <c r="T108" s="84">
        <v>60.17</v>
      </c>
      <c r="U108" s="75">
        <v>60.01</v>
      </c>
      <c r="V108" s="75">
        <v>60.09</v>
      </c>
      <c r="W108" s="75">
        <v>60.15</v>
      </c>
      <c r="X108" s="75">
        <v>60.07</v>
      </c>
      <c r="Y108" s="75">
        <v>60.16</v>
      </c>
      <c r="Z108" s="75">
        <v>60.11</v>
      </c>
      <c r="AA108" s="75">
        <v>60.16</v>
      </c>
      <c r="AB108" s="75">
        <v>60.11</v>
      </c>
      <c r="AC108" s="75">
        <v>60.15</v>
      </c>
      <c r="AD108" s="26"/>
      <c r="AE108" s="26"/>
    </row>
    <row r="109" spans="1:31" ht="20.25" x14ac:dyDescent="0.25">
      <c r="A109" s="421" t="s">
        <v>85</v>
      </c>
      <c r="B109" s="421"/>
      <c r="C109" s="421"/>
      <c r="D109" s="60"/>
      <c r="E109" s="73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26"/>
      <c r="AE109" s="26"/>
    </row>
    <row r="110" spans="1:31" ht="20.25" x14ac:dyDescent="0.25">
      <c r="A110" s="421" t="s">
        <v>86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</row>
    <row r="111" spans="1:31" hidden="1" x14ac:dyDescent="0.25">
      <c r="D111" s="72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26"/>
      <c r="AE111" s="26"/>
    </row>
    <row r="112" spans="1:31" ht="23.25" hidden="1" x14ac:dyDescent="0.25">
      <c r="A112" s="422" t="s">
        <v>87</v>
      </c>
      <c r="B112" s="422"/>
      <c r="C112" s="422"/>
      <c r="D112" s="422"/>
      <c r="E112" s="422"/>
      <c r="F112" s="422"/>
      <c r="G112" s="422"/>
      <c r="H112" s="422"/>
      <c r="I112" s="422"/>
      <c r="J112" s="422"/>
      <c r="K112" s="422"/>
      <c r="L112" s="422"/>
      <c r="M112" s="422"/>
      <c r="N112" s="422"/>
      <c r="O112" s="422"/>
      <c r="P112" s="422"/>
      <c r="Q112" s="422"/>
      <c r="R112" s="422"/>
      <c r="S112" s="422"/>
      <c r="T112" s="422"/>
      <c r="U112" s="422"/>
      <c r="V112" s="422"/>
      <c r="W112" s="422"/>
      <c r="X112" s="422"/>
      <c r="Y112" s="422"/>
      <c r="Z112" s="422"/>
      <c r="AA112" s="422"/>
      <c r="AB112" s="422"/>
      <c r="AC112" s="422"/>
      <c r="AD112" s="26"/>
      <c r="AE112" s="26"/>
    </row>
    <row r="113" spans="1:124" hidden="1" x14ac:dyDescent="0.25">
      <c r="B113" s="5"/>
      <c r="AC113" s="26"/>
      <c r="AD113" s="26"/>
      <c r="AE113" s="26"/>
    </row>
    <row r="114" spans="1:124" ht="18" hidden="1" x14ac:dyDescent="0.25">
      <c r="A114" s="405" t="s">
        <v>69</v>
      </c>
      <c r="B114" s="406"/>
      <c r="C114" s="407"/>
      <c r="D114" s="49"/>
      <c r="E114" s="49"/>
      <c r="F114" s="411" t="s">
        <v>70</v>
      </c>
      <c r="G114" s="411"/>
      <c r="H114" s="411"/>
      <c r="I114" s="411"/>
      <c r="J114" s="411"/>
      <c r="K114" s="411"/>
      <c r="L114" s="411"/>
      <c r="M114" s="411"/>
      <c r="N114" s="411"/>
      <c r="O114" s="411"/>
      <c r="P114" s="411"/>
      <c r="Q114" s="411"/>
      <c r="R114" s="411"/>
      <c r="S114" s="411"/>
      <c r="T114" s="411"/>
      <c r="U114" s="411"/>
      <c r="V114" s="411"/>
      <c r="W114" s="411"/>
      <c r="X114" s="411"/>
      <c r="Y114" s="411"/>
      <c r="Z114" s="411"/>
      <c r="AA114" s="411"/>
      <c r="AB114" s="411"/>
      <c r="AC114" s="411"/>
      <c r="AD114" s="5"/>
      <c r="AE114" s="5"/>
      <c r="AF114" s="5"/>
      <c r="AG114" s="5"/>
      <c r="AH114" s="5"/>
    </row>
    <row r="115" spans="1:124" ht="15.6" hidden="1" customHeight="1" x14ac:dyDescent="0.25">
      <c r="A115" s="408"/>
      <c r="B115" s="409"/>
      <c r="C115" s="410"/>
      <c r="D115" s="50"/>
      <c r="E115" s="50"/>
      <c r="F115" s="43">
        <v>0</v>
      </c>
      <c r="G115" s="43">
        <v>4.1666666666666699E-2</v>
      </c>
      <c r="H115" s="43">
        <v>8.3333333333333301E-2</v>
      </c>
      <c r="I115" s="43">
        <v>0.125</v>
      </c>
      <c r="J115" s="43">
        <v>0.16666666666666699</v>
      </c>
      <c r="K115" s="43">
        <v>0.20833333333333301</v>
      </c>
      <c r="L115" s="43">
        <v>0.25</v>
      </c>
      <c r="M115" s="43">
        <v>0.29166666666666702</v>
      </c>
      <c r="N115" s="43">
        <v>0.33333333333333398</v>
      </c>
      <c r="O115" s="43">
        <v>0.375</v>
      </c>
      <c r="P115" s="43">
        <v>0.41666666666666702</v>
      </c>
      <c r="Q115" s="43">
        <v>0.45833333333333398</v>
      </c>
      <c r="R115" s="43">
        <v>0.5</v>
      </c>
      <c r="S115" s="43">
        <v>0.54166666666666696</v>
      </c>
      <c r="T115" s="43">
        <v>0.58333333333333404</v>
      </c>
      <c r="U115" s="43">
        <v>0.625</v>
      </c>
      <c r="V115" s="43">
        <v>0.66666666666666696</v>
      </c>
      <c r="W115" s="43">
        <v>0.70833333333333404</v>
      </c>
      <c r="X115" s="43">
        <v>0.750000000000001</v>
      </c>
      <c r="Y115" s="43">
        <v>0.79166666666666696</v>
      </c>
      <c r="Z115" s="43">
        <v>0.83333333333333337</v>
      </c>
      <c r="AA115" s="43">
        <v>0.875000000000001</v>
      </c>
      <c r="AB115" s="43">
        <v>0.91666666666666696</v>
      </c>
      <c r="AC115" s="43">
        <v>0.95833333333333404</v>
      </c>
      <c r="AD115" s="37"/>
      <c r="AE115" s="37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5">
      <c r="A116" s="399" t="s">
        <v>27</v>
      </c>
      <c r="B116" s="400"/>
      <c r="C116" s="40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72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29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30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31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50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54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</row>
    <row r="123" spans="1:124" ht="18" hidden="1" x14ac:dyDescent="0.25">
      <c r="A123" s="399" t="s">
        <v>64</v>
      </c>
      <c r="B123" s="400"/>
      <c r="C123" s="401"/>
      <c r="D123" s="45"/>
      <c r="E123" s="45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</row>
    <row r="124" spans="1:124" ht="15.6" hidden="1" customHeight="1" x14ac:dyDescent="0.25">
      <c r="A124" s="423" t="s">
        <v>88</v>
      </c>
      <c r="B124" s="424"/>
      <c r="C124" s="425"/>
      <c r="D124" s="51"/>
      <c r="E124" s="51"/>
      <c r="F124" s="44">
        <f>SUM(F116:F123)</f>
        <v>0</v>
      </c>
      <c r="G124" s="44">
        <f t="shared" ref="G124:AB124" si="64">SUM(G116:G123)</f>
        <v>0</v>
      </c>
      <c r="H124" s="44">
        <f t="shared" si="64"/>
        <v>0</v>
      </c>
      <c r="I124" s="44">
        <f t="shared" si="64"/>
        <v>0</v>
      </c>
      <c r="J124" s="44">
        <f t="shared" si="64"/>
        <v>0</v>
      </c>
      <c r="K124" s="44">
        <f t="shared" si="64"/>
        <v>0</v>
      </c>
      <c r="L124" s="44">
        <f t="shared" si="64"/>
        <v>0</v>
      </c>
      <c r="M124" s="44">
        <f t="shared" si="64"/>
        <v>0</v>
      </c>
      <c r="N124" s="44">
        <f t="shared" si="64"/>
        <v>0</v>
      </c>
      <c r="O124" s="44">
        <f t="shared" si="64"/>
        <v>0</v>
      </c>
      <c r="P124" s="44">
        <f t="shared" si="64"/>
        <v>0</v>
      </c>
      <c r="Q124" s="44">
        <f t="shared" si="64"/>
        <v>0</v>
      </c>
      <c r="R124" s="44">
        <f t="shared" si="64"/>
        <v>0</v>
      </c>
      <c r="S124" s="44">
        <f t="shared" si="64"/>
        <v>0</v>
      </c>
      <c r="T124" s="44">
        <f t="shared" si="64"/>
        <v>0</v>
      </c>
      <c r="U124" s="44">
        <f t="shared" si="64"/>
        <v>0</v>
      </c>
      <c r="V124" s="44">
        <f t="shared" si="64"/>
        <v>0</v>
      </c>
      <c r="W124" s="44">
        <f t="shared" si="64"/>
        <v>0</v>
      </c>
      <c r="X124" s="44">
        <f t="shared" si="64"/>
        <v>0</v>
      </c>
      <c r="Y124" s="44">
        <f t="shared" si="64"/>
        <v>0</v>
      </c>
      <c r="Z124" s="44">
        <f t="shared" si="64"/>
        <v>0</v>
      </c>
      <c r="AA124" s="44">
        <f t="shared" si="64"/>
        <v>0</v>
      </c>
      <c r="AB124" s="44">
        <f t="shared" si="64"/>
        <v>0</v>
      </c>
      <c r="AC124" s="44">
        <f>SUM(AC116:AC123)</f>
        <v>0</v>
      </c>
    </row>
    <row r="125" spans="1:124" x14ac:dyDescent="0.25"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5"/>
      <c r="AE125" s="5"/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AB127" s="26"/>
      <c r="AC127" s="27"/>
      <c r="AD127" s="5"/>
      <c r="AE127" s="5"/>
    </row>
    <row r="128" spans="1:124" s="2" customFormat="1" x14ac:dyDescent="0.25">
      <c r="A128"/>
      <c r="B128"/>
      <c r="AB128" s="26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5">
      <c r="A129"/>
      <c r="B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 s="26"/>
      <c r="D131" s="26"/>
      <c r="E131" s="26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x14ac:dyDescent="0.25"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  <row r="134" spans="1:124" x14ac:dyDescent="0.25">
      <c r="C134" s="26"/>
      <c r="D134" s="26"/>
      <c r="E134" s="26"/>
    </row>
    <row r="135" spans="1:124" x14ac:dyDescent="0.25">
      <c r="C135" s="26"/>
      <c r="D135" s="26"/>
      <c r="E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</row>
    <row r="136" spans="1:124" x14ac:dyDescent="0.25"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</sheetData>
  <mergeCells count="41">
    <mergeCell ref="A87:C87"/>
    <mergeCell ref="A99:C99"/>
    <mergeCell ref="M8:O8"/>
    <mergeCell ref="M9:O9"/>
    <mergeCell ref="A83:AC83"/>
    <mergeCell ref="A85:C86"/>
    <mergeCell ref="F85:AC85"/>
    <mergeCell ref="A100:C100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114:C115"/>
    <mergeCell ref="F114:AC114"/>
    <mergeCell ref="A101:C101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2:AC112"/>
    <mergeCell ref="A122:C122"/>
    <mergeCell ref="A123:C123"/>
    <mergeCell ref="A124:C124"/>
    <mergeCell ref="A116:C116"/>
    <mergeCell ref="A117:C117"/>
    <mergeCell ref="A118:C118"/>
    <mergeCell ref="A119:C119"/>
    <mergeCell ref="A120:C120"/>
    <mergeCell ref="A121:C121"/>
  </mergeCells>
  <conditionalFormatting sqref="G108:AC108">
    <cfRule type="cellIs" dxfId="31106" priority="971" operator="greaterThan">
      <formula>60.3</formula>
    </cfRule>
  </conditionalFormatting>
  <conditionalFormatting sqref="G52:G54 H20:AC21 K16:P16 H39:I55 H15:J16 J55:L55 J24:AC24 H13:K14 H60:H62 H66:J71 H73:J73 K15 G57:L57 H56:L56 M55:P57 L13:P15 J34:P54 P52:P57 H65:AC65 H27:AC28 K60:AC60 Q13:AC16 Q34:AC57 L61:AC62 H76:AC77 K66:AC73">
    <cfRule type="cellIs" dxfId="31105" priority="963" operator="equal">
      <formula>"PMS"</formula>
    </cfRule>
    <cfRule type="containsText" dxfId="31104" priority="964" operator="containsText" text="CMS">
      <formula>NOT(ISERROR(SEARCH("CMS",G13)))</formula>
    </cfRule>
    <cfRule type="cellIs" dxfId="31103" priority="965" operator="equal">
      <formula>0</formula>
    </cfRule>
    <cfRule type="cellIs" dxfId="31102" priority="966" operator="greaterThan">
      <formula>0</formula>
    </cfRule>
    <cfRule type="cellIs" dxfId="31101" priority="967" operator="equal">
      <formula>"PMS"</formula>
    </cfRule>
    <cfRule type="containsText" dxfId="31100" priority="968" operator="containsText" text="CMS">
      <formula>NOT(ISERROR(SEARCH("CMS",G13)))</formula>
    </cfRule>
    <cfRule type="cellIs" dxfId="31099" priority="969" operator="equal">
      <formula>0</formula>
    </cfRule>
    <cfRule type="cellIs" dxfId="31098" priority="970" operator="greaterThan">
      <formula>0</formula>
    </cfRule>
  </conditionalFormatting>
  <conditionalFormatting sqref="O60:AC62 O76:AC77 O65:AC73">
    <cfRule type="cellIs" dxfId="31097" priority="959" operator="equal">
      <formula>"PMS"</formula>
    </cfRule>
    <cfRule type="containsText" dxfId="31096" priority="960" operator="containsText" text="CMS">
      <formula>NOT(ISERROR(SEARCH("CMS",O60)))</formula>
    </cfRule>
    <cfRule type="cellIs" dxfId="31095" priority="961" operator="equal">
      <formula>0</formula>
    </cfRule>
    <cfRule type="cellIs" dxfId="31094" priority="962" operator="greaterThan">
      <formula>0</formula>
    </cfRule>
  </conditionalFormatting>
  <conditionalFormatting sqref="P65:AC73">
    <cfRule type="cellIs" dxfId="31093" priority="955" operator="equal">
      <formula>"PMS"</formula>
    </cfRule>
    <cfRule type="containsText" dxfId="31092" priority="956" operator="containsText" text="CMS">
      <formula>NOT(ISERROR(SEARCH("CMS",P65)))</formula>
    </cfRule>
    <cfRule type="cellIs" dxfId="31091" priority="957" operator="equal">
      <formula>0</formula>
    </cfRule>
    <cfRule type="cellIs" dxfId="31090" priority="958" operator="greaterThan">
      <formula>0</formula>
    </cfRule>
  </conditionalFormatting>
  <conditionalFormatting sqref="O13:AC16">
    <cfRule type="cellIs" dxfId="31089" priority="951" operator="equal">
      <formula>"PMS"</formula>
    </cfRule>
    <cfRule type="containsText" dxfId="31088" priority="952" operator="containsText" text="CMS">
      <formula>NOT(ISERROR(SEARCH("CMS",O13)))</formula>
    </cfRule>
    <cfRule type="cellIs" dxfId="31087" priority="953" operator="equal">
      <formula>0</formula>
    </cfRule>
    <cfRule type="cellIs" dxfId="31086" priority="954" operator="greaterThan">
      <formula>0</formula>
    </cfRule>
  </conditionalFormatting>
  <conditionalFormatting sqref="P13:AC16">
    <cfRule type="cellIs" dxfId="31085" priority="947" operator="equal">
      <formula>"PMS"</formula>
    </cfRule>
    <cfRule type="containsText" dxfId="31084" priority="948" operator="containsText" text="CMS">
      <formula>NOT(ISERROR(SEARCH("CMS",P13)))</formula>
    </cfRule>
    <cfRule type="cellIs" dxfId="31083" priority="949" operator="equal">
      <formula>0</formula>
    </cfRule>
    <cfRule type="cellIs" dxfId="31082" priority="950" operator="greaterThan">
      <formula>0</formula>
    </cfRule>
  </conditionalFormatting>
  <conditionalFormatting sqref="O20:AC21">
    <cfRule type="cellIs" dxfId="31081" priority="943" operator="equal">
      <formula>"PMS"</formula>
    </cfRule>
    <cfRule type="containsText" dxfId="31080" priority="944" operator="containsText" text="CMS">
      <formula>NOT(ISERROR(SEARCH("CMS",O20)))</formula>
    </cfRule>
    <cfRule type="cellIs" dxfId="31079" priority="945" operator="equal">
      <formula>0</formula>
    </cfRule>
    <cfRule type="cellIs" dxfId="31078" priority="946" operator="greaterThan">
      <formula>0</formula>
    </cfRule>
  </conditionalFormatting>
  <conditionalFormatting sqref="P20:AC21">
    <cfRule type="cellIs" dxfId="31077" priority="939" operator="equal">
      <formula>"PMS"</formula>
    </cfRule>
    <cfRule type="containsText" dxfId="31076" priority="940" operator="containsText" text="CMS">
      <formula>NOT(ISERROR(SEARCH("CMS",P20)))</formula>
    </cfRule>
    <cfRule type="cellIs" dxfId="31075" priority="941" operator="equal">
      <formula>0</formula>
    </cfRule>
    <cfRule type="cellIs" dxfId="31074" priority="942" operator="greaterThan">
      <formula>0</formula>
    </cfRule>
  </conditionalFormatting>
  <conditionalFormatting sqref="O24:AC24">
    <cfRule type="cellIs" dxfId="31073" priority="935" operator="equal">
      <formula>"PMS"</formula>
    </cfRule>
    <cfRule type="containsText" dxfId="31072" priority="936" operator="containsText" text="CMS">
      <formula>NOT(ISERROR(SEARCH("CMS",O24)))</formula>
    </cfRule>
    <cfRule type="cellIs" dxfId="31071" priority="937" operator="equal">
      <formula>0</formula>
    </cfRule>
    <cfRule type="cellIs" dxfId="31070" priority="938" operator="greaterThan">
      <formula>0</formula>
    </cfRule>
  </conditionalFormatting>
  <conditionalFormatting sqref="P24:AC24">
    <cfRule type="cellIs" dxfId="31069" priority="931" operator="equal">
      <formula>"PMS"</formula>
    </cfRule>
    <cfRule type="containsText" dxfId="31068" priority="932" operator="containsText" text="CMS">
      <formula>NOT(ISERROR(SEARCH("CMS",P24)))</formula>
    </cfRule>
    <cfRule type="cellIs" dxfId="31067" priority="933" operator="equal">
      <formula>0</formula>
    </cfRule>
    <cfRule type="cellIs" dxfId="31066" priority="934" operator="greaterThan">
      <formula>0</formula>
    </cfRule>
  </conditionalFormatting>
  <conditionalFormatting sqref="O27:AC28">
    <cfRule type="cellIs" dxfId="31065" priority="927" operator="equal">
      <formula>"PMS"</formula>
    </cfRule>
    <cfRule type="containsText" dxfId="31064" priority="928" operator="containsText" text="CMS">
      <formula>NOT(ISERROR(SEARCH("CMS",O27)))</formula>
    </cfRule>
    <cfRule type="cellIs" dxfId="31063" priority="929" operator="equal">
      <formula>0</formula>
    </cfRule>
    <cfRule type="cellIs" dxfId="31062" priority="930" operator="greaterThan">
      <formula>0</formula>
    </cfRule>
  </conditionalFormatting>
  <conditionalFormatting sqref="P27:AC28">
    <cfRule type="cellIs" dxfId="31061" priority="923" operator="equal">
      <formula>"PMS"</formula>
    </cfRule>
    <cfRule type="containsText" dxfId="31060" priority="924" operator="containsText" text="CMS">
      <formula>NOT(ISERROR(SEARCH("CMS",P27)))</formula>
    </cfRule>
    <cfRule type="cellIs" dxfId="31059" priority="925" operator="equal">
      <formula>0</formula>
    </cfRule>
    <cfRule type="cellIs" dxfId="31058" priority="926" operator="greaterThan">
      <formula>0</formula>
    </cfRule>
  </conditionalFormatting>
  <conditionalFormatting sqref="O34:AC57">
    <cfRule type="cellIs" dxfId="31057" priority="919" operator="equal">
      <formula>"PMS"</formula>
    </cfRule>
    <cfRule type="containsText" dxfId="31056" priority="920" operator="containsText" text="CMS">
      <formula>NOT(ISERROR(SEARCH("CMS",O34)))</formula>
    </cfRule>
    <cfRule type="cellIs" dxfId="31055" priority="921" operator="equal">
      <formula>0</formula>
    </cfRule>
    <cfRule type="cellIs" dxfId="31054" priority="922" operator="greaterThan">
      <formula>0</formula>
    </cfRule>
  </conditionalFormatting>
  <conditionalFormatting sqref="O50 O37:O42 O44:O48 O52:P57 V47:W48 P49:AC57 O48:AC48 P34:AC47">
    <cfRule type="cellIs" dxfId="31053" priority="915" operator="equal">
      <formula>"PMS"</formula>
    </cfRule>
    <cfRule type="containsText" dxfId="31052" priority="916" operator="containsText" text="CMS">
      <formula>NOT(ISERROR(SEARCH("CMS",O34)))</formula>
    </cfRule>
    <cfRule type="cellIs" dxfId="31051" priority="917" operator="equal">
      <formula>0</formula>
    </cfRule>
    <cfRule type="cellIs" dxfId="31050" priority="918" operator="greaterThan">
      <formula>0</formula>
    </cfRule>
  </conditionalFormatting>
  <conditionalFormatting sqref="V13:AC13 V14:X16">
    <cfRule type="cellIs" dxfId="31049" priority="911" operator="equal">
      <formula>"PMS"</formula>
    </cfRule>
    <cfRule type="containsText" dxfId="31048" priority="912" operator="containsText" text="CMS">
      <formula>NOT(ISERROR(SEARCH("CMS",V13)))</formula>
    </cfRule>
    <cfRule type="cellIs" dxfId="31047" priority="913" operator="equal">
      <formula>0</formula>
    </cfRule>
    <cfRule type="cellIs" dxfId="31046" priority="914" operator="greaterThan">
      <formula>0</formula>
    </cfRule>
  </conditionalFormatting>
  <conditionalFormatting sqref="V13:AC13 V14:X16">
    <cfRule type="cellIs" dxfId="31045" priority="907" operator="equal">
      <formula>"PMS"</formula>
    </cfRule>
    <cfRule type="containsText" dxfId="31044" priority="908" operator="containsText" text="CMS">
      <formula>NOT(ISERROR(SEARCH("CMS",V13)))</formula>
    </cfRule>
    <cfRule type="cellIs" dxfId="31043" priority="909" operator="equal">
      <formula>0</formula>
    </cfRule>
    <cfRule type="cellIs" dxfId="31042" priority="910" operator="greaterThan">
      <formula>0</formula>
    </cfRule>
  </conditionalFormatting>
  <conditionalFormatting sqref="X56:AC56">
    <cfRule type="cellIs" dxfId="31041" priority="903" operator="equal">
      <formula>"PMS"</formula>
    </cfRule>
    <cfRule type="containsText" dxfId="31040" priority="904" operator="containsText" text="CMS">
      <formula>NOT(ISERROR(SEARCH("CMS",X56)))</formula>
    </cfRule>
    <cfRule type="cellIs" dxfId="31039" priority="905" operator="equal">
      <formula>0</formula>
    </cfRule>
    <cfRule type="cellIs" dxfId="31038" priority="906" operator="greaterThan">
      <formula>0</formula>
    </cfRule>
  </conditionalFormatting>
  <conditionalFormatting sqref="X56:AC56">
    <cfRule type="cellIs" dxfId="31037" priority="899" operator="equal">
      <formula>"PMS"</formula>
    </cfRule>
    <cfRule type="containsText" dxfId="31036" priority="900" operator="containsText" text="CMS">
      <formula>NOT(ISERROR(SEARCH("CMS",X56)))</formula>
    </cfRule>
    <cfRule type="cellIs" dxfId="31035" priority="901" operator="equal">
      <formula>0</formula>
    </cfRule>
    <cfRule type="cellIs" dxfId="31034" priority="902" operator="greaterThan">
      <formula>0</formula>
    </cfRule>
  </conditionalFormatting>
  <conditionalFormatting sqref="X56:AC56">
    <cfRule type="cellIs" dxfId="31033" priority="895" operator="equal">
      <formula>"PMS"</formula>
    </cfRule>
    <cfRule type="containsText" dxfId="31032" priority="896" operator="containsText" text="CMS">
      <formula>NOT(ISERROR(SEARCH("CMS",X56)))</formula>
    </cfRule>
    <cfRule type="cellIs" dxfId="31031" priority="897" operator="equal">
      <formula>0</formula>
    </cfRule>
    <cfRule type="cellIs" dxfId="31030" priority="898" operator="greaterThan">
      <formula>0</formula>
    </cfRule>
  </conditionalFormatting>
  <conditionalFormatting sqref="X56:AC56">
    <cfRule type="cellIs" dxfId="31029" priority="891" operator="equal">
      <formula>"PMS"</formula>
    </cfRule>
    <cfRule type="containsText" dxfId="31028" priority="892" operator="containsText" text="CMS">
      <formula>NOT(ISERROR(SEARCH("CMS",X56)))</formula>
    </cfRule>
    <cfRule type="cellIs" dxfId="31027" priority="893" operator="equal">
      <formula>0</formula>
    </cfRule>
    <cfRule type="cellIs" dxfId="31026" priority="894" operator="greaterThan">
      <formula>0</formula>
    </cfRule>
  </conditionalFormatting>
  <conditionalFormatting sqref="AB57:AC57">
    <cfRule type="cellIs" dxfId="31025" priority="887" operator="equal">
      <formula>"PMS"</formula>
    </cfRule>
    <cfRule type="containsText" dxfId="31024" priority="888" operator="containsText" text="CMS">
      <formula>NOT(ISERROR(SEARCH("CMS",AB57)))</formula>
    </cfRule>
    <cfRule type="cellIs" dxfId="31023" priority="889" operator="equal">
      <formula>0</formula>
    </cfRule>
    <cfRule type="cellIs" dxfId="31022" priority="890" operator="greaterThan">
      <formula>0</formula>
    </cfRule>
  </conditionalFormatting>
  <conditionalFormatting sqref="AB57:AC57">
    <cfRule type="cellIs" dxfId="31021" priority="883" operator="equal">
      <formula>"PMS"</formula>
    </cfRule>
    <cfRule type="containsText" dxfId="31020" priority="884" operator="containsText" text="CMS">
      <formula>NOT(ISERROR(SEARCH("CMS",AB57)))</formula>
    </cfRule>
    <cfRule type="cellIs" dxfId="31019" priority="885" operator="equal">
      <formula>0</formula>
    </cfRule>
    <cfRule type="cellIs" dxfId="31018" priority="886" operator="greaterThan">
      <formula>0</formula>
    </cfRule>
  </conditionalFormatting>
  <conditionalFormatting sqref="AB57:AC57">
    <cfRule type="cellIs" dxfId="31017" priority="879" operator="equal">
      <formula>"PMS"</formula>
    </cfRule>
    <cfRule type="containsText" dxfId="31016" priority="880" operator="containsText" text="CMS">
      <formula>NOT(ISERROR(SEARCH("CMS",AB57)))</formula>
    </cfRule>
    <cfRule type="cellIs" dxfId="31015" priority="881" operator="equal">
      <formula>0</formula>
    </cfRule>
    <cfRule type="cellIs" dxfId="31014" priority="882" operator="greaterThan">
      <formula>0</formula>
    </cfRule>
  </conditionalFormatting>
  <conditionalFormatting sqref="AB57:AC57">
    <cfRule type="cellIs" dxfId="31013" priority="875" operator="equal">
      <formula>"PMS"</formula>
    </cfRule>
    <cfRule type="containsText" dxfId="31012" priority="876" operator="containsText" text="CMS">
      <formula>NOT(ISERROR(SEARCH("CMS",AB57)))</formula>
    </cfRule>
    <cfRule type="cellIs" dxfId="31011" priority="877" operator="equal">
      <formula>0</formula>
    </cfRule>
    <cfRule type="cellIs" dxfId="31010" priority="878" operator="greaterThan">
      <formula>0</formula>
    </cfRule>
  </conditionalFormatting>
  <conditionalFormatting sqref="AB77">
    <cfRule type="cellIs" dxfId="31009" priority="871" operator="equal">
      <formula>"PMS"</formula>
    </cfRule>
    <cfRule type="containsText" dxfId="31008" priority="872" operator="containsText" text="CMS">
      <formula>NOT(ISERROR(SEARCH("CMS",AB77)))</formula>
    </cfRule>
    <cfRule type="cellIs" dxfId="31007" priority="873" operator="equal">
      <formula>0</formula>
    </cfRule>
    <cfRule type="cellIs" dxfId="31006" priority="874" operator="greaterThan">
      <formula>0</formula>
    </cfRule>
  </conditionalFormatting>
  <conditionalFormatting sqref="AB77">
    <cfRule type="cellIs" dxfId="31005" priority="867" operator="equal">
      <formula>"PMS"</formula>
    </cfRule>
    <cfRule type="containsText" dxfId="31004" priority="868" operator="containsText" text="CMS">
      <formula>NOT(ISERROR(SEARCH("CMS",AB77)))</formula>
    </cfRule>
    <cfRule type="cellIs" dxfId="31003" priority="869" operator="equal">
      <formula>0</formula>
    </cfRule>
    <cfRule type="cellIs" dxfId="31002" priority="870" operator="greaterThan">
      <formula>0</formula>
    </cfRule>
  </conditionalFormatting>
  <conditionalFormatting sqref="O43:O48">
    <cfRule type="cellIs" dxfId="31001" priority="863" operator="equal">
      <formula>"PMS"</formula>
    </cfRule>
    <cfRule type="containsText" dxfId="31000" priority="864" operator="containsText" text="CMS">
      <formula>NOT(ISERROR(SEARCH("CMS",O43)))</formula>
    </cfRule>
    <cfRule type="cellIs" dxfId="30999" priority="865" operator="equal">
      <formula>0</formula>
    </cfRule>
    <cfRule type="cellIs" dxfId="30998" priority="866" operator="greaterThan">
      <formula>0</formula>
    </cfRule>
  </conditionalFormatting>
  <conditionalFormatting sqref="O54:O55">
    <cfRule type="cellIs" dxfId="30997" priority="859" operator="equal">
      <formula>"PMS"</formula>
    </cfRule>
    <cfRule type="containsText" dxfId="30996" priority="860" operator="containsText" text="CMS">
      <formula>NOT(ISERROR(SEARCH("CMS",O54)))</formula>
    </cfRule>
    <cfRule type="cellIs" dxfId="30995" priority="861" operator="equal">
      <formula>0</formula>
    </cfRule>
    <cfRule type="cellIs" dxfId="30994" priority="862" operator="greaterThan">
      <formula>0</formula>
    </cfRule>
  </conditionalFormatting>
  <conditionalFormatting sqref="O48">
    <cfRule type="cellIs" dxfId="30993" priority="855" operator="equal">
      <formula>"PMS"</formula>
    </cfRule>
    <cfRule type="containsText" dxfId="30992" priority="856" operator="containsText" text="CMS">
      <formula>NOT(ISERROR(SEARCH("CMS",O48)))</formula>
    </cfRule>
    <cfRule type="cellIs" dxfId="30991" priority="857" operator="equal">
      <formula>0</formula>
    </cfRule>
    <cfRule type="cellIs" dxfId="30990" priority="858" operator="greaterThan">
      <formula>0</formula>
    </cfRule>
  </conditionalFormatting>
  <conditionalFormatting sqref="O54:O56">
    <cfRule type="cellIs" dxfId="30989" priority="851" operator="equal">
      <formula>"PMS"</formula>
    </cfRule>
    <cfRule type="containsText" dxfId="30988" priority="852" operator="containsText" text="CMS">
      <formula>NOT(ISERROR(SEARCH("CMS",O54)))</formula>
    </cfRule>
    <cfRule type="cellIs" dxfId="30987" priority="853" operator="equal">
      <formula>0</formula>
    </cfRule>
    <cfRule type="cellIs" dxfId="30986" priority="854" operator="greaterThan">
      <formula>0</formula>
    </cfRule>
  </conditionalFormatting>
  <conditionalFormatting sqref="Q24:V24">
    <cfRule type="cellIs" dxfId="30985" priority="847" operator="equal">
      <formula>"PMS"</formula>
    </cfRule>
    <cfRule type="containsText" dxfId="30984" priority="848" operator="containsText" text="CMS">
      <formula>NOT(ISERROR(SEARCH("CMS",Q24)))</formula>
    </cfRule>
    <cfRule type="cellIs" dxfId="30983" priority="849" operator="equal">
      <formula>0</formula>
    </cfRule>
    <cfRule type="cellIs" dxfId="30982" priority="850" operator="greaterThan">
      <formula>0</formula>
    </cfRule>
  </conditionalFormatting>
  <conditionalFormatting sqref="Q24:V24">
    <cfRule type="cellIs" dxfId="30981" priority="843" operator="equal">
      <formula>"PMS"</formula>
    </cfRule>
    <cfRule type="containsText" dxfId="30980" priority="844" operator="containsText" text="CMS">
      <formula>NOT(ISERROR(SEARCH("CMS",Q24)))</formula>
    </cfRule>
    <cfRule type="cellIs" dxfId="30979" priority="845" operator="equal">
      <formula>0</formula>
    </cfRule>
    <cfRule type="cellIs" dxfId="30978" priority="846" operator="greaterThan">
      <formula>0</formula>
    </cfRule>
  </conditionalFormatting>
  <conditionalFormatting sqref="Q27:V28">
    <cfRule type="cellIs" dxfId="30977" priority="839" operator="equal">
      <formula>"PMS"</formula>
    </cfRule>
    <cfRule type="containsText" dxfId="30976" priority="840" operator="containsText" text="CMS">
      <formula>NOT(ISERROR(SEARCH("CMS",Q27)))</formula>
    </cfRule>
    <cfRule type="cellIs" dxfId="30975" priority="841" operator="equal">
      <formula>0</formula>
    </cfRule>
    <cfRule type="cellIs" dxfId="30974" priority="842" operator="greaterThan">
      <formula>0</formula>
    </cfRule>
  </conditionalFormatting>
  <conditionalFormatting sqref="Q27:V28">
    <cfRule type="cellIs" dxfId="30973" priority="835" operator="equal">
      <formula>"PMS"</formula>
    </cfRule>
    <cfRule type="containsText" dxfId="30972" priority="836" operator="containsText" text="CMS">
      <formula>NOT(ISERROR(SEARCH("CMS",Q27)))</formula>
    </cfRule>
    <cfRule type="cellIs" dxfId="30971" priority="837" operator="equal">
      <formula>0</formula>
    </cfRule>
    <cfRule type="cellIs" dxfId="30970" priority="838" operator="greaterThan">
      <formula>0</formula>
    </cfRule>
  </conditionalFormatting>
  <conditionalFormatting sqref="R27:V28">
    <cfRule type="cellIs" dxfId="30969" priority="831" operator="equal">
      <formula>"PMS"</formula>
    </cfRule>
    <cfRule type="containsText" dxfId="30968" priority="832" operator="containsText" text="CMS">
      <formula>NOT(ISERROR(SEARCH("CMS",R27)))</formula>
    </cfRule>
    <cfRule type="cellIs" dxfId="30967" priority="833" operator="equal">
      <formula>0</formula>
    </cfRule>
    <cfRule type="cellIs" dxfId="30966" priority="834" operator="greaterThan">
      <formula>0</formula>
    </cfRule>
  </conditionalFormatting>
  <conditionalFormatting sqref="R27:V28">
    <cfRule type="cellIs" dxfId="30965" priority="827" operator="equal">
      <formula>"PMS"</formula>
    </cfRule>
    <cfRule type="containsText" dxfId="30964" priority="828" operator="containsText" text="CMS">
      <formula>NOT(ISERROR(SEARCH("CMS",R27)))</formula>
    </cfRule>
    <cfRule type="cellIs" dxfId="30963" priority="829" operator="equal">
      <formula>0</formula>
    </cfRule>
    <cfRule type="cellIs" dxfId="30962" priority="830" operator="greaterThan">
      <formula>0</formula>
    </cfRule>
  </conditionalFormatting>
  <conditionalFormatting sqref="O54:O55">
    <cfRule type="cellIs" dxfId="30961" priority="823" operator="equal">
      <formula>"PMS"</formula>
    </cfRule>
    <cfRule type="containsText" dxfId="30960" priority="824" operator="containsText" text="CMS">
      <formula>NOT(ISERROR(SEARCH("CMS",O54)))</formula>
    </cfRule>
    <cfRule type="cellIs" dxfId="30959" priority="825" operator="equal">
      <formula>0</formula>
    </cfRule>
    <cfRule type="cellIs" dxfId="30958" priority="826" operator="greaterThan">
      <formula>0</formula>
    </cfRule>
  </conditionalFormatting>
  <conditionalFormatting sqref="O44">
    <cfRule type="cellIs" dxfId="30957" priority="819" operator="equal">
      <formula>"PMS"</formula>
    </cfRule>
    <cfRule type="containsText" dxfId="30956" priority="820" operator="containsText" text="CMS">
      <formula>NOT(ISERROR(SEARCH("CMS",O44)))</formula>
    </cfRule>
    <cfRule type="cellIs" dxfId="30955" priority="821" operator="equal">
      <formula>0</formula>
    </cfRule>
    <cfRule type="cellIs" dxfId="30954" priority="822" operator="greaterThan">
      <formula>0</formula>
    </cfRule>
  </conditionalFormatting>
  <conditionalFormatting sqref="O44">
    <cfRule type="cellIs" dxfId="30953" priority="815" operator="equal">
      <formula>"PMS"</formula>
    </cfRule>
    <cfRule type="containsText" dxfId="30952" priority="816" operator="containsText" text="CMS">
      <formula>NOT(ISERROR(SEARCH("CMS",O44)))</formula>
    </cfRule>
    <cfRule type="cellIs" dxfId="30951" priority="817" operator="equal">
      <formula>0</formula>
    </cfRule>
    <cfRule type="cellIs" dxfId="30950" priority="818" operator="greaterThan">
      <formula>0</formula>
    </cfRule>
  </conditionalFormatting>
  <conditionalFormatting sqref="O44">
    <cfRule type="cellIs" dxfId="30949" priority="811" operator="equal">
      <formula>"PMS"</formula>
    </cfRule>
    <cfRule type="containsText" dxfId="30948" priority="812" operator="containsText" text="CMS">
      <formula>NOT(ISERROR(SEARCH("CMS",O44)))</formula>
    </cfRule>
    <cfRule type="cellIs" dxfId="30947" priority="813" operator="equal">
      <formula>0</formula>
    </cfRule>
    <cfRule type="cellIs" dxfId="30946" priority="814" operator="greaterThan">
      <formula>0</formula>
    </cfRule>
  </conditionalFormatting>
  <conditionalFormatting sqref="O45">
    <cfRule type="cellIs" dxfId="30945" priority="807" operator="equal">
      <formula>"PMS"</formula>
    </cfRule>
    <cfRule type="containsText" dxfId="30944" priority="808" operator="containsText" text="CMS">
      <formula>NOT(ISERROR(SEARCH("CMS",O45)))</formula>
    </cfRule>
    <cfRule type="cellIs" dxfId="30943" priority="809" operator="equal">
      <formula>0</formula>
    </cfRule>
    <cfRule type="cellIs" dxfId="30942" priority="810" operator="greaterThan">
      <formula>0</formula>
    </cfRule>
  </conditionalFormatting>
  <conditionalFormatting sqref="O45">
    <cfRule type="cellIs" dxfId="30941" priority="803" operator="equal">
      <formula>"PMS"</formula>
    </cfRule>
    <cfRule type="containsText" dxfId="30940" priority="804" operator="containsText" text="CMS">
      <formula>NOT(ISERROR(SEARCH("CMS",O45)))</formula>
    </cfRule>
    <cfRule type="cellIs" dxfId="30939" priority="805" operator="equal">
      <formula>0</formula>
    </cfRule>
    <cfRule type="cellIs" dxfId="30938" priority="806" operator="greaterThan">
      <formula>0</formula>
    </cfRule>
  </conditionalFormatting>
  <conditionalFormatting sqref="O45">
    <cfRule type="cellIs" dxfId="30937" priority="799" operator="equal">
      <formula>"PMS"</formula>
    </cfRule>
    <cfRule type="containsText" dxfId="30936" priority="800" operator="containsText" text="CMS">
      <formula>NOT(ISERROR(SEARCH("CMS",O45)))</formula>
    </cfRule>
    <cfRule type="cellIs" dxfId="30935" priority="801" operator="equal">
      <formula>0</formula>
    </cfRule>
    <cfRule type="cellIs" dxfId="30934" priority="802" operator="greaterThan">
      <formula>0</formula>
    </cfRule>
  </conditionalFormatting>
  <conditionalFormatting sqref="J19:AC19">
    <cfRule type="cellIs" dxfId="30933" priority="795" operator="equal">
      <formula>"CMS"</formula>
    </cfRule>
    <cfRule type="cellIs" dxfId="30932" priority="796" operator="equal">
      <formula>"PMS"</formula>
    </cfRule>
    <cfRule type="cellIs" dxfId="30931" priority="797" operator="greaterThan">
      <formula>0</formula>
    </cfRule>
    <cfRule type="cellIs" dxfId="30930" priority="798" operator="equal">
      <formula>0</formula>
    </cfRule>
  </conditionalFormatting>
  <conditionalFormatting sqref="G60">
    <cfRule type="cellIs" dxfId="30929" priority="791" operator="equal">
      <formula>"CMS"</formula>
    </cfRule>
    <cfRule type="cellIs" dxfId="30928" priority="792" operator="equal">
      <formula>"PMS"</formula>
    </cfRule>
    <cfRule type="cellIs" dxfId="30927" priority="793" operator="greaterThan">
      <formula>0</formula>
    </cfRule>
    <cfRule type="cellIs" dxfId="30926" priority="794" operator="equal">
      <formula>0</formula>
    </cfRule>
  </conditionalFormatting>
  <conditionalFormatting sqref="G76:G77">
    <cfRule type="cellIs" dxfId="30925" priority="786" operator="equal">
      <formula>"EOC"</formula>
    </cfRule>
    <cfRule type="cellIs" dxfId="30924" priority="787" operator="equal">
      <formula>"CMS"</formula>
    </cfRule>
    <cfRule type="cellIs" dxfId="30923" priority="788" operator="equal">
      <formula>"PMS"</formula>
    </cfRule>
    <cfRule type="cellIs" dxfId="30922" priority="789" operator="greaterThan">
      <formula>0</formula>
    </cfRule>
    <cfRule type="cellIs" dxfId="30921" priority="790" operator="equal">
      <formula>0</formula>
    </cfRule>
  </conditionalFormatting>
  <conditionalFormatting sqref="F108">
    <cfRule type="cellIs" dxfId="30920" priority="785" operator="greaterThan">
      <formula>60.3</formula>
    </cfRule>
  </conditionalFormatting>
  <conditionalFormatting sqref="G35:G43 G49:G51 G46">
    <cfRule type="cellIs" dxfId="30919" priority="777" operator="equal">
      <formula>"PMS"</formula>
    </cfRule>
    <cfRule type="containsText" dxfId="30918" priority="778" operator="containsText" text="CMS">
      <formula>NOT(ISERROR(SEARCH("CMS",G35)))</formula>
    </cfRule>
    <cfRule type="cellIs" dxfId="30917" priority="779" operator="equal">
      <formula>0</formula>
    </cfRule>
    <cfRule type="cellIs" dxfId="30916" priority="780" operator="greaterThan">
      <formula>0</formula>
    </cfRule>
    <cfRule type="cellIs" dxfId="30915" priority="781" operator="equal">
      <formula>"PMS"</formula>
    </cfRule>
    <cfRule type="containsText" dxfId="30914" priority="782" operator="containsText" text="CMS">
      <formula>NOT(ISERROR(SEARCH("CMS",G35)))</formula>
    </cfRule>
    <cfRule type="cellIs" dxfId="30913" priority="783" operator="equal">
      <formula>0</formula>
    </cfRule>
    <cfRule type="cellIs" dxfId="30912" priority="784" operator="greaterThan">
      <formula>0</formula>
    </cfRule>
  </conditionalFormatting>
  <conditionalFormatting sqref="G35:G43 G49:G51 G46">
    <cfRule type="cellIs" dxfId="30911" priority="773" operator="equal">
      <formula>"PMS"</formula>
    </cfRule>
    <cfRule type="containsText" dxfId="30910" priority="774" operator="containsText" text="CMS">
      <formula>NOT(ISERROR(SEARCH("CMS",G35)))</formula>
    </cfRule>
    <cfRule type="cellIs" dxfId="30909" priority="775" operator="equal">
      <formula>0</formula>
    </cfRule>
    <cfRule type="cellIs" dxfId="30908" priority="776" operator="greaterThan">
      <formula>0</formula>
    </cfRule>
  </conditionalFormatting>
  <conditionalFormatting sqref="G35:G43 G49:G51 G46">
    <cfRule type="cellIs" dxfId="30907" priority="769" operator="equal">
      <formula>"PMS"</formula>
    </cfRule>
    <cfRule type="containsText" dxfId="30906" priority="770" operator="containsText" text="CMS">
      <formula>NOT(ISERROR(SEARCH("CMS",G35)))</formula>
    </cfRule>
    <cfRule type="cellIs" dxfId="30905" priority="771" operator="equal">
      <formula>0</formula>
    </cfRule>
    <cfRule type="cellIs" dxfId="30904" priority="772" operator="greaterThan">
      <formula>0</formula>
    </cfRule>
  </conditionalFormatting>
  <conditionalFormatting sqref="H35:H38">
    <cfRule type="cellIs" dxfId="30903" priority="761" operator="equal">
      <formula>"PMS"</formula>
    </cfRule>
    <cfRule type="containsText" dxfId="30902" priority="762" operator="containsText" text="CMS">
      <formula>NOT(ISERROR(SEARCH("CMS",H35)))</formula>
    </cfRule>
    <cfRule type="cellIs" dxfId="30901" priority="763" operator="equal">
      <formula>0</formula>
    </cfRule>
    <cfRule type="cellIs" dxfId="30900" priority="764" operator="greaterThan">
      <formula>0</formula>
    </cfRule>
    <cfRule type="cellIs" dxfId="30899" priority="765" operator="equal">
      <formula>"PMS"</formula>
    </cfRule>
    <cfRule type="containsText" dxfId="30898" priority="766" operator="containsText" text="CMS">
      <formula>NOT(ISERROR(SEARCH("CMS",H35)))</formula>
    </cfRule>
    <cfRule type="cellIs" dxfId="30897" priority="767" operator="equal">
      <formula>0</formula>
    </cfRule>
    <cfRule type="cellIs" dxfId="30896" priority="768" operator="greaterThan">
      <formula>0</formula>
    </cfRule>
  </conditionalFormatting>
  <conditionalFormatting sqref="H35:H38">
    <cfRule type="cellIs" dxfId="30895" priority="757" operator="equal">
      <formula>"PMS"</formula>
    </cfRule>
    <cfRule type="containsText" dxfId="30894" priority="758" operator="containsText" text="CMS">
      <formula>NOT(ISERROR(SEARCH("CMS",H35)))</formula>
    </cfRule>
    <cfRule type="cellIs" dxfId="30893" priority="759" operator="equal">
      <formula>0</formula>
    </cfRule>
    <cfRule type="cellIs" dxfId="30892" priority="760" operator="greaterThan">
      <formula>0</formula>
    </cfRule>
  </conditionalFormatting>
  <conditionalFormatting sqref="H35:H38">
    <cfRule type="cellIs" dxfId="30891" priority="753" operator="equal">
      <formula>"PMS"</formula>
    </cfRule>
    <cfRule type="containsText" dxfId="30890" priority="754" operator="containsText" text="CMS">
      <formula>NOT(ISERROR(SEARCH("CMS",H35)))</formula>
    </cfRule>
    <cfRule type="cellIs" dxfId="30889" priority="755" operator="equal">
      <formula>0</formula>
    </cfRule>
    <cfRule type="cellIs" dxfId="30888" priority="756" operator="greaterThan">
      <formula>0</formula>
    </cfRule>
  </conditionalFormatting>
  <conditionalFormatting sqref="I35:I38">
    <cfRule type="cellIs" dxfId="30887" priority="745" operator="equal">
      <formula>"PMS"</formula>
    </cfRule>
    <cfRule type="containsText" dxfId="30886" priority="746" operator="containsText" text="CMS">
      <formula>NOT(ISERROR(SEARCH("CMS",I35)))</formula>
    </cfRule>
    <cfRule type="cellIs" dxfId="30885" priority="747" operator="equal">
      <formula>0</formula>
    </cfRule>
    <cfRule type="cellIs" dxfId="30884" priority="748" operator="greaterThan">
      <formula>0</formula>
    </cfRule>
    <cfRule type="cellIs" dxfId="30883" priority="749" operator="equal">
      <formula>"PMS"</formula>
    </cfRule>
    <cfRule type="containsText" dxfId="30882" priority="750" operator="containsText" text="CMS">
      <formula>NOT(ISERROR(SEARCH("CMS",I35)))</formula>
    </cfRule>
    <cfRule type="cellIs" dxfId="30881" priority="751" operator="equal">
      <formula>0</formula>
    </cfRule>
    <cfRule type="cellIs" dxfId="30880" priority="752" operator="greaterThan">
      <formula>0</formula>
    </cfRule>
  </conditionalFormatting>
  <conditionalFormatting sqref="I35:I38">
    <cfRule type="cellIs" dxfId="30879" priority="741" operator="equal">
      <formula>"PMS"</formula>
    </cfRule>
    <cfRule type="containsText" dxfId="30878" priority="742" operator="containsText" text="CMS">
      <formula>NOT(ISERROR(SEARCH("CMS",I35)))</formula>
    </cfRule>
    <cfRule type="cellIs" dxfId="30877" priority="743" operator="equal">
      <formula>0</formula>
    </cfRule>
    <cfRule type="cellIs" dxfId="30876" priority="744" operator="greaterThan">
      <formula>0</formula>
    </cfRule>
  </conditionalFormatting>
  <conditionalFormatting sqref="I35:I38">
    <cfRule type="cellIs" dxfId="30875" priority="737" operator="equal">
      <formula>"PMS"</formula>
    </cfRule>
    <cfRule type="containsText" dxfId="30874" priority="738" operator="containsText" text="CMS">
      <formula>NOT(ISERROR(SEARCH("CMS",I35)))</formula>
    </cfRule>
    <cfRule type="cellIs" dxfId="30873" priority="739" operator="equal">
      <formula>0</formula>
    </cfRule>
    <cfRule type="cellIs" dxfId="30872" priority="740" operator="greaterThan">
      <formula>0</formula>
    </cfRule>
  </conditionalFormatting>
  <conditionalFormatting sqref="O48">
    <cfRule type="cellIs" dxfId="30871" priority="733" operator="equal">
      <formula>"PMS"</formula>
    </cfRule>
    <cfRule type="containsText" dxfId="30870" priority="734" operator="containsText" text="CMS">
      <formula>NOT(ISERROR(SEARCH("CMS",O48)))</formula>
    </cfRule>
    <cfRule type="cellIs" dxfId="30869" priority="735" operator="equal">
      <formula>0</formula>
    </cfRule>
    <cfRule type="cellIs" dxfId="30868" priority="736" operator="greaterThan">
      <formula>0</formula>
    </cfRule>
  </conditionalFormatting>
  <conditionalFormatting sqref="O54:O55">
    <cfRule type="cellIs" dxfId="30867" priority="729" operator="equal">
      <formula>"PMS"</formula>
    </cfRule>
    <cfRule type="containsText" dxfId="30866" priority="730" operator="containsText" text="CMS">
      <formula>NOT(ISERROR(SEARCH("CMS",O54)))</formula>
    </cfRule>
    <cfRule type="cellIs" dxfId="30865" priority="731" operator="equal">
      <formula>0</formula>
    </cfRule>
    <cfRule type="cellIs" dxfId="30864" priority="732" operator="greaterThan">
      <formula>0</formula>
    </cfRule>
  </conditionalFormatting>
  <conditionalFormatting sqref="O56">
    <cfRule type="cellIs" dxfId="30863" priority="725" operator="equal">
      <formula>"PMS"</formula>
    </cfRule>
    <cfRule type="containsText" dxfId="30862" priority="726" operator="containsText" text="CMS">
      <formula>NOT(ISERROR(SEARCH("CMS",O56)))</formula>
    </cfRule>
    <cfRule type="cellIs" dxfId="30861" priority="727" operator="equal">
      <formula>0</formula>
    </cfRule>
    <cfRule type="cellIs" dxfId="30860" priority="728" operator="greaterThan">
      <formula>0</formula>
    </cfRule>
  </conditionalFormatting>
  <conditionalFormatting sqref="O48">
    <cfRule type="cellIs" dxfId="30859" priority="721" operator="equal">
      <formula>"PMS"</formula>
    </cfRule>
    <cfRule type="containsText" dxfId="30858" priority="722" operator="containsText" text="CMS">
      <formula>NOT(ISERROR(SEARCH("CMS",O48)))</formula>
    </cfRule>
    <cfRule type="cellIs" dxfId="30857" priority="723" operator="equal">
      <formula>0</formula>
    </cfRule>
    <cfRule type="cellIs" dxfId="30856" priority="724" operator="greaterThan">
      <formula>0</formula>
    </cfRule>
  </conditionalFormatting>
  <conditionalFormatting sqref="O54:O56">
    <cfRule type="cellIs" dxfId="30855" priority="717" operator="equal">
      <formula>"PMS"</formula>
    </cfRule>
    <cfRule type="containsText" dxfId="30854" priority="718" operator="containsText" text="CMS">
      <formula>NOT(ISERROR(SEARCH("CMS",O54)))</formula>
    </cfRule>
    <cfRule type="cellIs" dxfId="30853" priority="719" operator="equal">
      <formula>0</formula>
    </cfRule>
    <cfRule type="cellIs" dxfId="30852" priority="720" operator="greaterThan">
      <formula>0</formula>
    </cfRule>
  </conditionalFormatting>
  <conditionalFormatting sqref="O48">
    <cfRule type="cellIs" dxfId="30851" priority="713" operator="equal">
      <formula>"PMS"</formula>
    </cfRule>
    <cfRule type="containsText" dxfId="30850" priority="714" operator="containsText" text="CMS">
      <formula>NOT(ISERROR(SEARCH("CMS",O48)))</formula>
    </cfRule>
    <cfRule type="cellIs" dxfId="30849" priority="715" operator="equal">
      <formula>0</formula>
    </cfRule>
    <cfRule type="cellIs" dxfId="30848" priority="716" operator="greaterThan">
      <formula>0</formula>
    </cfRule>
  </conditionalFormatting>
  <conditionalFormatting sqref="O54:O56">
    <cfRule type="cellIs" dxfId="30847" priority="709" operator="equal">
      <formula>"PMS"</formula>
    </cfRule>
    <cfRule type="containsText" dxfId="30846" priority="710" operator="containsText" text="CMS">
      <formula>NOT(ISERROR(SEARCH("CMS",O54)))</formula>
    </cfRule>
    <cfRule type="cellIs" dxfId="30845" priority="711" operator="equal">
      <formula>0</formula>
    </cfRule>
    <cfRule type="cellIs" dxfId="30844" priority="712" operator="greaterThan">
      <formula>0</formula>
    </cfRule>
  </conditionalFormatting>
  <conditionalFormatting sqref="V14:V16">
    <cfRule type="cellIs" dxfId="30843" priority="705" operator="equal">
      <formula>"PMS"</formula>
    </cfRule>
    <cfRule type="containsText" dxfId="30842" priority="706" operator="containsText" text="CMS">
      <formula>NOT(ISERROR(SEARCH("CMS",V14)))</formula>
    </cfRule>
    <cfRule type="cellIs" dxfId="30841" priority="707" operator="equal">
      <formula>0</formula>
    </cfRule>
    <cfRule type="cellIs" dxfId="30840" priority="708" operator="greaterThan">
      <formula>0</formula>
    </cfRule>
  </conditionalFormatting>
  <conditionalFormatting sqref="V14:V16">
    <cfRule type="cellIs" dxfId="30839" priority="701" operator="equal">
      <formula>"PMS"</formula>
    </cfRule>
    <cfRule type="containsText" dxfId="30838" priority="702" operator="containsText" text="CMS">
      <formula>NOT(ISERROR(SEARCH("CMS",V14)))</formula>
    </cfRule>
    <cfRule type="cellIs" dxfId="30837" priority="703" operator="equal">
      <formula>0</formula>
    </cfRule>
    <cfRule type="cellIs" dxfId="30836" priority="704" operator="greaterThan">
      <formula>0</formula>
    </cfRule>
  </conditionalFormatting>
  <conditionalFormatting sqref="W14:W16">
    <cfRule type="cellIs" dxfId="30835" priority="697" operator="equal">
      <formula>"PMS"</formula>
    </cfRule>
    <cfRule type="containsText" dxfId="30834" priority="698" operator="containsText" text="CMS">
      <formula>NOT(ISERROR(SEARCH("CMS",W14)))</formula>
    </cfRule>
    <cfRule type="cellIs" dxfId="30833" priority="699" operator="equal">
      <formula>0</formula>
    </cfRule>
    <cfRule type="cellIs" dxfId="30832" priority="700" operator="greaterThan">
      <formula>0</formula>
    </cfRule>
  </conditionalFormatting>
  <conditionalFormatting sqref="W14:W16">
    <cfRule type="cellIs" dxfId="30831" priority="693" operator="equal">
      <formula>"PMS"</formula>
    </cfRule>
    <cfRule type="containsText" dxfId="30830" priority="694" operator="containsText" text="CMS">
      <formula>NOT(ISERROR(SEARCH("CMS",W14)))</formula>
    </cfRule>
    <cfRule type="cellIs" dxfId="30829" priority="695" operator="equal">
      <formula>0</formula>
    </cfRule>
    <cfRule type="cellIs" dxfId="30828" priority="696" operator="greaterThan">
      <formula>0</formula>
    </cfRule>
  </conditionalFormatting>
  <conditionalFormatting sqref="X16">
    <cfRule type="cellIs" dxfId="30827" priority="689" operator="equal">
      <formula>"PMS"</formula>
    </cfRule>
    <cfRule type="containsText" dxfId="30826" priority="690" operator="containsText" text="CMS">
      <formula>NOT(ISERROR(SEARCH("CMS",X16)))</formula>
    </cfRule>
    <cfRule type="cellIs" dxfId="30825" priority="691" operator="equal">
      <formula>0</formula>
    </cfRule>
    <cfRule type="cellIs" dxfId="30824" priority="692" operator="greaterThan">
      <formula>0</formula>
    </cfRule>
  </conditionalFormatting>
  <conditionalFormatting sqref="X16">
    <cfRule type="cellIs" dxfId="30823" priority="685" operator="equal">
      <formula>"PMS"</formula>
    </cfRule>
    <cfRule type="containsText" dxfId="30822" priority="686" operator="containsText" text="CMS">
      <formula>NOT(ISERROR(SEARCH("CMS",X16)))</formula>
    </cfRule>
    <cfRule type="cellIs" dxfId="30821" priority="687" operator="equal">
      <formula>0</formula>
    </cfRule>
    <cfRule type="cellIs" dxfId="30820" priority="688" operator="greaterThan">
      <formula>0</formula>
    </cfRule>
  </conditionalFormatting>
  <conditionalFormatting sqref="O48">
    <cfRule type="cellIs" dxfId="30819" priority="681" operator="equal">
      <formula>"PMS"</formula>
    </cfRule>
    <cfRule type="containsText" dxfId="30818" priority="682" operator="containsText" text="CMS">
      <formula>NOT(ISERROR(SEARCH("CMS",O48)))</formula>
    </cfRule>
    <cfRule type="cellIs" dxfId="30817" priority="683" operator="equal">
      <formula>0</formula>
    </cfRule>
    <cfRule type="cellIs" dxfId="30816" priority="684" operator="greaterThan">
      <formula>0</formula>
    </cfRule>
  </conditionalFormatting>
  <conditionalFormatting sqref="O55">
    <cfRule type="cellIs" dxfId="30815" priority="677" operator="equal">
      <formula>"PMS"</formula>
    </cfRule>
    <cfRule type="containsText" dxfId="30814" priority="678" operator="containsText" text="CMS">
      <formula>NOT(ISERROR(SEARCH("CMS",O55)))</formula>
    </cfRule>
    <cfRule type="cellIs" dxfId="30813" priority="679" operator="equal">
      <formula>0</formula>
    </cfRule>
    <cfRule type="cellIs" dxfId="30812" priority="680" operator="greaterThan">
      <formula>0</formula>
    </cfRule>
  </conditionalFormatting>
  <conditionalFormatting sqref="Z14">
    <cfRule type="cellIs" dxfId="30811" priority="673" operator="equal">
      <formula>"PMS"</formula>
    </cfRule>
    <cfRule type="containsText" dxfId="30810" priority="674" operator="containsText" text="CMS">
      <formula>NOT(ISERROR(SEARCH("CMS",Z14)))</formula>
    </cfRule>
    <cfRule type="cellIs" dxfId="30809" priority="675" operator="equal">
      <formula>0</formula>
    </cfRule>
    <cfRule type="cellIs" dxfId="30808" priority="676" operator="greaterThan">
      <formula>0</formula>
    </cfRule>
  </conditionalFormatting>
  <conditionalFormatting sqref="Z14">
    <cfRule type="cellIs" dxfId="30807" priority="669" operator="equal">
      <formula>"PMS"</formula>
    </cfRule>
    <cfRule type="containsText" dxfId="30806" priority="670" operator="containsText" text="CMS">
      <formula>NOT(ISERROR(SEARCH("CMS",Z14)))</formula>
    </cfRule>
    <cfRule type="cellIs" dxfId="30805" priority="671" operator="equal">
      <formula>0</formula>
    </cfRule>
    <cfRule type="cellIs" dxfId="30804" priority="672" operator="greaterThan">
      <formula>0</formula>
    </cfRule>
  </conditionalFormatting>
  <conditionalFormatting sqref="Z15">
    <cfRule type="cellIs" dxfId="30803" priority="665" operator="equal">
      <formula>"PMS"</formula>
    </cfRule>
    <cfRule type="containsText" dxfId="30802" priority="666" operator="containsText" text="CMS">
      <formula>NOT(ISERROR(SEARCH("CMS",Z15)))</formula>
    </cfRule>
    <cfRule type="cellIs" dxfId="30801" priority="667" operator="equal">
      <formula>0</formula>
    </cfRule>
    <cfRule type="cellIs" dxfId="30800" priority="668" operator="greaterThan">
      <formula>0</formula>
    </cfRule>
  </conditionalFormatting>
  <conditionalFormatting sqref="Z15">
    <cfRule type="cellIs" dxfId="30799" priority="661" operator="equal">
      <formula>"PMS"</formula>
    </cfRule>
    <cfRule type="containsText" dxfId="30798" priority="662" operator="containsText" text="CMS">
      <formula>NOT(ISERROR(SEARCH("CMS",Z15)))</formula>
    </cfRule>
    <cfRule type="cellIs" dxfId="30797" priority="663" operator="equal">
      <formula>0</formula>
    </cfRule>
    <cfRule type="cellIs" dxfId="30796" priority="664" operator="greaterThan">
      <formula>0</formula>
    </cfRule>
  </conditionalFormatting>
  <conditionalFormatting sqref="Z16">
    <cfRule type="cellIs" dxfId="30795" priority="657" operator="equal">
      <formula>"PMS"</formula>
    </cfRule>
    <cfRule type="containsText" dxfId="30794" priority="658" operator="containsText" text="CMS">
      <formula>NOT(ISERROR(SEARCH("CMS",Z16)))</formula>
    </cfRule>
    <cfRule type="cellIs" dxfId="30793" priority="659" operator="equal">
      <formula>0</formula>
    </cfRule>
    <cfRule type="cellIs" dxfId="30792" priority="660" operator="greaterThan">
      <formula>0</formula>
    </cfRule>
  </conditionalFormatting>
  <conditionalFormatting sqref="Z16">
    <cfRule type="cellIs" dxfId="30791" priority="653" operator="equal">
      <formula>"PMS"</formula>
    </cfRule>
    <cfRule type="containsText" dxfId="30790" priority="654" operator="containsText" text="CMS">
      <formula>NOT(ISERROR(SEARCH("CMS",Z16)))</formula>
    </cfRule>
    <cfRule type="cellIs" dxfId="30789" priority="655" operator="equal">
      <formula>0</formula>
    </cfRule>
    <cfRule type="cellIs" dxfId="30788" priority="656" operator="greaterThan">
      <formula>0</formula>
    </cfRule>
  </conditionalFormatting>
  <conditionalFormatting sqref="AA14">
    <cfRule type="cellIs" dxfId="30787" priority="649" operator="equal">
      <formula>"PMS"</formula>
    </cfRule>
    <cfRule type="containsText" dxfId="30786" priority="650" operator="containsText" text="CMS">
      <formula>NOT(ISERROR(SEARCH("CMS",AA14)))</formula>
    </cfRule>
    <cfRule type="cellIs" dxfId="30785" priority="651" operator="equal">
      <formula>0</formula>
    </cfRule>
    <cfRule type="cellIs" dxfId="30784" priority="652" operator="greaterThan">
      <formula>0</formula>
    </cfRule>
  </conditionalFormatting>
  <conditionalFormatting sqref="AA14">
    <cfRule type="cellIs" dxfId="30783" priority="645" operator="equal">
      <formula>"PMS"</formula>
    </cfRule>
    <cfRule type="containsText" dxfId="30782" priority="646" operator="containsText" text="CMS">
      <formula>NOT(ISERROR(SEARCH("CMS",AA14)))</formula>
    </cfRule>
    <cfRule type="cellIs" dxfId="30781" priority="647" operator="equal">
      <formula>0</formula>
    </cfRule>
    <cfRule type="cellIs" dxfId="30780" priority="648" operator="greaterThan">
      <formula>0</formula>
    </cfRule>
  </conditionalFormatting>
  <conditionalFormatting sqref="AA15">
    <cfRule type="cellIs" dxfId="30779" priority="641" operator="equal">
      <formula>"PMS"</formula>
    </cfRule>
    <cfRule type="containsText" dxfId="30778" priority="642" operator="containsText" text="CMS">
      <formula>NOT(ISERROR(SEARCH("CMS",AA15)))</formula>
    </cfRule>
    <cfRule type="cellIs" dxfId="30777" priority="643" operator="equal">
      <formula>0</formula>
    </cfRule>
    <cfRule type="cellIs" dxfId="30776" priority="644" operator="greaterThan">
      <formula>0</formula>
    </cfRule>
  </conditionalFormatting>
  <conditionalFormatting sqref="AA15">
    <cfRule type="cellIs" dxfId="30775" priority="637" operator="equal">
      <formula>"PMS"</formula>
    </cfRule>
    <cfRule type="containsText" dxfId="30774" priority="638" operator="containsText" text="CMS">
      <formula>NOT(ISERROR(SEARCH("CMS",AA15)))</formula>
    </cfRule>
    <cfRule type="cellIs" dxfId="30773" priority="639" operator="equal">
      <formula>0</formula>
    </cfRule>
    <cfRule type="cellIs" dxfId="30772" priority="640" operator="greaterThan">
      <formula>0</formula>
    </cfRule>
  </conditionalFormatting>
  <conditionalFormatting sqref="AA16">
    <cfRule type="cellIs" dxfId="30771" priority="633" operator="equal">
      <formula>"PMS"</formula>
    </cfRule>
    <cfRule type="containsText" dxfId="30770" priority="634" operator="containsText" text="CMS">
      <formula>NOT(ISERROR(SEARCH("CMS",AA16)))</formula>
    </cfRule>
    <cfRule type="cellIs" dxfId="30769" priority="635" operator="equal">
      <formula>0</formula>
    </cfRule>
    <cfRule type="cellIs" dxfId="30768" priority="636" operator="greaterThan">
      <formula>0</formula>
    </cfRule>
  </conditionalFormatting>
  <conditionalFormatting sqref="AA16">
    <cfRule type="cellIs" dxfId="30767" priority="629" operator="equal">
      <formula>"PMS"</formula>
    </cfRule>
    <cfRule type="containsText" dxfId="30766" priority="630" operator="containsText" text="CMS">
      <formula>NOT(ISERROR(SEARCH("CMS",AA16)))</formula>
    </cfRule>
    <cfRule type="cellIs" dxfId="30765" priority="631" operator="equal">
      <formula>0</formula>
    </cfRule>
    <cfRule type="cellIs" dxfId="30764" priority="632" operator="greaterThan">
      <formula>0</formula>
    </cfRule>
  </conditionalFormatting>
  <conditionalFormatting sqref="AA27">
    <cfRule type="cellIs" dxfId="30763" priority="625" operator="equal">
      <formula>"PMS"</formula>
    </cfRule>
    <cfRule type="containsText" dxfId="30762" priority="626" operator="containsText" text="CMS">
      <formula>NOT(ISERROR(SEARCH("CMS",AA27)))</formula>
    </cfRule>
    <cfRule type="cellIs" dxfId="30761" priority="627" operator="equal">
      <formula>0</formula>
    </cfRule>
    <cfRule type="cellIs" dxfId="30760" priority="628" operator="greaterThan">
      <formula>0</formula>
    </cfRule>
  </conditionalFormatting>
  <conditionalFormatting sqref="AA27">
    <cfRule type="cellIs" dxfId="30759" priority="621" operator="equal">
      <formula>"PMS"</formula>
    </cfRule>
    <cfRule type="containsText" dxfId="30758" priority="622" operator="containsText" text="CMS">
      <formula>NOT(ISERROR(SEARCH("CMS",AA27)))</formula>
    </cfRule>
    <cfRule type="cellIs" dxfId="30757" priority="623" operator="equal">
      <formula>0</formula>
    </cfRule>
    <cfRule type="cellIs" dxfId="30756" priority="624" operator="greaterThan">
      <formula>0</formula>
    </cfRule>
  </conditionalFormatting>
  <conditionalFormatting sqref="AA28">
    <cfRule type="cellIs" dxfId="30755" priority="617" operator="equal">
      <formula>"PMS"</formula>
    </cfRule>
    <cfRule type="containsText" dxfId="30754" priority="618" operator="containsText" text="CMS">
      <formula>NOT(ISERROR(SEARCH("CMS",AA28)))</formula>
    </cfRule>
    <cfRule type="cellIs" dxfId="30753" priority="619" operator="equal">
      <formula>0</formula>
    </cfRule>
    <cfRule type="cellIs" dxfId="30752" priority="620" operator="greaterThan">
      <formula>0</formula>
    </cfRule>
  </conditionalFormatting>
  <conditionalFormatting sqref="AA28">
    <cfRule type="cellIs" dxfId="30751" priority="613" operator="equal">
      <formula>"PMS"</formula>
    </cfRule>
    <cfRule type="containsText" dxfId="30750" priority="614" operator="containsText" text="CMS">
      <formula>NOT(ISERROR(SEARCH("CMS",AA28)))</formula>
    </cfRule>
    <cfRule type="cellIs" dxfId="30749" priority="615" operator="equal">
      <formula>0</formula>
    </cfRule>
    <cfRule type="cellIs" dxfId="30748" priority="616" operator="greaterThan">
      <formula>0</formula>
    </cfRule>
  </conditionalFormatting>
  <conditionalFormatting sqref="AB14">
    <cfRule type="cellIs" dxfId="30747" priority="609" operator="equal">
      <formula>"PMS"</formula>
    </cfRule>
    <cfRule type="containsText" dxfId="30746" priority="610" operator="containsText" text="CMS">
      <formula>NOT(ISERROR(SEARCH("CMS",AB14)))</formula>
    </cfRule>
    <cfRule type="cellIs" dxfId="30745" priority="611" operator="equal">
      <formula>0</formula>
    </cfRule>
    <cfRule type="cellIs" dxfId="30744" priority="612" operator="greaterThan">
      <formula>0</formula>
    </cfRule>
  </conditionalFormatting>
  <conditionalFormatting sqref="AB14">
    <cfRule type="cellIs" dxfId="30743" priority="605" operator="equal">
      <formula>"PMS"</formula>
    </cfRule>
    <cfRule type="containsText" dxfId="30742" priority="606" operator="containsText" text="CMS">
      <formula>NOT(ISERROR(SEARCH("CMS",AB14)))</formula>
    </cfRule>
    <cfRule type="cellIs" dxfId="30741" priority="607" operator="equal">
      <formula>0</formula>
    </cfRule>
    <cfRule type="cellIs" dxfId="30740" priority="608" operator="greaterThan">
      <formula>0</formula>
    </cfRule>
  </conditionalFormatting>
  <conditionalFormatting sqref="AB15">
    <cfRule type="cellIs" dxfId="30739" priority="601" operator="equal">
      <formula>"PMS"</formula>
    </cfRule>
    <cfRule type="containsText" dxfId="30738" priority="602" operator="containsText" text="CMS">
      <formula>NOT(ISERROR(SEARCH("CMS",AB15)))</formula>
    </cfRule>
    <cfRule type="cellIs" dxfId="30737" priority="603" operator="equal">
      <formula>0</formula>
    </cfRule>
    <cfRule type="cellIs" dxfId="30736" priority="604" operator="greaterThan">
      <formula>0</formula>
    </cfRule>
  </conditionalFormatting>
  <conditionalFormatting sqref="AB15">
    <cfRule type="cellIs" dxfId="30735" priority="597" operator="equal">
      <formula>"PMS"</formula>
    </cfRule>
    <cfRule type="containsText" dxfId="30734" priority="598" operator="containsText" text="CMS">
      <formula>NOT(ISERROR(SEARCH("CMS",AB15)))</formula>
    </cfRule>
    <cfRule type="cellIs" dxfId="30733" priority="599" operator="equal">
      <formula>0</formula>
    </cfRule>
    <cfRule type="cellIs" dxfId="30732" priority="600" operator="greaterThan">
      <formula>0</formula>
    </cfRule>
  </conditionalFormatting>
  <conditionalFormatting sqref="AB16">
    <cfRule type="cellIs" dxfId="30731" priority="593" operator="equal">
      <formula>"PMS"</formula>
    </cfRule>
    <cfRule type="containsText" dxfId="30730" priority="594" operator="containsText" text="CMS">
      <formula>NOT(ISERROR(SEARCH("CMS",AB16)))</formula>
    </cfRule>
    <cfRule type="cellIs" dxfId="30729" priority="595" operator="equal">
      <formula>0</formula>
    </cfRule>
    <cfRule type="cellIs" dxfId="30728" priority="596" operator="greaterThan">
      <formula>0</formula>
    </cfRule>
  </conditionalFormatting>
  <conditionalFormatting sqref="AB16">
    <cfRule type="cellIs" dxfId="30727" priority="589" operator="equal">
      <formula>"PMS"</formula>
    </cfRule>
    <cfRule type="containsText" dxfId="30726" priority="590" operator="containsText" text="CMS">
      <formula>NOT(ISERROR(SEARCH("CMS",AB16)))</formula>
    </cfRule>
    <cfRule type="cellIs" dxfId="30725" priority="591" operator="equal">
      <formula>0</formula>
    </cfRule>
    <cfRule type="cellIs" dxfId="30724" priority="592" operator="greaterThan">
      <formula>0</formula>
    </cfRule>
  </conditionalFormatting>
  <conditionalFormatting sqref="J60:J62">
    <cfRule type="cellIs" dxfId="30723" priority="581" operator="equal">
      <formula>"PMS"</formula>
    </cfRule>
    <cfRule type="containsText" dxfId="30722" priority="582" operator="containsText" text="CMS">
      <formula>NOT(ISERROR(SEARCH("CMS",J60)))</formula>
    </cfRule>
    <cfRule type="cellIs" dxfId="30721" priority="583" operator="equal">
      <formula>0</formula>
    </cfRule>
    <cfRule type="cellIs" dxfId="30720" priority="584" operator="greaterThan">
      <formula>0</formula>
    </cfRule>
    <cfRule type="cellIs" dxfId="30719" priority="585" operator="equal">
      <formula>"PMS"</formula>
    </cfRule>
    <cfRule type="containsText" dxfId="30718" priority="586" operator="containsText" text="CMS">
      <formula>NOT(ISERROR(SEARCH("CMS",J60)))</formula>
    </cfRule>
    <cfRule type="cellIs" dxfId="30717" priority="587" operator="equal">
      <formula>0</formula>
    </cfRule>
    <cfRule type="cellIs" dxfId="30716" priority="588" operator="greaterThan">
      <formula>0</formula>
    </cfRule>
  </conditionalFormatting>
  <conditionalFormatting sqref="V14">
    <cfRule type="cellIs" dxfId="30715" priority="577" operator="equal">
      <formula>"PMS"</formula>
    </cfRule>
    <cfRule type="containsText" dxfId="30714" priority="578" operator="containsText" text="CMS">
      <formula>NOT(ISERROR(SEARCH("CMS",V14)))</formula>
    </cfRule>
    <cfRule type="cellIs" dxfId="30713" priority="579" operator="equal">
      <formula>0</formula>
    </cfRule>
    <cfRule type="cellIs" dxfId="30712" priority="580" operator="greaterThan">
      <formula>0</formula>
    </cfRule>
  </conditionalFormatting>
  <conditionalFormatting sqref="V14">
    <cfRule type="cellIs" dxfId="30711" priority="573" operator="equal">
      <formula>"PMS"</formula>
    </cfRule>
    <cfRule type="containsText" dxfId="30710" priority="574" operator="containsText" text="CMS">
      <formula>NOT(ISERROR(SEARCH("CMS",V14)))</formula>
    </cfRule>
    <cfRule type="cellIs" dxfId="30709" priority="575" operator="equal">
      <formula>0</formula>
    </cfRule>
    <cfRule type="cellIs" dxfId="30708" priority="576" operator="greaterThan">
      <formula>0</formula>
    </cfRule>
  </conditionalFormatting>
  <conditionalFormatting sqref="V15">
    <cfRule type="cellIs" dxfId="30707" priority="569" operator="equal">
      <formula>"PMS"</formula>
    </cfRule>
    <cfRule type="containsText" dxfId="30706" priority="570" operator="containsText" text="CMS">
      <formula>NOT(ISERROR(SEARCH("CMS",V15)))</formula>
    </cfRule>
    <cfRule type="cellIs" dxfId="30705" priority="571" operator="equal">
      <formula>0</formula>
    </cfRule>
    <cfRule type="cellIs" dxfId="30704" priority="572" operator="greaterThan">
      <formula>0</formula>
    </cfRule>
  </conditionalFormatting>
  <conditionalFormatting sqref="V15">
    <cfRule type="cellIs" dxfId="30703" priority="565" operator="equal">
      <formula>"PMS"</formula>
    </cfRule>
    <cfRule type="containsText" dxfId="30702" priority="566" operator="containsText" text="CMS">
      <formula>NOT(ISERROR(SEARCH("CMS",V15)))</formula>
    </cfRule>
    <cfRule type="cellIs" dxfId="30701" priority="567" operator="equal">
      <formula>0</formula>
    </cfRule>
    <cfRule type="cellIs" dxfId="30700" priority="568" operator="greaterThan">
      <formula>0</formula>
    </cfRule>
  </conditionalFormatting>
  <conditionalFormatting sqref="V16">
    <cfRule type="cellIs" dxfId="30699" priority="561" operator="equal">
      <formula>"PMS"</formula>
    </cfRule>
    <cfRule type="containsText" dxfId="30698" priority="562" operator="containsText" text="CMS">
      <formula>NOT(ISERROR(SEARCH("CMS",V16)))</formula>
    </cfRule>
    <cfRule type="cellIs" dxfId="30697" priority="563" operator="equal">
      <formula>0</formula>
    </cfRule>
    <cfRule type="cellIs" dxfId="30696" priority="564" operator="greaterThan">
      <formula>0</formula>
    </cfRule>
  </conditionalFormatting>
  <conditionalFormatting sqref="V16">
    <cfRule type="cellIs" dxfId="30695" priority="557" operator="equal">
      <formula>"PMS"</formula>
    </cfRule>
    <cfRule type="containsText" dxfId="30694" priority="558" operator="containsText" text="CMS">
      <formula>NOT(ISERROR(SEARCH("CMS",V16)))</formula>
    </cfRule>
    <cfRule type="cellIs" dxfId="30693" priority="559" operator="equal">
      <formula>0</formula>
    </cfRule>
    <cfRule type="cellIs" dxfId="30692" priority="560" operator="greaterThan">
      <formula>0</formula>
    </cfRule>
  </conditionalFormatting>
  <conditionalFormatting sqref="W14">
    <cfRule type="cellIs" dxfId="30691" priority="553" operator="equal">
      <formula>"PMS"</formula>
    </cfRule>
    <cfRule type="containsText" dxfId="30690" priority="554" operator="containsText" text="CMS">
      <formula>NOT(ISERROR(SEARCH("CMS",W14)))</formula>
    </cfRule>
    <cfRule type="cellIs" dxfId="30689" priority="555" operator="equal">
      <formula>0</formula>
    </cfRule>
    <cfRule type="cellIs" dxfId="30688" priority="556" operator="greaterThan">
      <formula>0</formula>
    </cfRule>
  </conditionalFormatting>
  <conditionalFormatting sqref="W14">
    <cfRule type="cellIs" dxfId="30687" priority="549" operator="equal">
      <formula>"PMS"</formula>
    </cfRule>
    <cfRule type="containsText" dxfId="30686" priority="550" operator="containsText" text="CMS">
      <formula>NOT(ISERROR(SEARCH("CMS",W14)))</formula>
    </cfRule>
    <cfRule type="cellIs" dxfId="30685" priority="551" operator="equal">
      <formula>0</formula>
    </cfRule>
    <cfRule type="cellIs" dxfId="30684" priority="552" operator="greaterThan">
      <formula>0</formula>
    </cfRule>
  </conditionalFormatting>
  <conditionalFormatting sqref="W15">
    <cfRule type="cellIs" dxfId="30683" priority="545" operator="equal">
      <formula>"PMS"</formula>
    </cfRule>
    <cfRule type="containsText" dxfId="30682" priority="546" operator="containsText" text="CMS">
      <formula>NOT(ISERROR(SEARCH("CMS",W15)))</formula>
    </cfRule>
    <cfRule type="cellIs" dxfId="30681" priority="547" operator="equal">
      <formula>0</formula>
    </cfRule>
    <cfRule type="cellIs" dxfId="30680" priority="548" operator="greaterThan">
      <formula>0</formula>
    </cfRule>
  </conditionalFormatting>
  <conditionalFormatting sqref="W15">
    <cfRule type="cellIs" dxfId="30679" priority="541" operator="equal">
      <formula>"PMS"</formula>
    </cfRule>
    <cfRule type="containsText" dxfId="30678" priority="542" operator="containsText" text="CMS">
      <formula>NOT(ISERROR(SEARCH("CMS",W15)))</formula>
    </cfRule>
    <cfRule type="cellIs" dxfId="30677" priority="543" operator="equal">
      <formula>0</formula>
    </cfRule>
    <cfRule type="cellIs" dxfId="30676" priority="544" operator="greaterThan">
      <formula>0</formula>
    </cfRule>
  </conditionalFormatting>
  <conditionalFormatting sqref="W16">
    <cfRule type="cellIs" dxfId="30675" priority="537" operator="equal">
      <formula>"PMS"</formula>
    </cfRule>
    <cfRule type="containsText" dxfId="30674" priority="538" operator="containsText" text="CMS">
      <formula>NOT(ISERROR(SEARCH("CMS",W16)))</formula>
    </cfRule>
    <cfRule type="cellIs" dxfId="30673" priority="539" operator="equal">
      <formula>0</formula>
    </cfRule>
    <cfRule type="cellIs" dxfId="30672" priority="540" operator="greaterThan">
      <formula>0</formula>
    </cfRule>
  </conditionalFormatting>
  <conditionalFormatting sqref="W16">
    <cfRule type="cellIs" dxfId="30671" priority="533" operator="equal">
      <formula>"PMS"</formula>
    </cfRule>
    <cfRule type="containsText" dxfId="30670" priority="534" operator="containsText" text="CMS">
      <formula>NOT(ISERROR(SEARCH("CMS",W16)))</formula>
    </cfRule>
    <cfRule type="cellIs" dxfId="30669" priority="535" operator="equal">
      <formula>0</formula>
    </cfRule>
    <cfRule type="cellIs" dxfId="30668" priority="536" operator="greaterThan">
      <formula>0</formula>
    </cfRule>
  </conditionalFormatting>
  <conditionalFormatting sqref="G55">
    <cfRule type="cellIs" dxfId="30667" priority="525" operator="equal">
      <formula>"PMS"</formula>
    </cfRule>
    <cfRule type="containsText" dxfId="30666" priority="526" operator="containsText" text="CMS">
      <formula>NOT(ISERROR(SEARCH("CMS",G55)))</formula>
    </cfRule>
    <cfRule type="cellIs" dxfId="30665" priority="527" operator="equal">
      <formula>0</formula>
    </cfRule>
    <cfRule type="cellIs" dxfId="30664" priority="528" operator="greaterThan">
      <formula>0</formula>
    </cfRule>
    <cfRule type="cellIs" dxfId="30663" priority="529" operator="equal">
      <formula>"PMS"</formula>
    </cfRule>
    <cfRule type="containsText" dxfId="30662" priority="530" operator="containsText" text="CMS">
      <formula>NOT(ISERROR(SEARCH("CMS",G55)))</formula>
    </cfRule>
    <cfRule type="cellIs" dxfId="30661" priority="531" operator="equal">
      <formula>0</formula>
    </cfRule>
    <cfRule type="cellIs" dxfId="30660" priority="532" operator="greaterThan">
      <formula>0</formula>
    </cfRule>
  </conditionalFormatting>
  <conditionalFormatting sqref="G55">
    <cfRule type="cellIs" dxfId="30659" priority="521" operator="equal">
      <formula>"PMS"</formula>
    </cfRule>
    <cfRule type="containsText" dxfId="30658" priority="522" operator="containsText" text="CMS">
      <formula>NOT(ISERROR(SEARCH("CMS",G55)))</formula>
    </cfRule>
    <cfRule type="cellIs" dxfId="30657" priority="523" operator="equal">
      <formula>0</formula>
    </cfRule>
    <cfRule type="cellIs" dxfId="30656" priority="524" operator="greaterThan">
      <formula>0</formula>
    </cfRule>
  </conditionalFormatting>
  <conditionalFormatting sqref="G55">
    <cfRule type="cellIs" dxfId="30655" priority="517" operator="equal">
      <formula>"PMS"</formula>
    </cfRule>
    <cfRule type="containsText" dxfId="30654" priority="518" operator="containsText" text="CMS">
      <formula>NOT(ISERROR(SEARCH("CMS",G55)))</formula>
    </cfRule>
    <cfRule type="cellIs" dxfId="30653" priority="519" operator="equal">
      <formula>0</formula>
    </cfRule>
    <cfRule type="cellIs" dxfId="30652" priority="520" operator="greaterThan">
      <formula>0</formula>
    </cfRule>
  </conditionalFormatting>
  <conditionalFormatting sqref="G13:G16">
    <cfRule type="cellIs" dxfId="30651" priority="509" operator="equal">
      <formula>"PMS"</formula>
    </cfRule>
    <cfRule type="containsText" dxfId="30650" priority="510" operator="containsText" text="CMS">
      <formula>NOT(ISERROR(SEARCH("CMS",G13)))</formula>
    </cfRule>
    <cfRule type="cellIs" dxfId="30649" priority="511" operator="equal">
      <formula>0</formula>
    </cfRule>
    <cfRule type="cellIs" dxfId="30648" priority="512" operator="greaterThan">
      <formula>0</formula>
    </cfRule>
    <cfRule type="cellIs" dxfId="30647" priority="513" operator="equal">
      <formula>"PMS"</formula>
    </cfRule>
    <cfRule type="containsText" dxfId="30646" priority="514" operator="containsText" text="CMS">
      <formula>NOT(ISERROR(SEARCH("CMS",G13)))</formula>
    </cfRule>
    <cfRule type="cellIs" dxfId="30645" priority="515" operator="equal">
      <formula>0</formula>
    </cfRule>
    <cfRule type="cellIs" dxfId="30644" priority="516" operator="greaterThan">
      <formula>0</formula>
    </cfRule>
  </conditionalFormatting>
  <conditionalFormatting sqref="G13:G16">
    <cfRule type="cellIs" dxfId="30643" priority="505" operator="equal">
      <formula>"PMS"</formula>
    </cfRule>
    <cfRule type="containsText" dxfId="30642" priority="506" operator="containsText" text="CMS">
      <formula>NOT(ISERROR(SEARCH("CMS",G13)))</formula>
    </cfRule>
    <cfRule type="cellIs" dxfId="30641" priority="507" operator="equal">
      <formula>0</formula>
    </cfRule>
    <cfRule type="cellIs" dxfId="30640" priority="508" operator="greaterThan">
      <formula>0</formula>
    </cfRule>
  </conditionalFormatting>
  <conditionalFormatting sqref="G13:G16">
    <cfRule type="cellIs" dxfId="30639" priority="501" operator="equal">
      <formula>"PMS"</formula>
    </cfRule>
    <cfRule type="containsText" dxfId="30638" priority="502" operator="containsText" text="CMS">
      <formula>NOT(ISERROR(SEARCH("CMS",G13)))</formula>
    </cfRule>
    <cfRule type="cellIs" dxfId="30637" priority="503" operator="equal">
      <formula>0</formula>
    </cfRule>
    <cfRule type="cellIs" dxfId="30636" priority="504" operator="greaterThan">
      <formula>0</formula>
    </cfRule>
  </conditionalFormatting>
  <conditionalFormatting sqref="G13:G16">
    <cfRule type="cellIs" dxfId="30635" priority="497" operator="equal">
      <formula>"PMS"</formula>
    </cfRule>
    <cfRule type="containsText" dxfId="30634" priority="498" operator="containsText" text="CMS">
      <formula>NOT(ISERROR(SEARCH("CMS",G13)))</formula>
    </cfRule>
    <cfRule type="cellIs" dxfId="30633" priority="499" operator="equal">
      <formula>0</formula>
    </cfRule>
    <cfRule type="cellIs" dxfId="30632" priority="500" operator="greaterThan">
      <formula>0</formula>
    </cfRule>
  </conditionalFormatting>
  <conditionalFormatting sqref="G13:G16">
    <cfRule type="cellIs" dxfId="30631" priority="493" operator="equal">
      <formula>"PMS"</formula>
    </cfRule>
    <cfRule type="containsText" dxfId="30630" priority="494" operator="containsText" text="CMS">
      <formula>NOT(ISERROR(SEARCH("CMS",G13)))</formula>
    </cfRule>
    <cfRule type="cellIs" dxfId="30629" priority="495" operator="equal">
      <formula>0</formula>
    </cfRule>
    <cfRule type="cellIs" dxfId="30628" priority="496" operator="greaterThan">
      <formula>0</formula>
    </cfRule>
  </conditionalFormatting>
  <conditionalFormatting sqref="G20:G21">
    <cfRule type="cellIs" dxfId="30627" priority="485" operator="equal">
      <formula>"PMS"</formula>
    </cfRule>
    <cfRule type="containsText" dxfId="30626" priority="486" operator="containsText" text="CMS">
      <formula>NOT(ISERROR(SEARCH("CMS",G20)))</formula>
    </cfRule>
    <cfRule type="cellIs" dxfId="30625" priority="487" operator="equal">
      <formula>0</formula>
    </cfRule>
    <cfRule type="cellIs" dxfId="30624" priority="488" operator="greaterThan">
      <formula>0</formula>
    </cfRule>
    <cfRule type="cellIs" dxfId="30623" priority="489" operator="equal">
      <formula>"PMS"</formula>
    </cfRule>
    <cfRule type="containsText" dxfId="30622" priority="490" operator="containsText" text="CMS">
      <formula>NOT(ISERROR(SEARCH("CMS",G20)))</formula>
    </cfRule>
    <cfRule type="cellIs" dxfId="30621" priority="491" operator="equal">
      <formula>0</formula>
    </cfRule>
    <cfRule type="cellIs" dxfId="30620" priority="492" operator="greaterThan">
      <formula>0</formula>
    </cfRule>
  </conditionalFormatting>
  <conditionalFormatting sqref="G20:G21">
    <cfRule type="cellIs" dxfId="30619" priority="481" operator="equal">
      <formula>"PMS"</formula>
    </cfRule>
    <cfRule type="containsText" dxfId="30618" priority="482" operator="containsText" text="CMS">
      <formula>NOT(ISERROR(SEARCH("CMS",G20)))</formula>
    </cfRule>
    <cfRule type="cellIs" dxfId="30617" priority="483" operator="equal">
      <formula>0</formula>
    </cfRule>
    <cfRule type="cellIs" dxfId="30616" priority="484" operator="greaterThan">
      <formula>0</formula>
    </cfRule>
  </conditionalFormatting>
  <conditionalFormatting sqref="G20:G21">
    <cfRule type="cellIs" dxfId="30615" priority="477" operator="equal">
      <formula>"PMS"</formula>
    </cfRule>
    <cfRule type="containsText" dxfId="30614" priority="478" operator="containsText" text="CMS">
      <formula>NOT(ISERROR(SEARCH("CMS",G20)))</formula>
    </cfRule>
    <cfRule type="cellIs" dxfId="30613" priority="479" operator="equal">
      <formula>0</formula>
    </cfRule>
    <cfRule type="cellIs" dxfId="30612" priority="480" operator="greaterThan">
      <formula>0</formula>
    </cfRule>
  </conditionalFormatting>
  <conditionalFormatting sqref="G27:G28">
    <cfRule type="cellIs" dxfId="30611" priority="449" operator="equal">
      <formula>"PMS"</formula>
    </cfRule>
    <cfRule type="containsText" dxfId="30610" priority="450" operator="containsText" text="CMS">
      <formula>NOT(ISERROR(SEARCH("CMS",G27)))</formula>
    </cfRule>
    <cfRule type="cellIs" dxfId="30609" priority="451" operator="equal">
      <formula>0</formula>
    </cfRule>
    <cfRule type="cellIs" dxfId="30608" priority="452" operator="greaterThan">
      <formula>0</formula>
    </cfRule>
    <cfRule type="cellIs" dxfId="30607" priority="453" operator="equal">
      <formula>"PMS"</formula>
    </cfRule>
    <cfRule type="containsText" dxfId="30606" priority="454" operator="containsText" text="CMS">
      <formula>NOT(ISERROR(SEARCH("CMS",G27)))</formula>
    </cfRule>
    <cfRule type="cellIs" dxfId="30605" priority="455" operator="equal">
      <formula>0</formula>
    </cfRule>
    <cfRule type="cellIs" dxfId="30604" priority="456" operator="greaterThan">
      <formula>0</formula>
    </cfRule>
  </conditionalFormatting>
  <conditionalFormatting sqref="G27:G28">
    <cfRule type="cellIs" dxfId="30603" priority="445" operator="equal">
      <formula>"PMS"</formula>
    </cfRule>
    <cfRule type="containsText" dxfId="30602" priority="446" operator="containsText" text="CMS">
      <formula>NOT(ISERROR(SEARCH("CMS",G27)))</formula>
    </cfRule>
    <cfRule type="cellIs" dxfId="30601" priority="447" operator="equal">
      <formula>0</formula>
    </cfRule>
    <cfRule type="cellIs" dxfId="30600" priority="448" operator="greaterThan">
      <formula>0</formula>
    </cfRule>
  </conditionalFormatting>
  <conditionalFormatting sqref="G27:G28">
    <cfRule type="cellIs" dxfId="30599" priority="441" operator="equal">
      <formula>"PMS"</formula>
    </cfRule>
    <cfRule type="containsText" dxfId="30598" priority="442" operator="containsText" text="CMS">
      <formula>NOT(ISERROR(SEARCH("CMS",G27)))</formula>
    </cfRule>
    <cfRule type="cellIs" dxfId="30597" priority="443" operator="equal">
      <formula>0</formula>
    </cfRule>
    <cfRule type="cellIs" dxfId="30596" priority="444" operator="greaterThan">
      <formula>0</formula>
    </cfRule>
  </conditionalFormatting>
  <conditionalFormatting sqref="G56">
    <cfRule type="cellIs" dxfId="30595" priority="417" operator="equal">
      <formula>"PMS"</formula>
    </cfRule>
    <cfRule type="containsText" dxfId="30594" priority="418" operator="containsText" text="CMS">
      <formula>NOT(ISERROR(SEARCH("CMS",G56)))</formula>
    </cfRule>
    <cfRule type="cellIs" dxfId="30593" priority="419" operator="equal">
      <formula>0</formula>
    </cfRule>
    <cfRule type="cellIs" dxfId="30592" priority="420" operator="greaterThan">
      <formula>0</formula>
    </cfRule>
    <cfRule type="cellIs" dxfId="30591" priority="421" operator="equal">
      <formula>"PMS"</formula>
    </cfRule>
    <cfRule type="containsText" dxfId="30590" priority="422" operator="containsText" text="CMS">
      <formula>NOT(ISERROR(SEARCH("CMS",G56)))</formula>
    </cfRule>
    <cfRule type="cellIs" dxfId="30589" priority="423" operator="equal">
      <formula>0</formula>
    </cfRule>
    <cfRule type="cellIs" dxfId="30588" priority="424" operator="greaterThan">
      <formula>0</formula>
    </cfRule>
  </conditionalFormatting>
  <conditionalFormatting sqref="G56">
    <cfRule type="cellIs" dxfId="30587" priority="413" operator="equal">
      <formula>"PMS"</formula>
    </cfRule>
    <cfRule type="containsText" dxfId="30586" priority="414" operator="containsText" text="CMS">
      <formula>NOT(ISERROR(SEARCH("CMS",G56)))</formula>
    </cfRule>
    <cfRule type="cellIs" dxfId="30585" priority="415" operator="equal">
      <formula>0</formula>
    </cfRule>
    <cfRule type="cellIs" dxfId="30584" priority="416" operator="greaterThan">
      <formula>0</formula>
    </cfRule>
  </conditionalFormatting>
  <conditionalFormatting sqref="G56">
    <cfRule type="cellIs" dxfId="30583" priority="409" operator="equal">
      <formula>"PMS"</formula>
    </cfRule>
    <cfRule type="containsText" dxfId="30582" priority="410" operator="containsText" text="CMS">
      <formula>NOT(ISERROR(SEARCH("CMS",G56)))</formula>
    </cfRule>
    <cfRule type="cellIs" dxfId="30581" priority="411" operator="equal">
      <formula>0</formula>
    </cfRule>
    <cfRule type="cellIs" dxfId="30580" priority="412" operator="greaterThan">
      <formula>0</formula>
    </cfRule>
  </conditionalFormatting>
  <conditionalFormatting sqref="G56">
    <cfRule type="cellIs" dxfId="30579" priority="405" operator="equal">
      <formula>"PMS"</formula>
    </cfRule>
    <cfRule type="containsText" dxfId="30578" priority="406" operator="containsText" text="CMS">
      <formula>NOT(ISERROR(SEARCH("CMS",G56)))</formula>
    </cfRule>
    <cfRule type="cellIs" dxfId="30577" priority="407" operator="equal">
      <formula>0</formula>
    </cfRule>
    <cfRule type="cellIs" dxfId="30576" priority="408" operator="greaterThan">
      <formula>0</formula>
    </cfRule>
  </conditionalFormatting>
  <conditionalFormatting sqref="G56">
    <cfRule type="cellIs" dxfId="30575" priority="401" operator="equal">
      <formula>"PMS"</formula>
    </cfRule>
    <cfRule type="containsText" dxfId="30574" priority="402" operator="containsText" text="CMS">
      <formula>NOT(ISERROR(SEARCH("CMS",G56)))</formula>
    </cfRule>
    <cfRule type="cellIs" dxfId="30573" priority="403" operator="equal">
      <formula>0</formula>
    </cfRule>
    <cfRule type="cellIs" dxfId="30572" priority="404" operator="greaterThan">
      <formula>0</formula>
    </cfRule>
  </conditionalFormatting>
  <conditionalFormatting sqref="G56">
    <cfRule type="cellIs" dxfId="30571" priority="397" operator="equal">
      <formula>"PMS"</formula>
    </cfRule>
    <cfRule type="containsText" dxfId="30570" priority="398" operator="containsText" text="CMS">
      <formula>NOT(ISERROR(SEARCH("CMS",G56)))</formula>
    </cfRule>
    <cfRule type="cellIs" dxfId="30569" priority="399" operator="equal">
      <formula>0</formula>
    </cfRule>
    <cfRule type="cellIs" dxfId="30568" priority="400" operator="greaterThan">
      <formula>0</formula>
    </cfRule>
  </conditionalFormatting>
  <conditionalFormatting sqref="G56">
    <cfRule type="cellIs" dxfId="30567" priority="393" operator="equal">
      <formula>"PMS"</formula>
    </cfRule>
    <cfRule type="containsText" dxfId="30566" priority="394" operator="containsText" text="CMS">
      <formula>NOT(ISERROR(SEARCH("CMS",G56)))</formula>
    </cfRule>
    <cfRule type="cellIs" dxfId="30565" priority="395" operator="equal">
      <formula>0</formula>
    </cfRule>
    <cfRule type="cellIs" dxfId="30564" priority="396" operator="greaterThan">
      <formula>0</formula>
    </cfRule>
  </conditionalFormatting>
  <conditionalFormatting sqref="G61:G62">
    <cfRule type="cellIs" dxfId="30563" priority="385" operator="equal">
      <formula>"PMS"</formula>
    </cfRule>
    <cfRule type="containsText" dxfId="30562" priority="386" operator="containsText" text="CMS">
      <formula>NOT(ISERROR(SEARCH("CMS",G61)))</formula>
    </cfRule>
    <cfRule type="cellIs" dxfId="30561" priority="387" operator="equal">
      <formula>0</formula>
    </cfRule>
    <cfRule type="cellIs" dxfId="30560" priority="388" operator="greaterThan">
      <formula>0</formula>
    </cfRule>
    <cfRule type="cellIs" dxfId="30559" priority="389" operator="equal">
      <formula>"PMS"</formula>
    </cfRule>
    <cfRule type="containsText" dxfId="30558" priority="390" operator="containsText" text="CMS">
      <formula>NOT(ISERROR(SEARCH("CMS",G61)))</formula>
    </cfRule>
    <cfRule type="cellIs" dxfId="30557" priority="391" operator="equal">
      <formula>0</formula>
    </cfRule>
    <cfRule type="cellIs" dxfId="30556" priority="392" operator="greaterThan">
      <formula>0</formula>
    </cfRule>
  </conditionalFormatting>
  <conditionalFormatting sqref="G61:G62">
    <cfRule type="cellIs" dxfId="30555" priority="381" operator="equal">
      <formula>"PMS"</formula>
    </cfRule>
    <cfRule type="containsText" dxfId="30554" priority="382" operator="containsText" text="CMS">
      <formula>NOT(ISERROR(SEARCH("CMS",G61)))</formula>
    </cfRule>
    <cfRule type="cellIs" dxfId="30553" priority="383" operator="equal">
      <formula>0</formula>
    </cfRule>
    <cfRule type="cellIs" dxfId="30552" priority="384" operator="greaterThan">
      <formula>0</formula>
    </cfRule>
  </conditionalFormatting>
  <conditionalFormatting sqref="G44:G45">
    <cfRule type="cellIs" dxfId="30551" priority="373" operator="equal">
      <formula>"PMS"</formula>
    </cfRule>
    <cfRule type="containsText" dxfId="30550" priority="374" operator="containsText" text="CMS">
      <formula>NOT(ISERROR(SEARCH("CMS",G44)))</formula>
    </cfRule>
    <cfRule type="cellIs" dxfId="30549" priority="375" operator="equal">
      <formula>0</formula>
    </cfRule>
    <cfRule type="cellIs" dxfId="30548" priority="376" operator="greaterThan">
      <formula>0</formula>
    </cfRule>
    <cfRule type="cellIs" dxfId="30547" priority="377" operator="equal">
      <formula>"PMS"</formula>
    </cfRule>
    <cfRule type="containsText" dxfId="30546" priority="378" operator="containsText" text="CMS">
      <formula>NOT(ISERROR(SEARCH("CMS",G44)))</formula>
    </cfRule>
    <cfRule type="cellIs" dxfId="30545" priority="379" operator="equal">
      <formula>0</formula>
    </cfRule>
    <cfRule type="cellIs" dxfId="30544" priority="380" operator="greaterThan">
      <formula>0</formula>
    </cfRule>
  </conditionalFormatting>
  <conditionalFormatting sqref="G44:G45">
    <cfRule type="cellIs" dxfId="30543" priority="369" operator="equal">
      <formula>"PMS"</formula>
    </cfRule>
    <cfRule type="containsText" dxfId="30542" priority="370" operator="containsText" text="CMS">
      <formula>NOT(ISERROR(SEARCH("CMS",G44)))</formula>
    </cfRule>
    <cfRule type="cellIs" dxfId="30541" priority="371" operator="equal">
      <formula>0</formula>
    </cfRule>
    <cfRule type="cellIs" dxfId="30540" priority="372" operator="greaterThan">
      <formula>0</formula>
    </cfRule>
  </conditionalFormatting>
  <conditionalFormatting sqref="G44:G45">
    <cfRule type="cellIs" dxfId="30539" priority="365" operator="equal">
      <formula>"PMS"</formula>
    </cfRule>
    <cfRule type="containsText" dxfId="30538" priority="366" operator="containsText" text="CMS">
      <formula>NOT(ISERROR(SEARCH("CMS",G44)))</formula>
    </cfRule>
    <cfRule type="cellIs" dxfId="30537" priority="367" operator="equal">
      <formula>0</formula>
    </cfRule>
    <cfRule type="cellIs" dxfId="30536" priority="368" operator="greaterThan">
      <formula>0</formula>
    </cfRule>
  </conditionalFormatting>
  <conditionalFormatting sqref="I60:I62">
    <cfRule type="cellIs" dxfId="30535" priority="357" operator="equal">
      <formula>"PMS"</formula>
    </cfRule>
    <cfRule type="containsText" dxfId="30534" priority="358" operator="containsText" text="CMS">
      <formula>NOT(ISERROR(SEARCH("CMS",I60)))</formula>
    </cfRule>
    <cfRule type="cellIs" dxfId="30533" priority="359" operator="equal">
      <formula>0</formula>
    </cfRule>
    <cfRule type="cellIs" dxfId="30532" priority="360" operator="greaterThan">
      <formula>0</formula>
    </cfRule>
    <cfRule type="cellIs" dxfId="30531" priority="361" operator="equal">
      <formula>"PMS"</formula>
    </cfRule>
    <cfRule type="containsText" dxfId="30530" priority="362" operator="containsText" text="CMS">
      <formula>NOT(ISERROR(SEARCH("CMS",I60)))</formula>
    </cfRule>
    <cfRule type="cellIs" dxfId="30529" priority="363" operator="equal">
      <formula>0</formula>
    </cfRule>
    <cfRule type="cellIs" dxfId="30528" priority="364" operator="greaterThan">
      <formula>0</formula>
    </cfRule>
  </conditionalFormatting>
  <conditionalFormatting sqref="K61:K62">
    <cfRule type="cellIs" dxfId="30527" priority="349" operator="equal">
      <formula>"PMS"</formula>
    </cfRule>
    <cfRule type="containsText" dxfId="30526" priority="350" operator="containsText" text="CMS">
      <formula>NOT(ISERROR(SEARCH("CMS",K61)))</formula>
    </cfRule>
    <cfRule type="cellIs" dxfId="30525" priority="351" operator="equal">
      <formula>0</formula>
    </cfRule>
    <cfRule type="cellIs" dxfId="30524" priority="352" operator="greaterThan">
      <formula>0</formula>
    </cfRule>
    <cfRule type="cellIs" dxfId="30523" priority="353" operator="equal">
      <formula>"PMS"</formula>
    </cfRule>
    <cfRule type="containsText" dxfId="30522" priority="354" operator="containsText" text="CMS">
      <formula>NOT(ISERROR(SEARCH("CMS",K61)))</formula>
    </cfRule>
    <cfRule type="cellIs" dxfId="30521" priority="355" operator="equal">
      <formula>0</formula>
    </cfRule>
    <cfRule type="cellIs" dxfId="30520" priority="356" operator="greaterThan">
      <formula>0</formula>
    </cfRule>
  </conditionalFormatting>
  <conditionalFormatting sqref="G31:AC31">
    <cfRule type="cellIs" dxfId="30519" priority="341" operator="equal">
      <formula>"PMS"</formula>
    </cfRule>
    <cfRule type="containsText" dxfId="30518" priority="342" operator="containsText" text="CMS">
      <formula>NOT(ISERROR(SEARCH("CMS",G31)))</formula>
    </cfRule>
    <cfRule type="cellIs" dxfId="30517" priority="343" operator="equal">
      <formula>0</formula>
    </cfRule>
    <cfRule type="cellIs" dxfId="30516" priority="344" operator="greaterThan">
      <formula>0</formula>
    </cfRule>
    <cfRule type="cellIs" dxfId="30515" priority="345" operator="equal">
      <formula>"PMS"</formula>
    </cfRule>
    <cfRule type="containsText" dxfId="30514" priority="346" operator="containsText" text="CMS">
      <formula>NOT(ISERROR(SEARCH("CMS",G31)))</formula>
    </cfRule>
    <cfRule type="cellIs" dxfId="30513" priority="347" operator="equal">
      <formula>0</formula>
    </cfRule>
    <cfRule type="cellIs" dxfId="30512" priority="348" operator="greaterThan">
      <formula>0</formula>
    </cfRule>
  </conditionalFormatting>
  <conditionalFormatting sqref="G31:AC31">
    <cfRule type="cellIs" dxfId="30511" priority="309" operator="equal">
      <formula>"PMS"</formula>
    </cfRule>
    <cfRule type="containsText" dxfId="30510" priority="310" operator="containsText" text="CMS">
      <formula>NOT(ISERROR(SEARCH("CMS",G31)))</formula>
    </cfRule>
    <cfRule type="cellIs" dxfId="30509" priority="311" operator="equal">
      <formula>0</formula>
    </cfRule>
    <cfRule type="cellIs" dxfId="30508" priority="312" operator="greaterThan">
      <formula>0</formula>
    </cfRule>
  </conditionalFormatting>
  <conditionalFormatting sqref="G31:AC31">
    <cfRule type="cellIs" dxfId="30507" priority="305" operator="equal">
      <formula>"PMS"</formula>
    </cfRule>
    <cfRule type="containsText" dxfId="30506" priority="306" operator="containsText" text="CMS">
      <formula>NOT(ISERROR(SEARCH("CMS",G31)))</formula>
    </cfRule>
    <cfRule type="cellIs" dxfId="30505" priority="307" operator="equal">
      <formula>0</formula>
    </cfRule>
    <cfRule type="cellIs" dxfId="30504" priority="308" operator="greaterThan">
      <formula>0</formula>
    </cfRule>
  </conditionalFormatting>
  <conditionalFormatting sqref="O47">
    <cfRule type="cellIs" dxfId="30503" priority="289" operator="equal">
      <formula>"PMS"</formula>
    </cfRule>
    <cfRule type="containsText" dxfId="30502" priority="290" operator="containsText" text="CMS">
      <formula>NOT(ISERROR(SEARCH("CMS",O47)))</formula>
    </cfRule>
    <cfRule type="cellIs" dxfId="30501" priority="291" operator="equal">
      <formula>0</formula>
    </cfRule>
    <cfRule type="cellIs" dxfId="30500" priority="292" operator="greaterThan">
      <formula>0</formula>
    </cfRule>
  </conditionalFormatting>
  <conditionalFormatting sqref="O47">
    <cfRule type="cellIs" dxfId="30499" priority="285" operator="equal">
      <formula>"PMS"</formula>
    </cfRule>
    <cfRule type="containsText" dxfId="30498" priority="286" operator="containsText" text="CMS">
      <formula>NOT(ISERROR(SEARCH("CMS",O47)))</formula>
    </cfRule>
    <cfRule type="cellIs" dxfId="30497" priority="287" operator="equal">
      <formula>0</formula>
    </cfRule>
    <cfRule type="cellIs" dxfId="30496" priority="288" operator="greaterThan">
      <formula>0</formula>
    </cfRule>
  </conditionalFormatting>
  <conditionalFormatting sqref="O47">
    <cfRule type="cellIs" dxfId="30495" priority="281" operator="equal">
      <formula>"PMS"</formula>
    </cfRule>
    <cfRule type="containsText" dxfId="30494" priority="282" operator="containsText" text="CMS">
      <formula>NOT(ISERROR(SEARCH("CMS",O47)))</formula>
    </cfRule>
    <cfRule type="cellIs" dxfId="30493" priority="283" operator="equal">
      <formula>0</formula>
    </cfRule>
    <cfRule type="cellIs" dxfId="30492" priority="284" operator="greaterThan">
      <formula>0</formula>
    </cfRule>
  </conditionalFormatting>
  <conditionalFormatting sqref="O47">
    <cfRule type="cellIs" dxfId="30491" priority="277" operator="equal">
      <formula>"PMS"</formula>
    </cfRule>
    <cfRule type="containsText" dxfId="30490" priority="278" operator="containsText" text="CMS">
      <formula>NOT(ISERROR(SEARCH("CMS",O47)))</formula>
    </cfRule>
    <cfRule type="cellIs" dxfId="30489" priority="279" operator="equal">
      <formula>0</formula>
    </cfRule>
    <cfRule type="cellIs" dxfId="30488" priority="280" operator="greaterThan">
      <formula>0</formula>
    </cfRule>
  </conditionalFormatting>
  <conditionalFormatting sqref="O55">
    <cfRule type="cellIs" dxfId="30487" priority="273" operator="equal">
      <formula>"PMS"</formula>
    </cfRule>
    <cfRule type="containsText" dxfId="30486" priority="274" operator="containsText" text="CMS">
      <formula>NOT(ISERROR(SEARCH("CMS",O55)))</formula>
    </cfRule>
    <cfRule type="cellIs" dxfId="30485" priority="275" operator="equal">
      <formula>0</formula>
    </cfRule>
    <cfRule type="cellIs" dxfId="30484" priority="276" operator="greaterThan">
      <formula>0</formula>
    </cfRule>
  </conditionalFormatting>
  <conditionalFormatting sqref="O55">
    <cfRule type="cellIs" dxfId="30483" priority="269" operator="equal">
      <formula>"PMS"</formula>
    </cfRule>
    <cfRule type="containsText" dxfId="30482" priority="270" operator="containsText" text="CMS">
      <formula>NOT(ISERROR(SEARCH("CMS",O55)))</formula>
    </cfRule>
    <cfRule type="cellIs" dxfId="30481" priority="271" operator="equal">
      <formula>0</formula>
    </cfRule>
    <cfRule type="cellIs" dxfId="30480" priority="272" operator="greaterThan">
      <formula>0</formula>
    </cfRule>
  </conditionalFormatting>
  <conditionalFormatting sqref="O55">
    <cfRule type="cellIs" dxfId="30479" priority="265" operator="equal">
      <formula>"PMS"</formula>
    </cfRule>
    <cfRule type="containsText" dxfId="30478" priority="266" operator="containsText" text="CMS">
      <formula>NOT(ISERROR(SEARCH("CMS",O55)))</formula>
    </cfRule>
    <cfRule type="cellIs" dxfId="30477" priority="267" operator="equal">
      <formula>0</formula>
    </cfRule>
    <cfRule type="cellIs" dxfId="30476" priority="268" operator="greaterThan">
      <formula>0</formula>
    </cfRule>
  </conditionalFormatting>
  <conditionalFormatting sqref="O55">
    <cfRule type="cellIs" dxfId="30475" priority="261" operator="equal">
      <formula>"PMS"</formula>
    </cfRule>
    <cfRule type="containsText" dxfId="30474" priority="262" operator="containsText" text="CMS">
      <formula>NOT(ISERROR(SEARCH("CMS",O55)))</formula>
    </cfRule>
    <cfRule type="cellIs" dxfId="30473" priority="263" operator="equal">
      <formula>0</formula>
    </cfRule>
    <cfRule type="cellIs" dxfId="30472" priority="264" operator="greaterThan">
      <formula>0</formula>
    </cfRule>
  </conditionalFormatting>
  <conditionalFormatting sqref="O56">
    <cfRule type="cellIs" dxfId="30471" priority="257" operator="equal">
      <formula>"PMS"</formula>
    </cfRule>
    <cfRule type="containsText" dxfId="30470" priority="258" operator="containsText" text="CMS">
      <formula>NOT(ISERROR(SEARCH("CMS",O56)))</formula>
    </cfRule>
    <cfRule type="cellIs" dxfId="30469" priority="259" operator="equal">
      <formula>0</formula>
    </cfRule>
    <cfRule type="cellIs" dxfId="30468" priority="260" operator="greaterThan">
      <formula>0</formula>
    </cfRule>
  </conditionalFormatting>
  <conditionalFormatting sqref="O56">
    <cfRule type="cellIs" dxfId="30467" priority="253" operator="equal">
      <formula>"PMS"</formula>
    </cfRule>
    <cfRule type="containsText" dxfId="30466" priority="254" operator="containsText" text="CMS">
      <formula>NOT(ISERROR(SEARCH("CMS",O56)))</formula>
    </cfRule>
    <cfRule type="cellIs" dxfId="30465" priority="255" operator="equal">
      <formula>0</formula>
    </cfRule>
    <cfRule type="cellIs" dxfId="30464" priority="256" operator="greaterThan">
      <formula>0</formula>
    </cfRule>
  </conditionalFormatting>
  <conditionalFormatting sqref="O56">
    <cfRule type="cellIs" dxfId="30463" priority="249" operator="equal">
      <formula>"PMS"</formula>
    </cfRule>
    <cfRule type="containsText" dxfId="30462" priority="250" operator="containsText" text="CMS">
      <formula>NOT(ISERROR(SEARCH("CMS",O56)))</formula>
    </cfRule>
    <cfRule type="cellIs" dxfId="30461" priority="251" operator="equal">
      <formula>0</formula>
    </cfRule>
    <cfRule type="cellIs" dxfId="30460" priority="252" operator="greaterThan">
      <formula>0</formula>
    </cfRule>
  </conditionalFormatting>
  <conditionalFormatting sqref="O56">
    <cfRule type="cellIs" dxfId="30459" priority="245" operator="equal">
      <formula>"PMS"</formula>
    </cfRule>
    <cfRule type="containsText" dxfId="30458" priority="246" operator="containsText" text="CMS">
      <formula>NOT(ISERROR(SEARCH("CMS",O56)))</formula>
    </cfRule>
    <cfRule type="cellIs" dxfId="30457" priority="247" operator="equal">
      <formula>0</formula>
    </cfRule>
    <cfRule type="cellIs" dxfId="30456" priority="248" operator="greaterThan">
      <formula>0</formula>
    </cfRule>
  </conditionalFormatting>
  <conditionalFormatting sqref="G47:G48">
    <cfRule type="cellIs" dxfId="30455" priority="157" operator="equal">
      <formula>"PMS"</formula>
    </cfRule>
    <cfRule type="containsText" dxfId="30454" priority="158" operator="containsText" text="CMS">
      <formula>NOT(ISERROR(SEARCH("CMS",G47)))</formula>
    </cfRule>
    <cfRule type="cellIs" dxfId="30453" priority="159" operator="equal">
      <formula>0</formula>
    </cfRule>
    <cfRule type="cellIs" dxfId="30452" priority="160" operator="greaterThan">
      <formula>0</formula>
    </cfRule>
    <cfRule type="cellIs" dxfId="30451" priority="161" operator="equal">
      <formula>"PMS"</formula>
    </cfRule>
    <cfRule type="containsText" dxfId="30450" priority="162" operator="containsText" text="CMS">
      <formula>NOT(ISERROR(SEARCH("CMS",G47)))</formula>
    </cfRule>
    <cfRule type="cellIs" dxfId="30449" priority="163" operator="equal">
      <formula>0</formula>
    </cfRule>
    <cfRule type="cellIs" dxfId="30448" priority="164" operator="greaterThan">
      <formula>0</formula>
    </cfRule>
  </conditionalFormatting>
  <conditionalFormatting sqref="G47:G48">
    <cfRule type="cellIs" dxfId="30447" priority="153" operator="equal">
      <formula>"PMS"</formula>
    </cfRule>
    <cfRule type="containsText" dxfId="30446" priority="154" operator="containsText" text="CMS">
      <formula>NOT(ISERROR(SEARCH("CMS",G47)))</formula>
    </cfRule>
    <cfRule type="cellIs" dxfId="30445" priority="155" operator="equal">
      <formula>0</formula>
    </cfRule>
    <cfRule type="cellIs" dxfId="30444" priority="156" operator="greaterThan">
      <formula>0</formula>
    </cfRule>
  </conditionalFormatting>
  <conditionalFormatting sqref="G47:G48">
    <cfRule type="cellIs" dxfId="30443" priority="149" operator="equal">
      <formula>"PMS"</formula>
    </cfRule>
    <cfRule type="containsText" dxfId="30442" priority="150" operator="containsText" text="CMS">
      <formula>NOT(ISERROR(SEARCH("CMS",G47)))</formula>
    </cfRule>
    <cfRule type="cellIs" dxfId="30441" priority="151" operator="equal">
      <formula>0</formula>
    </cfRule>
    <cfRule type="cellIs" dxfId="30440" priority="152" operator="greaterThan">
      <formula>0</formula>
    </cfRule>
  </conditionalFormatting>
  <conditionalFormatting sqref="G65:G71 G73">
    <cfRule type="cellIs" dxfId="30439" priority="141" operator="equal">
      <formula>"PMS"</formula>
    </cfRule>
    <cfRule type="containsText" dxfId="30438" priority="142" operator="containsText" text="CMS">
      <formula>NOT(ISERROR(SEARCH("CMS",G65)))</formula>
    </cfRule>
    <cfRule type="cellIs" dxfId="30437" priority="143" operator="equal">
      <formula>0</formula>
    </cfRule>
    <cfRule type="cellIs" dxfId="30436" priority="144" operator="greaterThan">
      <formula>0</formula>
    </cfRule>
    <cfRule type="cellIs" dxfId="30435" priority="145" operator="equal">
      <formula>"PMS"</formula>
    </cfRule>
    <cfRule type="containsText" dxfId="30434" priority="146" operator="containsText" text="CMS">
      <formula>NOT(ISERROR(SEARCH("CMS",G65)))</formula>
    </cfRule>
    <cfRule type="cellIs" dxfId="30433" priority="147" operator="equal">
      <formula>0</formula>
    </cfRule>
    <cfRule type="cellIs" dxfId="30432" priority="148" operator="greaterThan">
      <formula>0</formula>
    </cfRule>
  </conditionalFormatting>
  <conditionalFormatting sqref="O52:O57">
    <cfRule type="cellIs" dxfId="30431" priority="137" operator="equal">
      <formula>"PMS"</formula>
    </cfRule>
    <cfRule type="containsText" dxfId="30430" priority="138" operator="containsText" text="CMS">
      <formula>NOT(ISERROR(SEARCH("CMS",O52)))</formula>
    </cfRule>
    <cfRule type="cellIs" dxfId="30429" priority="139" operator="equal">
      <formula>0</formula>
    </cfRule>
    <cfRule type="cellIs" dxfId="30428" priority="140" operator="greaterThan">
      <formula>0</formula>
    </cfRule>
  </conditionalFormatting>
  <conditionalFormatting sqref="F20:F21 F76:F77 F13:F16 F27:F28 F34:F57 F60:F62 F65:F73 F24:I24 G34:I34 G72:J72">
    <cfRule type="cellIs" dxfId="30427" priority="129" operator="equal">
      <formula>"PMS"</formula>
    </cfRule>
    <cfRule type="containsText" dxfId="30426" priority="130" operator="containsText" text="CMS">
      <formula>NOT(ISERROR(SEARCH("CMS",F13)))</formula>
    </cfRule>
    <cfRule type="cellIs" dxfId="30425" priority="131" operator="equal">
      <formula>0</formula>
    </cfRule>
    <cfRule type="cellIs" dxfId="30424" priority="132" operator="greaterThan">
      <formula>0</formula>
    </cfRule>
    <cfRule type="cellIs" dxfId="30423" priority="133" operator="equal">
      <formula>"PMS"</formula>
    </cfRule>
    <cfRule type="containsText" dxfId="30422" priority="134" operator="containsText" text="CMS">
      <formula>NOT(ISERROR(SEARCH("CMS",F13)))</formula>
    </cfRule>
    <cfRule type="cellIs" dxfId="30421" priority="135" operator="equal">
      <formula>0</formula>
    </cfRule>
    <cfRule type="cellIs" dxfId="30420" priority="136" operator="greaterThan">
      <formula>0</formula>
    </cfRule>
  </conditionalFormatting>
  <conditionalFormatting sqref="F76:F77 F60:F62 F65:F73 G72:J72">
    <cfRule type="cellIs" dxfId="30419" priority="125" operator="equal">
      <formula>"PMS"</formula>
    </cfRule>
    <cfRule type="containsText" dxfId="30418" priority="126" operator="containsText" text="CMS">
      <formula>NOT(ISERROR(SEARCH("CMS",F60)))</formula>
    </cfRule>
    <cfRule type="cellIs" dxfId="30417" priority="127" operator="equal">
      <formula>0</formula>
    </cfRule>
    <cfRule type="cellIs" dxfId="30416" priority="128" operator="greaterThan">
      <formula>0</formula>
    </cfRule>
  </conditionalFormatting>
  <conditionalFormatting sqref="F65:F73 G72:J72">
    <cfRule type="cellIs" dxfId="30415" priority="121" operator="equal">
      <formula>"PMS"</formula>
    </cfRule>
    <cfRule type="containsText" dxfId="30414" priority="122" operator="containsText" text="CMS">
      <formula>NOT(ISERROR(SEARCH("CMS",F65)))</formula>
    </cfRule>
    <cfRule type="cellIs" dxfId="30413" priority="123" operator="equal">
      <formula>0</formula>
    </cfRule>
    <cfRule type="cellIs" dxfId="30412" priority="124" operator="greaterThan">
      <formula>0</formula>
    </cfRule>
  </conditionalFormatting>
  <conditionalFormatting sqref="F13:F16">
    <cfRule type="cellIs" dxfId="30411" priority="117" operator="equal">
      <formula>"PMS"</formula>
    </cfRule>
    <cfRule type="containsText" dxfId="30410" priority="118" operator="containsText" text="CMS">
      <formula>NOT(ISERROR(SEARCH("CMS",F13)))</formula>
    </cfRule>
    <cfRule type="cellIs" dxfId="30409" priority="119" operator="equal">
      <formula>0</formula>
    </cfRule>
    <cfRule type="cellIs" dxfId="30408" priority="120" operator="greaterThan">
      <formula>0</formula>
    </cfRule>
  </conditionalFormatting>
  <conditionalFormatting sqref="F13:F16">
    <cfRule type="cellIs" dxfId="30407" priority="113" operator="equal">
      <formula>"PMS"</formula>
    </cfRule>
    <cfRule type="containsText" dxfId="30406" priority="114" operator="containsText" text="CMS">
      <formula>NOT(ISERROR(SEARCH("CMS",F13)))</formula>
    </cfRule>
    <cfRule type="cellIs" dxfId="30405" priority="115" operator="equal">
      <formula>0</formula>
    </cfRule>
    <cfRule type="cellIs" dxfId="30404" priority="116" operator="greaterThan">
      <formula>0</formula>
    </cfRule>
  </conditionalFormatting>
  <conditionalFormatting sqref="F20:F21">
    <cfRule type="cellIs" dxfId="30403" priority="109" operator="equal">
      <formula>"PMS"</formula>
    </cfRule>
    <cfRule type="containsText" dxfId="30402" priority="110" operator="containsText" text="CMS">
      <formula>NOT(ISERROR(SEARCH("CMS",F20)))</formula>
    </cfRule>
    <cfRule type="cellIs" dxfId="30401" priority="111" operator="equal">
      <formula>0</formula>
    </cfRule>
    <cfRule type="cellIs" dxfId="30400" priority="112" operator="greaterThan">
      <formula>0</formula>
    </cfRule>
  </conditionalFormatting>
  <conditionalFormatting sqref="F20:F21">
    <cfRule type="cellIs" dxfId="30399" priority="105" operator="equal">
      <formula>"PMS"</formula>
    </cfRule>
    <cfRule type="containsText" dxfId="30398" priority="106" operator="containsText" text="CMS">
      <formula>NOT(ISERROR(SEARCH("CMS",F20)))</formula>
    </cfRule>
    <cfRule type="cellIs" dxfId="30397" priority="107" operator="equal">
      <formula>0</formula>
    </cfRule>
    <cfRule type="cellIs" dxfId="30396" priority="108" operator="greaterThan">
      <formula>0</formula>
    </cfRule>
  </conditionalFormatting>
  <conditionalFormatting sqref="F24:I24">
    <cfRule type="cellIs" dxfId="30395" priority="101" operator="equal">
      <formula>"PMS"</formula>
    </cfRule>
    <cfRule type="containsText" dxfId="30394" priority="102" operator="containsText" text="CMS">
      <formula>NOT(ISERROR(SEARCH("CMS",F24)))</formula>
    </cfRule>
    <cfRule type="cellIs" dxfId="30393" priority="103" operator="equal">
      <formula>0</formula>
    </cfRule>
    <cfRule type="cellIs" dxfId="30392" priority="104" operator="greaterThan">
      <formula>0</formula>
    </cfRule>
  </conditionalFormatting>
  <conditionalFormatting sqref="F24:I24">
    <cfRule type="cellIs" dxfId="30391" priority="97" operator="equal">
      <formula>"PMS"</formula>
    </cfRule>
    <cfRule type="containsText" dxfId="30390" priority="98" operator="containsText" text="CMS">
      <formula>NOT(ISERROR(SEARCH("CMS",F24)))</formula>
    </cfRule>
    <cfRule type="cellIs" dxfId="30389" priority="99" operator="equal">
      <formula>0</formula>
    </cfRule>
    <cfRule type="cellIs" dxfId="30388" priority="100" operator="greaterThan">
      <formula>0</formula>
    </cfRule>
  </conditionalFormatting>
  <conditionalFormatting sqref="F27:F28">
    <cfRule type="cellIs" dxfId="30387" priority="93" operator="equal">
      <formula>"PMS"</formula>
    </cfRule>
    <cfRule type="containsText" dxfId="30386" priority="94" operator="containsText" text="CMS">
      <formula>NOT(ISERROR(SEARCH("CMS",F27)))</formula>
    </cfRule>
    <cfRule type="cellIs" dxfId="30385" priority="95" operator="equal">
      <formula>0</formula>
    </cfRule>
    <cfRule type="cellIs" dxfId="30384" priority="96" operator="greaterThan">
      <formula>0</formula>
    </cfRule>
  </conditionalFormatting>
  <conditionalFormatting sqref="F27:F28">
    <cfRule type="cellIs" dxfId="30383" priority="89" operator="equal">
      <formula>"PMS"</formula>
    </cfRule>
    <cfRule type="containsText" dxfId="30382" priority="90" operator="containsText" text="CMS">
      <formula>NOT(ISERROR(SEARCH("CMS",F27)))</formula>
    </cfRule>
    <cfRule type="cellIs" dxfId="30381" priority="91" operator="equal">
      <formula>0</formula>
    </cfRule>
    <cfRule type="cellIs" dxfId="30380" priority="92" operator="greaterThan">
      <formula>0</formula>
    </cfRule>
  </conditionalFormatting>
  <conditionalFormatting sqref="F34:F57 G34:I34">
    <cfRule type="cellIs" dxfId="30379" priority="85" operator="equal">
      <formula>"PMS"</formula>
    </cfRule>
    <cfRule type="containsText" dxfId="30378" priority="86" operator="containsText" text="CMS">
      <formula>NOT(ISERROR(SEARCH("CMS",F34)))</formula>
    </cfRule>
    <cfRule type="cellIs" dxfId="30377" priority="87" operator="equal">
      <formula>0</formula>
    </cfRule>
    <cfRule type="cellIs" dxfId="30376" priority="88" operator="greaterThan">
      <formula>0</formula>
    </cfRule>
  </conditionalFormatting>
  <conditionalFormatting sqref="F34:F57 G34:I34">
    <cfRule type="cellIs" dxfId="30375" priority="81" operator="equal">
      <formula>"PMS"</formula>
    </cfRule>
    <cfRule type="containsText" dxfId="30374" priority="82" operator="containsText" text="CMS">
      <formula>NOT(ISERROR(SEARCH("CMS",F34)))</formula>
    </cfRule>
    <cfRule type="cellIs" dxfId="30373" priority="83" operator="equal">
      <formula>0</formula>
    </cfRule>
    <cfRule type="cellIs" dxfId="30372" priority="84" operator="greaterThan">
      <formula>0</formula>
    </cfRule>
  </conditionalFormatting>
  <conditionalFormatting sqref="F13">
    <cfRule type="cellIs" dxfId="30371" priority="77" operator="equal">
      <formula>"PMS"</formula>
    </cfRule>
    <cfRule type="containsText" dxfId="30370" priority="78" operator="containsText" text="CMS">
      <formula>NOT(ISERROR(SEARCH("CMS",F13)))</formula>
    </cfRule>
    <cfRule type="cellIs" dxfId="30369" priority="79" operator="equal">
      <formula>0</formula>
    </cfRule>
    <cfRule type="cellIs" dxfId="30368" priority="80" operator="greaterThan">
      <formula>0</formula>
    </cfRule>
  </conditionalFormatting>
  <conditionalFormatting sqref="F13">
    <cfRule type="cellIs" dxfId="30367" priority="73" operator="equal">
      <formula>"PMS"</formula>
    </cfRule>
    <cfRule type="containsText" dxfId="30366" priority="74" operator="containsText" text="CMS">
      <formula>NOT(ISERROR(SEARCH("CMS",F13)))</formula>
    </cfRule>
    <cfRule type="cellIs" dxfId="30365" priority="75" operator="equal">
      <formula>0</formula>
    </cfRule>
    <cfRule type="cellIs" dxfId="30364" priority="76" operator="greaterThan">
      <formula>0</formula>
    </cfRule>
  </conditionalFormatting>
  <conditionalFormatting sqref="F56">
    <cfRule type="cellIs" dxfId="30363" priority="69" operator="equal">
      <formula>"PMS"</formula>
    </cfRule>
    <cfRule type="containsText" dxfId="30362" priority="70" operator="containsText" text="CMS">
      <formula>NOT(ISERROR(SEARCH("CMS",F56)))</formula>
    </cfRule>
    <cfRule type="cellIs" dxfId="30361" priority="71" operator="equal">
      <formula>0</formula>
    </cfRule>
    <cfRule type="cellIs" dxfId="30360" priority="72" operator="greaterThan">
      <formula>0</formula>
    </cfRule>
  </conditionalFormatting>
  <conditionalFormatting sqref="F56">
    <cfRule type="cellIs" dxfId="30359" priority="65" operator="equal">
      <formula>"PMS"</formula>
    </cfRule>
    <cfRule type="containsText" dxfId="30358" priority="66" operator="containsText" text="CMS">
      <formula>NOT(ISERROR(SEARCH("CMS",F56)))</formula>
    </cfRule>
    <cfRule type="cellIs" dxfId="30357" priority="67" operator="equal">
      <formula>0</formula>
    </cfRule>
    <cfRule type="cellIs" dxfId="30356" priority="68" operator="greaterThan">
      <formula>0</formula>
    </cfRule>
  </conditionalFormatting>
  <conditionalFormatting sqref="F56">
    <cfRule type="cellIs" dxfId="30355" priority="61" operator="equal">
      <formula>"PMS"</formula>
    </cfRule>
    <cfRule type="containsText" dxfId="30354" priority="62" operator="containsText" text="CMS">
      <formula>NOT(ISERROR(SEARCH("CMS",F56)))</formula>
    </cfRule>
    <cfRule type="cellIs" dxfId="30353" priority="63" operator="equal">
      <formula>0</formula>
    </cfRule>
    <cfRule type="cellIs" dxfId="30352" priority="64" operator="greaterThan">
      <formula>0</formula>
    </cfRule>
  </conditionalFormatting>
  <conditionalFormatting sqref="F56">
    <cfRule type="cellIs" dxfId="30351" priority="57" operator="equal">
      <formula>"PMS"</formula>
    </cfRule>
    <cfRule type="containsText" dxfId="30350" priority="58" operator="containsText" text="CMS">
      <formula>NOT(ISERROR(SEARCH("CMS",F56)))</formula>
    </cfRule>
    <cfRule type="cellIs" dxfId="30349" priority="59" operator="equal">
      <formula>0</formula>
    </cfRule>
    <cfRule type="cellIs" dxfId="30348" priority="60" operator="greaterThan">
      <formula>0</formula>
    </cfRule>
  </conditionalFormatting>
  <conditionalFormatting sqref="F57">
    <cfRule type="cellIs" dxfId="30347" priority="53" operator="equal">
      <formula>"PMS"</formula>
    </cfRule>
    <cfRule type="containsText" dxfId="30346" priority="54" operator="containsText" text="CMS">
      <formula>NOT(ISERROR(SEARCH("CMS",F57)))</formula>
    </cfRule>
    <cfRule type="cellIs" dxfId="30345" priority="55" operator="equal">
      <formula>0</formula>
    </cfRule>
    <cfRule type="cellIs" dxfId="30344" priority="56" operator="greaterThan">
      <formula>0</formula>
    </cfRule>
  </conditionalFormatting>
  <conditionalFormatting sqref="F57">
    <cfRule type="cellIs" dxfId="30343" priority="49" operator="equal">
      <formula>"PMS"</formula>
    </cfRule>
    <cfRule type="containsText" dxfId="30342" priority="50" operator="containsText" text="CMS">
      <formula>NOT(ISERROR(SEARCH("CMS",F57)))</formula>
    </cfRule>
    <cfRule type="cellIs" dxfId="30341" priority="51" operator="equal">
      <formula>0</formula>
    </cfRule>
    <cfRule type="cellIs" dxfId="30340" priority="52" operator="greaterThan">
      <formula>0</formula>
    </cfRule>
  </conditionalFormatting>
  <conditionalFormatting sqref="F57">
    <cfRule type="cellIs" dxfId="30339" priority="45" operator="equal">
      <formula>"PMS"</formula>
    </cfRule>
    <cfRule type="containsText" dxfId="30338" priority="46" operator="containsText" text="CMS">
      <formula>NOT(ISERROR(SEARCH("CMS",F57)))</formula>
    </cfRule>
    <cfRule type="cellIs" dxfId="30337" priority="47" operator="equal">
      <formula>0</formula>
    </cfRule>
    <cfRule type="cellIs" dxfId="30336" priority="48" operator="greaterThan">
      <formula>0</formula>
    </cfRule>
  </conditionalFormatting>
  <conditionalFormatting sqref="F57">
    <cfRule type="cellIs" dxfId="30335" priority="41" operator="equal">
      <formula>"PMS"</formula>
    </cfRule>
    <cfRule type="containsText" dxfId="30334" priority="42" operator="containsText" text="CMS">
      <formula>NOT(ISERROR(SEARCH("CMS",F57)))</formula>
    </cfRule>
    <cfRule type="cellIs" dxfId="30333" priority="43" operator="equal">
      <formula>0</formula>
    </cfRule>
    <cfRule type="cellIs" dxfId="30332" priority="44" operator="greaterThan">
      <formula>0</formula>
    </cfRule>
  </conditionalFormatting>
  <conditionalFormatting sqref="F31">
    <cfRule type="cellIs" dxfId="30331" priority="29" operator="equal">
      <formula>"PMS"</formula>
    </cfRule>
    <cfRule type="containsText" dxfId="30330" priority="30" operator="containsText" text="CMS">
      <formula>NOT(ISERROR(SEARCH("CMS",F31)))</formula>
    </cfRule>
    <cfRule type="cellIs" dxfId="30329" priority="31" operator="equal">
      <formula>0</formula>
    </cfRule>
    <cfRule type="cellIs" dxfId="30328" priority="32" operator="greaterThan">
      <formula>0</formula>
    </cfRule>
    <cfRule type="cellIs" dxfId="30327" priority="33" operator="equal">
      <formula>"PMS"</formula>
    </cfRule>
    <cfRule type="containsText" dxfId="30326" priority="34" operator="containsText" text="CMS">
      <formula>NOT(ISERROR(SEARCH("CMS",F31)))</formula>
    </cfRule>
    <cfRule type="cellIs" dxfId="30325" priority="35" operator="equal">
      <formula>0</formula>
    </cfRule>
    <cfRule type="cellIs" dxfId="30324" priority="36" operator="greaterThan">
      <formula>0</formula>
    </cfRule>
  </conditionalFormatting>
  <conditionalFormatting sqref="F31">
    <cfRule type="cellIs" dxfId="30323" priority="25" operator="equal">
      <formula>"PMS"</formula>
    </cfRule>
    <cfRule type="containsText" dxfId="30322" priority="26" operator="containsText" text="CMS">
      <formula>NOT(ISERROR(SEARCH("CMS",F31)))</formula>
    </cfRule>
    <cfRule type="cellIs" dxfId="30321" priority="27" operator="equal">
      <formula>0</formula>
    </cfRule>
    <cfRule type="cellIs" dxfId="30320" priority="28" operator="greaterThan">
      <formula>0</formula>
    </cfRule>
  </conditionalFormatting>
  <conditionalFormatting sqref="F31">
    <cfRule type="cellIs" dxfId="30319" priority="21" operator="equal">
      <formula>"PMS"</formula>
    </cfRule>
    <cfRule type="containsText" dxfId="30318" priority="22" operator="containsText" text="CMS">
      <formula>NOT(ISERROR(SEARCH("CMS",F31)))</formula>
    </cfRule>
    <cfRule type="cellIs" dxfId="30317" priority="23" operator="equal">
      <formula>0</formula>
    </cfRule>
    <cfRule type="cellIs" dxfId="30316" priority="24" operator="greaterThan">
      <formula>0</formula>
    </cfRule>
  </conditionalFormatting>
  <conditionalFormatting sqref="F19:I19">
    <cfRule type="cellIs" dxfId="30315" priority="13" operator="equal">
      <formula>"PMS"</formula>
    </cfRule>
    <cfRule type="containsText" dxfId="30314" priority="14" operator="containsText" text="CMS">
      <formula>NOT(ISERROR(SEARCH("CMS",F19)))</formula>
    </cfRule>
    <cfRule type="cellIs" dxfId="30313" priority="15" operator="equal">
      <formula>0</formula>
    </cfRule>
    <cfRule type="cellIs" dxfId="30312" priority="16" operator="greaterThan">
      <formula>0</formula>
    </cfRule>
    <cfRule type="cellIs" dxfId="30311" priority="17" operator="equal">
      <formula>"PMS"</formula>
    </cfRule>
    <cfRule type="containsText" dxfId="30310" priority="18" operator="containsText" text="CMS">
      <formula>NOT(ISERROR(SEARCH("CMS",F19)))</formula>
    </cfRule>
    <cfRule type="cellIs" dxfId="30309" priority="19" operator="equal">
      <formula>0</formula>
    </cfRule>
    <cfRule type="cellIs" dxfId="30308" priority="20" operator="greaterThan">
      <formula>0</formula>
    </cfRule>
  </conditionalFormatting>
  <conditionalFormatting sqref="F19:I19">
    <cfRule type="cellIs" dxfId="30307" priority="9" operator="equal">
      <formula>"PMS"</formula>
    </cfRule>
    <cfRule type="containsText" dxfId="30306" priority="10" operator="containsText" text="CMS">
      <formula>NOT(ISERROR(SEARCH("CMS",F19)))</formula>
    </cfRule>
    <cfRule type="cellIs" dxfId="30305" priority="11" operator="equal">
      <formula>0</formula>
    </cfRule>
    <cfRule type="cellIs" dxfId="30304" priority="12" operator="greaterThan">
      <formula>0</formula>
    </cfRule>
  </conditionalFormatting>
  <conditionalFormatting sqref="F19:I19">
    <cfRule type="cellIs" dxfId="30303" priority="5" operator="equal">
      <formula>"PMS"</formula>
    </cfRule>
    <cfRule type="containsText" dxfId="30302" priority="6" operator="containsText" text="CMS">
      <formula>NOT(ISERROR(SEARCH("CMS",F19)))</formula>
    </cfRule>
    <cfRule type="cellIs" dxfId="30301" priority="7" operator="equal">
      <formula>0</formula>
    </cfRule>
    <cfRule type="cellIs" dxfId="30300" priority="8" operator="greaterThan">
      <formula>0</formula>
    </cfRule>
  </conditionalFormatting>
  <conditionalFormatting sqref="O54">
    <cfRule type="cellIs" dxfId="30299" priority="1" operator="equal">
      <formula>"PMS"</formula>
    </cfRule>
    <cfRule type="containsText" dxfId="30298" priority="2" operator="containsText" text="CMS">
      <formula>NOT(ISERROR(SEARCH("CMS",O54)))</formula>
    </cfRule>
    <cfRule type="cellIs" dxfId="30297" priority="3" operator="equal">
      <formula>0</formula>
    </cfRule>
    <cfRule type="cellIs" dxfId="3029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09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3A09-0057-4649-9C3E-C77A43B48504}">
  <sheetPr codeName="Sheet102"/>
  <dimension ref="A2:DT137"/>
  <sheetViews>
    <sheetView zoomScale="70" zoomScaleNormal="70" zoomScaleSheetLayoutView="51" zoomScalePageLayoutView="55" workbookViewId="0">
      <pane xSplit="5" ySplit="11" topLeftCell="F20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AC29" sqref="AC2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5,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586.29999999999995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6.3</v>
      </c>
      <c r="H13" s="71">
        <v>6.8</v>
      </c>
      <c r="I13" s="71">
        <v>6.7</v>
      </c>
      <c r="J13" s="71"/>
      <c r="K13" s="71"/>
      <c r="L13" s="71">
        <v>6.7</v>
      </c>
      <c r="M13" s="71">
        <v>6.5</v>
      </c>
      <c r="N13" s="71">
        <v>6.8</v>
      </c>
      <c r="O13" s="219">
        <v>6.7</v>
      </c>
      <c r="P13" s="219">
        <v>6.9</v>
      </c>
      <c r="Q13" s="71">
        <v>6.7</v>
      </c>
      <c r="R13" s="71">
        <v>6.6</v>
      </c>
      <c r="S13" s="71">
        <v>6.6</v>
      </c>
      <c r="T13" s="71">
        <v>6.7</v>
      </c>
      <c r="U13" s="71">
        <v>6.6</v>
      </c>
      <c r="V13" s="71">
        <v>6.8</v>
      </c>
      <c r="W13" s="71">
        <v>6.5</v>
      </c>
      <c r="X13" s="71">
        <v>6.6</v>
      </c>
      <c r="Y13" s="71">
        <v>6.6</v>
      </c>
      <c r="Z13" s="71">
        <v>6.5</v>
      </c>
      <c r="AA13" s="71">
        <v>6.4</v>
      </c>
      <c r="AB13" s="71">
        <v>6</v>
      </c>
      <c r="AC13" s="71">
        <v>5.9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6.3</v>
      </c>
      <c r="H14" s="71">
        <v>6.8</v>
      </c>
      <c r="I14" s="71">
        <v>6.7</v>
      </c>
      <c r="J14" s="71">
        <v>6.7</v>
      </c>
      <c r="K14" s="71">
        <v>6.7</v>
      </c>
      <c r="L14" s="71">
        <v>6.7</v>
      </c>
      <c r="M14" s="71">
        <v>6.5</v>
      </c>
      <c r="N14" s="71">
        <v>6.8</v>
      </c>
      <c r="O14" s="219">
        <v>6.7</v>
      </c>
      <c r="P14" s="219">
        <v>6.9</v>
      </c>
      <c r="Q14" s="71">
        <v>6.7</v>
      </c>
      <c r="R14" s="71">
        <v>6.6</v>
      </c>
      <c r="S14" s="71">
        <v>6.6</v>
      </c>
      <c r="T14" s="71">
        <v>6.8</v>
      </c>
      <c r="U14" s="71">
        <v>6.6</v>
      </c>
      <c r="V14" s="71">
        <v>6.8</v>
      </c>
      <c r="W14" s="71">
        <v>6.5</v>
      </c>
      <c r="X14" s="71">
        <v>6.6</v>
      </c>
      <c r="Y14" s="71">
        <v>6.6</v>
      </c>
      <c r="Z14" s="71">
        <v>6.5</v>
      </c>
      <c r="AA14" s="71">
        <v>6.4</v>
      </c>
      <c r="AB14" s="71">
        <v>6</v>
      </c>
      <c r="AC14" s="71">
        <v>5.9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6.4</v>
      </c>
      <c r="G15" s="71">
        <v>6.3</v>
      </c>
      <c r="H15" s="71">
        <v>2.1</v>
      </c>
      <c r="I15" s="71"/>
      <c r="J15" s="71">
        <v>6.5</v>
      </c>
      <c r="K15" s="71">
        <v>6.6</v>
      </c>
      <c r="L15" s="71">
        <v>6.7</v>
      </c>
      <c r="M15" s="71">
        <v>6.5</v>
      </c>
      <c r="N15" s="71">
        <v>6.9</v>
      </c>
      <c r="O15" s="219">
        <v>6.7</v>
      </c>
      <c r="P15" s="219">
        <v>6.8</v>
      </c>
      <c r="Q15" s="71">
        <v>6.7</v>
      </c>
      <c r="R15" s="71">
        <v>6.6</v>
      </c>
      <c r="S15" s="71">
        <v>6.7</v>
      </c>
      <c r="T15" s="71">
        <v>6.8</v>
      </c>
      <c r="U15" s="71">
        <v>6.6</v>
      </c>
      <c r="V15" s="71">
        <v>6.8</v>
      </c>
      <c r="W15" s="71">
        <v>6.5</v>
      </c>
      <c r="X15" s="71">
        <v>6.6</v>
      </c>
      <c r="Y15" s="71">
        <v>6.6</v>
      </c>
      <c r="Z15" s="71">
        <v>6.5</v>
      </c>
      <c r="AA15" s="71">
        <v>6.4</v>
      </c>
      <c r="AB15" s="71">
        <v>6</v>
      </c>
      <c r="AC15" s="71">
        <v>5.9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6.4</v>
      </c>
      <c r="G16" s="71">
        <v>6.3</v>
      </c>
      <c r="H16" s="71">
        <v>6.8</v>
      </c>
      <c r="I16" s="71">
        <v>6.7</v>
      </c>
      <c r="J16" s="71">
        <v>6.7</v>
      </c>
      <c r="K16" s="71">
        <v>6.7</v>
      </c>
      <c r="L16" s="71"/>
      <c r="M16" s="71"/>
      <c r="N16" s="71"/>
      <c r="O16" s="71">
        <v>6.8</v>
      </c>
      <c r="P16" s="71">
        <v>6.9</v>
      </c>
      <c r="Q16" s="71">
        <v>6.7</v>
      </c>
      <c r="R16" s="71">
        <v>6.6</v>
      </c>
      <c r="S16" s="71">
        <v>6.6</v>
      </c>
      <c r="T16" s="71">
        <v>6.8</v>
      </c>
      <c r="U16" s="71">
        <v>6.7</v>
      </c>
      <c r="V16" s="71">
        <v>6.8</v>
      </c>
      <c r="W16" s="71">
        <v>6.5</v>
      </c>
      <c r="X16" s="71">
        <v>6.6</v>
      </c>
      <c r="Y16" s="71">
        <v>6.6</v>
      </c>
      <c r="Z16" s="71">
        <v>6.5</v>
      </c>
      <c r="AA16" s="71">
        <v>6.4</v>
      </c>
      <c r="AB16" s="71">
        <v>6</v>
      </c>
      <c r="AC16" s="71">
        <v>5.9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25.6</v>
      </c>
      <c r="G17" s="19">
        <f t="shared" ref="G17:AC17" si="1">SUM(G13:G16)</f>
        <v>25.2</v>
      </c>
      <c r="H17" s="19">
        <f t="shared" si="1"/>
        <v>22.5</v>
      </c>
      <c r="I17" s="19">
        <f t="shared" si="1"/>
        <v>20.100000000000001</v>
      </c>
      <c r="J17" s="19">
        <f t="shared" si="1"/>
        <v>19.899999999999999</v>
      </c>
      <c r="K17" s="19">
        <f t="shared" si="1"/>
        <v>20</v>
      </c>
      <c r="L17" s="19">
        <f t="shared" si="1"/>
        <v>20.100000000000001</v>
      </c>
      <c r="M17" s="19">
        <f t="shared" si="1"/>
        <v>19.5</v>
      </c>
      <c r="N17" s="19">
        <f t="shared" si="1"/>
        <v>20.5</v>
      </c>
      <c r="O17" s="19">
        <f t="shared" si="1"/>
        <v>26.900000000000002</v>
      </c>
      <c r="P17" s="19">
        <f t="shared" si="1"/>
        <v>27.5</v>
      </c>
      <c r="Q17" s="19">
        <f t="shared" si="1"/>
        <v>26.8</v>
      </c>
      <c r="R17" s="19">
        <f t="shared" si="1"/>
        <v>26.4</v>
      </c>
      <c r="S17" s="19">
        <f t="shared" si="1"/>
        <v>26.5</v>
      </c>
      <c r="T17" s="19">
        <f t="shared" si="1"/>
        <v>27.1</v>
      </c>
      <c r="U17" s="19">
        <f t="shared" si="1"/>
        <v>26.499999999999996</v>
      </c>
      <c r="V17" s="19">
        <f t="shared" si="1"/>
        <v>27.2</v>
      </c>
      <c r="W17" s="19">
        <f t="shared" si="1"/>
        <v>26</v>
      </c>
      <c r="X17" s="19">
        <f t="shared" si="1"/>
        <v>26.4</v>
      </c>
      <c r="Y17" s="19">
        <f t="shared" si="1"/>
        <v>26.4</v>
      </c>
      <c r="Z17" s="19">
        <f t="shared" si="1"/>
        <v>26</v>
      </c>
      <c r="AA17" s="19">
        <f t="shared" si="1"/>
        <v>25.6</v>
      </c>
      <c r="AB17" s="19">
        <f t="shared" si="1"/>
        <v>24</v>
      </c>
      <c r="AC17" s="19">
        <f t="shared" si="1"/>
        <v>23.6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0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82.69999999999996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3.5</v>
      </c>
      <c r="I24" s="71">
        <v>3.5</v>
      </c>
      <c r="J24" s="71">
        <v>3.8</v>
      </c>
      <c r="K24" s="71">
        <v>3.8</v>
      </c>
      <c r="L24" s="71">
        <v>3.8</v>
      </c>
      <c r="M24" s="219">
        <v>3.5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 t="s">
        <v>9</v>
      </c>
      <c r="AC24" s="71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3.5</v>
      </c>
      <c r="I25" s="19">
        <f t="shared" si="5"/>
        <v>3.5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3.5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160.19999999999999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2</v>
      </c>
      <c r="H27" s="71">
        <v>3.6</v>
      </c>
      <c r="I27" s="71">
        <v>3</v>
      </c>
      <c r="J27" s="71">
        <v>3</v>
      </c>
      <c r="K27" s="71">
        <v>3.5</v>
      </c>
      <c r="L27" s="71">
        <v>3.8</v>
      </c>
      <c r="M27" s="71">
        <v>3.3</v>
      </c>
      <c r="N27" s="71">
        <v>3.8</v>
      </c>
      <c r="O27" s="219">
        <v>4.3</v>
      </c>
      <c r="P27" s="71">
        <v>4</v>
      </c>
      <c r="Q27" s="71">
        <v>4.2</v>
      </c>
      <c r="R27" s="71">
        <v>4.0999999999999996</v>
      </c>
      <c r="S27" s="71">
        <v>4</v>
      </c>
      <c r="T27" s="71">
        <v>4</v>
      </c>
      <c r="U27" s="71">
        <v>4</v>
      </c>
      <c r="V27" s="71">
        <v>4</v>
      </c>
      <c r="W27" s="71">
        <v>3.8</v>
      </c>
      <c r="X27" s="71">
        <v>4</v>
      </c>
      <c r="Y27" s="71">
        <v>3.2</v>
      </c>
      <c r="Z27" s="71">
        <v>2.5</v>
      </c>
      <c r="AA27" s="71">
        <v>2</v>
      </c>
      <c r="AB27" s="71">
        <v>1</v>
      </c>
      <c r="AC27" s="71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2</v>
      </c>
      <c r="H28" s="71">
        <v>3.6</v>
      </c>
      <c r="I28" s="71">
        <v>3</v>
      </c>
      <c r="J28" s="71">
        <v>3</v>
      </c>
      <c r="K28" s="71">
        <v>3.5</v>
      </c>
      <c r="L28" s="71">
        <v>3.8</v>
      </c>
      <c r="M28" s="71">
        <v>3.3</v>
      </c>
      <c r="N28" s="71">
        <v>3.8</v>
      </c>
      <c r="O28" s="219">
        <v>4.3</v>
      </c>
      <c r="P28" s="71">
        <v>4</v>
      </c>
      <c r="Q28" s="71">
        <v>4.2</v>
      </c>
      <c r="R28" s="71">
        <v>4.0999999999999996</v>
      </c>
      <c r="S28" s="71">
        <v>4</v>
      </c>
      <c r="T28" s="71">
        <v>4</v>
      </c>
      <c r="U28" s="71">
        <v>4</v>
      </c>
      <c r="V28" s="71">
        <v>4</v>
      </c>
      <c r="W28" s="71">
        <v>3.8</v>
      </c>
      <c r="X28" s="71">
        <v>4</v>
      </c>
      <c r="Y28" s="71">
        <v>3.2</v>
      </c>
      <c r="Z28" s="71">
        <v>2.5</v>
      </c>
      <c r="AA28" s="71">
        <v>2</v>
      </c>
      <c r="AB28" s="71">
        <v>1</v>
      </c>
      <c r="AC28" s="71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>
        <v>2</v>
      </c>
      <c r="Z29" s="379">
        <v>2</v>
      </c>
      <c r="AA29" s="379">
        <v>4.4000000000000004</v>
      </c>
      <c r="AB29" s="379">
        <v>5.6</v>
      </c>
      <c r="AC29" s="379">
        <v>2.5</v>
      </c>
    </row>
    <row r="30" spans="1:51" x14ac:dyDescent="0.25">
      <c r="A30" s="9" t="s">
        <v>26</v>
      </c>
      <c r="B30" s="19">
        <f>SUM(B27:B28)</f>
        <v>0</v>
      </c>
      <c r="C30" s="19">
        <f>SUM(C27:C28)</f>
        <v>9.8000000000000007</v>
      </c>
      <c r="D30" s="19"/>
      <c r="E30" s="19"/>
      <c r="F30" s="19">
        <f t="shared" ref="F30:AC30" si="6">SUM(F27:F29)</f>
        <v>6</v>
      </c>
      <c r="G30" s="19">
        <f t="shared" si="6"/>
        <v>4</v>
      </c>
      <c r="H30" s="19">
        <f t="shared" si="6"/>
        <v>7.2</v>
      </c>
      <c r="I30" s="19">
        <f t="shared" si="6"/>
        <v>6</v>
      </c>
      <c r="J30" s="19">
        <f t="shared" si="6"/>
        <v>6</v>
      </c>
      <c r="K30" s="19">
        <f t="shared" si="6"/>
        <v>7</v>
      </c>
      <c r="L30" s="19">
        <f t="shared" si="6"/>
        <v>7.6</v>
      </c>
      <c r="M30" s="19">
        <f t="shared" si="6"/>
        <v>6.6</v>
      </c>
      <c r="N30" s="19">
        <f t="shared" si="6"/>
        <v>7.6</v>
      </c>
      <c r="O30" s="19">
        <f t="shared" si="6"/>
        <v>8.6</v>
      </c>
      <c r="P30" s="19">
        <f t="shared" si="6"/>
        <v>8</v>
      </c>
      <c r="Q30" s="19">
        <f t="shared" si="6"/>
        <v>8.4</v>
      </c>
      <c r="R30" s="19">
        <f t="shared" si="6"/>
        <v>8.1999999999999993</v>
      </c>
      <c r="S30" s="19">
        <f t="shared" si="6"/>
        <v>8</v>
      </c>
      <c r="T30" s="19">
        <f t="shared" si="6"/>
        <v>8</v>
      </c>
      <c r="U30" s="19">
        <f t="shared" si="6"/>
        <v>8</v>
      </c>
      <c r="V30" s="19">
        <f t="shared" si="6"/>
        <v>8</v>
      </c>
      <c r="W30" s="19">
        <f t="shared" si="6"/>
        <v>7.6</v>
      </c>
      <c r="X30" s="19">
        <f t="shared" si="6"/>
        <v>8</v>
      </c>
      <c r="Y30" s="19">
        <f t="shared" si="6"/>
        <v>8.4</v>
      </c>
      <c r="Z30" s="19">
        <f t="shared" si="6"/>
        <v>7</v>
      </c>
      <c r="AA30" s="19">
        <f t="shared" si="6"/>
        <v>8.4</v>
      </c>
      <c r="AB30" s="19">
        <f t="shared" si="6"/>
        <v>7.6</v>
      </c>
      <c r="AC30" s="19">
        <f t="shared" si="6"/>
        <v>6.5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7">SUM(F32)</f>
        <v>0</v>
      </c>
      <c r="G33" s="19">
        <f t="shared" ref="G33:AC33" si="8">SUM(G32)</f>
        <v>0</v>
      </c>
      <c r="H33" s="19">
        <f t="shared" si="8"/>
        <v>0</v>
      </c>
      <c r="I33" s="19">
        <f t="shared" si="8"/>
        <v>0</v>
      </c>
      <c r="J33" s="19">
        <f t="shared" si="8"/>
        <v>0</v>
      </c>
      <c r="K33" s="19">
        <f t="shared" si="8"/>
        <v>0</v>
      </c>
      <c r="L33" s="19">
        <f t="shared" si="8"/>
        <v>0</v>
      </c>
      <c r="M33" s="19">
        <f t="shared" si="8"/>
        <v>0</v>
      </c>
      <c r="N33" s="19">
        <f t="shared" si="8"/>
        <v>0</v>
      </c>
      <c r="O33" s="19">
        <f t="shared" si="8"/>
        <v>0</v>
      </c>
      <c r="P33" s="19">
        <f t="shared" si="8"/>
        <v>0</v>
      </c>
      <c r="Q33" s="19">
        <f t="shared" si="8"/>
        <v>0</v>
      </c>
      <c r="R33" s="19">
        <f t="shared" si="8"/>
        <v>0</v>
      </c>
      <c r="S33" s="19">
        <f t="shared" si="8"/>
        <v>0</v>
      </c>
      <c r="T33" s="19">
        <f t="shared" si="8"/>
        <v>0</v>
      </c>
      <c r="U33" s="19">
        <f t="shared" si="8"/>
        <v>0</v>
      </c>
      <c r="V33" s="19">
        <f t="shared" si="8"/>
        <v>0</v>
      </c>
      <c r="W33" s="19">
        <f t="shared" si="8"/>
        <v>0</v>
      </c>
      <c r="X33" s="19">
        <f t="shared" si="8"/>
        <v>0</v>
      </c>
      <c r="Y33" s="19">
        <f t="shared" si="8"/>
        <v>0</v>
      </c>
      <c r="Z33" s="19">
        <f t="shared" si="8"/>
        <v>0</v>
      </c>
      <c r="AA33" s="19">
        <f t="shared" si="8"/>
        <v>0</v>
      </c>
      <c r="AB33" s="19">
        <f t="shared" si="8"/>
        <v>0</v>
      </c>
      <c r="AC33" s="19">
        <f t="shared" si="8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201.85000000000031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9">COUNTIF(F35:AC35,$AJ$8)</f>
        <v>24</v>
      </c>
      <c r="AG35" s="11">
        <f t="shared" ref="AG35:AG58" si="10">COUNTIF(G35:AD35,$AJ$7)</f>
        <v>0</v>
      </c>
      <c r="AH35" s="11">
        <f t="shared" ref="AH35:AH58" si="11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/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9"/>
        <v>10</v>
      </c>
      <c r="AG36" s="11">
        <f t="shared" si="10"/>
        <v>0</v>
      </c>
      <c r="AH36" s="11">
        <f t="shared" si="11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219"/>
      <c r="P37" s="71"/>
      <c r="Q37" s="71"/>
      <c r="R37" s="71"/>
      <c r="S37" s="71">
        <f>10.2/13</f>
        <v>0.7846153846153846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9"/>
        <v>10</v>
      </c>
      <c r="AG37" s="11">
        <f t="shared" si="10"/>
        <v>0</v>
      </c>
      <c r="AH37" s="11">
        <f t="shared" si="11"/>
        <v>1</v>
      </c>
    </row>
    <row r="38" spans="1:35" x14ac:dyDescent="0.2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>
        <v>0.95</v>
      </c>
      <c r="N38" s="71">
        <v>0.95</v>
      </c>
      <c r="O38" s="71">
        <v>0.95</v>
      </c>
      <c r="P38" s="71">
        <v>1</v>
      </c>
      <c r="Q38" s="71">
        <v>1</v>
      </c>
      <c r="R38" s="71">
        <v>1</v>
      </c>
      <c r="S38" s="71">
        <v>1</v>
      </c>
      <c r="T38" s="71">
        <v>1</v>
      </c>
      <c r="U38" s="71">
        <v>0.9</v>
      </c>
      <c r="V38" s="71">
        <v>0.9</v>
      </c>
      <c r="W38" s="71">
        <v>0.9</v>
      </c>
      <c r="X38" s="71">
        <v>0.9</v>
      </c>
      <c r="Y38" s="71">
        <v>0.9</v>
      </c>
      <c r="Z38" s="71">
        <v>0.9</v>
      </c>
      <c r="AA38" s="71">
        <v>0.9</v>
      </c>
      <c r="AB38" s="71">
        <v>0.9</v>
      </c>
      <c r="AC38" s="71">
        <v>0.9</v>
      </c>
      <c r="AD38" s="41"/>
      <c r="AE38" s="41"/>
      <c r="AF38" s="11">
        <f t="shared" si="9"/>
        <v>0</v>
      </c>
      <c r="AG38" s="11">
        <f t="shared" si="10"/>
        <v>0</v>
      </c>
      <c r="AH38" s="11">
        <f t="shared" si="11"/>
        <v>17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>
        <f>10.3/13</f>
        <v>0.79230769230769238</v>
      </c>
      <c r="U39" s="71">
        <v>0.8</v>
      </c>
      <c r="V39" s="71">
        <v>0.9</v>
      </c>
      <c r="W39" s="71">
        <v>0.9</v>
      </c>
      <c r="X39" s="71">
        <v>0.9</v>
      </c>
      <c r="Y39" s="71">
        <v>0.9</v>
      </c>
      <c r="Z39" s="71">
        <v>0.9</v>
      </c>
      <c r="AA39" s="71">
        <v>0.9</v>
      </c>
      <c r="AB39" s="71">
        <v>0.9</v>
      </c>
      <c r="AC39" s="71">
        <v>0.9</v>
      </c>
      <c r="AD39" s="41"/>
      <c r="AE39" s="41"/>
      <c r="AF39" s="11">
        <f t="shared" si="9"/>
        <v>0</v>
      </c>
      <c r="AG39" s="11">
        <f t="shared" si="10"/>
        <v>0</v>
      </c>
      <c r="AH39" s="11">
        <f t="shared" si="11"/>
        <v>10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>
        <v>0.95</v>
      </c>
      <c r="N40" s="71">
        <v>0.95</v>
      </c>
      <c r="O40" s="71">
        <v>0.95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0.8</v>
      </c>
      <c r="V40" s="71">
        <v>0.9</v>
      </c>
      <c r="W40" s="71">
        <v>0.9</v>
      </c>
      <c r="X40" s="71">
        <v>0.9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9"/>
        <v>0</v>
      </c>
      <c r="AG40" s="11">
        <f t="shared" si="10"/>
        <v>0</v>
      </c>
      <c r="AH40" s="11">
        <f t="shared" si="11"/>
        <v>17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>
        <v>0.95</v>
      </c>
      <c r="N41" s="71">
        <v>0.95</v>
      </c>
      <c r="O41" s="71">
        <v>0.9</v>
      </c>
      <c r="P41" s="71">
        <v>0.95</v>
      </c>
      <c r="Q41" s="71">
        <v>0.95</v>
      </c>
      <c r="R41" s="71">
        <v>0.95</v>
      </c>
      <c r="S41" s="71">
        <v>0.95</v>
      </c>
      <c r="T41" s="71">
        <v>0.95</v>
      </c>
      <c r="U41" s="71">
        <v>0.8</v>
      </c>
      <c r="V41" s="71">
        <v>0.9</v>
      </c>
      <c r="W41" s="71">
        <v>0.9</v>
      </c>
      <c r="X41" s="71">
        <v>0.9</v>
      </c>
      <c r="Y41" s="71">
        <v>0.9</v>
      </c>
      <c r="Z41" s="71">
        <v>0.9</v>
      </c>
      <c r="AA41" s="71">
        <v>0.9</v>
      </c>
      <c r="AB41" s="71">
        <v>0.9</v>
      </c>
      <c r="AC41" s="71">
        <v>0.9</v>
      </c>
      <c r="AD41" s="41"/>
      <c r="AE41" s="41"/>
      <c r="AF41" s="11">
        <f t="shared" si="9"/>
        <v>0</v>
      </c>
      <c r="AG41" s="11">
        <f t="shared" si="10"/>
        <v>0</v>
      </c>
      <c r="AH41" s="11">
        <f t="shared" si="11"/>
        <v>17</v>
      </c>
    </row>
    <row r="42" spans="1:35" x14ac:dyDescent="0.25">
      <c r="A42" s="70">
        <v>38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9"/>
        <v>17</v>
      </c>
      <c r="AG42" s="11">
        <f t="shared" si="10"/>
        <v>0</v>
      </c>
      <c r="AH42" s="11">
        <f t="shared" si="11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>2.5/3</f>
        <v>0.83333333333333337</v>
      </c>
      <c r="M43" s="71">
        <v>0.95</v>
      </c>
      <c r="N43" s="71">
        <v>0.9</v>
      </c>
      <c r="O43" s="71">
        <v>0.9</v>
      </c>
      <c r="P43" s="71">
        <v>0.95</v>
      </c>
      <c r="Q43" s="71">
        <v>0.95</v>
      </c>
      <c r="R43" s="71">
        <v>0.95</v>
      </c>
      <c r="S43" s="71">
        <v>0.95</v>
      </c>
      <c r="T43" s="71">
        <v>0.95</v>
      </c>
      <c r="U43" s="71">
        <v>0.8</v>
      </c>
      <c r="V43" s="71">
        <v>0.85</v>
      </c>
      <c r="W43" s="71">
        <v>0.85</v>
      </c>
      <c r="X43" s="71">
        <v>0.85</v>
      </c>
      <c r="Y43" s="71">
        <v>0.9</v>
      </c>
      <c r="Z43" s="71">
        <v>0.9</v>
      </c>
      <c r="AA43" s="71">
        <v>0.9</v>
      </c>
      <c r="AB43" s="71">
        <v>0.9</v>
      </c>
      <c r="AC43" s="71">
        <v>0.9</v>
      </c>
      <c r="AD43" s="41"/>
      <c r="AE43" s="41"/>
      <c r="AF43" s="11">
        <f t="shared" si="9"/>
        <v>0</v>
      </c>
      <c r="AG43" s="11">
        <f t="shared" si="10"/>
        <v>0</v>
      </c>
      <c r="AH43" s="11">
        <f t="shared" si="11"/>
        <v>18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/>
      <c r="Q44" s="71">
        <f>9.5/12</f>
        <v>0.79166666666666663</v>
      </c>
      <c r="R44" s="71">
        <f>9.5/12</f>
        <v>0.79166666666666663</v>
      </c>
      <c r="S44" s="71">
        <f t="shared" ref="S44:S49" si="12">10.2/13</f>
        <v>0.7846153846153846</v>
      </c>
      <c r="T44" s="71">
        <f t="shared" ref="T44:T49" si="13">10.3/13</f>
        <v>0.79230769230769238</v>
      </c>
      <c r="U44" s="71">
        <v>0.8</v>
      </c>
      <c r="V44" s="71">
        <v>0.85</v>
      </c>
      <c r="W44" s="71"/>
      <c r="X44" s="71">
        <v>0.8</v>
      </c>
      <c r="Y44" s="71">
        <v>0.8</v>
      </c>
      <c r="Z44" s="71">
        <v>0.8</v>
      </c>
      <c r="AA44" s="71">
        <v>0.8</v>
      </c>
      <c r="AB44" s="71">
        <v>0.8</v>
      </c>
      <c r="AC44" s="71">
        <v>0.8</v>
      </c>
      <c r="AD44" s="41"/>
      <c r="AE44" s="41"/>
      <c r="AF44" s="11">
        <f t="shared" si="9"/>
        <v>0</v>
      </c>
      <c r="AG44" s="11">
        <f t="shared" si="10"/>
        <v>0</v>
      </c>
      <c r="AH44" s="11">
        <f t="shared" si="11"/>
        <v>12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f t="shared" ref="L45:L46" si="14">2.5/3</f>
        <v>0.83333333333333337</v>
      </c>
      <c r="M45" s="71"/>
      <c r="N45" s="71"/>
      <c r="O45" s="219"/>
      <c r="P45" s="71">
        <v>0.8</v>
      </c>
      <c r="Q45" s="71">
        <f t="shared" ref="Q45:R49" si="15">9.5/12</f>
        <v>0.79166666666666663</v>
      </c>
      <c r="R45" s="71">
        <f t="shared" si="15"/>
        <v>0.79166666666666663</v>
      </c>
      <c r="S45" s="71">
        <f t="shared" si="12"/>
        <v>0.7846153846153846</v>
      </c>
      <c r="T45" s="71">
        <f t="shared" si="13"/>
        <v>0.79230769230769238</v>
      </c>
      <c r="U45" s="71">
        <v>0.8</v>
      </c>
      <c r="V45" s="71">
        <v>0.85</v>
      </c>
      <c r="W45" s="71">
        <v>0.85</v>
      </c>
      <c r="X45" s="71"/>
      <c r="Y45" s="71">
        <v>0.8</v>
      </c>
      <c r="Z45" s="71">
        <v>0.8</v>
      </c>
      <c r="AA45" s="71">
        <v>0.8</v>
      </c>
      <c r="AB45" s="71">
        <v>0.8</v>
      </c>
      <c r="AC45" s="71">
        <v>0.8</v>
      </c>
      <c r="AD45" s="41"/>
      <c r="AE45" s="41"/>
      <c r="AF45" s="11">
        <f t="shared" si="9"/>
        <v>0</v>
      </c>
      <c r="AG45" s="11">
        <f t="shared" si="10"/>
        <v>0</v>
      </c>
      <c r="AH45" s="11">
        <f t="shared" si="11"/>
        <v>14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f t="shared" si="14"/>
        <v>0.83333333333333337</v>
      </c>
      <c r="M46" s="71"/>
      <c r="N46" s="71"/>
      <c r="O46" s="219"/>
      <c r="P46" s="71">
        <v>0.8</v>
      </c>
      <c r="Q46" s="71">
        <f t="shared" si="15"/>
        <v>0.79166666666666663</v>
      </c>
      <c r="R46" s="71">
        <f t="shared" si="15"/>
        <v>0.79166666666666663</v>
      </c>
      <c r="S46" s="71">
        <f t="shared" si="12"/>
        <v>0.7846153846153846</v>
      </c>
      <c r="T46" s="71">
        <f t="shared" si="13"/>
        <v>0.79230769230769238</v>
      </c>
      <c r="U46" s="71">
        <v>0.8</v>
      </c>
      <c r="V46" s="71">
        <v>0.85</v>
      </c>
      <c r="W46" s="71">
        <v>0.8</v>
      </c>
      <c r="X46" s="71"/>
      <c r="Y46" s="71">
        <v>0.8</v>
      </c>
      <c r="Z46" s="71">
        <v>0.8</v>
      </c>
      <c r="AA46" s="71">
        <v>0.8</v>
      </c>
      <c r="AB46" s="71">
        <v>0.8</v>
      </c>
      <c r="AC46" s="71">
        <v>0.8</v>
      </c>
      <c r="AD46" s="41"/>
      <c r="AE46" s="41"/>
      <c r="AF46" s="11">
        <f t="shared" si="9"/>
        <v>0</v>
      </c>
      <c r="AG46" s="11">
        <f t="shared" si="10"/>
        <v>0</v>
      </c>
      <c r="AH46" s="11">
        <f t="shared" si="11"/>
        <v>14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>
        <v>0.8</v>
      </c>
      <c r="Q47" s="71">
        <f t="shared" si="15"/>
        <v>0.79166666666666663</v>
      </c>
      <c r="R47" s="71">
        <f t="shared" si="15"/>
        <v>0.79166666666666663</v>
      </c>
      <c r="S47" s="71">
        <f t="shared" si="12"/>
        <v>0.7846153846153846</v>
      </c>
      <c r="T47" s="71">
        <f t="shared" si="13"/>
        <v>0.79230769230769238</v>
      </c>
      <c r="U47" s="71">
        <v>0.8</v>
      </c>
      <c r="V47" s="71">
        <v>0.8</v>
      </c>
      <c r="W47" s="71">
        <v>0.8</v>
      </c>
      <c r="X47" s="71">
        <v>0.8</v>
      </c>
      <c r="Y47" s="71">
        <v>0.8</v>
      </c>
      <c r="Z47" s="71">
        <v>0.8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9"/>
        <v>0</v>
      </c>
      <c r="AG47" s="11">
        <f t="shared" si="10"/>
        <v>0</v>
      </c>
      <c r="AH47" s="11">
        <f t="shared" si="11"/>
        <v>14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219">
        <v>0</v>
      </c>
      <c r="P48" s="71">
        <v>0.8</v>
      </c>
      <c r="Q48" s="71">
        <f t="shared" si="15"/>
        <v>0.79166666666666663</v>
      </c>
      <c r="R48" s="71">
        <f t="shared" si="15"/>
        <v>0.79166666666666663</v>
      </c>
      <c r="S48" s="71">
        <f t="shared" si="12"/>
        <v>0.7846153846153846</v>
      </c>
      <c r="T48" s="71">
        <f t="shared" si="13"/>
        <v>0.79230769230769238</v>
      </c>
      <c r="U48" s="71">
        <v>0.8</v>
      </c>
      <c r="V48" s="71">
        <v>0.8</v>
      </c>
      <c r="W48" s="71">
        <v>0.8</v>
      </c>
      <c r="X48" s="71"/>
      <c r="Y48" s="71">
        <v>0.8</v>
      </c>
      <c r="Z48" s="71">
        <v>0.8</v>
      </c>
      <c r="AA48" s="71">
        <v>0.85</v>
      </c>
      <c r="AB48" s="71">
        <v>0.8</v>
      </c>
      <c r="AC48" s="71">
        <v>0.8</v>
      </c>
      <c r="AD48" s="41"/>
      <c r="AE48" s="41"/>
      <c r="AF48" s="11">
        <f t="shared" si="9"/>
        <v>0</v>
      </c>
      <c r="AG48" s="11">
        <f t="shared" si="10"/>
        <v>0</v>
      </c>
      <c r="AH48" s="11">
        <f t="shared" si="11"/>
        <v>23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>
        <v>0.8</v>
      </c>
      <c r="Q49" s="71">
        <f t="shared" si="15"/>
        <v>0.79166666666666663</v>
      </c>
      <c r="R49" s="71">
        <f t="shared" si="15"/>
        <v>0.79166666666666663</v>
      </c>
      <c r="S49" s="71">
        <f t="shared" si="12"/>
        <v>0.7846153846153846</v>
      </c>
      <c r="T49" s="71">
        <f t="shared" si="13"/>
        <v>0.79230769230769238</v>
      </c>
      <c r="U49" s="71">
        <v>0.8</v>
      </c>
      <c r="V49" s="71">
        <v>0.8</v>
      </c>
      <c r="W49" s="71">
        <v>0.8</v>
      </c>
      <c r="X49" s="71"/>
      <c r="Y49" s="71">
        <v>0.8</v>
      </c>
      <c r="Z49" s="71">
        <v>0.8</v>
      </c>
      <c r="AA49" s="71">
        <v>0.8</v>
      </c>
      <c r="AB49" s="71">
        <v>0.8</v>
      </c>
      <c r="AC49" s="71">
        <v>0.8</v>
      </c>
      <c r="AD49" s="41"/>
      <c r="AE49" s="41"/>
      <c r="AF49" s="11">
        <f t="shared" si="9"/>
        <v>0</v>
      </c>
      <c r="AG49" s="11">
        <f t="shared" si="10"/>
        <v>0</v>
      </c>
      <c r="AH49" s="11">
        <f t="shared" si="11"/>
        <v>13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9"/>
        <v>17</v>
      </c>
      <c r="AG50" s="11">
        <f t="shared" si="10"/>
        <v>0</v>
      </c>
      <c r="AH50" s="11">
        <f t="shared" si="11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9"/>
        <v>17</v>
      </c>
      <c r="AG51" s="11">
        <f t="shared" si="10"/>
        <v>0</v>
      </c>
      <c r="AH51" s="11">
        <f t="shared" si="11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>
        <v>0.8</v>
      </c>
      <c r="V52" s="71">
        <v>0.8</v>
      </c>
      <c r="W52" s="71">
        <v>0.8</v>
      </c>
      <c r="X52" s="71">
        <v>0.85</v>
      </c>
      <c r="Y52" s="71">
        <v>0.85</v>
      </c>
      <c r="Z52" s="71">
        <v>0.85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9"/>
        <v>8</v>
      </c>
      <c r="AG52" s="11">
        <f t="shared" si="10"/>
        <v>0</v>
      </c>
      <c r="AH52" s="11">
        <f t="shared" si="11"/>
        <v>9</v>
      </c>
    </row>
    <row r="53" spans="1:124" ht="16.5" customHeight="1" x14ac:dyDescent="0.25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/>
      <c r="P53" s="71"/>
      <c r="Q53" s="71">
        <f t="shared" ref="Q53:R58" si="16">9.5/12</f>
        <v>0.79166666666666663</v>
      </c>
      <c r="R53" s="71">
        <f t="shared" si="16"/>
        <v>0.79166666666666663</v>
      </c>
      <c r="S53" s="71">
        <f t="shared" ref="S53:S58" si="17">10.2/13</f>
        <v>0.7846153846153846</v>
      </c>
      <c r="T53" s="71">
        <f t="shared" ref="T53:T58" si="18">10.3/13</f>
        <v>0.79230769230769238</v>
      </c>
      <c r="U53" s="71">
        <v>0.8</v>
      </c>
      <c r="V53" s="71">
        <v>0.8</v>
      </c>
      <c r="W53" s="71">
        <v>0.8</v>
      </c>
      <c r="X53" s="71">
        <v>0.8</v>
      </c>
      <c r="Y53" s="71">
        <v>0.85</v>
      </c>
      <c r="Z53" s="71">
        <v>0.85</v>
      </c>
      <c r="AA53" s="71">
        <v>0.85</v>
      </c>
      <c r="AB53" s="71">
        <v>0.8</v>
      </c>
      <c r="AC53" s="71">
        <v>0.8</v>
      </c>
      <c r="AD53" s="41"/>
      <c r="AE53" s="41"/>
      <c r="AF53" s="11">
        <f t="shared" si="9"/>
        <v>0</v>
      </c>
      <c r="AG53" s="11">
        <f t="shared" si="10"/>
        <v>0</v>
      </c>
      <c r="AH53" s="11">
        <f t="shared" si="11"/>
        <v>14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>
        <f t="shared" si="16"/>
        <v>0.79166666666666663</v>
      </c>
      <c r="R54" s="71">
        <f t="shared" si="16"/>
        <v>0.79166666666666663</v>
      </c>
      <c r="S54" s="71">
        <f t="shared" si="17"/>
        <v>0.7846153846153846</v>
      </c>
      <c r="T54" s="71">
        <f t="shared" si="18"/>
        <v>0.79230769230769238</v>
      </c>
      <c r="U54" s="71">
        <v>0.8</v>
      </c>
      <c r="V54" s="71">
        <v>0.8</v>
      </c>
      <c r="W54" s="71">
        <v>0.8</v>
      </c>
      <c r="X54" s="71">
        <v>0.8</v>
      </c>
      <c r="Y54" s="71">
        <v>0.8</v>
      </c>
      <c r="Z54" s="71">
        <v>0.8</v>
      </c>
      <c r="AA54" s="71">
        <v>0.85</v>
      </c>
      <c r="AB54" s="71">
        <v>0.85</v>
      </c>
      <c r="AC54" s="71">
        <v>0.85</v>
      </c>
      <c r="AD54" s="41"/>
      <c r="AE54" s="41"/>
      <c r="AF54" s="11">
        <f t="shared" si="9"/>
        <v>0</v>
      </c>
      <c r="AG54" s="11">
        <f t="shared" si="10"/>
        <v>0</v>
      </c>
      <c r="AH54" s="11">
        <f t="shared" si="11"/>
        <v>13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f t="shared" si="16"/>
        <v>0.79166666666666663</v>
      </c>
      <c r="R55" s="71">
        <f t="shared" si="16"/>
        <v>0.79166666666666663</v>
      </c>
      <c r="S55" s="71">
        <f t="shared" si="17"/>
        <v>0.7846153846153846</v>
      </c>
      <c r="T55" s="71">
        <f t="shared" si="18"/>
        <v>0.79230769230769238</v>
      </c>
      <c r="U55" s="71">
        <v>0.8</v>
      </c>
      <c r="V55" s="71">
        <v>0.8</v>
      </c>
      <c r="W55" s="71">
        <v>0.8</v>
      </c>
      <c r="X55" s="71"/>
      <c r="Y55" s="71">
        <v>0.8</v>
      </c>
      <c r="Z55" s="71">
        <v>0.8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9"/>
        <v>0</v>
      </c>
      <c r="AG55" s="11">
        <f t="shared" si="10"/>
        <v>0</v>
      </c>
      <c r="AH55" s="11">
        <f t="shared" si="11"/>
        <v>13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>
        <v>0.8</v>
      </c>
      <c r="Q56" s="71">
        <f t="shared" si="16"/>
        <v>0.79166666666666663</v>
      </c>
      <c r="R56" s="71">
        <f t="shared" si="16"/>
        <v>0.79166666666666663</v>
      </c>
      <c r="S56" s="71">
        <f t="shared" si="17"/>
        <v>0.7846153846153846</v>
      </c>
      <c r="T56" s="71">
        <f t="shared" si="18"/>
        <v>0.79230769230769238</v>
      </c>
      <c r="U56" s="71">
        <v>0.8</v>
      </c>
      <c r="V56" s="71">
        <v>0.8</v>
      </c>
      <c r="W56" s="71"/>
      <c r="X56" s="71">
        <v>0.8</v>
      </c>
      <c r="Y56" s="71">
        <v>0.8</v>
      </c>
      <c r="Z56" s="71">
        <v>0.8</v>
      </c>
      <c r="AA56" s="71">
        <v>0.85</v>
      </c>
      <c r="AB56" s="71">
        <v>0.85</v>
      </c>
      <c r="AC56" s="71">
        <v>0.85</v>
      </c>
      <c r="AD56" s="41"/>
      <c r="AE56" s="41"/>
      <c r="AF56" s="11">
        <f t="shared" si="9"/>
        <v>0</v>
      </c>
      <c r="AG56" s="11">
        <f t="shared" si="10"/>
        <v>0</v>
      </c>
      <c r="AH56" s="11">
        <f t="shared" si="11"/>
        <v>13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>
        <v>0.8</v>
      </c>
      <c r="P57" s="219">
        <v>0.8</v>
      </c>
      <c r="Q57" s="71">
        <f t="shared" si="16"/>
        <v>0.79166666666666663</v>
      </c>
      <c r="R57" s="71">
        <f t="shared" si="16"/>
        <v>0.79166666666666663</v>
      </c>
      <c r="S57" s="71">
        <f t="shared" si="17"/>
        <v>0.7846153846153846</v>
      </c>
      <c r="T57" s="71">
        <f t="shared" si="18"/>
        <v>0.79230769230769238</v>
      </c>
      <c r="U57" s="71"/>
      <c r="V57" s="71"/>
      <c r="W57" s="71"/>
      <c r="X57" s="71">
        <v>0.8</v>
      </c>
      <c r="Y57" s="71">
        <v>0.8</v>
      </c>
      <c r="Z57" s="71">
        <v>0.8</v>
      </c>
      <c r="AA57" s="71">
        <v>0.85</v>
      </c>
      <c r="AB57" s="71">
        <v>0.85</v>
      </c>
      <c r="AC57" s="71">
        <v>0.85</v>
      </c>
      <c r="AD57" s="41"/>
      <c r="AE57" s="41"/>
      <c r="AF57" s="11">
        <f t="shared" si="9"/>
        <v>0</v>
      </c>
      <c r="AG57" s="11">
        <f t="shared" si="10"/>
        <v>0</v>
      </c>
      <c r="AH57" s="11">
        <f t="shared" si="11"/>
        <v>12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v>0.8</v>
      </c>
      <c r="P58" s="219">
        <v>0.8</v>
      </c>
      <c r="Q58" s="71">
        <f t="shared" si="16"/>
        <v>0.79166666666666663</v>
      </c>
      <c r="R58" s="71">
        <f t="shared" si="16"/>
        <v>0.79166666666666663</v>
      </c>
      <c r="S58" s="71">
        <f t="shared" si="17"/>
        <v>0.7846153846153846</v>
      </c>
      <c r="T58" s="71">
        <f t="shared" si="18"/>
        <v>0.79230769230769238</v>
      </c>
      <c r="U58" s="71">
        <v>0.8</v>
      </c>
      <c r="V58" s="71">
        <v>0.8</v>
      </c>
      <c r="W58" s="71">
        <v>0.8</v>
      </c>
      <c r="X58" s="71">
        <v>0.8</v>
      </c>
      <c r="Y58" s="71">
        <v>0.8</v>
      </c>
      <c r="Z58" s="71">
        <v>0.8</v>
      </c>
      <c r="AA58" s="71">
        <v>0.85</v>
      </c>
      <c r="AB58" s="71">
        <v>0.85</v>
      </c>
      <c r="AC58" s="71">
        <v>0.85</v>
      </c>
      <c r="AD58" s="41"/>
      <c r="AE58" s="41"/>
      <c r="AF58" s="11">
        <f t="shared" si="9"/>
        <v>0</v>
      </c>
      <c r="AG58" s="11">
        <f t="shared" si="10"/>
        <v>0</v>
      </c>
      <c r="AH58" s="11">
        <f t="shared" si="11"/>
        <v>15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2.5</v>
      </c>
      <c r="M59" s="19">
        <f t="shared" si="20"/>
        <v>3.8</v>
      </c>
      <c r="N59" s="19">
        <f t="shared" si="20"/>
        <v>4.55</v>
      </c>
      <c r="O59" s="19">
        <f t="shared" si="20"/>
        <v>5.3</v>
      </c>
      <c r="P59" s="19">
        <f t="shared" si="20"/>
        <v>11.100000000000001</v>
      </c>
      <c r="Q59" s="19">
        <f t="shared" si="20"/>
        <v>13.399999999999999</v>
      </c>
      <c r="R59" s="19">
        <f t="shared" si="20"/>
        <v>13.399999999999999</v>
      </c>
      <c r="S59" s="19">
        <f t="shared" si="20"/>
        <v>14.100000000000005</v>
      </c>
      <c r="T59" s="19">
        <f t="shared" si="20"/>
        <v>14.200000000000005</v>
      </c>
      <c r="U59" s="19">
        <f t="shared" si="20"/>
        <v>13.700000000000005</v>
      </c>
      <c r="V59" s="19">
        <f t="shared" si="20"/>
        <v>14.200000000000005</v>
      </c>
      <c r="W59" s="19">
        <f t="shared" si="20"/>
        <v>12.500000000000004</v>
      </c>
      <c r="X59" s="19">
        <f t="shared" si="20"/>
        <v>10.900000000000002</v>
      </c>
      <c r="Y59" s="19">
        <f>SUM(Y35:Y58)</f>
        <v>15.000000000000004</v>
      </c>
      <c r="Z59" s="19">
        <f t="shared" si="20"/>
        <v>15.000000000000004</v>
      </c>
      <c r="AA59" s="19">
        <f t="shared" si="20"/>
        <v>12.799999999999997</v>
      </c>
      <c r="AB59" s="19">
        <f t="shared" si="20"/>
        <v>12.7</v>
      </c>
      <c r="AC59" s="19">
        <f t="shared" si="20"/>
        <v>12.7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26.1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0.95/2</f>
        <v>0.47499999999999998</v>
      </c>
      <c r="G61" s="71">
        <f>0.85/2</f>
        <v>0.42499999999999999</v>
      </c>
      <c r="H61" s="71">
        <f>0.82/2</f>
        <v>0.41</v>
      </c>
      <c r="I61" s="71">
        <f>0.77/2</f>
        <v>0.38500000000000001</v>
      </c>
      <c r="J61" s="71">
        <f>0.75/2</f>
        <v>0.375</v>
      </c>
      <c r="K61" s="71">
        <f>0.82/2</f>
        <v>0.41</v>
      </c>
      <c r="L61" s="71">
        <f>0.8/2</f>
        <v>0.4</v>
      </c>
      <c r="M61" s="71">
        <v>0.5</v>
      </c>
      <c r="N61" s="71">
        <v>0.495</v>
      </c>
      <c r="O61" s="71">
        <v>0.57499999999999996</v>
      </c>
      <c r="P61" s="71">
        <v>0.6</v>
      </c>
      <c r="Q61" s="71">
        <f>1.27/2</f>
        <v>0.63500000000000001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0.59</v>
      </c>
      <c r="Y61" s="71">
        <f>1.36/2</f>
        <v>0.68</v>
      </c>
      <c r="Z61" s="71">
        <f>1.33/2</f>
        <v>0.66500000000000004</v>
      </c>
      <c r="AA61" s="71">
        <f>1.2/2</f>
        <v>0.6</v>
      </c>
      <c r="AB61" s="71">
        <f>1.02/2</f>
        <v>0.51</v>
      </c>
      <c r="AC61" s="71">
        <f>0.88/2</f>
        <v>0.44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0.95/2</f>
        <v>0.47499999999999998</v>
      </c>
      <c r="G62" s="71">
        <f>0.85/2</f>
        <v>0.42499999999999999</v>
      </c>
      <c r="H62" s="71">
        <f>0.82/2</f>
        <v>0.41</v>
      </c>
      <c r="I62" s="71">
        <f>0.77/2</f>
        <v>0.38500000000000001</v>
      </c>
      <c r="J62" s="71">
        <f>0.75/2</f>
        <v>0.375</v>
      </c>
      <c r="K62" s="71">
        <f>0.82/2</f>
        <v>0.41</v>
      </c>
      <c r="L62" s="71"/>
      <c r="M62" s="71"/>
      <c r="N62" s="71"/>
      <c r="O62" s="71"/>
      <c r="P62" s="71"/>
      <c r="Q62" s="71"/>
      <c r="R62" s="71">
        <f>1.3/2</f>
        <v>0.65</v>
      </c>
      <c r="S62" s="71">
        <f>1.29/2</f>
        <v>0.64500000000000002</v>
      </c>
      <c r="T62" s="71">
        <f>1.33/2</f>
        <v>0.66500000000000004</v>
      </c>
      <c r="U62" s="71">
        <v>0.66500000000000004</v>
      </c>
      <c r="V62" s="71">
        <v>0.64</v>
      </c>
      <c r="W62" s="71">
        <v>0.61499999999999999</v>
      </c>
      <c r="X62" s="71">
        <v>0.59</v>
      </c>
      <c r="Y62" s="71">
        <f>1.36/2</f>
        <v>0.68</v>
      </c>
      <c r="Z62" s="71">
        <f>1.33/2</f>
        <v>0.66500000000000004</v>
      </c>
      <c r="AA62" s="71">
        <f>1.2/2</f>
        <v>0.6</v>
      </c>
      <c r="AB62" s="71">
        <f>1.02/2</f>
        <v>0.51</v>
      </c>
      <c r="AC62" s="71">
        <f>0.88/2</f>
        <v>0.44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/>
      <c r="G63" s="71"/>
      <c r="H63" s="71"/>
      <c r="I63" s="71"/>
      <c r="J63" s="71"/>
      <c r="K63" s="71"/>
      <c r="L63" s="71">
        <f>0.8/2</f>
        <v>0.4</v>
      </c>
      <c r="M63" s="71">
        <v>0.5</v>
      </c>
      <c r="N63" s="71">
        <v>0.495</v>
      </c>
      <c r="O63" s="71">
        <v>0.57499999999999996</v>
      </c>
      <c r="P63" s="71">
        <v>0.6</v>
      </c>
      <c r="Q63" s="71">
        <f>1.27/2</f>
        <v>0.63500000000000001</v>
      </c>
      <c r="R63" s="71">
        <f>1.3/2</f>
        <v>0.65</v>
      </c>
      <c r="S63" s="71">
        <f>1.29/2</f>
        <v>0.64500000000000002</v>
      </c>
      <c r="T63" s="71">
        <f>1.33/2</f>
        <v>0.66500000000000004</v>
      </c>
      <c r="U63" s="71">
        <v>0.66500000000000004</v>
      </c>
      <c r="V63" s="71">
        <v>0.64</v>
      </c>
      <c r="W63" s="71">
        <v>0.61499999999999999</v>
      </c>
      <c r="X63" s="71"/>
      <c r="Y63" s="71"/>
      <c r="Z63" s="71"/>
      <c r="AA63" s="71"/>
      <c r="AB63" s="71"/>
      <c r="AC63" s="71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12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1">SUM(F61:F63)</f>
        <v>0.95</v>
      </c>
      <c r="G64" s="19">
        <f>SUM(G61:G63)</f>
        <v>0.85</v>
      </c>
      <c r="H64" s="19">
        <f>SUM(H61:H63)</f>
        <v>0.82</v>
      </c>
      <c r="I64" s="19">
        <f>SUM(I61:I63)</f>
        <v>0.77</v>
      </c>
      <c r="J64" s="19">
        <f t="shared" ref="J64:AC64" si="22">SUM(J61:J63)</f>
        <v>0.75</v>
      </c>
      <c r="K64" s="19">
        <f>SUM(K61:K63)</f>
        <v>0.82</v>
      </c>
      <c r="L64" s="19">
        <f t="shared" si="22"/>
        <v>0.8</v>
      </c>
      <c r="M64" s="19">
        <f t="shared" si="22"/>
        <v>1</v>
      </c>
      <c r="N64" s="19">
        <f t="shared" si="22"/>
        <v>0.99</v>
      </c>
      <c r="O64" s="19">
        <f t="shared" si="22"/>
        <v>1.1499999999999999</v>
      </c>
      <c r="P64" s="19">
        <f t="shared" si="22"/>
        <v>1.2</v>
      </c>
      <c r="Q64" s="19">
        <f t="shared" si="22"/>
        <v>1.27</v>
      </c>
      <c r="R64" s="19">
        <f t="shared" si="22"/>
        <v>1.3</v>
      </c>
      <c r="S64" s="19">
        <f t="shared" si="22"/>
        <v>1.29</v>
      </c>
      <c r="T64" s="19">
        <f t="shared" si="22"/>
        <v>1.33</v>
      </c>
      <c r="U64" s="19">
        <f>SUM(U61:U63)</f>
        <v>1.33</v>
      </c>
      <c r="V64" s="19">
        <f t="shared" si="22"/>
        <v>1.28</v>
      </c>
      <c r="W64" s="19">
        <f t="shared" si="22"/>
        <v>1.23</v>
      </c>
      <c r="X64" s="19">
        <f t="shared" si="22"/>
        <v>1.18</v>
      </c>
      <c r="Y64" s="19">
        <f t="shared" si="22"/>
        <v>1.36</v>
      </c>
      <c r="Z64" s="19">
        <f t="shared" si="22"/>
        <v>1.33</v>
      </c>
      <c r="AA64" s="19">
        <f t="shared" si="22"/>
        <v>1.2</v>
      </c>
      <c r="AB64" s="19">
        <f t="shared" si="22"/>
        <v>1.02</v>
      </c>
      <c r="AC64" s="19">
        <f t="shared" si="22"/>
        <v>0.88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101.93499999999999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>
        <v>0</v>
      </c>
      <c r="T66" s="71">
        <v>0</v>
      </c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3">COUNTIF(F66:AC66,$AF$11)</f>
        <v>0</v>
      </c>
      <c r="AG66" s="11">
        <f t="shared" ref="AG66:AG74" si="24">COUNTIF(G66:AC66,$AG$11)</f>
        <v>0</v>
      </c>
      <c r="AH66" s="11">
        <f t="shared" ref="AH66:AH74" si="25">COUNT(F66:AC66)</f>
        <v>15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3.7/5</f>
        <v>0.74</v>
      </c>
      <c r="G67" s="71">
        <f>3.3/5</f>
        <v>0.65999999999999992</v>
      </c>
      <c r="H67" s="71">
        <f>3.2/4</f>
        <v>0.8</v>
      </c>
      <c r="I67" s="71">
        <f>3.1/4</f>
        <v>0.77500000000000002</v>
      </c>
      <c r="J67" s="71">
        <f>3.1/4</f>
        <v>0.77500000000000002</v>
      </c>
      <c r="K67" s="71">
        <f>3.1/4</f>
        <v>0.77500000000000002</v>
      </c>
      <c r="L67" s="71">
        <f>3.4</f>
        <v>3.4</v>
      </c>
      <c r="M67" s="71">
        <v>0.72</v>
      </c>
      <c r="N67" s="71">
        <v>0.76</v>
      </c>
      <c r="O67" s="71">
        <v>0.82</v>
      </c>
      <c r="P67" s="71">
        <v>0.78333333333333333</v>
      </c>
      <c r="Q67" s="71">
        <f>5/6</f>
        <v>0.83333333333333337</v>
      </c>
      <c r="R67" s="71">
        <f>4.3/6</f>
        <v>0.71666666666666667</v>
      </c>
      <c r="S67" s="71">
        <f>4.9/6</f>
        <v>0.81666666666666676</v>
      </c>
      <c r="T67" s="71">
        <f>3.8/5</f>
        <v>0.76</v>
      </c>
      <c r="U67" s="71">
        <f>5.2/6</f>
        <v>0.8666666666666667</v>
      </c>
      <c r="V67" s="71">
        <f>5.2/6</f>
        <v>0.8666666666666667</v>
      </c>
      <c r="W67" s="71">
        <f>4.7/6</f>
        <v>0.78333333333333333</v>
      </c>
      <c r="X67" s="71">
        <f>4.7/6</f>
        <v>0.78333333333333333</v>
      </c>
      <c r="Y67" s="71">
        <f>5/6</f>
        <v>0.83333333333333337</v>
      </c>
      <c r="Z67" s="71">
        <f>5/6</f>
        <v>0.83333333333333337</v>
      </c>
      <c r="AA67" s="71">
        <f>4.8/6</f>
        <v>0.79999999999999993</v>
      </c>
      <c r="AB67" s="71">
        <f>4.31/6</f>
        <v>0.71833333333333327</v>
      </c>
      <c r="AC67" s="71">
        <f>3.8/6</f>
        <v>0.6333333333333333</v>
      </c>
      <c r="AD67" s="35"/>
      <c r="AE67" s="35"/>
      <c r="AF67" s="11">
        <f t="shared" si="23"/>
        <v>0</v>
      </c>
      <c r="AG67" s="11">
        <f t="shared" si="24"/>
        <v>0</v>
      </c>
      <c r="AH67" s="11">
        <f t="shared" si="25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3.7/5</f>
        <v>0.74</v>
      </c>
      <c r="G68" s="71">
        <f>3.3/5</f>
        <v>0.65999999999999992</v>
      </c>
      <c r="H68" s="71"/>
      <c r="I68" s="71"/>
      <c r="J68" s="71"/>
      <c r="K68" s="71"/>
      <c r="L68" s="71"/>
      <c r="M68" s="71">
        <v>0.72</v>
      </c>
      <c r="N68" s="71">
        <v>0.76</v>
      </c>
      <c r="O68" s="71">
        <v>0.82</v>
      </c>
      <c r="P68" s="71">
        <v>0.78333333333333333</v>
      </c>
      <c r="Q68" s="71">
        <f t="shared" ref="Q68:Q71" si="26">5/6</f>
        <v>0.83333333333333337</v>
      </c>
      <c r="R68" s="71">
        <f t="shared" ref="R68:R71" si="27">4.3/6</f>
        <v>0.71666666666666667</v>
      </c>
      <c r="S68" s="71">
        <f t="shared" ref="S68:S71" si="28">4.9/6</f>
        <v>0.81666666666666676</v>
      </c>
      <c r="T68" s="71">
        <f>3.8/5</f>
        <v>0.76</v>
      </c>
      <c r="U68" s="71">
        <f t="shared" ref="U68:U71" si="29">5.2/6</f>
        <v>0.8666666666666667</v>
      </c>
      <c r="V68" s="71">
        <f>5.2/6</f>
        <v>0.8666666666666667</v>
      </c>
      <c r="W68" s="71">
        <v>0.78333333333333333</v>
      </c>
      <c r="X68" s="71">
        <v>0.78333333333333299</v>
      </c>
      <c r="Y68" s="71">
        <f t="shared" ref="Y68:Y71" si="30">5/6</f>
        <v>0.83333333333333337</v>
      </c>
      <c r="Z68" s="71">
        <f>5/6</f>
        <v>0.83333333333333337</v>
      </c>
      <c r="AA68" s="71">
        <f t="shared" ref="AA68:AA71" si="31">4.8/6</f>
        <v>0.79999999999999993</v>
      </c>
      <c r="AB68" s="71">
        <f t="shared" ref="AB68:AB71" si="32">4.31/6</f>
        <v>0.71833333333333327</v>
      </c>
      <c r="AC68" s="71">
        <f t="shared" ref="AC68:AC71" si="33">3.8/6</f>
        <v>0.6333333333333333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5"/>
        <v>19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>
        <v>0.78333333333333333</v>
      </c>
      <c r="Q69" s="71">
        <f t="shared" si="26"/>
        <v>0.83333333333333337</v>
      </c>
      <c r="R69" s="71">
        <f t="shared" si="27"/>
        <v>0.71666666666666667</v>
      </c>
      <c r="S69" s="71">
        <f t="shared" si="28"/>
        <v>0.81666666666666676</v>
      </c>
      <c r="T69" s="71">
        <v>0</v>
      </c>
      <c r="U69" s="71">
        <f t="shared" si="29"/>
        <v>0.8666666666666667</v>
      </c>
      <c r="V69" s="71">
        <f>5.2/6</f>
        <v>0.8666666666666667</v>
      </c>
      <c r="W69" s="71">
        <v>0.78333333333333333</v>
      </c>
      <c r="X69" s="71">
        <v>0.78333333333333299</v>
      </c>
      <c r="Y69" s="71">
        <f t="shared" si="30"/>
        <v>0.83333333333333337</v>
      </c>
      <c r="Z69" s="71">
        <f>5/6</f>
        <v>0.83333333333333337</v>
      </c>
      <c r="AA69" s="71">
        <f t="shared" si="31"/>
        <v>0.79999999999999993</v>
      </c>
      <c r="AB69" s="71">
        <f t="shared" si="32"/>
        <v>0.71833333333333327</v>
      </c>
      <c r="AC69" s="71">
        <f t="shared" si="33"/>
        <v>0.6333333333333333</v>
      </c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14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>3.7/5</f>
        <v>0.74</v>
      </c>
      <c r="G70" s="71">
        <f>3.3/5</f>
        <v>0.65999999999999992</v>
      </c>
      <c r="H70" s="71">
        <f>3.2/4</f>
        <v>0.8</v>
      </c>
      <c r="I70" s="71">
        <f t="shared" ref="I70:I71" si="34">3.1/4</f>
        <v>0.77500000000000002</v>
      </c>
      <c r="J70" s="71">
        <f t="shared" ref="J70:L71" si="35">3.1/4</f>
        <v>0.77500000000000002</v>
      </c>
      <c r="K70" s="71">
        <f t="shared" si="35"/>
        <v>0.77500000000000002</v>
      </c>
      <c r="L70" s="71">
        <f t="shared" si="35"/>
        <v>0.77500000000000002</v>
      </c>
      <c r="M70" s="71">
        <v>0.72</v>
      </c>
      <c r="N70" s="71">
        <v>0.76</v>
      </c>
      <c r="O70" s="71">
        <v>0.82</v>
      </c>
      <c r="P70" s="71">
        <v>0.78333333333333333</v>
      </c>
      <c r="Q70" s="71">
        <f t="shared" si="26"/>
        <v>0.83333333333333337</v>
      </c>
      <c r="R70" s="71">
        <f t="shared" si="27"/>
        <v>0.71666666666666667</v>
      </c>
      <c r="S70" s="71">
        <f t="shared" si="28"/>
        <v>0.81666666666666676</v>
      </c>
      <c r="T70" s="71">
        <f t="shared" ref="T70:T71" si="36">3.8/5</f>
        <v>0.76</v>
      </c>
      <c r="U70" s="71">
        <f t="shared" si="29"/>
        <v>0.8666666666666667</v>
      </c>
      <c r="V70" s="71">
        <f>5.2/6</f>
        <v>0.8666666666666667</v>
      </c>
      <c r="W70" s="71">
        <v>0.78333333333333333</v>
      </c>
      <c r="X70" s="71">
        <v>0.75</v>
      </c>
      <c r="Y70" s="71">
        <f t="shared" si="30"/>
        <v>0.83333333333333337</v>
      </c>
      <c r="Z70" s="71">
        <f>5/6</f>
        <v>0.83333333333333337</v>
      </c>
      <c r="AA70" s="71">
        <f t="shared" si="31"/>
        <v>0.79999999999999993</v>
      </c>
      <c r="AB70" s="71">
        <f t="shared" si="32"/>
        <v>0.71833333333333327</v>
      </c>
      <c r="AC70" s="71">
        <f t="shared" si="33"/>
        <v>0.6333333333333333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>3.7/5</f>
        <v>0.74</v>
      </c>
      <c r="G71" s="71">
        <f>3.3/5</f>
        <v>0.65999999999999992</v>
      </c>
      <c r="H71" s="71">
        <f>3.2/4</f>
        <v>0.8</v>
      </c>
      <c r="I71" s="71">
        <f t="shared" si="34"/>
        <v>0.77500000000000002</v>
      </c>
      <c r="J71" s="71">
        <f t="shared" si="35"/>
        <v>0.77500000000000002</v>
      </c>
      <c r="K71" s="71">
        <f t="shared" si="35"/>
        <v>0.77500000000000002</v>
      </c>
      <c r="L71" s="71">
        <f t="shared" si="35"/>
        <v>0.77500000000000002</v>
      </c>
      <c r="M71" s="71">
        <v>0.72</v>
      </c>
      <c r="N71" s="71">
        <v>0.76</v>
      </c>
      <c r="O71" s="71">
        <v>0.82</v>
      </c>
      <c r="P71" s="71">
        <v>0.78333333333333333</v>
      </c>
      <c r="Q71" s="71">
        <f t="shared" si="26"/>
        <v>0.83333333333333337</v>
      </c>
      <c r="R71" s="71">
        <f t="shared" si="27"/>
        <v>0.71666666666666667</v>
      </c>
      <c r="S71" s="71">
        <f t="shared" si="28"/>
        <v>0.81666666666666676</v>
      </c>
      <c r="T71" s="71">
        <f t="shared" si="36"/>
        <v>0.76</v>
      </c>
      <c r="U71" s="71">
        <f t="shared" si="29"/>
        <v>0.8666666666666667</v>
      </c>
      <c r="V71" s="71">
        <f>5.2/6</f>
        <v>0.8666666666666667</v>
      </c>
      <c r="W71" s="71">
        <v>0.78333333333333333</v>
      </c>
      <c r="X71" s="71">
        <v>0.7</v>
      </c>
      <c r="Y71" s="71">
        <f t="shared" si="30"/>
        <v>0.83333333333333337</v>
      </c>
      <c r="Z71" s="71">
        <f>5/6</f>
        <v>0.83333333333333337</v>
      </c>
      <c r="AA71" s="71">
        <f t="shared" si="31"/>
        <v>0.79999999999999993</v>
      </c>
      <c r="AB71" s="71">
        <f t="shared" si="32"/>
        <v>0.71833333333333327</v>
      </c>
      <c r="AC71" s="71">
        <f t="shared" si="33"/>
        <v>0.6333333333333333</v>
      </c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3"/>
        <v>24</v>
      </c>
      <c r="AG73" s="11">
        <f t="shared" si="24"/>
        <v>0</v>
      </c>
      <c r="AH73" s="11">
        <f t="shared" si="25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f>3.7/5</f>
        <v>0.74</v>
      </c>
      <c r="G74" s="71">
        <f>3.3/5</f>
        <v>0.65999999999999992</v>
      </c>
      <c r="H74" s="71">
        <f>3.2/4</f>
        <v>0.8</v>
      </c>
      <c r="I74" s="71">
        <f>3.1/4</f>
        <v>0.77500000000000002</v>
      </c>
      <c r="J74" s="71">
        <f>3.1/4</f>
        <v>0.77500000000000002</v>
      </c>
      <c r="K74" s="71">
        <f>3.1/4</f>
        <v>0.77500000000000002</v>
      </c>
      <c r="L74" s="71">
        <f>3.1/4</f>
        <v>0.77500000000000002</v>
      </c>
      <c r="M74" s="71">
        <v>0.72</v>
      </c>
      <c r="N74" s="71">
        <v>0.76</v>
      </c>
      <c r="O74" s="71">
        <v>0.82</v>
      </c>
      <c r="P74" s="71">
        <v>0.78333333333333333</v>
      </c>
      <c r="Q74" s="71">
        <f>5/6</f>
        <v>0.83333333333333337</v>
      </c>
      <c r="R74" s="71">
        <f>4.3/6</f>
        <v>0.71666666666666667</v>
      </c>
      <c r="S74" s="71">
        <f t="shared" ref="S74" si="37">4.9/6</f>
        <v>0.81666666666666676</v>
      </c>
      <c r="T74" s="71">
        <f>3.8/5</f>
        <v>0.76</v>
      </c>
      <c r="U74" s="71">
        <f>5.2/6</f>
        <v>0.8666666666666667</v>
      </c>
      <c r="V74" s="71">
        <f>5.2/6</f>
        <v>0.8666666666666667</v>
      </c>
      <c r="W74" s="71">
        <v>0.78333333333333333</v>
      </c>
      <c r="X74" s="71">
        <v>0.7</v>
      </c>
      <c r="Y74" s="71">
        <f t="shared" ref="Y74" si="38">5/6</f>
        <v>0.83333333333333337</v>
      </c>
      <c r="Z74" s="71">
        <f>5/6</f>
        <v>0.83333333333333337</v>
      </c>
      <c r="AA74" s="71">
        <f>4.8/6</f>
        <v>0.79999999999999993</v>
      </c>
      <c r="AB74" s="71">
        <f>4.31/6</f>
        <v>0.71833333333333327</v>
      </c>
      <c r="AC74" s="71">
        <f>3.8/6</f>
        <v>0.6333333333333333</v>
      </c>
      <c r="AD74" s="31"/>
      <c r="AE74" s="31"/>
      <c r="AF74" s="11">
        <f t="shared" si="23"/>
        <v>0</v>
      </c>
      <c r="AG74" s="11">
        <f t="shared" si="24"/>
        <v>0</v>
      </c>
      <c r="AH74" s="11">
        <f t="shared" si="25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9">SUM(F66:F74)</f>
        <v>3.7</v>
      </c>
      <c r="G75" s="19">
        <f t="shared" ref="G75:AC75" si="40">SUM(G66:G74)</f>
        <v>3.3</v>
      </c>
      <c r="H75" s="19">
        <f t="shared" si="40"/>
        <v>3.2</v>
      </c>
      <c r="I75" s="19">
        <f t="shared" si="40"/>
        <v>3.1</v>
      </c>
      <c r="J75" s="19">
        <f t="shared" si="40"/>
        <v>3.1</v>
      </c>
      <c r="K75" s="19">
        <f t="shared" si="40"/>
        <v>3.1</v>
      </c>
      <c r="L75" s="19">
        <f>SUM(L66:L74)</f>
        <v>5.7250000000000005</v>
      </c>
      <c r="M75" s="19">
        <f t="shared" si="40"/>
        <v>3.5999999999999996</v>
      </c>
      <c r="N75" s="19">
        <f t="shared" si="40"/>
        <v>3.8</v>
      </c>
      <c r="O75" s="19">
        <f t="shared" si="40"/>
        <v>4.0999999999999996</v>
      </c>
      <c r="P75" s="19">
        <f t="shared" si="40"/>
        <v>4.7</v>
      </c>
      <c r="Q75" s="19">
        <f t="shared" si="40"/>
        <v>5</v>
      </c>
      <c r="R75" s="19">
        <f t="shared" si="40"/>
        <v>4.3</v>
      </c>
      <c r="S75" s="19">
        <f t="shared" si="40"/>
        <v>4.9000000000000004</v>
      </c>
      <c r="T75" s="19">
        <f t="shared" si="40"/>
        <v>3.8</v>
      </c>
      <c r="U75" s="19">
        <f t="shared" si="40"/>
        <v>5.2000000000000011</v>
      </c>
      <c r="V75" s="19">
        <f t="shared" si="40"/>
        <v>5.2000000000000011</v>
      </c>
      <c r="W75" s="19">
        <f t="shared" si="40"/>
        <v>4.7</v>
      </c>
      <c r="X75" s="19">
        <f t="shared" si="40"/>
        <v>4.5</v>
      </c>
      <c r="Y75" s="19">
        <f t="shared" si="40"/>
        <v>5</v>
      </c>
      <c r="Z75" s="19">
        <f t="shared" si="40"/>
        <v>5</v>
      </c>
      <c r="AA75" s="19">
        <f t="shared" si="40"/>
        <v>4.8</v>
      </c>
      <c r="AB75" s="19">
        <f t="shared" si="40"/>
        <v>4.3099999999999996</v>
      </c>
      <c r="AC75" s="19">
        <f t="shared" si="40"/>
        <v>3.8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20.079999999999998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0.69</v>
      </c>
      <c r="O77" s="71">
        <v>0.72</v>
      </c>
      <c r="P77" s="71">
        <v>0.79</v>
      </c>
      <c r="Q77" s="71">
        <v>0.82</v>
      </c>
      <c r="R77" s="71">
        <v>0.86</v>
      </c>
      <c r="S77" s="71">
        <v>0.91</v>
      </c>
      <c r="T77" s="71">
        <v>0.9</v>
      </c>
      <c r="U77" s="71">
        <v>0.93</v>
      </c>
      <c r="V77" s="71">
        <v>0.91</v>
      </c>
      <c r="W77" s="71">
        <v>0.89</v>
      </c>
      <c r="X77" s="71">
        <v>0.88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0.81</v>
      </c>
      <c r="G78" s="71">
        <v>0.78</v>
      </c>
      <c r="H78" s="71">
        <v>0.74</v>
      </c>
      <c r="I78" s="71">
        <v>0.72</v>
      </c>
      <c r="J78" s="71">
        <v>0.7</v>
      </c>
      <c r="K78" s="71">
        <v>0.73</v>
      </c>
      <c r="L78" s="71">
        <v>0.73</v>
      </c>
      <c r="M78" s="71">
        <v>0.78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1.02</v>
      </c>
      <c r="AA78" s="71">
        <v>0.97</v>
      </c>
      <c r="AB78" s="71">
        <v>0.92</v>
      </c>
      <c r="AC78" s="71">
        <v>0.88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1">SUM(F77:F78)</f>
        <v>0.81</v>
      </c>
      <c r="G79" s="19">
        <f>SUM(G77:G78)</f>
        <v>0.78</v>
      </c>
      <c r="H79" s="19">
        <f>SUM(H77:H78)</f>
        <v>0.74</v>
      </c>
      <c r="I79" s="19">
        <f>SUM(I77:I78)</f>
        <v>0.72</v>
      </c>
      <c r="J79" s="19">
        <f t="shared" ref="J79:AC79" si="42">SUM(J77:J78)</f>
        <v>0.7</v>
      </c>
      <c r="K79" s="19">
        <f t="shared" si="42"/>
        <v>0.73</v>
      </c>
      <c r="L79" s="19">
        <f>SUM(L77:L78)</f>
        <v>0.73</v>
      </c>
      <c r="M79" s="19">
        <f t="shared" si="42"/>
        <v>0.78</v>
      </c>
      <c r="N79" s="19">
        <f t="shared" si="42"/>
        <v>0.69</v>
      </c>
      <c r="O79" s="19">
        <f>SUM(O77:O78)</f>
        <v>0.72</v>
      </c>
      <c r="P79" s="19">
        <f t="shared" si="42"/>
        <v>0.79</v>
      </c>
      <c r="Q79" s="19">
        <f t="shared" si="42"/>
        <v>0.82</v>
      </c>
      <c r="R79" s="19">
        <f t="shared" si="42"/>
        <v>0.86</v>
      </c>
      <c r="S79" s="19">
        <f t="shared" si="42"/>
        <v>0.91</v>
      </c>
      <c r="T79" s="19">
        <f t="shared" si="42"/>
        <v>0.9</v>
      </c>
      <c r="U79" s="19">
        <f t="shared" si="42"/>
        <v>0.93</v>
      </c>
      <c r="V79" s="19">
        <f t="shared" si="42"/>
        <v>0.91</v>
      </c>
      <c r="W79" s="19">
        <f t="shared" si="42"/>
        <v>0.89</v>
      </c>
      <c r="X79" s="19">
        <f t="shared" si="42"/>
        <v>0.88</v>
      </c>
      <c r="Y79" s="19">
        <f t="shared" si="42"/>
        <v>1</v>
      </c>
      <c r="Z79" s="19">
        <f t="shared" si="42"/>
        <v>1.02</v>
      </c>
      <c r="AA79" s="19">
        <f t="shared" si="42"/>
        <v>0.97</v>
      </c>
      <c r="AB79" s="19">
        <f t="shared" si="42"/>
        <v>0.92</v>
      </c>
      <c r="AC79" s="19">
        <f t="shared" si="42"/>
        <v>0.88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>
        <v>1.8</v>
      </c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>
        <v>1.6779999999999999</v>
      </c>
      <c r="U81" s="379">
        <v>1.673</v>
      </c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83.299999999999983</v>
      </c>
      <c r="D82" s="28"/>
      <c r="E82" s="28"/>
      <c r="F82" s="28">
        <f t="shared" ref="F82:AC82" si="43">SUM(F17,F22,F25,F30,F33,F59,F64,F75,F79,F81)</f>
        <v>40.860000000000014</v>
      </c>
      <c r="G82" s="28">
        <f t="shared" si="43"/>
        <v>37.93</v>
      </c>
      <c r="H82" s="28">
        <f t="shared" si="43"/>
        <v>37.960000000000008</v>
      </c>
      <c r="I82" s="28">
        <f t="shared" si="43"/>
        <v>34.19</v>
      </c>
      <c r="J82" s="28">
        <f t="shared" si="43"/>
        <v>34.25</v>
      </c>
      <c r="K82" s="28">
        <f t="shared" si="43"/>
        <v>35.449999999999996</v>
      </c>
      <c r="L82" s="28">
        <f t="shared" si="43"/>
        <v>41.254999999999995</v>
      </c>
      <c r="M82" s="28">
        <f t="shared" si="43"/>
        <v>38.78</v>
      </c>
      <c r="N82" s="28">
        <f t="shared" si="43"/>
        <v>41.929999999999993</v>
      </c>
      <c r="O82" s="28">
        <f t="shared" si="43"/>
        <v>50.57</v>
      </c>
      <c r="P82" s="28">
        <f t="shared" si="43"/>
        <v>57.09</v>
      </c>
      <c r="Q82" s="28">
        <f t="shared" si="43"/>
        <v>59.49</v>
      </c>
      <c r="R82" s="28">
        <f t="shared" si="43"/>
        <v>58.259999999999991</v>
      </c>
      <c r="S82" s="28">
        <f t="shared" si="43"/>
        <v>59.5</v>
      </c>
      <c r="T82" s="28">
        <f t="shared" si="43"/>
        <v>60.808</v>
      </c>
      <c r="U82" s="28">
        <f t="shared" si="43"/>
        <v>61.133000000000003</v>
      </c>
      <c r="V82" s="28">
        <f t="shared" si="43"/>
        <v>60.59</v>
      </c>
      <c r="W82" s="28">
        <f t="shared" si="43"/>
        <v>56.720000000000006</v>
      </c>
      <c r="X82" s="28">
        <f t="shared" si="43"/>
        <v>55.660000000000011</v>
      </c>
      <c r="Y82" s="28">
        <f t="shared" si="43"/>
        <v>60.960000000000008</v>
      </c>
      <c r="Z82" s="28">
        <f t="shared" si="43"/>
        <v>59.15</v>
      </c>
      <c r="AA82" s="28">
        <f t="shared" si="43"/>
        <v>57.57</v>
      </c>
      <c r="AB82" s="28">
        <f t="shared" si="43"/>
        <v>50.550000000000004</v>
      </c>
      <c r="AC82" s="28">
        <f t="shared" si="43"/>
        <v>48.36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44">SUM(F22,F25)</f>
        <v>3.8</v>
      </c>
      <c r="G88" s="64">
        <f t="shared" si="44"/>
        <v>3.8</v>
      </c>
      <c r="H88" s="64">
        <f t="shared" si="44"/>
        <v>3.5</v>
      </c>
      <c r="I88" s="64">
        <f t="shared" si="44"/>
        <v>3.5</v>
      </c>
      <c r="J88" s="64">
        <f t="shared" si="44"/>
        <v>3.8</v>
      </c>
      <c r="K88" s="64">
        <f t="shared" si="44"/>
        <v>3.8</v>
      </c>
      <c r="L88" s="64">
        <f t="shared" si="44"/>
        <v>3.8</v>
      </c>
      <c r="M88" s="64">
        <f t="shared" si="44"/>
        <v>3.5</v>
      </c>
      <c r="N88" s="64">
        <f t="shared" si="44"/>
        <v>3.8</v>
      </c>
      <c r="O88" s="64">
        <f t="shared" si="44"/>
        <v>3.8</v>
      </c>
      <c r="P88" s="64">
        <f t="shared" si="44"/>
        <v>3.8</v>
      </c>
      <c r="Q88" s="64">
        <f t="shared" si="44"/>
        <v>3.8</v>
      </c>
      <c r="R88" s="64">
        <f t="shared" si="44"/>
        <v>3.8</v>
      </c>
      <c r="S88" s="64">
        <f t="shared" si="44"/>
        <v>3.8</v>
      </c>
      <c r="T88" s="64">
        <f t="shared" si="44"/>
        <v>3.8</v>
      </c>
      <c r="U88" s="64">
        <f t="shared" si="44"/>
        <v>3.8</v>
      </c>
      <c r="V88" s="64">
        <f t="shared" si="44"/>
        <v>3.8</v>
      </c>
      <c r="W88" s="64">
        <f t="shared" si="44"/>
        <v>3.8</v>
      </c>
      <c r="X88" s="64">
        <f t="shared" si="44"/>
        <v>3.8</v>
      </c>
      <c r="Y88" s="64">
        <f t="shared" si="44"/>
        <v>3.8</v>
      </c>
      <c r="Z88" s="64">
        <f t="shared" si="44"/>
        <v>3.8</v>
      </c>
      <c r="AA88" s="64">
        <f t="shared" si="44"/>
        <v>3.8</v>
      </c>
      <c r="AB88" s="64">
        <f t="shared" si="44"/>
        <v>0</v>
      </c>
      <c r="AC88" s="64">
        <f t="shared" si="44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0.23200000000000001</v>
      </c>
      <c r="G89" s="68">
        <v>0.247</v>
      </c>
      <c r="H89" s="68">
        <v>0.17699999999999999</v>
      </c>
      <c r="I89" s="68">
        <v>0.2</v>
      </c>
      <c r="J89" s="68">
        <v>0.246</v>
      </c>
      <c r="K89" s="68">
        <v>0.23100000000000001</v>
      </c>
      <c r="L89" s="68">
        <v>0.189</v>
      </c>
      <c r="M89" s="68">
        <v>0.184</v>
      </c>
      <c r="N89" s="68">
        <v>0.2</v>
      </c>
      <c r="O89" s="68">
        <v>0.22600000000000001</v>
      </c>
      <c r="P89" s="68">
        <v>0.20699999999999999</v>
      </c>
      <c r="Q89" s="68">
        <v>0.224</v>
      </c>
      <c r="R89" s="68">
        <v>0.21</v>
      </c>
      <c r="S89" s="68">
        <v>0.20599999999999999</v>
      </c>
      <c r="T89" s="68">
        <v>0.224</v>
      </c>
      <c r="U89" s="68">
        <v>0.23300000000000001</v>
      </c>
      <c r="V89" s="68">
        <v>0.214</v>
      </c>
      <c r="W89" s="68">
        <v>0.23499999999999999</v>
      </c>
      <c r="X89" s="68">
        <v>0.249</v>
      </c>
      <c r="Y89" s="68">
        <v>0.26400000000000001</v>
      </c>
      <c r="Z89" s="68">
        <v>0.247</v>
      </c>
      <c r="AA89" s="68">
        <v>0.23400000000000001</v>
      </c>
      <c r="AB89" s="68" t="s">
        <v>1</v>
      </c>
      <c r="AC89" s="68" t="s">
        <v>1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45">F17</f>
        <v>25.6</v>
      </c>
      <c r="G90" s="64">
        <f t="shared" si="45"/>
        <v>25.2</v>
      </c>
      <c r="H90" s="64">
        <f t="shared" si="45"/>
        <v>22.5</v>
      </c>
      <c r="I90" s="64">
        <f t="shared" si="45"/>
        <v>20.100000000000001</v>
      </c>
      <c r="J90" s="64">
        <f t="shared" si="45"/>
        <v>19.899999999999999</v>
      </c>
      <c r="K90" s="64">
        <f t="shared" si="45"/>
        <v>20</v>
      </c>
      <c r="L90" s="64">
        <f t="shared" si="45"/>
        <v>20.100000000000001</v>
      </c>
      <c r="M90" s="64">
        <f t="shared" si="45"/>
        <v>19.5</v>
      </c>
      <c r="N90" s="64">
        <f t="shared" si="45"/>
        <v>20.5</v>
      </c>
      <c r="O90" s="64">
        <f t="shared" si="45"/>
        <v>26.900000000000002</v>
      </c>
      <c r="P90" s="64">
        <f t="shared" si="45"/>
        <v>27.5</v>
      </c>
      <c r="Q90" s="64">
        <f t="shared" si="45"/>
        <v>26.8</v>
      </c>
      <c r="R90" s="64">
        <f t="shared" si="45"/>
        <v>26.4</v>
      </c>
      <c r="S90" s="64">
        <f t="shared" si="45"/>
        <v>26.5</v>
      </c>
      <c r="T90" s="64">
        <f t="shared" si="45"/>
        <v>27.1</v>
      </c>
      <c r="U90" s="64">
        <f t="shared" si="45"/>
        <v>26.499999999999996</v>
      </c>
      <c r="V90" s="64">
        <f t="shared" si="45"/>
        <v>27.2</v>
      </c>
      <c r="W90" s="64">
        <f t="shared" si="45"/>
        <v>26</v>
      </c>
      <c r="X90" s="64">
        <f t="shared" si="45"/>
        <v>26.4</v>
      </c>
      <c r="Y90" s="64">
        <f t="shared" si="45"/>
        <v>26.4</v>
      </c>
      <c r="Z90" s="64">
        <f t="shared" si="45"/>
        <v>26</v>
      </c>
      <c r="AA90" s="64">
        <f t="shared" si="45"/>
        <v>25.6</v>
      </c>
      <c r="AB90" s="64">
        <f t="shared" si="45"/>
        <v>24</v>
      </c>
      <c r="AC90" s="64">
        <f t="shared" si="45"/>
        <v>23.6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0.89900000000000002</v>
      </c>
      <c r="G91" s="68">
        <v>0.9</v>
      </c>
      <c r="H91" s="68">
        <v>0.91100000000000003</v>
      </c>
      <c r="I91" s="68">
        <v>0.86</v>
      </c>
      <c r="J91" s="68">
        <v>0.85599999999999998</v>
      </c>
      <c r="K91" s="68">
        <v>0.89600000000000002</v>
      </c>
      <c r="L91" s="68">
        <v>0.86499999999999999</v>
      </c>
      <c r="M91" s="68">
        <v>0.874</v>
      </c>
      <c r="N91" s="68">
        <v>0.82799999999999996</v>
      </c>
      <c r="O91" s="68">
        <v>1.0760000000000001</v>
      </c>
      <c r="P91" s="68">
        <v>0.98899999999999999</v>
      </c>
      <c r="Q91" s="68">
        <v>0.89900000000000002</v>
      </c>
      <c r="R91" s="68">
        <v>0.91</v>
      </c>
      <c r="S91" s="68">
        <v>0.88700000000000001</v>
      </c>
      <c r="T91" s="68">
        <v>0.91</v>
      </c>
      <c r="U91" s="68">
        <v>0.83699999999999997</v>
      </c>
      <c r="V91" s="68">
        <v>0.97</v>
      </c>
      <c r="W91" s="68">
        <v>1.0309999999999999</v>
      </c>
      <c r="X91" s="68">
        <v>0.84099999999999997</v>
      </c>
      <c r="Y91" s="68">
        <v>0.82599999999999996</v>
      </c>
      <c r="Z91" s="68">
        <v>0.81200000000000006</v>
      </c>
      <c r="AA91" s="68">
        <v>0.89</v>
      </c>
      <c r="AB91" s="68">
        <v>0.877</v>
      </c>
      <c r="AC91" s="68">
        <v>0.878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6">F30</f>
        <v>6</v>
      </c>
      <c r="G92" s="65">
        <f t="shared" si="46"/>
        <v>4</v>
      </c>
      <c r="H92" s="65">
        <f t="shared" si="46"/>
        <v>7.2</v>
      </c>
      <c r="I92" s="65">
        <f t="shared" si="46"/>
        <v>6</v>
      </c>
      <c r="J92" s="65">
        <f t="shared" si="46"/>
        <v>6</v>
      </c>
      <c r="K92" s="65">
        <f t="shared" si="46"/>
        <v>7</v>
      </c>
      <c r="L92" s="65">
        <f t="shared" si="46"/>
        <v>7.6</v>
      </c>
      <c r="M92" s="65">
        <f t="shared" si="46"/>
        <v>6.6</v>
      </c>
      <c r="N92" s="65">
        <f t="shared" si="46"/>
        <v>7.6</v>
      </c>
      <c r="O92" s="65">
        <f t="shared" si="46"/>
        <v>8.6</v>
      </c>
      <c r="P92" s="65">
        <f t="shared" si="46"/>
        <v>8</v>
      </c>
      <c r="Q92" s="65">
        <f t="shared" si="46"/>
        <v>8.4</v>
      </c>
      <c r="R92" s="65">
        <f t="shared" si="46"/>
        <v>8.1999999999999993</v>
      </c>
      <c r="S92" s="65">
        <f t="shared" si="46"/>
        <v>8</v>
      </c>
      <c r="T92" s="65">
        <f t="shared" si="46"/>
        <v>8</v>
      </c>
      <c r="U92" s="65">
        <f t="shared" si="46"/>
        <v>8</v>
      </c>
      <c r="V92" s="65">
        <f t="shared" si="46"/>
        <v>8</v>
      </c>
      <c r="W92" s="65">
        <f t="shared" si="46"/>
        <v>7.6</v>
      </c>
      <c r="X92" s="65">
        <f t="shared" si="46"/>
        <v>8</v>
      </c>
      <c r="Y92" s="65">
        <f t="shared" si="46"/>
        <v>8.4</v>
      </c>
      <c r="Z92" s="65">
        <f t="shared" si="46"/>
        <v>7</v>
      </c>
      <c r="AA92" s="65">
        <f t="shared" si="46"/>
        <v>8.4</v>
      </c>
      <c r="AB92" s="65">
        <f t="shared" si="46"/>
        <v>7.6</v>
      </c>
      <c r="AC92" s="65">
        <f t="shared" si="46"/>
        <v>6.5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0.29499999999999998</v>
      </c>
      <c r="G93" s="68">
        <v>0.29499999999999998</v>
      </c>
      <c r="H93" s="68">
        <v>0.28499999999999998</v>
      </c>
      <c r="I93" s="68">
        <v>0.27300000000000002</v>
      </c>
      <c r="J93" s="68">
        <v>0.27</v>
      </c>
      <c r="K93" s="68">
        <v>0.26800000000000002</v>
      </c>
      <c r="L93" s="68">
        <v>0.27</v>
      </c>
      <c r="M93" s="68">
        <v>0.27700000000000002</v>
      </c>
      <c r="N93" s="68">
        <v>0.28499999999999998</v>
      </c>
      <c r="O93" s="68">
        <v>0.27900000000000003</v>
      </c>
      <c r="P93" s="68">
        <v>0.28499999999999998</v>
      </c>
      <c r="Q93" s="68">
        <v>0.28799999999999998</v>
      </c>
      <c r="R93" s="68">
        <v>0.3</v>
      </c>
      <c r="S93" s="68">
        <v>0.28999999999999998</v>
      </c>
      <c r="T93" s="68">
        <v>0.29199999999999998</v>
      </c>
      <c r="U93" s="68">
        <v>0.28299999999999997</v>
      </c>
      <c r="V93" s="68">
        <v>0.29399999999999998</v>
      </c>
      <c r="W93" s="68">
        <v>0.29699999999999999</v>
      </c>
      <c r="X93" s="68">
        <v>0.29299999999999998</v>
      </c>
      <c r="Y93" s="68">
        <v>0.29699999999999999</v>
      </c>
      <c r="Z93" s="68">
        <v>0.28799999999999998</v>
      </c>
      <c r="AA93" s="68">
        <v>0.28000000000000003</v>
      </c>
      <c r="AB93" s="68">
        <v>0.28100000000000003</v>
      </c>
      <c r="AC93" s="68">
        <v>0.28799999999999998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7">F33</f>
        <v>0</v>
      </c>
      <c r="G94" s="65">
        <f t="shared" si="47"/>
        <v>0</v>
      </c>
      <c r="H94" s="65">
        <f t="shared" si="47"/>
        <v>0</v>
      </c>
      <c r="I94" s="65">
        <f t="shared" si="47"/>
        <v>0</v>
      </c>
      <c r="J94" s="65">
        <f t="shared" si="47"/>
        <v>0</v>
      </c>
      <c r="K94" s="65">
        <f t="shared" si="47"/>
        <v>0</v>
      </c>
      <c r="L94" s="65">
        <f t="shared" si="47"/>
        <v>0</v>
      </c>
      <c r="M94" s="65">
        <f t="shared" si="47"/>
        <v>0</v>
      </c>
      <c r="N94" s="65">
        <f t="shared" si="47"/>
        <v>0</v>
      </c>
      <c r="O94" s="65">
        <f t="shared" si="47"/>
        <v>0</v>
      </c>
      <c r="P94" s="65">
        <f t="shared" si="47"/>
        <v>0</v>
      </c>
      <c r="Q94" s="65">
        <f t="shared" si="47"/>
        <v>0</v>
      </c>
      <c r="R94" s="65">
        <f t="shared" si="47"/>
        <v>0</v>
      </c>
      <c r="S94" s="65">
        <f t="shared" si="47"/>
        <v>0</v>
      </c>
      <c r="T94" s="65">
        <f t="shared" si="47"/>
        <v>0</v>
      </c>
      <c r="U94" s="65">
        <f t="shared" si="47"/>
        <v>0</v>
      </c>
      <c r="V94" s="65">
        <f t="shared" si="47"/>
        <v>0</v>
      </c>
      <c r="W94" s="65">
        <f t="shared" si="47"/>
        <v>0</v>
      </c>
      <c r="X94" s="65">
        <f t="shared" si="47"/>
        <v>0</v>
      </c>
      <c r="Y94" s="65">
        <f t="shared" si="47"/>
        <v>0</v>
      </c>
      <c r="Z94" s="65">
        <f t="shared" si="47"/>
        <v>0</v>
      </c>
      <c r="AA94" s="65">
        <f t="shared" si="47"/>
        <v>0</v>
      </c>
      <c r="AB94" s="65">
        <f t="shared" si="47"/>
        <v>0</v>
      </c>
      <c r="AC94" s="65">
        <f t="shared" si="4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f>0.07/1000</f>
        <v>7.0000000000000007E-5</v>
      </c>
      <c r="G95" s="68">
        <f>0.07/1000</f>
        <v>7.0000000000000007E-5</v>
      </c>
      <c r="H95" s="68">
        <f>0.07/1000</f>
        <v>7.0000000000000007E-5</v>
      </c>
      <c r="I95" s="68">
        <f>0.08/1000</f>
        <v>8.0000000000000007E-5</v>
      </c>
      <c r="J95" s="68">
        <f>0.06/1000</f>
        <v>5.9999999999999995E-5</v>
      </c>
      <c r="K95" s="68">
        <f>0.09/1000</f>
        <v>8.9999999999999992E-5</v>
      </c>
      <c r="L95" s="68">
        <f>0.08/1000</f>
        <v>8.0000000000000007E-5</v>
      </c>
      <c r="M95" s="68">
        <f>0.05/1000</f>
        <v>5.0000000000000002E-5</v>
      </c>
      <c r="N95" s="68">
        <f>0.08/1000</f>
        <v>8.0000000000000007E-5</v>
      </c>
      <c r="O95" s="68">
        <f>0.09/1000</f>
        <v>8.9999999999999992E-5</v>
      </c>
      <c r="P95" s="68">
        <f>0.09/1000</f>
        <v>8.9999999999999992E-5</v>
      </c>
      <c r="Q95" s="68">
        <f>0.09/1000</f>
        <v>8.9999999999999992E-5</v>
      </c>
      <c r="R95" s="68">
        <f>0.08/1000</f>
        <v>8.0000000000000007E-5</v>
      </c>
      <c r="S95" s="68">
        <f>0.09/1000</f>
        <v>8.9999999999999992E-5</v>
      </c>
      <c r="T95" s="68">
        <f>0.09/1000</f>
        <v>8.9999999999999992E-5</v>
      </c>
      <c r="U95" s="68">
        <v>0</v>
      </c>
      <c r="V95" s="68">
        <v>0</v>
      </c>
      <c r="W95" s="68">
        <v>0</v>
      </c>
      <c r="X95" s="68">
        <v>0</v>
      </c>
      <c r="Y95" s="68">
        <f>0.09/1000</f>
        <v>8.9999999999999992E-5</v>
      </c>
      <c r="Z95" s="68">
        <f t="shared" ref="Z95:AB95" si="48">0.09/1000</f>
        <v>8.9999999999999992E-5</v>
      </c>
      <c r="AA95" s="68">
        <f t="shared" si="48"/>
        <v>8.9999999999999992E-5</v>
      </c>
      <c r="AB95" s="68">
        <f t="shared" si="48"/>
        <v>8.9999999999999992E-5</v>
      </c>
      <c r="AC95" s="68">
        <f>0.09/1000</f>
        <v>8.9999999999999992E-5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9">F59</f>
        <v>0</v>
      </c>
      <c r="G96" s="64">
        <f t="shared" si="49"/>
        <v>0</v>
      </c>
      <c r="H96" s="64">
        <f t="shared" si="49"/>
        <v>0</v>
      </c>
      <c r="I96" s="64">
        <f t="shared" si="49"/>
        <v>0</v>
      </c>
      <c r="J96" s="64">
        <f t="shared" si="49"/>
        <v>0</v>
      </c>
      <c r="K96" s="64">
        <f t="shared" si="49"/>
        <v>0</v>
      </c>
      <c r="L96" s="64">
        <f t="shared" si="49"/>
        <v>2.5</v>
      </c>
      <c r="M96" s="64">
        <f t="shared" si="49"/>
        <v>3.8</v>
      </c>
      <c r="N96" s="64">
        <f t="shared" si="49"/>
        <v>4.55</v>
      </c>
      <c r="O96" s="64">
        <f t="shared" si="49"/>
        <v>5.3</v>
      </c>
      <c r="P96" s="64">
        <f t="shared" si="49"/>
        <v>11.100000000000001</v>
      </c>
      <c r="Q96" s="64">
        <f t="shared" si="49"/>
        <v>13.399999999999999</v>
      </c>
      <c r="R96" s="64">
        <f t="shared" si="49"/>
        <v>13.399999999999999</v>
      </c>
      <c r="S96" s="64">
        <f t="shared" si="49"/>
        <v>14.100000000000005</v>
      </c>
      <c r="T96" s="64">
        <f t="shared" si="49"/>
        <v>14.200000000000005</v>
      </c>
      <c r="U96" s="64">
        <f t="shared" si="49"/>
        <v>13.700000000000005</v>
      </c>
      <c r="V96" s="64">
        <f t="shared" si="49"/>
        <v>14.200000000000005</v>
      </c>
      <c r="W96" s="64">
        <f t="shared" si="49"/>
        <v>12.500000000000004</v>
      </c>
      <c r="X96" s="64">
        <f t="shared" si="49"/>
        <v>10.900000000000002</v>
      </c>
      <c r="Y96" s="64">
        <f t="shared" si="49"/>
        <v>15.000000000000004</v>
      </c>
      <c r="Z96" s="64">
        <f t="shared" si="49"/>
        <v>15.000000000000004</v>
      </c>
      <c r="AA96" s="64">
        <f t="shared" si="49"/>
        <v>12.799999999999997</v>
      </c>
      <c r="AB96" s="64">
        <f t="shared" si="49"/>
        <v>12.7</v>
      </c>
      <c r="AC96" s="64">
        <f t="shared" si="49"/>
        <v>12.7</v>
      </c>
      <c r="AG96" s="5"/>
      <c r="AH96" s="5"/>
      <c r="AI96" s="5"/>
      <c r="AJ96" s="5"/>
      <c r="AK96" s="5"/>
      <c r="AL96" s="5"/>
      <c r="AM96" s="5"/>
      <c r="AN96" s="5"/>
    </row>
    <row r="97" spans="1:40" ht="18" x14ac:dyDescent="0.25">
      <c r="A97" s="399" t="s">
        <v>50</v>
      </c>
      <c r="B97" s="400"/>
      <c r="C97" s="401"/>
      <c r="D97" s="45"/>
      <c r="E97" s="45"/>
      <c r="F97" s="64">
        <f t="shared" ref="F97:AC97" si="50">F64</f>
        <v>0.95</v>
      </c>
      <c r="G97" s="64">
        <f t="shared" si="50"/>
        <v>0.85</v>
      </c>
      <c r="H97" s="64">
        <f t="shared" si="50"/>
        <v>0.82</v>
      </c>
      <c r="I97" s="64">
        <f t="shared" si="50"/>
        <v>0.77</v>
      </c>
      <c r="J97" s="64">
        <f t="shared" si="50"/>
        <v>0.75</v>
      </c>
      <c r="K97" s="64">
        <f t="shared" si="50"/>
        <v>0.82</v>
      </c>
      <c r="L97" s="64">
        <f t="shared" si="50"/>
        <v>0.8</v>
      </c>
      <c r="M97" s="64">
        <f t="shared" si="50"/>
        <v>1</v>
      </c>
      <c r="N97" s="64">
        <f t="shared" si="50"/>
        <v>0.99</v>
      </c>
      <c r="O97" s="64">
        <f t="shared" si="50"/>
        <v>1.1499999999999999</v>
      </c>
      <c r="P97" s="64">
        <f t="shared" si="50"/>
        <v>1.2</v>
      </c>
      <c r="Q97" s="64">
        <f t="shared" si="50"/>
        <v>1.27</v>
      </c>
      <c r="R97" s="64">
        <f t="shared" si="50"/>
        <v>1.3</v>
      </c>
      <c r="S97" s="64">
        <f t="shared" si="50"/>
        <v>1.29</v>
      </c>
      <c r="T97" s="64">
        <f t="shared" si="50"/>
        <v>1.33</v>
      </c>
      <c r="U97" s="64">
        <f t="shared" si="50"/>
        <v>1.33</v>
      </c>
      <c r="V97" s="64">
        <f t="shared" si="50"/>
        <v>1.28</v>
      </c>
      <c r="W97" s="64">
        <f t="shared" si="50"/>
        <v>1.23</v>
      </c>
      <c r="X97" s="64">
        <f t="shared" si="50"/>
        <v>1.18</v>
      </c>
      <c r="Y97" s="64">
        <f t="shared" si="50"/>
        <v>1.36</v>
      </c>
      <c r="Z97" s="64">
        <f t="shared" si="50"/>
        <v>1.33</v>
      </c>
      <c r="AA97" s="64">
        <f t="shared" si="50"/>
        <v>1.2</v>
      </c>
      <c r="AB97" s="64">
        <f t="shared" si="50"/>
        <v>1.02</v>
      </c>
      <c r="AC97" s="64">
        <f t="shared" si="50"/>
        <v>0.88</v>
      </c>
      <c r="AG97" s="5"/>
      <c r="AH97" s="5"/>
      <c r="AI97" s="5"/>
      <c r="AJ97" s="5"/>
      <c r="AK97" s="5"/>
      <c r="AL97" s="5"/>
      <c r="AM97" s="5"/>
      <c r="AN97" s="5"/>
    </row>
    <row r="98" spans="1:40" ht="18" x14ac:dyDescent="0.25">
      <c r="A98" s="399" t="s">
        <v>54</v>
      </c>
      <c r="B98" s="400"/>
      <c r="C98" s="401"/>
      <c r="D98" s="45"/>
      <c r="E98" s="45"/>
      <c r="F98" s="64">
        <f t="shared" ref="F98:AC98" si="51">F75</f>
        <v>3.7</v>
      </c>
      <c r="G98" s="64">
        <f t="shared" si="51"/>
        <v>3.3</v>
      </c>
      <c r="H98" s="64">
        <f t="shared" si="51"/>
        <v>3.2</v>
      </c>
      <c r="I98" s="64">
        <f t="shared" si="51"/>
        <v>3.1</v>
      </c>
      <c r="J98" s="64">
        <f t="shared" si="51"/>
        <v>3.1</v>
      </c>
      <c r="K98" s="64">
        <f t="shared" si="51"/>
        <v>3.1</v>
      </c>
      <c r="L98" s="64">
        <f t="shared" si="51"/>
        <v>5.7250000000000005</v>
      </c>
      <c r="M98" s="64">
        <f t="shared" si="51"/>
        <v>3.5999999999999996</v>
      </c>
      <c r="N98" s="64">
        <f t="shared" si="51"/>
        <v>3.8</v>
      </c>
      <c r="O98" s="64">
        <f t="shared" si="51"/>
        <v>4.0999999999999996</v>
      </c>
      <c r="P98" s="64">
        <f t="shared" si="51"/>
        <v>4.7</v>
      </c>
      <c r="Q98" s="64">
        <f t="shared" si="51"/>
        <v>5</v>
      </c>
      <c r="R98" s="64">
        <f t="shared" si="51"/>
        <v>4.3</v>
      </c>
      <c r="S98" s="64">
        <f t="shared" si="51"/>
        <v>4.9000000000000004</v>
      </c>
      <c r="T98" s="64">
        <f t="shared" si="51"/>
        <v>3.8</v>
      </c>
      <c r="U98" s="64">
        <f t="shared" si="51"/>
        <v>5.2000000000000011</v>
      </c>
      <c r="V98" s="64">
        <f t="shared" si="51"/>
        <v>5.2000000000000011</v>
      </c>
      <c r="W98" s="64">
        <f t="shared" si="51"/>
        <v>4.7</v>
      </c>
      <c r="X98" s="64">
        <f t="shared" si="51"/>
        <v>4.5</v>
      </c>
      <c r="Y98" s="64">
        <f t="shared" si="51"/>
        <v>5</v>
      </c>
      <c r="Z98" s="64">
        <f t="shared" si="51"/>
        <v>5</v>
      </c>
      <c r="AA98" s="64">
        <f t="shared" si="51"/>
        <v>4.8</v>
      </c>
      <c r="AB98" s="64">
        <f t="shared" si="51"/>
        <v>4.3099999999999996</v>
      </c>
      <c r="AC98" s="64">
        <f t="shared" si="51"/>
        <v>3.8</v>
      </c>
    </row>
    <row r="99" spans="1:40" ht="18" x14ac:dyDescent="0.25">
      <c r="A99" s="399" t="s">
        <v>64</v>
      </c>
      <c r="B99" s="400"/>
      <c r="C99" s="401"/>
      <c r="D99" s="45"/>
      <c r="E99" s="45"/>
      <c r="F99" s="64">
        <f t="shared" ref="F99:AC99" si="52">F79</f>
        <v>0.81</v>
      </c>
      <c r="G99" s="64">
        <f t="shared" si="52"/>
        <v>0.78</v>
      </c>
      <c r="H99" s="64">
        <f t="shared" si="52"/>
        <v>0.74</v>
      </c>
      <c r="I99" s="64">
        <f t="shared" si="52"/>
        <v>0.72</v>
      </c>
      <c r="J99" s="64">
        <f t="shared" si="52"/>
        <v>0.7</v>
      </c>
      <c r="K99" s="64">
        <f t="shared" si="52"/>
        <v>0.73</v>
      </c>
      <c r="L99" s="64">
        <f t="shared" si="52"/>
        <v>0.73</v>
      </c>
      <c r="M99" s="64">
        <f t="shared" si="52"/>
        <v>0.78</v>
      </c>
      <c r="N99" s="64">
        <f t="shared" si="52"/>
        <v>0.69</v>
      </c>
      <c r="O99" s="64">
        <f t="shared" si="52"/>
        <v>0.72</v>
      </c>
      <c r="P99" s="64">
        <f t="shared" si="52"/>
        <v>0.79</v>
      </c>
      <c r="Q99" s="64">
        <f t="shared" si="52"/>
        <v>0.82</v>
      </c>
      <c r="R99" s="64">
        <f t="shared" si="52"/>
        <v>0.86</v>
      </c>
      <c r="S99" s="64">
        <f t="shared" si="52"/>
        <v>0.91</v>
      </c>
      <c r="T99" s="64">
        <f t="shared" si="52"/>
        <v>0.9</v>
      </c>
      <c r="U99" s="64">
        <f t="shared" si="52"/>
        <v>0.93</v>
      </c>
      <c r="V99" s="64">
        <f t="shared" si="52"/>
        <v>0.91</v>
      </c>
      <c r="W99" s="64">
        <f t="shared" si="52"/>
        <v>0.89</v>
      </c>
      <c r="X99" s="64">
        <f t="shared" si="52"/>
        <v>0.88</v>
      </c>
      <c r="Y99" s="64">
        <f t="shared" si="52"/>
        <v>1</v>
      </c>
      <c r="Z99" s="64">
        <f t="shared" si="52"/>
        <v>1.02</v>
      </c>
      <c r="AA99" s="64">
        <f t="shared" si="52"/>
        <v>0.97</v>
      </c>
      <c r="AB99" s="64">
        <f t="shared" si="52"/>
        <v>0.92</v>
      </c>
      <c r="AC99" s="64">
        <f t="shared" si="52"/>
        <v>0.88</v>
      </c>
    </row>
    <row r="100" spans="1:40" ht="18" x14ac:dyDescent="0.25">
      <c r="A100" s="399" t="s">
        <v>1129</v>
      </c>
      <c r="B100" s="400"/>
      <c r="C100" s="401"/>
      <c r="D100" s="45"/>
      <c r="E100" s="45"/>
      <c r="F100" s="64">
        <f t="shared" ref="F100:AC100" si="53">F81</f>
        <v>0</v>
      </c>
      <c r="G100" s="64">
        <f t="shared" si="53"/>
        <v>0</v>
      </c>
      <c r="H100" s="64">
        <f t="shared" si="53"/>
        <v>0</v>
      </c>
      <c r="I100" s="64">
        <f t="shared" si="53"/>
        <v>0</v>
      </c>
      <c r="J100" s="64">
        <f t="shared" si="53"/>
        <v>0</v>
      </c>
      <c r="K100" s="64">
        <f t="shared" si="53"/>
        <v>0</v>
      </c>
      <c r="L100" s="64">
        <f t="shared" si="53"/>
        <v>0</v>
      </c>
      <c r="M100" s="64">
        <f t="shared" si="53"/>
        <v>0</v>
      </c>
      <c r="N100" s="64">
        <f t="shared" si="53"/>
        <v>0</v>
      </c>
      <c r="O100" s="64">
        <f t="shared" si="53"/>
        <v>0</v>
      </c>
      <c r="P100" s="64">
        <f t="shared" si="53"/>
        <v>0</v>
      </c>
      <c r="Q100" s="64">
        <f t="shared" si="53"/>
        <v>0</v>
      </c>
      <c r="R100" s="64">
        <f t="shared" si="53"/>
        <v>0</v>
      </c>
      <c r="S100" s="64">
        <f t="shared" si="53"/>
        <v>0</v>
      </c>
      <c r="T100" s="64">
        <f t="shared" si="53"/>
        <v>1.6779999999999999</v>
      </c>
      <c r="U100" s="64">
        <f t="shared" si="53"/>
        <v>1.673</v>
      </c>
      <c r="V100" s="64">
        <f t="shared" si="53"/>
        <v>0</v>
      </c>
      <c r="W100" s="64">
        <f t="shared" si="53"/>
        <v>0</v>
      </c>
      <c r="X100" s="64">
        <f t="shared" si="53"/>
        <v>0</v>
      </c>
      <c r="Y100" s="64">
        <f t="shared" si="53"/>
        <v>0</v>
      </c>
      <c r="Z100" s="64">
        <f t="shared" si="53"/>
        <v>0</v>
      </c>
      <c r="AA100" s="64">
        <f t="shared" si="53"/>
        <v>0</v>
      </c>
      <c r="AB100" s="64">
        <f t="shared" si="53"/>
        <v>0</v>
      </c>
      <c r="AC100" s="64">
        <f t="shared" si="53"/>
        <v>0</v>
      </c>
    </row>
    <row r="101" spans="1:40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54">SUM(F88,F90,F92,F94,F96:F100,F80)</f>
        <v>40.860000000000014</v>
      </c>
      <c r="G101" s="61">
        <f t="shared" si="54"/>
        <v>37.93</v>
      </c>
      <c r="H101" s="61">
        <f t="shared" si="54"/>
        <v>37.960000000000008</v>
      </c>
      <c r="I101" s="61">
        <f t="shared" si="54"/>
        <v>34.19</v>
      </c>
      <c r="J101" s="61">
        <f t="shared" si="54"/>
        <v>34.25</v>
      </c>
      <c r="K101" s="61">
        <f t="shared" si="54"/>
        <v>35.449999999999996</v>
      </c>
      <c r="L101" s="61">
        <f t="shared" si="54"/>
        <v>41.254999999999995</v>
      </c>
      <c r="M101" s="61">
        <f t="shared" si="54"/>
        <v>38.78</v>
      </c>
      <c r="N101" s="61">
        <f t="shared" si="54"/>
        <v>41.929999999999993</v>
      </c>
      <c r="O101" s="61">
        <f t="shared" si="54"/>
        <v>50.57</v>
      </c>
      <c r="P101" s="61">
        <f t="shared" si="54"/>
        <v>57.09</v>
      </c>
      <c r="Q101" s="61">
        <f t="shared" si="54"/>
        <v>59.49</v>
      </c>
      <c r="R101" s="61">
        <f t="shared" si="54"/>
        <v>58.259999999999991</v>
      </c>
      <c r="S101" s="61">
        <f t="shared" si="54"/>
        <v>59.5</v>
      </c>
      <c r="T101" s="61">
        <f t="shared" si="54"/>
        <v>60.808</v>
      </c>
      <c r="U101" s="61">
        <f t="shared" si="54"/>
        <v>61.133000000000003</v>
      </c>
      <c r="V101" s="61">
        <f t="shared" si="54"/>
        <v>60.59</v>
      </c>
      <c r="W101" s="61">
        <f t="shared" si="54"/>
        <v>56.720000000000006</v>
      </c>
      <c r="X101" s="61">
        <f t="shared" si="54"/>
        <v>55.660000000000011</v>
      </c>
      <c r="Y101" s="61">
        <f t="shared" si="54"/>
        <v>60.960000000000008</v>
      </c>
      <c r="Z101" s="61">
        <f t="shared" si="54"/>
        <v>59.15</v>
      </c>
      <c r="AA101" s="61">
        <f t="shared" si="54"/>
        <v>57.57</v>
      </c>
      <c r="AB101" s="61">
        <f t="shared" si="54"/>
        <v>50.550000000000004</v>
      </c>
      <c r="AC101" s="61">
        <f t="shared" si="54"/>
        <v>48.36</v>
      </c>
    </row>
    <row r="102" spans="1:40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</row>
    <row r="103" spans="1:40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</row>
    <row r="104" spans="1:40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>
        <v>1.1859999999999999</v>
      </c>
      <c r="X104" s="77"/>
      <c r="Y104" s="77"/>
      <c r="Z104" s="77"/>
      <c r="AA104" s="77"/>
      <c r="AB104" s="77">
        <v>1.04</v>
      </c>
      <c r="AC104" s="77">
        <v>1.04</v>
      </c>
    </row>
    <row r="105" spans="1:40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55">SUM(F102:F104)</f>
        <v>0</v>
      </c>
      <c r="G105" s="61">
        <f t="shared" si="55"/>
        <v>0</v>
      </c>
      <c r="H105" s="61">
        <f t="shared" si="55"/>
        <v>0</v>
      </c>
      <c r="I105" s="61">
        <f t="shared" si="55"/>
        <v>0</v>
      </c>
      <c r="J105" s="61">
        <f t="shared" si="55"/>
        <v>0</v>
      </c>
      <c r="K105" s="61">
        <f t="shared" si="55"/>
        <v>0</v>
      </c>
      <c r="L105" s="61">
        <f t="shared" si="55"/>
        <v>0</v>
      </c>
      <c r="M105" s="61">
        <f t="shared" si="55"/>
        <v>0</v>
      </c>
      <c r="N105" s="61">
        <f t="shared" si="55"/>
        <v>0</v>
      </c>
      <c r="O105" s="61">
        <f t="shared" si="55"/>
        <v>0</v>
      </c>
      <c r="P105" s="61">
        <f t="shared" si="55"/>
        <v>0</v>
      </c>
      <c r="Q105" s="61">
        <f t="shared" si="55"/>
        <v>0</v>
      </c>
      <c r="R105" s="61">
        <f t="shared" si="55"/>
        <v>0</v>
      </c>
      <c r="S105" s="61">
        <f t="shared" si="55"/>
        <v>0</v>
      </c>
      <c r="T105" s="61">
        <f t="shared" si="55"/>
        <v>0</v>
      </c>
      <c r="U105" s="61">
        <f t="shared" si="55"/>
        <v>0</v>
      </c>
      <c r="V105" s="61">
        <f t="shared" si="55"/>
        <v>0</v>
      </c>
      <c r="W105" s="61">
        <f t="shared" si="55"/>
        <v>1.1859999999999999</v>
      </c>
      <c r="X105" s="61">
        <f t="shared" si="55"/>
        <v>0</v>
      </c>
      <c r="Y105" s="61">
        <f t="shared" si="55"/>
        <v>0</v>
      </c>
      <c r="Z105" s="61">
        <f t="shared" si="55"/>
        <v>0</v>
      </c>
      <c r="AA105" s="61">
        <f t="shared" si="55"/>
        <v>0</v>
      </c>
      <c r="AB105" s="61">
        <f t="shared" si="55"/>
        <v>1.04</v>
      </c>
      <c r="AC105" s="61">
        <f t="shared" si="55"/>
        <v>1.04</v>
      </c>
    </row>
    <row r="106" spans="1:40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56">F101+F105</f>
        <v>40.860000000000014</v>
      </c>
      <c r="G106" s="62">
        <f t="shared" si="56"/>
        <v>37.93</v>
      </c>
      <c r="H106" s="62">
        <f t="shared" si="56"/>
        <v>37.960000000000008</v>
      </c>
      <c r="I106" s="62">
        <f t="shared" si="56"/>
        <v>34.19</v>
      </c>
      <c r="J106" s="62">
        <f t="shared" si="56"/>
        <v>34.25</v>
      </c>
      <c r="K106" s="62">
        <f t="shared" si="56"/>
        <v>35.449999999999996</v>
      </c>
      <c r="L106" s="62">
        <f t="shared" si="56"/>
        <v>41.254999999999995</v>
      </c>
      <c r="M106" s="62">
        <f t="shared" si="56"/>
        <v>38.78</v>
      </c>
      <c r="N106" s="62">
        <f t="shared" si="56"/>
        <v>41.929999999999993</v>
      </c>
      <c r="O106" s="62">
        <f t="shared" si="56"/>
        <v>50.57</v>
      </c>
      <c r="P106" s="62">
        <f t="shared" si="56"/>
        <v>57.09</v>
      </c>
      <c r="Q106" s="62">
        <f t="shared" si="56"/>
        <v>59.49</v>
      </c>
      <c r="R106" s="62">
        <f t="shared" si="56"/>
        <v>58.259999999999991</v>
      </c>
      <c r="S106" s="62">
        <f t="shared" si="56"/>
        <v>59.5</v>
      </c>
      <c r="T106" s="62">
        <f t="shared" si="56"/>
        <v>60.808</v>
      </c>
      <c r="U106" s="62">
        <f t="shared" si="56"/>
        <v>61.133000000000003</v>
      </c>
      <c r="V106" s="62">
        <f t="shared" si="56"/>
        <v>60.59</v>
      </c>
      <c r="W106" s="62">
        <f t="shared" si="56"/>
        <v>57.906000000000006</v>
      </c>
      <c r="X106" s="62">
        <f t="shared" si="56"/>
        <v>55.660000000000011</v>
      </c>
      <c r="Y106" s="62">
        <f t="shared" si="56"/>
        <v>60.960000000000008</v>
      </c>
      <c r="Z106" s="62">
        <f t="shared" si="56"/>
        <v>59.15</v>
      </c>
      <c r="AA106" s="62">
        <f t="shared" si="56"/>
        <v>57.57</v>
      </c>
      <c r="AB106" s="62">
        <f t="shared" si="56"/>
        <v>51.59</v>
      </c>
      <c r="AC106" s="62">
        <f t="shared" si="56"/>
        <v>49.4</v>
      </c>
    </row>
    <row r="107" spans="1:40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57">(COUNT(F13:F16))*7.2+(COUNT(F27:F28)*4.9)+(COUNT(F19:F21)*4.5)-F90-F92</f>
        <v>7</v>
      </c>
      <c r="G107" s="63">
        <f t="shared" si="57"/>
        <v>9.4000000000000021</v>
      </c>
      <c r="H107" s="63">
        <f t="shared" si="57"/>
        <v>8.9000000000000021</v>
      </c>
      <c r="I107" s="63">
        <f t="shared" si="57"/>
        <v>5.3000000000000007</v>
      </c>
      <c r="J107" s="63">
        <f t="shared" si="57"/>
        <v>5.5000000000000036</v>
      </c>
      <c r="K107" s="63">
        <f t="shared" si="57"/>
        <v>4.4000000000000021</v>
      </c>
      <c r="L107" s="63">
        <f t="shared" si="57"/>
        <v>3.7000000000000011</v>
      </c>
      <c r="M107" s="63">
        <f t="shared" si="57"/>
        <v>5.3000000000000025</v>
      </c>
      <c r="N107" s="63">
        <f t="shared" si="57"/>
        <v>3.3000000000000025</v>
      </c>
      <c r="O107" s="63">
        <f t="shared" si="57"/>
        <v>3.0999999999999996</v>
      </c>
      <c r="P107" s="63">
        <f t="shared" si="57"/>
        <v>3.1000000000000014</v>
      </c>
      <c r="Q107" s="63">
        <f t="shared" si="57"/>
        <v>3.4000000000000004</v>
      </c>
      <c r="R107" s="63">
        <f t="shared" si="57"/>
        <v>4.0000000000000036</v>
      </c>
      <c r="S107" s="63">
        <f t="shared" si="57"/>
        <v>4.1000000000000014</v>
      </c>
      <c r="T107" s="63">
        <f t="shared" si="57"/>
        <v>3.5</v>
      </c>
      <c r="U107" s="63">
        <f t="shared" si="57"/>
        <v>4.100000000000005</v>
      </c>
      <c r="V107" s="63">
        <f t="shared" si="57"/>
        <v>3.4000000000000021</v>
      </c>
      <c r="W107" s="63">
        <f t="shared" si="57"/>
        <v>5.0000000000000018</v>
      </c>
      <c r="X107" s="63">
        <f t="shared" si="57"/>
        <v>4.2000000000000028</v>
      </c>
      <c r="Y107" s="63">
        <f t="shared" si="57"/>
        <v>3.8000000000000025</v>
      </c>
      <c r="Z107" s="63">
        <f t="shared" si="57"/>
        <v>5.6000000000000014</v>
      </c>
      <c r="AA107" s="63">
        <f t="shared" si="57"/>
        <v>4.5999999999999996</v>
      </c>
      <c r="AB107" s="63">
        <f t="shared" si="57"/>
        <v>7.0000000000000018</v>
      </c>
      <c r="AC107" s="63">
        <f t="shared" si="57"/>
        <v>8.5</v>
      </c>
      <c r="AD107" s="26"/>
      <c r="AE107" s="26"/>
    </row>
    <row r="108" spans="1:40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5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6.3</v>
      </c>
      <c r="G108" s="206">
        <f t="shared" si="58"/>
        <v>8.7000000000000028</v>
      </c>
      <c r="H108" s="206">
        <f t="shared" si="58"/>
        <v>8.5</v>
      </c>
      <c r="I108" s="206">
        <f t="shared" si="58"/>
        <v>4.9000000000000004</v>
      </c>
      <c r="J108" s="206">
        <f t="shared" si="58"/>
        <v>4.8000000000000034</v>
      </c>
      <c r="K108" s="206">
        <f t="shared" si="58"/>
        <v>3.700000000000002</v>
      </c>
      <c r="L108" s="206">
        <f t="shared" si="58"/>
        <v>3.0000000000000009</v>
      </c>
      <c r="M108" s="206">
        <f t="shared" si="58"/>
        <v>4.9000000000000021</v>
      </c>
      <c r="N108" s="206">
        <f t="shared" si="58"/>
        <v>2.6000000000000023</v>
      </c>
      <c r="O108" s="206">
        <f t="shared" si="58"/>
        <v>2.3999999999999995</v>
      </c>
      <c r="P108" s="206">
        <f t="shared" si="58"/>
        <v>2.4000000000000012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4.1000000000000005</v>
      </c>
      <c r="R108" s="206">
        <f t="shared" ref="R108:AC108" si="5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3.900000000000003</v>
      </c>
      <c r="S108" s="206">
        <f t="shared" si="59"/>
        <v>4.0000000000000009</v>
      </c>
      <c r="T108" s="206">
        <f t="shared" si="59"/>
        <v>3.3999999999999995</v>
      </c>
      <c r="U108" s="206">
        <f t="shared" si="59"/>
        <v>4.0000000000000044</v>
      </c>
      <c r="V108" s="206">
        <f t="shared" si="59"/>
        <v>3.3000000000000016</v>
      </c>
      <c r="W108" s="206">
        <f t="shared" si="59"/>
        <v>4.9000000000000012</v>
      </c>
      <c r="X108" s="206">
        <f t="shared" si="59"/>
        <v>4.1000000000000023</v>
      </c>
      <c r="Y108" s="206">
        <f t="shared" si="59"/>
        <v>3.700000000000002</v>
      </c>
      <c r="Z108" s="206">
        <f t="shared" si="59"/>
        <v>5.5000000000000009</v>
      </c>
      <c r="AA108" s="206">
        <f t="shared" si="59"/>
        <v>4.4999999999999991</v>
      </c>
      <c r="AB108" s="206">
        <f t="shared" si="59"/>
        <v>6.2000000000000011</v>
      </c>
      <c r="AC108" s="206">
        <f t="shared" si="59"/>
        <v>7.6999999999999993</v>
      </c>
      <c r="AD108" s="26"/>
      <c r="AE108" s="26"/>
    </row>
    <row r="109" spans="1:40" ht="20.25" x14ac:dyDescent="0.25">
      <c r="A109" s="421" t="s">
        <v>84</v>
      </c>
      <c r="B109" s="421"/>
      <c r="C109" s="421"/>
      <c r="D109" s="60"/>
      <c r="E109" s="73"/>
      <c r="F109" s="75">
        <v>60.18</v>
      </c>
      <c r="G109" s="75">
        <v>60.25</v>
      </c>
      <c r="H109" s="75">
        <v>60.08</v>
      </c>
      <c r="I109" s="75">
        <v>60.11</v>
      </c>
      <c r="J109" s="75">
        <v>60.12</v>
      </c>
      <c r="K109" s="75">
        <v>60.1</v>
      </c>
      <c r="L109" s="75">
        <v>60.09</v>
      </c>
      <c r="M109" s="75">
        <v>60.14</v>
      </c>
      <c r="N109" s="75">
        <v>60.1</v>
      </c>
      <c r="O109" s="75">
        <v>60.1</v>
      </c>
      <c r="P109" s="84">
        <v>60.07</v>
      </c>
      <c r="Q109" s="84">
        <v>60.12</v>
      </c>
      <c r="R109" s="84">
        <v>60.16</v>
      </c>
      <c r="S109" s="84">
        <v>60.18</v>
      </c>
      <c r="T109" s="84">
        <v>60.1</v>
      </c>
      <c r="U109" s="75">
        <v>60.17</v>
      </c>
      <c r="V109" s="75">
        <v>60.12</v>
      </c>
      <c r="W109" s="75">
        <v>60.25</v>
      </c>
      <c r="X109" s="75">
        <v>60.17</v>
      </c>
      <c r="Y109" s="75">
        <v>60.21</v>
      </c>
      <c r="Z109" s="75">
        <v>60.22</v>
      </c>
      <c r="AA109" s="75">
        <v>60.21</v>
      </c>
      <c r="AB109" s="75">
        <v>60.25</v>
      </c>
      <c r="AC109" s="75">
        <v>60.24</v>
      </c>
      <c r="AD109" s="26"/>
      <c r="AE109" s="26"/>
    </row>
    <row r="110" spans="1:40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</row>
    <row r="111" spans="1:40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</row>
    <row r="112" spans="1:40" hidden="1" x14ac:dyDescent="0.25">
      <c r="D112" s="7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</row>
    <row r="113" spans="1:40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</row>
    <row r="114" spans="1:40" hidden="1" x14ac:dyDescent="0.25">
      <c r="B114" s="5"/>
      <c r="AC114" s="26"/>
      <c r="AD114" s="26"/>
      <c r="AE114" s="26"/>
    </row>
    <row r="115" spans="1:40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40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40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40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40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40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40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40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40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40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40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60">SUM(G117:G124)</f>
        <v>0</v>
      </c>
      <c r="H125" s="44">
        <f t="shared" si="60"/>
        <v>0</v>
      </c>
      <c r="I125" s="44">
        <f t="shared" si="60"/>
        <v>0</v>
      </c>
      <c r="J125" s="44">
        <f t="shared" si="60"/>
        <v>0</v>
      </c>
      <c r="K125" s="44">
        <f t="shared" si="60"/>
        <v>0</v>
      </c>
      <c r="L125" s="44">
        <f t="shared" si="60"/>
        <v>0</v>
      </c>
      <c r="M125" s="44">
        <f t="shared" si="60"/>
        <v>0</v>
      </c>
      <c r="N125" s="44">
        <f t="shared" si="60"/>
        <v>0</v>
      </c>
      <c r="O125" s="44">
        <f t="shared" si="60"/>
        <v>0</v>
      </c>
      <c r="P125" s="44">
        <f t="shared" si="60"/>
        <v>0</v>
      </c>
      <c r="Q125" s="44">
        <f t="shared" si="60"/>
        <v>0</v>
      </c>
      <c r="R125" s="44">
        <f t="shared" si="60"/>
        <v>0</v>
      </c>
      <c r="S125" s="44">
        <f t="shared" si="60"/>
        <v>0</v>
      </c>
      <c r="T125" s="44">
        <f t="shared" si="60"/>
        <v>0</v>
      </c>
      <c r="U125" s="44">
        <f t="shared" si="60"/>
        <v>0</v>
      </c>
      <c r="V125" s="44">
        <f t="shared" si="60"/>
        <v>0</v>
      </c>
      <c r="W125" s="44">
        <f t="shared" si="60"/>
        <v>0</v>
      </c>
      <c r="X125" s="44">
        <f t="shared" si="60"/>
        <v>0</v>
      </c>
      <c r="Y125" s="44">
        <f t="shared" si="60"/>
        <v>0</v>
      </c>
      <c r="Z125" s="44">
        <f t="shared" si="60"/>
        <v>0</v>
      </c>
      <c r="AA125" s="44">
        <f t="shared" si="60"/>
        <v>0</v>
      </c>
      <c r="AB125" s="44">
        <f t="shared" si="60"/>
        <v>0</v>
      </c>
      <c r="AC125" s="44">
        <f>SUM(AC117:AC124)</f>
        <v>0</v>
      </c>
    </row>
    <row r="126" spans="1:40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40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40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88:C88"/>
    <mergeCell ref="A100:C100"/>
    <mergeCell ref="M8:O8"/>
    <mergeCell ref="M9:O9"/>
    <mergeCell ref="A84:AC84"/>
    <mergeCell ref="A86:C87"/>
    <mergeCell ref="F86:AC86"/>
    <mergeCell ref="A101:C101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15:C116"/>
    <mergeCell ref="F115:AC115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3:AC113"/>
    <mergeCell ref="A123:C123"/>
    <mergeCell ref="A124:C124"/>
    <mergeCell ref="A125:C125"/>
    <mergeCell ref="A117:C117"/>
    <mergeCell ref="A118:C118"/>
    <mergeCell ref="A119:C119"/>
    <mergeCell ref="A120:C120"/>
    <mergeCell ref="A121:C121"/>
    <mergeCell ref="A122:C122"/>
  </mergeCells>
  <conditionalFormatting sqref="G109:AC109">
    <cfRule type="cellIs" dxfId="30295" priority="1015" operator="greaterThan">
      <formula>60.3</formula>
    </cfRule>
  </conditionalFormatting>
  <conditionalFormatting sqref="G53:G55 H20:AC21 H40:I56 H15:J16 J56:L56 H13:K14 G58:L58 H57:L57 H66:AC66 K61:AC61 H61:H63 H67:J72 H74:J74 J15:K15 L13:P15 K16:P16 M56:P58 H77:AC78 J53:P55 H27:AC28 P13:AC16 Q53:AB58 J35:AB52 J24:AC24 AC35:AC58 L62:AC63 K67:AC74">
    <cfRule type="cellIs" dxfId="30294" priority="1007" operator="equal">
      <formula>"PMS"</formula>
    </cfRule>
    <cfRule type="containsText" dxfId="30293" priority="1008" operator="containsText" text="CMS">
      <formula>NOT(ISERROR(SEARCH("CMS",G13)))</formula>
    </cfRule>
    <cfRule type="cellIs" dxfId="30292" priority="1009" operator="equal">
      <formula>0</formula>
    </cfRule>
    <cfRule type="cellIs" dxfId="30291" priority="1010" operator="greaterThan">
      <formula>0</formula>
    </cfRule>
    <cfRule type="cellIs" dxfId="30290" priority="1011" operator="equal">
      <formula>"PMS"</formula>
    </cfRule>
    <cfRule type="containsText" dxfId="30289" priority="1012" operator="containsText" text="CMS">
      <formula>NOT(ISERROR(SEARCH("CMS",G13)))</formula>
    </cfRule>
    <cfRule type="cellIs" dxfId="30288" priority="1013" operator="equal">
      <formula>0</formula>
    </cfRule>
    <cfRule type="cellIs" dxfId="30287" priority="1014" operator="greaterThan">
      <formula>0</formula>
    </cfRule>
  </conditionalFormatting>
  <conditionalFormatting sqref="O77:AC78 O61:AC63 O66:AC74">
    <cfRule type="cellIs" dxfId="30286" priority="1003" operator="equal">
      <formula>"PMS"</formula>
    </cfRule>
    <cfRule type="containsText" dxfId="30285" priority="1004" operator="containsText" text="CMS">
      <formula>NOT(ISERROR(SEARCH("CMS",O61)))</formula>
    </cfRule>
    <cfRule type="cellIs" dxfId="30284" priority="1005" operator="equal">
      <formula>0</formula>
    </cfRule>
    <cfRule type="cellIs" dxfId="30283" priority="1006" operator="greaterThan">
      <formula>0</formula>
    </cfRule>
  </conditionalFormatting>
  <conditionalFormatting sqref="P66:AC74">
    <cfRule type="cellIs" dxfId="30282" priority="999" operator="equal">
      <formula>"PMS"</formula>
    </cfRule>
    <cfRule type="containsText" dxfId="30281" priority="1000" operator="containsText" text="CMS">
      <formula>NOT(ISERROR(SEARCH("CMS",P66)))</formula>
    </cfRule>
    <cfRule type="cellIs" dxfId="30280" priority="1001" operator="equal">
      <formula>0</formula>
    </cfRule>
    <cfRule type="cellIs" dxfId="30279" priority="1002" operator="greaterThan">
      <formula>0</formula>
    </cfRule>
  </conditionalFormatting>
  <conditionalFormatting sqref="O13:AC16">
    <cfRule type="cellIs" dxfId="30278" priority="995" operator="equal">
      <formula>"PMS"</formula>
    </cfRule>
    <cfRule type="containsText" dxfId="30277" priority="996" operator="containsText" text="CMS">
      <formula>NOT(ISERROR(SEARCH("CMS",O13)))</formula>
    </cfRule>
    <cfRule type="cellIs" dxfId="30276" priority="997" operator="equal">
      <formula>0</formula>
    </cfRule>
    <cfRule type="cellIs" dxfId="30275" priority="998" operator="greaterThan">
      <formula>0</formula>
    </cfRule>
  </conditionalFormatting>
  <conditionalFormatting sqref="P13:AC16">
    <cfRule type="cellIs" dxfId="30274" priority="991" operator="equal">
      <formula>"PMS"</formula>
    </cfRule>
    <cfRule type="containsText" dxfId="30273" priority="992" operator="containsText" text="CMS">
      <formula>NOT(ISERROR(SEARCH("CMS",P13)))</formula>
    </cfRule>
    <cfRule type="cellIs" dxfId="30272" priority="993" operator="equal">
      <formula>0</formula>
    </cfRule>
    <cfRule type="cellIs" dxfId="30271" priority="994" operator="greaterThan">
      <formula>0</formula>
    </cfRule>
  </conditionalFormatting>
  <conditionalFormatting sqref="O20:AC21">
    <cfRule type="cellIs" dxfId="30270" priority="987" operator="equal">
      <formula>"PMS"</formula>
    </cfRule>
    <cfRule type="containsText" dxfId="30269" priority="988" operator="containsText" text="CMS">
      <formula>NOT(ISERROR(SEARCH("CMS",O20)))</formula>
    </cfRule>
    <cfRule type="cellIs" dxfId="30268" priority="989" operator="equal">
      <formula>0</formula>
    </cfRule>
    <cfRule type="cellIs" dxfId="30267" priority="990" operator="greaterThan">
      <formula>0</formula>
    </cfRule>
  </conditionalFormatting>
  <conditionalFormatting sqref="P20:AC21">
    <cfRule type="cellIs" dxfId="30266" priority="983" operator="equal">
      <formula>"PMS"</formula>
    </cfRule>
    <cfRule type="containsText" dxfId="30265" priority="984" operator="containsText" text="CMS">
      <formula>NOT(ISERROR(SEARCH("CMS",P20)))</formula>
    </cfRule>
    <cfRule type="cellIs" dxfId="30264" priority="985" operator="equal">
      <formula>0</formula>
    </cfRule>
    <cfRule type="cellIs" dxfId="30263" priority="986" operator="greaterThan">
      <formula>0</formula>
    </cfRule>
  </conditionalFormatting>
  <conditionalFormatting sqref="O24:AC24">
    <cfRule type="cellIs" dxfId="30262" priority="979" operator="equal">
      <formula>"PMS"</formula>
    </cfRule>
    <cfRule type="containsText" dxfId="30261" priority="980" operator="containsText" text="CMS">
      <formula>NOT(ISERROR(SEARCH("CMS",O24)))</formula>
    </cfRule>
    <cfRule type="cellIs" dxfId="30260" priority="981" operator="equal">
      <formula>0</formula>
    </cfRule>
    <cfRule type="cellIs" dxfId="30259" priority="982" operator="greaterThan">
      <formula>0</formula>
    </cfRule>
  </conditionalFormatting>
  <conditionalFormatting sqref="P24:AC24">
    <cfRule type="cellIs" dxfId="30258" priority="975" operator="equal">
      <formula>"PMS"</formula>
    </cfRule>
    <cfRule type="containsText" dxfId="30257" priority="976" operator="containsText" text="CMS">
      <formula>NOT(ISERROR(SEARCH("CMS",P24)))</formula>
    </cfRule>
    <cfRule type="cellIs" dxfId="30256" priority="977" operator="equal">
      <formula>0</formula>
    </cfRule>
    <cfRule type="cellIs" dxfId="30255" priority="978" operator="greaterThan">
      <formula>0</formula>
    </cfRule>
  </conditionalFormatting>
  <conditionalFormatting sqref="O27:AC28">
    <cfRule type="cellIs" dxfId="30254" priority="971" operator="equal">
      <formula>"PMS"</formula>
    </cfRule>
    <cfRule type="containsText" dxfId="30253" priority="972" operator="containsText" text="CMS">
      <formula>NOT(ISERROR(SEARCH("CMS",O27)))</formula>
    </cfRule>
    <cfRule type="cellIs" dxfId="30252" priority="973" operator="equal">
      <formula>0</formula>
    </cfRule>
    <cfRule type="cellIs" dxfId="30251" priority="974" operator="greaterThan">
      <formula>0</formula>
    </cfRule>
  </conditionalFormatting>
  <conditionalFormatting sqref="P27:AC28">
    <cfRule type="cellIs" dxfId="30250" priority="967" operator="equal">
      <formula>"PMS"</formula>
    </cfRule>
    <cfRule type="containsText" dxfId="30249" priority="968" operator="containsText" text="CMS">
      <formula>NOT(ISERROR(SEARCH("CMS",P27)))</formula>
    </cfRule>
    <cfRule type="cellIs" dxfId="30248" priority="969" operator="equal">
      <formula>0</formula>
    </cfRule>
    <cfRule type="cellIs" dxfId="30247" priority="970" operator="greaterThan">
      <formula>0</formula>
    </cfRule>
  </conditionalFormatting>
  <conditionalFormatting sqref="R50:AB52 O53:AB58 O35:AB49 AC35:AC58">
    <cfRule type="cellIs" dxfId="30246" priority="963" operator="equal">
      <formula>"PMS"</formula>
    </cfRule>
    <cfRule type="containsText" dxfId="30245" priority="964" operator="containsText" text="CMS">
      <formula>NOT(ISERROR(SEARCH("CMS",O35)))</formula>
    </cfRule>
    <cfRule type="cellIs" dxfId="30244" priority="965" operator="equal">
      <formula>0</formula>
    </cfRule>
    <cfRule type="cellIs" dxfId="30243" priority="966" operator="greaterThan">
      <formula>0</formula>
    </cfRule>
  </conditionalFormatting>
  <conditionalFormatting sqref="O38:O43 O45:O49 R50:AB52 O53:AB58 P35:AB49 AC35:AC58">
    <cfRule type="cellIs" dxfId="30242" priority="959" operator="equal">
      <formula>"PMS"</formula>
    </cfRule>
    <cfRule type="containsText" dxfId="30241" priority="960" operator="containsText" text="CMS">
      <formula>NOT(ISERROR(SEARCH("CMS",O35)))</formula>
    </cfRule>
    <cfRule type="cellIs" dxfId="30240" priority="961" operator="equal">
      <formula>0</formula>
    </cfRule>
    <cfRule type="cellIs" dxfId="30239" priority="962" operator="greaterThan">
      <formula>0</formula>
    </cfRule>
  </conditionalFormatting>
  <conditionalFormatting sqref="V13:AC13 V14:X16 Z14:AA16">
    <cfRule type="cellIs" dxfId="30238" priority="955" operator="equal">
      <formula>"PMS"</formula>
    </cfRule>
    <cfRule type="containsText" dxfId="30237" priority="956" operator="containsText" text="CMS">
      <formula>NOT(ISERROR(SEARCH("CMS",V13)))</formula>
    </cfRule>
    <cfRule type="cellIs" dxfId="30236" priority="957" operator="equal">
      <formula>0</formula>
    </cfRule>
    <cfRule type="cellIs" dxfId="30235" priority="958" operator="greaterThan">
      <formula>0</formula>
    </cfRule>
  </conditionalFormatting>
  <conditionalFormatting sqref="V13:AC13 V14:X16 Z14:AA16">
    <cfRule type="cellIs" dxfId="30234" priority="951" operator="equal">
      <formula>"PMS"</formula>
    </cfRule>
    <cfRule type="containsText" dxfId="30233" priority="952" operator="containsText" text="CMS">
      <formula>NOT(ISERROR(SEARCH("CMS",V13)))</formula>
    </cfRule>
    <cfRule type="cellIs" dxfId="30232" priority="953" operator="equal">
      <formula>0</formula>
    </cfRule>
    <cfRule type="cellIs" dxfId="30231" priority="954" operator="greaterThan">
      <formula>0</formula>
    </cfRule>
  </conditionalFormatting>
  <conditionalFormatting sqref="X57:AC57">
    <cfRule type="cellIs" dxfId="30230" priority="947" operator="equal">
      <formula>"PMS"</formula>
    </cfRule>
    <cfRule type="containsText" dxfId="30229" priority="948" operator="containsText" text="CMS">
      <formula>NOT(ISERROR(SEARCH("CMS",X57)))</formula>
    </cfRule>
    <cfRule type="cellIs" dxfId="30228" priority="949" operator="equal">
      <formula>0</formula>
    </cfRule>
    <cfRule type="cellIs" dxfId="30227" priority="950" operator="greaterThan">
      <formula>0</formula>
    </cfRule>
  </conditionalFormatting>
  <conditionalFormatting sqref="X57:AC57">
    <cfRule type="cellIs" dxfId="30226" priority="943" operator="equal">
      <formula>"PMS"</formula>
    </cfRule>
    <cfRule type="containsText" dxfId="30225" priority="944" operator="containsText" text="CMS">
      <formula>NOT(ISERROR(SEARCH("CMS",X57)))</formula>
    </cfRule>
    <cfRule type="cellIs" dxfId="30224" priority="945" operator="equal">
      <formula>0</formula>
    </cfRule>
    <cfRule type="cellIs" dxfId="30223" priority="946" operator="greaterThan">
      <formula>0</formula>
    </cfRule>
  </conditionalFormatting>
  <conditionalFormatting sqref="X57:AC57">
    <cfRule type="cellIs" dxfId="30222" priority="939" operator="equal">
      <formula>"PMS"</formula>
    </cfRule>
    <cfRule type="containsText" dxfId="30221" priority="940" operator="containsText" text="CMS">
      <formula>NOT(ISERROR(SEARCH("CMS",X57)))</formula>
    </cfRule>
    <cfRule type="cellIs" dxfId="30220" priority="941" operator="equal">
      <formula>0</formula>
    </cfRule>
    <cfRule type="cellIs" dxfId="30219" priority="942" operator="greaterThan">
      <formula>0</formula>
    </cfRule>
  </conditionalFormatting>
  <conditionalFormatting sqref="X57:AC57">
    <cfRule type="cellIs" dxfId="30218" priority="935" operator="equal">
      <formula>"PMS"</formula>
    </cfRule>
    <cfRule type="containsText" dxfId="30217" priority="936" operator="containsText" text="CMS">
      <formula>NOT(ISERROR(SEARCH("CMS",X57)))</formula>
    </cfRule>
    <cfRule type="cellIs" dxfId="30216" priority="937" operator="equal">
      <formula>0</formula>
    </cfRule>
    <cfRule type="cellIs" dxfId="30215" priority="938" operator="greaterThan">
      <formula>0</formula>
    </cfRule>
  </conditionalFormatting>
  <conditionalFormatting sqref="AB58:AC58">
    <cfRule type="cellIs" dxfId="30214" priority="931" operator="equal">
      <formula>"PMS"</formula>
    </cfRule>
    <cfRule type="containsText" dxfId="30213" priority="932" operator="containsText" text="CMS">
      <formula>NOT(ISERROR(SEARCH("CMS",AB58)))</formula>
    </cfRule>
    <cfRule type="cellIs" dxfId="30212" priority="933" operator="equal">
      <formula>0</formula>
    </cfRule>
    <cfRule type="cellIs" dxfId="30211" priority="934" operator="greaterThan">
      <formula>0</formula>
    </cfRule>
  </conditionalFormatting>
  <conditionalFormatting sqref="AB58:AC58">
    <cfRule type="cellIs" dxfId="30210" priority="927" operator="equal">
      <formula>"PMS"</formula>
    </cfRule>
    <cfRule type="containsText" dxfId="30209" priority="928" operator="containsText" text="CMS">
      <formula>NOT(ISERROR(SEARCH("CMS",AB58)))</formula>
    </cfRule>
    <cfRule type="cellIs" dxfId="30208" priority="929" operator="equal">
      <formula>0</formula>
    </cfRule>
    <cfRule type="cellIs" dxfId="30207" priority="930" operator="greaterThan">
      <formula>0</formula>
    </cfRule>
  </conditionalFormatting>
  <conditionalFormatting sqref="AB58:AC58">
    <cfRule type="cellIs" dxfId="30206" priority="923" operator="equal">
      <formula>"PMS"</formula>
    </cfRule>
    <cfRule type="containsText" dxfId="30205" priority="924" operator="containsText" text="CMS">
      <formula>NOT(ISERROR(SEARCH("CMS",AB58)))</formula>
    </cfRule>
    <cfRule type="cellIs" dxfId="30204" priority="925" operator="equal">
      <formula>0</formula>
    </cfRule>
    <cfRule type="cellIs" dxfId="30203" priority="926" operator="greaterThan">
      <formula>0</formula>
    </cfRule>
  </conditionalFormatting>
  <conditionalFormatting sqref="AB58:AC58">
    <cfRule type="cellIs" dxfId="30202" priority="919" operator="equal">
      <formula>"PMS"</formula>
    </cfRule>
    <cfRule type="containsText" dxfId="30201" priority="920" operator="containsText" text="CMS">
      <formula>NOT(ISERROR(SEARCH("CMS",AB58)))</formula>
    </cfRule>
    <cfRule type="cellIs" dxfId="30200" priority="921" operator="equal">
      <formula>0</formula>
    </cfRule>
    <cfRule type="cellIs" dxfId="30199" priority="922" operator="greaterThan">
      <formula>0</formula>
    </cfRule>
  </conditionalFormatting>
  <conditionalFormatting sqref="AB78">
    <cfRule type="cellIs" dxfId="30198" priority="915" operator="equal">
      <formula>"PMS"</formula>
    </cfRule>
    <cfRule type="containsText" dxfId="30197" priority="916" operator="containsText" text="CMS">
      <formula>NOT(ISERROR(SEARCH("CMS",AB78)))</formula>
    </cfRule>
    <cfRule type="cellIs" dxfId="30196" priority="917" operator="equal">
      <formula>0</formula>
    </cfRule>
    <cfRule type="cellIs" dxfId="30195" priority="918" operator="greaterThan">
      <formula>0</formula>
    </cfRule>
  </conditionalFormatting>
  <conditionalFormatting sqref="AB78">
    <cfRule type="cellIs" dxfId="30194" priority="911" operator="equal">
      <formula>"PMS"</formula>
    </cfRule>
    <cfRule type="containsText" dxfId="30193" priority="912" operator="containsText" text="CMS">
      <formula>NOT(ISERROR(SEARCH("CMS",AB78)))</formula>
    </cfRule>
    <cfRule type="cellIs" dxfId="30192" priority="913" operator="equal">
      <formula>0</formula>
    </cfRule>
    <cfRule type="cellIs" dxfId="30191" priority="914" operator="greaterThan">
      <formula>0</formula>
    </cfRule>
  </conditionalFormatting>
  <conditionalFormatting sqref="O44:O49">
    <cfRule type="cellIs" dxfId="30190" priority="907" operator="equal">
      <formula>"PMS"</formula>
    </cfRule>
    <cfRule type="containsText" dxfId="30189" priority="908" operator="containsText" text="CMS">
      <formula>NOT(ISERROR(SEARCH("CMS",O44)))</formula>
    </cfRule>
    <cfRule type="cellIs" dxfId="30188" priority="909" operator="equal">
      <formula>0</formula>
    </cfRule>
    <cfRule type="cellIs" dxfId="30187" priority="910" operator="greaterThan">
      <formula>0</formula>
    </cfRule>
  </conditionalFormatting>
  <conditionalFormatting sqref="O55:O56">
    <cfRule type="cellIs" dxfId="30186" priority="903" operator="equal">
      <formula>"PMS"</formula>
    </cfRule>
    <cfRule type="containsText" dxfId="30185" priority="904" operator="containsText" text="CMS">
      <formula>NOT(ISERROR(SEARCH("CMS",O55)))</formula>
    </cfRule>
    <cfRule type="cellIs" dxfId="30184" priority="905" operator="equal">
      <formula>0</formula>
    </cfRule>
    <cfRule type="cellIs" dxfId="30183" priority="906" operator="greaterThan">
      <formula>0</formula>
    </cfRule>
  </conditionalFormatting>
  <conditionalFormatting sqref="O49">
    <cfRule type="cellIs" dxfId="30182" priority="899" operator="equal">
      <formula>"PMS"</formula>
    </cfRule>
    <cfRule type="containsText" dxfId="30181" priority="900" operator="containsText" text="CMS">
      <formula>NOT(ISERROR(SEARCH("CMS",O49)))</formula>
    </cfRule>
    <cfRule type="cellIs" dxfId="30180" priority="901" operator="equal">
      <formula>0</formula>
    </cfRule>
    <cfRule type="cellIs" dxfId="30179" priority="902" operator="greaterThan">
      <formula>0</formula>
    </cfRule>
  </conditionalFormatting>
  <conditionalFormatting sqref="O55:O57">
    <cfRule type="cellIs" dxfId="30178" priority="895" operator="equal">
      <formula>"PMS"</formula>
    </cfRule>
    <cfRule type="containsText" dxfId="30177" priority="896" operator="containsText" text="CMS">
      <formula>NOT(ISERROR(SEARCH("CMS",O55)))</formula>
    </cfRule>
    <cfRule type="cellIs" dxfId="30176" priority="897" operator="equal">
      <formula>0</formula>
    </cfRule>
    <cfRule type="cellIs" dxfId="30175" priority="898" operator="greaterThan">
      <formula>0</formula>
    </cfRule>
  </conditionalFormatting>
  <conditionalFormatting sqref="Q24:V24">
    <cfRule type="cellIs" dxfId="30174" priority="891" operator="equal">
      <formula>"PMS"</formula>
    </cfRule>
    <cfRule type="containsText" dxfId="30173" priority="892" operator="containsText" text="CMS">
      <formula>NOT(ISERROR(SEARCH("CMS",Q24)))</formula>
    </cfRule>
    <cfRule type="cellIs" dxfId="30172" priority="893" operator="equal">
      <formula>0</formula>
    </cfRule>
    <cfRule type="cellIs" dxfId="30171" priority="894" operator="greaterThan">
      <formula>0</formula>
    </cfRule>
  </conditionalFormatting>
  <conditionalFormatting sqref="Q24:V24">
    <cfRule type="cellIs" dxfId="30170" priority="887" operator="equal">
      <formula>"PMS"</formula>
    </cfRule>
    <cfRule type="containsText" dxfId="30169" priority="888" operator="containsText" text="CMS">
      <formula>NOT(ISERROR(SEARCH("CMS",Q24)))</formula>
    </cfRule>
    <cfRule type="cellIs" dxfId="30168" priority="889" operator="equal">
      <formula>0</formula>
    </cfRule>
    <cfRule type="cellIs" dxfId="30167" priority="890" operator="greaterThan">
      <formula>0</formula>
    </cfRule>
  </conditionalFormatting>
  <conditionalFormatting sqref="Q27:V28">
    <cfRule type="cellIs" dxfId="30166" priority="883" operator="equal">
      <formula>"PMS"</formula>
    </cfRule>
    <cfRule type="containsText" dxfId="30165" priority="884" operator="containsText" text="CMS">
      <formula>NOT(ISERROR(SEARCH("CMS",Q27)))</formula>
    </cfRule>
    <cfRule type="cellIs" dxfId="30164" priority="885" operator="equal">
      <formula>0</formula>
    </cfRule>
    <cfRule type="cellIs" dxfId="30163" priority="886" operator="greaterThan">
      <formula>0</formula>
    </cfRule>
  </conditionalFormatting>
  <conditionalFormatting sqref="Q27:V28">
    <cfRule type="cellIs" dxfId="30162" priority="879" operator="equal">
      <formula>"PMS"</formula>
    </cfRule>
    <cfRule type="containsText" dxfId="30161" priority="880" operator="containsText" text="CMS">
      <formula>NOT(ISERROR(SEARCH("CMS",Q27)))</formula>
    </cfRule>
    <cfRule type="cellIs" dxfId="30160" priority="881" operator="equal">
      <formula>0</formula>
    </cfRule>
    <cfRule type="cellIs" dxfId="30159" priority="882" operator="greaterThan">
      <formula>0</formula>
    </cfRule>
  </conditionalFormatting>
  <conditionalFormatting sqref="R27:V28">
    <cfRule type="cellIs" dxfId="30158" priority="875" operator="equal">
      <formula>"PMS"</formula>
    </cfRule>
    <cfRule type="containsText" dxfId="30157" priority="876" operator="containsText" text="CMS">
      <formula>NOT(ISERROR(SEARCH("CMS",R27)))</formula>
    </cfRule>
    <cfRule type="cellIs" dxfId="30156" priority="877" operator="equal">
      <formula>0</formula>
    </cfRule>
    <cfRule type="cellIs" dxfId="30155" priority="878" operator="greaterThan">
      <formula>0</formula>
    </cfRule>
  </conditionalFormatting>
  <conditionalFormatting sqref="R27:V28">
    <cfRule type="cellIs" dxfId="30154" priority="871" operator="equal">
      <formula>"PMS"</formula>
    </cfRule>
    <cfRule type="containsText" dxfId="30153" priority="872" operator="containsText" text="CMS">
      <formula>NOT(ISERROR(SEARCH("CMS",R27)))</formula>
    </cfRule>
    <cfRule type="cellIs" dxfId="30152" priority="873" operator="equal">
      <formula>0</formula>
    </cfRule>
    <cfRule type="cellIs" dxfId="30151" priority="874" operator="greaterThan">
      <formula>0</formula>
    </cfRule>
  </conditionalFormatting>
  <conditionalFormatting sqref="O55:O56">
    <cfRule type="cellIs" dxfId="30150" priority="867" operator="equal">
      <formula>"PMS"</formula>
    </cfRule>
    <cfRule type="containsText" dxfId="30149" priority="868" operator="containsText" text="CMS">
      <formula>NOT(ISERROR(SEARCH("CMS",O55)))</formula>
    </cfRule>
    <cfRule type="cellIs" dxfId="30148" priority="869" operator="equal">
      <formula>0</formula>
    </cfRule>
    <cfRule type="cellIs" dxfId="30147" priority="870" operator="greaterThan">
      <formula>0</formula>
    </cfRule>
  </conditionalFormatting>
  <conditionalFormatting sqref="O45">
    <cfRule type="cellIs" dxfId="30146" priority="863" operator="equal">
      <formula>"PMS"</formula>
    </cfRule>
    <cfRule type="containsText" dxfId="30145" priority="864" operator="containsText" text="CMS">
      <formula>NOT(ISERROR(SEARCH("CMS",O45)))</formula>
    </cfRule>
    <cfRule type="cellIs" dxfId="30144" priority="865" operator="equal">
      <formula>0</formula>
    </cfRule>
    <cfRule type="cellIs" dxfId="30143" priority="866" operator="greaterThan">
      <formula>0</formula>
    </cfRule>
  </conditionalFormatting>
  <conditionalFormatting sqref="O45">
    <cfRule type="cellIs" dxfId="30142" priority="859" operator="equal">
      <formula>"PMS"</formula>
    </cfRule>
    <cfRule type="containsText" dxfId="30141" priority="860" operator="containsText" text="CMS">
      <formula>NOT(ISERROR(SEARCH("CMS",O45)))</formula>
    </cfRule>
    <cfRule type="cellIs" dxfId="30140" priority="861" operator="equal">
      <formula>0</formula>
    </cfRule>
    <cfRule type="cellIs" dxfId="30139" priority="862" operator="greaterThan">
      <formula>0</formula>
    </cfRule>
  </conditionalFormatting>
  <conditionalFormatting sqref="O45">
    <cfRule type="cellIs" dxfId="30138" priority="855" operator="equal">
      <formula>"PMS"</formula>
    </cfRule>
    <cfRule type="containsText" dxfId="30137" priority="856" operator="containsText" text="CMS">
      <formula>NOT(ISERROR(SEARCH("CMS",O45)))</formula>
    </cfRule>
    <cfRule type="cellIs" dxfId="30136" priority="857" operator="equal">
      <formula>0</formula>
    </cfRule>
    <cfRule type="cellIs" dxfId="30135" priority="858" operator="greaterThan">
      <formula>0</formula>
    </cfRule>
  </conditionalFormatting>
  <conditionalFormatting sqref="O46">
    <cfRule type="cellIs" dxfId="30134" priority="851" operator="equal">
      <formula>"PMS"</formula>
    </cfRule>
    <cfRule type="containsText" dxfId="30133" priority="852" operator="containsText" text="CMS">
      <formula>NOT(ISERROR(SEARCH("CMS",O46)))</formula>
    </cfRule>
    <cfRule type="cellIs" dxfId="30132" priority="853" operator="equal">
      <formula>0</formula>
    </cfRule>
    <cfRule type="cellIs" dxfId="30131" priority="854" operator="greaterThan">
      <formula>0</formula>
    </cfRule>
  </conditionalFormatting>
  <conditionalFormatting sqref="O46">
    <cfRule type="cellIs" dxfId="30130" priority="847" operator="equal">
      <formula>"PMS"</formula>
    </cfRule>
    <cfRule type="containsText" dxfId="30129" priority="848" operator="containsText" text="CMS">
      <formula>NOT(ISERROR(SEARCH("CMS",O46)))</formula>
    </cfRule>
    <cfRule type="cellIs" dxfId="30128" priority="849" operator="equal">
      <formula>0</formula>
    </cfRule>
    <cfRule type="cellIs" dxfId="30127" priority="850" operator="greaterThan">
      <formula>0</formula>
    </cfRule>
  </conditionalFormatting>
  <conditionalFormatting sqref="O46">
    <cfRule type="cellIs" dxfId="30126" priority="843" operator="equal">
      <formula>"PMS"</formula>
    </cfRule>
    <cfRule type="containsText" dxfId="30125" priority="844" operator="containsText" text="CMS">
      <formula>NOT(ISERROR(SEARCH("CMS",O46)))</formula>
    </cfRule>
    <cfRule type="cellIs" dxfId="30124" priority="845" operator="equal">
      <formula>0</formula>
    </cfRule>
    <cfRule type="cellIs" dxfId="30123" priority="846" operator="greaterThan">
      <formula>0</formula>
    </cfRule>
  </conditionalFormatting>
  <conditionalFormatting sqref="J19:AC19">
    <cfRule type="cellIs" dxfId="30122" priority="839" operator="equal">
      <formula>"CMS"</formula>
    </cfRule>
    <cfRule type="cellIs" dxfId="30121" priority="840" operator="equal">
      <formula>"PMS"</formula>
    </cfRule>
    <cfRule type="cellIs" dxfId="30120" priority="841" operator="greaterThan">
      <formula>0</formula>
    </cfRule>
    <cfRule type="cellIs" dxfId="30119" priority="842" operator="equal">
      <formula>0</formula>
    </cfRule>
  </conditionalFormatting>
  <conditionalFormatting sqref="G61:G62">
    <cfRule type="cellIs" dxfId="30118" priority="835" operator="equal">
      <formula>"CMS"</formula>
    </cfRule>
    <cfRule type="cellIs" dxfId="30117" priority="836" operator="equal">
      <formula>"PMS"</formula>
    </cfRule>
    <cfRule type="cellIs" dxfId="30116" priority="837" operator="greaterThan">
      <formula>0</formula>
    </cfRule>
    <cfRule type="cellIs" dxfId="30115" priority="838" operator="equal">
      <formula>0</formula>
    </cfRule>
  </conditionalFormatting>
  <conditionalFormatting sqref="G77:G78">
    <cfRule type="cellIs" dxfId="30114" priority="830" operator="equal">
      <formula>"EOC"</formula>
    </cfRule>
    <cfRule type="cellIs" dxfId="30113" priority="831" operator="equal">
      <formula>"CMS"</formula>
    </cfRule>
    <cfRule type="cellIs" dxfId="30112" priority="832" operator="equal">
      <formula>"PMS"</formula>
    </cfRule>
    <cfRule type="cellIs" dxfId="30111" priority="833" operator="greaterThan">
      <formula>0</formula>
    </cfRule>
    <cfRule type="cellIs" dxfId="30110" priority="834" operator="equal">
      <formula>0</formula>
    </cfRule>
  </conditionalFormatting>
  <conditionalFormatting sqref="F109">
    <cfRule type="cellIs" dxfId="30109" priority="829" operator="greaterThan">
      <formula>60.3</formula>
    </cfRule>
  </conditionalFormatting>
  <conditionalFormatting sqref="G36:G44 G50:G52 G47">
    <cfRule type="cellIs" dxfId="30108" priority="821" operator="equal">
      <formula>"PMS"</formula>
    </cfRule>
    <cfRule type="containsText" dxfId="30107" priority="822" operator="containsText" text="CMS">
      <formula>NOT(ISERROR(SEARCH("CMS",G36)))</formula>
    </cfRule>
    <cfRule type="cellIs" dxfId="30106" priority="823" operator="equal">
      <formula>0</formula>
    </cfRule>
    <cfRule type="cellIs" dxfId="30105" priority="824" operator="greaterThan">
      <formula>0</formula>
    </cfRule>
    <cfRule type="cellIs" dxfId="30104" priority="825" operator="equal">
      <formula>"PMS"</formula>
    </cfRule>
    <cfRule type="containsText" dxfId="30103" priority="826" operator="containsText" text="CMS">
      <formula>NOT(ISERROR(SEARCH("CMS",G36)))</formula>
    </cfRule>
    <cfRule type="cellIs" dxfId="30102" priority="827" operator="equal">
      <formula>0</formula>
    </cfRule>
    <cfRule type="cellIs" dxfId="30101" priority="828" operator="greaterThan">
      <formula>0</formula>
    </cfRule>
  </conditionalFormatting>
  <conditionalFormatting sqref="G36:G44 G50:G52 G47">
    <cfRule type="cellIs" dxfId="30100" priority="817" operator="equal">
      <formula>"PMS"</formula>
    </cfRule>
    <cfRule type="containsText" dxfId="30099" priority="818" operator="containsText" text="CMS">
      <formula>NOT(ISERROR(SEARCH("CMS",G36)))</formula>
    </cfRule>
    <cfRule type="cellIs" dxfId="30098" priority="819" operator="equal">
      <formula>0</formula>
    </cfRule>
    <cfRule type="cellIs" dxfId="30097" priority="820" operator="greaterThan">
      <formula>0</formula>
    </cfRule>
  </conditionalFormatting>
  <conditionalFormatting sqref="G36:G44 G50:G52 G47">
    <cfRule type="cellIs" dxfId="30096" priority="813" operator="equal">
      <formula>"PMS"</formula>
    </cfRule>
    <cfRule type="containsText" dxfId="30095" priority="814" operator="containsText" text="CMS">
      <formula>NOT(ISERROR(SEARCH("CMS",G36)))</formula>
    </cfRule>
    <cfRule type="cellIs" dxfId="30094" priority="815" operator="equal">
      <formula>0</formula>
    </cfRule>
    <cfRule type="cellIs" dxfId="30093" priority="816" operator="greaterThan">
      <formula>0</formula>
    </cfRule>
  </conditionalFormatting>
  <conditionalFormatting sqref="H36:H39">
    <cfRule type="cellIs" dxfId="30092" priority="805" operator="equal">
      <formula>"PMS"</formula>
    </cfRule>
    <cfRule type="containsText" dxfId="30091" priority="806" operator="containsText" text="CMS">
      <formula>NOT(ISERROR(SEARCH("CMS",H36)))</formula>
    </cfRule>
    <cfRule type="cellIs" dxfId="30090" priority="807" operator="equal">
      <formula>0</formula>
    </cfRule>
    <cfRule type="cellIs" dxfId="30089" priority="808" operator="greaterThan">
      <formula>0</formula>
    </cfRule>
    <cfRule type="cellIs" dxfId="30088" priority="809" operator="equal">
      <formula>"PMS"</formula>
    </cfRule>
    <cfRule type="containsText" dxfId="30087" priority="810" operator="containsText" text="CMS">
      <formula>NOT(ISERROR(SEARCH("CMS",H36)))</formula>
    </cfRule>
    <cfRule type="cellIs" dxfId="30086" priority="811" operator="equal">
      <formula>0</formula>
    </cfRule>
    <cfRule type="cellIs" dxfId="30085" priority="812" operator="greaterThan">
      <formula>0</formula>
    </cfRule>
  </conditionalFormatting>
  <conditionalFormatting sqref="H36:H39">
    <cfRule type="cellIs" dxfId="30084" priority="801" operator="equal">
      <formula>"PMS"</formula>
    </cfRule>
    <cfRule type="containsText" dxfId="30083" priority="802" operator="containsText" text="CMS">
      <formula>NOT(ISERROR(SEARCH("CMS",H36)))</formula>
    </cfRule>
    <cfRule type="cellIs" dxfId="30082" priority="803" operator="equal">
      <formula>0</formula>
    </cfRule>
    <cfRule type="cellIs" dxfId="30081" priority="804" operator="greaterThan">
      <formula>0</formula>
    </cfRule>
  </conditionalFormatting>
  <conditionalFormatting sqref="H36:H39">
    <cfRule type="cellIs" dxfId="30080" priority="797" operator="equal">
      <formula>"PMS"</formula>
    </cfRule>
    <cfRule type="containsText" dxfId="30079" priority="798" operator="containsText" text="CMS">
      <formula>NOT(ISERROR(SEARCH("CMS",H36)))</formula>
    </cfRule>
    <cfRule type="cellIs" dxfId="30078" priority="799" operator="equal">
      <formula>0</formula>
    </cfRule>
    <cfRule type="cellIs" dxfId="30077" priority="800" operator="greaterThan">
      <formula>0</formula>
    </cfRule>
  </conditionalFormatting>
  <conditionalFormatting sqref="I36:I39">
    <cfRule type="cellIs" dxfId="30076" priority="789" operator="equal">
      <formula>"PMS"</formula>
    </cfRule>
    <cfRule type="containsText" dxfId="30075" priority="790" operator="containsText" text="CMS">
      <formula>NOT(ISERROR(SEARCH("CMS",I36)))</formula>
    </cfRule>
    <cfRule type="cellIs" dxfId="30074" priority="791" operator="equal">
      <formula>0</formula>
    </cfRule>
    <cfRule type="cellIs" dxfId="30073" priority="792" operator="greaterThan">
      <formula>0</formula>
    </cfRule>
    <cfRule type="cellIs" dxfId="30072" priority="793" operator="equal">
      <formula>"PMS"</formula>
    </cfRule>
    <cfRule type="containsText" dxfId="30071" priority="794" operator="containsText" text="CMS">
      <formula>NOT(ISERROR(SEARCH("CMS",I36)))</formula>
    </cfRule>
    <cfRule type="cellIs" dxfId="30070" priority="795" operator="equal">
      <formula>0</formula>
    </cfRule>
    <cfRule type="cellIs" dxfId="30069" priority="796" operator="greaterThan">
      <formula>0</formula>
    </cfRule>
  </conditionalFormatting>
  <conditionalFormatting sqref="I36:I39">
    <cfRule type="cellIs" dxfId="30068" priority="785" operator="equal">
      <formula>"PMS"</formula>
    </cfRule>
    <cfRule type="containsText" dxfId="30067" priority="786" operator="containsText" text="CMS">
      <formula>NOT(ISERROR(SEARCH("CMS",I36)))</formula>
    </cfRule>
    <cfRule type="cellIs" dxfId="30066" priority="787" operator="equal">
      <formula>0</formula>
    </cfRule>
    <cfRule type="cellIs" dxfId="30065" priority="788" operator="greaterThan">
      <formula>0</formula>
    </cfRule>
  </conditionalFormatting>
  <conditionalFormatting sqref="I36:I39">
    <cfRule type="cellIs" dxfId="30064" priority="781" operator="equal">
      <formula>"PMS"</formula>
    </cfRule>
    <cfRule type="containsText" dxfId="30063" priority="782" operator="containsText" text="CMS">
      <formula>NOT(ISERROR(SEARCH("CMS",I36)))</formula>
    </cfRule>
    <cfRule type="cellIs" dxfId="30062" priority="783" operator="equal">
      <formula>0</formula>
    </cfRule>
    <cfRule type="cellIs" dxfId="30061" priority="784" operator="greaterThan">
      <formula>0</formula>
    </cfRule>
  </conditionalFormatting>
  <conditionalFormatting sqref="O49">
    <cfRule type="cellIs" dxfId="30060" priority="777" operator="equal">
      <formula>"PMS"</formula>
    </cfRule>
    <cfRule type="containsText" dxfId="30059" priority="778" operator="containsText" text="CMS">
      <formula>NOT(ISERROR(SEARCH("CMS",O49)))</formula>
    </cfRule>
    <cfRule type="cellIs" dxfId="30058" priority="779" operator="equal">
      <formula>0</formula>
    </cfRule>
    <cfRule type="cellIs" dxfId="30057" priority="780" operator="greaterThan">
      <formula>0</formula>
    </cfRule>
  </conditionalFormatting>
  <conditionalFormatting sqref="O55:O56">
    <cfRule type="cellIs" dxfId="30056" priority="773" operator="equal">
      <formula>"PMS"</formula>
    </cfRule>
    <cfRule type="containsText" dxfId="30055" priority="774" operator="containsText" text="CMS">
      <formula>NOT(ISERROR(SEARCH("CMS",O55)))</formula>
    </cfRule>
    <cfRule type="cellIs" dxfId="30054" priority="775" operator="equal">
      <formula>0</formula>
    </cfRule>
    <cfRule type="cellIs" dxfId="30053" priority="776" operator="greaterThan">
      <formula>0</formula>
    </cfRule>
  </conditionalFormatting>
  <conditionalFormatting sqref="O57:P57">
    <cfRule type="cellIs" dxfId="30052" priority="769" operator="equal">
      <formula>"PMS"</formula>
    </cfRule>
    <cfRule type="containsText" dxfId="30051" priority="770" operator="containsText" text="CMS">
      <formula>NOT(ISERROR(SEARCH("CMS",O57)))</formula>
    </cfRule>
    <cfRule type="cellIs" dxfId="30050" priority="771" operator="equal">
      <formula>0</formula>
    </cfRule>
    <cfRule type="cellIs" dxfId="30049" priority="772" operator="greaterThan">
      <formula>0</formula>
    </cfRule>
  </conditionalFormatting>
  <conditionalFormatting sqref="O49">
    <cfRule type="cellIs" dxfId="30048" priority="765" operator="equal">
      <formula>"PMS"</formula>
    </cfRule>
    <cfRule type="containsText" dxfId="30047" priority="766" operator="containsText" text="CMS">
      <formula>NOT(ISERROR(SEARCH("CMS",O49)))</formula>
    </cfRule>
    <cfRule type="cellIs" dxfId="30046" priority="767" operator="equal">
      <formula>0</formula>
    </cfRule>
    <cfRule type="cellIs" dxfId="30045" priority="768" operator="greaterThan">
      <formula>0</formula>
    </cfRule>
  </conditionalFormatting>
  <conditionalFormatting sqref="O55:O57">
    <cfRule type="cellIs" dxfId="30044" priority="761" operator="equal">
      <formula>"PMS"</formula>
    </cfRule>
    <cfRule type="containsText" dxfId="30043" priority="762" operator="containsText" text="CMS">
      <formula>NOT(ISERROR(SEARCH("CMS",O55)))</formula>
    </cfRule>
    <cfRule type="cellIs" dxfId="30042" priority="763" operator="equal">
      <formula>0</formula>
    </cfRule>
    <cfRule type="cellIs" dxfId="30041" priority="764" operator="greaterThan">
      <formula>0</formula>
    </cfRule>
  </conditionalFormatting>
  <conditionalFormatting sqref="O49">
    <cfRule type="cellIs" dxfId="30040" priority="757" operator="equal">
      <formula>"PMS"</formula>
    </cfRule>
    <cfRule type="containsText" dxfId="30039" priority="758" operator="containsText" text="CMS">
      <formula>NOT(ISERROR(SEARCH("CMS",O49)))</formula>
    </cfRule>
    <cfRule type="cellIs" dxfId="30038" priority="759" operator="equal">
      <formula>0</formula>
    </cfRule>
    <cfRule type="cellIs" dxfId="30037" priority="760" operator="greaterThan">
      <formula>0</formula>
    </cfRule>
  </conditionalFormatting>
  <conditionalFormatting sqref="O55:O57">
    <cfRule type="cellIs" dxfId="30036" priority="753" operator="equal">
      <formula>"PMS"</formula>
    </cfRule>
    <cfRule type="containsText" dxfId="30035" priority="754" operator="containsText" text="CMS">
      <formula>NOT(ISERROR(SEARCH("CMS",O55)))</formula>
    </cfRule>
    <cfRule type="cellIs" dxfId="30034" priority="755" operator="equal">
      <formula>0</formula>
    </cfRule>
    <cfRule type="cellIs" dxfId="30033" priority="756" operator="greaterThan">
      <formula>0</formula>
    </cfRule>
  </conditionalFormatting>
  <conditionalFormatting sqref="V14:V16">
    <cfRule type="cellIs" dxfId="30032" priority="749" operator="equal">
      <formula>"PMS"</formula>
    </cfRule>
    <cfRule type="containsText" dxfId="30031" priority="750" operator="containsText" text="CMS">
      <formula>NOT(ISERROR(SEARCH("CMS",V14)))</formula>
    </cfRule>
    <cfRule type="cellIs" dxfId="30030" priority="751" operator="equal">
      <formula>0</formula>
    </cfRule>
    <cfRule type="cellIs" dxfId="30029" priority="752" operator="greaterThan">
      <formula>0</formula>
    </cfRule>
  </conditionalFormatting>
  <conditionalFormatting sqref="V14:V16">
    <cfRule type="cellIs" dxfId="30028" priority="745" operator="equal">
      <formula>"PMS"</formula>
    </cfRule>
    <cfRule type="containsText" dxfId="30027" priority="746" operator="containsText" text="CMS">
      <formula>NOT(ISERROR(SEARCH("CMS",V14)))</formula>
    </cfRule>
    <cfRule type="cellIs" dxfId="30026" priority="747" operator="equal">
      <formula>0</formula>
    </cfRule>
    <cfRule type="cellIs" dxfId="30025" priority="748" operator="greaterThan">
      <formula>0</formula>
    </cfRule>
  </conditionalFormatting>
  <conditionalFormatting sqref="W14:W16">
    <cfRule type="cellIs" dxfId="30024" priority="741" operator="equal">
      <formula>"PMS"</formula>
    </cfRule>
    <cfRule type="containsText" dxfId="30023" priority="742" operator="containsText" text="CMS">
      <formula>NOT(ISERROR(SEARCH("CMS",W14)))</formula>
    </cfRule>
    <cfRule type="cellIs" dxfId="30022" priority="743" operator="equal">
      <formula>0</formula>
    </cfRule>
    <cfRule type="cellIs" dxfId="30021" priority="744" operator="greaterThan">
      <formula>0</formula>
    </cfRule>
  </conditionalFormatting>
  <conditionalFormatting sqref="W14:W16">
    <cfRule type="cellIs" dxfId="30020" priority="737" operator="equal">
      <formula>"PMS"</formula>
    </cfRule>
    <cfRule type="containsText" dxfId="30019" priority="738" operator="containsText" text="CMS">
      <formula>NOT(ISERROR(SEARCH("CMS",W14)))</formula>
    </cfRule>
    <cfRule type="cellIs" dxfId="30018" priority="739" operator="equal">
      <formula>0</formula>
    </cfRule>
    <cfRule type="cellIs" dxfId="30017" priority="740" operator="greaterThan">
      <formula>0</formula>
    </cfRule>
  </conditionalFormatting>
  <conditionalFormatting sqref="X16">
    <cfRule type="cellIs" dxfId="30016" priority="733" operator="equal">
      <formula>"PMS"</formula>
    </cfRule>
    <cfRule type="containsText" dxfId="30015" priority="734" operator="containsText" text="CMS">
      <formula>NOT(ISERROR(SEARCH("CMS",X16)))</formula>
    </cfRule>
    <cfRule type="cellIs" dxfId="30014" priority="735" operator="equal">
      <formula>0</formula>
    </cfRule>
    <cfRule type="cellIs" dxfId="30013" priority="736" operator="greaterThan">
      <formula>0</formula>
    </cfRule>
  </conditionalFormatting>
  <conditionalFormatting sqref="X16">
    <cfRule type="cellIs" dxfId="30012" priority="729" operator="equal">
      <formula>"PMS"</formula>
    </cfRule>
    <cfRule type="containsText" dxfId="30011" priority="730" operator="containsText" text="CMS">
      <formula>NOT(ISERROR(SEARCH("CMS",X16)))</formula>
    </cfRule>
    <cfRule type="cellIs" dxfId="30010" priority="731" operator="equal">
      <formula>0</formula>
    </cfRule>
    <cfRule type="cellIs" dxfId="30009" priority="732" operator="greaterThan">
      <formula>0</formula>
    </cfRule>
  </conditionalFormatting>
  <conditionalFormatting sqref="O49">
    <cfRule type="cellIs" dxfId="30008" priority="725" operator="equal">
      <formula>"PMS"</formula>
    </cfRule>
    <cfRule type="containsText" dxfId="30007" priority="726" operator="containsText" text="CMS">
      <formula>NOT(ISERROR(SEARCH("CMS",O49)))</formula>
    </cfRule>
    <cfRule type="cellIs" dxfId="30006" priority="727" operator="equal">
      <formula>0</formula>
    </cfRule>
    <cfRule type="cellIs" dxfId="30005" priority="728" operator="greaterThan">
      <formula>0</formula>
    </cfRule>
  </conditionalFormatting>
  <conditionalFormatting sqref="O56">
    <cfRule type="cellIs" dxfId="30004" priority="721" operator="equal">
      <formula>"PMS"</formula>
    </cfRule>
    <cfRule type="containsText" dxfId="30003" priority="722" operator="containsText" text="CMS">
      <formula>NOT(ISERROR(SEARCH("CMS",O56)))</formula>
    </cfRule>
    <cfRule type="cellIs" dxfId="30002" priority="723" operator="equal">
      <formula>0</formula>
    </cfRule>
    <cfRule type="cellIs" dxfId="30001" priority="724" operator="greaterThan">
      <formula>0</formula>
    </cfRule>
  </conditionalFormatting>
  <conditionalFormatting sqref="Z14">
    <cfRule type="cellIs" dxfId="30000" priority="717" operator="equal">
      <formula>"PMS"</formula>
    </cfRule>
    <cfRule type="containsText" dxfId="29999" priority="718" operator="containsText" text="CMS">
      <formula>NOT(ISERROR(SEARCH("CMS",Z14)))</formula>
    </cfRule>
    <cfRule type="cellIs" dxfId="29998" priority="719" operator="equal">
      <formula>0</formula>
    </cfRule>
    <cfRule type="cellIs" dxfId="29997" priority="720" operator="greaterThan">
      <formula>0</formula>
    </cfRule>
  </conditionalFormatting>
  <conditionalFormatting sqref="Z14">
    <cfRule type="cellIs" dxfId="29996" priority="713" operator="equal">
      <formula>"PMS"</formula>
    </cfRule>
    <cfRule type="containsText" dxfId="29995" priority="714" operator="containsText" text="CMS">
      <formula>NOT(ISERROR(SEARCH("CMS",Z14)))</formula>
    </cfRule>
    <cfRule type="cellIs" dxfId="29994" priority="715" operator="equal">
      <formula>0</formula>
    </cfRule>
    <cfRule type="cellIs" dxfId="29993" priority="716" operator="greaterThan">
      <formula>0</formula>
    </cfRule>
  </conditionalFormatting>
  <conditionalFormatting sqref="Z15">
    <cfRule type="cellIs" dxfId="29992" priority="709" operator="equal">
      <formula>"PMS"</formula>
    </cfRule>
    <cfRule type="containsText" dxfId="29991" priority="710" operator="containsText" text="CMS">
      <formula>NOT(ISERROR(SEARCH("CMS",Z15)))</formula>
    </cfRule>
    <cfRule type="cellIs" dxfId="29990" priority="711" operator="equal">
      <formula>0</formula>
    </cfRule>
    <cfRule type="cellIs" dxfId="29989" priority="712" operator="greaterThan">
      <formula>0</formula>
    </cfRule>
  </conditionalFormatting>
  <conditionalFormatting sqref="Z15">
    <cfRule type="cellIs" dxfId="29988" priority="705" operator="equal">
      <formula>"PMS"</formula>
    </cfRule>
    <cfRule type="containsText" dxfId="29987" priority="706" operator="containsText" text="CMS">
      <formula>NOT(ISERROR(SEARCH("CMS",Z15)))</formula>
    </cfRule>
    <cfRule type="cellIs" dxfId="29986" priority="707" operator="equal">
      <formula>0</formula>
    </cfRule>
    <cfRule type="cellIs" dxfId="29985" priority="708" operator="greaterThan">
      <formula>0</formula>
    </cfRule>
  </conditionalFormatting>
  <conditionalFormatting sqref="Z16">
    <cfRule type="cellIs" dxfId="29984" priority="701" operator="equal">
      <formula>"PMS"</formula>
    </cfRule>
    <cfRule type="containsText" dxfId="29983" priority="702" operator="containsText" text="CMS">
      <formula>NOT(ISERROR(SEARCH("CMS",Z16)))</formula>
    </cfRule>
    <cfRule type="cellIs" dxfId="29982" priority="703" operator="equal">
      <formula>0</formula>
    </cfRule>
    <cfRule type="cellIs" dxfId="29981" priority="704" operator="greaterThan">
      <formula>0</formula>
    </cfRule>
  </conditionalFormatting>
  <conditionalFormatting sqref="Z16">
    <cfRule type="cellIs" dxfId="29980" priority="697" operator="equal">
      <formula>"PMS"</formula>
    </cfRule>
    <cfRule type="containsText" dxfId="29979" priority="698" operator="containsText" text="CMS">
      <formula>NOT(ISERROR(SEARCH("CMS",Z16)))</formula>
    </cfRule>
    <cfRule type="cellIs" dxfId="29978" priority="699" operator="equal">
      <formula>0</formula>
    </cfRule>
    <cfRule type="cellIs" dxfId="29977" priority="700" operator="greaterThan">
      <formula>0</formula>
    </cfRule>
  </conditionalFormatting>
  <conditionalFormatting sqref="AA14">
    <cfRule type="cellIs" dxfId="29976" priority="693" operator="equal">
      <formula>"PMS"</formula>
    </cfRule>
    <cfRule type="containsText" dxfId="29975" priority="694" operator="containsText" text="CMS">
      <formula>NOT(ISERROR(SEARCH("CMS",AA14)))</formula>
    </cfRule>
    <cfRule type="cellIs" dxfId="29974" priority="695" operator="equal">
      <formula>0</formula>
    </cfRule>
    <cfRule type="cellIs" dxfId="29973" priority="696" operator="greaterThan">
      <formula>0</formula>
    </cfRule>
  </conditionalFormatting>
  <conditionalFormatting sqref="AA14">
    <cfRule type="cellIs" dxfId="29972" priority="689" operator="equal">
      <formula>"PMS"</formula>
    </cfRule>
    <cfRule type="containsText" dxfId="29971" priority="690" operator="containsText" text="CMS">
      <formula>NOT(ISERROR(SEARCH("CMS",AA14)))</formula>
    </cfRule>
    <cfRule type="cellIs" dxfId="29970" priority="691" operator="equal">
      <formula>0</formula>
    </cfRule>
    <cfRule type="cellIs" dxfId="29969" priority="692" operator="greaterThan">
      <formula>0</formula>
    </cfRule>
  </conditionalFormatting>
  <conditionalFormatting sqref="AA15">
    <cfRule type="cellIs" dxfId="29968" priority="685" operator="equal">
      <formula>"PMS"</formula>
    </cfRule>
    <cfRule type="containsText" dxfId="29967" priority="686" operator="containsText" text="CMS">
      <formula>NOT(ISERROR(SEARCH("CMS",AA15)))</formula>
    </cfRule>
    <cfRule type="cellIs" dxfId="29966" priority="687" operator="equal">
      <formula>0</formula>
    </cfRule>
    <cfRule type="cellIs" dxfId="29965" priority="688" operator="greaterThan">
      <formula>0</formula>
    </cfRule>
  </conditionalFormatting>
  <conditionalFormatting sqref="AA15">
    <cfRule type="cellIs" dxfId="29964" priority="681" operator="equal">
      <formula>"PMS"</formula>
    </cfRule>
    <cfRule type="containsText" dxfId="29963" priority="682" operator="containsText" text="CMS">
      <formula>NOT(ISERROR(SEARCH("CMS",AA15)))</formula>
    </cfRule>
    <cfRule type="cellIs" dxfId="29962" priority="683" operator="equal">
      <formula>0</formula>
    </cfRule>
    <cfRule type="cellIs" dxfId="29961" priority="684" operator="greaterThan">
      <formula>0</formula>
    </cfRule>
  </conditionalFormatting>
  <conditionalFormatting sqref="AA16">
    <cfRule type="cellIs" dxfId="29960" priority="677" operator="equal">
      <formula>"PMS"</formula>
    </cfRule>
    <cfRule type="containsText" dxfId="29959" priority="678" operator="containsText" text="CMS">
      <formula>NOT(ISERROR(SEARCH("CMS",AA16)))</formula>
    </cfRule>
    <cfRule type="cellIs" dxfId="29958" priority="679" operator="equal">
      <formula>0</formula>
    </cfRule>
    <cfRule type="cellIs" dxfId="29957" priority="680" operator="greaterThan">
      <formula>0</formula>
    </cfRule>
  </conditionalFormatting>
  <conditionalFormatting sqref="AA16">
    <cfRule type="cellIs" dxfId="29956" priority="673" operator="equal">
      <formula>"PMS"</formula>
    </cfRule>
    <cfRule type="containsText" dxfId="29955" priority="674" operator="containsText" text="CMS">
      <formula>NOT(ISERROR(SEARCH("CMS",AA16)))</formula>
    </cfRule>
    <cfRule type="cellIs" dxfId="29954" priority="675" operator="equal">
      <formula>0</formula>
    </cfRule>
    <cfRule type="cellIs" dxfId="29953" priority="676" operator="greaterThan">
      <formula>0</formula>
    </cfRule>
  </conditionalFormatting>
  <conditionalFormatting sqref="AA27">
    <cfRule type="cellIs" dxfId="29952" priority="669" operator="equal">
      <formula>"PMS"</formula>
    </cfRule>
    <cfRule type="containsText" dxfId="29951" priority="670" operator="containsText" text="CMS">
      <formula>NOT(ISERROR(SEARCH("CMS",AA27)))</formula>
    </cfRule>
    <cfRule type="cellIs" dxfId="29950" priority="671" operator="equal">
      <formula>0</formula>
    </cfRule>
    <cfRule type="cellIs" dxfId="29949" priority="672" operator="greaterThan">
      <formula>0</formula>
    </cfRule>
  </conditionalFormatting>
  <conditionalFormatting sqref="AA27">
    <cfRule type="cellIs" dxfId="29948" priority="665" operator="equal">
      <formula>"PMS"</formula>
    </cfRule>
    <cfRule type="containsText" dxfId="29947" priority="666" operator="containsText" text="CMS">
      <formula>NOT(ISERROR(SEARCH("CMS",AA27)))</formula>
    </cfRule>
    <cfRule type="cellIs" dxfId="29946" priority="667" operator="equal">
      <formula>0</formula>
    </cfRule>
    <cfRule type="cellIs" dxfId="29945" priority="668" operator="greaterThan">
      <formula>0</formula>
    </cfRule>
  </conditionalFormatting>
  <conditionalFormatting sqref="AA28">
    <cfRule type="cellIs" dxfId="29944" priority="661" operator="equal">
      <formula>"PMS"</formula>
    </cfRule>
    <cfRule type="containsText" dxfId="29943" priority="662" operator="containsText" text="CMS">
      <formula>NOT(ISERROR(SEARCH("CMS",AA28)))</formula>
    </cfRule>
    <cfRule type="cellIs" dxfId="29942" priority="663" operator="equal">
      <formula>0</formula>
    </cfRule>
    <cfRule type="cellIs" dxfId="29941" priority="664" operator="greaterThan">
      <formula>0</formula>
    </cfRule>
  </conditionalFormatting>
  <conditionalFormatting sqref="AA28">
    <cfRule type="cellIs" dxfId="29940" priority="657" operator="equal">
      <formula>"PMS"</formula>
    </cfRule>
    <cfRule type="containsText" dxfId="29939" priority="658" operator="containsText" text="CMS">
      <formula>NOT(ISERROR(SEARCH("CMS",AA28)))</formula>
    </cfRule>
    <cfRule type="cellIs" dxfId="29938" priority="659" operator="equal">
      <formula>0</formula>
    </cfRule>
    <cfRule type="cellIs" dxfId="29937" priority="660" operator="greaterThan">
      <formula>0</formula>
    </cfRule>
  </conditionalFormatting>
  <conditionalFormatting sqref="AB14">
    <cfRule type="cellIs" dxfId="29936" priority="653" operator="equal">
      <formula>"PMS"</formula>
    </cfRule>
    <cfRule type="containsText" dxfId="29935" priority="654" operator="containsText" text="CMS">
      <formula>NOT(ISERROR(SEARCH("CMS",AB14)))</formula>
    </cfRule>
    <cfRule type="cellIs" dxfId="29934" priority="655" operator="equal">
      <formula>0</formula>
    </cfRule>
    <cfRule type="cellIs" dxfId="29933" priority="656" operator="greaterThan">
      <formula>0</formula>
    </cfRule>
  </conditionalFormatting>
  <conditionalFormatting sqref="AB14">
    <cfRule type="cellIs" dxfId="29932" priority="649" operator="equal">
      <formula>"PMS"</formula>
    </cfRule>
    <cfRule type="containsText" dxfId="29931" priority="650" operator="containsText" text="CMS">
      <formula>NOT(ISERROR(SEARCH("CMS",AB14)))</formula>
    </cfRule>
    <cfRule type="cellIs" dxfId="29930" priority="651" operator="equal">
      <formula>0</formula>
    </cfRule>
    <cfRule type="cellIs" dxfId="29929" priority="652" operator="greaterThan">
      <formula>0</formula>
    </cfRule>
  </conditionalFormatting>
  <conditionalFormatting sqref="AB15">
    <cfRule type="cellIs" dxfId="29928" priority="645" operator="equal">
      <formula>"PMS"</formula>
    </cfRule>
    <cfRule type="containsText" dxfId="29927" priority="646" operator="containsText" text="CMS">
      <formula>NOT(ISERROR(SEARCH("CMS",AB15)))</formula>
    </cfRule>
    <cfRule type="cellIs" dxfId="29926" priority="647" operator="equal">
      <formula>0</formula>
    </cfRule>
    <cfRule type="cellIs" dxfId="29925" priority="648" operator="greaterThan">
      <formula>0</formula>
    </cfRule>
  </conditionalFormatting>
  <conditionalFormatting sqref="AB15">
    <cfRule type="cellIs" dxfId="29924" priority="641" operator="equal">
      <formula>"PMS"</formula>
    </cfRule>
    <cfRule type="containsText" dxfId="29923" priority="642" operator="containsText" text="CMS">
      <formula>NOT(ISERROR(SEARCH("CMS",AB15)))</formula>
    </cfRule>
    <cfRule type="cellIs" dxfId="29922" priority="643" operator="equal">
      <formula>0</formula>
    </cfRule>
    <cfRule type="cellIs" dxfId="29921" priority="644" operator="greaterThan">
      <formula>0</formula>
    </cfRule>
  </conditionalFormatting>
  <conditionalFormatting sqref="AB16">
    <cfRule type="cellIs" dxfId="29920" priority="637" operator="equal">
      <formula>"PMS"</formula>
    </cfRule>
    <cfRule type="containsText" dxfId="29919" priority="638" operator="containsText" text="CMS">
      <formula>NOT(ISERROR(SEARCH("CMS",AB16)))</formula>
    </cfRule>
    <cfRule type="cellIs" dxfId="29918" priority="639" operator="equal">
      <formula>0</formula>
    </cfRule>
    <cfRule type="cellIs" dxfId="29917" priority="640" operator="greaterThan">
      <formula>0</formula>
    </cfRule>
  </conditionalFormatting>
  <conditionalFormatting sqref="AB16">
    <cfRule type="cellIs" dxfId="29916" priority="633" operator="equal">
      <formula>"PMS"</formula>
    </cfRule>
    <cfRule type="containsText" dxfId="29915" priority="634" operator="containsText" text="CMS">
      <formula>NOT(ISERROR(SEARCH("CMS",AB16)))</formula>
    </cfRule>
    <cfRule type="cellIs" dxfId="29914" priority="635" operator="equal">
      <formula>0</formula>
    </cfRule>
    <cfRule type="cellIs" dxfId="29913" priority="636" operator="greaterThan">
      <formula>0</formula>
    </cfRule>
  </conditionalFormatting>
  <conditionalFormatting sqref="J61:J63">
    <cfRule type="cellIs" dxfId="29912" priority="625" operator="equal">
      <formula>"PMS"</formula>
    </cfRule>
    <cfRule type="containsText" dxfId="29911" priority="626" operator="containsText" text="CMS">
      <formula>NOT(ISERROR(SEARCH("CMS",J61)))</formula>
    </cfRule>
    <cfRule type="cellIs" dxfId="29910" priority="627" operator="equal">
      <formula>0</formula>
    </cfRule>
    <cfRule type="cellIs" dxfId="29909" priority="628" operator="greaterThan">
      <formula>0</formula>
    </cfRule>
    <cfRule type="cellIs" dxfId="29908" priority="629" operator="equal">
      <formula>"PMS"</formula>
    </cfRule>
    <cfRule type="containsText" dxfId="29907" priority="630" operator="containsText" text="CMS">
      <formula>NOT(ISERROR(SEARCH("CMS",J61)))</formula>
    </cfRule>
    <cfRule type="cellIs" dxfId="29906" priority="631" operator="equal">
      <formula>0</formula>
    </cfRule>
    <cfRule type="cellIs" dxfId="29905" priority="632" operator="greaterThan">
      <formula>0</formula>
    </cfRule>
  </conditionalFormatting>
  <conditionalFormatting sqref="V14">
    <cfRule type="cellIs" dxfId="29904" priority="621" operator="equal">
      <formula>"PMS"</formula>
    </cfRule>
    <cfRule type="containsText" dxfId="29903" priority="622" operator="containsText" text="CMS">
      <formula>NOT(ISERROR(SEARCH("CMS",V14)))</formula>
    </cfRule>
    <cfRule type="cellIs" dxfId="29902" priority="623" operator="equal">
      <formula>0</formula>
    </cfRule>
    <cfRule type="cellIs" dxfId="29901" priority="624" operator="greaterThan">
      <formula>0</formula>
    </cfRule>
  </conditionalFormatting>
  <conditionalFormatting sqref="V14">
    <cfRule type="cellIs" dxfId="29900" priority="617" operator="equal">
      <formula>"PMS"</formula>
    </cfRule>
    <cfRule type="containsText" dxfId="29899" priority="618" operator="containsText" text="CMS">
      <formula>NOT(ISERROR(SEARCH("CMS",V14)))</formula>
    </cfRule>
    <cfRule type="cellIs" dxfId="29898" priority="619" operator="equal">
      <formula>0</formula>
    </cfRule>
    <cfRule type="cellIs" dxfId="29897" priority="620" operator="greaterThan">
      <formula>0</formula>
    </cfRule>
  </conditionalFormatting>
  <conditionalFormatting sqref="V15">
    <cfRule type="cellIs" dxfId="29896" priority="613" operator="equal">
      <formula>"PMS"</formula>
    </cfRule>
    <cfRule type="containsText" dxfId="29895" priority="614" operator="containsText" text="CMS">
      <formula>NOT(ISERROR(SEARCH("CMS",V15)))</formula>
    </cfRule>
    <cfRule type="cellIs" dxfId="29894" priority="615" operator="equal">
      <formula>0</formula>
    </cfRule>
    <cfRule type="cellIs" dxfId="29893" priority="616" operator="greaterThan">
      <formula>0</formula>
    </cfRule>
  </conditionalFormatting>
  <conditionalFormatting sqref="V15">
    <cfRule type="cellIs" dxfId="29892" priority="609" operator="equal">
      <formula>"PMS"</formula>
    </cfRule>
    <cfRule type="containsText" dxfId="29891" priority="610" operator="containsText" text="CMS">
      <formula>NOT(ISERROR(SEARCH("CMS",V15)))</formula>
    </cfRule>
    <cfRule type="cellIs" dxfId="29890" priority="611" operator="equal">
      <formula>0</formula>
    </cfRule>
    <cfRule type="cellIs" dxfId="29889" priority="612" operator="greaterThan">
      <formula>0</formula>
    </cfRule>
  </conditionalFormatting>
  <conditionalFormatting sqref="V16">
    <cfRule type="cellIs" dxfId="29888" priority="605" operator="equal">
      <formula>"PMS"</formula>
    </cfRule>
    <cfRule type="containsText" dxfId="29887" priority="606" operator="containsText" text="CMS">
      <formula>NOT(ISERROR(SEARCH("CMS",V16)))</formula>
    </cfRule>
    <cfRule type="cellIs" dxfId="29886" priority="607" operator="equal">
      <formula>0</formula>
    </cfRule>
    <cfRule type="cellIs" dxfId="29885" priority="608" operator="greaterThan">
      <formula>0</formula>
    </cfRule>
  </conditionalFormatting>
  <conditionalFormatting sqref="V16">
    <cfRule type="cellIs" dxfId="29884" priority="601" operator="equal">
      <formula>"PMS"</formula>
    </cfRule>
    <cfRule type="containsText" dxfId="29883" priority="602" operator="containsText" text="CMS">
      <formula>NOT(ISERROR(SEARCH("CMS",V16)))</formula>
    </cfRule>
    <cfRule type="cellIs" dxfId="29882" priority="603" operator="equal">
      <formula>0</formula>
    </cfRule>
    <cfRule type="cellIs" dxfId="29881" priority="604" operator="greaterThan">
      <formula>0</formula>
    </cfRule>
  </conditionalFormatting>
  <conditionalFormatting sqref="W14">
    <cfRule type="cellIs" dxfId="29880" priority="597" operator="equal">
      <formula>"PMS"</formula>
    </cfRule>
    <cfRule type="containsText" dxfId="29879" priority="598" operator="containsText" text="CMS">
      <formula>NOT(ISERROR(SEARCH("CMS",W14)))</formula>
    </cfRule>
    <cfRule type="cellIs" dxfId="29878" priority="599" operator="equal">
      <formula>0</formula>
    </cfRule>
    <cfRule type="cellIs" dxfId="29877" priority="600" operator="greaterThan">
      <formula>0</formula>
    </cfRule>
  </conditionalFormatting>
  <conditionalFormatting sqref="W14">
    <cfRule type="cellIs" dxfId="29876" priority="593" operator="equal">
      <formula>"PMS"</formula>
    </cfRule>
    <cfRule type="containsText" dxfId="29875" priority="594" operator="containsText" text="CMS">
      <formula>NOT(ISERROR(SEARCH("CMS",W14)))</formula>
    </cfRule>
    <cfRule type="cellIs" dxfId="29874" priority="595" operator="equal">
      <formula>0</formula>
    </cfRule>
    <cfRule type="cellIs" dxfId="29873" priority="596" operator="greaterThan">
      <formula>0</formula>
    </cfRule>
  </conditionalFormatting>
  <conditionalFormatting sqref="W15">
    <cfRule type="cellIs" dxfId="29872" priority="589" operator="equal">
      <formula>"PMS"</formula>
    </cfRule>
    <cfRule type="containsText" dxfId="29871" priority="590" operator="containsText" text="CMS">
      <formula>NOT(ISERROR(SEARCH("CMS",W15)))</formula>
    </cfRule>
    <cfRule type="cellIs" dxfId="29870" priority="591" operator="equal">
      <formula>0</formula>
    </cfRule>
    <cfRule type="cellIs" dxfId="29869" priority="592" operator="greaterThan">
      <formula>0</formula>
    </cfRule>
  </conditionalFormatting>
  <conditionalFormatting sqref="W15">
    <cfRule type="cellIs" dxfId="29868" priority="585" operator="equal">
      <formula>"PMS"</formula>
    </cfRule>
    <cfRule type="containsText" dxfId="29867" priority="586" operator="containsText" text="CMS">
      <formula>NOT(ISERROR(SEARCH("CMS",W15)))</formula>
    </cfRule>
    <cfRule type="cellIs" dxfId="29866" priority="587" operator="equal">
      <formula>0</formula>
    </cfRule>
    <cfRule type="cellIs" dxfId="29865" priority="588" operator="greaterThan">
      <formula>0</formula>
    </cfRule>
  </conditionalFormatting>
  <conditionalFormatting sqref="W16">
    <cfRule type="cellIs" dxfId="29864" priority="581" operator="equal">
      <formula>"PMS"</formula>
    </cfRule>
    <cfRule type="containsText" dxfId="29863" priority="582" operator="containsText" text="CMS">
      <formula>NOT(ISERROR(SEARCH("CMS",W16)))</formula>
    </cfRule>
    <cfRule type="cellIs" dxfId="29862" priority="583" operator="equal">
      <formula>0</formula>
    </cfRule>
    <cfRule type="cellIs" dxfId="29861" priority="584" operator="greaterThan">
      <formula>0</formula>
    </cfRule>
  </conditionalFormatting>
  <conditionalFormatting sqref="W16">
    <cfRule type="cellIs" dxfId="29860" priority="577" operator="equal">
      <formula>"PMS"</formula>
    </cfRule>
    <cfRule type="containsText" dxfId="29859" priority="578" operator="containsText" text="CMS">
      <formula>NOT(ISERROR(SEARCH("CMS",W16)))</formula>
    </cfRule>
    <cfRule type="cellIs" dxfId="29858" priority="579" operator="equal">
      <formula>0</formula>
    </cfRule>
    <cfRule type="cellIs" dxfId="29857" priority="580" operator="greaterThan">
      <formula>0</formula>
    </cfRule>
  </conditionalFormatting>
  <conditionalFormatting sqref="G56">
    <cfRule type="cellIs" dxfId="29856" priority="569" operator="equal">
      <formula>"PMS"</formula>
    </cfRule>
    <cfRule type="containsText" dxfId="29855" priority="570" operator="containsText" text="CMS">
      <formula>NOT(ISERROR(SEARCH("CMS",G56)))</formula>
    </cfRule>
    <cfRule type="cellIs" dxfId="29854" priority="571" operator="equal">
      <formula>0</formula>
    </cfRule>
    <cfRule type="cellIs" dxfId="29853" priority="572" operator="greaterThan">
      <formula>0</formula>
    </cfRule>
    <cfRule type="cellIs" dxfId="29852" priority="573" operator="equal">
      <formula>"PMS"</formula>
    </cfRule>
    <cfRule type="containsText" dxfId="29851" priority="574" operator="containsText" text="CMS">
      <formula>NOT(ISERROR(SEARCH("CMS",G56)))</formula>
    </cfRule>
    <cfRule type="cellIs" dxfId="29850" priority="575" operator="equal">
      <formula>0</formula>
    </cfRule>
    <cfRule type="cellIs" dxfId="29849" priority="576" operator="greaterThan">
      <formula>0</formula>
    </cfRule>
  </conditionalFormatting>
  <conditionalFormatting sqref="G56">
    <cfRule type="cellIs" dxfId="29848" priority="565" operator="equal">
      <formula>"PMS"</formula>
    </cfRule>
    <cfRule type="containsText" dxfId="29847" priority="566" operator="containsText" text="CMS">
      <formula>NOT(ISERROR(SEARCH("CMS",G56)))</formula>
    </cfRule>
    <cfRule type="cellIs" dxfId="29846" priority="567" operator="equal">
      <formula>0</formula>
    </cfRule>
    <cfRule type="cellIs" dxfId="29845" priority="568" operator="greaterThan">
      <formula>0</formula>
    </cfRule>
  </conditionalFormatting>
  <conditionalFormatting sqref="G56">
    <cfRule type="cellIs" dxfId="29844" priority="561" operator="equal">
      <formula>"PMS"</formula>
    </cfRule>
    <cfRule type="containsText" dxfId="29843" priority="562" operator="containsText" text="CMS">
      <formula>NOT(ISERROR(SEARCH("CMS",G56)))</formula>
    </cfRule>
    <cfRule type="cellIs" dxfId="29842" priority="563" operator="equal">
      <formula>0</formula>
    </cfRule>
    <cfRule type="cellIs" dxfId="29841" priority="564" operator="greaterThan">
      <formula>0</formula>
    </cfRule>
  </conditionalFormatting>
  <conditionalFormatting sqref="G13:G16">
    <cfRule type="cellIs" dxfId="29840" priority="553" operator="equal">
      <formula>"PMS"</formula>
    </cfRule>
    <cfRule type="containsText" dxfId="29839" priority="554" operator="containsText" text="CMS">
      <formula>NOT(ISERROR(SEARCH("CMS",G13)))</formula>
    </cfRule>
    <cfRule type="cellIs" dxfId="29838" priority="555" operator="equal">
      <formula>0</formula>
    </cfRule>
    <cfRule type="cellIs" dxfId="29837" priority="556" operator="greaterThan">
      <formula>0</formula>
    </cfRule>
    <cfRule type="cellIs" dxfId="29836" priority="557" operator="equal">
      <formula>"PMS"</formula>
    </cfRule>
    <cfRule type="containsText" dxfId="29835" priority="558" operator="containsText" text="CMS">
      <formula>NOT(ISERROR(SEARCH("CMS",G13)))</formula>
    </cfRule>
    <cfRule type="cellIs" dxfId="29834" priority="559" operator="equal">
      <formula>0</formula>
    </cfRule>
    <cfRule type="cellIs" dxfId="29833" priority="560" operator="greaterThan">
      <formula>0</formula>
    </cfRule>
  </conditionalFormatting>
  <conditionalFormatting sqref="G13:G16">
    <cfRule type="cellIs" dxfId="29832" priority="549" operator="equal">
      <formula>"PMS"</formula>
    </cfRule>
    <cfRule type="containsText" dxfId="29831" priority="550" operator="containsText" text="CMS">
      <formula>NOT(ISERROR(SEARCH("CMS",G13)))</formula>
    </cfRule>
    <cfRule type="cellIs" dxfId="29830" priority="551" operator="equal">
      <formula>0</formula>
    </cfRule>
    <cfRule type="cellIs" dxfId="29829" priority="552" operator="greaterThan">
      <formula>0</formula>
    </cfRule>
  </conditionalFormatting>
  <conditionalFormatting sqref="G13:G16">
    <cfRule type="cellIs" dxfId="29828" priority="545" operator="equal">
      <formula>"PMS"</formula>
    </cfRule>
    <cfRule type="containsText" dxfId="29827" priority="546" operator="containsText" text="CMS">
      <formula>NOT(ISERROR(SEARCH("CMS",G13)))</formula>
    </cfRule>
    <cfRule type="cellIs" dxfId="29826" priority="547" operator="equal">
      <formula>0</formula>
    </cfRule>
    <cfRule type="cellIs" dxfId="29825" priority="548" operator="greaterThan">
      <formula>0</formula>
    </cfRule>
  </conditionalFormatting>
  <conditionalFormatting sqref="G13:G16">
    <cfRule type="cellIs" dxfId="29824" priority="541" operator="equal">
      <formula>"PMS"</formula>
    </cfRule>
    <cfRule type="containsText" dxfId="29823" priority="542" operator="containsText" text="CMS">
      <formula>NOT(ISERROR(SEARCH("CMS",G13)))</formula>
    </cfRule>
    <cfRule type="cellIs" dxfId="29822" priority="543" operator="equal">
      <formula>0</formula>
    </cfRule>
    <cfRule type="cellIs" dxfId="29821" priority="544" operator="greaterThan">
      <formula>0</formula>
    </cfRule>
  </conditionalFormatting>
  <conditionalFormatting sqref="G13:G16">
    <cfRule type="cellIs" dxfId="29820" priority="537" operator="equal">
      <formula>"PMS"</formula>
    </cfRule>
    <cfRule type="containsText" dxfId="29819" priority="538" operator="containsText" text="CMS">
      <formula>NOT(ISERROR(SEARCH("CMS",G13)))</formula>
    </cfRule>
    <cfRule type="cellIs" dxfId="29818" priority="539" operator="equal">
      <formula>0</formula>
    </cfRule>
    <cfRule type="cellIs" dxfId="29817" priority="540" operator="greaterThan">
      <formula>0</formula>
    </cfRule>
  </conditionalFormatting>
  <conditionalFormatting sqref="G20:G21">
    <cfRule type="cellIs" dxfId="29816" priority="529" operator="equal">
      <formula>"PMS"</formula>
    </cfRule>
    <cfRule type="containsText" dxfId="29815" priority="530" operator="containsText" text="CMS">
      <formula>NOT(ISERROR(SEARCH("CMS",G20)))</formula>
    </cfRule>
    <cfRule type="cellIs" dxfId="29814" priority="531" operator="equal">
      <formula>0</formula>
    </cfRule>
    <cfRule type="cellIs" dxfId="29813" priority="532" operator="greaterThan">
      <formula>0</formula>
    </cfRule>
    <cfRule type="cellIs" dxfId="29812" priority="533" operator="equal">
      <formula>"PMS"</formula>
    </cfRule>
    <cfRule type="containsText" dxfId="29811" priority="534" operator="containsText" text="CMS">
      <formula>NOT(ISERROR(SEARCH("CMS",G20)))</formula>
    </cfRule>
    <cfRule type="cellIs" dxfId="29810" priority="535" operator="equal">
      <formula>0</formula>
    </cfRule>
    <cfRule type="cellIs" dxfId="29809" priority="536" operator="greaterThan">
      <formula>0</formula>
    </cfRule>
  </conditionalFormatting>
  <conditionalFormatting sqref="G20:G21">
    <cfRule type="cellIs" dxfId="29808" priority="525" operator="equal">
      <formula>"PMS"</formula>
    </cfRule>
    <cfRule type="containsText" dxfId="29807" priority="526" operator="containsText" text="CMS">
      <formula>NOT(ISERROR(SEARCH("CMS",G20)))</formula>
    </cfRule>
    <cfRule type="cellIs" dxfId="29806" priority="527" operator="equal">
      <formula>0</formula>
    </cfRule>
    <cfRule type="cellIs" dxfId="29805" priority="528" operator="greaterThan">
      <formula>0</formula>
    </cfRule>
  </conditionalFormatting>
  <conditionalFormatting sqref="G20:G21">
    <cfRule type="cellIs" dxfId="29804" priority="521" operator="equal">
      <formula>"PMS"</formula>
    </cfRule>
    <cfRule type="containsText" dxfId="29803" priority="522" operator="containsText" text="CMS">
      <formula>NOT(ISERROR(SEARCH("CMS",G20)))</formula>
    </cfRule>
    <cfRule type="cellIs" dxfId="29802" priority="523" operator="equal">
      <formula>0</formula>
    </cfRule>
    <cfRule type="cellIs" dxfId="29801" priority="524" operator="greaterThan">
      <formula>0</formula>
    </cfRule>
  </conditionalFormatting>
  <conditionalFormatting sqref="G27:G29 J29 M29 P29 S29 V29 Y29 AB29">
    <cfRule type="cellIs" dxfId="29800" priority="513" operator="equal">
      <formula>"PMS"</formula>
    </cfRule>
    <cfRule type="containsText" dxfId="29799" priority="514" operator="containsText" text="CMS">
      <formula>NOT(ISERROR(SEARCH("CMS",G27)))</formula>
    </cfRule>
    <cfRule type="cellIs" dxfId="29798" priority="515" operator="equal">
      <formula>0</formula>
    </cfRule>
    <cfRule type="cellIs" dxfId="29797" priority="516" operator="greaterThan">
      <formula>0</formula>
    </cfRule>
    <cfRule type="cellIs" dxfId="29796" priority="517" operator="equal">
      <formula>"PMS"</formula>
    </cfRule>
    <cfRule type="containsText" dxfId="29795" priority="518" operator="containsText" text="CMS">
      <formula>NOT(ISERROR(SEARCH("CMS",G27)))</formula>
    </cfRule>
    <cfRule type="cellIs" dxfId="29794" priority="519" operator="equal">
      <formula>0</formula>
    </cfRule>
    <cfRule type="cellIs" dxfId="29793" priority="520" operator="greaterThan">
      <formula>0</formula>
    </cfRule>
  </conditionalFormatting>
  <conditionalFormatting sqref="G27:G29 J29 M29 P29 S29 V29 Y29 AB29">
    <cfRule type="cellIs" dxfId="29792" priority="509" operator="equal">
      <formula>"PMS"</formula>
    </cfRule>
    <cfRule type="containsText" dxfId="29791" priority="510" operator="containsText" text="CMS">
      <formula>NOT(ISERROR(SEARCH("CMS",G27)))</formula>
    </cfRule>
    <cfRule type="cellIs" dxfId="29790" priority="511" operator="equal">
      <formula>0</formula>
    </cfRule>
    <cfRule type="cellIs" dxfId="29789" priority="512" operator="greaterThan">
      <formula>0</formula>
    </cfRule>
  </conditionalFormatting>
  <conditionalFormatting sqref="G27:G29 J29 M29 P29 S29 V29 Y29 AB29">
    <cfRule type="cellIs" dxfId="29788" priority="505" operator="equal">
      <formula>"PMS"</formula>
    </cfRule>
    <cfRule type="containsText" dxfId="29787" priority="506" operator="containsText" text="CMS">
      <formula>NOT(ISERROR(SEARCH("CMS",G27)))</formula>
    </cfRule>
    <cfRule type="cellIs" dxfId="29786" priority="507" operator="equal">
      <formula>0</formula>
    </cfRule>
    <cfRule type="cellIs" dxfId="29785" priority="508" operator="greaterThan">
      <formula>0</formula>
    </cfRule>
  </conditionalFormatting>
  <conditionalFormatting sqref="G57">
    <cfRule type="cellIs" dxfId="29784" priority="497" operator="equal">
      <formula>"PMS"</formula>
    </cfRule>
    <cfRule type="containsText" dxfId="29783" priority="498" operator="containsText" text="CMS">
      <formula>NOT(ISERROR(SEARCH("CMS",G57)))</formula>
    </cfRule>
    <cfRule type="cellIs" dxfId="29782" priority="499" operator="equal">
      <formula>0</formula>
    </cfRule>
    <cfRule type="cellIs" dxfId="29781" priority="500" operator="greaterThan">
      <formula>0</formula>
    </cfRule>
    <cfRule type="cellIs" dxfId="29780" priority="501" operator="equal">
      <formula>"PMS"</formula>
    </cfRule>
    <cfRule type="containsText" dxfId="29779" priority="502" operator="containsText" text="CMS">
      <formula>NOT(ISERROR(SEARCH("CMS",G57)))</formula>
    </cfRule>
    <cfRule type="cellIs" dxfId="29778" priority="503" operator="equal">
      <formula>0</formula>
    </cfRule>
    <cfRule type="cellIs" dxfId="29777" priority="504" operator="greaterThan">
      <formula>0</formula>
    </cfRule>
  </conditionalFormatting>
  <conditionalFormatting sqref="G57">
    <cfRule type="cellIs" dxfId="29776" priority="493" operator="equal">
      <formula>"PMS"</formula>
    </cfRule>
    <cfRule type="containsText" dxfId="29775" priority="494" operator="containsText" text="CMS">
      <formula>NOT(ISERROR(SEARCH("CMS",G57)))</formula>
    </cfRule>
    <cfRule type="cellIs" dxfId="29774" priority="495" operator="equal">
      <formula>0</formula>
    </cfRule>
    <cfRule type="cellIs" dxfId="29773" priority="496" operator="greaterThan">
      <formula>0</formula>
    </cfRule>
  </conditionalFormatting>
  <conditionalFormatting sqref="G57">
    <cfRule type="cellIs" dxfId="29772" priority="489" operator="equal">
      <formula>"PMS"</formula>
    </cfRule>
    <cfRule type="containsText" dxfId="29771" priority="490" operator="containsText" text="CMS">
      <formula>NOT(ISERROR(SEARCH("CMS",G57)))</formula>
    </cfRule>
    <cfRule type="cellIs" dxfId="29770" priority="491" operator="equal">
      <formula>0</formula>
    </cfRule>
    <cfRule type="cellIs" dxfId="29769" priority="492" operator="greaterThan">
      <formula>0</formula>
    </cfRule>
  </conditionalFormatting>
  <conditionalFormatting sqref="G57">
    <cfRule type="cellIs" dxfId="29768" priority="485" operator="equal">
      <formula>"PMS"</formula>
    </cfRule>
    <cfRule type="containsText" dxfId="29767" priority="486" operator="containsText" text="CMS">
      <formula>NOT(ISERROR(SEARCH("CMS",G57)))</formula>
    </cfRule>
    <cfRule type="cellIs" dxfId="29766" priority="487" operator="equal">
      <formula>0</formula>
    </cfRule>
    <cfRule type="cellIs" dxfId="29765" priority="488" operator="greaterThan">
      <formula>0</formula>
    </cfRule>
  </conditionalFormatting>
  <conditionalFormatting sqref="G57">
    <cfRule type="cellIs" dxfId="29764" priority="481" operator="equal">
      <formula>"PMS"</formula>
    </cfRule>
    <cfRule type="containsText" dxfId="29763" priority="482" operator="containsText" text="CMS">
      <formula>NOT(ISERROR(SEARCH("CMS",G57)))</formula>
    </cfRule>
    <cfRule type="cellIs" dxfId="29762" priority="483" operator="equal">
      <formula>0</formula>
    </cfRule>
    <cfRule type="cellIs" dxfId="29761" priority="484" operator="greaterThan">
      <formula>0</formula>
    </cfRule>
  </conditionalFormatting>
  <conditionalFormatting sqref="G57">
    <cfRule type="cellIs" dxfId="29760" priority="477" operator="equal">
      <formula>"PMS"</formula>
    </cfRule>
    <cfRule type="containsText" dxfId="29759" priority="478" operator="containsText" text="CMS">
      <formula>NOT(ISERROR(SEARCH("CMS",G57)))</formula>
    </cfRule>
    <cfRule type="cellIs" dxfId="29758" priority="479" operator="equal">
      <formula>0</formula>
    </cfRule>
    <cfRule type="cellIs" dxfId="29757" priority="480" operator="greaterThan">
      <formula>0</formula>
    </cfRule>
  </conditionalFormatting>
  <conditionalFormatting sqref="G57">
    <cfRule type="cellIs" dxfId="29756" priority="473" operator="equal">
      <formula>"PMS"</formula>
    </cfRule>
    <cfRule type="containsText" dxfId="29755" priority="474" operator="containsText" text="CMS">
      <formula>NOT(ISERROR(SEARCH("CMS",G57)))</formula>
    </cfRule>
    <cfRule type="cellIs" dxfId="29754" priority="475" operator="equal">
      <formula>0</formula>
    </cfRule>
    <cfRule type="cellIs" dxfId="29753" priority="476" operator="greaterThan">
      <formula>0</formula>
    </cfRule>
  </conditionalFormatting>
  <conditionalFormatting sqref="G63">
    <cfRule type="cellIs" dxfId="29752" priority="465" operator="equal">
      <formula>"PMS"</formula>
    </cfRule>
    <cfRule type="containsText" dxfId="29751" priority="466" operator="containsText" text="CMS">
      <formula>NOT(ISERROR(SEARCH("CMS",G63)))</formula>
    </cfRule>
    <cfRule type="cellIs" dxfId="29750" priority="467" operator="equal">
      <formula>0</formula>
    </cfRule>
    <cfRule type="cellIs" dxfId="29749" priority="468" operator="greaterThan">
      <formula>0</formula>
    </cfRule>
    <cfRule type="cellIs" dxfId="29748" priority="469" operator="equal">
      <formula>"PMS"</formula>
    </cfRule>
    <cfRule type="containsText" dxfId="29747" priority="470" operator="containsText" text="CMS">
      <formula>NOT(ISERROR(SEARCH("CMS",G63)))</formula>
    </cfRule>
    <cfRule type="cellIs" dxfId="29746" priority="471" operator="equal">
      <formula>0</formula>
    </cfRule>
    <cfRule type="cellIs" dxfId="29745" priority="472" operator="greaterThan">
      <formula>0</formula>
    </cfRule>
  </conditionalFormatting>
  <conditionalFormatting sqref="G63">
    <cfRule type="cellIs" dxfId="29744" priority="461" operator="equal">
      <formula>"PMS"</formula>
    </cfRule>
    <cfRule type="containsText" dxfId="29743" priority="462" operator="containsText" text="CMS">
      <formula>NOT(ISERROR(SEARCH("CMS",G63)))</formula>
    </cfRule>
    <cfRule type="cellIs" dxfId="29742" priority="463" operator="equal">
      <formula>0</formula>
    </cfRule>
    <cfRule type="cellIs" dxfId="29741" priority="464" operator="greaterThan">
      <formula>0</formula>
    </cfRule>
  </conditionalFormatting>
  <conditionalFormatting sqref="G45:G46">
    <cfRule type="cellIs" dxfId="29740" priority="453" operator="equal">
      <formula>"PMS"</formula>
    </cfRule>
    <cfRule type="containsText" dxfId="29739" priority="454" operator="containsText" text="CMS">
      <formula>NOT(ISERROR(SEARCH("CMS",G45)))</formula>
    </cfRule>
    <cfRule type="cellIs" dxfId="29738" priority="455" operator="equal">
      <formula>0</formula>
    </cfRule>
    <cfRule type="cellIs" dxfId="29737" priority="456" operator="greaterThan">
      <formula>0</formula>
    </cfRule>
    <cfRule type="cellIs" dxfId="29736" priority="457" operator="equal">
      <formula>"PMS"</formula>
    </cfRule>
    <cfRule type="containsText" dxfId="29735" priority="458" operator="containsText" text="CMS">
      <formula>NOT(ISERROR(SEARCH("CMS",G45)))</formula>
    </cfRule>
    <cfRule type="cellIs" dxfId="29734" priority="459" operator="equal">
      <formula>0</formula>
    </cfRule>
    <cfRule type="cellIs" dxfId="29733" priority="460" operator="greaterThan">
      <formula>0</formula>
    </cfRule>
  </conditionalFormatting>
  <conditionalFormatting sqref="G45:G46">
    <cfRule type="cellIs" dxfId="29732" priority="449" operator="equal">
      <formula>"PMS"</formula>
    </cfRule>
    <cfRule type="containsText" dxfId="29731" priority="450" operator="containsText" text="CMS">
      <formula>NOT(ISERROR(SEARCH("CMS",G45)))</formula>
    </cfRule>
    <cfRule type="cellIs" dxfId="29730" priority="451" operator="equal">
      <formula>0</formula>
    </cfRule>
    <cfRule type="cellIs" dxfId="29729" priority="452" operator="greaterThan">
      <formula>0</formula>
    </cfRule>
  </conditionalFormatting>
  <conditionalFormatting sqref="G45:G46">
    <cfRule type="cellIs" dxfId="29728" priority="445" operator="equal">
      <formula>"PMS"</formula>
    </cfRule>
    <cfRule type="containsText" dxfId="29727" priority="446" operator="containsText" text="CMS">
      <formula>NOT(ISERROR(SEARCH("CMS",G45)))</formula>
    </cfRule>
    <cfRule type="cellIs" dxfId="29726" priority="447" operator="equal">
      <formula>0</formula>
    </cfRule>
    <cfRule type="cellIs" dxfId="29725" priority="448" operator="greaterThan">
      <formula>0</formula>
    </cfRule>
  </conditionalFormatting>
  <conditionalFormatting sqref="I61:I63">
    <cfRule type="cellIs" dxfId="29724" priority="437" operator="equal">
      <formula>"PMS"</formula>
    </cfRule>
    <cfRule type="containsText" dxfId="29723" priority="438" operator="containsText" text="CMS">
      <formula>NOT(ISERROR(SEARCH("CMS",I61)))</formula>
    </cfRule>
    <cfRule type="cellIs" dxfId="29722" priority="439" operator="equal">
      <formula>0</formula>
    </cfRule>
    <cfRule type="cellIs" dxfId="29721" priority="440" operator="greaterThan">
      <formula>0</formula>
    </cfRule>
    <cfRule type="cellIs" dxfId="29720" priority="441" operator="equal">
      <formula>"PMS"</formula>
    </cfRule>
    <cfRule type="containsText" dxfId="29719" priority="442" operator="containsText" text="CMS">
      <formula>NOT(ISERROR(SEARCH("CMS",I61)))</formula>
    </cfRule>
    <cfRule type="cellIs" dxfId="29718" priority="443" operator="equal">
      <formula>0</formula>
    </cfRule>
    <cfRule type="cellIs" dxfId="29717" priority="444" operator="greaterThan">
      <formula>0</formula>
    </cfRule>
  </conditionalFormatting>
  <conditionalFormatting sqref="K63">
    <cfRule type="cellIs" dxfId="29716" priority="429" operator="equal">
      <formula>"PMS"</formula>
    </cfRule>
    <cfRule type="containsText" dxfId="29715" priority="430" operator="containsText" text="CMS">
      <formula>NOT(ISERROR(SEARCH("CMS",K63)))</formula>
    </cfRule>
    <cfRule type="cellIs" dxfId="29714" priority="431" operator="equal">
      <formula>0</formula>
    </cfRule>
    <cfRule type="cellIs" dxfId="29713" priority="432" operator="greaterThan">
      <formula>0</formula>
    </cfRule>
    <cfRule type="cellIs" dxfId="29712" priority="433" operator="equal">
      <formula>"PMS"</formula>
    </cfRule>
    <cfRule type="containsText" dxfId="29711" priority="434" operator="containsText" text="CMS">
      <formula>NOT(ISERROR(SEARCH("CMS",K63)))</formula>
    </cfRule>
    <cfRule type="cellIs" dxfId="29710" priority="435" operator="equal">
      <formula>0</formula>
    </cfRule>
    <cfRule type="cellIs" dxfId="29709" priority="436" operator="greaterThan">
      <formula>0</formula>
    </cfRule>
  </conditionalFormatting>
  <conditionalFormatting sqref="G32:AC32">
    <cfRule type="cellIs" dxfId="29708" priority="421" operator="equal">
      <formula>"PMS"</formula>
    </cfRule>
    <cfRule type="containsText" dxfId="29707" priority="422" operator="containsText" text="CMS">
      <formula>NOT(ISERROR(SEARCH("CMS",G32)))</formula>
    </cfRule>
    <cfRule type="cellIs" dxfId="29706" priority="423" operator="equal">
      <formula>0</formula>
    </cfRule>
    <cfRule type="cellIs" dxfId="29705" priority="424" operator="greaterThan">
      <formula>0</formula>
    </cfRule>
    <cfRule type="cellIs" dxfId="29704" priority="425" operator="equal">
      <formula>"PMS"</formula>
    </cfRule>
    <cfRule type="containsText" dxfId="29703" priority="426" operator="containsText" text="CMS">
      <formula>NOT(ISERROR(SEARCH("CMS",G32)))</formula>
    </cfRule>
    <cfRule type="cellIs" dxfId="29702" priority="427" operator="equal">
      <formula>0</formula>
    </cfRule>
    <cfRule type="cellIs" dxfId="29701" priority="428" operator="greaterThan">
      <formula>0</formula>
    </cfRule>
  </conditionalFormatting>
  <conditionalFormatting sqref="G32:AC32">
    <cfRule type="cellIs" dxfId="29700" priority="417" operator="equal">
      <formula>"PMS"</formula>
    </cfRule>
    <cfRule type="containsText" dxfId="29699" priority="418" operator="containsText" text="CMS">
      <formula>NOT(ISERROR(SEARCH("CMS",G32)))</formula>
    </cfRule>
    <cfRule type="cellIs" dxfId="29698" priority="419" operator="equal">
      <formula>0</formula>
    </cfRule>
    <cfRule type="cellIs" dxfId="29697" priority="420" operator="greaterThan">
      <formula>0</formula>
    </cfRule>
  </conditionalFormatting>
  <conditionalFormatting sqref="G32:AC32">
    <cfRule type="cellIs" dxfId="29696" priority="413" operator="equal">
      <formula>"PMS"</formula>
    </cfRule>
    <cfRule type="containsText" dxfId="29695" priority="414" operator="containsText" text="CMS">
      <formula>NOT(ISERROR(SEARCH("CMS",G32)))</formula>
    </cfRule>
    <cfRule type="cellIs" dxfId="29694" priority="415" operator="equal">
      <formula>0</formula>
    </cfRule>
    <cfRule type="cellIs" dxfId="29693" priority="416" operator="greaterThan">
      <formula>0</formula>
    </cfRule>
  </conditionalFormatting>
  <conditionalFormatting sqref="O48">
    <cfRule type="cellIs" dxfId="29692" priority="409" operator="equal">
      <formula>"PMS"</formula>
    </cfRule>
    <cfRule type="containsText" dxfId="29691" priority="410" operator="containsText" text="CMS">
      <formula>NOT(ISERROR(SEARCH("CMS",O48)))</formula>
    </cfRule>
    <cfRule type="cellIs" dxfId="29690" priority="411" operator="equal">
      <formula>0</formula>
    </cfRule>
    <cfRule type="cellIs" dxfId="29689" priority="412" operator="greaterThan">
      <formula>0</formula>
    </cfRule>
  </conditionalFormatting>
  <conditionalFormatting sqref="O48">
    <cfRule type="cellIs" dxfId="29688" priority="405" operator="equal">
      <formula>"PMS"</formula>
    </cfRule>
    <cfRule type="containsText" dxfId="29687" priority="406" operator="containsText" text="CMS">
      <formula>NOT(ISERROR(SEARCH("CMS",O48)))</formula>
    </cfRule>
    <cfRule type="cellIs" dxfId="29686" priority="407" operator="equal">
      <formula>0</formula>
    </cfRule>
    <cfRule type="cellIs" dxfId="29685" priority="408" operator="greaterThan">
      <formula>0</formula>
    </cfRule>
  </conditionalFormatting>
  <conditionalFormatting sqref="O48">
    <cfRule type="cellIs" dxfId="29684" priority="401" operator="equal">
      <formula>"PMS"</formula>
    </cfRule>
    <cfRule type="containsText" dxfId="29683" priority="402" operator="containsText" text="CMS">
      <formula>NOT(ISERROR(SEARCH("CMS",O48)))</formula>
    </cfRule>
    <cfRule type="cellIs" dxfId="29682" priority="403" operator="equal">
      <formula>0</formula>
    </cfRule>
    <cfRule type="cellIs" dxfId="29681" priority="404" operator="greaterThan">
      <formula>0</formula>
    </cfRule>
  </conditionalFormatting>
  <conditionalFormatting sqref="O48">
    <cfRule type="cellIs" dxfId="29680" priority="397" operator="equal">
      <formula>"PMS"</formula>
    </cfRule>
    <cfRule type="containsText" dxfId="29679" priority="398" operator="containsText" text="CMS">
      <formula>NOT(ISERROR(SEARCH("CMS",O48)))</formula>
    </cfRule>
    <cfRule type="cellIs" dxfId="29678" priority="399" operator="equal">
      <formula>0</formula>
    </cfRule>
    <cfRule type="cellIs" dxfId="29677" priority="400" operator="greaterThan">
      <formula>0</formula>
    </cfRule>
  </conditionalFormatting>
  <conditionalFormatting sqref="O56">
    <cfRule type="cellIs" dxfId="29676" priority="393" operator="equal">
      <formula>"PMS"</formula>
    </cfRule>
    <cfRule type="containsText" dxfId="29675" priority="394" operator="containsText" text="CMS">
      <formula>NOT(ISERROR(SEARCH("CMS",O56)))</formula>
    </cfRule>
    <cfRule type="cellIs" dxfId="29674" priority="395" operator="equal">
      <formula>0</formula>
    </cfRule>
    <cfRule type="cellIs" dxfId="29673" priority="396" operator="greaterThan">
      <formula>0</formula>
    </cfRule>
  </conditionalFormatting>
  <conditionalFormatting sqref="O56">
    <cfRule type="cellIs" dxfId="29672" priority="389" operator="equal">
      <formula>"PMS"</formula>
    </cfRule>
    <cfRule type="containsText" dxfId="29671" priority="390" operator="containsText" text="CMS">
      <formula>NOT(ISERROR(SEARCH("CMS",O56)))</formula>
    </cfRule>
    <cfRule type="cellIs" dxfId="29670" priority="391" operator="equal">
      <formula>0</formula>
    </cfRule>
    <cfRule type="cellIs" dxfId="29669" priority="392" operator="greaterThan">
      <formula>0</formula>
    </cfRule>
  </conditionalFormatting>
  <conditionalFormatting sqref="O56">
    <cfRule type="cellIs" dxfId="29668" priority="385" operator="equal">
      <formula>"PMS"</formula>
    </cfRule>
    <cfRule type="containsText" dxfId="29667" priority="386" operator="containsText" text="CMS">
      <formula>NOT(ISERROR(SEARCH("CMS",O56)))</formula>
    </cfRule>
    <cfRule type="cellIs" dxfId="29666" priority="387" operator="equal">
      <formula>0</formula>
    </cfRule>
    <cfRule type="cellIs" dxfId="29665" priority="388" operator="greaterThan">
      <formula>0</formula>
    </cfRule>
  </conditionalFormatting>
  <conditionalFormatting sqref="O56">
    <cfRule type="cellIs" dxfId="29664" priority="381" operator="equal">
      <formula>"PMS"</formula>
    </cfRule>
    <cfRule type="containsText" dxfId="29663" priority="382" operator="containsText" text="CMS">
      <formula>NOT(ISERROR(SEARCH("CMS",O56)))</formula>
    </cfRule>
    <cfRule type="cellIs" dxfId="29662" priority="383" operator="equal">
      <formula>0</formula>
    </cfRule>
    <cfRule type="cellIs" dxfId="29661" priority="384" operator="greaterThan">
      <formula>0</formula>
    </cfRule>
  </conditionalFormatting>
  <conditionalFormatting sqref="O57:P57">
    <cfRule type="cellIs" dxfId="29660" priority="377" operator="equal">
      <formula>"PMS"</formula>
    </cfRule>
    <cfRule type="containsText" dxfId="29659" priority="378" operator="containsText" text="CMS">
      <formula>NOT(ISERROR(SEARCH("CMS",O57)))</formula>
    </cfRule>
    <cfRule type="cellIs" dxfId="29658" priority="379" operator="equal">
      <formula>0</formula>
    </cfRule>
    <cfRule type="cellIs" dxfId="29657" priority="380" operator="greaterThan">
      <formula>0</formula>
    </cfRule>
  </conditionalFormatting>
  <conditionalFormatting sqref="O57:P57">
    <cfRule type="cellIs" dxfId="29656" priority="373" operator="equal">
      <formula>"PMS"</formula>
    </cfRule>
    <cfRule type="containsText" dxfId="29655" priority="374" operator="containsText" text="CMS">
      <formula>NOT(ISERROR(SEARCH("CMS",O57)))</formula>
    </cfRule>
    <cfRule type="cellIs" dxfId="29654" priority="375" operator="equal">
      <formula>0</formula>
    </cfRule>
    <cfRule type="cellIs" dxfId="29653" priority="376" operator="greaterThan">
      <formula>0</formula>
    </cfRule>
  </conditionalFormatting>
  <conditionalFormatting sqref="O57:P57">
    <cfRule type="cellIs" dxfId="29652" priority="369" operator="equal">
      <formula>"PMS"</formula>
    </cfRule>
    <cfRule type="containsText" dxfId="29651" priority="370" operator="containsText" text="CMS">
      <formula>NOT(ISERROR(SEARCH("CMS",O57)))</formula>
    </cfRule>
    <cfRule type="cellIs" dxfId="29650" priority="371" operator="equal">
      <formula>0</formula>
    </cfRule>
    <cfRule type="cellIs" dxfId="29649" priority="372" operator="greaterThan">
      <formula>0</formula>
    </cfRule>
  </conditionalFormatting>
  <conditionalFormatting sqref="O57:P57">
    <cfRule type="cellIs" dxfId="29648" priority="365" operator="equal">
      <formula>"PMS"</formula>
    </cfRule>
    <cfRule type="containsText" dxfId="29647" priority="366" operator="containsText" text="CMS">
      <formula>NOT(ISERROR(SEARCH("CMS",O57)))</formula>
    </cfRule>
    <cfRule type="cellIs" dxfId="29646" priority="367" operator="equal">
      <formula>0</formula>
    </cfRule>
    <cfRule type="cellIs" dxfId="29645" priority="368" operator="greaterThan">
      <formula>0</formula>
    </cfRule>
  </conditionalFormatting>
  <conditionalFormatting sqref="G48:G49">
    <cfRule type="cellIs" dxfId="29644" priority="357" operator="equal">
      <formula>"PMS"</formula>
    </cfRule>
    <cfRule type="containsText" dxfId="29643" priority="358" operator="containsText" text="CMS">
      <formula>NOT(ISERROR(SEARCH("CMS",G48)))</formula>
    </cfRule>
    <cfRule type="cellIs" dxfId="29642" priority="359" operator="equal">
      <formula>0</formula>
    </cfRule>
    <cfRule type="cellIs" dxfId="29641" priority="360" operator="greaterThan">
      <formula>0</formula>
    </cfRule>
    <cfRule type="cellIs" dxfId="29640" priority="361" operator="equal">
      <formula>"PMS"</formula>
    </cfRule>
    <cfRule type="containsText" dxfId="29639" priority="362" operator="containsText" text="CMS">
      <formula>NOT(ISERROR(SEARCH("CMS",G48)))</formula>
    </cfRule>
    <cfRule type="cellIs" dxfId="29638" priority="363" operator="equal">
      <formula>0</formula>
    </cfRule>
    <cfRule type="cellIs" dxfId="29637" priority="364" operator="greaterThan">
      <formula>0</formula>
    </cfRule>
  </conditionalFormatting>
  <conditionalFormatting sqref="G48:G49">
    <cfRule type="cellIs" dxfId="29636" priority="353" operator="equal">
      <formula>"PMS"</formula>
    </cfRule>
    <cfRule type="containsText" dxfId="29635" priority="354" operator="containsText" text="CMS">
      <formula>NOT(ISERROR(SEARCH("CMS",G48)))</formula>
    </cfRule>
    <cfRule type="cellIs" dxfId="29634" priority="355" operator="equal">
      <formula>0</formula>
    </cfRule>
    <cfRule type="cellIs" dxfId="29633" priority="356" operator="greaterThan">
      <formula>0</formula>
    </cfRule>
  </conditionalFormatting>
  <conditionalFormatting sqref="G48:G49">
    <cfRule type="cellIs" dxfId="29632" priority="349" operator="equal">
      <formula>"PMS"</formula>
    </cfRule>
    <cfRule type="containsText" dxfId="29631" priority="350" operator="containsText" text="CMS">
      <formula>NOT(ISERROR(SEARCH("CMS",G48)))</formula>
    </cfRule>
    <cfRule type="cellIs" dxfId="29630" priority="351" operator="equal">
      <formula>0</formula>
    </cfRule>
    <cfRule type="cellIs" dxfId="29629" priority="352" operator="greaterThan">
      <formula>0</formula>
    </cfRule>
  </conditionalFormatting>
  <conditionalFormatting sqref="G66:G72 G74">
    <cfRule type="cellIs" dxfId="29628" priority="341" operator="equal">
      <formula>"PMS"</formula>
    </cfRule>
    <cfRule type="containsText" dxfId="29627" priority="342" operator="containsText" text="CMS">
      <formula>NOT(ISERROR(SEARCH("CMS",G66)))</formula>
    </cfRule>
    <cfRule type="cellIs" dxfId="29626" priority="343" operator="equal">
      <formula>0</formula>
    </cfRule>
    <cfRule type="cellIs" dxfId="29625" priority="344" operator="greaterThan">
      <formula>0</formula>
    </cfRule>
    <cfRule type="cellIs" dxfId="29624" priority="345" operator="equal">
      <formula>"PMS"</formula>
    </cfRule>
    <cfRule type="containsText" dxfId="29623" priority="346" operator="containsText" text="CMS">
      <formula>NOT(ISERROR(SEARCH("CMS",G66)))</formula>
    </cfRule>
    <cfRule type="cellIs" dxfId="29622" priority="347" operator="equal">
      <formula>0</formula>
    </cfRule>
    <cfRule type="cellIs" dxfId="29621" priority="348" operator="greaterThan">
      <formula>0</formula>
    </cfRule>
  </conditionalFormatting>
  <conditionalFormatting sqref="O53:O58">
    <cfRule type="cellIs" dxfId="29620" priority="337" operator="equal">
      <formula>"PMS"</formula>
    </cfRule>
    <cfRule type="containsText" dxfId="29619" priority="338" operator="containsText" text="CMS">
      <formula>NOT(ISERROR(SEARCH("CMS",O53)))</formula>
    </cfRule>
    <cfRule type="cellIs" dxfId="29618" priority="339" operator="equal">
      <formula>0</formula>
    </cfRule>
    <cfRule type="cellIs" dxfId="29617" priority="340" operator="greaterThan">
      <formula>0</formula>
    </cfRule>
  </conditionalFormatting>
  <conditionalFormatting sqref="G24:I24 G35:I35 G73:J73">
    <cfRule type="cellIs" dxfId="29616" priority="329" operator="equal">
      <formula>"PMS"</formula>
    </cfRule>
    <cfRule type="containsText" dxfId="29615" priority="330" operator="containsText" text="CMS">
      <formula>NOT(ISERROR(SEARCH("CMS",G24)))</formula>
    </cfRule>
    <cfRule type="cellIs" dxfId="29614" priority="331" operator="equal">
      <formula>0</formula>
    </cfRule>
    <cfRule type="cellIs" dxfId="29613" priority="332" operator="greaterThan">
      <formula>0</formula>
    </cfRule>
    <cfRule type="cellIs" dxfId="29612" priority="333" operator="equal">
      <formula>"PMS"</formula>
    </cfRule>
    <cfRule type="containsText" dxfId="29611" priority="334" operator="containsText" text="CMS">
      <formula>NOT(ISERROR(SEARCH("CMS",G24)))</formula>
    </cfRule>
    <cfRule type="cellIs" dxfId="29610" priority="335" operator="equal">
      <formula>0</formula>
    </cfRule>
    <cfRule type="cellIs" dxfId="29609" priority="336" operator="greaterThan">
      <formula>0</formula>
    </cfRule>
  </conditionalFormatting>
  <conditionalFormatting sqref="G73:J73">
    <cfRule type="cellIs" dxfId="29608" priority="325" operator="equal">
      <formula>"PMS"</formula>
    </cfRule>
    <cfRule type="containsText" dxfId="29607" priority="326" operator="containsText" text="CMS">
      <formula>NOT(ISERROR(SEARCH("CMS",G73)))</formula>
    </cfRule>
    <cfRule type="cellIs" dxfId="29606" priority="327" operator="equal">
      <formula>0</formula>
    </cfRule>
    <cfRule type="cellIs" dxfId="29605" priority="328" operator="greaterThan">
      <formula>0</formula>
    </cfRule>
  </conditionalFormatting>
  <conditionalFormatting sqref="G73:J73">
    <cfRule type="cellIs" dxfId="29604" priority="321" operator="equal">
      <formula>"PMS"</formula>
    </cfRule>
    <cfRule type="containsText" dxfId="29603" priority="322" operator="containsText" text="CMS">
      <formula>NOT(ISERROR(SEARCH("CMS",G73)))</formula>
    </cfRule>
    <cfRule type="cellIs" dxfId="29602" priority="323" operator="equal">
      <formula>0</formula>
    </cfRule>
    <cfRule type="cellIs" dxfId="29601" priority="324" operator="greaterThan">
      <formula>0</formula>
    </cfRule>
  </conditionalFormatting>
  <conditionalFormatting sqref="G24:I24">
    <cfRule type="cellIs" dxfId="29600" priority="301" operator="equal">
      <formula>"PMS"</formula>
    </cfRule>
    <cfRule type="containsText" dxfId="29599" priority="302" operator="containsText" text="CMS">
      <formula>NOT(ISERROR(SEARCH("CMS",G24)))</formula>
    </cfRule>
    <cfRule type="cellIs" dxfId="29598" priority="303" operator="equal">
      <formula>0</formula>
    </cfRule>
    <cfRule type="cellIs" dxfId="29597" priority="304" operator="greaterThan">
      <formula>0</formula>
    </cfRule>
  </conditionalFormatting>
  <conditionalFormatting sqref="G24:I24">
    <cfRule type="cellIs" dxfId="29596" priority="297" operator="equal">
      <formula>"PMS"</formula>
    </cfRule>
    <cfRule type="containsText" dxfId="29595" priority="298" operator="containsText" text="CMS">
      <formula>NOT(ISERROR(SEARCH("CMS",G24)))</formula>
    </cfRule>
    <cfRule type="cellIs" dxfId="29594" priority="299" operator="equal">
      <formula>0</formula>
    </cfRule>
    <cfRule type="cellIs" dxfId="29593" priority="300" operator="greaterThan">
      <formula>0</formula>
    </cfRule>
  </conditionalFormatting>
  <conditionalFormatting sqref="G35:I35">
    <cfRule type="cellIs" dxfId="29592" priority="285" operator="equal">
      <formula>"PMS"</formula>
    </cfRule>
    <cfRule type="containsText" dxfId="29591" priority="286" operator="containsText" text="CMS">
      <formula>NOT(ISERROR(SEARCH("CMS",G35)))</formula>
    </cfRule>
    <cfRule type="cellIs" dxfId="29590" priority="287" operator="equal">
      <formula>0</formula>
    </cfRule>
    <cfRule type="cellIs" dxfId="29589" priority="288" operator="greaterThan">
      <formula>0</formula>
    </cfRule>
  </conditionalFormatting>
  <conditionalFormatting sqref="G35:I35">
    <cfRule type="cellIs" dxfId="29588" priority="281" operator="equal">
      <formula>"PMS"</formula>
    </cfRule>
    <cfRule type="containsText" dxfId="29587" priority="282" operator="containsText" text="CMS">
      <formula>NOT(ISERROR(SEARCH("CMS",G35)))</formula>
    </cfRule>
    <cfRule type="cellIs" dxfId="29586" priority="283" operator="equal">
      <formula>0</formula>
    </cfRule>
    <cfRule type="cellIs" dxfId="29585" priority="284" operator="greaterThan">
      <formula>0</formula>
    </cfRule>
  </conditionalFormatting>
  <conditionalFormatting sqref="G19:I19">
    <cfRule type="cellIs" dxfId="29584" priority="217" operator="equal">
      <formula>"PMS"</formula>
    </cfRule>
    <cfRule type="containsText" dxfId="29583" priority="218" operator="containsText" text="CMS">
      <formula>NOT(ISERROR(SEARCH("CMS",G19)))</formula>
    </cfRule>
    <cfRule type="cellIs" dxfId="29582" priority="219" operator="equal">
      <formula>0</formula>
    </cfRule>
    <cfRule type="cellIs" dxfId="29581" priority="220" operator="greaterThan">
      <formula>0</formula>
    </cfRule>
    <cfRule type="cellIs" dxfId="29580" priority="221" operator="equal">
      <formula>"PMS"</formula>
    </cfRule>
    <cfRule type="containsText" dxfId="29579" priority="222" operator="containsText" text="CMS">
      <formula>NOT(ISERROR(SEARCH("CMS",G19)))</formula>
    </cfRule>
    <cfRule type="cellIs" dxfId="29578" priority="223" operator="equal">
      <formula>0</formula>
    </cfRule>
    <cfRule type="cellIs" dxfId="29577" priority="224" operator="greaterThan">
      <formula>0</formula>
    </cfRule>
  </conditionalFormatting>
  <conditionalFormatting sqref="G19:I19">
    <cfRule type="cellIs" dxfId="29576" priority="213" operator="equal">
      <formula>"PMS"</formula>
    </cfRule>
    <cfRule type="containsText" dxfId="29575" priority="214" operator="containsText" text="CMS">
      <formula>NOT(ISERROR(SEARCH("CMS",G19)))</formula>
    </cfRule>
    <cfRule type="cellIs" dxfId="29574" priority="215" operator="equal">
      <formula>0</formula>
    </cfRule>
    <cfRule type="cellIs" dxfId="29573" priority="216" operator="greaterThan">
      <formula>0</formula>
    </cfRule>
  </conditionalFormatting>
  <conditionalFormatting sqref="G19:I19">
    <cfRule type="cellIs" dxfId="29572" priority="209" operator="equal">
      <formula>"PMS"</formula>
    </cfRule>
    <cfRule type="containsText" dxfId="29571" priority="210" operator="containsText" text="CMS">
      <formula>NOT(ISERROR(SEARCH("CMS",G19)))</formula>
    </cfRule>
    <cfRule type="cellIs" dxfId="29570" priority="211" operator="equal">
      <formula>0</formula>
    </cfRule>
    <cfRule type="cellIs" dxfId="29569" priority="212" operator="greaterThan">
      <formula>0</formula>
    </cfRule>
  </conditionalFormatting>
  <conditionalFormatting sqref="O55">
    <cfRule type="cellIs" dxfId="29568" priority="205" operator="equal">
      <formula>"PMS"</formula>
    </cfRule>
    <cfRule type="containsText" dxfId="29567" priority="206" operator="containsText" text="CMS">
      <formula>NOT(ISERROR(SEARCH("CMS",O55)))</formula>
    </cfRule>
    <cfRule type="cellIs" dxfId="29566" priority="207" operator="equal">
      <formula>0</formula>
    </cfRule>
    <cfRule type="cellIs" dxfId="29565" priority="208" operator="greaterThan">
      <formula>0</formula>
    </cfRule>
  </conditionalFormatting>
  <conditionalFormatting sqref="F20:F21 F24 F13:F16 F35:F58 F77:F78 F61:F63 F66:F74 F27:F29 I29 L29 O29 R29 U29 X29 AA29">
    <cfRule type="cellIs" dxfId="29564" priority="197" operator="equal">
      <formula>"PMS"</formula>
    </cfRule>
    <cfRule type="containsText" dxfId="29563" priority="198" operator="containsText" text="CMS">
      <formula>NOT(ISERROR(SEARCH("CMS",F13)))</formula>
    </cfRule>
    <cfRule type="cellIs" dxfId="29562" priority="199" operator="equal">
      <formula>0</formula>
    </cfRule>
    <cfRule type="cellIs" dxfId="29561" priority="200" operator="greaterThan">
      <formula>0</formula>
    </cfRule>
    <cfRule type="cellIs" dxfId="29560" priority="201" operator="equal">
      <formula>"PMS"</formula>
    </cfRule>
    <cfRule type="containsText" dxfId="29559" priority="202" operator="containsText" text="CMS">
      <formula>NOT(ISERROR(SEARCH("CMS",F13)))</formula>
    </cfRule>
    <cfRule type="cellIs" dxfId="29558" priority="203" operator="equal">
      <formula>0</formula>
    </cfRule>
    <cfRule type="cellIs" dxfId="29557" priority="204" operator="greaterThan">
      <formula>0</formula>
    </cfRule>
  </conditionalFormatting>
  <conditionalFormatting sqref="F77:F78 F61:F63 F66:F74">
    <cfRule type="cellIs" dxfId="29556" priority="193" operator="equal">
      <formula>"PMS"</formula>
    </cfRule>
    <cfRule type="containsText" dxfId="29555" priority="194" operator="containsText" text="CMS">
      <formula>NOT(ISERROR(SEARCH("CMS",F61)))</formula>
    </cfRule>
    <cfRule type="cellIs" dxfId="29554" priority="195" operator="equal">
      <formula>0</formula>
    </cfRule>
    <cfRule type="cellIs" dxfId="29553" priority="196" operator="greaterThan">
      <formula>0</formula>
    </cfRule>
  </conditionalFormatting>
  <conditionalFormatting sqref="F66:F74">
    <cfRule type="cellIs" dxfId="29552" priority="189" operator="equal">
      <formula>"PMS"</formula>
    </cfRule>
    <cfRule type="containsText" dxfId="29551" priority="190" operator="containsText" text="CMS">
      <formula>NOT(ISERROR(SEARCH("CMS",F66)))</formula>
    </cfRule>
    <cfRule type="cellIs" dxfId="29550" priority="191" operator="equal">
      <formula>0</formula>
    </cfRule>
    <cfRule type="cellIs" dxfId="29549" priority="192" operator="greaterThan">
      <formula>0</formula>
    </cfRule>
  </conditionalFormatting>
  <conditionalFormatting sqref="F13:F16">
    <cfRule type="cellIs" dxfId="29548" priority="185" operator="equal">
      <formula>"PMS"</formula>
    </cfRule>
    <cfRule type="containsText" dxfId="29547" priority="186" operator="containsText" text="CMS">
      <formula>NOT(ISERROR(SEARCH("CMS",F13)))</formula>
    </cfRule>
    <cfRule type="cellIs" dxfId="29546" priority="187" operator="equal">
      <formula>0</formula>
    </cfRule>
    <cfRule type="cellIs" dxfId="29545" priority="188" operator="greaterThan">
      <formula>0</formula>
    </cfRule>
  </conditionalFormatting>
  <conditionalFormatting sqref="F13:F16">
    <cfRule type="cellIs" dxfId="29544" priority="181" operator="equal">
      <formula>"PMS"</formula>
    </cfRule>
    <cfRule type="containsText" dxfId="29543" priority="182" operator="containsText" text="CMS">
      <formula>NOT(ISERROR(SEARCH("CMS",F13)))</formula>
    </cfRule>
    <cfRule type="cellIs" dxfId="29542" priority="183" operator="equal">
      <formula>0</formula>
    </cfRule>
    <cfRule type="cellIs" dxfId="29541" priority="184" operator="greaterThan">
      <formula>0</formula>
    </cfRule>
  </conditionalFormatting>
  <conditionalFormatting sqref="F20:F21">
    <cfRule type="cellIs" dxfId="29540" priority="177" operator="equal">
      <formula>"PMS"</formula>
    </cfRule>
    <cfRule type="containsText" dxfId="29539" priority="178" operator="containsText" text="CMS">
      <formula>NOT(ISERROR(SEARCH("CMS",F20)))</formula>
    </cfRule>
    <cfRule type="cellIs" dxfId="29538" priority="179" operator="equal">
      <formula>0</formula>
    </cfRule>
    <cfRule type="cellIs" dxfId="29537" priority="180" operator="greaterThan">
      <formula>0</formula>
    </cfRule>
  </conditionalFormatting>
  <conditionalFormatting sqref="F20:F21">
    <cfRule type="cellIs" dxfId="29536" priority="173" operator="equal">
      <formula>"PMS"</formula>
    </cfRule>
    <cfRule type="containsText" dxfId="29535" priority="174" operator="containsText" text="CMS">
      <formula>NOT(ISERROR(SEARCH("CMS",F20)))</formula>
    </cfRule>
    <cfRule type="cellIs" dxfId="29534" priority="175" operator="equal">
      <formula>0</formula>
    </cfRule>
    <cfRule type="cellIs" dxfId="29533" priority="176" operator="greaterThan">
      <formula>0</formula>
    </cfRule>
  </conditionalFormatting>
  <conditionalFormatting sqref="F24">
    <cfRule type="cellIs" dxfId="29532" priority="169" operator="equal">
      <formula>"PMS"</formula>
    </cfRule>
    <cfRule type="containsText" dxfId="29531" priority="170" operator="containsText" text="CMS">
      <formula>NOT(ISERROR(SEARCH("CMS",F24)))</formula>
    </cfRule>
    <cfRule type="cellIs" dxfId="29530" priority="171" operator="equal">
      <formula>0</formula>
    </cfRule>
    <cfRule type="cellIs" dxfId="29529" priority="172" operator="greaterThan">
      <formula>0</formula>
    </cfRule>
  </conditionalFormatting>
  <conditionalFormatting sqref="F24">
    <cfRule type="cellIs" dxfId="29528" priority="165" operator="equal">
      <formula>"PMS"</formula>
    </cfRule>
    <cfRule type="containsText" dxfId="29527" priority="166" operator="containsText" text="CMS">
      <formula>NOT(ISERROR(SEARCH("CMS",F24)))</formula>
    </cfRule>
    <cfRule type="cellIs" dxfId="29526" priority="167" operator="equal">
      <formula>0</formula>
    </cfRule>
    <cfRule type="cellIs" dxfId="29525" priority="168" operator="greaterThan">
      <formula>0</formula>
    </cfRule>
  </conditionalFormatting>
  <conditionalFormatting sqref="F27:F29 I29 L29 O29 R29 U29 X29 AA29">
    <cfRule type="cellIs" dxfId="29524" priority="161" operator="equal">
      <formula>"PMS"</formula>
    </cfRule>
    <cfRule type="containsText" dxfId="29523" priority="162" operator="containsText" text="CMS">
      <formula>NOT(ISERROR(SEARCH("CMS",F27)))</formula>
    </cfRule>
    <cfRule type="cellIs" dxfId="29522" priority="163" operator="equal">
      <formula>0</formula>
    </cfRule>
    <cfRule type="cellIs" dxfId="29521" priority="164" operator="greaterThan">
      <formula>0</formula>
    </cfRule>
  </conditionalFormatting>
  <conditionalFormatting sqref="F27:F29 I29 L29 O29 R29 U29 X29 AA29">
    <cfRule type="cellIs" dxfId="29520" priority="157" operator="equal">
      <formula>"PMS"</formula>
    </cfRule>
    <cfRule type="containsText" dxfId="29519" priority="158" operator="containsText" text="CMS">
      <formula>NOT(ISERROR(SEARCH("CMS",F27)))</formula>
    </cfRule>
    <cfRule type="cellIs" dxfId="29518" priority="159" operator="equal">
      <formula>0</formula>
    </cfRule>
    <cfRule type="cellIs" dxfId="29517" priority="160" operator="greaterThan">
      <formula>0</formula>
    </cfRule>
  </conditionalFormatting>
  <conditionalFormatting sqref="F35:F58">
    <cfRule type="cellIs" dxfId="29516" priority="153" operator="equal">
      <formula>"PMS"</formula>
    </cfRule>
    <cfRule type="containsText" dxfId="29515" priority="154" operator="containsText" text="CMS">
      <formula>NOT(ISERROR(SEARCH("CMS",F35)))</formula>
    </cfRule>
    <cfRule type="cellIs" dxfId="29514" priority="155" operator="equal">
      <formula>0</formula>
    </cfRule>
    <cfRule type="cellIs" dxfId="29513" priority="156" operator="greaterThan">
      <formula>0</formula>
    </cfRule>
  </conditionalFormatting>
  <conditionalFormatting sqref="F35:F58">
    <cfRule type="cellIs" dxfId="29512" priority="149" operator="equal">
      <formula>"PMS"</formula>
    </cfRule>
    <cfRule type="containsText" dxfId="29511" priority="150" operator="containsText" text="CMS">
      <formula>NOT(ISERROR(SEARCH("CMS",F35)))</formula>
    </cfRule>
    <cfRule type="cellIs" dxfId="29510" priority="151" operator="equal">
      <formula>0</formula>
    </cfRule>
    <cfRule type="cellIs" dxfId="29509" priority="152" operator="greaterThan">
      <formula>0</formula>
    </cfRule>
  </conditionalFormatting>
  <conditionalFormatting sqref="F13">
    <cfRule type="cellIs" dxfId="29508" priority="145" operator="equal">
      <formula>"PMS"</formula>
    </cfRule>
    <cfRule type="containsText" dxfId="29507" priority="146" operator="containsText" text="CMS">
      <formula>NOT(ISERROR(SEARCH("CMS",F13)))</formula>
    </cfRule>
    <cfRule type="cellIs" dxfId="29506" priority="147" operator="equal">
      <formula>0</formula>
    </cfRule>
    <cfRule type="cellIs" dxfId="29505" priority="148" operator="greaterThan">
      <formula>0</formula>
    </cfRule>
  </conditionalFormatting>
  <conditionalFormatting sqref="F13">
    <cfRule type="cellIs" dxfId="29504" priority="141" operator="equal">
      <formula>"PMS"</formula>
    </cfRule>
    <cfRule type="containsText" dxfId="29503" priority="142" operator="containsText" text="CMS">
      <formula>NOT(ISERROR(SEARCH("CMS",F13)))</formula>
    </cfRule>
    <cfRule type="cellIs" dxfId="29502" priority="143" operator="equal">
      <formula>0</formula>
    </cfRule>
    <cfRule type="cellIs" dxfId="29501" priority="144" operator="greaterThan">
      <formula>0</formula>
    </cfRule>
  </conditionalFormatting>
  <conditionalFormatting sqref="F57">
    <cfRule type="cellIs" dxfId="29500" priority="137" operator="equal">
      <formula>"PMS"</formula>
    </cfRule>
    <cfRule type="containsText" dxfId="29499" priority="138" operator="containsText" text="CMS">
      <formula>NOT(ISERROR(SEARCH("CMS",F57)))</formula>
    </cfRule>
    <cfRule type="cellIs" dxfId="29498" priority="139" operator="equal">
      <formula>0</formula>
    </cfRule>
    <cfRule type="cellIs" dxfId="29497" priority="140" operator="greaterThan">
      <formula>0</formula>
    </cfRule>
  </conditionalFormatting>
  <conditionalFormatting sqref="F57">
    <cfRule type="cellIs" dxfId="29496" priority="133" operator="equal">
      <formula>"PMS"</formula>
    </cfRule>
    <cfRule type="containsText" dxfId="29495" priority="134" operator="containsText" text="CMS">
      <formula>NOT(ISERROR(SEARCH("CMS",F57)))</formula>
    </cfRule>
    <cfRule type="cellIs" dxfId="29494" priority="135" operator="equal">
      <formula>0</formula>
    </cfRule>
    <cfRule type="cellIs" dxfId="29493" priority="136" operator="greaterThan">
      <formula>0</formula>
    </cfRule>
  </conditionalFormatting>
  <conditionalFormatting sqref="F57">
    <cfRule type="cellIs" dxfId="29492" priority="129" operator="equal">
      <formula>"PMS"</formula>
    </cfRule>
    <cfRule type="containsText" dxfId="29491" priority="130" operator="containsText" text="CMS">
      <formula>NOT(ISERROR(SEARCH("CMS",F57)))</formula>
    </cfRule>
    <cfRule type="cellIs" dxfId="29490" priority="131" operator="equal">
      <formula>0</formula>
    </cfRule>
    <cfRule type="cellIs" dxfId="29489" priority="132" operator="greaterThan">
      <formula>0</formula>
    </cfRule>
  </conditionalFormatting>
  <conditionalFormatting sqref="F57">
    <cfRule type="cellIs" dxfId="29488" priority="125" operator="equal">
      <formula>"PMS"</formula>
    </cfRule>
    <cfRule type="containsText" dxfId="29487" priority="126" operator="containsText" text="CMS">
      <formula>NOT(ISERROR(SEARCH("CMS",F57)))</formula>
    </cfRule>
    <cfRule type="cellIs" dxfId="29486" priority="127" operator="equal">
      <formula>0</formula>
    </cfRule>
    <cfRule type="cellIs" dxfId="29485" priority="128" operator="greaterThan">
      <formula>0</formula>
    </cfRule>
  </conditionalFormatting>
  <conditionalFormatting sqref="F58">
    <cfRule type="cellIs" dxfId="29484" priority="121" operator="equal">
      <formula>"PMS"</formula>
    </cfRule>
    <cfRule type="containsText" dxfId="29483" priority="122" operator="containsText" text="CMS">
      <formula>NOT(ISERROR(SEARCH("CMS",F58)))</formula>
    </cfRule>
    <cfRule type="cellIs" dxfId="29482" priority="123" operator="equal">
      <formula>0</formula>
    </cfRule>
    <cfRule type="cellIs" dxfId="29481" priority="124" operator="greaterThan">
      <formula>0</formula>
    </cfRule>
  </conditionalFormatting>
  <conditionalFormatting sqref="F58">
    <cfRule type="cellIs" dxfId="29480" priority="117" operator="equal">
      <formula>"PMS"</formula>
    </cfRule>
    <cfRule type="containsText" dxfId="29479" priority="118" operator="containsText" text="CMS">
      <formula>NOT(ISERROR(SEARCH("CMS",F58)))</formula>
    </cfRule>
    <cfRule type="cellIs" dxfId="29478" priority="119" operator="equal">
      <formula>0</formula>
    </cfRule>
    <cfRule type="cellIs" dxfId="29477" priority="120" operator="greaterThan">
      <formula>0</formula>
    </cfRule>
  </conditionalFormatting>
  <conditionalFormatting sqref="F58">
    <cfRule type="cellIs" dxfId="29476" priority="113" operator="equal">
      <formula>"PMS"</formula>
    </cfRule>
    <cfRule type="containsText" dxfId="29475" priority="114" operator="containsText" text="CMS">
      <formula>NOT(ISERROR(SEARCH("CMS",F58)))</formula>
    </cfRule>
    <cfRule type="cellIs" dxfId="29474" priority="115" operator="equal">
      <formula>0</formula>
    </cfRule>
    <cfRule type="cellIs" dxfId="29473" priority="116" operator="greaterThan">
      <formula>0</formula>
    </cfRule>
  </conditionalFormatting>
  <conditionalFormatting sqref="F58">
    <cfRule type="cellIs" dxfId="29472" priority="109" operator="equal">
      <formula>"PMS"</formula>
    </cfRule>
    <cfRule type="containsText" dxfId="29471" priority="110" operator="containsText" text="CMS">
      <formula>NOT(ISERROR(SEARCH("CMS",F58)))</formula>
    </cfRule>
    <cfRule type="cellIs" dxfId="29470" priority="111" operator="equal">
      <formula>0</formula>
    </cfRule>
    <cfRule type="cellIs" dxfId="29469" priority="112" operator="greaterThan">
      <formula>0</formula>
    </cfRule>
  </conditionalFormatting>
  <conditionalFormatting sqref="F19">
    <cfRule type="cellIs" dxfId="29468" priority="105" operator="equal">
      <formula>"CMS"</formula>
    </cfRule>
    <cfRule type="cellIs" dxfId="29467" priority="106" operator="equal">
      <formula>"PMS"</formula>
    </cfRule>
    <cfRule type="cellIs" dxfId="29466" priority="107" operator="greaterThan">
      <formula>0</formula>
    </cfRule>
    <cfRule type="cellIs" dxfId="29465" priority="108" operator="equal">
      <formula>0</formula>
    </cfRule>
  </conditionalFormatting>
  <conditionalFormatting sqref="F32">
    <cfRule type="cellIs" dxfId="29464" priority="97" operator="equal">
      <formula>"PMS"</formula>
    </cfRule>
    <cfRule type="containsText" dxfId="29463" priority="98" operator="containsText" text="CMS">
      <formula>NOT(ISERROR(SEARCH("CMS",F32)))</formula>
    </cfRule>
    <cfRule type="cellIs" dxfId="29462" priority="99" operator="equal">
      <formula>0</formula>
    </cfRule>
    <cfRule type="cellIs" dxfId="29461" priority="100" operator="greaterThan">
      <formula>0</formula>
    </cfRule>
    <cfRule type="cellIs" dxfId="29460" priority="101" operator="equal">
      <formula>"PMS"</formula>
    </cfRule>
    <cfRule type="containsText" dxfId="29459" priority="102" operator="containsText" text="CMS">
      <formula>NOT(ISERROR(SEARCH("CMS",F32)))</formula>
    </cfRule>
    <cfRule type="cellIs" dxfId="29458" priority="103" operator="equal">
      <formula>0</formula>
    </cfRule>
    <cfRule type="cellIs" dxfId="29457" priority="104" operator="greaterThan">
      <formula>0</formula>
    </cfRule>
  </conditionalFormatting>
  <conditionalFormatting sqref="F32">
    <cfRule type="cellIs" dxfId="29456" priority="93" operator="equal">
      <formula>"PMS"</formula>
    </cfRule>
    <cfRule type="containsText" dxfId="29455" priority="94" operator="containsText" text="CMS">
      <formula>NOT(ISERROR(SEARCH("CMS",F32)))</formula>
    </cfRule>
    <cfRule type="cellIs" dxfId="29454" priority="95" operator="equal">
      <formula>0</formula>
    </cfRule>
    <cfRule type="cellIs" dxfId="29453" priority="96" operator="greaterThan">
      <formula>0</formula>
    </cfRule>
  </conditionalFormatting>
  <conditionalFormatting sqref="F32">
    <cfRule type="cellIs" dxfId="29452" priority="89" operator="equal">
      <formula>"PMS"</formula>
    </cfRule>
    <cfRule type="containsText" dxfId="29451" priority="90" operator="containsText" text="CMS">
      <formula>NOT(ISERROR(SEARCH("CMS",F32)))</formula>
    </cfRule>
    <cfRule type="cellIs" dxfId="29450" priority="91" operator="equal">
      <formula>0</formula>
    </cfRule>
    <cfRule type="cellIs" dxfId="29449" priority="92" operator="greaterThan">
      <formula>0</formula>
    </cfRule>
  </conditionalFormatting>
  <conditionalFormatting sqref="K62">
    <cfRule type="cellIs" dxfId="29448" priority="81" operator="equal">
      <formula>"PMS"</formula>
    </cfRule>
    <cfRule type="containsText" dxfId="29447" priority="82" operator="containsText" text="CMS">
      <formula>NOT(ISERROR(SEARCH("CMS",K62)))</formula>
    </cfRule>
    <cfRule type="cellIs" dxfId="29446" priority="83" operator="equal">
      <formula>0</formula>
    </cfRule>
    <cfRule type="cellIs" dxfId="29445" priority="84" operator="greaterThan">
      <formula>0</formula>
    </cfRule>
    <cfRule type="cellIs" dxfId="29444" priority="85" operator="equal">
      <formula>"PMS"</formula>
    </cfRule>
    <cfRule type="containsText" dxfId="29443" priority="86" operator="containsText" text="CMS">
      <formula>NOT(ISERROR(SEARCH("CMS",K62)))</formula>
    </cfRule>
    <cfRule type="cellIs" dxfId="29442" priority="87" operator="equal">
      <formula>0</formula>
    </cfRule>
    <cfRule type="cellIs" dxfId="29441" priority="88" operator="greaterThan">
      <formula>0</formula>
    </cfRule>
  </conditionalFormatting>
  <conditionalFormatting sqref="O47:P47">
    <cfRule type="cellIs" dxfId="29440" priority="77" operator="equal">
      <formula>"PMS"</formula>
    </cfRule>
    <cfRule type="containsText" dxfId="29439" priority="78" operator="containsText" text="CMS">
      <formula>NOT(ISERROR(SEARCH("CMS",O47)))</formula>
    </cfRule>
    <cfRule type="cellIs" dxfId="29438" priority="79" operator="equal">
      <formula>0</formula>
    </cfRule>
    <cfRule type="cellIs" dxfId="29437" priority="80" operator="greaterThan">
      <formula>0</formula>
    </cfRule>
  </conditionalFormatting>
  <conditionalFormatting sqref="O16:P16">
    <cfRule type="cellIs" dxfId="29436" priority="73" operator="equal">
      <formula>"PMS"</formula>
    </cfRule>
    <cfRule type="containsText" dxfId="29435" priority="74" operator="containsText" text="CMS">
      <formula>NOT(ISERROR(SEARCH("CMS",O16)))</formula>
    </cfRule>
    <cfRule type="cellIs" dxfId="29434" priority="75" operator="equal">
      <formula>0</formula>
    </cfRule>
    <cfRule type="cellIs" dxfId="29433" priority="76" operator="greaterThan">
      <formula>0</formula>
    </cfRule>
  </conditionalFormatting>
  <conditionalFormatting sqref="P57">
    <cfRule type="cellIs" dxfId="29432" priority="69" operator="equal">
      <formula>"PMS"</formula>
    </cfRule>
    <cfRule type="containsText" dxfId="29431" priority="70" operator="containsText" text="CMS">
      <formula>NOT(ISERROR(SEARCH("CMS",P57)))</formula>
    </cfRule>
    <cfRule type="cellIs" dxfId="29430" priority="71" operator="equal">
      <formula>0</formula>
    </cfRule>
    <cfRule type="cellIs" dxfId="29429" priority="72" operator="greaterThan">
      <formula>0</formula>
    </cfRule>
  </conditionalFormatting>
  <conditionalFormatting sqref="P57">
    <cfRule type="cellIs" dxfId="29428" priority="65" operator="equal">
      <formula>"PMS"</formula>
    </cfRule>
    <cfRule type="containsText" dxfId="29427" priority="66" operator="containsText" text="CMS">
      <formula>NOT(ISERROR(SEARCH("CMS",P57)))</formula>
    </cfRule>
    <cfRule type="cellIs" dxfId="29426" priority="67" operator="equal">
      <formula>0</formula>
    </cfRule>
    <cfRule type="cellIs" dxfId="29425" priority="68" operator="greaterThan">
      <formula>0</formula>
    </cfRule>
  </conditionalFormatting>
  <conditionalFormatting sqref="P57">
    <cfRule type="cellIs" dxfId="29424" priority="61" operator="equal">
      <formula>"PMS"</formula>
    </cfRule>
    <cfRule type="containsText" dxfId="29423" priority="62" operator="containsText" text="CMS">
      <formula>NOT(ISERROR(SEARCH("CMS",P57)))</formula>
    </cfRule>
    <cfRule type="cellIs" dxfId="29422" priority="63" operator="equal">
      <formula>0</formula>
    </cfRule>
    <cfRule type="cellIs" dxfId="29421" priority="64" operator="greaterThan">
      <formula>0</formula>
    </cfRule>
  </conditionalFormatting>
  <conditionalFormatting sqref="P57:P58">
    <cfRule type="cellIs" dxfId="29420" priority="57" operator="equal">
      <formula>"PMS"</formula>
    </cfRule>
    <cfRule type="containsText" dxfId="29419" priority="58" operator="containsText" text="CMS">
      <formula>NOT(ISERROR(SEARCH("CMS",P57)))</formula>
    </cfRule>
    <cfRule type="cellIs" dxfId="29418" priority="59" operator="equal">
      <formula>0</formula>
    </cfRule>
    <cfRule type="cellIs" dxfId="29417" priority="60" operator="greaterThan">
      <formula>0</formula>
    </cfRule>
  </conditionalFormatting>
  <conditionalFormatting sqref="AB24">
    <cfRule type="cellIs" dxfId="29416" priority="53" operator="equal">
      <formula>"PMS"</formula>
    </cfRule>
    <cfRule type="containsText" dxfId="29415" priority="54" operator="containsText" text="CMS">
      <formula>NOT(ISERROR(SEARCH("CMS",AB24)))</formula>
    </cfRule>
    <cfRule type="cellIs" dxfId="29414" priority="55" operator="equal">
      <formula>0</formula>
    </cfRule>
    <cfRule type="cellIs" dxfId="29413" priority="56" operator="greaterThan">
      <formula>0</formula>
    </cfRule>
  </conditionalFormatting>
  <conditionalFormatting sqref="AB24">
    <cfRule type="cellIs" dxfId="29412" priority="49" operator="equal">
      <formula>"PMS"</formula>
    </cfRule>
    <cfRule type="containsText" dxfId="29411" priority="50" operator="containsText" text="CMS">
      <formula>NOT(ISERROR(SEARCH("CMS",AB24)))</formula>
    </cfRule>
    <cfRule type="cellIs" dxfId="29410" priority="51" operator="equal">
      <formula>0</formula>
    </cfRule>
    <cfRule type="cellIs" dxfId="29409" priority="52" operator="greaterThan">
      <formula>0</formula>
    </cfRule>
  </conditionalFormatting>
  <conditionalFormatting sqref="H29 K29 N29 Q29 T29 W29 Z29 AC29">
    <cfRule type="cellIs" dxfId="29408" priority="41" operator="equal">
      <formula>"PMS"</formula>
    </cfRule>
    <cfRule type="containsText" dxfId="29407" priority="42" operator="containsText" text="CMS">
      <formula>NOT(ISERROR(SEARCH("CMS",H29)))</formula>
    </cfRule>
    <cfRule type="cellIs" dxfId="29406" priority="43" operator="equal">
      <formula>0</formula>
    </cfRule>
    <cfRule type="cellIs" dxfId="29405" priority="44" operator="greaterThan">
      <formula>0</formula>
    </cfRule>
    <cfRule type="cellIs" dxfId="29404" priority="45" operator="equal">
      <formula>"PMS"</formula>
    </cfRule>
    <cfRule type="containsText" dxfId="29403" priority="46" operator="containsText" text="CMS">
      <formula>NOT(ISERROR(SEARCH("CMS",H29)))</formula>
    </cfRule>
    <cfRule type="cellIs" dxfId="29402" priority="47" operator="equal">
      <formula>0</formula>
    </cfRule>
    <cfRule type="cellIs" dxfId="29401" priority="48" operator="greaterThan">
      <formula>0</formula>
    </cfRule>
  </conditionalFormatting>
  <conditionalFormatting sqref="G81 J81 M81 P81 S81 V81 Y81 AB81">
    <cfRule type="cellIs" dxfId="29400" priority="33" operator="equal">
      <formula>"PMS"</formula>
    </cfRule>
    <cfRule type="containsText" dxfId="29399" priority="34" operator="containsText" text="CMS">
      <formula>NOT(ISERROR(SEARCH("CMS",G81)))</formula>
    </cfRule>
    <cfRule type="cellIs" dxfId="29398" priority="35" operator="equal">
      <formula>0</formula>
    </cfRule>
    <cfRule type="cellIs" dxfId="29397" priority="36" operator="greaterThan">
      <formula>0</formula>
    </cfRule>
    <cfRule type="cellIs" dxfId="29396" priority="37" operator="equal">
      <formula>"PMS"</formula>
    </cfRule>
    <cfRule type="containsText" dxfId="29395" priority="38" operator="containsText" text="CMS">
      <formula>NOT(ISERROR(SEARCH("CMS",G81)))</formula>
    </cfRule>
    <cfRule type="cellIs" dxfId="29394" priority="39" operator="equal">
      <formula>0</formula>
    </cfRule>
    <cfRule type="cellIs" dxfId="29393" priority="40" operator="greaterThan">
      <formula>0</formula>
    </cfRule>
  </conditionalFormatting>
  <conditionalFormatting sqref="G81 J81 M81 P81 S81 V81 Y81 AB81">
    <cfRule type="cellIs" dxfId="29392" priority="29" operator="equal">
      <formula>"PMS"</formula>
    </cfRule>
    <cfRule type="containsText" dxfId="29391" priority="30" operator="containsText" text="CMS">
      <formula>NOT(ISERROR(SEARCH("CMS",G81)))</formula>
    </cfRule>
    <cfRule type="cellIs" dxfId="29390" priority="31" operator="equal">
      <formula>0</formula>
    </cfRule>
    <cfRule type="cellIs" dxfId="29389" priority="32" operator="greaterThan">
      <formula>0</formula>
    </cfRule>
  </conditionalFormatting>
  <conditionalFormatting sqref="G81 J81 M81 P81 S81 V81 Y81 AB81">
    <cfRule type="cellIs" dxfId="29388" priority="25" operator="equal">
      <formula>"PMS"</formula>
    </cfRule>
    <cfRule type="containsText" dxfId="29387" priority="26" operator="containsText" text="CMS">
      <formula>NOT(ISERROR(SEARCH("CMS",G81)))</formula>
    </cfRule>
    <cfRule type="cellIs" dxfId="29386" priority="27" operator="equal">
      <formula>0</formula>
    </cfRule>
    <cfRule type="cellIs" dxfId="29385" priority="28" operator="greaterThan">
      <formula>0</formula>
    </cfRule>
  </conditionalFormatting>
  <conditionalFormatting sqref="F81 I81 L81 O81 R81 U81 X81 AA81">
    <cfRule type="cellIs" dxfId="29384" priority="17" operator="equal">
      <formula>"PMS"</formula>
    </cfRule>
    <cfRule type="containsText" dxfId="29383" priority="18" operator="containsText" text="CMS">
      <formula>NOT(ISERROR(SEARCH("CMS",F81)))</formula>
    </cfRule>
    <cfRule type="cellIs" dxfId="29382" priority="19" operator="equal">
      <formula>0</formula>
    </cfRule>
    <cfRule type="cellIs" dxfId="29381" priority="20" operator="greaterThan">
      <formula>0</formula>
    </cfRule>
    <cfRule type="cellIs" dxfId="29380" priority="21" operator="equal">
      <formula>"PMS"</formula>
    </cfRule>
    <cfRule type="containsText" dxfId="29379" priority="22" operator="containsText" text="CMS">
      <formula>NOT(ISERROR(SEARCH("CMS",F81)))</formula>
    </cfRule>
    <cfRule type="cellIs" dxfId="29378" priority="23" operator="equal">
      <formula>0</formula>
    </cfRule>
    <cfRule type="cellIs" dxfId="29377" priority="24" operator="greaterThan">
      <formula>0</formula>
    </cfRule>
  </conditionalFormatting>
  <conditionalFormatting sqref="F81 I81 L81 O81 R81 U81 X81 AA81">
    <cfRule type="cellIs" dxfId="29376" priority="13" operator="equal">
      <formula>"PMS"</formula>
    </cfRule>
    <cfRule type="containsText" dxfId="29375" priority="14" operator="containsText" text="CMS">
      <formula>NOT(ISERROR(SEARCH("CMS",F81)))</formula>
    </cfRule>
    <cfRule type="cellIs" dxfId="29374" priority="15" operator="equal">
      <formula>0</formula>
    </cfRule>
    <cfRule type="cellIs" dxfId="29373" priority="16" operator="greaterThan">
      <formula>0</formula>
    </cfRule>
  </conditionalFormatting>
  <conditionalFormatting sqref="F81 I81 L81 O81 R81 U81 X81 AA81">
    <cfRule type="cellIs" dxfId="29372" priority="9" operator="equal">
      <formula>"PMS"</formula>
    </cfRule>
    <cfRule type="containsText" dxfId="29371" priority="10" operator="containsText" text="CMS">
      <formula>NOT(ISERROR(SEARCH("CMS",F81)))</formula>
    </cfRule>
    <cfRule type="cellIs" dxfId="29370" priority="11" operator="equal">
      <formula>0</formula>
    </cfRule>
    <cfRule type="cellIs" dxfId="29369" priority="12" operator="greaterThan">
      <formula>0</formula>
    </cfRule>
  </conditionalFormatting>
  <conditionalFormatting sqref="H81 K81 N81 Q81 T81 W81 Z81 AC81">
    <cfRule type="cellIs" dxfId="29368" priority="1" operator="equal">
      <formula>"PMS"</formula>
    </cfRule>
    <cfRule type="containsText" dxfId="29367" priority="2" operator="containsText" text="CMS">
      <formula>NOT(ISERROR(SEARCH("CMS",H81)))</formula>
    </cfRule>
    <cfRule type="cellIs" dxfId="29366" priority="3" operator="equal">
      <formula>0</formula>
    </cfRule>
    <cfRule type="cellIs" dxfId="29365" priority="4" operator="greaterThan">
      <formula>0</formula>
    </cfRule>
    <cfRule type="cellIs" dxfId="29364" priority="5" operator="equal">
      <formula>"PMS"</formula>
    </cfRule>
    <cfRule type="containsText" dxfId="29363" priority="6" operator="containsText" text="CMS">
      <formula>NOT(ISERROR(SEARCH("CMS",H81)))</formula>
    </cfRule>
    <cfRule type="cellIs" dxfId="29362" priority="7" operator="equal">
      <formula>0</formula>
    </cfRule>
    <cfRule type="cellIs" dxfId="29361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1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7F95-0615-427A-AF4D-A5AEC9175CB6}">
  <sheetPr codeName="Sheet103"/>
  <dimension ref="A2:DT137"/>
  <sheetViews>
    <sheetView zoomScale="70" zoomScaleNormal="70" zoomScaleSheetLayoutView="51" zoomScalePageLayoutView="55" workbookViewId="0">
      <pane xSplit="5" ySplit="11" topLeftCell="F18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F109" sqref="F109:AC10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6,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560.09999999999991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6.8</v>
      </c>
      <c r="H13" s="71">
        <v>6.7</v>
      </c>
      <c r="I13" s="71">
        <v>6.7</v>
      </c>
      <c r="J13" s="71">
        <v>6.8</v>
      </c>
      <c r="K13" s="71">
        <v>6.7</v>
      </c>
      <c r="L13" s="71">
        <v>6.8</v>
      </c>
      <c r="M13" s="71">
        <v>6.5</v>
      </c>
      <c r="N13" s="71">
        <v>5.9</v>
      </c>
      <c r="O13" s="219">
        <v>6.4</v>
      </c>
      <c r="P13" s="219">
        <v>6.8</v>
      </c>
      <c r="Q13" s="71">
        <v>6.7</v>
      </c>
      <c r="R13" s="71">
        <v>6.6</v>
      </c>
      <c r="S13" s="71">
        <v>6.6</v>
      </c>
      <c r="T13" s="71">
        <v>6.7</v>
      </c>
      <c r="U13" s="71">
        <v>6.7</v>
      </c>
      <c r="V13" s="71">
        <v>6.8</v>
      </c>
      <c r="W13" s="71">
        <v>6.2</v>
      </c>
      <c r="X13" s="71">
        <v>5.6</v>
      </c>
      <c r="Y13" s="71">
        <v>6.5</v>
      </c>
      <c r="Z13" s="71">
        <v>5.9</v>
      </c>
      <c r="AA13" s="71">
        <v>5.2</v>
      </c>
      <c r="AB13" s="71">
        <v>5.9</v>
      </c>
      <c r="AC13" s="71">
        <v>5.8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>
        <v>4</v>
      </c>
      <c r="O14" s="219">
        <v>6.9</v>
      </c>
      <c r="P14" s="219">
        <v>6.8</v>
      </c>
      <c r="Q14" s="71">
        <v>6.7</v>
      </c>
      <c r="R14" s="71">
        <v>6.6</v>
      </c>
      <c r="S14" s="71">
        <v>6.6</v>
      </c>
      <c r="T14" s="71">
        <v>6.7</v>
      </c>
      <c r="U14" s="71">
        <v>6.7</v>
      </c>
      <c r="V14" s="71">
        <v>6.8</v>
      </c>
      <c r="W14" s="71">
        <v>6.2</v>
      </c>
      <c r="X14" s="71">
        <v>5.6</v>
      </c>
      <c r="Y14" s="71">
        <v>6.5</v>
      </c>
      <c r="Z14" s="71">
        <v>5.9</v>
      </c>
      <c r="AA14" s="71">
        <v>5.2</v>
      </c>
      <c r="AB14" s="71">
        <v>5.9</v>
      </c>
      <c r="AC14" s="71">
        <v>5.8</v>
      </c>
      <c r="AD14" s="41"/>
      <c r="AE14" s="41"/>
      <c r="AF14" s="11">
        <f>COUNTIF(F14:AC14,$AJ$8)</f>
        <v>8</v>
      </c>
      <c r="AG14" s="11">
        <f>COUNTIF(F14:AD14,$AJ$7)</f>
        <v>0</v>
      </c>
      <c r="AH14" s="11">
        <f>COUNT(F14:AC14)</f>
        <v>16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6.8</v>
      </c>
      <c r="H15" s="71">
        <v>6.7</v>
      </c>
      <c r="I15" s="71">
        <v>6.7</v>
      </c>
      <c r="J15" s="71">
        <v>6.8</v>
      </c>
      <c r="K15" s="71">
        <v>6.7</v>
      </c>
      <c r="L15" s="71">
        <v>6.8</v>
      </c>
      <c r="M15" s="71">
        <v>6.4</v>
      </c>
      <c r="N15" s="71">
        <v>5.7</v>
      </c>
      <c r="O15" s="219">
        <v>6.5</v>
      </c>
      <c r="P15" s="219">
        <v>6.8</v>
      </c>
      <c r="Q15" s="71">
        <v>6.7</v>
      </c>
      <c r="R15" s="71">
        <v>6.6</v>
      </c>
      <c r="S15" s="71">
        <v>6.6</v>
      </c>
      <c r="T15" s="71">
        <v>6.7</v>
      </c>
      <c r="U15" s="71">
        <v>6.7</v>
      </c>
      <c r="V15" s="71">
        <v>6.8</v>
      </c>
      <c r="W15" s="71">
        <v>6.2</v>
      </c>
      <c r="X15" s="71">
        <v>5.6</v>
      </c>
      <c r="Y15" s="71">
        <v>6.4</v>
      </c>
      <c r="Z15" s="71">
        <v>5.9</v>
      </c>
      <c r="AA15" s="71">
        <v>5.2</v>
      </c>
      <c r="AB15" s="71">
        <v>5.9</v>
      </c>
      <c r="AC15" s="71">
        <v>5.8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6.8</v>
      </c>
      <c r="H16" s="71">
        <v>6.7</v>
      </c>
      <c r="I16" s="71">
        <v>6.7</v>
      </c>
      <c r="J16" s="71">
        <v>6.8</v>
      </c>
      <c r="K16" s="71">
        <v>6.7</v>
      </c>
      <c r="L16" s="71">
        <v>6.8</v>
      </c>
      <c r="M16" s="71">
        <v>6.4</v>
      </c>
      <c r="N16" s="71">
        <v>5.7</v>
      </c>
      <c r="O16" s="71">
        <v>6.3</v>
      </c>
      <c r="P16" s="71">
        <v>6.8</v>
      </c>
      <c r="Q16" s="71">
        <v>6.7</v>
      </c>
      <c r="R16" s="71">
        <v>6.6</v>
      </c>
      <c r="S16" s="71">
        <v>6.7</v>
      </c>
      <c r="T16" s="71">
        <v>6.7</v>
      </c>
      <c r="U16" s="71">
        <v>6.8</v>
      </c>
      <c r="V16" s="71">
        <v>6.8</v>
      </c>
      <c r="W16" s="71">
        <v>6.2</v>
      </c>
      <c r="X16" s="71">
        <v>5.6</v>
      </c>
      <c r="Y16" s="71">
        <v>6.5</v>
      </c>
      <c r="Z16" s="71">
        <v>5.9</v>
      </c>
      <c r="AA16" s="71">
        <v>5.2</v>
      </c>
      <c r="AB16" s="71">
        <v>5.9</v>
      </c>
      <c r="AC16" s="71">
        <v>5.8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20.399999999999999</v>
      </c>
      <c r="H17" s="19">
        <f t="shared" si="0"/>
        <v>20.100000000000001</v>
      </c>
      <c r="I17" s="19">
        <f t="shared" si="0"/>
        <v>20.100000000000001</v>
      </c>
      <c r="J17" s="19">
        <f t="shared" si="0"/>
        <v>20.399999999999999</v>
      </c>
      <c r="K17" s="19">
        <f t="shared" si="0"/>
        <v>20.100000000000001</v>
      </c>
      <c r="L17" s="19">
        <f t="shared" si="0"/>
        <v>20.399999999999999</v>
      </c>
      <c r="M17" s="19">
        <f t="shared" si="0"/>
        <v>19.3</v>
      </c>
      <c r="N17" s="19">
        <f t="shared" si="0"/>
        <v>21.3</v>
      </c>
      <c r="O17" s="19">
        <f t="shared" si="0"/>
        <v>26.1</v>
      </c>
      <c r="P17" s="19">
        <f t="shared" si="0"/>
        <v>27.2</v>
      </c>
      <c r="Q17" s="19">
        <f t="shared" si="0"/>
        <v>26.8</v>
      </c>
      <c r="R17" s="19">
        <f t="shared" si="0"/>
        <v>26.4</v>
      </c>
      <c r="S17" s="19">
        <f t="shared" si="0"/>
        <v>26.499999999999996</v>
      </c>
      <c r="T17" s="19">
        <f t="shared" si="0"/>
        <v>26.8</v>
      </c>
      <c r="U17" s="19">
        <f t="shared" si="0"/>
        <v>26.900000000000002</v>
      </c>
      <c r="V17" s="19">
        <f t="shared" si="0"/>
        <v>27.2</v>
      </c>
      <c r="W17" s="19">
        <f t="shared" si="0"/>
        <v>24.8</v>
      </c>
      <c r="X17" s="19">
        <f t="shared" si="0"/>
        <v>22.4</v>
      </c>
      <c r="Y17" s="19">
        <f t="shared" si="0"/>
        <v>25.9</v>
      </c>
      <c r="Z17" s="19">
        <f t="shared" si="0"/>
        <v>23.6</v>
      </c>
      <c r="AA17" s="19">
        <f t="shared" si="0"/>
        <v>20.8</v>
      </c>
      <c r="AB17" s="19">
        <f t="shared" si="0"/>
        <v>23.6</v>
      </c>
      <c r="AC17" s="19">
        <f t="shared" si="0"/>
        <v>23.2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0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87.899999999999963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0.5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0.5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161.70000000000005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3.9</v>
      </c>
      <c r="H27" s="71">
        <v>3.9</v>
      </c>
      <c r="I27" s="71">
        <v>4</v>
      </c>
      <c r="J27" s="71">
        <v>3.5</v>
      </c>
      <c r="K27" s="71">
        <v>4</v>
      </c>
      <c r="L27" s="71">
        <v>4</v>
      </c>
      <c r="M27" s="71">
        <v>3.8</v>
      </c>
      <c r="N27" s="71">
        <v>4.0999999999999996</v>
      </c>
      <c r="O27" s="219">
        <v>4.0999999999999996</v>
      </c>
      <c r="P27" s="71">
        <v>4</v>
      </c>
      <c r="Q27" s="71">
        <v>4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2.4</v>
      </c>
      <c r="X27" s="71">
        <v>2.1</v>
      </c>
      <c r="Y27" s="71">
        <v>3.8</v>
      </c>
      <c r="Z27" s="71">
        <v>1.8</v>
      </c>
      <c r="AA27" s="71">
        <v>1.9</v>
      </c>
      <c r="AB27" s="71">
        <v>2.1</v>
      </c>
      <c r="AC27" s="71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2</v>
      </c>
      <c r="G28" s="71">
        <v>3.9</v>
      </c>
      <c r="H28" s="71">
        <v>3.9</v>
      </c>
      <c r="I28" s="71">
        <v>4</v>
      </c>
      <c r="J28" s="71">
        <v>3.5</v>
      </c>
      <c r="K28" s="71">
        <v>4</v>
      </c>
      <c r="L28" s="71">
        <v>4</v>
      </c>
      <c r="M28" s="71">
        <v>3.8</v>
      </c>
      <c r="N28" s="71">
        <v>4.0999999999999996</v>
      </c>
      <c r="O28" s="219">
        <v>4.0999999999999996</v>
      </c>
      <c r="P28" s="71">
        <v>4</v>
      </c>
      <c r="Q28" s="71">
        <v>4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2.5</v>
      </c>
      <c r="X28" s="71">
        <v>2.1</v>
      </c>
      <c r="Y28" s="71">
        <v>3.8</v>
      </c>
      <c r="Z28" s="71">
        <v>1.8</v>
      </c>
      <c r="AA28" s="71">
        <v>1.9</v>
      </c>
      <c r="AB28" s="71">
        <v>2.1</v>
      </c>
      <c r="AC28" s="71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4.4000000000000004</v>
      </c>
      <c r="X29" s="379">
        <v>6</v>
      </c>
      <c r="Y29" s="379">
        <v>0</v>
      </c>
      <c r="Z29" s="379">
        <v>5.5</v>
      </c>
      <c r="AA29" s="379">
        <v>5</v>
      </c>
      <c r="AB29" s="379">
        <v>6</v>
      </c>
      <c r="AC29" s="379">
        <v>5.5</v>
      </c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5.8</v>
      </c>
      <c r="G30" s="19">
        <f t="shared" si="4"/>
        <v>7.8</v>
      </c>
      <c r="H30" s="19">
        <f t="shared" si="4"/>
        <v>7.8</v>
      </c>
      <c r="I30" s="19">
        <f t="shared" si="4"/>
        <v>8</v>
      </c>
      <c r="J30" s="19">
        <f t="shared" si="4"/>
        <v>7</v>
      </c>
      <c r="K30" s="19">
        <f t="shared" si="4"/>
        <v>8</v>
      </c>
      <c r="L30" s="19">
        <f t="shared" si="4"/>
        <v>8</v>
      </c>
      <c r="M30" s="19">
        <f t="shared" si="4"/>
        <v>7.6</v>
      </c>
      <c r="N30" s="19">
        <f t="shared" si="4"/>
        <v>8.1999999999999993</v>
      </c>
      <c r="O30" s="19">
        <f t="shared" si="4"/>
        <v>8.1999999999999993</v>
      </c>
      <c r="P30" s="19">
        <f t="shared" si="4"/>
        <v>8</v>
      </c>
      <c r="Q30" s="19">
        <f t="shared" si="4"/>
        <v>8</v>
      </c>
      <c r="R30" s="19">
        <f t="shared" si="4"/>
        <v>7.6</v>
      </c>
      <c r="S30" s="19">
        <f t="shared" si="4"/>
        <v>7.6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9.3000000000000007</v>
      </c>
      <c r="X30" s="19">
        <f t="shared" si="4"/>
        <v>10.199999999999999</v>
      </c>
      <c r="Y30" s="19">
        <f t="shared" si="4"/>
        <v>7.6</v>
      </c>
      <c r="Z30" s="19">
        <f t="shared" si="4"/>
        <v>9.1</v>
      </c>
      <c r="AA30" s="19">
        <f t="shared" si="4"/>
        <v>8.8000000000000007</v>
      </c>
      <c r="AB30" s="19">
        <f t="shared" si="4"/>
        <v>10.199999999999999</v>
      </c>
      <c r="AC30" s="19">
        <f t="shared" si="4"/>
        <v>8.5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193.27499999999972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5">
      <c r="A38" s="70">
        <v>34</v>
      </c>
      <c r="B38" s="15"/>
      <c r="C38" s="15"/>
      <c r="D38" s="15"/>
      <c r="E38" s="15"/>
      <c r="F38" s="71">
        <v>0.9</v>
      </c>
      <c r="G38" s="71"/>
      <c r="H38" s="71"/>
      <c r="I38" s="71"/>
      <c r="J38" s="71"/>
      <c r="K38" s="71"/>
      <c r="L38" s="71">
        <v>0.92</v>
      </c>
      <c r="M38" s="71">
        <f>3.41/4</f>
        <v>0.85250000000000004</v>
      </c>
      <c r="N38" s="71">
        <v>0.9</v>
      </c>
      <c r="O38" s="71">
        <v>0.85</v>
      </c>
      <c r="P38" s="71">
        <v>0.87</v>
      </c>
      <c r="Q38" s="71">
        <v>0.87</v>
      </c>
      <c r="R38" s="71">
        <v>0.87</v>
      </c>
      <c r="S38" s="71">
        <v>0.88</v>
      </c>
      <c r="T38" s="71">
        <v>0.8125</v>
      </c>
      <c r="U38" s="71">
        <v>0.9</v>
      </c>
      <c r="V38" s="71">
        <v>0.92</v>
      </c>
      <c r="W38" s="71">
        <v>0.92</v>
      </c>
      <c r="X38" s="71">
        <v>0.92</v>
      </c>
      <c r="Y38" s="71">
        <v>0.9</v>
      </c>
      <c r="Z38" s="71">
        <v>0.9</v>
      </c>
      <c r="AA38" s="71">
        <v>0.97</v>
      </c>
      <c r="AB38" s="71">
        <v>0.95</v>
      </c>
      <c r="AC38" s="71">
        <v>0.95</v>
      </c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19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>
        <v>0.8</v>
      </c>
      <c r="Z39" s="71">
        <v>0.8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5</v>
      </c>
    </row>
    <row r="40" spans="1:35" x14ac:dyDescent="0.25">
      <c r="A40" s="70">
        <v>36</v>
      </c>
      <c r="B40" s="15"/>
      <c r="C40" s="15"/>
      <c r="D40" s="15"/>
      <c r="E40" s="15"/>
      <c r="F40" s="71">
        <v>0.9</v>
      </c>
      <c r="G40" s="71"/>
      <c r="H40" s="71"/>
      <c r="I40" s="71"/>
      <c r="J40" s="71"/>
      <c r="K40" s="71"/>
      <c r="L40" s="71"/>
      <c r="M40" s="71">
        <f t="shared" ref="M40:M41" si="10">3.41/4</f>
        <v>0.85250000000000004</v>
      </c>
      <c r="N40" s="71">
        <v>0.9</v>
      </c>
      <c r="O40" s="71">
        <v>0.85</v>
      </c>
      <c r="P40" s="71">
        <v>0.87</v>
      </c>
      <c r="Q40" s="71">
        <v>0.87</v>
      </c>
      <c r="R40" s="71">
        <v>0.87</v>
      </c>
      <c r="S40" s="71">
        <v>0.88</v>
      </c>
      <c r="T40" s="71">
        <v>0.8125</v>
      </c>
      <c r="U40" s="71">
        <v>0.9</v>
      </c>
      <c r="V40" s="71">
        <v>0.92</v>
      </c>
      <c r="W40" s="71">
        <v>0.92</v>
      </c>
      <c r="X40" s="71">
        <v>0.92</v>
      </c>
      <c r="Y40" s="71">
        <v>0.9</v>
      </c>
      <c r="Z40" s="71">
        <v>0.9</v>
      </c>
      <c r="AA40" s="71">
        <v>0.97</v>
      </c>
      <c r="AB40" s="71">
        <v>0.95</v>
      </c>
      <c r="AC40" s="71">
        <v>0.95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18</v>
      </c>
    </row>
    <row r="41" spans="1:35" x14ac:dyDescent="0.25">
      <c r="A41" s="70">
        <v>37</v>
      </c>
      <c r="B41" s="15"/>
      <c r="C41" s="15"/>
      <c r="D41" s="15"/>
      <c r="E41" s="15"/>
      <c r="F41" s="71">
        <v>0.9</v>
      </c>
      <c r="G41" s="71">
        <v>1</v>
      </c>
      <c r="H41" s="71"/>
      <c r="I41" s="71"/>
      <c r="J41" s="71"/>
      <c r="K41" s="71"/>
      <c r="L41" s="71">
        <v>0.8</v>
      </c>
      <c r="M41" s="71">
        <f t="shared" si="10"/>
        <v>0.85250000000000004</v>
      </c>
      <c r="N41" s="71">
        <v>0.9</v>
      </c>
      <c r="O41" s="71">
        <v>0.85</v>
      </c>
      <c r="P41" s="71">
        <v>0.87</v>
      </c>
      <c r="Q41" s="71">
        <v>0.87</v>
      </c>
      <c r="R41" s="71">
        <v>0.87</v>
      </c>
      <c r="S41" s="71">
        <v>0.88</v>
      </c>
      <c r="T41" s="71">
        <v>0.8125</v>
      </c>
      <c r="U41" s="71">
        <v>0.9</v>
      </c>
      <c r="V41" s="71">
        <v>0.92</v>
      </c>
      <c r="W41" s="71">
        <v>0.92</v>
      </c>
      <c r="X41" s="71">
        <v>0.92</v>
      </c>
      <c r="Y41" s="71">
        <v>0.9</v>
      </c>
      <c r="Z41" s="71">
        <v>0.9</v>
      </c>
      <c r="AA41" s="71">
        <v>0.97</v>
      </c>
      <c r="AB41" s="71">
        <v>0.95</v>
      </c>
      <c r="AC41" s="71">
        <v>0.9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20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>
        <v>0.9</v>
      </c>
      <c r="G43" s="71">
        <v>1</v>
      </c>
      <c r="H43" s="71">
        <v>0.9</v>
      </c>
      <c r="I43" s="71"/>
      <c r="J43" s="71"/>
      <c r="K43" s="71"/>
      <c r="L43" s="71">
        <v>0.8</v>
      </c>
      <c r="M43" s="71">
        <f>3.41/4</f>
        <v>0.85250000000000004</v>
      </c>
      <c r="N43" s="71">
        <v>0.9</v>
      </c>
      <c r="O43" s="71">
        <v>0.85</v>
      </c>
      <c r="P43" s="71">
        <v>0.87</v>
      </c>
      <c r="Q43" s="71">
        <v>0.87</v>
      </c>
      <c r="R43" s="71">
        <v>0.87</v>
      </c>
      <c r="S43" s="71">
        <v>0.88</v>
      </c>
      <c r="T43" s="71">
        <v>0.8125</v>
      </c>
      <c r="U43" s="71">
        <v>0.9</v>
      </c>
      <c r="V43" s="71">
        <v>0.92</v>
      </c>
      <c r="W43" s="71">
        <v>0.92</v>
      </c>
      <c r="X43" s="71">
        <v>0.92</v>
      </c>
      <c r="Y43" s="71">
        <v>0.9</v>
      </c>
      <c r="Z43" s="71">
        <v>0.9</v>
      </c>
      <c r="AA43" s="71">
        <v>0.97</v>
      </c>
      <c r="AB43" s="71">
        <v>0.95</v>
      </c>
      <c r="AC43" s="71">
        <v>0.95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21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>
        <v>0.8</v>
      </c>
      <c r="G44" s="71"/>
      <c r="H44" s="71"/>
      <c r="I44" s="71"/>
      <c r="J44" s="71"/>
      <c r="K44" s="71"/>
      <c r="L44" s="71"/>
      <c r="M44" s="71"/>
      <c r="N44" s="71"/>
      <c r="O44" s="219">
        <v>0.8</v>
      </c>
      <c r="P44" s="71">
        <v>0</v>
      </c>
      <c r="Q44" s="71">
        <v>0</v>
      </c>
      <c r="R44" s="71">
        <v>0.82</v>
      </c>
      <c r="S44" s="71">
        <v>0.82</v>
      </c>
      <c r="T44" s="71">
        <v>0.8125</v>
      </c>
      <c r="U44" s="71">
        <v>0.82</v>
      </c>
      <c r="V44" s="71">
        <v>0.82</v>
      </c>
      <c r="W44" s="71">
        <v>0.81</v>
      </c>
      <c r="X44" s="71">
        <v>0.81</v>
      </c>
      <c r="Y44" s="71">
        <v>0.8</v>
      </c>
      <c r="Z44" s="71">
        <v>0.81</v>
      </c>
      <c r="AA44" s="71">
        <v>0.83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16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>
        <v>0.8</v>
      </c>
      <c r="G45" s="71"/>
      <c r="H45" s="71"/>
      <c r="I45" s="71"/>
      <c r="J45" s="71"/>
      <c r="K45" s="71"/>
      <c r="L45" s="71"/>
      <c r="M45" s="71"/>
      <c r="N45" s="71"/>
      <c r="O45" s="219">
        <v>0.8</v>
      </c>
      <c r="P45" s="71">
        <f>7.32/9</f>
        <v>0.81333333333333335</v>
      </c>
      <c r="Q45" s="71">
        <v>0.82</v>
      </c>
      <c r="R45" s="71">
        <v>0.82</v>
      </c>
      <c r="S45" s="71"/>
      <c r="T45" s="71">
        <v>0.8125</v>
      </c>
      <c r="U45" s="71">
        <v>0.82</v>
      </c>
      <c r="V45" s="71">
        <v>0.82</v>
      </c>
      <c r="W45" s="71">
        <v>0.81</v>
      </c>
      <c r="X45" s="71">
        <v>0.81</v>
      </c>
      <c r="Y45" s="71">
        <v>0.8</v>
      </c>
      <c r="Z45" s="71">
        <v>0.81</v>
      </c>
      <c r="AA45" s="71">
        <v>0.83</v>
      </c>
      <c r="AB45" s="71">
        <v>0</v>
      </c>
      <c r="AC45" s="71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15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>
        <v>0.8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f t="shared" ref="P46:P49" si="11">7.32/9</f>
        <v>0.81333333333333335</v>
      </c>
      <c r="Q46" s="71">
        <v>0.82</v>
      </c>
      <c r="R46" s="71">
        <v>0.82</v>
      </c>
      <c r="S46" s="71">
        <v>0.82</v>
      </c>
      <c r="T46" s="71">
        <v>0.8125</v>
      </c>
      <c r="U46" s="71">
        <v>0.82</v>
      </c>
      <c r="V46" s="71">
        <v>0</v>
      </c>
      <c r="W46" s="71">
        <v>0.81</v>
      </c>
      <c r="X46" s="71">
        <v>0.81</v>
      </c>
      <c r="Y46" s="71">
        <v>0.8</v>
      </c>
      <c r="Z46" s="71">
        <v>0.81</v>
      </c>
      <c r="AA46" s="71">
        <v>0.83</v>
      </c>
      <c r="AB46" s="71">
        <v>0.82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0.8</v>
      </c>
      <c r="M47" s="71">
        <v>0</v>
      </c>
      <c r="N47" s="71">
        <v>0</v>
      </c>
      <c r="O47" s="71">
        <v>0</v>
      </c>
      <c r="P47" s="71">
        <f t="shared" si="11"/>
        <v>0.81333333333333335</v>
      </c>
      <c r="Q47" s="71">
        <v>0.82</v>
      </c>
      <c r="R47" s="71">
        <v>0.82</v>
      </c>
      <c r="S47" s="71">
        <v>0.82</v>
      </c>
      <c r="T47" s="71">
        <v>0.8125</v>
      </c>
      <c r="U47" s="71">
        <v>0.82</v>
      </c>
      <c r="V47" s="71">
        <v>0.82</v>
      </c>
      <c r="W47" s="71">
        <v>0.81</v>
      </c>
      <c r="X47" s="71">
        <v>0.81</v>
      </c>
      <c r="Y47" s="71">
        <v>0.8</v>
      </c>
      <c r="Z47" s="71">
        <v>0.81</v>
      </c>
      <c r="AA47" s="71">
        <v>0.83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24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>
        <v>0.8</v>
      </c>
      <c r="G48" s="71"/>
      <c r="H48" s="71"/>
      <c r="I48" s="71"/>
      <c r="J48" s="71"/>
      <c r="K48" s="71"/>
      <c r="L48" s="71"/>
      <c r="M48" s="71"/>
      <c r="N48" s="71"/>
      <c r="O48" s="219">
        <v>0.8</v>
      </c>
      <c r="P48" s="71">
        <f t="shared" si="11"/>
        <v>0.81333333333333335</v>
      </c>
      <c r="Q48" s="71">
        <v>0.82</v>
      </c>
      <c r="R48" s="71">
        <v>0.82</v>
      </c>
      <c r="S48" s="71"/>
      <c r="T48" s="71">
        <v>0.8125</v>
      </c>
      <c r="U48" s="71">
        <v>0.82</v>
      </c>
      <c r="V48" s="71">
        <v>0.82</v>
      </c>
      <c r="W48" s="71">
        <v>0.82</v>
      </c>
      <c r="X48" s="71">
        <v>0.82</v>
      </c>
      <c r="Y48" s="71">
        <v>0.8</v>
      </c>
      <c r="Z48" s="71">
        <v>0.81</v>
      </c>
      <c r="AA48" s="71">
        <v>0.83</v>
      </c>
      <c r="AB48" s="71">
        <v>0</v>
      </c>
      <c r="AC48" s="71">
        <v>0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15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>
        <v>0.85</v>
      </c>
      <c r="G49" s="71"/>
      <c r="H49" s="71"/>
      <c r="I49" s="71"/>
      <c r="J49" s="71"/>
      <c r="K49" s="71"/>
      <c r="L49" s="71"/>
      <c r="M49" s="71"/>
      <c r="N49" s="71"/>
      <c r="O49" s="71"/>
      <c r="P49" s="71">
        <f t="shared" si="11"/>
        <v>0.81333333333333335</v>
      </c>
      <c r="Q49" s="71">
        <v>0.82</v>
      </c>
      <c r="R49" s="71">
        <v>0.82</v>
      </c>
      <c r="S49" s="71">
        <v>0.82</v>
      </c>
      <c r="T49" s="71">
        <v>0.8125</v>
      </c>
      <c r="U49" s="71">
        <v>0.82</v>
      </c>
      <c r="V49" s="71">
        <v>0.82</v>
      </c>
      <c r="W49" s="71">
        <v>0</v>
      </c>
      <c r="X49" s="71">
        <v>0</v>
      </c>
      <c r="Y49" s="71">
        <v>0.8</v>
      </c>
      <c r="Z49" s="71">
        <v>0.81</v>
      </c>
      <c r="AA49" s="71">
        <v>0.82</v>
      </c>
      <c r="AB49" s="71">
        <v>0.82</v>
      </c>
      <c r="AC49" s="71">
        <v>0.8</v>
      </c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15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 t="s">
        <v>9</v>
      </c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>
        <v>0</v>
      </c>
      <c r="W52" s="71">
        <v>0</v>
      </c>
      <c r="X52" s="71">
        <v>0</v>
      </c>
      <c r="Y52" s="71">
        <v>0.75</v>
      </c>
      <c r="Z52" s="71" t="s">
        <v>9</v>
      </c>
      <c r="AA52" s="71" t="s">
        <v>9</v>
      </c>
      <c r="AB52" s="71" t="s">
        <v>9</v>
      </c>
      <c r="AC52" s="71" t="s">
        <v>9</v>
      </c>
      <c r="AD52" s="41"/>
      <c r="AE52" s="41"/>
      <c r="AF52" s="11">
        <f t="shared" si="7"/>
        <v>14</v>
      </c>
      <c r="AG52" s="11">
        <f t="shared" si="8"/>
        <v>0</v>
      </c>
      <c r="AH52" s="11">
        <f t="shared" si="9"/>
        <v>10</v>
      </c>
    </row>
    <row r="53" spans="1:124" ht="16.5" customHeight="1" x14ac:dyDescent="0.25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</v>
      </c>
      <c r="O53" s="219">
        <v>0</v>
      </c>
      <c r="P53" s="71">
        <f t="shared" ref="P53:P56" si="12">7.32/9</f>
        <v>0.81333333333333335</v>
      </c>
      <c r="Q53" s="71">
        <v>0.82</v>
      </c>
      <c r="R53" s="71">
        <v>0.82</v>
      </c>
      <c r="S53" s="71">
        <v>0.82</v>
      </c>
      <c r="T53" s="71">
        <v>0.8125</v>
      </c>
      <c r="U53" s="71">
        <v>0.8125</v>
      </c>
      <c r="V53" s="71">
        <v>0.82</v>
      </c>
      <c r="W53" s="71">
        <v>0.81</v>
      </c>
      <c r="X53" s="71">
        <v>0.81</v>
      </c>
      <c r="Y53" s="71">
        <v>0.75</v>
      </c>
      <c r="Z53" s="71">
        <v>0.81</v>
      </c>
      <c r="AA53" s="71">
        <v>0.82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16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>
        <v>0</v>
      </c>
      <c r="P54" s="71">
        <f t="shared" si="12"/>
        <v>0.81333333333333335</v>
      </c>
      <c r="Q54" s="71">
        <v>0.82</v>
      </c>
      <c r="R54" s="71">
        <v>0.82</v>
      </c>
      <c r="S54" s="71">
        <v>0.82</v>
      </c>
      <c r="T54" s="71">
        <v>0.8125</v>
      </c>
      <c r="U54" s="71">
        <v>0.8125</v>
      </c>
      <c r="V54" s="71">
        <v>0.82</v>
      </c>
      <c r="W54" s="71">
        <v>0.81</v>
      </c>
      <c r="X54" s="71">
        <v>0.81</v>
      </c>
      <c r="Y54" s="71">
        <v>0.75</v>
      </c>
      <c r="Z54" s="71">
        <v>0.81</v>
      </c>
      <c r="AA54" s="71">
        <v>0.82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15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0.8</v>
      </c>
      <c r="L55" s="71"/>
      <c r="M55" s="71">
        <v>0</v>
      </c>
      <c r="N55" s="71">
        <v>0</v>
      </c>
      <c r="O55" s="71">
        <v>0</v>
      </c>
      <c r="P55" s="71">
        <f t="shared" si="12"/>
        <v>0.81333333333333335</v>
      </c>
      <c r="Q55" s="71">
        <v>0.82</v>
      </c>
      <c r="R55" s="71">
        <v>0.82</v>
      </c>
      <c r="S55" s="71">
        <v>0.82</v>
      </c>
      <c r="T55" s="71">
        <v>0.8125</v>
      </c>
      <c r="U55" s="71">
        <v>0.8125</v>
      </c>
      <c r="V55" s="71">
        <v>0.82</v>
      </c>
      <c r="W55" s="71">
        <v>0.81</v>
      </c>
      <c r="X55" s="71">
        <v>0.81</v>
      </c>
      <c r="Y55" s="71">
        <v>0.75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23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>
        <v>0.85</v>
      </c>
      <c r="G56" s="71"/>
      <c r="H56" s="71"/>
      <c r="I56" s="71"/>
      <c r="J56" s="71"/>
      <c r="K56" s="71"/>
      <c r="L56" s="71"/>
      <c r="M56" s="71"/>
      <c r="N56" s="71"/>
      <c r="O56" s="219">
        <v>0.8</v>
      </c>
      <c r="P56" s="71">
        <f t="shared" si="12"/>
        <v>0.81333333333333335</v>
      </c>
      <c r="Q56" s="71">
        <v>0.82</v>
      </c>
      <c r="R56" s="71"/>
      <c r="S56" s="71">
        <v>0.8</v>
      </c>
      <c r="T56" s="71">
        <v>0.8125</v>
      </c>
      <c r="U56" s="71">
        <v>0.8125</v>
      </c>
      <c r="V56" s="71">
        <v>0.82</v>
      </c>
      <c r="W56" s="71">
        <v>0.81</v>
      </c>
      <c r="X56" s="71">
        <v>0.81</v>
      </c>
      <c r="Y56" s="71">
        <v>0.8</v>
      </c>
      <c r="Z56" s="71">
        <v>0.81</v>
      </c>
      <c r="AA56" s="71">
        <v>0.82</v>
      </c>
      <c r="AB56" s="71">
        <v>0.81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>
        <v>0</v>
      </c>
      <c r="P57" s="219"/>
      <c r="Q57" s="71">
        <v>0.82</v>
      </c>
      <c r="R57" s="71">
        <v>0.82</v>
      </c>
      <c r="S57" s="71">
        <v>0.82</v>
      </c>
      <c r="T57" s="71">
        <v>0.8125</v>
      </c>
      <c r="U57" s="71">
        <v>0.8125</v>
      </c>
      <c r="V57" s="71">
        <v>0.82</v>
      </c>
      <c r="W57" s="71">
        <v>0.81</v>
      </c>
      <c r="X57" s="71">
        <v>0.81</v>
      </c>
      <c r="Y57" s="71">
        <v>0.8</v>
      </c>
      <c r="Z57" s="71">
        <v>0.81</v>
      </c>
      <c r="AA57" s="71">
        <v>0.82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14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v>0</v>
      </c>
      <c r="P58" s="219"/>
      <c r="Q58" s="71">
        <v>0.82</v>
      </c>
      <c r="R58" s="71">
        <v>0.82</v>
      </c>
      <c r="S58" s="71">
        <v>0.82</v>
      </c>
      <c r="T58" s="71">
        <v>0.8125</v>
      </c>
      <c r="U58" s="71">
        <v>0.8125</v>
      </c>
      <c r="V58" s="71">
        <v>0.82</v>
      </c>
      <c r="W58" s="71">
        <v>0.81</v>
      </c>
      <c r="X58" s="71">
        <v>0.81</v>
      </c>
      <c r="Y58" s="71">
        <v>0.8</v>
      </c>
      <c r="Z58" s="71">
        <v>0.8</v>
      </c>
      <c r="AA58" s="71">
        <v>0.82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14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8.5</v>
      </c>
      <c r="G59" s="19">
        <f t="shared" si="13"/>
        <v>2</v>
      </c>
      <c r="H59" s="19">
        <f t="shared" si="13"/>
        <v>0.9</v>
      </c>
      <c r="I59" s="19">
        <f t="shared" si="13"/>
        <v>0</v>
      </c>
      <c r="J59" s="19">
        <f t="shared" si="13"/>
        <v>0</v>
      </c>
      <c r="K59" s="19">
        <f t="shared" si="13"/>
        <v>0.8</v>
      </c>
      <c r="L59" s="19">
        <f t="shared" si="13"/>
        <v>3.3200000000000003</v>
      </c>
      <c r="M59" s="19">
        <f t="shared" si="13"/>
        <v>3.41</v>
      </c>
      <c r="N59" s="19">
        <f t="shared" si="13"/>
        <v>4.3</v>
      </c>
      <c r="O59" s="19">
        <f t="shared" si="13"/>
        <v>6.6</v>
      </c>
      <c r="P59" s="19">
        <f t="shared" si="13"/>
        <v>10.799999999999997</v>
      </c>
      <c r="Q59" s="19">
        <f t="shared" si="13"/>
        <v>12.500000000000002</v>
      </c>
      <c r="R59" s="19">
        <f t="shared" si="13"/>
        <v>12.500000000000002</v>
      </c>
      <c r="S59" s="19">
        <f t="shared" si="13"/>
        <v>11.700000000000003</v>
      </c>
      <c r="T59" s="19">
        <f t="shared" si="13"/>
        <v>13</v>
      </c>
      <c r="U59" s="19">
        <f t="shared" si="13"/>
        <v>13.395000000000001</v>
      </c>
      <c r="V59" s="19">
        <f t="shared" si="13"/>
        <v>12.700000000000003</v>
      </c>
      <c r="W59" s="19">
        <f t="shared" si="13"/>
        <v>12.600000000000005</v>
      </c>
      <c r="X59" s="19">
        <f t="shared" si="13"/>
        <v>12.600000000000005</v>
      </c>
      <c r="Y59" s="19">
        <f>SUM(Y35:Y58)</f>
        <v>14.600000000000003</v>
      </c>
      <c r="Z59" s="19">
        <f t="shared" si="13"/>
        <v>13.300000000000006</v>
      </c>
      <c r="AA59" s="19">
        <f t="shared" si="13"/>
        <v>12.950000000000001</v>
      </c>
      <c r="AB59" s="19">
        <f t="shared" si="13"/>
        <v>6.25</v>
      </c>
      <c r="AC59" s="19">
        <f t="shared" si="13"/>
        <v>4.55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26.119999999999997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0.8/2</f>
        <v>0.4</v>
      </c>
      <c r="G61" s="71">
        <f>0.75/2</f>
        <v>0.375</v>
      </c>
      <c r="H61" s="71">
        <f>0.74/2</f>
        <v>0.37</v>
      </c>
      <c r="I61" s="71"/>
      <c r="J61" s="71"/>
      <c r="K61" s="71"/>
      <c r="L61" s="71"/>
      <c r="M61" s="71"/>
      <c r="N61" s="71"/>
      <c r="O61" s="71"/>
      <c r="P61" s="71"/>
      <c r="Q61" s="71"/>
      <c r="R61" s="71">
        <v>0.68500000000000005</v>
      </c>
      <c r="S61" s="71">
        <v>0.66500000000000004</v>
      </c>
      <c r="T61" s="71">
        <v>0.66500000000000004</v>
      </c>
      <c r="U61" s="71">
        <f>1.25/2</f>
        <v>0.625</v>
      </c>
      <c r="V61" s="71">
        <f>1.22/2</f>
        <v>0.61</v>
      </c>
      <c r="W61" s="71">
        <f>1.15/2</f>
        <v>0.57499999999999996</v>
      </c>
      <c r="X61" s="71">
        <f>1.13/2</f>
        <v>0.56499999999999995</v>
      </c>
      <c r="Y61" s="71">
        <f>1.43/2</f>
        <v>0.71499999999999997</v>
      </c>
      <c r="Z61" s="71">
        <f>1.39/2</f>
        <v>0.69499999999999995</v>
      </c>
      <c r="AA61" s="71">
        <f>1.34/2</f>
        <v>0.67</v>
      </c>
      <c r="AB61" s="71">
        <f>1.12/2</f>
        <v>0.56000000000000005</v>
      </c>
      <c r="AC61" s="71">
        <f>0.96/2</f>
        <v>0.48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15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f>0.75/2</f>
        <v>0.375</v>
      </c>
      <c r="L62" s="71">
        <f>0.94/2</f>
        <v>0.47</v>
      </c>
      <c r="M62" s="71">
        <f>1.04/2</f>
        <v>0.52</v>
      </c>
      <c r="N62" s="71">
        <f>0.91/2</f>
        <v>0.45500000000000002</v>
      </c>
      <c r="O62" s="71">
        <f>1.22/2</f>
        <v>0.61</v>
      </c>
      <c r="P62" s="71">
        <f>1.27/2</f>
        <v>0.63500000000000001</v>
      </c>
      <c r="Q62" s="71">
        <v>0.66</v>
      </c>
      <c r="R62" s="71">
        <v>0.68500000000000005</v>
      </c>
      <c r="S62" s="71">
        <v>0.66500000000000004</v>
      </c>
      <c r="T62" s="71">
        <v>0.66500000000000004</v>
      </c>
      <c r="U62" s="71">
        <f>1.25/2</f>
        <v>0.625</v>
      </c>
      <c r="V62" s="71">
        <f>1.22/2</f>
        <v>0.61</v>
      </c>
      <c r="W62" s="71">
        <f>1.15/2</f>
        <v>0.57499999999999996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>
        <f>F61</f>
        <v>0.4</v>
      </c>
      <c r="G63" s="71">
        <f>0.75/2</f>
        <v>0.375</v>
      </c>
      <c r="H63" s="71">
        <f>0.74/2</f>
        <v>0.37</v>
      </c>
      <c r="I63" s="71">
        <v>0.68</v>
      </c>
      <c r="J63" s="71">
        <v>0.68</v>
      </c>
      <c r="K63" s="71">
        <f>0.75/2</f>
        <v>0.375</v>
      </c>
      <c r="L63" s="71">
        <f>0.94/2</f>
        <v>0.47</v>
      </c>
      <c r="M63" s="71">
        <f>1.04/2</f>
        <v>0.52</v>
      </c>
      <c r="N63" s="71">
        <f>0.91/2</f>
        <v>0.45500000000000002</v>
      </c>
      <c r="O63" s="71">
        <f>1.22/2</f>
        <v>0.61</v>
      </c>
      <c r="P63" s="71">
        <f>1.27/2</f>
        <v>0.63500000000000001</v>
      </c>
      <c r="Q63" s="71">
        <v>0.66</v>
      </c>
      <c r="R63" s="71"/>
      <c r="S63" s="71"/>
      <c r="T63" s="71"/>
      <c r="U63" s="71"/>
      <c r="V63" s="71"/>
      <c r="W63" s="71"/>
      <c r="X63" s="71">
        <f>1.13/2</f>
        <v>0.56499999999999995</v>
      </c>
      <c r="Y63" s="71">
        <f>1.43/2</f>
        <v>0.71499999999999997</v>
      </c>
      <c r="Z63" s="71">
        <f>1.39/2</f>
        <v>0.69499999999999995</v>
      </c>
      <c r="AA63" s="71">
        <f>1.34/2</f>
        <v>0.67</v>
      </c>
      <c r="AB63" s="71">
        <f>1.12/2</f>
        <v>0.56000000000000005</v>
      </c>
      <c r="AC63" s="71">
        <f>0.96/2</f>
        <v>0.48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0.8</v>
      </c>
      <c r="G64" s="19">
        <f>SUM(G61:G63)</f>
        <v>0.75</v>
      </c>
      <c r="H64" s="19">
        <f>SUM(H61:H63)</f>
        <v>0.74</v>
      </c>
      <c r="I64" s="19">
        <f>SUM(I61:I63)</f>
        <v>0.68</v>
      </c>
      <c r="J64" s="19">
        <f t="shared" ref="J64:AC64" si="15">SUM(J61:J63)</f>
        <v>0.68</v>
      </c>
      <c r="K64" s="19">
        <f>SUM(K61:K63)</f>
        <v>0.75</v>
      </c>
      <c r="L64" s="19">
        <f t="shared" si="15"/>
        <v>0.94</v>
      </c>
      <c r="M64" s="19">
        <f t="shared" si="15"/>
        <v>1.04</v>
      </c>
      <c r="N64" s="19">
        <f t="shared" si="15"/>
        <v>0.91</v>
      </c>
      <c r="O64" s="19">
        <f t="shared" si="15"/>
        <v>1.22</v>
      </c>
      <c r="P64" s="19">
        <f t="shared" si="15"/>
        <v>1.27</v>
      </c>
      <c r="Q64" s="19">
        <f t="shared" si="15"/>
        <v>1.32</v>
      </c>
      <c r="R64" s="19">
        <f t="shared" si="15"/>
        <v>1.37</v>
      </c>
      <c r="S64" s="19">
        <f t="shared" si="15"/>
        <v>1.33</v>
      </c>
      <c r="T64" s="19">
        <f t="shared" si="15"/>
        <v>1.33</v>
      </c>
      <c r="U64" s="19">
        <f>SUM(U61:U63)</f>
        <v>1.25</v>
      </c>
      <c r="V64" s="19">
        <f t="shared" si="15"/>
        <v>1.22</v>
      </c>
      <c r="W64" s="19">
        <f t="shared" si="15"/>
        <v>1.1499999999999999</v>
      </c>
      <c r="X64" s="19">
        <f t="shared" si="15"/>
        <v>1.1299999999999999</v>
      </c>
      <c r="Y64" s="19">
        <f t="shared" si="15"/>
        <v>1.43</v>
      </c>
      <c r="Z64" s="19">
        <f t="shared" si="15"/>
        <v>1.39</v>
      </c>
      <c r="AA64" s="19">
        <f t="shared" si="15"/>
        <v>1.34</v>
      </c>
      <c r="AB64" s="19">
        <f t="shared" si="15"/>
        <v>1.1200000000000001</v>
      </c>
      <c r="AC64" s="19">
        <f t="shared" si="15"/>
        <v>0.96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102.45999999999994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0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3.67/5</f>
        <v>0.73399999999999999</v>
      </c>
      <c r="G67" s="71">
        <f>3.46/5</f>
        <v>0.69199999999999995</v>
      </c>
      <c r="H67" s="71">
        <f>3.26/5</f>
        <v>0.65199999999999991</v>
      </c>
      <c r="I67" s="71">
        <f>3.29/5</f>
        <v>0.65800000000000003</v>
      </c>
      <c r="J67" s="71">
        <f>3/5</f>
        <v>0.6</v>
      </c>
      <c r="K67" s="71">
        <f>3.26/5</f>
        <v>0.65199999999999991</v>
      </c>
      <c r="L67" s="71">
        <f>3.6/5</f>
        <v>0.72</v>
      </c>
      <c r="M67" s="71">
        <f>3.77/5</f>
        <v>0.754</v>
      </c>
      <c r="N67" s="71">
        <f>3.65/5</f>
        <v>0.73</v>
      </c>
      <c r="O67" s="71">
        <f>4.7/6</f>
        <v>0.78333333333333333</v>
      </c>
      <c r="P67" s="71">
        <f>4.9/6</f>
        <v>0.81666666666666676</v>
      </c>
      <c r="Q67" s="71">
        <v>0.85</v>
      </c>
      <c r="R67" s="71">
        <v>0.81666666666666676</v>
      </c>
      <c r="S67" s="71">
        <v>0.81666666666666676</v>
      </c>
      <c r="T67" s="71">
        <v>0.85</v>
      </c>
      <c r="U67" s="71">
        <v>0.85</v>
      </c>
      <c r="V67" s="71">
        <f>4.9/6</f>
        <v>0.81666666666666676</v>
      </c>
      <c r="W67" s="71">
        <f>4.5/6</f>
        <v>0.75</v>
      </c>
      <c r="X67" s="71">
        <v>0</v>
      </c>
      <c r="Y67" s="71">
        <f>5.1/6</f>
        <v>0.85</v>
      </c>
      <c r="Z67" s="71">
        <f>4.9/6</f>
        <v>0.81666666666666676</v>
      </c>
      <c r="AA67" s="71">
        <f>5/6</f>
        <v>0.83333333333333337</v>
      </c>
      <c r="AB67" s="71">
        <f>4.4/6</f>
        <v>0.73333333333333339</v>
      </c>
      <c r="AC67" s="71">
        <f>3.7/5</f>
        <v>0.74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3.67/5</f>
        <v>0.73399999999999999</v>
      </c>
      <c r="G68" s="71">
        <f>3.46/5</f>
        <v>0.69199999999999995</v>
      </c>
      <c r="H68" s="71">
        <f>3.26/5</f>
        <v>0.65199999999999991</v>
      </c>
      <c r="I68" s="71">
        <f>3.29/5</f>
        <v>0.65800000000000003</v>
      </c>
      <c r="J68" s="71">
        <v>0.6</v>
      </c>
      <c r="K68" s="71">
        <f>3.26/5</f>
        <v>0.65199999999999991</v>
      </c>
      <c r="L68" s="71">
        <f>3.6/5</f>
        <v>0.72</v>
      </c>
      <c r="M68" s="71">
        <f>3.77/5</f>
        <v>0.754</v>
      </c>
      <c r="N68" s="71">
        <f>3.65/5</f>
        <v>0.73</v>
      </c>
      <c r="O68" s="71">
        <f t="shared" ref="O68:O71" si="19">4.7/6</f>
        <v>0.78333333333333333</v>
      </c>
      <c r="P68" s="71">
        <f t="shared" ref="P68:P71" si="20">4.9/6</f>
        <v>0.81666666666666676</v>
      </c>
      <c r="Q68" s="71">
        <v>0.85</v>
      </c>
      <c r="R68" s="71">
        <v>0.81666666666666676</v>
      </c>
      <c r="S68" s="71">
        <v>0.81666666666666676</v>
      </c>
      <c r="T68" s="71">
        <v>0.85</v>
      </c>
      <c r="U68" s="71">
        <v>0.85</v>
      </c>
      <c r="V68" s="71">
        <f t="shared" ref="V68:V71" si="21">4.9/6</f>
        <v>0.81666666666666676</v>
      </c>
      <c r="W68" s="71">
        <f t="shared" ref="W68:W71" si="22">4.5/6</f>
        <v>0.75</v>
      </c>
      <c r="X68" s="71">
        <f>4.3/5</f>
        <v>0.86</v>
      </c>
      <c r="Y68" s="71">
        <f t="shared" ref="Y68:Y71" si="23">5.1/6</f>
        <v>0.85</v>
      </c>
      <c r="Z68" s="71">
        <f t="shared" ref="Z68:Z71" si="24">4.9/6</f>
        <v>0.81666666666666676</v>
      </c>
      <c r="AA68" s="71">
        <f t="shared" ref="AA68:AA71" si="25">5/6</f>
        <v>0.83333333333333337</v>
      </c>
      <c r="AB68" s="71">
        <f t="shared" ref="AB68:AB71" si="26">4.4/6</f>
        <v>0.73333333333333339</v>
      </c>
      <c r="AC68" s="71">
        <f t="shared" ref="AC68:AC71" si="27">3.7/5</f>
        <v>0.74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>
        <f t="shared" si="19"/>
        <v>0.78333333333333333</v>
      </c>
      <c r="P69" s="71">
        <f t="shared" si="20"/>
        <v>0.81666666666666676</v>
      </c>
      <c r="Q69" s="71">
        <v>0.85</v>
      </c>
      <c r="R69" s="71">
        <v>0.81666666666666676</v>
      </c>
      <c r="S69" s="71">
        <v>0.81666666666666676</v>
      </c>
      <c r="T69" s="71">
        <v>0.85</v>
      </c>
      <c r="U69" s="71">
        <v>0.85</v>
      </c>
      <c r="V69" s="71">
        <f t="shared" si="21"/>
        <v>0.81666666666666676</v>
      </c>
      <c r="W69" s="71">
        <f t="shared" si="22"/>
        <v>0.75</v>
      </c>
      <c r="X69" s="71">
        <f t="shared" ref="X69:X71" si="28">4.3/5</f>
        <v>0.86</v>
      </c>
      <c r="Y69" s="71">
        <f t="shared" si="23"/>
        <v>0.85</v>
      </c>
      <c r="Z69" s="71">
        <f t="shared" si="24"/>
        <v>0.81666666666666676</v>
      </c>
      <c r="AA69" s="71">
        <f t="shared" si="25"/>
        <v>0.83333333333333337</v>
      </c>
      <c r="AB69" s="71">
        <f t="shared" si="26"/>
        <v>0.73333333333333339</v>
      </c>
      <c r="AC69" s="71">
        <f t="shared" si="27"/>
        <v>0.74</v>
      </c>
      <c r="AD69" s="35"/>
      <c r="AE69" s="35"/>
      <c r="AF69" s="11">
        <f t="shared" si="16"/>
        <v>0</v>
      </c>
      <c r="AG69" s="11">
        <f t="shared" si="17"/>
        <v>0</v>
      </c>
      <c r="AH69" s="11">
        <f t="shared" si="18"/>
        <v>15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ref="F70:F71" si="29">3.67/5</f>
        <v>0.73399999999999999</v>
      </c>
      <c r="G70" s="71">
        <f t="shared" ref="G70:G71" si="30">3.46/5</f>
        <v>0.69199999999999995</v>
      </c>
      <c r="H70" s="71">
        <f t="shared" ref="H70:H71" si="31">3.26/5</f>
        <v>0.65199999999999991</v>
      </c>
      <c r="I70" s="71">
        <f>3.29/5</f>
        <v>0.65800000000000003</v>
      </c>
      <c r="J70" s="71">
        <v>0.6</v>
      </c>
      <c r="K70" s="71">
        <f>3.26/5</f>
        <v>0.65199999999999991</v>
      </c>
      <c r="L70" s="71">
        <f>3.6/5</f>
        <v>0.72</v>
      </c>
      <c r="M70" s="71">
        <f t="shared" ref="M70:M71" si="32">3.77/5</f>
        <v>0.754</v>
      </c>
      <c r="N70" s="71">
        <f t="shared" ref="N70:N71" si="33">3.65/5</f>
        <v>0.73</v>
      </c>
      <c r="O70" s="71">
        <f t="shared" si="19"/>
        <v>0.78333333333333333</v>
      </c>
      <c r="P70" s="71">
        <f t="shared" si="20"/>
        <v>0.81666666666666676</v>
      </c>
      <c r="Q70" s="71">
        <v>0.85</v>
      </c>
      <c r="R70" s="71">
        <v>0.81666666666666676</v>
      </c>
      <c r="S70" s="71">
        <v>0.81666666666666676</v>
      </c>
      <c r="T70" s="71">
        <v>0.85</v>
      </c>
      <c r="U70" s="71">
        <v>0.85</v>
      </c>
      <c r="V70" s="71">
        <f t="shared" si="21"/>
        <v>0.81666666666666676</v>
      </c>
      <c r="W70" s="71">
        <f t="shared" si="22"/>
        <v>0.75</v>
      </c>
      <c r="X70" s="71">
        <f t="shared" si="28"/>
        <v>0.86</v>
      </c>
      <c r="Y70" s="71">
        <f t="shared" si="23"/>
        <v>0.85</v>
      </c>
      <c r="Z70" s="71">
        <f t="shared" si="24"/>
        <v>0.81666666666666676</v>
      </c>
      <c r="AA70" s="71">
        <f t="shared" si="25"/>
        <v>0.83333333333333337</v>
      </c>
      <c r="AB70" s="71">
        <f t="shared" si="26"/>
        <v>0.73333333333333339</v>
      </c>
      <c r="AC70" s="71">
        <f t="shared" si="27"/>
        <v>0.74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9"/>
        <v>0.73399999999999999</v>
      </c>
      <c r="G71" s="71">
        <f t="shared" si="30"/>
        <v>0.69199999999999995</v>
      </c>
      <c r="H71" s="71">
        <f t="shared" si="31"/>
        <v>0.65199999999999991</v>
      </c>
      <c r="I71" s="71">
        <f>3.29/5</f>
        <v>0.65800000000000003</v>
      </c>
      <c r="J71" s="71">
        <v>0.6</v>
      </c>
      <c r="K71" s="71">
        <f>3.26/5</f>
        <v>0.65199999999999991</v>
      </c>
      <c r="L71" s="71">
        <f>3.6/5</f>
        <v>0.72</v>
      </c>
      <c r="M71" s="71">
        <f t="shared" si="32"/>
        <v>0.754</v>
      </c>
      <c r="N71" s="71">
        <f t="shared" si="33"/>
        <v>0.73</v>
      </c>
      <c r="O71" s="71">
        <f t="shared" si="19"/>
        <v>0.78333333333333333</v>
      </c>
      <c r="P71" s="71">
        <f t="shared" si="20"/>
        <v>0.81666666666666676</v>
      </c>
      <c r="Q71" s="71">
        <v>0.85</v>
      </c>
      <c r="R71" s="71">
        <v>0.81666666666666676</v>
      </c>
      <c r="S71" s="71">
        <v>0.81666666666666676</v>
      </c>
      <c r="T71" s="71">
        <v>0.85</v>
      </c>
      <c r="U71" s="71">
        <v>0.85</v>
      </c>
      <c r="V71" s="71">
        <f t="shared" si="21"/>
        <v>0.81666666666666676</v>
      </c>
      <c r="W71" s="71">
        <f t="shared" si="22"/>
        <v>0.75</v>
      </c>
      <c r="X71" s="71">
        <f t="shared" si="28"/>
        <v>0.86</v>
      </c>
      <c r="Y71" s="71">
        <f t="shared" si="23"/>
        <v>0.85</v>
      </c>
      <c r="Z71" s="71">
        <f t="shared" si="24"/>
        <v>0.81666666666666676</v>
      </c>
      <c r="AA71" s="71">
        <f t="shared" si="25"/>
        <v>0.83333333333333337</v>
      </c>
      <c r="AB71" s="71">
        <f t="shared" si="26"/>
        <v>0.73333333333333339</v>
      </c>
      <c r="AC71" s="71">
        <f t="shared" si="27"/>
        <v>0.74</v>
      </c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f>3.67/5</f>
        <v>0.73399999999999999</v>
      </c>
      <c r="G74" s="71">
        <f>3.46/5</f>
        <v>0.69199999999999995</v>
      </c>
      <c r="H74" s="71">
        <f>3.26/5</f>
        <v>0.65199999999999991</v>
      </c>
      <c r="I74" s="71">
        <f>3.29/5</f>
        <v>0.65800000000000003</v>
      </c>
      <c r="J74" s="71">
        <v>0.6</v>
      </c>
      <c r="K74" s="71">
        <f>3.26/5</f>
        <v>0.65199999999999991</v>
      </c>
      <c r="L74" s="71">
        <f>3.6/5</f>
        <v>0.72</v>
      </c>
      <c r="M74" s="71">
        <f>3.77/5</f>
        <v>0.754</v>
      </c>
      <c r="N74" s="71">
        <f>3.65/5</f>
        <v>0.73</v>
      </c>
      <c r="O74" s="71">
        <f>4.7/6</f>
        <v>0.78333333333333333</v>
      </c>
      <c r="P74" s="71">
        <f>4.9/6</f>
        <v>0.81666666666666676</v>
      </c>
      <c r="Q74" s="71">
        <v>0.85</v>
      </c>
      <c r="R74" s="71">
        <v>0.81666666666666676</v>
      </c>
      <c r="S74" s="71">
        <v>0.81666666666666676</v>
      </c>
      <c r="T74" s="71">
        <v>0.85</v>
      </c>
      <c r="U74" s="71">
        <v>0.85</v>
      </c>
      <c r="V74" s="71">
        <f>4.9/6</f>
        <v>0.81666666666666676</v>
      </c>
      <c r="W74" s="71">
        <f t="shared" ref="W74" si="34">4.5/6</f>
        <v>0.75</v>
      </c>
      <c r="X74" s="71">
        <f>4.3/5</f>
        <v>0.86</v>
      </c>
      <c r="Y74" s="71">
        <f t="shared" ref="Y74" si="35">5.1/6</f>
        <v>0.85</v>
      </c>
      <c r="Z74" s="71">
        <f t="shared" ref="Z74" si="36">4.9/6</f>
        <v>0.81666666666666676</v>
      </c>
      <c r="AA74" s="71">
        <f t="shared" ref="AA74" si="37">5/6</f>
        <v>0.83333333333333337</v>
      </c>
      <c r="AB74" s="71">
        <f t="shared" ref="AB74" si="38">4.4/6</f>
        <v>0.73333333333333339</v>
      </c>
      <c r="AC74" s="71"/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23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9">SUM(F66:F74)</f>
        <v>3.67</v>
      </c>
      <c r="G75" s="19">
        <f t="shared" si="39"/>
        <v>3.46</v>
      </c>
      <c r="H75" s="19">
        <f t="shared" si="39"/>
        <v>3.26</v>
      </c>
      <c r="I75" s="19">
        <f t="shared" si="39"/>
        <v>3.29</v>
      </c>
      <c r="J75" s="19">
        <f t="shared" si="39"/>
        <v>3</v>
      </c>
      <c r="K75" s="19">
        <f t="shared" si="39"/>
        <v>3.26</v>
      </c>
      <c r="L75" s="19">
        <f>SUM(L66:L74)</f>
        <v>3.5999999999999996</v>
      </c>
      <c r="M75" s="19">
        <f t="shared" si="39"/>
        <v>3.77</v>
      </c>
      <c r="N75" s="19">
        <f t="shared" si="39"/>
        <v>3.65</v>
      </c>
      <c r="O75" s="19">
        <f t="shared" si="39"/>
        <v>4.7</v>
      </c>
      <c r="P75" s="19">
        <f t="shared" si="39"/>
        <v>4.9000000000000004</v>
      </c>
      <c r="Q75" s="19">
        <f t="shared" si="39"/>
        <v>5.0999999999999996</v>
      </c>
      <c r="R75" s="19">
        <f t="shared" si="39"/>
        <v>4.9000000000000004</v>
      </c>
      <c r="S75" s="19">
        <f t="shared" si="39"/>
        <v>4.9000000000000004</v>
      </c>
      <c r="T75" s="19">
        <f t="shared" si="39"/>
        <v>5.0999999999999996</v>
      </c>
      <c r="U75" s="19">
        <f t="shared" si="39"/>
        <v>5.0999999999999996</v>
      </c>
      <c r="V75" s="19">
        <f t="shared" si="39"/>
        <v>4.9000000000000004</v>
      </c>
      <c r="W75" s="19">
        <f t="shared" si="39"/>
        <v>4.5</v>
      </c>
      <c r="X75" s="19">
        <f t="shared" si="39"/>
        <v>4.3</v>
      </c>
      <c r="Y75" s="19">
        <f t="shared" si="39"/>
        <v>5.0999999999999996</v>
      </c>
      <c r="Z75" s="19">
        <f t="shared" si="39"/>
        <v>4.9000000000000004</v>
      </c>
      <c r="AA75" s="19">
        <f t="shared" si="39"/>
        <v>5</v>
      </c>
      <c r="AB75" s="19">
        <f t="shared" si="39"/>
        <v>4.4000000000000004</v>
      </c>
      <c r="AC75" s="19">
        <f t="shared" si="39"/>
        <v>3.7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20.040000000000003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0.78</v>
      </c>
      <c r="N77" s="71">
        <v>0.72</v>
      </c>
      <c r="O77" s="71">
        <v>0.75</v>
      </c>
      <c r="P77" s="71">
        <v>0.83</v>
      </c>
      <c r="Q77" s="71">
        <v>0.86</v>
      </c>
      <c r="R77" s="71">
        <v>0.82</v>
      </c>
      <c r="S77" s="71">
        <v>0.84</v>
      </c>
      <c r="T77" s="71">
        <v>0.82</v>
      </c>
      <c r="U77" s="71">
        <v>0.85</v>
      </c>
      <c r="V77" s="71">
        <v>0.83</v>
      </c>
      <c r="W77" s="71">
        <v>0.91</v>
      </c>
      <c r="X77" s="71">
        <v>0.89</v>
      </c>
      <c r="Y77" s="71">
        <v>0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0.74</v>
      </c>
      <c r="I78" s="71">
        <v>0.73</v>
      </c>
      <c r="J78" s="71">
        <v>0.71</v>
      </c>
      <c r="K78" s="71">
        <v>0.74</v>
      </c>
      <c r="L78" s="71">
        <v>0.82</v>
      </c>
      <c r="M78" s="71">
        <v>0</v>
      </c>
      <c r="N78" s="71">
        <v>0</v>
      </c>
      <c r="O78" s="71">
        <v>0</v>
      </c>
      <c r="P78" s="71">
        <v>0</v>
      </c>
      <c r="Q78" s="71">
        <v>0</v>
      </c>
      <c r="R78" s="71">
        <v>0</v>
      </c>
      <c r="S78" s="71">
        <v>0</v>
      </c>
      <c r="T78" s="71">
        <v>0</v>
      </c>
      <c r="U78" s="71">
        <v>0</v>
      </c>
      <c r="V78" s="71">
        <v>0</v>
      </c>
      <c r="W78" s="71">
        <v>0</v>
      </c>
      <c r="X78" s="71">
        <v>0</v>
      </c>
      <c r="Y78" s="71">
        <v>1.01</v>
      </c>
      <c r="Z78" s="71">
        <v>1.02</v>
      </c>
      <c r="AA78" s="71">
        <v>1</v>
      </c>
      <c r="AB78" s="71">
        <v>0.94</v>
      </c>
      <c r="AC78" s="71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0">SUM(F77:F78)</f>
        <v>0.79</v>
      </c>
      <c r="G79" s="19">
        <f>SUM(G77:G78)</f>
        <v>0.77</v>
      </c>
      <c r="H79" s="19">
        <f>SUM(H77:H78)</f>
        <v>0.74</v>
      </c>
      <c r="I79" s="19">
        <f>SUM(I77:I78)</f>
        <v>0.73</v>
      </c>
      <c r="J79" s="19">
        <f t="shared" ref="J79:AC79" si="41">SUM(J77:J78)</f>
        <v>0.71</v>
      </c>
      <c r="K79" s="19">
        <f t="shared" si="41"/>
        <v>0.74</v>
      </c>
      <c r="L79" s="19">
        <f>SUM(L77:L78)</f>
        <v>0.82</v>
      </c>
      <c r="M79" s="19">
        <f t="shared" si="41"/>
        <v>0.78</v>
      </c>
      <c r="N79" s="19">
        <f t="shared" si="41"/>
        <v>0.72</v>
      </c>
      <c r="O79" s="19">
        <f>SUM(O77:O78)</f>
        <v>0.75</v>
      </c>
      <c r="P79" s="19">
        <f t="shared" si="41"/>
        <v>0.83</v>
      </c>
      <c r="Q79" s="19">
        <f t="shared" si="41"/>
        <v>0.86</v>
      </c>
      <c r="R79" s="19">
        <f t="shared" si="41"/>
        <v>0.82</v>
      </c>
      <c r="S79" s="19">
        <f t="shared" si="41"/>
        <v>0.84</v>
      </c>
      <c r="T79" s="19">
        <f t="shared" si="41"/>
        <v>0.82</v>
      </c>
      <c r="U79" s="19">
        <f t="shared" si="41"/>
        <v>0.85</v>
      </c>
      <c r="V79" s="19">
        <f t="shared" si="41"/>
        <v>0.83</v>
      </c>
      <c r="W79" s="19">
        <f t="shared" si="41"/>
        <v>0.91</v>
      </c>
      <c r="X79" s="19">
        <f t="shared" si="41"/>
        <v>0.89</v>
      </c>
      <c r="Y79" s="19">
        <f t="shared" si="41"/>
        <v>1.01</v>
      </c>
      <c r="Z79" s="19">
        <f t="shared" si="41"/>
        <v>1.02</v>
      </c>
      <c r="AA79" s="19">
        <f t="shared" si="41"/>
        <v>1</v>
      </c>
      <c r="AB79" s="19">
        <f t="shared" si="41"/>
        <v>0.94</v>
      </c>
      <c r="AC79" s="19">
        <f t="shared" si="41"/>
        <v>0.87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>
        <v>1.7</v>
      </c>
      <c r="T81" s="379">
        <v>1.6890000000000001</v>
      </c>
      <c r="U81" s="379">
        <v>1.6759999999999999</v>
      </c>
      <c r="V81" s="379">
        <v>1.704</v>
      </c>
      <c r="W81" s="379">
        <v>0</v>
      </c>
      <c r="X81" s="379"/>
      <c r="Y81" s="379">
        <v>1.706</v>
      </c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42">SUM(F17,F22,F25,F30,F33,F59,F64,F75,F79,F81)</f>
        <v>39.859999999999992</v>
      </c>
      <c r="G82" s="28">
        <f t="shared" si="42"/>
        <v>38.980000000000004</v>
      </c>
      <c r="H82" s="28">
        <f t="shared" si="42"/>
        <v>37.340000000000003</v>
      </c>
      <c r="I82" s="28">
        <f t="shared" si="42"/>
        <v>36.6</v>
      </c>
      <c r="J82" s="28">
        <f t="shared" si="42"/>
        <v>35.589999999999996</v>
      </c>
      <c r="K82" s="28">
        <f t="shared" si="42"/>
        <v>37.450000000000003</v>
      </c>
      <c r="L82" s="28">
        <f t="shared" si="42"/>
        <v>40.880000000000003</v>
      </c>
      <c r="M82" s="28">
        <f t="shared" si="42"/>
        <v>39.700000000000003</v>
      </c>
      <c r="N82" s="28">
        <f t="shared" si="42"/>
        <v>42.879999999999988</v>
      </c>
      <c r="O82" s="28">
        <f t="shared" si="42"/>
        <v>51.370000000000005</v>
      </c>
      <c r="P82" s="28">
        <f t="shared" si="42"/>
        <v>56.8</v>
      </c>
      <c r="Q82" s="28">
        <f t="shared" si="42"/>
        <v>58.38</v>
      </c>
      <c r="R82" s="28">
        <f t="shared" si="42"/>
        <v>57.389999999999993</v>
      </c>
      <c r="S82" s="28">
        <f t="shared" si="42"/>
        <v>58.370000000000005</v>
      </c>
      <c r="T82" s="28">
        <f t="shared" si="42"/>
        <v>60.139000000000003</v>
      </c>
      <c r="U82" s="28">
        <f t="shared" si="42"/>
        <v>60.571000000000012</v>
      </c>
      <c r="V82" s="28">
        <f t="shared" si="42"/>
        <v>59.954000000000001</v>
      </c>
      <c r="W82" s="28">
        <f t="shared" si="42"/>
        <v>57.060000000000009</v>
      </c>
      <c r="X82" s="28">
        <f t="shared" si="42"/>
        <v>55.32</v>
      </c>
      <c r="Y82" s="28">
        <f t="shared" si="42"/>
        <v>61.146000000000001</v>
      </c>
      <c r="Z82" s="28">
        <f t="shared" si="42"/>
        <v>57.110000000000007</v>
      </c>
      <c r="AA82" s="28">
        <f t="shared" si="42"/>
        <v>53.690000000000012</v>
      </c>
      <c r="AB82" s="28">
        <f t="shared" si="42"/>
        <v>50.309999999999995</v>
      </c>
      <c r="AC82" s="28">
        <f t="shared" si="42"/>
        <v>45.58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43">SUM(F22,F25)</f>
        <v>0.5</v>
      </c>
      <c r="G88" s="64">
        <f t="shared" si="43"/>
        <v>3.8</v>
      </c>
      <c r="H88" s="64">
        <f t="shared" si="43"/>
        <v>3.8</v>
      </c>
      <c r="I88" s="64">
        <f t="shared" si="43"/>
        <v>3.8</v>
      </c>
      <c r="J88" s="64">
        <f t="shared" si="43"/>
        <v>3.8</v>
      </c>
      <c r="K88" s="64">
        <f t="shared" si="43"/>
        <v>3.8</v>
      </c>
      <c r="L88" s="64">
        <f t="shared" si="43"/>
        <v>3.8</v>
      </c>
      <c r="M88" s="64">
        <f t="shared" si="43"/>
        <v>3.8</v>
      </c>
      <c r="N88" s="64">
        <f t="shared" si="43"/>
        <v>3.8</v>
      </c>
      <c r="O88" s="64">
        <f t="shared" si="43"/>
        <v>3.8</v>
      </c>
      <c r="P88" s="64">
        <f t="shared" si="43"/>
        <v>3.8</v>
      </c>
      <c r="Q88" s="64">
        <f t="shared" si="43"/>
        <v>3.8</v>
      </c>
      <c r="R88" s="64">
        <f t="shared" si="43"/>
        <v>3.8</v>
      </c>
      <c r="S88" s="64">
        <f t="shared" si="43"/>
        <v>3.8</v>
      </c>
      <c r="T88" s="64">
        <f t="shared" si="43"/>
        <v>3.8</v>
      </c>
      <c r="U88" s="64">
        <f t="shared" si="43"/>
        <v>3.8</v>
      </c>
      <c r="V88" s="64">
        <f t="shared" si="43"/>
        <v>3.8</v>
      </c>
      <c r="W88" s="64">
        <f t="shared" si="43"/>
        <v>3.8</v>
      </c>
      <c r="X88" s="64">
        <f t="shared" si="43"/>
        <v>3.8</v>
      </c>
      <c r="Y88" s="64">
        <f t="shared" si="43"/>
        <v>3.8</v>
      </c>
      <c r="Z88" s="64">
        <f t="shared" si="43"/>
        <v>3.8</v>
      </c>
      <c r="AA88" s="64">
        <f t="shared" si="43"/>
        <v>3.8</v>
      </c>
      <c r="AB88" s="64">
        <f t="shared" si="43"/>
        <v>3.8</v>
      </c>
      <c r="AC88" s="64">
        <f t="shared" si="43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0.14399999999999999</v>
      </c>
      <c r="G89" s="68">
        <v>0.20499999999999999</v>
      </c>
      <c r="H89" s="68">
        <v>0.216</v>
      </c>
      <c r="I89" s="68">
        <v>0.186</v>
      </c>
      <c r="J89" s="68">
        <v>0.2</v>
      </c>
      <c r="K89" s="68">
        <v>0.19500000000000001</v>
      </c>
      <c r="L89" s="68">
        <v>0.19500000000000001</v>
      </c>
      <c r="M89" s="68">
        <v>0.23400000000000001</v>
      </c>
      <c r="N89" s="68">
        <v>0.24299999999999999</v>
      </c>
      <c r="O89" s="68">
        <v>0.25800000000000001</v>
      </c>
      <c r="P89" s="68">
        <v>0.253</v>
      </c>
      <c r="Q89" s="68">
        <v>0.193</v>
      </c>
      <c r="R89" s="68">
        <v>0.218</v>
      </c>
      <c r="S89" s="68">
        <v>0.2</v>
      </c>
      <c r="T89" s="68">
        <v>0.245</v>
      </c>
      <c r="U89" s="68">
        <v>0.23</v>
      </c>
      <c r="V89" s="68">
        <v>0.28799999999999998</v>
      </c>
      <c r="W89" s="68">
        <v>0.24299999999999999</v>
      </c>
      <c r="X89" s="68">
        <v>0.22</v>
      </c>
      <c r="Y89" s="68">
        <v>0.246</v>
      </c>
      <c r="Z89" s="68">
        <v>0.26</v>
      </c>
      <c r="AA89" s="68">
        <v>0.23499999999999999</v>
      </c>
      <c r="AB89" s="68">
        <v>0.21099999999999999</v>
      </c>
      <c r="AC89" s="68">
        <v>0.26200000000000001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44">F17</f>
        <v>19.799999999999997</v>
      </c>
      <c r="G90" s="64">
        <f t="shared" si="44"/>
        <v>20.399999999999999</v>
      </c>
      <c r="H90" s="64">
        <f t="shared" si="44"/>
        <v>20.100000000000001</v>
      </c>
      <c r="I90" s="64">
        <f t="shared" si="44"/>
        <v>20.100000000000001</v>
      </c>
      <c r="J90" s="64">
        <f t="shared" si="44"/>
        <v>20.399999999999999</v>
      </c>
      <c r="K90" s="64">
        <f t="shared" si="44"/>
        <v>20.100000000000001</v>
      </c>
      <c r="L90" s="64">
        <f t="shared" si="44"/>
        <v>20.399999999999999</v>
      </c>
      <c r="M90" s="64">
        <f t="shared" si="44"/>
        <v>19.3</v>
      </c>
      <c r="N90" s="64">
        <f t="shared" si="44"/>
        <v>21.3</v>
      </c>
      <c r="O90" s="64">
        <f t="shared" si="44"/>
        <v>26.1</v>
      </c>
      <c r="P90" s="64">
        <f t="shared" si="44"/>
        <v>27.2</v>
      </c>
      <c r="Q90" s="64">
        <f t="shared" si="44"/>
        <v>26.8</v>
      </c>
      <c r="R90" s="64">
        <f t="shared" si="44"/>
        <v>26.4</v>
      </c>
      <c r="S90" s="64">
        <f t="shared" si="44"/>
        <v>26.499999999999996</v>
      </c>
      <c r="T90" s="64">
        <f t="shared" si="44"/>
        <v>26.8</v>
      </c>
      <c r="U90" s="64">
        <f t="shared" si="44"/>
        <v>26.900000000000002</v>
      </c>
      <c r="V90" s="64">
        <f t="shared" si="44"/>
        <v>27.2</v>
      </c>
      <c r="W90" s="64">
        <f t="shared" si="44"/>
        <v>24.8</v>
      </c>
      <c r="X90" s="64">
        <f t="shared" si="44"/>
        <v>22.4</v>
      </c>
      <c r="Y90" s="64">
        <f t="shared" si="44"/>
        <v>25.9</v>
      </c>
      <c r="Z90" s="64">
        <f t="shared" si="44"/>
        <v>23.6</v>
      </c>
      <c r="AA90" s="64">
        <f t="shared" si="44"/>
        <v>20.8</v>
      </c>
      <c r="AB90" s="64">
        <f t="shared" si="44"/>
        <v>23.6</v>
      </c>
      <c r="AC90" s="64">
        <f t="shared" si="44"/>
        <v>23.2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0.622</v>
      </c>
      <c r="G91" s="68">
        <v>0.622</v>
      </c>
      <c r="H91" s="68">
        <v>0.621</v>
      </c>
      <c r="I91" s="68">
        <v>0.82</v>
      </c>
      <c r="J91" s="68">
        <v>0.67600000000000005</v>
      </c>
      <c r="K91" s="68">
        <v>0.70099999999999996</v>
      </c>
      <c r="L91" s="68">
        <v>0.76600000000000001</v>
      </c>
      <c r="M91" s="68">
        <v>0.61199999999999999</v>
      </c>
      <c r="N91" s="68">
        <v>0.874</v>
      </c>
      <c r="O91" s="68">
        <v>0.93</v>
      </c>
      <c r="P91" s="68">
        <v>0.88900000000000001</v>
      </c>
      <c r="Q91" s="68">
        <v>0.82599999999999996</v>
      </c>
      <c r="R91" s="68">
        <v>0.81799999999999995</v>
      </c>
      <c r="S91" s="68">
        <v>0.84899999999999998</v>
      </c>
      <c r="T91" s="68">
        <v>0.83099999999999996</v>
      </c>
      <c r="U91" s="68">
        <v>0.82299999999999995</v>
      </c>
      <c r="V91" s="68">
        <v>0.88500000000000001</v>
      </c>
      <c r="W91" s="68">
        <v>0.81200000000000006</v>
      </c>
      <c r="X91" s="68">
        <v>0.91</v>
      </c>
      <c r="Y91" s="68">
        <v>0.91</v>
      </c>
      <c r="Z91" s="68">
        <v>0.86699999999999999</v>
      </c>
      <c r="AA91" s="68">
        <v>0.93</v>
      </c>
      <c r="AB91" s="68">
        <v>1</v>
      </c>
      <c r="AC91" s="68">
        <v>0.75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5">F30</f>
        <v>5.8</v>
      </c>
      <c r="G92" s="65">
        <f t="shared" si="45"/>
        <v>7.8</v>
      </c>
      <c r="H92" s="65">
        <f t="shared" si="45"/>
        <v>7.8</v>
      </c>
      <c r="I92" s="65">
        <f t="shared" si="45"/>
        <v>8</v>
      </c>
      <c r="J92" s="65">
        <f t="shared" si="45"/>
        <v>7</v>
      </c>
      <c r="K92" s="65">
        <f t="shared" si="45"/>
        <v>8</v>
      </c>
      <c r="L92" s="65">
        <f t="shared" si="45"/>
        <v>8</v>
      </c>
      <c r="M92" s="65">
        <f t="shared" si="45"/>
        <v>7.6</v>
      </c>
      <c r="N92" s="65">
        <f t="shared" si="45"/>
        <v>8.1999999999999993</v>
      </c>
      <c r="O92" s="65">
        <f t="shared" si="45"/>
        <v>8.1999999999999993</v>
      </c>
      <c r="P92" s="65">
        <f t="shared" si="45"/>
        <v>8</v>
      </c>
      <c r="Q92" s="65">
        <f t="shared" si="45"/>
        <v>8</v>
      </c>
      <c r="R92" s="65">
        <f t="shared" si="45"/>
        <v>7.6</v>
      </c>
      <c r="S92" s="65">
        <f t="shared" si="45"/>
        <v>7.6</v>
      </c>
      <c r="T92" s="65">
        <f t="shared" si="45"/>
        <v>7.6</v>
      </c>
      <c r="U92" s="65">
        <f t="shared" si="45"/>
        <v>7.6</v>
      </c>
      <c r="V92" s="65">
        <f t="shared" si="45"/>
        <v>7.6</v>
      </c>
      <c r="W92" s="65">
        <f t="shared" si="45"/>
        <v>9.3000000000000007</v>
      </c>
      <c r="X92" s="65">
        <f t="shared" si="45"/>
        <v>10.199999999999999</v>
      </c>
      <c r="Y92" s="65">
        <f t="shared" si="45"/>
        <v>7.6</v>
      </c>
      <c r="Z92" s="65">
        <f t="shared" si="45"/>
        <v>9.1</v>
      </c>
      <c r="AA92" s="65">
        <f t="shared" si="45"/>
        <v>8.8000000000000007</v>
      </c>
      <c r="AB92" s="65">
        <f t="shared" si="45"/>
        <v>10.199999999999999</v>
      </c>
      <c r="AC92" s="65">
        <f t="shared" si="45"/>
        <v>8.5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0.28499999999999998</v>
      </c>
      <c r="G93" s="68">
        <v>0.27500000000000002</v>
      </c>
      <c r="H93" s="68">
        <v>0.27700000000000002</v>
      </c>
      <c r="I93" s="68">
        <v>0.25600000000000001</v>
      </c>
      <c r="J93" s="68">
        <v>0.26500000000000001</v>
      </c>
      <c r="K93" s="68">
        <v>0.27200000000000002</v>
      </c>
      <c r="L93" s="68">
        <v>0.26500000000000001</v>
      </c>
      <c r="M93" s="68">
        <v>0.252</v>
      </c>
      <c r="N93" s="68">
        <v>0.28599999999999998</v>
      </c>
      <c r="O93" s="68">
        <v>0.28399999999999997</v>
      </c>
      <c r="P93" s="68">
        <v>0.28899999999999998</v>
      </c>
      <c r="Q93" s="68">
        <v>0.317</v>
      </c>
      <c r="R93" s="68">
        <v>0.30499999999999999</v>
      </c>
      <c r="S93" s="68">
        <v>0.30599999999999999</v>
      </c>
      <c r="T93" s="68">
        <v>0.32</v>
      </c>
      <c r="U93" s="68">
        <v>0.312</v>
      </c>
      <c r="V93" s="68">
        <v>0.3</v>
      </c>
      <c r="W93" s="68">
        <v>0.29299999999999998</v>
      </c>
      <c r="X93" s="68">
        <v>0.3</v>
      </c>
      <c r="Y93" s="68">
        <v>0.307</v>
      </c>
      <c r="Z93" s="68">
        <v>0.30099999999999999</v>
      </c>
      <c r="AA93" s="68">
        <v>0.29599999999999999</v>
      </c>
      <c r="AB93" s="68">
        <v>0.29299999999999998</v>
      </c>
      <c r="AC93" s="68">
        <v>0.27500000000000002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6">F33</f>
        <v>0</v>
      </c>
      <c r="G94" s="65">
        <f t="shared" si="46"/>
        <v>0</v>
      </c>
      <c r="H94" s="65">
        <f t="shared" si="46"/>
        <v>0</v>
      </c>
      <c r="I94" s="65">
        <f t="shared" si="46"/>
        <v>0</v>
      </c>
      <c r="J94" s="65">
        <f t="shared" si="46"/>
        <v>0</v>
      </c>
      <c r="K94" s="65">
        <f t="shared" si="46"/>
        <v>0</v>
      </c>
      <c r="L94" s="65">
        <f t="shared" si="46"/>
        <v>0</v>
      </c>
      <c r="M94" s="65">
        <f t="shared" si="46"/>
        <v>0</v>
      </c>
      <c r="N94" s="65">
        <f t="shared" si="46"/>
        <v>0</v>
      </c>
      <c r="O94" s="65">
        <f t="shared" si="46"/>
        <v>0</v>
      </c>
      <c r="P94" s="65">
        <f t="shared" si="46"/>
        <v>0</v>
      </c>
      <c r="Q94" s="65">
        <f t="shared" si="46"/>
        <v>0</v>
      </c>
      <c r="R94" s="65">
        <f t="shared" si="46"/>
        <v>0</v>
      </c>
      <c r="S94" s="65">
        <f t="shared" si="46"/>
        <v>0</v>
      </c>
      <c r="T94" s="65">
        <f t="shared" si="46"/>
        <v>0</v>
      </c>
      <c r="U94" s="65">
        <f t="shared" si="46"/>
        <v>0</v>
      </c>
      <c r="V94" s="65">
        <f t="shared" si="46"/>
        <v>0</v>
      </c>
      <c r="W94" s="65">
        <f t="shared" si="46"/>
        <v>0</v>
      </c>
      <c r="X94" s="65">
        <f t="shared" si="46"/>
        <v>0</v>
      </c>
      <c r="Y94" s="65">
        <f t="shared" si="46"/>
        <v>0</v>
      </c>
      <c r="Z94" s="65">
        <f t="shared" si="46"/>
        <v>0</v>
      </c>
      <c r="AA94" s="65">
        <f t="shared" si="46"/>
        <v>0</v>
      </c>
      <c r="AB94" s="65">
        <f t="shared" si="46"/>
        <v>0</v>
      </c>
      <c r="AC94" s="65">
        <f t="shared" si="46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f>0.08/1000</f>
        <v>8.0000000000000007E-5</v>
      </c>
      <c r="G95" s="68">
        <f>0.07/1000</f>
        <v>7.0000000000000007E-5</v>
      </c>
      <c r="H95" s="68">
        <f>0.06/1000</f>
        <v>5.9999999999999995E-5</v>
      </c>
      <c r="I95" s="68">
        <f>0.07/1000</f>
        <v>7.0000000000000007E-5</v>
      </c>
      <c r="J95" s="68">
        <f>0.07/1000</f>
        <v>7.0000000000000007E-5</v>
      </c>
      <c r="K95" s="68">
        <f>0.07/1000</f>
        <v>7.0000000000000007E-5</v>
      </c>
      <c r="L95" s="68">
        <f>0.07/1000</f>
        <v>7.0000000000000007E-5</v>
      </c>
      <c r="M95" s="68">
        <f>0.04/1000</f>
        <v>4.0000000000000003E-5</v>
      </c>
      <c r="N95" s="68">
        <f>0.07/1000</f>
        <v>7.0000000000000007E-5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7">F59</f>
        <v>8.5</v>
      </c>
      <c r="G96" s="64">
        <f t="shared" si="47"/>
        <v>2</v>
      </c>
      <c r="H96" s="64">
        <f t="shared" si="47"/>
        <v>0.9</v>
      </c>
      <c r="I96" s="64">
        <f t="shared" si="47"/>
        <v>0</v>
      </c>
      <c r="J96" s="64">
        <f t="shared" si="47"/>
        <v>0</v>
      </c>
      <c r="K96" s="64">
        <f t="shared" si="47"/>
        <v>0.8</v>
      </c>
      <c r="L96" s="64">
        <f t="shared" si="47"/>
        <v>3.3200000000000003</v>
      </c>
      <c r="M96" s="64">
        <f t="shared" si="47"/>
        <v>3.41</v>
      </c>
      <c r="N96" s="64">
        <f t="shared" si="47"/>
        <v>4.3</v>
      </c>
      <c r="O96" s="64">
        <f t="shared" si="47"/>
        <v>6.6</v>
      </c>
      <c r="P96" s="64">
        <f t="shared" si="47"/>
        <v>10.799999999999997</v>
      </c>
      <c r="Q96" s="64">
        <f t="shared" si="47"/>
        <v>12.500000000000002</v>
      </c>
      <c r="R96" s="64">
        <f t="shared" si="47"/>
        <v>12.500000000000002</v>
      </c>
      <c r="S96" s="64">
        <f t="shared" si="47"/>
        <v>11.700000000000003</v>
      </c>
      <c r="T96" s="64">
        <f t="shared" si="47"/>
        <v>13</v>
      </c>
      <c r="U96" s="64">
        <f t="shared" si="47"/>
        <v>13.395000000000001</v>
      </c>
      <c r="V96" s="64">
        <f t="shared" si="47"/>
        <v>12.700000000000003</v>
      </c>
      <c r="W96" s="64">
        <f t="shared" si="47"/>
        <v>12.600000000000005</v>
      </c>
      <c r="X96" s="64">
        <f t="shared" si="47"/>
        <v>12.600000000000005</v>
      </c>
      <c r="Y96" s="64">
        <f t="shared" si="47"/>
        <v>14.600000000000003</v>
      </c>
      <c r="Z96" s="64">
        <f t="shared" si="47"/>
        <v>13.300000000000006</v>
      </c>
      <c r="AA96" s="64">
        <f t="shared" si="47"/>
        <v>12.950000000000001</v>
      </c>
      <c r="AB96" s="64">
        <f t="shared" si="47"/>
        <v>6.25</v>
      </c>
      <c r="AC96" s="64">
        <f t="shared" si="47"/>
        <v>4.55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8">F64</f>
        <v>0.8</v>
      </c>
      <c r="G97" s="64">
        <f t="shared" si="48"/>
        <v>0.75</v>
      </c>
      <c r="H97" s="64">
        <f t="shared" si="48"/>
        <v>0.74</v>
      </c>
      <c r="I97" s="64">
        <f t="shared" si="48"/>
        <v>0.68</v>
      </c>
      <c r="J97" s="64">
        <f t="shared" si="48"/>
        <v>0.68</v>
      </c>
      <c r="K97" s="64">
        <f t="shared" si="48"/>
        <v>0.75</v>
      </c>
      <c r="L97" s="64">
        <f t="shared" si="48"/>
        <v>0.94</v>
      </c>
      <c r="M97" s="64">
        <f t="shared" si="48"/>
        <v>1.04</v>
      </c>
      <c r="N97" s="64">
        <f t="shared" si="48"/>
        <v>0.91</v>
      </c>
      <c r="O97" s="64">
        <f t="shared" si="48"/>
        <v>1.22</v>
      </c>
      <c r="P97" s="64">
        <f t="shared" si="48"/>
        <v>1.27</v>
      </c>
      <c r="Q97" s="64">
        <f t="shared" si="48"/>
        <v>1.32</v>
      </c>
      <c r="R97" s="64">
        <f t="shared" si="48"/>
        <v>1.37</v>
      </c>
      <c r="S97" s="64">
        <f t="shared" si="48"/>
        <v>1.33</v>
      </c>
      <c r="T97" s="64">
        <f t="shared" si="48"/>
        <v>1.33</v>
      </c>
      <c r="U97" s="64">
        <f t="shared" si="48"/>
        <v>1.25</v>
      </c>
      <c r="V97" s="64">
        <f t="shared" si="48"/>
        <v>1.22</v>
      </c>
      <c r="W97" s="64">
        <f t="shared" si="48"/>
        <v>1.1499999999999999</v>
      </c>
      <c r="X97" s="64">
        <f t="shared" si="48"/>
        <v>1.1299999999999999</v>
      </c>
      <c r="Y97" s="64">
        <f t="shared" si="48"/>
        <v>1.43</v>
      </c>
      <c r="Z97" s="64">
        <f t="shared" si="48"/>
        <v>1.39</v>
      </c>
      <c r="AA97" s="64">
        <f t="shared" si="48"/>
        <v>1.34</v>
      </c>
      <c r="AB97" s="64">
        <f t="shared" si="48"/>
        <v>1.1200000000000001</v>
      </c>
      <c r="AC97" s="64">
        <f t="shared" si="48"/>
        <v>0.96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9">F75</f>
        <v>3.67</v>
      </c>
      <c r="G98" s="64">
        <f t="shared" si="49"/>
        <v>3.46</v>
      </c>
      <c r="H98" s="64">
        <f t="shared" si="49"/>
        <v>3.26</v>
      </c>
      <c r="I98" s="64">
        <f t="shared" si="49"/>
        <v>3.29</v>
      </c>
      <c r="J98" s="64">
        <f t="shared" si="49"/>
        <v>3</v>
      </c>
      <c r="K98" s="64">
        <f t="shared" si="49"/>
        <v>3.26</v>
      </c>
      <c r="L98" s="64">
        <f t="shared" si="49"/>
        <v>3.5999999999999996</v>
      </c>
      <c r="M98" s="64">
        <f t="shared" si="49"/>
        <v>3.77</v>
      </c>
      <c r="N98" s="64">
        <f t="shared" si="49"/>
        <v>3.65</v>
      </c>
      <c r="O98" s="64">
        <f t="shared" si="49"/>
        <v>4.7</v>
      </c>
      <c r="P98" s="64">
        <f t="shared" si="49"/>
        <v>4.9000000000000004</v>
      </c>
      <c r="Q98" s="64">
        <f t="shared" si="49"/>
        <v>5.0999999999999996</v>
      </c>
      <c r="R98" s="64">
        <f t="shared" si="49"/>
        <v>4.9000000000000004</v>
      </c>
      <c r="S98" s="64">
        <f t="shared" si="49"/>
        <v>4.9000000000000004</v>
      </c>
      <c r="T98" s="64">
        <f t="shared" si="49"/>
        <v>5.0999999999999996</v>
      </c>
      <c r="U98" s="64">
        <f t="shared" si="49"/>
        <v>5.0999999999999996</v>
      </c>
      <c r="V98" s="64">
        <f t="shared" si="49"/>
        <v>4.9000000000000004</v>
      </c>
      <c r="W98" s="64">
        <f t="shared" si="49"/>
        <v>4.5</v>
      </c>
      <c r="X98" s="64">
        <f t="shared" si="49"/>
        <v>4.3</v>
      </c>
      <c r="Y98" s="64">
        <f t="shared" si="49"/>
        <v>5.0999999999999996</v>
      </c>
      <c r="Z98" s="64">
        <f t="shared" si="49"/>
        <v>4.9000000000000004</v>
      </c>
      <c r="AA98" s="64">
        <f t="shared" si="49"/>
        <v>5</v>
      </c>
      <c r="AB98" s="64">
        <f t="shared" si="49"/>
        <v>4.4000000000000004</v>
      </c>
      <c r="AC98" s="64">
        <f t="shared" si="49"/>
        <v>3.7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50">F79</f>
        <v>0.79</v>
      </c>
      <c r="G99" s="64">
        <f t="shared" si="50"/>
        <v>0.77</v>
      </c>
      <c r="H99" s="64">
        <f t="shared" si="50"/>
        <v>0.74</v>
      </c>
      <c r="I99" s="64">
        <f t="shared" si="50"/>
        <v>0.73</v>
      </c>
      <c r="J99" s="64">
        <f t="shared" si="50"/>
        <v>0.71</v>
      </c>
      <c r="K99" s="64">
        <f t="shared" si="50"/>
        <v>0.74</v>
      </c>
      <c r="L99" s="64">
        <f t="shared" si="50"/>
        <v>0.82</v>
      </c>
      <c r="M99" s="64">
        <f t="shared" si="50"/>
        <v>0.78</v>
      </c>
      <c r="N99" s="64">
        <f t="shared" si="50"/>
        <v>0.72</v>
      </c>
      <c r="O99" s="64">
        <f t="shared" si="50"/>
        <v>0.75</v>
      </c>
      <c r="P99" s="64">
        <f t="shared" si="50"/>
        <v>0.83</v>
      </c>
      <c r="Q99" s="64">
        <f t="shared" si="50"/>
        <v>0.86</v>
      </c>
      <c r="R99" s="64">
        <f t="shared" si="50"/>
        <v>0.82</v>
      </c>
      <c r="S99" s="64">
        <f t="shared" si="50"/>
        <v>0.84</v>
      </c>
      <c r="T99" s="64">
        <f t="shared" si="50"/>
        <v>0.82</v>
      </c>
      <c r="U99" s="64">
        <f t="shared" si="50"/>
        <v>0.85</v>
      </c>
      <c r="V99" s="64">
        <f t="shared" si="50"/>
        <v>0.83</v>
      </c>
      <c r="W99" s="64">
        <f t="shared" si="50"/>
        <v>0.91</v>
      </c>
      <c r="X99" s="64">
        <f t="shared" si="50"/>
        <v>0.89</v>
      </c>
      <c r="Y99" s="64">
        <f t="shared" si="50"/>
        <v>1.01</v>
      </c>
      <c r="Z99" s="64">
        <f t="shared" si="50"/>
        <v>1.02</v>
      </c>
      <c r="AA99" s="64">
        <f t="shared" si="50"/>
        <v>1</v>
      </c>
      <c r="AB99" s="64">
        <f t="shared" si="50"/>
        <v>0.94</v>
      </c>
      <c r="AC99" s="64">
        <f t="shared" si="50"/>
        <v>0.87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51">F81</f>
        <v>0</v>
      </c>
      <c r="G100" s="64">
        <f t="shared" si="51"/>
        <v>0</v>
      </c>
      <c r="H100" s="64">
        <f t="shared" si="51"/>
        <v>0</v>
      </c>
      <c r="I100" s="64">
        <f t="shared" si="51"/>
        <v>0</v>
      </c>
      <c r="J100" s="64">
        <f t="shared" si="51"/>
        <v>0</v>
      </c>
      <c r="K100" s="64">
        <f t="shared" si="51"/>
        <v>0</v>
      </c>
      <c r="L100" s="64">
        <f t="shared" si="51"/>
        <v>0</v>
      </c>
      <c r="M100" s="64">
        <f t="shared" si="51"/>
        <v>0</v>
      </c>
      <c r="N100" s="64">
        <f t="shared" si="51"/>
        <v>0</v>
      </c>
      <c r="O100" s="64">
        <f t="shared" si="51"/>
        <v>0</v>
      </c>
      <c r="P100" s="64">
        <f t="shared" si="51"/>
        <v>0</v>
      </c>
      <c r="Q100" s="64">
        <f t="shared" si="51"/>
        <v>0</v>
      </c>
      <c r="R100" s="64">
        <f t="shared" si="51"/>
        <v>0</v>
      </c>
      <c r="S100" s="64">
        <f t="shared" si="51"/>
        <v>1.7</v>
      </c>
      <c r="T100" s="64">
        <f t="shared" si="51"/>
        <v>1.6890000000000001</v>
      </c>
      <c r="U100" s="64">
        <f t="shared" si="51"/>
        <v>1.6759999999999999</v>
      </c>
      <c r="V100" s="64">
        <f t="shared" si="51"/>
        <v>1.704</v>
      </c>
      <c r="W100" s="64">
        <f t="shared" si="51"/>
        <v>0</v>
      </c>
      <c r="X100" s="64">
        <f t="shared" si="51"/>
        <v>0</v>
      </c>
      <c r="Y100" s="64">
        <f t="shared" si="51"/>
        <v>1.706</v>
      </c>
      <c r="Z100" s="64">
        <f t="shared" si="51"/>
        <v>0</v>
      </c>
      <c r="AA100" s="64">
        <f t="shared" si="51"/>
        <v>0</v>
      </c>
      <c r="AB100" s="64">
        <f t="shared" si="51"/>
        <v>0</v>
      </c>
      <c r="AC100" s="64">
        <f t="shared" si="5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52">SUM(F88,F90,F92,F94,F96:F100,F80)</f>
        <v>39.859999999999992</v>
      </c>
      <c r="G101" s="61">
        <f t="shared" si="52"/>
        <v>38.980000000000004</v>
      </c>
      <c r="H101" s="61">
        <f t="shared" si="52"/>
        <v>37.340000000000003</v>
      </c>
      <c r="I101" s="61">
        <f t="shared" si="52"/>
        <v>36.6</v>
      </c>
      <c r="J101" s="61">
        <f t="shared" si="52"/>
        <v>35.589999999999996</v>
      </c>
      <c r="K101" s="61">
        <f t="shared" si="52"/>
        <v>37.450000000000003</v>
      </c>
      <c r="L101" s="61">
        <f t="shared" si="52"/>
        <v>40.880000000000003</v>
      </c>
      <c r="M101" s="61">
        <f t="shared" si="52"/>
        <v>39.700000000000003</v>
      </c>
      <c r="N101" s="61">
        <f t="shared" si="52"/>
        <v>42.879999999999988</v>
      </c>
      <c r="O101" s="61">
        <f t="shared" si="52"/>
        <v>51.370000000000005</v>
      </c>
      <c r="P101" s="61">
        <f t="shared" si="52"/>
        <v>56.8</v>
      </c>
      <c r="Q101" s="61">
        <f t="shared" si="52"/>
        <v>58.38</v>
      </c>
      <c r="R101" s="61">
        <f t="shared" si="52"/>
        <v>57.389999999999993</v>
      </c>
      <c r="S101" s="61">
        <f t="shared" si="52"/>
        <v>58.370000000000005</v>
      </c>
      <c r="T101" s="61">
        <f t="shared" si="52"/>
        <v>60.139000000000003</v>
      </c>
      <c r="U101" s="61">
        <f t="shared" si="52"/>
        <v>60.571000000000012</v>
      </c>
      <c r="V101" s="61">
        <f t="shared" si="52"/>
        <v>59.954000000000001</v>
      </c>
      <c r="W101" s="61">
        <f t="shared" si="52"/>
        <v>57.060000000000009</v>
      </c>
      <c r="X101" s="61">
        <f t="shared" si="52"/>
        <v>55.32</v>
      </c>
      <c r="Y101" s="61">
        <f t="shared" si="52"/>
        <v>61.146000000000001</v>
      </c>
      <c r="Z101" s="61">
        <f t="shared" si="52"/>
        <v>57.110000000000007</v>
      </c>
      <c r="AA101" s="61">
        <f t="shared" si="52"/>
        <v>53.690000000000012</v>
      </c>
      <c r="AB101" s="61">
        <f t="shared" si="52"/>
        <v>50.309999999999995</v>
      </c>
      <c r="AC101" s="61">
        <f t="shared" si="52"/>
        <v>45.58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>
        <v>0.96</v>
      </c>
      <c r="U104" s="77">
        <v>0.96</v>
      </c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53">SUM(F102:F104)</f>
        <v>0</v>
      </c>
      <c r="G105" s="61">
        <f t="shared" si="53"/>
        <v>0</v>
      </c>
      <c r="H105" s="61">
        <f t="shared" si="53"/>
        <v>0</v>
      </c>
      <c r="I105" s="61">
        <f t="shared" si="53"/>
        <v>0</v>
      </c>
      <c r="J105" s="61">
        <f t="shared" si="53"/>
        <v>0</v>
      </c>
      <c r="K105" s="61">
        <f t="shared" si="53"/>
        <v>0</v>
      </c>
      <c r="L105" s="61">
        <f t="shared" si="53"/>
        <v>0</v>
      </c>
      <c r="M105" s="61">
        <f t="shared" si="53"/>
        <v>0</v>
      </c>
      <c r="N105" s="61">
        <f t="shared" si="53"/>
        <v>0</v>
      </c>
      <c r="O105" s="61">
        <f t="shared" si="53"/>
        <v>0</v>
      </c>
      <c r="P105" s="61">
        <f t="shared" si="53"/>
        <v>0</v>
      </c>
      <c r="Q105" s="61">
        <f t="shared" si="53"/>
        <v>0</v>
      </c>
      <c r="R105" s="61">
        <f t="shared" si="53"/>
        <v>0</v>
      </c>
      <c r="S105" s="61">
        <f t="shared" si="53"/>
        <v>0</v>
      </c>
      <c r="T105" s="61">
        <f t="shared" si="53"/>
        <v>0.96</v>
      </c>
      <c r="U105" s="61">
        <f t="shared" si="53"/>
        <v>0.96</v>
      </c>
      <c r="V105" s="61">
        <f t="shared" si="53"/>
        <v>0</v>
      </c>
      <c r="W105" s="61">
        <f t="shared" si="53"/>
        <v>0</v>
      </c>
      <c r="X105" s="61">
        <f t="shared" si="53"/>
        <v>0</v>
      </c>
      <c r="Y105" s="61">
        <f t="shared" si="53"/>
        <v>0</v>
      </c>
      <c r="Z105" s="61">
        <f t="shared" si="53"/>
        <v>0</v>
      </c>
      <c r="AA105" s="61">
        <f t="shared" si="53"/>
        <v>0</v>
      </c>
      <c r="AB105" s="61">
        <f t="shared" si="53"/>
        <v>0</v>
      </c>
      <c r="AC105" s="61">
        <f t="shared" si="53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54">F101+F105</f>
        <v>39.859999999999992</v>
      </c>
      <c r="G106" s="62">
        <f t="shared" si="54"/>
        <v>38.980000000000004</v>
      </c>
      <c r="H106" s="62">
        <f t="shared" si="54"/>
        <v>37.340000000000003</v>
      </c>
      <c r="I106" s="62">
        <f t="shared" si="54"/>
        <v>36.6</v>
      </c>
      <c r="J106" s="62">
        <f t="shared" si="54"/>
        <v>35.589999999999996</v>
      </c>
      <c r="K106" s="62">
        <f t="shared" si="54"/>
        <v>37.450000000000003</v>
      </c>
      <c r="L106" s="62">
        <f t="shared" si="54"/>
        <v>40.880000000000003</v>
      </c>
      <c r="M106" s="62">
        <f t="shared" si="54"/>
        <v>39.700000000000003</v>
      </c>
      <c r="N106" s="62">
        <f t="shared" si="54"/>
        <v>42.879999999999988</v>
      </c>
      <c r="O106" s="62">
        <f t="shared" si="54"/>
        <v>51.370000000000005</v>
      </c>
      <c r="P106" s="62">
        <f t="shared" si="54"/>
        <v>56.8</v>
      </c>
      <c r="Q106" s="62">
        <f t="shared" si="54"/>
        <v>58.38</v>
      </c>
      <c r="R106" s="62">
        <f t="shared" si="54"/>
        <v>57.389999999999993</v>
      </c>
      <c r="S106" s="62">
        <f t="shared" si="54"/>
        <v>58.370000000000005</v>
      </c>
      <c r="T106" s="62">
        <f t="shared" si="54"/>
        <v>61.099000000000004</v>
      </c>
      <c r="U106" s="62">
        <f t="shared" si="54"/>
        <v>61.531000000000013</v>
      </c>
      <c r="V106" s="62">
        <f t="shared" si="54"/>
        <v>59.954000000000001</v>
      </c>
      <c r="W106" s="62">
        <f t="shared" si="54"/>
        <v>57.060000000000009</v>
      </c>
      <c r="X106" s="62">
        <f t="shared" si="54"/>
        <v>55.32</v>
      </c>
      <c r="Y106" s="62">
        <f t="shared" si="54"/>
        <v>61.146000000000001</v>
      </c>
      <c r="Z106" s="62">
        <f t="shared" si="54"/>
        <v>57.110000000000007</v>
      </c>
      <c r="AA106" s="62">
        <f t="shared" si="54"/>
        <v>53.690000000000012</v>
      </c>
      <c r="AB106" s="62">
        <f t="shared" si="54"/>
        <v>50.309999999999995</v>
      </c>
      <c r="AC106" s="62">
        <f t="shared" si="54"/>
        <v>45.58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55">(COUNT(F13:F16))*7.2+(COUNT(F27:F28)*4.9)+(COUNT(F19:F21)*4.5)-F90-F92</f>
        <v>5.8000000000000052</v>
      </c>
      <c r="G107" s="63">
        <f t="shared" si="55"/>
        <v>3.2000000000000037</v>
      </c>
      <c r="H107" s="63">
        <f t="shared" si="55"/>
        <v>3.5000000000000009</v>
      </c>
      <c r="I107" s="63">
        <f t="shared" si="55"/>
        <v>3.3000000000000007</v>
      </c>
      <c r="J107" s="63">
        <f t="shared" si="55"/>
        <v>4.0000000000000036</v>
      </c>
      <c r="K107" s="63">
        <f t="shared" si="55"/>
        <v>3.3000000000000007</v>
      </c>
      <c r="L107" s="63">
        <f t="shared" si="55"/>
        <v>3.0000000000000036</v>
      </c>
      <c r="M107" s="63">
        <f t="shared" si="55"/>
        <v>4.5000000000000018</v>
      </c>
      <c r="N107" s="63">
        <f t="shared" si="55"/>
        <v>9.1000000000000014</v>
      </c>
      <c r="O107" s="63">
        <f t="shared" si="55"/>
        <v>4.3000000000000007</v>
      </c>
      <c r="P107" s="63">
        <f t="shared" si="55"/>
        <v>3.4000000000000021</v>
      </c>
      <c r="Q107" s="63">
        <f t="shared" si="55"/>
        <v>3.8000000000000007</v>
      </c>
      <c r="R107" s="63">
        <f t="shared" si="55"/>
        <v>4.6000000000000032</v>
      </c>
      <c r="S107" s="63">
        <f t="shared" si="55"/>
        <v>4.5000000000000053</v>
      </c>
      <c r="T107" s="63">
        <f t="shared" si="55"/>
        <v>4.2000000000000011</v>
      </c>
      <c r="U107" s="63">
        <f t="shared" si="55"/>
        <v>4.0999999999999996</v>
      </c>
      <c r="V107" s="63">
        <f t="shared" si="55"/>
        <v>3.8000000000000025</v>
      </c>
      <c r="W107" s="63">
        <f t="shared" si="55"/>
        <v>4.5</v>
      </c>
      <c r="X107" s="63">
        <f t="shared" si="55"/>
        <v>6.0000000000000036</v>
      </c>
      <c r="Y107" s="63">
        <f t="shared" si="55"/>
        <v>5.1000000000000032</v>
      </c>
      <c r="Z107" s="63">
        <f t="shared" si="55"/>
        <v>5.9</v>
      </c>
      <c r="AA107" s="63">
        <f t="shared" si="55"/>
        <v>9</v>
      </c>
      <c r="AB107" s="63">
        <f t="shared" si="55"/>
        <v>4.8000000000000007</v>
      </c>
      <c r="AC107" s="63">
        <f t="shared" si="55"/>
        <v>6.9000000000000021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5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8.4000000000000057</v>
      </c>
      <c r="G108" s="206">
        <f t="shared" si="56"/>
        <v>2.5000000000000036</v>
      </c>
      <c r="H108" s="206">
        <f t="shared" si="56"/>
        <v>2.8000000000000007</v>
      </c>
      <c r="I108" s="206">
        <f t="shared" si="56"/>
        <v>2.6000000000000005</v>
      </c>
      <c r="J108" s="206">
        <f t="shared" si="56"/>
        <v>3.3000000000000034</v>
      </c>
      <c r="K108" s="206">
        <f t="shared" si="56"/>
        <v>2.6000000000000005</v>
      </c>
      <c r="L108" s="206">
        <f t="shared" si="56"/>
        <v>2.3000000000000034</v>
      </c>
      <c r="M108" s="206">
        <f t="shared" si="56"/>
        <v>3.8000000000000016</v>
      </c>
      <c r="N108" s="206">
        <f t="shared" si="56"/>
        <v>8.4000000000000021</v>
      </c>
      <c r="O108" s="206">
        <f t="shared" si="56"/>
        <v>3.6000000000000005</v>
      </c>
      <c r="P108" s="206">
        <f t="shared" si="56"/>
        <v>2.700000000000002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8" s="206">
        <f t="shared" ref="R108:AC108" si="5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4.5000000000000027</v>
      </c>
      <c r="S108" s="206">
        <f t="shared" si="57"/>
        <v>4.4000000000000048</v>
      </c>
      <c r="T108" s="206">
        <f t="shared" si="57"/>
        <v>4.1000000000000005</v>
      </c>
      <c r="U108" s="206">
        <f t="shared" si="57"/>
        <v>3.9999999999999991</v>
      </c>
      <c r="V108" s="206">
        <f t="shared" si="57"/>
        <v>3.700000000000002</v>
      </c>
      <c r="W108" s="206">
        <f t="shared" si="57"/>
        <v>4.3999999999999995</v>
      </c>
      <c r="X108" s="206">
        <f t="shared" si="57"/>
        <v>5.900000000000003</v>
      </c>
      <c r="Y108" s="206">
        <f t="shared" si="57"/>
        <v>5.0000000000000027</v>
      </c>
      <c r="Z108" s="206">
        <f t="shared" si="57"/>
        <v>5.8</v>
      </c>
      <c r="AA108" s="206">
        <f t="shared" si="57"/>
        <v>8.8999999999999986</v>
      </c>
      <c r="AB108" s="206">
        <f t="shared" si="57"/>
        <v>4.7</v>
      </c>
      <c r="AC108" s="206">
        <f t="shared" si="57"/>
        <v>6.8000000000000016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60.15</v>
      </c>
      <c r="G109" s="75">
        <v>60.08</v>
      </c>
      <c r="H109" s="75">
        <v>60.13</v>
      </c>
      <c r="I109" s="75">
        <v>60.08</v>
      </c>
      <c r="J109" s="75">
        <v>60.07</v>
      </c>
      <c r="K109" s="75">
        <v>60.14</v>
      </c>
      <c r="L109" s="75">
        <v>60.13</v>
      </c>
      <c r="M109" s="75">
        <v>60.2</v>
      </c>
      <c r="N109" s="75">
        <v>60.02</v>
      </c>
      <c r="O109" s="75">
        <v>60.19</v>
      </c>
      <c r="P109" s="84">
        <v>60.12</v>
      </c>
      <c r="Q109" s="84">
        <v>60.13</v>
      </c>
      <c r="R109" s="84">
        <v>60.23</v>
      </c>
      <c r="S109" s="84">
        <v>60.03</v>
      </c>
      <c r="T109" s="84">
        <v>60.07</v>
      </c>
      <c r="U109" s="75">
        <v>60.07</v>
      </c>
      <c r="V109" s="75">
        <v>60.08</v>
      </c>
      <c r="W109" s="75">
        <v>60.26</v>
      </c>
      <c r="X109" s="75">
        <v>60.32</v>
      </c>
      <c r="Y109" s="75">
        <v>60.29</v>
      </c>
      <c r="Z109" s="75">
        <v>60.35</v>
      </c>
      <c r="AA109" s="75">
        <v>60.68</v>
      </c>
      <c r="AB109" s="75">
        <v>60.48</v>
      </c>
      <c r="AC109" s="75">
        <v>60.47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58">SUM(G117:G124)</f>
        <v>0</v>
      </c>
      <c r="H125" s="44">
        <f t="shared" si="58"/>
        <v>0</v>
      </c>
      <c r="I125" s="44">
        <f t="shared" si="58"/>
        <v>0</v>
      </c>
      <c r="J125" s="44">
        <f t="shared" si="58"/>
        <v>0</v>
      </c>
      <c r="K125" s="44">
        <f t="shared" si="58"/>
        <v>0</v>
      </c>
      <c r="L125" s="44">
        <f t="shared" si="58"/>
        <v>0</v>
      </c>
      <c r="M125" s="44">
        <f t="shared" si="58"/>
        <v>0</v>
      </c>
      <c r="N125" s="44">
        <f t="shared" si="58"/>
        <v>0</v>
      </c>
      <c r="O125" s="44">
        <f t="shared" si="58"/>
        <v>0</v>
      </c>
      <c r="P125" s="44">
        <f t="shared" si="58"/>
        <v>0</v>
      </c>
      <c r="Q125" s="44">
        <f t="shared" si="58"/>
        <v>0</v>
      </c>
      <c r="R125" s="44">
        <f t="shared" si="58"/>
        <v>0</v>
      </c>
      <c r="S125" s="44">
        <f t="shared" si="58"/>
        <v>0</v>
      </c>
      <c r="T125" s="44">
        <f t="shared" si="58"/>
        <v>0</v>
      </c>
      <c r="U125" s="44">
        <f t="shared" si="58"/>
        <v>0</v>
      </c>
      <c r="V125" s="44">
        <f t="shared" si="58"/>
        <v>0</v>
      </c>
      <c r="W125" s="44">
        <f t="shared" si="58"/>
        <v>0</v>
      </c>
      <c r="X125" s="44">
        <f t="shared" si="58"/>
        <v>0</v>
      </c>
      <c r="Y125" s="44">
        <f t="shared" si="58"/>
        <v>0</v>
      </c>
      <c r="Z125" s="44">
        <f t="shared" si="58"/>
        <v>0</v>
      </c>
      <c r="AA125" s="44">
        <f t="shared" si="58"/>
        <v>0</v>
      </c>
      <c r="AB125" s="44">
        <f t="shared" si="58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3:C123"/>
    <mergeCell ref="A124:C124"/>
    <mergeCell ref="A125:C125"/>
    <mergeCell ref="A100:C100"/>
    <mergeCell ref="A117:C117"/>
    <mergeCell ref="A118:C118"/>
    <mergeCell ref="A119:C119"/>
    <mergeCell ref="A120:C120"/>
    <mergeCell ref="A121:C121"/>
    <mergeCell ref="A122:C122"/>
    <mergeCell ref="A108:C108"/>
    <mergeCell ref="A109:C109"/>
    <mergeCell ref="A110:C110"/>
    <mergeCell ref="A111:C111"/>
    <mergeCell ref="A113:AC113"/>
    <mergeCell ref="A115:C116"/>
    <mergeCell ref="F115:AC115"/>
    <mergeCell ref="A102:C102"/>
    <mergeCell ref="A103:C103"/>
    <mergeCell ref="A104:C104"/>
    <mergeCell ref="A105:C105"/>
    <mergeCell ref="A106:C106"/>
    <mergeCell ref="A107:C107"/>
    <mergeCell ref="A101:C101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88:C88"/>
    <mergeCell ref="M8:O8"/>
    <mergeCell ref="M9:O9"/>
    <mergeCell ref="A84:AC84"/>
    <mergeCell ref="A86:C87"/>
    <mergeCell ref="F86:AC86"/>
  </mergeCells>
  <conditionalFormatting sqref="G109:AC109">
    <cfRule type="cellIs" dxfId="29360" priority="1103" operator="greaterThan">
      <formula>60.3</formula>
    </cfRule>
  </conditionalFormatting>
  <conditionalFormatting sqref="G53:G55 H20:AC21 H40:I56 H15:J16 J56:L56 H13:K14 G58:L58 H57:L57 H66:AC66 K15 L13:P15 K16:P16 H27:AC28 J24:AC24 H61:H63 H67:J72 H74:J74 P53:P56 K61:AC61 S61:S62 M56:AC58 Q13:AC16 L62:AC63 K67:AC74 J35:AC55 H77:AC78">
    <cfRule type="cellIs" dxfId="29359" priority="1095" operator="equal">
      <formula>"PMS"</formula>
    </cfRule>
    <cfRule type="containsText" dxfId="29358" priority="1096" operator="containsText" text="CMS">
      <formula>NOT(ISERROR(SEARCH("CMS",G13)))</formula>
    </cfRule>
    <cfRule type="cellIs" dxfId="29357" priority="1097" operator="equal">
      <formula>0</formula>
    </cfRule>
    <cfRule type="cellIs" dxfId="29356" priority="1098" operator="greaterThan">
      <formula>0</formula>
    </cfRule>
    <cfRule type="cellIs" dxfId="29355" priority="1099" operator="equal">
      <formula>"PMS"</formula>
    </cfRule>
    <cfRule type="containsText" dxfId="29354" priority="1100" operator="containsText" text="CMS">
      <formula>NOT(ISERROR(SEARCH("CMS",G13)))</formula>
    </cfRule>
    <cfRule type="cellIs" dxfId="29353" priority="1101" operator="equal">
      <formula>0</formula>
    </cfRule>
    <cfRule type="cellIs" dxfId="29352" priority="1102" operator="greaterThan">
      <formula>0</formula>
    </cfRule>
  </conditionalFormatting>
  <conditionalFormatting sqref="O61:AC63 O66:AC74 O77:AC78">
    <cfRule type="cellIs" dxfId="29351" priority="1091" operator="equal">
      <formula>"PMS"</formula>
    </cfRule>
    <cfRule type="containsText" dxfId="29350" priority="1092" operator="containsText" text="CMS">
      <formula>NOT(ISERROR(SEARCH("CMS",O61)))</formula>
    </cfRule>
    <cfRule type="cellIs" dxfId="29349" priority="1093" operator="equal">
      <formula>0</formula>
    </cfRule>
    <cfRule type="cellIs" dxfId="29348" priority="1094" operator="greaterThan">
      <formula>0</formula>
    </cfRule>
  </conditionalFormatting>
  <conditionalFormatting sqref="P66:AC74">
    <cfRule type="cellIs" dxfId="29347" priority="1087" operator="equal">
      <formula>"PMS"</formula>
    </cfRule>
    <cfRule type="containsText" dxfId="29346" priority="1088" operator="containsText" text="CMS">
      <formula>NOT(ISERROR(SEARCH("CMS",P66)))</formula>
    </cfRule>
    <cfRule type="cellIs" dxfId="29345" priority="1089" operator="equal">
      <formula>0</formula>
    </cfRule>
    <cfRule type="cellIs" dxfId="29344" priority="1090" operator="greaterThan">
      <formula>0</formula>
    </cfRule>
  </conditionalFormatting>
  <conditionalFormatting sqref="O13:AC16">
    <cfRule type="cellIs" dxfId="29343" priority="1083" operator="equal">
      <formula>"PMS"</formula>
    </cfRule>
    <cfRule type="containsText" dxfId="29342" priority="1084" operator="containsText" text="CMS">
      <formula>NOT(ISERROR(SEARCH("CMS",O13)))</formula>
    </cfRule>
    <cfRule type="cellIs" dxfId="29341" priority="1085" operator="equal">
      <formula>0</formula>
    </cfRule>
    <cfRule type="cellIs" dxfId="29340" priority="1086" operator="greaterThan">
      <formula>0</formula>
    </cfRule>
  </conditionalFormatting>
  <conditionalFormatting sqref="P13:AC16">
    <cfRule type="cellIs" dxfId="29339" priority="1079" operator="equal">
      <formula>"PMS"</formula>
    </cfRule>
    <cfRule type="containsText" dxfId="29338" priority="1080" operator="containsText" text="CMS">
      <formula>NOT(ISERROR(SEARCH("CMS",P13)))</formula>
    </cfRule>
    <cfRule type="cellIs" dxfId="29337" priority="1081" operator="equal">
      <formula>0</formula>
    </cfRule>
    <cfRule type="cellIs" dxfId="29336" priority="1082" operator="greaterThan">
      <formula>0</formula>
    </cfRule>
  </conditionalFormatting>
  <conditionalFormatting sqref="O20:AC21">
    <cfRule type="cellIs" dxfId="29335" priority="1075" operator="equal">
      <formula>"PMS"</formula>
    </cfRule>
    <cfRule type="containsText" dxfId="29334" priority="1076" operator="containsText" text="CMS">
      <formula>NOT(ISERROR(SEARCH("CMS",O20)))</formula>
    </cfRule>
    <cfRule type="cellIs" dxfId="29333" priority="1077" operator="equal">
      <formula>0</formula>
    </cfRule>
    <cfRule type="cellIs" dxfId="29332" priority="1078" operator="greaterThan">
      <formula>0</formula>
    </cfRule>
  </conditionalFormatting>
  <conditionalFormatting sqref="P20:AC21">
    <cfRule type="cellIs" dxfId="29331" priority="1071" operator="equal">
      <formula>"PMS"</formula>
    </cfRule>
    <cfRule type="containsText" dxfId="29330" priority="1072" operator="containsText" text="CMS">
      <formula>NOT(ISERROR(SEARCH("CMS",P20)))</formula>
    </cfRule>
    <cfRule type="cellIs" dxfId="29329" priority="1073" operator="equal">
      <formula>0</formula>
    </cfRule>
    <cfRule type="cellIs" dxfId="29328" priority="1074" operator="greaterThan">
      <formula>0</formula>
    </cfRule>
  </conditionalFormatting>
  <conditionalFormatting sqref="O24:AC24">
    <cfRule type="cellIs" dxfId="29327" priority="1067" operator="equal">
      <formula>"PMS"</formula>
    </cfRule>
    <cfRule type="containsText" dxfId="29326" priority="1068" operator="containsText" text="CMS">
      <formula>NOT(ISERROR(SEARCH("CMS",O24)))</formula>
    </cfRule>
    <cfRule type="cellIs" dxfId="29325" priority="1069" operator="equal">
      <formula>0</formula>
    </cfRule>
    <cfRule type="cellIs" dxfId="29324" priority="1070" operator="greaterThan">
      <formula>0</formula>
    </cfRule>
  </conditionalFormatting>
  <conditionalFormatting sqref="P24:AC24">
    <cfRule type="cellIs" dxfId="29323" priority="1063" operator="equal">
      <formula>"PMS"</formula>
    </cfRule>
    <cfRule type="containsText" dxfId="29322" priority="1064" operator="containsText" text="CMS">
      <formula>NOT(ISERROR(SEARCH("CMS",P24)))</formula>
    </cfRule>
    <cfRule type="cellIs" dxfId="29321" priority="1065" operator="equal">
      <formula>0</formula>
    </cfRule>
    <cfRule type="cellIs" dxfId="29320" priority="1066" operator="greaterThan">
      <formula>0</formula>
    </cfRule>
  </conditionalFormatting>
  <conditionalFormatting sqref="O27:AC28">
    <cfRule type="cellIs" dxfId="29319" priority="1059" operator="equal">
      <formula>"PMS"</formula>
    </cfRule>
    <cfRule type="containsText" dxfId="29318" priority="1060" operator="containsText" text="CMS">
      <formula>NOT(ISERROR(SEARCH("CMS",O27)))</formula>
    </cfRule>
    <cfRule type="cellIs" dxfId="29317" priority="1061" operator="equal">
      <formula>0</formula>
    </cfRule>
    <cfRule type="cellIs" dxfId="29316" priority="1062" operator="greaterThan">
      <formula>0</formula>
    </cfRule>
  </conditionalFormatting>
  <conditionalFormatting sqref="P27:AC28">
    <cfRule type="cellIs" dxfId="29315" priority="1055" operator="equal">
      <formula>"PMS"</formula>
    </cfRule>
    <cfRule type="containsText" dxfId="29314" priority="1056" operator="containsText" text="CMS">
      <formula>NOT(ISERROR(SEARCH("CMS",P27)))</formula>
    </cfRule>
    <cfRule type="cellIs" dxfId="29313" priority="1057" operator="equal">
      <formula>0</formula>
    </cfRule>
    <cfRule type="cellIs" dxfId="29312" priority="1058" operator="greaterThan">
      <formula>0</formula>
    </cfRule>
  </conditionalFormatting>
  <conditionalFormatting sqref="R50:AC51 O53:X55 R52:X52 O56:AC58 O35:AC49 Y52:AC55">
    <cfRule type="cellIs" dxfId="29311" priority="1051" operator="equal">
      <formula>"PMS"</formula>
    </cfRule>
    <cfRule type="containsText" dxfId="29310" priority="1052" operator="containsText" text="CMS">
      <formula>NOT(ISERROR(SEARCH("CMS",O35)))</formula>
    </cfRule>
    <cfRule type="cellIs" dxfId="29309" priority="1053" operator="equal">
      <formula>0</formula>
    </cfRule>
    <cfRule type="cellIs" dxfId="29308" priority="1054" operator="greaterThan">
      <formula>0</formula>
    </cfRule>
  </conditionalFormatting>
  <conditionalFormatting sqref="R50:AC51 O38:O49 O53:X55 R52:X52 O56:AC58 P35:AC49 Y52:AC55">
    <cfRule type="cellIs" dxfId="29307" priority="1047" operator="equal">
      <formula>"PMS"</formula>
    </cfRule>
    <cfRule type="containsText" dxfId="29306" priority="1048" operator="containsText" text="CMS">
      <formula>NOT(ISERROR(SEARCH("CMS",O35)))</formula>
    </cfRule>
    <cfRule type="cellIs" dxfId="29305" priority="1049" operator="equal">
      <formula>0</formula>
    </cfRule>
    <cfRule type="cellIs" dxfId="29304" priority="1050" operator="greaterThan">
      <formula>0</formula>
    </cfRule>
  </conditionalFormatting>
  <conditionalFormatting sqref="V13:AC13 V14:X16 Z14:AB16">
    <cfRule type="cellIs" dxfId="29303" priority="1043" operator="equal">
      <formula>"PMS"</formula>
    </cfRule>
    <cfRule type="containsText" dxfId="29302" priority="1044" operator="containsText" text="CMS">
      <formula>NOT(ISERROR(SEARCH("CMS",V13)))</formula>
    </cfRule>
    <cfRule type="cellIs" dxfId="29301" priority="1045" operator="equal">
      <formula>0</formula>
    </cfRule>
    <cfRule type="cellIs" dxfId="29300" priority="1046" operator="greaterThan">
      <formula>0</formula>
    </cfRule>
  </conditionalFormatting>
  <conditionalFormatting sqref="V13:AC13 V14:X16 Z14:AB16">
    <cfRule type="cellIs" dxfId="29299" priority="1039" operator="equal">
      <formula>"PMS"</formula>
    </cfRule>
    <cfRule type="containsText" dxfId="29298" priority="1040" operator="containsText" text="CMS">
      <formula>NOT(ISERROR(SEARCH("CMS",V13)))</formula>
    </cfRule>
    <cfRule type="cellIs" dxfId="29297" priority="1041" operator="equal">
      <formula>0</formula>
    </cfRule>
    <cfRule type="cellIs" dxfId="29296" priority="1042" operator="greaterThan">
      <formula>0</formula>
    </cfRule>
  </conditionalFormatting>
  <conditionalFormatting sqref="X57:AC57">
    <cfRule type="cellIs" dxfId="29295" priority="1035" operator="equal">
      <formula>"PMS"</formula>
    </cfRule>
    <cfRule type="containsText" dxfId="29294" priority="1036" operator="containsText" text="CMS">
      <formula>NOT(ISERROR(SEARCH("CMS",X57)))</formula>
    </cfRule>
    <cfRule type="cellIs" dxfId="29293" priority="1037" operator="equal">
      <formula>0</formula>
    </cfRule>
    <cfRule type="cellIs" dxfId="29292" priority="1038" operator="greaterThan">
      <formula>0</formula>
    </cfRule>
  </conditionalFormatting>
  <conditionalFormatting sqref="X57:AC57">
    <cfRule type="cellIs" dxfId="29291" priority="1031" operator="equal">
      <formula>"PMS"</formula>
    </cfRule>
    <cfRule type="containsText" dxfId="29290" priority="1032" operator="containsText" text="CMS">
      <formula>NOT(ISERROR(SEARCH("CMS",X57)))</formula>
    </cfRule>
    <cfRule type="cellIs" dxfId="29289" priority="1033" operator="equal">
      <formula>0</formula>
    </cfRule>
    <cfRule type="cellIs" dxfId="29288" priority="1034" operator="greaterThan">
      <formula>0</formula>
    </cfRule>
  </conditionalFormatting>
  <conditionalFormatting sqref="X57:AC57">
    <cfRule type="cellIs" dxfId="29287" priority="1027" operator="equal">
      <formula>"PMS"</formula>
    </cfRule>
    <cfRule type="containsText" dxfId="29286" priority="1028" operator="containsText" text="CMS">
      <formula>NOT(ISERROR(SEARCH("CMS",X57)))</formula>
    </cfRule>
    <cfRule type="cellIs" dxfId="29285" priority="1029" operator="equal">
      <formula>0</formula>
    </cfRule>
    <cfRule type="cellIs" dxfId="29284" priority="1030" operator="greaterThan">
      <formula>0</formula>
    </cfRule>
  </conditionalFormatting>
  <conditionalFormatting sqref="X57:AC57">
    <cfRule type="cellIs" dxfId="29283" priority="1023" operator="equal">
      <formula>"PMS"</formula>
    </cfRule>
    <cfRule type="containsText" dxfId="29282" priority="1024" operator="containsText" text="CMS">
      <formula>NOT(ISERROR(SEARCH("CMS",X57)))</formula>
    </cfRule>
    <cfRule type="cellIs" dxfId="29281" priority="1025" operator="equal">
      <formula>0</formula>
    </cfRule>
    <cfRule type="cellIs" dxfId="29280" priority="1026" operator="greaterThan">
      <formula>0</formula>
    </cfRule>
  </conditionalFormatting>
  <conditionalFormatting sqref="AB58:AC58">
    <cfRule type="cellIs" dxfId="29279" priority="1019" operator="equal">
      <formula>"PMS"</formula>
    </cfRule>
    <cfRule type="containsText" dxfId="29278" priority="1020" operator="containsText" text="CMS">
      <formula>NOT(ISERROR(SEARCH("CMS",AB58)))</formula>
    </cfRule>
    <cfRule type="cellIs" dxfId="29277" priority="1021" operator="equal">
      <formula>0</formula>
    </cfRule>
    <cfRule type="cellIs" dxfId="29276" priority="1022" operator="greaterThan">
      <formula>0</formula>
    </cfRule>
  </conditionalFormatting>
  <conditionalFormatting sqref="AB58:AC58">
    <cfRule type="cellIs" dxfId="29275" priority="1015" operator="equal">
      <formula>"PMS"</formula>
    </cfRule>
    <cfRule type="containsText" dxfId="29274" priority="1016" operator="containsText" text="CMS">
      <formula>NOT(ISERROR(SEARCH("CMS",AB58)))</formula>
    </cfRule>
    <cfRule type="cellIs" dxfId="29273" priority="1017" operator="equal">
      <formula>0</formula>
    </cfRule>
    <cfRule type="cellIs" dxfId="29272" priority="1018" operator="greaterThan">
      <formula>0</formula>
    </cfRule>
  </conditionalFormatting>
  <conditionalFormatting sqref="AB58:AC58">
    <cfRule type="cellIs" dxfId="29271" priority="1011" operator="equal">
      <formula>"PMS"</formula>
    </cfRule>
    <cfRule type="containsText" dxfId="29270" priority="1012" operator="containsText" text="CMS">
      <formula>NOT(ISERROR(SEARCH("CMS",AB58)))</formula>
    </cfRule>
    <cfRule type="cellIs" dxfId="29269" priority="1013" operator="equal">
      <formula>0</formula>
    </cfRule>
    <cfRule type="cellIs" dxfId="29268" priority="1014" operator="greaterThan">
      <formula>0</formula>
    </cfRule>
  </conditionalFormatting>
  <conditionalFormatting sqref="AB58:AC58">
    <cfRule type="cellIs" dxfId="29267" priority="1007" operator="equal">
      <formula>"PMS"</formula>
    </cfRule>
    <cfRule type="containsText" dxfId="29266" priority="1008" operator="containsText" text="CMS">
      <formula>NOT(ISERROR(SEARCH("CMS",AB58)))</formula>
    </cfRule>
    <cfRule type="cellIs" dxfId="29265" priority="1009" operator="equal">
      <formula>0</formula>
    </cfRule>
    <cfRule type="cellIs" dxfId="29264" priority="1010" operator="greaterThan">
      <formula>0</formula>
    </cfRule>
  </conditionalFormatting>
  <conditionalFormatting sqref="AB78">
    <cfRule type="cellIs" dxfId="29263" priority="1003" operator="equal">
      <formula>"PMS"</formula>
    </cfRule>
    <cfRule type="containsText" dxfId="29262" priority="1004" operator="containsText" text="CMS">
      <formula>NOT(ISERROR(SEARCH("CMS",AB78)))</formula>
    </cfRule>
    <cfRule type="cellIs" dxfId="29261" priority="1005" operator="equal">
      <formula>0</formula>
    </cfRule>
    <cfRule type="cellIs" dxfId="29260" priority="1006" operator="greaterThan">
      <formula>0</formula>
    </cfRule>
  </conditionalFormatting>
  <conditionalFormatting sqref="AB78">
    <cfRule type="cellIs" dxfId="29259" priority="999" operator="equal">
      <formula>"PMS"</formula>
    </cfRule>
    <cfRule type="containsText" dxfId="29258" priority="1000" operator="containsText" text="CMS">
      <formula>NOT(ISERROR(SEARCH("CMS",AB78)))</formula>
    </cfRule>
    <cfRule type="cellIs" dxfId="29257" priority="1001" operator="equal">
      <formula>0</formula>
    </cfRule>
    <cfRule type="cellIs" dxfId="29256" priority="1002" operator="greaterThan">
      <formula>0</formula>
    </cfRule>
  </conditionalFormatting>
  <conditionalFormatting sqref="O44:O49">
    <cfRule type="cellIs" dxfId="29255" priority="995" operator="equal">
      <formula>"PMS"</formula>
    </cfRule>
    <cfRule type="containsText" dxfId="29254" priority="996" operator="containsText" text="CMS">
      <formula>NOT(ISERROR(SEARCH("CMS",O44)))</formula>
    </cfRule>
    <cfRule type="cellIs" dxfId="29253" priority="997" operator="equal">
      <formula>0</formula>
    </cfRule>
    <cfRule type="cellIs" dxfId="29252" priority="998" operator="greaterThan">
      <formula>0</formula>
    </cfRule>
  </conditionalFormatting>
  <conditionalFormatting sqref="O55:O56 P56">
    <cfRule type="cellIs" dxfId="29251" priority="991" operator="equal">
      <formula>"PMS"</formula>
    </cfRule>
    <cfRule type="containsText" dxfId="29250" priority="992" operator="containsText" text="CMS">
      <formula>NOT(ISERROR(SEARCH("CMS",O55)))</formula>
    </cfRule>
    <cfRule type="cellIs" dxfId="29249" priority="993" operator="equal">
      <formula>0</formula>
    </cfRule>
    <cfRule type="cellIs" dxfId="29248" priority="994" operator="greaterThan">
      <formula>0</formula>
    </cfRule>
  </conditionalFormatting>
  <conditionalFormatting sqref="O49">
    <cfRule type="cellIs" dxfId="29247" priority="987" operator="equal">
      <formula>"PMS"</formula>
    </cfRule>
    <cfRule type="containsText" dxfId="29246" priority="988" operator="containsText" text="CMS">
      <formula>NOT(ISERROR(SEARCH("CMS",O49)))</formula>
    </cfRule>
    <cfRule type="cellIs" dxfId="29245" priority="989" operator="equal">
      <formula>0</formula>
    </cfRule>
    <cfRule type="cellIs" dxfId="29244" priority="990" operator="greaterThan">
      <formula>0</formula>
    </cfRule>
  </conditionalFormatting>
  <conditionalFormatting sqref="O55:O57 P56">
    <cfRule type="cellIs" dxfId="29243" priority="983" operator="equal">
      <formula>"PMS"</formula>
    </cfRule>
    <cfRule type="containsText" dxfId="29242" priority="984" operator="containsText" text="CMS">
      <formula>NOT(ISERROR(SEARCH("CMS",O55)))</formula>
    </cfRule>
    <cfRule type="cellIs" dxfId="29241" priority="985" operator="equal">
      <formula>0</formula>
    </cfRule>
    <cfRule type="cellIs" dxfId="29240" priority="986" operator="greaterThan">
      <formula>0</formula>
    </cfRule>
  </conditionalFormatting>
  <conditionalFormatting sqref="Q24:V24">
    <cfRule type="cellIs" dxfId="29239" priority="979" operator="equal">
      <formula>"PMS"</formula>
    </cfRule>
    <cfRule type="containsText" dxfId="29238" priority="980" operator="containsText" text="CMS">
      <formula>NOT(ISERROR(SEARCH("CMS",Q24)))</formula>
    </cfRule>
    <cfRule type="cellIs" dxfId="29237" priority="981" operator="equal">
      <formula>0</formula>
    </cfRule>
    <cfRule type="cellIs" dxfId="29236" priority="982" operator="greaterThan">
      <formula>0</formula>
    </cfRule>
  </conditionalFormatting>
  <conditionalFormatting sqref="Q24:V24">
    <cfRule type="cellIs" dxfId="29235" priority="975" operator="equal">
      <formula>"PMS"</formula>
    </cfRule>
    <cfRule type="containsText" dxfId="29234" priority="976" operator="containsText" text="CMS">
      <formula>NOT(ISERROR(SEARCH("CMS",Q24)))</formula>
    </cfRule>
    <cfRule type="cellIs" dxfId="29233" priority="977" operator="equal">
      <formula>0</formula>
    </cfRule>
    <cfRule type="cellIs" dxfId="29232" priority="978" operator="greaterThan">
      <formula>0</formula>
    </cfRule>
  </conditionalFormatting>
  <conditionalFormatting sqref="Q27:V28">
    <cfRule type="cellIs" dxfId="29231" priority="971" operator="equal">
      <formula>"PMS"</formula>
    </cfRule>
    <cfRule type="containsText" dxfId="29230" priority="972" operator="containsText" text="CMS">
      <formula>NOT(ISERROR(SEARCH("CMS",Q27)))</formula>
    </cfRule>
    <cfRule type="cellIs" dxfId="29229" priority="973" operator="equal">
      <formula>0</formula>
    </cfRule>
    <cfRule type="cellIs" dxfId="29228" priority="974" operator="greaterThan">
      <formula>0</formula>
    </cfRule>
  </conditionalFormatting>
  <conditionalFormatting sqref="Q27:V28">
    <cfRule type="cellIs" dxfId="29227" priority="967" operator="equal">
      <formula>"PMS"</formula>
    </cfRule>
    <cfRule type="containsText" dxfId="29226" priority="968" operator="containsText" text="CMS">
      <formula>NOT(ISERROR(SEARCH("CMS",Q27)))</formula>
    </cfRule>
    <cfRule type="cellIs" dxfId="29225" priority="969" operator="equal">
      <formula>0</formula>
    </cfRule>
    <cfRule type="cellIs" dxfId="29224" priority="970" operator="greaterThan">
      <formula>0</formula>
    </cfRule>
  </conditionalFormatting>
  <conditionalFormatting sqref="R27:V28">
    <cfRule type="cellIs" dxfId="29223" priority="963" operator="equal">
      <formula>"PMS"</formula>
    </cfRule>
    <cfRule type="containsText" dxfId="29222" priority="964" operator="containsText" text="CMS">
      <formula>NOT(ISERROR(SEARCH("CMS",R27)))</formula>
    </cfRule>
    <cfRule type="cellIs" dxfId="29221" priority="965" operator="equal">
      <formula>0</formula>
    </cfRule>
    <cfRule type="cellIs" dxfId="29220" priority="966" operator="greaterThan">
      <formula>0</formula>
    </cfRule>
  </conditionalFormatting>
  <conditionalFormatting sqref="R27:V28">
    <cfRule type="cellIs" dxfId="29219" priority="959" operator="equal">
      <formula>"PMS"</formula>
    </cfRule>
    <cfRule type="containsText" dxfId="29218" priority="960" operator="containsText" text="CMS">
      <formula>NOT(ISERROR(SEARCH("CMS",R27)))</formula>
    </cfRule>
    <cfRule type="cellIs" dxfId="29217" priority="961" operator="equal">
      <formula>0</formula>
    </cfRule>
    <cfRule type="cellIs" dxfId="29216" priority="962" operator="greaterThan">
      <formula>0</formula>
    </cfRule>
  </conditionalFormatting>
  <conditionalFormatting sqref="O55:O56 P56">
    <cfRule type="cellIs" dxfId="29215" priority="955" operator="equal">
      <formula>"PMS"</formula>
    </cfRule>
    <cfRule type="containsText" dxfId="29214" priority="956" operator="containsText" text="CMS">
      <formula>NOT(ISERROR(SEARCH("CMS",O55)))</formula>
    </cfRule>
    <cfRule type="cellIs" dxfId="29213" priority="957" operator="equal">
      <formula>0</formula>
    </cfRule>
    <cfRule type="cellIs" dxfId="29212" priority="958" operator="greaterThan">
      <formula>0</formula>
    </cfRule>
  </conditionalFormatting>
  <conditionalFormatting sqref="O44:O45">
    <cfRule type="cellIs" dxfId="29211" priority="951" operator="equal">
      <formula>"PMS"</formula>
    </cfRule>
    <cfRule type="containsText" dxfId="29210" priority="952" operator="containsText" text="CMS">
      <formula>NOT(ISERROR(SEARCH("CMS",O44)))</formula>
    </cfRule>
    <cfRule type="cellIs" dxfId="29209" priority="953" operator="equal">
      <formula>0</formula>
    </cfRule>
    <cfRule type="cellIs" dxfId="29208" priority="954" operator="greaterThan">
      <formula>0</formula>
    </cfRule>
  </conditionalFormatting>
  <conditionalFormatting sqref="O44:O45">
    <cfRule type="cellIs" dxfId="29207" priority="947" operator="equal">
      <formula>"PMS"</formula>
    </cfRule>
    <cfRule type="containsText" dxfId="29206" priority="948" operator="containsText" text="CMS">
      <formula>NOT(ISERROR(SEARCH("CMS",O44)))</formula>
    </cfRule>
    <cfRule type="cellIs" dxfId="29205" priority="949" operator="equal">
      <formula>0</formula>
    </cfRule>
    <cfRule type="cellIs" dxfId="29204" priority="950" operator="greaterThan">
      <formula>0</formula>
    </cfRule>
  </conditionalFormatting>
  <conditionalFormatting sqref="O44:O45">
    <cfRule type="cellIs" dxfId="29203" priority="943" operator="equal">
      <formula>"PMS"</formula>
    </cfRule>
    <cfRule type="containsText" dxfId="29202" priority="944" operator="containsText" text="CMS">
      <formula>NOT(ISERROR(SEARCH("CMS",O44)))</formula>
    </cfRule>
    <cfRule type="cellIs" dxfId="29201" priority="945" operator="equal">
      <formula>0</formula>
    </cfRule>
    <cfRule type="cellIs" dxfId="29200" priority="946" operator="greaterThan">
      <formula>0</formula>
    </cfRule>
  </conditionalFormatting>
  <conditionalFormatting sqref="O46">
    <cfRule type="cellIs" dxfId="29199" priority="939" operator="equal">
      <formula>"PMS"</formula>
    </cfRule>
    <cfRule type="containsText" dxfId="29198" priority="940" operator="containsText" text="CMS">
      <formula>NOT(ISERROR(SEARCH("CMS",O46)))</formula>
    </cfRule>
    <cfRule type="cellIs" dxfId="29197" priority="941" operator="equal">
      <formula>0</formula>
    </cfRule>
    <cfRule type="cellIs" dxfId="29196" priority="942" operator="greaterThan">
      <formula>0</formula>
    </cfRule>
  </conditionalFormatting>
  <conditionalFormatting sqref="O46">
    <cfRule type="cellIs" dxfId="29195" priority="935" operator="equal">
      <formula>"PMS"</formula>
    </cfRule>
    <cfRule type="containsText" dxfId="29194" priority="936" operator="containsText" text="CMS">
      <formula>NOT(ISERROR(SEARCH("CMS",O46)))</formula>
    </cfRule>
    <cfRule type="cellIs" dxfId="29193" priority="937" operator="equal">
      <formula>0</formula>
    </cfRule>
    <cfRule type="cellIs" dxfId="29192" priority="938" operator="greaterThan">
      <formula>0</formula>
    </cfRule>
  </conditionalFormatting>
  <conditionalFormatting sqref="O46">
    <cfRule type="cellIs" dxfId="29191" priority="931" operator="equal">
      <formula>"PMS"</formula>
    </cfRule>
    <cfRule type="containsText" dxfId="29190" priority="932" operator="containsText" text="CMS">
      <formula>NOT(ISERROR(SEARCH("CMS",O46)))</formula>
    </cfRule>
    <cfRule type="cellIs" dxfId="29189" priority="933" operator="equal">
      <formula>0</formula>
    </cfRule>
    <cfRule type="cellIs" dxfId="29188" priority="934" operator="greaterThan">
      <formula>0</formula>
    </cfRule>
  </conditionalFormatting>
  <conditionalFormatting sqref="J19:AC19">
    <cfRule type="cellIs" dxfId="29187" priority="927" operator="equal">
      <formula>"CMS"</formula>
    </cfRule>
    <cfRule type="cellIs" dxfId="29186" priority="928" operator="equal">
      <formula>"PMS"</formula>
    </cfRule>
    <cfRule type="cellIs" dxfId="29185" priority="929" operator="greaterThan">
      <formula>0</formula>
    </cfRule>
    <cfRule type="cellIs" dxfId="29184" priority="930" operator="equal">
      <formula>0</formula>
    </cfRule>
  </conditionalFormatting>
  <conditionalFormatting sqref="G61:G62">
    <cfRule type="cellIs" dxfId="29183" priority="923" operator="equal">
      <formula>"CMS"</formula>
    </cfRule>
    <cfRule type="cellIs" dxfId="29182" priority="924" operator="equal">
      <formula>"PMS"</formula>
    </cfRule>
    <cfRule type="cellIs" dxfId="29181" priority="925" operator="greaterThan">
      <formula>0</formula>
    </cfRule>
    <cfRule type="cellIs" dxfId="29180" priority="926" operator="equal">
      <formula>0</formula>
    </cfRule>
  </conditionalFormatting>
  <conditionalFormatting sqref="G77:G78">
    <cfRule type="cellIs" dxfId="29179" priority="918" operator="equal">
      <formula>"EOC"</formula>
    </cfRule>
    <cfRule type="cellIs" dxfId="29178" priority="919" operator="equal">
      <formula>"CMS"</formula>
    </cfRule>
    <cfRule type="cellIs" dxfId="29177" priority="920" operator="equal">
      <formula>"PMS"</formula>
    </cfRule>
    <cfRule type="cellIs" dxfId="29176" priority="921" operator="greaterThan">
      <formula>0</formula>
    </cfRule>
    <cfRule type="cellIs" dxfId="29175" priority="922" operator="equal">
      <formula>0</formula>
    </cfRule>
  </conditionalFormatting>
  <conditionalFormatting sqref="F109">
    <cfRule type="cellIs" dxfId="29174" priority="917" operator="greaterThan">
      <formula>60.3</formula>
    </cfRule>
  </conditionalFormatting>
  <conditionalFormatting sqref="G36:G44 G50:G52 G47">
    <cfRule type="cellIs" dxfId="29173" priority="909" operator="equal">
      <formula>"PMS"</formula>
    </cfRule>
    <cfRule type="containsText" dxfId="29172" priority="910" operator="containsText" text="CMS">
      <formula>NOT(ISERROR(SEARCH("CMS",G36)))</formula>
    </cfRule>
    <cfRule type="cellIs" dxfId="29171" priority="911" operator="equal">
      <formula>0</formula>
    </cfRule>
    <cfRule type="cellIs" dxfId="29170" priority="912" operator="greaterThan">
      <formula>0</formula>
    </cfRule>
    <cfRule type="cellIs" dxfId="29169" priority="913" operator="equal">
      <formula>"PMS"</formula>
    </cfRule>
    <cfRule type="containsText" dxfId="29168" priority="914" operator="containsText" text="CMS">
      <formula>NOT(ISERROR(SEARCH("CMS",G36)))</formula>
    </cfRule>
    <cfRule type="cellIs" dxfId="29167" priority="915" operator="equal">
      <formula>0</formula>
    </cfRule>
    <cfRule type="cellIs" dxfId="29166" priority="916" operator="greaterThan">
      <formula>0</formula>
    </cfRule>
  </conditionalFormatting>
  <conditionalFormatting sqref="G36:G44 G50:G52 G47">
    <cfRule type="cellIs" dxfId="29165" priority="905" operator="equal">
      <formula>"PMS"</formula>
    </cfRule>
    <cfRule type="containsText" dxfId="29164" priority="906" operator="containsText" text="CMS">
      <formula>NOT(ISERROR(SEARCH("CMS",G36)))</formula>
    </cfRule>
    <cfRule type="cellIs" dxfId="29163" priority="907" operator="equal">
      <formula>0</formula>
    </cfRule>
    <cfRule type="cellIs" dxfId="29162" priority="908" operator="greaterThan">
      <formula>0</formula>
    </cfRule>
  </conditionalFormatting>
  <conditionalFormatting sqref="G36:G44 G50:G52 G47">
    <cfRule type="cellIs" dxfId="29161" priority="901" operator="equal">
      <formula>"PMS"</formula>
    </cfRule>
    <cfRule type="containsText" dxfId="29160" priority="902" operator="containsText" text="CMS">
      <formula>NOT(ISERROR(SEARCH("CMS",G36)))</formula>
    </cfRule>
    <cfRule type="cellIs" dxfId="29159" priority="903" operator="equal">
      <formula>0</formula>
    </cfRule>
    <cfRule type="cellIs" dxfId="29158" priority="904" operator="greaterThan">
      <formula>0</formula>
    </cfRule>
  </conditionalFormatting>
  <conditionalFormatting sqref="H36:H39">
    <cfRule type="cellIs" dxfId="29157" priority="893" operator="equal">
      <formula>"PMS"</formula>
    </cfRule>
    <cfRule type="containsText" dxfId="29156" priority="894" operator="containsText" text="CMS">
      <formula>NOT(ISERROR(SEARCH("CMS",H36)))</formula>
    </cfRule>
    <cfRule type="cellIs" dxfId="29155" priority="895" operator="equal">
      <formula>0</formula>
    </cfRule>
    <cfRule type="cellIs" dxfId="29154" priority="896" operator="greaterThan">
      <formula>0</formula>
    </cfRule>
    <cfRule type="cellIs" dxfId="29153" priority="897" operator="equal">
      <formula>"PMS"</formula>
    </cfRule>
    <cfRule type="containsText" dxfId="29152" priority="898" operator="containsText" text="CMS">
      <formula>NOT(ISERROR(SEARCH("CMS",H36)))</formula>
    </cfRule>
    <cfRule type="cellIs" dxfId="29151" priority="899" operator="equal">
      <formula>0</formula>
    </cfRule>
    <cfRule type="cellIs" dxfId="29150" priority="900" operator="greaterThan">
      <formula>0</formula>
    </cfRule>
  </conditionalFormatting>
  <conditionalFormatting sqref="H36:H39">
    <cfRule type="cellIs" dxfId="29149" priority="889" operator="equal">
      <formula>"PMS"</formula>
    </cfRule>
    <cfRule type="containsText" dxfId="29148" priority="890" operator="containsText" text="CMS">
      <formula>NOT(ISERROR(SEARCH("CMS",H36)))</formula>
    </cfRule>
    <cfRule type="cellIs" dxfId="29147" priority="891" operator="equal">
      <formula>0</formula>
    </cfRule>
    <cfRule type="cellIs" dxfId="29146" priority="892" operator="greaterThan">
      <formula>0</formula>
    </cfRule>
  </conditionalFormatting>
  <conditionalFormatting sqref="H36:H39">
    <cfRule type="cellIs" dxfId="29145" priority="885" operator="equal">
      <formula>"PMS"</formula>
    </cfRule>
    <cfRule type="containsText" dxfId="29144" priority="886" operator="containsText" text="CMS">
      <formula>NOT(ISERROR(SEARCH("CMS",H36)))</formula>
    </cfRule>
    <cfRule type="cellIs" dxfId="29143" priority="887" operator="equal">
      <formula>0</formula>
    </cfRule>
    <cfRule type="cellIs" dxfId="29142" priority="888" operator="greaterThan">
      <formula>0</formula>
    </cfRule>
  </conditionalFormatting>
  <conditionalFormatting sqref="I36:I39">
    <cfRule type="cellIs" dxfId="29141" priority="877" operator="equal">
      <formula>"PMS"</formula>
    </cfRule>
    <cfRule type="containsText" dxfId="29140" priority="878" operator="containsText" text="CMS">
      <formula>NOT(ISERROR(SEARCH("CMS",I36)))</formula>
    </cfRule>
    <cfRule type="cellIs" dxfId="29139" priority="879" operator="equal">
      <formula>0</formula>
    </cfRule>
    <cfRule type="cellIs" dxfId="29138" priority="880" operator="greaterThan">
      <formula>0</formula>
    </cfRule>
    <cfRule type="cellIs" dxfId="29137" priority="881" operator="equal">
      <formula>"PMS"</formula>
    </cfRule>
    <cfRule type="containsText" dxfId="29136" priority="882" operator="containsText" text="CMS">
      <formula>NOT(ISERROR(SEARCH("CMS",I36)))</formula>
    </cfRule>
    <cfRule type="cellIs" dxfId="29135" priority="883" operator="equal">
      <formula>0</formula>
    </cfRule>
    <cfRule type="cellIs" dxfId="29134" priority="884" operator="greaterThan">
      <formula>0</formula>
    </cfRule>
  </conditionalFormatting>
  <conditionalFormatting sqref="I36:I39">
    <cfRule type="cellIs" dxfId="29133" priority="873" operator="equal">
      <formula>"PMS"</formula>
    </cfRule>
    <cfRule type="containsText" dxfId="29132" priority="874" operator="containsText" text="CMS">
      <formula>NOT(ISERROR(SEARCH("CMS",I36)))</formula>
    </cfRule>
    <cfRule type="cellIs" dxfId="29131" priority="875" operator="equal">
      <formula>0</formula>
    </cfRule>
    <cfRule type="cellIs" dxfId="29130" priority="876" operator="greaterThan">
      <formula>0</formula>
    </cfRule>
  </conditionalFormatting>
  <conditionalFormatting sqref="I36:I39">
    <cfRule type="cellIs" dxfId="29129" priority="869" operator="equal">
      <formula>"PMS"</formula>
    </cfRule>
    <cfRule type="containsText" dxfId="29128" priority="870" operator="containsText" text="CMS">
      <formula>NOT(ISERROR(SEARCH("CMS",I36)))</formula>
    </cfRule>
    <cfRule type="cellIs" dxfId="29127" priority="871" operator="equal">
      <formula>0</formula>
    </cfRule>
    <cfRule type="cellIs" dxfId="29126" priority="872" operator="greaterThan">
      <formula>0</formula>
    </cfRule>
  </conditionalFormatting>
  <conditionalFormatting sqref="O49">
    <cfRule type="cellIs" dxfId="29125" priority="865" operator="equal">
      <formula>"PMS"</formula>
    </cfRule>
    <cfRule type="containsText" dxfId="29124" priority="866" operator="containsText" text="CMS">
      <formula>NOT(ISERROR(SEARCH("CMS",O49)))</formula>
    </cfRule>
    <cfRule type="cellIs" dxfId="29123" priority="867" operator="equal">
      <formula>0</formula>
    </cfRule>
    <cfRule type="cellIs" dxfId="29122" priority="868" operator="greaterThan">
      <formula>0</formula>
    </cfRule>
  </conditionalFormatting>
  <conditionalFormatting sqref="O55:O56 P56">
    <cfRule type="cellIs" dxfId="29121" priority="861" operator="equal">
      <formula>"PMS"</formula>
    </cfRule>
    <cfRule type="containsText" dxfId="29120" priority="862" operator="containsText" text="CMS">
      <formula>NOT(ISERROR(SEARCH("CMS",O55)))</formula>
    </cfRule>
    <cfRule type="cellIs" dxfId="29119" priority="863" operator="equal">
      <formula>0</formula>
    </cfRule>
    <cfRule type="cellIs" dxfId="29118" priority="864" operator="greaterThan">
      <formula>0</formula>
    </cfRule>
  </conditionalFormatting>
  <conditionalFormatting sqref="O57:P57">
    <cfRule type="cellIs" dxfId="29117" priority="857" operator="equal">
      <formula>"PMS"</formula>
    </cfRule>
    <cfRule type="containsText" dxfId="29116" priority="858" operator="containsText" text="CMS">
      <formula>NOT(ISERROR(SEARCH("CMS",O57)))</formula>
    </cfRule>
    <cfRule type="cellIs" dxfId="29115" priority="859" operator="equal">
      <formula>0</formula>
    </cfRule>
    <cfRule type="cellIs" dxfId="29114" priority="860" operator="greaterThan">
      <formula>0</formula>
    </cfRule>
  </conditionalFormatting>
  <conditionalFormatting sqref="O49">
    <cfRule type="cellIs" dxfId="29113" priority="853" operator="equal">
      <formula>"PMS"</formula>
    </cfRule>
    <cfRule type="containsText" dxfId="29112" priority="854" operator="containsText" text="CMS">
      <formula>NOT(ISERROR(SEARCH("CMS",O49)))</formula>
    </cfRule>
    <cfRule type="cellIs" dxfId="29111" priority="855" operator="equal">
      <formula>0</formula>
    </cfRule>
    <cfRule type="cellIs" dxfId="29110" priority="856" operator="greaterThan">
      <formula>0</formula>
    </cfRule>
  </conditionalFormatting>
  <conditionalFormatting sqref="O55:O57 P56">
    <cfRule type="cellIs" dxfId="29109" priority="849" operator="equal">
      <formula>"PMS"</formula>
    </cfRule>
    <cfRule type="containsText" dxfId="29108" priority="850" operator="containsText" text="CMS">
      <formula>NOT(ISERROR(SEARCH("CMS",O55)))</formula>
    </cfRule>
    <cfRule type="cellIs" dxfId="29107" priority="851" operator="equal">
      <formula>0</formula>
    </cfRule>
    <cfRule type="cellIs" dxfId="29106" priority="852" operator="greaterThan">
      <formula>0</formula>
    </cfRule>
  </conditionalFormatting>
  <conditionalFormatting sqref="O49">
    <cfRule type="cellIs" dxfId="29105" priority="845" operator="equal">
      <formula>"PMS"</formula>
    </cfRule>
    <cfRule type="containsText" dxfId="29104" priority="846" operator="containsText" text="CMS">
      <formula>NOT(ISERROR(SEARCH("CMS",O49)))</formula>
    </cfRule>
    <cfRule type="cellIs" dxfId="29103" priority="847" operator="equal">
      <formula>0</formula>
    </cfRule>
    <cfRule type="cellIs" dxfId="29102" priority="848" operator="greaterThan">
      <formula>0</formula>
    </cfRule>
  </conditionalFormatting>
  <conditionalFormatting sqref="O55:O57 P56">
    <cfRule type="cellIs" dxfId="29101" priority="841" operator="equal">
      <formula>"PMS"</formula>
    </cfRule>
    <cfRule type="containsText" dxfId="29100" priority="842" operator="containsText" text="CMS">
      <formula>NOT(ISERROR(SEARCH("CMS",O55)))</formula>
    </cfRule>
    <cfRule type="cellIs" dxfId="29099" priority="843" operator="equal">
      <formula>0</formula>
    </cfRule>
    <cfRule type="cellIs" dxfId="29098" priority="844" operator="greaterThan">
      <formula>0</formula>
    </cfRule>
  </conditionalFormatting>
  <conditionalFormatting sqref="V14:V16">
    <cfRule type="cellIs" dxfId="29097" priority="837" operator="equal">
      <formula>"PMS"</formula>
    </cfRule>
    <cfRule type="containsText" dxfId="29096" priority="838" operator="containsText" text="CMS">
      <formula>NOT(ISERROR(SEARCH("CMS",V14)))</formula>
    </cfRule>
    <cfRule type="cellIs" dxfId="29095" priority="839" operator="equal">
      <formula>0</formula>
    </cfRule>
    <cfRule type="cellIs" dxfId="29094" priority="840" operator="greaterThan">
      <formula>0</formula>
    </cfRule>
  </conditionalFormatting>
  <conditionalFormatting sqref="V14:V16">
    <cfRule type="cellIs" dxfId="29093" priority="833" operator="equal">
      <formula>"PMS"</formula>
    </cfRule>
    <cfRule type="containsText" dxfId="29092" priority="834" operator="containsText" text="CMS">
      <formula>NOT(ISERROR(SEARCH("CMS",V14)))</formula>
    </cfRule>
    <cfRule type="cellIs" dxfId="29091" priority="835" operator="equal">
      <formula>0</formula>
    </cfRule>
    <cfRule type="cellIs" dxfId="29090" priority="836" operator="greaterThan">
      <formula>0</formula>
    </cfRule>
  </conditionalFormatting>
  <conditionalFormatting sqref="W14:W16">
    <cfRule type="cellIs" dxfId="29089" priority="829" operator="equal">
      <formula>"PMS"</formula>
    </cfRule>
    <cfRule type="containsText" dxfId="29088" priority="830" operator="containsText" text="CMS">
      <formula>NOT(ISERROR(SEARCH("CMS",W14)))</formula>
    </cfRule>
    <cfRule type="cellIs" dxfId="29087" priority="831" operator="equal">
      <formula>0</formula>
    </cfRule>
    <cfRule type="cellIs" dxfId="29086" priority="832" operator="greaterThan">
      <formula>0</formula>
    </cfRule>
  </conditionalFormatting>
  <conditionalFormatting sqref="W14:W16">
    <cfRule type="cellIs" dxfId="29085" priority="825" operator="equal">
      <formula>"PMS"</formula>
    </cfRule>
    <cfRule type="containsText" dxfId="29084" priority="826" operator="containsText" text="CMS">
      <formula>NOT(ISERROR(SEARCH("CMS",W14)))</formula>
    </cfRule>
    <cfRule type="cellIs" dxfId="29083" priority="827" operator="equal">
      <formula>0</formula>
    </cfRule>
    <cfRule type="cellIs" dxfId="29082" priority="828" operator="greaterThan">
      <formula>0</formula>
    </cfRule>
  </conditionalFormatting>
  <conditionalFormatting sqref="X16">
    <cfRule type="cellIs" dxfId="29081" priority="821" operator="equal">
      <formula>"PMS"</formula>
    </cfRule>
    <cfRule type="containsText" dxfId="29080" priority="822" operator="containsText" text="CMS">
      <formula>NOT(ISERROR(SEARCH("CMS",X16)))</formula>
    </cfRule>
    <cfRule type="cellIs" dxfId="29079" priority="823" operator="equal">
      <formula>0</formula>
    </cfRule>
    <cfRule type="cellIs" dxfId="29078" priority="824" operator="greaterThan">
      <formula>0</formula>
    </cfRule>
  </conditionalFormatting>
  <conditionalFormatting sqref="X16">
    <cfRule type="cellIs" dxfId="29077" priority="817" operator="equal">
      <formula>"PMS"</formula>
    </cfRule>
    <cfRule type="containsText" dxfId="29076" priority="818" operator="containsText" text="CMS">
      <formula>NOT(ISERROR(SEARCH("CMS",X16)))</formula>
    </cfRule>
    <cfRule type="cellIs" dxfId="29075" priority="819" operator="equal">
      <formula>0</formula>
    </cfRule>
    <cfRule type="cellIs" dxfId="29074" priority="820" operator="greaterThan">
      <formula>0</formula>
    </cfRule>
  </conditionalFormatting>
  <conditionalFormatting sqref="O49">
    <cfRule type="cellIs" dxfId="29073" priority="813" operator="equal">
      <formula>"PMS"</formula>
    </cfRule>
    <cfRule type="containsText" dxfId="29072" priority="814" operator="containsText" text="CMS">
      <formula>NOT(ISERROR(SEARCH("CMS",O49)))</formula>
    </cfRule>
    <cfRule type="cellIs" dxfId="29071" priority="815" operator="equal">
      <formula>0</formula>
    </cfRule>
    <cfRule type="cellIs" dxfId="29070" priority="816" operator="greaterThan">
      <formula>0</formula>
    </cfRule>
  </conditionalFormatting>
  <conditionalFormatting sqref="O56:P56">
    <cfRule type="cellIs" dxfId="29069" priority="809" operator="equal">
      <formula>"PMS"</formula>
    </cfRule>
    <cfRule type="containsText" dxfId="29068" priority="810" operator="containsText" text="CMS">
      <formula>NOT(ISERROR(SEARCH("CMS",O56)))</formula>
    </cfRule>
    <cfRule type="cellIs" dxfId="29067" priority="811" operator="equal">
      <formula>0</formula>
    </cfRule>
    <cfRule type="cellIs" dxfId="29066" priority="812" operator="greaterThan">
      <formula>0</formula>
    </cfRule>
  </conditionalFormatting>
  <conditionalFormatting sqref="Z14">
    <cfRule type="cellIs" dxfId="29065" priority="805" operator="equal">
      <formula>"PMS"</formula>
    </cfRule>
    <cfRule type="containsText" dxfId="29064" priority="806" operator="containsText" text="CMS">
      <formula>NOT(ISERROR(SEARCH("CMS",Z14)))</formula>
    </cfRule>
    <cfRule type="cellIs" dxfId="29063" priority="807" operator="equal">
      <formula>0</formula>
    </cfRule>
    <cfRule type="cellIs" dxfId="29062" priority="808" operator="greaterThan">
      <formula>0</formula>
    </cfRule>
  </conditionalFormatting>
  <conditionalFormatting sqref="Z14">
    <cfRule type="cellIs" dxfId="29061" priority="801" operator="equal">
      <formula>"PMS"</formula>
    </cfRule>
    <cfRule type="containsText" dxfId="29060" priority="802" operator="containsText" text="CMS">
      <formula>NOT(ISERROR(SEARCH("CMS",Z14)))</formula>
    </cfRule>
    <cfRule type="cellIs" dxfId="29059" priority="803" operator="equal">
      <formula>0</formula>
    </cfRule>
    <cfRule type="cellIs" dxfId="29058" priority="804" operator="greaterThan">
      <formula>0</formula>
    </cfRule>
  </conditionalFormatting>
  <conditionalFormatting sqref="Z15">
    <cfRule type="cellIs" dxfId="29057" priority="797" operator="equal">
      <formula>"PMS"</formula>
    </cfRule>
    <cfRule type="containsText" dxfId="29056" priority="798" operator="containsText" text="CMS">
      <formula>NOT(ISERROR(SEARCH("CMS",Z15)))</formula>
    </cfRule>
    <cfRule type="cellIs" dxfId="29055" priority="799" operator="equal">
      <formula>0</formula>
    </cfRule>
    <cfRule type="cellIs" dxfId="29054" priority="800" operator="greaterThan">
      <formula>0</formula>
    </cfRule>
  </conditionalFormatting>
  <conditionalFormatting sqref="Z15">
    <cfRule type="cellIs" dxfId="29053" priority="793" operator="equal">
      <formula>"PMS"</formula>
    </cfRule>
    <cfRule type="containsText" dxfId="29052" priority="794" operator="containsText" text="CMS">
      <formula>NOT(ISERROR(SEARCH("CMS",Z15)))</formula>
    </cfRule>
    <cfRule type="cellIs" dxfId="29051" priority="795" operator="equal">
      <formula>0</formula>
    </cfRule>
    <cfRule type="cellIs" dxfId="29050" priority="796" operator="greaterThan">
      <formula>0</formula>
    </cfRule>
  </conditionalFormatting>
  <conditionalFormatting sqref="Z16">
    <cfRule type="cellIs" dxfId="29049" priority="789" operator="equal">
      <formula>"PMS"</formula>
    </cfRule>
    <cfRule type="containsText" dxfId="29048" priority="790" operator="containsText" text="CMS">
      <formula>NOT(ISERROR(SEARCH("CMS",Z16)))</formula>
    </cfRule>
    <cfRule type="cellIs" dxfId="29047" priority="791" operator="equal">
      <formula>0</formula>
    </cfRule>
    <cfRule type="cellIs" dxfId="29046" priority="792" operator="greaterThan">
      <formula>0</formula>
    </cfRule>
  </conditionalFormatting>
  <conditionalFormatting sqref="Z16">
    <cfRule type="cellIs" dxfId="29045" priority="785" operator="equal">
      <formula>"PMS"</formula>
    </cfRule>
    <cfRule type="containsText" dxfId="29044" priority="786" operator="containsText" text="CMS">
      <formula>NOT(ISERROR(SEARCH("CMS",Z16)))</formula>
    </cfRule>
    <cfRule type="cellIs" dxfId="29043" priority="787" operator="equal">
      <formula>0</formula>
    </cfRule>
    <cfRule type="cellIs" dxfId="29042" priority="788" operator="greaterThan">
      <formula>0</formula>
    </cfRule>
  </conditionalFormatting>
  <conditionalFormatting sqref="AA14">
    <cfRule type="cellIs" dxfId="29041" priority="781" operator="equal">
      <formula>"PMS"</formula>
    </cfRule>
    <cfRule type="containsText" dxfId="29040" priority="782" operator="containsText" text="CMS">
      <formula>NOT(ISERROR(SEARCH("CMS",AA14)))</formula>
    </cfRule>
    <cfRule type="cellIs" dxfId="29039" priority="783" operator="equal">
      <formula>0</formula>
    </cfRule>
    <cfRule type="cellIs" dxfId="29038" priority="784" operator="greaterThan">
      <formula>0</formula>
    </cfRule>
  </conditionalFormatting>
  <conditionalFormatting sqref="AA14">
    <cfRule type="cellIs" dxfId="29037" priority="777" operator="equal">
      <formula>"PMS"</formula>
    </cfRule>
    <cfRule type="containsText" dxfId="29036" priority="778" operator="containsText" text="CMS">
      <formula>NOT(ISERROR(SEARCH("CMS",AA14)))</formula>
    </cfRule>
    <cfRule type="cellIs" dxfId="29035" priority="779" operator="equal">
      <formula>0</formula>
    </cfRule>
    <cfRule type="cellIs" dxfId="29034" priority="780" operator="greaterThan">
      <formula>0</formula>
    </cfRule>
  </conditionalFormatting>
  <conditionalFormatting sqref="AA15">
    <cfRule type="cellIs" dxfId="29033" priority="773" operator="equal">
      <formula>"PMS"</formula>
    </cfRule>
    <cfRule type="containsText" dxfId="29032" priority="774" operator="containsText" text="CMS">
      <formula>NOT(ISERROR(SEARCH("CMS",AA15)))</formula>
    </cfRule>
    <cfRule type="cellIs" dxfId="29031" priority="775" operator="equal">
      <formula>0</formula>
    </cfRule>
    <cfRule type="cellIs" dxfId="29030" priority="776" operator="greaterThan">
      <formula>0</formula>
    </cfRule>
  </conditionalFormatting>
  <conditionalFormatting sqref="AA15">
    <cfRule type="cellIs" dxfId="29029" priority="769" operator="equal">
      <formula>"PMS"</formula>
    </cfRule>
    <cfRule type="containsText" dxfId="29028" priority="770" operator="containsText" text="CMS">
      <formula>NOT(ISERROR(SEARCH("CMS",AA15)))</formula>
    </cfRule>
    <cfRule type="cellIs" dxfId="29027" priority="771" operator="equal">
      <formula>0</formula>
    </cfRule>
    <cfRule type="cellIs" dxfId="29026" priority="772" operator="greaterThan">
      <formula>0</formula>
    </cfRule>
  </conditionalFormatting>
  <conditionalFormatting sqref="AA16">
    <cfRule type="cellIs" dxfId="29025" priority="765" operator="equal">
      <formula>"PMS"</formula>
    </cfRule>
    <cfRule type="containsText" dxfId="29024" priority="766" operator="containsText" text="CMS">
      <formula>NOT(ISERROR(SEARCH("CMS",AA16)))</formula>
    </cfRule>
    <cfRule type="cellIs" dxfId="29023" priority="767" operator="equal">
      <formula>0</formula>
    </cfRule>
    <cfRule type="cellIs" dxfId="29022" priority="768" operator="greaterThan">
      <formula>0</formula>
    </cfRule>
  </conditionalFormatting>
  <conditionalFormatting sqref="AA16">
    <cfRule type="cellIs" dxfId="29021" priority="761" operator="equal">
      <formula>"PMS"</formula>
    </cfRule>
    <cfRule type="containsText" dxfId="29020" priority="762" operator="containsText" text="CMS">
      <formula>NOT(ISERROR(SEARCH("CMS",AA16)))</formula>
    </cfRule>
    <cfRule type="cellIs" dxfId="29019" priority="763" operator="equal">
      <formula>0</formula>
    </cfRule>
    <cfRule type="cellIs" dxfId="29018" priority="764" operator="greaterThan">
      <formula>0</formula>
    </cfRule>
  </conditionalFormatting>
  <conditionalFormatting sqref="AA27">
    <cfRule type="cellIs" dxfId="29017" priority="757" operator="equal">
      <formula>"PMS"</formula>
    </cfRule>
    <cfRule type="containsText" dxfId="29016" priority="758" operator="containsText" text="CMS">
      <formula>NOT(ISERROR(SEARCH("CMS",AA27)))</formula>
    </cfRule>
    <cfRule type="cellIs" dxfId="29015" priority="759" operator="equal">
      <formula>0</formula>
    </cfRule>
    <cfRule type="cellIs" dxfId="29014" priority="760" operator="greaterThan">
      <formula>0</formula>
    </cfRule>
  </conditionalFormatting>
  <conditionalFormatting sqref="AA27">
    <cfRule type="cellIs" dxfId="29013" priority="753" operator="equal">
      <formula>"PMS"</formula>
    </cfRule>
    <cfRule type="containsText" dxfId="29012" priority="754" operator="containsText" text="CMS">
      <formula>NOT(ISERROR(SEARCH("CMS",AA27)))</formula>
    </cfRule>
    <cfRule type="cellIs" dxfId="29011" priority="755" operator="equal">
      <formula>0</formula>
    </cfRule>
    <cfRule type="cellIs" dxfId="29010" priority="756" operator="greaterThan">
      <formula>0</formula>
    </cfRule>
  </conditionalFormatting>
  <conditionalFormatting sqref="AA28">
    <cfRule type="cellIs" dxfId="29009" priority="749" operator="equal">
      <formula>"PMS"</formula>
    </cfRule>
    <cfRule type="containsText" dxfId="29008" priority="750" operator="containsText" text="CMS">
      <formula>NOT(ISERROR(SEARCH("CMS",AA28)))</formula>
    </cfRule>
    <cfRule type="cellIs" dxfId="29007" priority="751" operator="equal">
      <formula>0</formula>
    </cfRule>
    <cfRule type="cellIs" dxfId="29006" priority="752" operator="greaterThan">
      <formula>0</formula>
    </cfRule>
  </conditionalFormatting>
  <conditionalFormatting sqref="AA28">
    <cfRule type="cellIs" dxfId="29005" priority="745" operator="equal">
      <formula>"PMS"</formula>
    </cfRule>
    <cfRule type="containsText" dxfId="29004" priority="746" operator="containsText" text="CMS">
      <formula>NOT(ISERROR(SEARCH("CMS",AA28)))</formula>
    </cfRule>
    <cfRule type="cellIs" dxfId="29003" priority="747" operator="equal">
      <formula>0</formula>
    </cfRule>
    <cfRule type="cellIs" dxfId="29002" priority="748" operator="greaterThan">
      <formula>0</formula>
    </cfRule>
  </conditionalFormatting>
  <conditionalFormatting sqref="AB14">
    <cfRule type="cellIs" dxfId="29001" priority="741" operator="equal">
      <formula>"PMS"</formula>
    </cfRule>
    <cfRule type="containsText" dxfId="29000" priority="742" operator="containsText" text="CMS">
      <formula>NOT(ISERROR(SEARCH("CMS",AB14)))</formula>
    </cfRule>
    <cfRule type="cellIs" dxfId="28999" priority="743" operator="equal">
      <formula>0</formula>
    </cfRule>
    <cfRule type="cellIs" dxfId="28998" priority="744" operator="greaterThan">
      <formula>0</formula>
    </cfRule>
  </conditionalFormatting>
  <conditionalFormatting sqref="AB14">
    <cfRule type="cellIs" dxfId="28997" priority="737" operator="equal">
      <formula>"PMS"</formula>
    </cfRule>
    <cfRule type="containsText" dxfId="28996" priority="738" operator="containsText" text="CMS">
      <formula>NOT(ISERROR(SEARCH("CMS",AB14)))</formula>
    </cfRule>
    <cfRule type="cellIs" dxfId="28995" priority="739" operator="equal">
      <formula>0</formula>
    </cfRule>
    <cfRule type="cellIs" dxfId="28994" priority="740" operator="greaterThan">
      <formula>0</formula>
    </cfRule>
  </conditionalFormatting>
  <conditionalFormatting sqref="AB15">
    <cfRule type="cellIs" dxfId="28993" priority="733" operator="equal">
      <formula>"PMS"</formula>
    </cfRule>
    <cfRule type="containsText" dxfId="28992" priority="734" operator="containsText" text="CMS">
      <formula>NOT(ISERROR(SEARCH("CMS",AB15)))</formula>
    </cfRule>
    <cfRule type="cellIs" dxfId="28991" priority="735" operator="equal">
      <formula>0</formula>
    </cfRule>
    <cfRule type="cellIs" dxfId="28990" priority="736" operator="greaterThan">
      <formula>0</formula>
    </cfRule>
  </conditionalFormatting>
  <conditionalFormatting sqref="AB15">
    <cfRule type="cellIs" dxfId="28989" priority="729" operator="equal">
      <formula>"PMS"</formula>
    </cfRule>
    <cfRule type="containsText" dxfId="28988" priority="730" operator="containsText" text="CMS">
      <formula>NOT(ISERROR(SEARCH("CMS",AB15)))</formula>
    </cfRule>
    <cfRule type="cellIs" dxfId="28987" priority="731" operator="equal">
      <formula>0</formula>
    </cfRule>
    <cfRule type="cellIs" dxfId="28986" priority="732" operator="greaterThan">
      <formula>0</formula>
    </cfRule>
  </conditionalFormatting>
  <conditionalFormatting sqref="AB16">
    <cfRule type="cellIs" dxfId="28985" priority="725" operator="equal">
      <formula>"PMS"</formula>
    </cfRule>
    <cfRule type="containsText" dxfId="28984" priority="726" operator="containsText" text="CMS">
      <formula>NOT(ISERROR(SEARCH("CMS",AB16)))</formula>
    </cfRule>
    <cfRule type="cellIs" dxfId="28983" priority="727" operator="equal">
      <formula>0</formula>
    </cfRule>
    <cfRule type="cellIs" dxfId="28982" priority="728" operator="greaterThan">
      <formula>0</formula>
    </cfRule>
  </conditionalFormatting>
  <conditionalFormatting sqref="AB16">
    <cfRule type="cellIs" dxfId="28981" priority="721" operator="equal">
      <formula>"PMS"</formula>
    </cfRule>
    <cfRule type="containsText" dxfId="28980" priority="722" operator="containsText" text="CMS">
      <formula>NOT(ISERROR(SEARCH("CMS",AB16)))</formula>
    </cfRule>
    <cfRule type="cellIs" dxfId="28979" priority="723" operator="equal">
      <formula>0</formula>
    </cfRule>
    <cfRule type="cellIs" dxfId="28978" priority="724" operator="greaterThan">
      <formula>0</formula>
    </cfRule>
  </conditionalFormatting>
  <conditionalFormatting sqref="J61:J63">
    <cfRule type="cellIs" dxfId="28977" priority="713" operator="equal">
      <formula>"PMS"</formula>
    </cfRule>
    <cfRule type="containsText" dxfId="28976" priority="714" operator="containsText" text="CMS">
      <formula>NOT(ISERROR(SEARCH("CMS",J61)))</formula>
    </cfRule>
    <cfRule type="cellIs" dxfId="28975" priority="715" operator="equal">
      <formula>0</formula>
    </cfRule>
    <cfRule type="cellIs" dxfId="28974" priority="716" operator="greaterThan">
      <formula>0</formula>
    </cfRule>
    <cfRule type="cellIs" dxfId="28973" priority="717" operator="equal">
      <formula>"PMS"</formula>
    </cfRule>
    <cfRule type="containsText" dxfId="28972" priority="718" operator="containsText" text="CMS">
      <formula>NOT(ISERROR(SEARCH("CMS",J61)))</formula>
    </cfRule>
    <cfRule type="cellIs" dxfId="28971" priority="719" operator="equal">
      <formula>0</formula>
    </cfRule>
    <cfRule type="cellIs" dxfId="28970" priority="720" operator="greaterThan">
      <formula>0</formula>
    </cfRule>
  </conditionalFormatting>
  <conditionalFormatting sqref="V14">
    <cfRule type="cellIs" dxfId="28969" priority="709" operator="equal">
      <formula>"PMS"</formula>
    </cfRule>
    <cfRule type="containsText" dxfId="28968" priority="710" operator="containsText" text="CMS">
      <formula>NOT(ISERROR(SEARCH("CMS",V14)))</formula>
    </cfRule>
    <cfRule type="cellIs" dxfId="28967" priority="711" operator="equal">
      <formula>0</formula>
    </cfRule>
    <cfRule type="cellIs" dxfId="28966" priority="712" operator="greaterThan">
      <formula>0</formula>
    </cfRule>
  </conditionalFormatting>
  <conditionalFormatting sqref="V14">
    <cfRule type="cellIs" dxfId="28965" priority="705" operator="equal">
      <formula>"PMS"</formula>
    </cfRule>
    <cfRule type="containsText" dxfId="28964" priority="706" operator="containsText" text="CMS">
      <formula>NOT(ISERROR(SEARCH("CMS",V14)))</formula>
    </cfRule>
    <cfRule type="cellIs" dxfId="28963" priority="707" operator="equal">
      <formula>0</formula>
    </cfRule>
    <cfRule type="cellIs" dxfId="28962" priority="708" operator="greaterThan">
      <formula>0</formula>
    </cfRule>
  </conditionalFormatting>
  <conditionalFormatting sqref="V15">
    <cfRule type="cellIs" dxfId="28961" priority="701" operator="equal">
      <formula>"PMS"</formula>
    </cfRule>
    <cfRule type="containsText" dxfId="28960" priority="702" operator="containsText" text="CMS">
      <formula>NOT(ISERROR(SEARCH("CMS",V15)))</formula>
    </cfRule>
    <cfRule type="cellIs" dxfId="28959" priority="703" operator="equal">
      <formula>0</formula>
    </cfRule>
    <cfRule type="cellIs" dxfId="28958" priority="704" operator="greaterThan">
      <formula>0</formula>
    </cfRule>
  </conditionalFormatting>
  <conditionalFormatting sqref="V15">
    <cfRule type="cellIs" dxfId="28957" priority="697" operator="equal">
      <formula>"PMS"</formula>
    </cfRule>
    <cfRule type="containsText" dxfId="28956" priority="698" operator="containsText" text="CMS">
      <formula>NOT(ISERROR(SEARCH("CMS",V15)))</formula>
    </cfRule>
    <cfRule type="cellIs" dxfId="28955" priority="699" operator="equal">
      <formula>0</formula>
    </cfRule>
    <cfRule type="cellIs" dxfId="28954" priority="700" operator="greaterThan">
      <formula>0</formula>
    </cfRule>
  </conditionalFormatting>
  <conditionalFormatting sqref="V16">
    <cfRule type="cellIs" dxfId="28953" priority="693" operator="equal">
      <formula>"PMS"</formula>
    </cfRule>
    <cfRule type="containsText" dxfId="28952" priority="694" operator="containsText" text="CMS">
      <formula>NOT(ISERROR(SEARCH("CMS",V16)))</formula>
    </cfRule>
    <cfRule type="cellIs" dxfId="28951" priority="695" operator="equal">
      <formula>0</formula>
    </cfRule>
    <cfRule type="cellIs" dxfId="28950" priority="696" operator="greaterThan">
      <formula>0</formula>
    </cfRule>
  </conditionalFormatting>
  <conditionalFormatting sqref="V16">
    <cfRule type="cellIs" dxfId="28949" priority="689" operator="equal">
      <formula>"PMS"</formula>
    </cfRule>
    <cfRule type="containsText" dxfId="28948" priority="690" operator="containsText" text="CMS">
      <formula>NOT(ISERROR(SEARCH("CMS",V16)))</formula>
    </cfRule>
    <cfRule type="cellIs" dxfId="28947" priority="691" operator="equal">
      <formula>0</formula>
    </cfRule>
    <cfRule type="cellIs" dxfId="28946" priority="692" operator="greaterThan">
      <formula>0</formula>
    </cfRule>
  </conditionalFormatting>
  <conditionalFormatting sqref="W14">
    <cfRule type="cellIs" dxfId="28945" priority="685" operator="equal">
      <formula>"PMS"</formula>
    </cfRule>
    <cfRule type="containsText" dxfId="28944" priority="686" operator="containsText" text="CMS">
      <formula>NOT(ISERROR(SEARCH("CMS",W14)))</formula>
    </cfRule>
    <cfRule type="cellIs" dxfId="28943" priority="687" operator="equal">
      <formula>0</formula>
    </cfRule>
    <cfRule type="cellIs" dxfId="28942" priority="688" operator="greaterThan">
      <formula>0</formula>
    </cfRule>
  </conditionalFormatting>
  <conditionalFormatting sqref="W14">
    <cfRule type="cellIs" dxfId="28941" priority="681" operator="equal">
      <formula>"PMS"</formula>
    </cfRule>
    <cfRule type="containsText" dxfId="28940" priority="682" operator="containsText" text="CMS">
      <formula>NOT(ISERROR(SEARCH("CMS",W14)))</formula>
    </cfRule>
    <cfRule type="cellIs" dxfId="28939" priority="683" operator="equal">
      <formula>0</formula>
    </cfRule>
    <cfRule type="cellIs" dxfId="28938" priority="684" operator="greaterThan">
      <formula>0</formula>
    </cfRule>
  </conditionalFormatting>
  <conditionalFormatting sqref="W15">
    <cfRule type="cellIs" dxfId="28937" priority="677" operator="equal">
      <formula>"PMS"</formula>
    </cfRule>
    <cfRule type="containsText" dxfId="28936" priority="678" operator="containsText" text="CMS">
      <formula>NOT(ISERROR(SEARCH("CMS",W15)))</formula>
    </cfRule>
    <cfRule type="cellIs" dxfId="28935" priority="679" operator="equal">
      <formula>0</formula>
    </cfRule>
    <cfRule type="cellIs" dxfId="28934" priority="680" operator="greaterThan">
      <formula>0</formula>
    </cfRule>
  </conditionalFormatting>
  <conditionalFormatting sqref="W15">
    <cfRule type="cellIs" dxfId="28933" priority="673" operator="equal">
      <formula>"PMS"</formula>
    </cfRule>
    <cfRule type="containsText" dxfId="28932" priority="674" operator="containsText" text="CMS">
      <formula>NOT(ISERROR(SEARCH("CMS",W15)))</formula>
    </cfRule>
    <cfRule type="cellIs" dxfId="28931" priority="675" operator="equal">
      <formula>0</formula>
    </cfRule>
    <cfRule type="cellIs" dxfId="28930" priority="676" operator="greaterThan">
      <formula>0</formula>
    </cfRule>
  </conditionalFormatting>
  <conditionalFormatting sqref="W16">
    <cfRule type="cellIs" dxfId="28929" priority="669" operator="equal">
      <formula>"PMS"</formula>
    </cfRule>
    <cfRule type="containsText" dxfId="28928" priority="670" operator="containsText" text="CMS">
      <formula>NOT(ISERROR(SEARCH("CMS",W16)))</formula>
    </cfRule>
    <cfRule type="cellIs" dxfId="28927" priority="671" operator="equal">
      <formula>0</formula>
    </cfRule>
    <cfRule type="cellIs" dxfId="28926" priority="672" operator="greaterThan">
      <formula>0</formula>
    </cfRule>
  </conditionalFormatting>
  <conditionalFormatting sqref="W16">
    <cfRule type="cellIs" dxfId="28925" priority="665" operator="equal">
      <formula>"PMS"</formula>
    </cfRule>
    <cfRule type="containsText" dxfId="28924" priority="666" operator="containsText" text="CMS">
      <formula>NOT(ISERROR(SEARCH("CMS",W16)))</formula>
    </cfRule>
    <cfRule type="cellIs" dxfId="28923" priority="667" operator="equal">
      <formula>0</formula>
    </cfRule>
    <cfRule type="cellIs" dxfId="28922" priority="668" operator="greaterThan">
      <formula>0</formula>
    </cfRule>
  </conditionalFormatting>
  <conditionalFormatting sqref="G56">
    <cfRule type="cellIs" dxfId="28921" priority="657" operator="equal">
      <formula>"PMS"</formula>
    </cfRule>
    <cfRule type="containsText" dxfId="28920" priority="658" operator="containsText" text="CMS">
      <formula>NOT(ISERROR(SEARCH("CMS",G56)))</formula>
    </cfRule>
    <cfRule type="cellIs" dxfId="28919" priority="659" operator="equal">
      <formula>0</formula>
    </cfRule>
    <cfRule type="cellIs" dxfId="28918" priority="660" operator="greaterThan">
      <formula>0</formula>
    </cfRule>
    <cfRule type="cellIs" dxfId="28917" priority="661" operator="equal">
      <formula>"PMS"</formula>
    </cfRule>
    <cfRule type="containsText" dxfId="28916" priority="662" operator="containsText" text="CMS">
      <formula>NOT(ISERROR(SEARCH("CMS",G56)))</formula>
    </cfRule>
    <cfRule type="cellIs" dxfId="28915" priority="663" operator="equal">
      <formula>0</formula>
    </cfRule>
    <cfRule type="cellIs" dxfId="28914" priority="664" operator="greaterThan">
      <formula>0</formula>
    </cfRule>
  </conditionalFormatting>
  <conditionalFormatting sqref="G56">
    <cfRule type="cellIs" dxfId="28913" priority="653" operator="equal">
      <formula>"PMS"</formula>
    </cfRule>
    <cfRule type="containsText" dxfId="28912" priority="654" operator="containsText" text="CMS">
      <formula>NOT(ISERROR(SEARCH("CMS",G56)))</formula>
    </cfRule>
    <cfRule type="cellIs" dxfId="28911" priority="655" operator="equal">
      <formula>0</formula>
    </cfRule>
    <cfRule type="cellIs" dxfId="28910" priority="656" operator="greaterThan">
      <formula>0</formula>
    </cfRule>
  </conditionalFormatting>
  <conditionalFormatting sqref="G56">
    <cfRule type="cellIs" dxfId="28909" priority="649" operator="equal">
      <formula>"PMS"</formula>
    </cfRule>
    <cfRule type="containsText" dxfId="28908" priority="650" operator="containsText" text="CMS">
      <formula>NOT(ISERROR(SEARCH("CMS",G56)))</formula>
    </cfRule>
    <cfRule type="cellIs" dxfId="28907" priority="651" operator="equal">
      <formula>0</formula>
    </cfRule>
    <cfRule type="cellIs" dxfId="28906" priority="652" operator="greaterThan">
      <formula>0</formula>
    </cfRule>
  </conditionalFormatting>
  <conditionalFormatting sqref="G13:G16">
    <cfRule type="cellIs" dxfId="28905" priority="641" operator="equal">
      <formula>"PMS"</formula>
    </cfRule>
    <cfRule type="containsText" dxfId="28904" priority="642" operator="containsText" text="CMS">
      <formula>NOT(ISERROR(SEARCH("CMS",G13)))</formula>
    </cfRule>
    <cfRule type="cellIs" dxfId="28903" priority="643" operator="equal">
      <formula>0</formula>
    </cfRule>
    <cfRule type="cellIs" dxfId="28902" priority="644" operator="greaterThan">
      <formula>0</formula>
    </cfRule>
    <cfRule type="cellIs" dxfId="28901" priority="645" operator="equal">
      <formula>"PMS"</formula>
    </cfRule>
    <cfRule type="containsText" dxfId="28900" priority="646" operator="containsText" text="CMS">
      <formula>NOT(ISERROR(SEARCH("CMS",G13)))</formula>
    </cfRule>
    <cfRule type="cellIs" dxfId="28899" priority="647" operator="equal">
      <formula>0</formula>
    </cfRule>
    <cfRule type="cellIs" dxfId="28898" priority="648" operator="greaterThan">
      <formula>0</formula>
    </cfRule>
  </conditionalFormatting>
  <conditionalFormatting sqref="G13:G16">
    <cfRule type="cellIs" dxfId="28897" priority="637" operator="equal">
      <formula>"PMS"</formula>
    </cfRule>
    <cfRule type="containsText" dxfId="28896" priority="638" operator="containsText" text="CMS">
      <formula>NOT(ISERROR(SEARCH("CMS",G13)))</formula>
    </cfRule>
    <cfRule type="cellIs" dxfId="28895" priority="639" operator="equal">
      <formula>0</formula>
    </cfRule>
    <cfRule type="cellIs" dxfId="28894" priority="640" operator="greaterThan">
      <formula>0</formula>
    </cfRule>
  </conditionalFormatting>
  <conditionalFormatting sqref="G13:G16">
    <cfRule type="cellIs" dxfId="28893" priority="633" operator="equal">
      <formula>"PMS"</formula>
    </cfRule>
    <cfRule type="containsText" dxfId="28892" priority="634" operator="containsText" text="CMS">
      <formula>NOT(ISERROR(SEARCH("CMS",G13)))</formula>
    </cfRule>
    <cfRule type="cellIs" dxfId="28891" priority="635" operator="equal">
      <formula>0</formula>
    </cfRule>
    <cfRule type="cellIs" dxfId="28890" priority="636" operator="greaterThan">
      <formula>0</formula>
    </cfRule>
  </conditionalFormatting>
  <conditionalFormatting sqref="G13:G16">
    <cfRule type="cellIs" dxfId="28889" priority="629" operator="equal">
      <formula>"PMS"</formula>
    </cfRule>
    <cfRule type="containsText" dxfId="28888" priority="630" operator="containsText" text="CMS">
      <formula>NOT(ISERROR(SEARCH("CMS",G13)))</formula>
    </cfRule>
    <cfRule type="cellIs" dxfId="28887" priority="631" operator="equal">
      <formula>0</formula>
    </cfRule>
    <cfRule type="cellIs" dxfId="28886" priority="632" operator="greaterThan">
      <formula>0</formula>
    </cfRule>
  </conditionalFormatting>
  <conditionalFormatting sqref="G13:G16">
    <cfRule type="cellIs" dxfId="28885" priority="625" operator="equal">
      <formula>"PMS"</formula>
    </cfRule>
    <cfRule type="containsText" dxfId="28884" priority="626" operator="containsText" text="CMS">
      <formula>NOT(ISERROR(SEARCH("CMS",G13)))</formula>
    </cfRule>
    <cfRule type="cellIs" dxfId="28883" priority="627" operator="equal">
      <formula>0</formula>
    </cfRule>
    <cfRule type="cellIs" dxfId="28882" priority="628" operator="greaterThan">
      <formula>0</formula>
    </cfRule>
  </conditionalFormatting>
  <conditionalFormatting sqref="G20:G21">
    <cfRule type="cellIs" dxfId="28881" priority="617" operator="equal">
      <formula>"PMS"</formula>
    </cfRule>
    <cfRule type="containsText" dxfId="28880" priority="618" operator="containsText" text="CMS">
      <formula>NOT(ISERROR(SEARCH("CMS",G20)))</formula>
    </cfRule>
    <cfRule type="cellIs" dxfId="28879" priority="619" operator="equal">
      <formula>0</formula>
    </cfRule>
    <cfRule type="cellIs" dxfId="28878" priority="620" operator="greaterThan">
      <formula>0</formula>
    </cfRule>
    <cfRule type="cellIs" dxfId="28877" priority="621" operator="equal">
      <formula>"PMS"</formula>
    </cfRule>
    <cfRule type="containsText" dxfId="28876" priority="622" operator="containsText" text="CMS">
      <formula>NOT(ISERROR(SEARCH("CMS",G20)))</formula>
    </cfRule>
    <cfRule type="cellIs" dxfId="28875" priority="623" operator="equal">
      <formula>0</formula>
    </cfRule>
    <cfRule type="cellIs" dxfId="28874" priority="624" operator="greaterThan">
      <formula>0</formula>
    </cfRule>
  </conditionalFormatting>
  <conditionalFormatting sqref="G20:G21">
    <cfRule type="cellIs" dxfId="28873" priority="613" operator="equal">
      <formula>"PMS"</formula>
    </cfRule>
    <cfRule type="containsText" dxfId="28872" priority="614" operator="containsText" text="CMS">
      <formula>NOT(ISERROR(SEARCH("CMS",G20)))</formula>
    </cfRule>
    <cfRule type="cellIs" dxfId="28871" priority="615" operator="equal">
      <formula>0</formula>
    </cfRule>
    <cfRule type="cellIs" dxfId="28870" priority="616" operator="greaterThan">
      <formula>0</formula>
    </cfRule>
  </conditionalFormatting>
  <conditionalFormatting sqref="G20:G21">
    <cfRule type="cellIs" dxfId="28869" priority="609" operator="equal">
      <formula>"PMS"</formula>
    </cfRule>
    <cfRule type="containsText" dxfId="28868" priority="610" operator="containsText" text="CMS">
      <formula>NOT(ISERROR(SEARCH("CMS",G20)))</formula>
    </cfRule>
    <cfRule type="cellIs" dxfId="28867" priority="611" operator="equal">
      <formula>0</formula>
    </cfRule>
    <cfRule type="cellIs" dxfId="28866" priority="612" operator="greaterThan">
      <formula>0</formula>
    </cfRule>
  </conditionalFormatting>
  <conditionalFormatting sqref="G27:G29 J29 M29 P29 S29 V29 AB29">
    <cfRule type="cellIs" dxfId="28865" priority="601" operator="equal">
      <formula>"PMS"</formula>
    </cfRule>
    <cfRule type="containsText" dxfId="28864" priority="602" operator="containsText" text="CMS">
      <formula>NOT(ISERROR(SEARCH("CMS",G27)))</formula>
    </cfRule>
    <cfRule type="cellIs" dxfId="28863" priority="603" operator="equal">
      <formula>0</formula>
    </cfRule>
    <cfRule type="cellIs" dxfId="28862" priority="604" operator="greaterThan">
      <formula>0</formula>
    </cfRule>
    <cfRule type="cellIs" dxfId="28861" priority="605" operator="equal">
      <formula>"PMS"</formula>
    </cfRule>
    <cfRule type="containsText" dxfId="28860" priority="606" operator="containsText" text="CMS">
      <formula>NOT(ISERROR(SEARCH("CMS",G27)))</formula>
    </cfRule>
    <cfRule type="cellIs" dxfId="28859" priority="607" operator="equal">
      <formula>0</formula>
    </cfRule>
    <cfRule type="cellIs" dxfId="28858" priority="608" operator="greaterThan">
      <formula>0</formula>
    </cfRule>
  </conditionalFormatting>
  <conditionalFormatting sqref="G27:G29 J29 M29 P29 S29 V29 AB29">
    <cfRule type="cellIs" dxfId="28857" priority="597" operator="equal">
      <formula>"PMS"</formula>
    </cfRule>
    <cfRule type="containsText" dxfId="28856" priority="598" operator="containsText" text="CMS">
      <formula>NOT(ISERROR(SEARCH("CMS",G27)))</formula>
    </cfRule>
    <cfRule type="cellIs" dxfId="28855" priority="599" operator="equal">
      <formula>0</formula>
    </cfRule>
    <cfRule type="cellIs" dxfId="28854" priority="600" operator="greaterThan">
      <formula>0</formula>
    </cfRule>
  </conditionalFormatting>
  <conditionalFormatting sqref="G27:G29 J29 M29 P29 S29 V29 AB29">
    <cfRule type="cellIs" dxfId="28853" priority="593" operator="equal">
      <formula>"PMS"</formula>
    </cfRule>
    <cfRule type="containsText" dxfId="28852" priority="594" operator="containsText" text="CMS">
      <formula>NOT(ISERROR(SEARCH("CMS",G27)))</formula>
    </cfRule>
    <cfRule type="cellIs" dxfId="28851" priority="595" operator="equal">
      <formula>0</formula>
    </cfRule>
    <cfRule type="cellIs" dxfId="28850" priority="596" operator="greaterThan">
      <formula>0</formula>
    </cfRule>
  </conditionalFormatting>
  <conditionalFormatting sqref="G57">
    <cfRule type="cellIs" dxfId="28849" priority="585" operator="equal">
      <formula>"PMS"</formula>
    </cfRule>
    <cfRule type="containsText" dxfId="28848" priority="586" operator="containsText" text="CMS">
      <formula>NOT(ISERROR(SEARCH("CMS",G57)))</formula>
    </cfRule>
    <cfRule type="cellIs" dxfId="28847" priority="587" operator="equal">
      <formula>0</formula>
    </cfRule>
    <cfRule type="cellIs" dxfId="28846" priority="588" operator="greaterThan">
      <formula>0</formula>
    </cfRule>
    <cfRule type="cellIs" dxfId="28845" priority="589" operator="equal">
      <formula>"PMS"</formula>
    </cfRule>
    <cfRule type="containsText" dxfId="28844" priority="590" operator="containsText" text="CMS">
      <formula>NOT(ISERROR(SEARCH("CMS",G57)))</formula>
    </cfRule>
    <cfRule type="cellIs" dxfId="28843" priority="591" operator="equal">
      <formula>0</formula>
    </cfRule>
    <cfRule type="cellIs" dxfId="28842" priority="592" operator="greaterThan">
      <formula>0</formula>
    </cfRule>
  </conditionalFormatting>
  <conditionalFormatting sqref="G57">
    <cfRule type="cellIs" dxfId="28841" priority="581" operator="equal">
      <formula>"PMS"</formula>
    </cfRule>
    <cfRule type="containsText" dxfId="28840" priority="582" operator="containsText" text="CMS">
      <formula>NOT(ISERROR(SEARCH("CMS",G57)))</formula>
    </cfRule>
    <cfRule type="cellIs" dxfId="28839" priority="583" operator="equal">
      <formula>0</formula>
    </cfRule>
    <cfRule type="cellIs" dxfId="28838" priority="584" operator="greaterThan">
      <formula>0</formula>
    </cfRule>
  </conditionalFormatting>
  <conditionalFormatting sqref="G57">
    <cfRule type="cellIs" dxfId="28837" priority="577" operator="equal">
      <formula>"PMS"</formula>
    </cfRule>
    <cfRule type="containsText" dxfId="28836" priority="578" operator="containsText" text="CMS">
      <formula>NOT(ISERROR(SEARCH("CMS",G57)))</formula>
    </cfRule>
    <cfRule type="cellIs" dxfId="28835" priority="579" operator="equal">
      <formula>0</formula>
    </cfRule>
    <cfRule type="cellIs" dxfId="28834" priority="580" operator="greaterThan">
      <formula>0</formula>
    </cfRule>
  </conditionalFormatting>
  <conditionalFormatting sqref="G57">
    <cfRule type="cellIs" dxfId="28833" priority="573" operator="equal">
      <formula>"PMS"</formula>
    </cfRule>
    <cfRule type="containsText" dxfId="28832" priority="574" operator="containsText" text="CMS">
      <formula>NOT(ISERROR(SEARCH("CMS",G57)))</formula>
    </cfRule>
    <cfRule type="cellIs" dxfId="28831" priority="575" operator="equal">
      <formula>0</formula>
    </cfRule>
    <cfRule type="cellIs" dxfId="28830" priority="576" operator="greaterThan">
      <formula>0</formula>
    </cfRule>
  </conditionalFormatting>
  <conditionalFormatting sqref="G57">
    <cfRule type="cellIs" dxfId="28829" priority="569" operator="equal">
      <formula>"PMS"</formula>
    </cfRule>
    <cfRule type="containsText" dxfId="28828" priority="570" operator="containsText" text="CMS">
      <formula>NOT(ISERROR(SEARCH("CMS",G57)))</formula>
    </cfRule>
    <cfRule type="cellIs" dxfId="28827" priority="571" operator="equal">
      <formula>0</formula>
    </cfRule>
    <cfRule type="cellIs" dxfId="28826" priority="572" operator="greaterThan">
      <formula>0</formula>
    </cfRule>
  </conditionalFormatting>
  <conditionalFormatting sqref="G57">
    <cfRule type="cellIs" dxfId="28825" priority="565" operator="equal">
      <formula>"PMS"</formula>
    </cfRule>
    <cfRule type="containsText" dxfId="28824" priority="566" operator="containsText" text="CMS">
      <formula>NOT(ISERROR(SEARCH("CMS",G57)))</formula>
    </cfRule>
    <cfRule type="cellIs" dxfId="28823" priority="567" operator="equal">
      <formula>0</formula>
    </cfRule>
    <cfRule type="cellIs" dxfId="28822" priority="568" operator="greaterThan">
      <formula>0</formula>
    </cfRule>
  </conditionalFormatting>
  <conditionalFormatting sqref="G57">
    <cfRule type="cellIs" dxfId="28821" priority="561" operator="equal">
      <formula>"PMS"</formula>
    </cfRule>
    <cfRule type="containsText" dxfId="28820" priority="562" operator="containsText" text="CMS">
      <formula>NOT(ISERROR(SEARCH("CMS",G57)))</formula>
    </cfRule>
    <cfRule type="cellIs" dxfId="28819" priority="563" operator="equal">
      <formula>0</formula>
    </cfRule>
    <cfRule type="cellIs" dxfId="28818" priority="564" operator="greaterThan">
      <formula>0</formula>
    </cfRule>
  </conditionalFormatting>
  <conditionalFormatting sqref="G63">
    <cfRule type="cellIs" dxfId="28817" priority="553" operator="equal">
      <formula>"PMS"</formula>
    </cfRule>
    <cfRule type="containsText" dxfId="28816" priority="554" operator="containsText" text="CMS">
      <formula>NOT(ISERROR(SEARCH("CMS",G63)))</formula>
    </cfRule>
    <cfRule type="cellIs" dxfId="28815" priority="555" operator="equal">
      <formula>0</formula>
    </cfRule>
    <cfRule type="cellIs" dxfId="28814" priority="556" operator="greaterThan">
      <formula>0</formula>
    </cfRule>
    <cfRule type="cellIs" dxfId="28813" priority="557" operator="equal">
      <formula>"PMS"</formula>
    </cfRule>
    <cfRule type="containsText" dxfId="28812" priority="558" operator="containsText" text="CMS">
      <formula>NOT(ISERROR(SEARCH("CMS",G63)))</formula>
    </cfRule>
    <cfRule type="cellIs" dxfId="28811" priority="559" operator="equal">
      <formula>0</formula>
    </cfRule>
    <cfRule type="cellIs" dxfId="28810" priority="560" operator="greaterThan">
      <formula>0</formula>
    </cfRule>
  </conditionalFormatting>
  <conditionalFormatting sqref="G63">
    <cfRule type="cellIs" dxfId="28809" priority="549" operator="equal">
      <formula>"PMS"</formula>
    </cfRule>
    <cfRule type="containsText" dxfId="28808" priority="550" operator="containsText" text="CMS">
      <formula>NOT(ISERROR(SEARCH("CMS",G63)))</formula>
    </cfRule>
    <cfRule type="cellIs" dxfId="28807" priority="551" operator="equal">
      <formula>0</formula>
    </cfRule>
    <cfRule type="cellIs" dxfId="28806" priority="552" operator="greaterThan">
      <formula>0</formula>
    </cfRule>
  </conditionalFormatting>
  <conditionalFormatting sqref="G45:G46">
    <cfRule type="cellIs" dxfId="28805" priority="541" operator="equal">
      <formula>"PMS"</formula>
    </cfRule>
    <cfRule type="containsText" dxfId="28804" priority="542" operator="containsText" text="CMS">
      <formula>NOT(ISERROR(SEARCH("CMS",G45)))</formula>
    </cfRule>
    <cfRule type="cellIs" dxfId="28803" priority="543" operator="equal">
      <formula>0</formula>
    </cfRule>
    <cfRule type="cellIs" dxfId="28802" priority="544" operator="greaterThan">
      <formula>0</formula>
    </cfRule>
    <cfRule type="cellIs" dxfId="28801" priority="545" operator="equal">
      <formula>"PMS"</formula>
    </cfRule>
    <cfRule type="containsText" dxfId="28800" priority="546" operator="containsText" text="CMS">
      <formula>NOT(ISERROR(SEARCH("CMS",G45)))</formula>
    </cfRule>
    <cfRule type="cellIs" dxfId="28799" priority="547" operator="equal">
      <formula>0</formula>
    </cfRule>
    <cfRule type="cellIs" dxfId="28798" priority="548" operator="greaterThan">
      <formula>0</formula>
    </cfRule>
  </conditionalFormatting>
  <conditionalFormatting sqref="G45:G46">
    <cfRule type="cellIs" dxfId="28797" priority="537" operator="equal">
      <formula>"PMS"</formula>
    </cfRule>
    <cfRule type="containsText" dxfId="28796" priority="538" operator="containsText" text="CMS">
      <formula>NOT(ISERROR(SEARCH("CMS",G45)))</formula>
    </cfRule>
    <cfRule type="cellIs" dxfId="28795" priority="539" operator="equal">
      <formula>0</formula>
    </cfRule>
    <cfRule type="cellIs" dxfId="28794" priority="540" operator="greaterThan">
      <formula>0</formula>
    </cfRule>
  </conditionalFormatting>
  <conditionalFormatting sqref="G45:G46">
    <cfRule type="cellIs" dxfId="28793" priority="533" operator="equal">
      <formula>"PMS"</formula>
    </cfRule>
    <cfRule type="containsText" dxfId="28792" priority="534" operator="containsText" text="CMS">
      <formula>NOT(ISERROR(SEARCH("CMS",G45)))</formula>
    </cfRule>
    <cfRule type="cellIs" dxfId="28791" priority="535" operator="equal">
      <formula>0</formula>
    </cfRule>
    <cfRule type="cellIs" dxfId="28790" priority="536" operator="greaterThan">
      <formula>0</formula>
    </cfRule>
  </conditionalFormatting>
  <conditionalFormatting sqref="I61:I63">
    <cfRule type="cellIs" dxfId="28789" priority="525" operator="equal">
      <formula>"PMS"</formula>
    </cfRule>
    <cfRule type="containsText" dxfId="28788" priority="526" operator="containsText" text="CMS">
      <formula>NOT(ISERROR(SEARCH("CMS",I61)))</formula>
    </cfRule>
    <cfRule type="cellIs" dxfId="28787" priority="527" operator="equal">
      <formula>0</formula>
    </cfRule>
    <cfRule type="cellIs" dxfId="28786" priority="528" operator="greaterThan">
      <formula>0</formula>
    </cfRule>
    <cfRule type="cellIs" dxfId="28785" priority="529" operator="equal">
      <formula>"PMS"</formula>
    </cfRule>
    <cfRule type="containsText" dxfId="28784" priority="530" operator="containsText" text="CMS">
      <formula>NOT(ISERROR(SEARCH("CMS",I61)))</formula>
    </cfRule>
    <cfRule type="cellIs" dxfId="28783" priority="531" operator="equal">
      <formula>0</formula>
    </cfRule>
    <cfRule type="cellIs" dxfId="28782" priority="532" operator="greaterThan">
      <formula>0</formula>
    </cfRule>
  </conditionalFormatting>
  <conditionalFormatting sqref="G32:AC32">
    <cfRule type="cellIs" dxfId="28781" priority="509" operator="equal">
      <formula>"PMS"</formula>
    </cfRule>
    <cfRule type="containsText" dxfId="28780" priority="510" operator="containsText" text="CMS">
      <formula>NOT(ISERROR(SEARCH("CMS",G32)))</formula>
    </cfRule>
    <cfRule type="cellIs" dxfId="28779" priority="511" operator="equal">
      <formula>0</formula>
    </cfRule>
    <cfRule type="cellIs" dxfId="28778" priority="512" operator="greaterThan">
      <formula>0</formula>
    </cfRule>
    <cfRule type="cellIs" dxfId="28777" priority="513" operator="equal">
      <formula>"PMS"</formula>
    </cfRule>
    <cfRule type="containsText" dxfId="28776" priority="514" operator="containsText" text="CMS">
      <formula>NOT(ISERROR(SEARCH("CMS",G32)))</formula>
    </cfRule>
    <cfRule type="cellIs" dxfId="28775" priority="515" operator="equal">
      <formula>0</formula>
    </cfRule>
    <cfRule type="cellIs" dxfId="28774" priority="516" operator="greaterThan">
      <formula>0</formula>
    </cfRule>
  </conditionalFormatting>
  <conditionalFormatting sqref="G32:AC32">
    <cfRule type="cellIs" dxfId="28773" priority="505" operator="equal">
      <formula>"PMS"</formula>
    </cfRule>
    <cfRule type="containsText" dxfId="28772" priority="506" operator="containsText" text="CMS">
      <formula>NOT(ISERROR(SEARCH("CMS",G32)))</formula>
    </cfRule>
    <cfRule type="cellIs" dxfId="28771" priority="507" operator="equal">
      <formula>0</formula>
    </cfRule>
    <cfRule type="cellIs" dxfId="28770" priority="508" operator="greaterThan">
      <formula>0</formula>
    </cfRule>
  </conditionalFormatting>
  <conditionalFormatting sqref="G32:AC32">
    <cfRule type="cellIs" dxfId="28769" priority="501" operator="equal">
      <formula>"PMS"</formula>
    </cfRule>
    <cfRule type="containsText" dxfId="28768" priority="502" operator="containsText" text="CMS">
      <formula>NOT(ISERROR(SEARCH("CMS",G32)))</formula>
    </cfRule>
    <cfRule type="cellIs" dxfId="28767" priority="503" operator="equal">
      <formula>0</formula>
    </cfRule>
    <cfRule type="cellIs" dxfId="28766" priority="504" operator="greaterThan">
      <formula>0</formula>
    </cfRule>
  </conditionalFormatting>
  <conditionalFormatting sqref="O48">
    <cfRule type="cellIs" dxfId="28765" priority="497" operator="equal">
      <formula>"PMS"</formula>
    </cfRule>
    <cfRule type="containsText" dxfId="28764" priority="498" operator="containsText" text="CMS">
      <formula>NOT(ISERROR(SEARCH("CMS",O48)))</formula>
    </cfRule>
    <cfRule type="cellIs" dxfId="28763" priority="499" operator="equal">
      <formula>0</formula>
    </cfRule>
    <cfRule type="cellIs" dxfId="28762" priority="500" operator="greaterThan">
      <formula>0</formula>
    </cfRule>
  </conditionalFormatting>
  <conditionalFormatting sqref="O48">
    <cfRule type="cellIs" dxfId="28761" priority="493" operator="equal">
      <formula>"PMS"</formula>
    </cfRule>
    <cfRule type="containsText" dxfId="28760" priority="494" operator="containsText" text="CMS">
      <formula>NOT(ISERROR(SEARCH("CMS",O48)))</formula>
    </cfRule>
    <cfRule type="cellIs" dxfId="28759" priority="495" operator="equal">
      <formula>0</formula>
    </cfRule>
    <cfRule type="cellIs" dxfId="28758" priority="496" operator="greaterThan">
      <formula>0</formula>
    </cfRule>
  </conditionalFormatting>
  <conditionalFormatting sqref="O48">
    <cfRule type="cellIs" dxfId="28757" priority="489" operator="equal">
      <formula>"PMS"</formula>
    </cfRule>
    <cfRule type="containsText" dxfId="28756" priority="490" operator="containsText" text="CMS">
      <formula>NOT(ISERROR(SEARCH("CMS",O48)))</formula>
    </cfRule>
    <cfRule type="cellIs" dxfId="28755" priority="491" operator="equal">
      <formula>0</formula>
    </cfRule>
    <cfRule type="cellIs" dxfId="28754" priority="492" operator="greaterThan">
      <formula>0</formula>
    </cfRule>
  </conditionalFormatting>
  <conditionalFormatting sqref="O48">
    <cfRule type="cellIs" dxfId="28753" priority="485" operator="equal">
      <formula>"PMS"</formula>
    </cfRule>
    <cfRule type="containsText" dxfId="28752" priority="486" operator="containsText" text="CMS">
      <formula>NOT(ISERROR(SEARCH("CMS",O48)))</formula>
    </cfRule>
    <cfRule type="cellIs" dxfId="28751" priority="487" operator="equal">
      <formula>0</formula>
    </cfRule>
    <cfRule type="cellIs" dxfId="28750" priority="488" operator="greaterThan">
      <formula>0</formula>
    </cfRule>
  </conditionalFormatting>
  <conditionalFormatting sqref="O56:P56">
    <cfRule type="cellIs" dxfId="28749" priority="481" operator="equal">
      <formula>"PMS"</formula>
    </cfRule>
    <cfRule type="containsText" dxfId="28748" priority="482" operator="containsText" text="CMS">
      <formula>NOT(ISERROR(SEARCH("CMS",O56)))</formula>
    </cfRule>
    <cfRule type="cellIs" dxfId="28747" priority="483" operator="equal">
      <formula>0</formula>
    </cfRule>
    <cfRule type="cellIs" dxfId="28746" priority="484" operator="greaterThan">
      <formula>0</formula>
    </cfRule>
  </conditionalFormatting>
  <conditionalFormatting sqref="O56:P56">
    <cfRule type="cellIs" dxfId="28745" priority="477" operator="equal">
      <formula>"PMS"</formula>
    </cfRule>
    <cfRule type="containsText" dxfId="28744" priority="478" operator="containsText" text="CMS">
      <formula>NOT(ISERROR(SEARCH("CMS",O56)))</formula>
    </cfRule>
    <cfRule type="cellIs" dxfId="28743" priority="479" operator="equal">
      <formula>0</formula>
    </cfRule>
    <cfRule type="cellIs" dxfId="28742" priority="480" operator="greaterThan">
      <formula>0</formula>
    </cfRule>
  </conditionalFormatting>
  <conditionalFormatting sqref="O56:P56">
    <cfRule type="cellIs" dxfId="28741" priority="473" operator="equal">
      <formula>"PMS"</formula>
    </cfRule>
    <cfRule type="containsText" dxfId="28740" priority="474" operator="containsText" text="CMS">
      <formula>NOT(ISERROR(SEARCH("CMS",O56)))</formula>
    </cfRule>
    <cfRule type="cellIs" dxfId="28739" priority="475" operator="equal">
      <formula>0</formula>
    </cfRule>
    <cfRule type="cellIs" dxfId="28738" priority="476" operator="greaterThan">
      <formula>0</formula>
    </cfRule>
  </conditionalFormatting>
  <conditionalFormatting sqref="O56:P56">
    <cfRule type="cellIs" dxfId="28737" priority="469" operator="equal">
      <formula>"PMS"</formula>
    </cfRule>
    <cfRule type="containsText" dxfId="28736" priority="470" operator="containsText" text="CMS">
      <formula>NOT(ISERROR(SEARCH("CMS",O56)))</formula>
    </cfRule>
    <cfRule type="cellIs" dxfId="28735" priority="471" operator="equal">
      <formula>0</formula>
    </cfRule>
    <cfRule type="cellIs" dxfId="28734" priority="472" operator="greaterThan">
      <formula>0</formula>
    </cfRule>
  </conditionalFormatting>
  <conditionalFormatting sqref="O57:P57">
    <cfRule type="cellIs" dxfId="28733" priority="465" operator="equal">
      <formula>"PMS"</formula>
    </cfRule>
    <cfRule type="containsText" dxfId="28732" priority="466" operator="containsText" text="CMS">
      <formula>NOT(ISERROR(SEARCH("CMS",O57)))</formula>
    </cfRule>
    <cfRule type="cellIs" dxfId="28731" priority="467" operator="equal">
      <formula>0</formula>
    </cfRule>
    <cfRule type="cellIs" dxfId="28730" priority="468" operator="greaterThan">
      <formula>0</formula>
    </cfRule>
  </conditionalFormatting>
  <conditionalFormatting sqref="O57:P57">
    <cfRule type="cellIs" dxfId="28729" priority="461" operator="equal">
      <formula>"PMS"</formula>
    </cfRule>
    <cfRule type="containsText" dxfId="28728" priority="462" operator="containsText" text="CMS">
      <formula>NOT(ISERROR(SEARCH("CMS",O57)))</formula>
    </cfRule>
    <cfRule type="cellIs" dxfId="28727" priority="463" operator="equal">
      <formula>0</formula>
    </cfRule>
    <cfRule type="cellIs" dxfId="28726" priority="464" operator="greaterThan">
      <formula>0</formula>
    </cfRule>
  </conditionalFormatting>
  <conditionalFormatting sqref="O57:P57">
    <cfRule type="cellIs" dxfId="28725" priority="457" operator="equal">
      <formula>"PMS"</formula>
    </cfRule>
    <cfRule type="containsText" dxfId="28724" priority="458" operator="containsText" text="CMS">
      <formula>NOT(ISERROR(SEARCH("CMS",O57)))</formula>
    </cfRule>
    <cfRule type="cellIs" dxfId="28723" priority="459" operator="equal">
      <formula>0</formula>
    </cfRule>
    <cfRule type="cellIs" dxfId="28722" priority="460" operator="greaterThan">
      <formula>0</formula>
    </cfRule>
  </conditionalFormatting>
  <conditionalFormatting sqref="O57:P57">
    <cfRule type="cellIs" dxfId="28721" priority="453" operator="equal">
      <formula>"PMS"</formula>
    </cfRule>
    <cfRule type="containsText" dxfId="28720" priority="454" operator="containsText" text="CMS">
      <formula>NOT(ISERROR(SEARCH("CMS",O57)))</formula>
    </cfRule>
    <cfRule type="cellIs" dxfId="28719" priority="455" operator="equal">
      <formula>0</formula>
    </cfRule>
    <cfRule type="cellIs" dxfId="28718" priority="456" operator="greaterThan">
      <formula>0</formula>
    </cfRule>
  </conditionalFormatting>
  <conditionalFormatting sqref="G48:G49">
    <cfRule type="cellIs" dxfId="28717" priority="445" operator="equal">
      <formula>"PMS"</formula>
    </cfRule>
    <cfRule type="containsText" dxfId="28716" priority="446" operator="containsText" text="CMS">
      <formula>NOT(ISERROR(SEARCH("CMS",G48)))</formula>
    </cfRule>
    <cfRule type="cellIs" dxfId="28715" priority="447" operator="equal">
      <formula>0</formula>
    </cfRule>
    <cfRule type="cellIs" dxfId="28714" priority="448" operator="greaterThan">
      <formula>0</formula>
    </cfRule>
    <cfRule type="cellIs" dxfId="28713" priority="449" operator="equal">
      <formula>"PMS"</formula>
    </cfRule>
    <cfRule type="containsText" dxfId="28712" priority="450" operator="containsText" text="CMS">
      <formula>NOT(ISERROR(SEARCH("CMS",G48)))</formula>
    </cfRule>
    <cfRule type="cellIs" dxfId="28711" priority="451" operator="equal">
      <formula>0</formula>
    </cfRule>
    <cfRule type="cellIs" dxfId="28710" priority="452" operator="greaterThan">
      <formula>0</formula>
    </cfRule>
  </conditionalFormatting>
  <conditionalFormatting sqref="G48:G49">
    <cfRule type="cellIs" dxfId="28709" priority="441" operator="equal">
      <formula>"PMS"</formula>
    </cfRule>
    <cfRule type="containsText" dxfId="28708" priority="442" operator="containsText" text="CMS">
      <formula>NOT(ISERROR(SEARCH("CMS",G48)))</formula>
    </cfRule>
    <cfRule type="cellIs" dxfId="28707" priority="443" operator="equal">
      <formula>0</formula>
    </cfRule>
    <cfRule type="cellIs" dxfId="28706" priority="444" operator="greaterThan">
      <formula>0</formula>
    </cfRule>
  </conditionalFormatting>
  <conditionalFormatting sqref="G48:G49">
    <cfRule type="cellIs" dxfId="28705" priority="437" operator="equal">
      <formula>"PMS"</formula>
    </cfRule>
    <cfRule type="containsText" dxfId="28704" priority="438" operator="containsText" text="CMS">
      <formula>NOT(ISERROR(SEARCH("CMS",G48)))</formula>
    </cfRule>
    <cfRule type="cellIs" dxfId="28703" priority="439" operator="equal">
      <formula>0</formula>
    </cfRule>
    <cfRule type="cellIs" dxfId="28702" priority="440" operator="greaterThan">
      <formula>0</formula>
    </cfRule>
  </conditionalFormatting>
  <conditionalFormatting sqref="G66:G72 G74">
    <cfRule type="cellIs" dxfId="28701" priority="429" operator="equal">
      <formula>"PMS"</formula>
    </cfRule>
    <cfRule type="containsText" dxfId="28700" priority="430" operator="containsText" text="CMS">
      <formula>NOT(ISERROR(SEARCH("CMS",G66)))</formula>
    </cfRule>
    <cfRule type="cellIs" dxfId="28699" priority="431" operator="equal">
      <formula>0</formula>
    </cfRule>
    <cfRule type="cellIs" dxfId="28698" priority="432" operator="greaterThan">
      <formula>0</formula>
    </cfRule>
    <cfRule type="cellIs" dxfId="28697" priority="433" operator="equal">
      <formula>"PMS"</formula>
    </cfRule>
    <cfRule type="containsText" dxfId="28696" priority="434" operator="containsText" text="CMS">
      <formula>NOT(ISERROR(SEARCH("CMS",G66)))</formula>
    </cfRule>
    <cfRule type="cellIs" dxfId="28695" priority="435" operator="equal">
      <formula>0</formula>
    </cfRule>
    <cfRule type="cellIs" dxfId="28694" priority="436" operator="greaterThan">
      <formula>0</formula>
    </cfRule>
  </conditionalFormatting>
  <conditionalFormatting sqref="O53:O58 P56">
    <cfRule type="cellIs" dxfId="28693" priority="425" operator="equal">
      <formula>"PMS"</formula>
    </cfRule>
    <cfRule type="containsText" dxfId="28692" priority="426" operator="containsText" text="CMS">
      <formula>NOT(ISERROR(SEARCH("CMS",O53)))</formula>
    </cfRule>
    <cfRule type="cellIs" dxfId="28691" priority="427" operator="equal">
      <formula>0</formula>
    </cfRule>
    <cfRule type="cellIs" dxfId="28690" priority="428" operator="greaterThan">
      <formula>0</formula>
    </cfRule>
  </conditionalFormatting>
  <conditionalFormatting sqref="G24:I24 G35:I35 G73:J73">
    <cfRule type="cellIs" dxfId="28689" priority="417" operator="equal">
      <formula>"PMS"</formula>
    </cfRule>
    <cfRule type="containsText" dxfId="28688" priority="418" operator="containsText" text="CMS">
      <formula>NOT(ISERROR(SEARCH("CMS",G24)))</formula>
    </cfRule>
    <cfRule type="cellIs" dxfId="28687" priority="419" operator="equal">
      <formula>0</formula>
    </cfRule>
    <cfRule type="cellIs" dxfId="28686" priority="420" operator="greaterThan">
      <formula>0</formula>
    </cfRule>
    <cfRule type="cellIs" dxfId="28685" priority="421" operator="equal">
      <formula>"PMS"</formula>
    </cfRule>
    <cfRule type="containsText" dxfId="28684" priority="422" operator="containsText" text="CMS">
      <formula>NOT(ISERROR(SEARCH("CMS",G24)))</formula>
    </cfRule>
    <cfRule type="cellIs" dxfId="28683" priority="423" operator="equal">
      <formula>0</formula>
    </cfRule>
    <cfRule type="cellIs" dxfId="28682" priority="424" operator="greaterThan">
      <formula>0</formula>
    </cfRule>
  </conditionalFormatting>
  <conditionalFormatting sqref="G73:J73">
    <cfRule type="cellIs" dxfId="28681" priority="413" operator="equal">
      <formula>"PMS"</formula>
    </cfRule>
    <cfRule type="containsText" dxfId="28680" priority="414" operator="containsText" text="CMS">
      <formula>NOT(ISERROR(SEARCH("CMS",G73)))</formula>
    </cfRule>
    <cfRule type="cellIs" dxfId="28679" priority="415" operator="equal">
      <formula>0</formula>
    </cfRule>
    <cfRule type="cellIs" dxfId="28678" priority="416" operator="greaterThan">
      <formula>0</formula>
    </cfRule>
  </conditionalFormatting>
  <conditionalFormatting sqref="G73:J73">
    <cfRule type="cellIs" dxfId="28677" priority="409" operator="equal">
      <formula>"PMS"</formula>
    </cfRule>
    <cfRule type="containsText" dxfId="28676" priority="410" operator="containsText" text="CMS">
      <formula>NOT(ISERROR(SEARCH("CMS",G73)))</formula>
    </cfRule>
    <cfRule type="cellIs" dxfId="28675" priority="411" operator="equal">
      <formula>0</formula>
    </cfRule>
    <cfRule type="cellIs" dxfId="28674" priority="412" operator="greaterThan">
      <formula>0</formula>
    </cfRule>
  </conditionalFormatting>
  <conditionalFormatting sqref="G24:I24">
    <cfRule type="cellIs" dxfId="28673" priority="405" operator="equal">
      <formula>"PMS"</formula>
    </cfRule>
    <cfRule type="containsText" dxfId="28672" priority="406" operator="containsText" text="CMS">
      <formula>NOT(ISERROR(SEARCH("CMS",G24)))</formula>
    </cfRule>
    <cfRule type="cellIs" dxfId="28671" priority="407" operator="equal">
      <formula>0</formula>
    </cfRule>
    <cfRule type="cellIs" dxfId="28670" priority="408" operator="greaterThan">
      <formula>0</formula>
    </cfRule>
  </conditionalFormatting>
  <conditionalFormatting sqref="G24:I24">
    <cfRule type="cellIs" dxfId="28669" priority="401" operator="equal">
      <formula>"PMS"</formula>
    </cfRule>
    <cfRule type="containsText" dxfId="28668" priority="402" operator="containsText" text="CMS">
      <formula>NOT(ISERROR(SEARCH("CMS",G24)))</formula>
    </cfRule>
    <cfRule type="cellIs" dxfId="28667" priority="403" operator="equal">
      <formula>0</formula>
    </cfRule>
    <cfRule type="cellIs" dxfId="28666" priority="404" operator="greaterThan">
      <formula>0</formula>
    </cfRule>
  </conditionalFormatting>
  <conditionalFormatting sqref="G35:I35">
    <cfRule type="cellIs" dxfId="28665" priority="397" operator="equal">
      <formula>"PMS"</formula>
    </cfRule>
    <cfRule type="containsText" dxfId="28664" priority="398" operator="containsText" text="CMS">
      <formula>NOT(ISERROR(SEARCH("CMS",G35)))</formula>
    </cfRule>
    <cfRule type="cellIs" dxfId="28663" priority="399" operator="equal">
      <formula>0</formula>
    </cfRule>
    <cfRule type="cellIs" dxfId="28662" priority="400" operator="greaterThan">
      <formula>0</formula>
    </cfRule>
  </conditionalFormatting>
  <conditionalFormatting sqref="G35:I35">
    <cfRule type="cellIs" dxfId="28661" priority="393" operator="equal">
      <formula>"PMS"</formula>
    </cfRule>
    <cfRule type="containsText" dxfId="28660" priority="394" operator="containsText" text="CMS">
      <formula>NOT(ISERROR(SEARCH("CMS",G35)))</formula>
    </cfRule>
    <cfRule type="cellIs" dxfId="28659" priority="395" operator="equal">
      <formula>0</formula>
    </cfRule>
    <cfRule type="cellIs" dxfId="28658" priority="396" operator="greaterThan">
      <formula>0</formula>
    </cfRule>
  </conditionalFormatting>
  <conditionalFormatting sqref="G19:I19">
    <cfRule type="cellIs" dxfId="28657" priority="385" operator="equal">
      <formula>"PMS"</formula>
    </cfRule>
    <cfRule type="containsText" dxfId="28656" priority="386" operator="containsText" text="CMS">
      <formula>NOT(ISERROR(SEARCH("CMS",G19)))</formula>
    </cfRule>
    <cfRule type="cellIs" dxfId="28655" priority="387" operator="equal">
      <formula>0</formula>
    </cfRule>
    <cfRule type="cellIs" dxfId="28654" priority="388" operator="greaterThan">
      <formula>0</formula>
    </cfRule>
    <cfRule type="cellIs" dxfId="28653" priority="389" operator="equal">
      <formula>"PMS"</formula>
    </cfRule>
    <cfRule type="containsText" dxfId="28652" priority="390" operator="containsText" text="CMS">
      <formula>NOT(ISERROR(SEARCH("CMS",G19)))</formula>
    </cfRule>
    <cfRule type="cellIs" dxfId="28651" priority="391" operator="equal">
      <formula>0</formula>
    </cfRule>
    <cfRule type="cellIs" dxfId="28650" priority="392" operator="greaterThan">
      <formula>0</formula>
    </cfRule>
  </conditionalFormatting>
  <conditionalFormatting sqref="G19:I19">
    <cfRule type="cellIs" dxfId="28649" priority="381" operator="equal">
      <formula>"PMS"</formula>
    </cfRule>
    <cfRule type="containsText" dxfId="28648" priority="382" operator="containsText" text="CMS">
      <formula>NOT(ISERROR(SEARCH("CMS",G19)))</formula>
    </cfRule>
    <cfRule type="cellIs" dxfId="28647" priority="383" operator="equal">
      <formula>0</formula>
    </cfRule>
    <cfRule type="cellIs" dxfId="28646" priority="384" operator="greaterThan">
      <formula>0</formula>
    </cfRule>
  </conditionalFormatting>
  <conditionalFormatting sqref="G19:I19">
    <cfRule type="cellIs" dxfId="28645" priority="377" operator="equal">
      <formula>"PMS"</formula>
    </cfRule>
    <cfRule type="containsText" dxfId="28644" priority="378" operator="containsText" text="CMS">
      <formula>NOT(ISERROR(SEARCH("CMS",G19)))</formula>
    </cfRule>
    <cfRule type="cellIs" dxfId="28643" priority="379" operator="equal">
      <formula>0</formula>
    </cfRule>
    <cfRule type="cellIs" dxfId="28642" priority="380" operator="greaterThan">
      <formula>0</formula>
    </cfRule>
  </conditionalFormatting>
  <conditionalFormatting sqref="O55">
    <cfRule type="cellIs" dxfId="28641" priority="373" operator="equal">
      <formula>"PMS"</formula>
    </cfRule>
    <cfRule type="containsText" dxfId="28640" priority="374" operator="containsText" text="CMS">
      <formula>NOT(ISERROR(SEARCH("CMS",O55)))</formula>
    </cfRule>
    <cfRule type="cellIs" dxfId="28639" priority="375" operator="equal">
      <formula>0</formula>
    </cfRule>
    <cfRule type="cellIs" dxfId="28638" priority="376" operator="greaterThan">
      <formula>0</formula>
    </cfRule>
  </conditionalFormatting>
  <conditionalFormatting sqref="K62:K63">
    <cfRule type="cellIs" dxfId="28637" priority="249" operator="equal">
      <formula>"PMS"</formula>
    </cfRule>
    <cfRule type="containsText" dxfId="28636" priority="250" operator="containsText" text="CMS">
      <formula>NOT(ISERROR(SEARCH("CMS",K62)))</formula>
    </cfRule>
    <cfRule type="cellIs" dxfId="28635" priority="251" operator="equal">
      <formula>0</formula>
    </cfRule>
    <cfRule type="cellIs" dxfId="28634" priority="252" operator="greaterThan">
      <formula>0</formula>
    </cfRule>
    <cfRule type="cellIs" dxfId="28633" priority="253" operator="equal">
      <formula>"PMS"</formula>
    </cfRule>
    <cfRule type="containsText" dxfId="28632" priority="254" operator="containsText" text="CMS">
      <formula>NOT(ISERROR(SEARCH("CMS",K62)))</formula>
    </cfRule>
    <cfRule type="cellIs" dxfId="28631" priority="255" operator="equal">
      <formula>0</formula>
    </cfRule>
    <cfRule type="cellIs" dxfId="28630" priority="256" operator="greaterThan">
      <formula>0</formula>
    </cfRule>
  </conditionalFormatting>
  <conditionalFormatting sqref="O47:P47">
    <cfRule type="cellIs" dxfId="28629" priority="245" operator="equal">
      <formula>"PMS"</formula>
    </cfRule>
    <cfRule type="containsText" dxfId="28628" priority="246" operator="containsText" text="CMS">
      <formula>NOT(ISERROR(SEARCH("CMS",O47)))</formula>
    </cfRule>
    <cfRule type="cellIs" dxfId="28627" priority="247" operator="equal">
      <formula>0</formula>
    </cfRule>
    <cfRule type="cellIs" dxfId="28626" priority="248" operator="greaterThan">
      <formula>0</formula>
    </cfRule>
  </conditionalFormatting>
  <conditionalFormatting sqref="O16:P16">
    <cfRule type="cellIs" dxfId="28625" priority="241" operator="equal">
      <formula>"PMS"</formula>
    </cfRule>
    <cfRule type="containsText" dxfId="28624" priority="242" operator="containsText" text="CMS">
      <formula>NOT(ISERROR(SEARCH("CMS",O16)))</formula>
    </cfRule>
    <cfRule type="cellIs" dxfId="28623" priority="243" operator="equal">
      <formula>0</formula>
    </cfRule>
    <cfRule type="cellIs" dxfId="28622" priority="244" operator="greaterThan">
      <formula>0</formula>
    </cfRule>
  </conditionalFormatting>
  <conditionalFormatting sqref="P57">
    <cfRule type="cellIs" dxfId="28621" priority="237" operator="equal">
      <formula>"PMS"</formula>
    </cfRule>
    <cfRule type="containsText" dxfId="28620" priority="238" operator="containsText" text="CMS">
      <formula>NOT(ISERROR(SEARCH("CMS",P57)))</formula>
    </cfRule>
    <cfRule type="cellIs" dxfId="28619" priority="239" operator="equal">
      <formula>0</formula>
    </cfRule>
    <cfRule type="cellIs" dxfId="28618" priority="240" operator="greaterThan">
      <formula>0</formula>
    </cfRule>
  </conditionalFormatting>
  <conditionalFormatting sqref="P57">
    <cfRule type="cellIs" dxfId="28617" priority="233" operator="equal">
      <formula>"PMS"</formula>
    </cfRule>
    <cfRule type="containsText" dxfId="28616" priority="234" operator="containsText" text="CMS">
      <formula>NOT(ISERROR(SEARCH("CMS",P57)))</formula>
    </cfRule>
    <cfRule type="cellIs" dxfId="28615" priority="235" operator="equal">
      <formula>0</formula>
    </cfRule>
    <cfRule type="cellIs" dxfId="28614" priority="236" operator="greaterThan">
      <formula>0</formula>
    </cfRule>
  </conditionalFormatting>
  <conditionalFormatting sqref="P57">
    <cfRule type="cellIs" dxfId="28613" priority="229" operator="equal">
      <formula>"PMS"</formula>
    </cfRule>
    <cfRule type="containsText" dxfId="28612" priority="230" operator="containsText" text="CMS">
      <formula>NOT(ISERROR(SEARCH("CMS",P57)))</formula>
    </cfRule>
    <cfRule type="cellIs" dxfId="28611" priority="231" operator="equal">
      <formula>0</formula>
    </cfRule>
    <cfRule type="cellIs" dxfId="28610" priority="232" operator="greaterThan">
      <formula>0</formula>
    </cfRule>
  </conditionalFormatting>
  <conditionalFormatting sqref="P57:P58">
    <cfRule type="cellIs" dxfId="28609" priority="225" operator="equal">
      <formula>"PMS"</formula>
    </cfRule>
    <cfRule type="containsText" dxfId="28608" priority="226" operator="containsText" text="CMS">
      <formula>NOT(ISERROR(SEARCH("CMS",P57)))</formula>
    </cfRule>
    <cfRule type="cellIs" dxfId="28607" priority="227" operator="equal">
      <formula>0</formula>
    </cfRule>
    <cfRule type="cellIs" dxfId="28606" priority="228" operator="greaterThan">
      <formula>0</formula>
    </cfRule>
  </conditionalFormatting>
  <conditionalFormatting sqref="AB24">
    <cfRule type="cellIs" dxfId="28605" priority="221" operator="equal">
      <formula>"PMS"</formula>
    </cfRule>
    <cfRule type="containsText" dxfId="28604" priority="222" operator="containsText" text="CMS">
      <formula>NOT(ISERROR(SEARCH("CMS",AB24)))</formula>
    </cfRule>
    <cfRule type="cellIs" dxfId="28603" priority="223" operator="equal">
      <formula>0</formula>
    </cfRule>
    <cfRule type="cellIs" dxfId="28602" priority="224" operator="greaterThan">
      <formula>0</formula>
    </cfRule>
  </conditionalFormatting>
  <conditionalFormatting sqref="AB24">
    <cfRule type="cellIs" dxfId="28601" priority="217" operator="equal">
      <formula>"PMS"</formula>
    </cfRule>
    <cfRule type="containsText" dxfId="28600" priority="218" operator="containsText" text="CMS">
      <formula>NOT(ISERROR(SEARCH("CMS",AB24)))</formula>
    </cfRule>
    <cfRule type="cellIs" dxfId="28599" priority="219" operator="equal">
      <formula>0</formula>
    </cfRule>
    <cfRule type="cellIs" dxfId="28598" priority="220" operator="greaterThan">
      <formula>0</formula>
    </cfRule>
  </conditionalFormatting>
  <conditionalFormatting sqref="F13 F15:F16">
    <cfRule type="cellIs" dxfId="28597" priority="209" operator="equal">
      <formula>"PMS"</formula>
    </cfRule>
    <cfRule type="containsText" dxfId="28596" priority="210" operator="containsText" text="CMS">
      <formula>NOT(ISERROR(SEARCH("CMS",F13)))</formula>
    </cfRule>
    <cfRule type="cellIs" dxfId="28595" priority="211" operator="equal">
      <formula>0</formula>
    </cfRule>
    <cfRule type="cellIs" dxfId="28594" priority="212" operator="greaterThan">
      <formula>0</formula>
    </cfRule>
    <cfRule type="cellIs" dxfId="28593" priority="213" operator="equal">
      <formula>"PMS"</formula>
    </cfRule>
    <cfRule type="containsText" dxfId="28592" priority="214" operator="containsText" text="CMS">
      <formula>NOT(ISERROR(SEARCH("CMS",F13)))</formula>
    </cfRule>
    <cfRule type="cellIs" dxfId="28591" priority="215" operator="equal">
      <formula>0</formula>
    </cfRule>
    <cfRule type="cellIs" dxfId="28590" priority="216" operator="greaterThan">
      <formula>0</formula>
    </cfRule>
  </conditionalFormatting>
  <conditionalFormatting sqref="F13 F15:F16">
    <cfRule type="cellIs" dxfId="28589" priority="205" operator="equal">
      <formula>"PMS"</formula>
    </cfRule>
    <cfRule type="containsText" dxfId="28588" priority="206" operator="containsText" text="CMS">
      <formula>NOT(ISERROR(SEARCH("CMS",F13)))</formula>
    </cfRule>
    <cfRule type="cellIs" dxfId="28587" priority="207" operator="equal">
      <formula>0</formula>
    </cfRule>
    <cfRule type="cellIs" dxfId="28586" priority="208" operator="greaterThan">
      <formula>0</formula>
    </cfRule>
  </conditionalFormatting>
  <conditionalFormatting sqref="F13 F15:F16">
    <cfRule type="cellIs" dxfId="28585" priority="201" operator="equal">
      <formula>"PMS"</formula>
    </cfRule>
    <cfRule type="containsText" dxfId="28584" priority="202" operator="containsText" text="CMS">
      <formula>NOT(ISERROR(SEARCH("CMS",F13)))</formula>
    </cfRule>
    <cfRule type="cellIs" dxfId="28583" priority="203" operator="equal">
      <formula>0</formula>
    </cfRule>
    <cfRule type="cellIs" dxfId="28582" priority="204" operator="greaterThan">
      <formula>0</formula>
    </cfRule>
  </conditionalFormatting>
  <conditionalFormatting sqref="F13">
    <cfRule type="cellIs" dxfId="28581" priority="197" operator="equal">
      <formula>"PMS"</formula>
    </cfRule>
    <cfRule type="containsText" dxfId="28580" priority="198" operator="containsText" text="CMS">
      <formula>NOT(ISERROR(SEARCH("CMS",F13)))</formula>
    </cfRule>
    <cfRule type="cellIs" dxfId="28579" priority="199" operator="equal">
      <formula>0</formula>
    </cfRule>
    <cfRule type="cellIs" dxfId="28578" priority="200" operator="greaterThan">
      <formula>0</formula>
    </cfRule>
  </conditionalFormatting>
  <conditionalFormatting sqref="F13">
    <cfRule type="cellIs" dxfId="28577" priority="193" operator="equal">
      <formula>"PMS"</formula>
    </cfRule>
    <cfRule type="containsText" dxfId="28576" priority="194" operator="containsText" text="CMS">
      <formula>NOT(ISERROR(SEARCH("CMS",F13)))</formula>
    </cfRule>
    <cfRule type="cellIs" dxfId="28575" priority="195" operator="equal">
      <formula>0</formula>
    </cfRule>
    <cfRule type="cellIs" dxfId="28574" priority="196" operator="greaterThan">
      <formula>0</formula>
    </cfRule>
  </conditionalFormatting>
  <conditionalFormatting sqref="F20:F21">
    <cfRule type="cellIs" dxfId="28573" priority="185" operator="equal">
      <formula>"PMS"</formula>
    </cfRule>
    <cfRule type="containsText" dxfId="28572" priority="186" operator="containsText" text="CMS">
      <formula>NOT(ISERROR(SEARCH("CMS",F20)))</formula>
    </cfRule>
    <cfRule type="cellIs" dxfId="28571" priority="187" operator="equal">
      <formula>0</formula>
    </cfRule>
    <cfRule type="cellIs" dxfId="28570" priority="188" operator="greaterThan">
      <formula>0</formula>
    </cfRule>
    <cfRule type="cellIs" dxfId="28569" priority="189" operator="equal">
      <formula>"PMS"</formula>
    </cfRule>
    <cfRule type="containsText" dxfId="28568" priority="190" operator="containsText" text="CMS">
      <formula>NOT(ISERROR(SEARCH("CMS",F20)))</formula>
    </cfRule>
    <cfRule type="cellIs" dxfId="28567" priority="191" operator="equal">
      <formula>0</formula>
    </cfRule>
    <cfRule type="cellIs" dxfId="28566" priority="192" operator="greaterThan">
      <formula>0</formula>
    </cfRule>
  </conditionalFormatting>
  <conditionalFormatting sqref="F20:F21">
    <cfRule type="cellIs" dxfId="28565" priority="181" operator="equal">
      <formula>"PMS"</formula>
    </cfRule>
    <cfRule type="containsText" dxfId="28564" priority="182" operator="containsText" text="CMS">
      <formula>NOT(ISERROR(SEARCH("CMS",F20)))</formula>
    </cfRule>
    <cfRule type="cellIs" dxfId="28563" priority="183" operator="equal">
      <formula>0</formula>
    </cfRule>
    <cfRule type="cellIs" dxfId="28562" priority="184" operator="greaterThan">
      <formula>0</formula>
    </cfRule>
  </conditionalFormatting>
  <conditionalFormatting sqref="F20:F21">
    <cfRule type="cellIs" dxfId="28561" priority="177" operator="equal">
      <formula>"PMS"</formula>
    </cfRule>
    <cfRule type="containsText" dxfId="28560" priority="178" operator="containsText" text="CMS">
      <formula>NOT(ISERROR(SEARCH("CMS",F20)))</formula>
    </cfRule>
    <cfRule type="cellIs" dxfId="28559" priority="179" operator="equal">
      <formula>0</formula>
    </cfRule>
    <cfRule type="cellIs" dxfId="28558" priority="180" operator="greaterThan">
      <formula>0</formula>
    </cfRule>
  </conditionalFormatting>
  <conditionalFormatting sqref="F19">
    <cfRule type="cellIs" dxfId="28557" priority="173" operator="equal">
      <formula>"CMS"</formula>
    </cfRule>
    <cfRule type="cellIs" dxfId="28556" priority="174" operator="equal">
      <formula>"PMS"</formula>
    </cfRule>
    <cfRule type="cellIs" dxfId="28555" priority="175" operator="greaterThan">
      <formula>0</formula>
    </cfRule>
    <cfRule type="cellIs" dxfId="28554" priority="176" operator="equal">
      <formula>0</formula>
    </cfRule>
  </conditionalFormatting>
  <conditionalFormatting sqref="F24">
    <cfRule type="cellIs" dxfId="28553" priority="165" operator="equal">
      <formula>"PMS"</formula>
    </cfRule>
    <cfRule type="containsText" dxfId="28552" priority="166" operator="containsText" text="CMS">
      <formula>NOT(ISERROR(SEARCH("CMS",F24)))</formula>
    </cfRule>
    <cfRule type="cellIs" dxfId="28551" priority="167" operator="equal">
      <formula>0</formula>
    </cfRule>
    <cfRule type="cellIs" dxfId="28550" priority="168" operator="greaterThan">
      <formula>0</formula>
    </cfRule>
    <cfRule type="cellIs" dxfId="28549" priority="169" operator="equal">
      <formula>"PMS"</formula>
    </cfRule>
    <cfRule type="containsText" dxfId="28548" priority="170" operator="containsText" text="CMS">
      <formula>NOT(ISERROR(SEARCH("CMS",F24)))</formula>
    </cfRule>
    <cfRule type="cellIs" dxfId="28547" priority="171" operator="equal">
      <formula>0</formula>
    </cfRule>
    <cfRule type="cellIs" dxfId="28546" priority="172" operator="greaterThan">
      <formula>0</formula>
    </cfRule>
  </conditionalFormatting>
  <conditionalFormatting sqref="F24">
    <cfRule type="cellIs" dxfId="28545" priority="161" operator="equal">
      <formula>"PMS"</formula>
    </cfRule>
    <cfRule type="containsText" dxfId="28544" priority="162" operator="containsText" text="CMS">
      <formula>NOT(ISERROR(SEARCH("CMS",F24)))</formula>
    </cfRule>
    <cfRule type="cellIs" dxfId="28543" priority="163" operator="equal">
      <formula>0</formula>
    </cfRule>
    <cfRule type="cellIs" dxfId="28542" priority="164" operator="greaterThan">
      <formula>0</formula>
    </cfRule>
  </conditionalFormatting>
  <conditionalFormatting sqref="F24">
    <cfRule type="cellIs" dxfId="28541" priority="157" operator="equal">
      <formula>"PMS"</formula>
    </cfRule>
    <cfRule type="containsText" dxfId="28540" priority="158" operator="containsText" text="CMS">
      <formula>NOT(ISERROR(SEARCH("CMS",F24)))</formula>
    </cfRule>
    <cfRule type="cellIs" dxfId="28539" priority="159" operator="equal">
      <formula>0</formula>
    </cfRule>
    <cfRule type="cellIs" dxfId="28538" priority="160" operator="greaterThan">
      <formula>0</formula>
    </cfRule>
  </conditionalFormatting>
  <conditionalFormatting sqref="F27:F29 I29 L29 O29 R29 U29 AA29 X29:Y29">
    <cfRule type="cellIs" dxfId="28537" priority="149" operator="equal">
      <formula>"PMS"</formula>
    </cfRule>
    <cfRule type="containsText" dxfId="28536" priority="150" operator="containsText" text="CMS">
      <formula>NOT(ISERROR(SEARCH("CMS",F27)))</formula>
    </cfRule>
    <cfRule type="cellIs" dxfId="28535" priority="151" operator="equal">
      <formula>0</formula>
    </cfRule>
    <cfRule type="cellIs" dxfId="28534" priority="152" operator="greaterThan">
      <formula>0</formula>
    </cfRule>
    <cfRule type="cellIs" dxfId="28533" priority="153" operator="equal">
      <formula>"PMS"</formula>
    </cfRule>
    <cfRule type="containsText" dxfId="28532" priority="154" operator="containsText" text="CMS">
      <formula>NOT(ISERROR(SEARCH("CMS",F27)))</formula>
    </cfRule>
    <cfRule type="cellIs" dxfId="28531" priority="155" operator="equal">
      <formula>0</formula>
    </cfRule>
    <cfRule type="cellIs" dxfId="28530" priority="156" operator="greaterThan">
      <formula>0</formula>
    </cfRule>
  </conditionalFormatting>
  <conditionalFormatting sqref="F27:F29 I29 L29 O29 R29 U29 AA29 X29:Y29">
    <cfRule type="cellIs" dxfId="28529" priority="145" operator="equal">
      <formula>"PMS"</formula>
    </cfRule>
    <cfRule type="containsText" dxfId="28528" priority="146" operator="containsText" text="CMS">
      <formula>NOT(ISERROR(SEARCH("CMS",F27)))</formula>
    </cfRule>
    <cfRule type="cellIs" dxfId="28527" priority="147" operator="equal">
      <formula>0</formula>
    </cfRule>
    <cfRule type="cellIs" dxfId="28526" priority="148" operator="greaterThan">
      <formula>0</formula>
    </cfRule>
  </conditionalFormatting>
  <conditionalFormatting sqref="F27:F29 I29 L29 O29 R29 U29 AA29 X29:Y29">
    <cfRule type="cellIs" dxfId="28525" priority="141" operator="equal">
      <formula>"PMS"</formula>
    </cfRule>
    <cfRule type="containsText" dxfId="28524" priority="142" operator="containsText" text="CMS">
      <formula>NOT(ISERROR(SEARCH("CMS",F27)))</formula>
    </cfRule>
    <cfRule type="cellIs" dxfId="28523" priority="143" operator="equal">
      <formula>0</formula>
    </cfRule>
    <cfRule type="cellIs" dxfId="28522" priority="144" operator="greaterThan">
      <formula>0</formula>
    </cfRule>
  </conditionalFormatting>
  <conditionalFormatting sqref="F32">
    <cfRule type="cellIs" dxfId="28521" priority="133" operator="equal">
      <formula>"PMS"</formula>
    </cfRule>
    <cfRule type="containsText" dxfId="28520" priority="134" operator="containsText" text="CMS">
      <formula>NOT(ISERROR(SEARCH("CMS",F32)))</formula>
    </cfRule>
    <cfRule type="cellIs" dxfId="28519" priority="135" operator="equal">
      <formula>0</formula>
    </cfRule>
    <cfRule type="cellIs" dxfId="28518" priority="136" operator="greaterThan">
      <formula>0</formula>
    </cfRule>
    <cfRule type="cellIs" dxfId="28517" priority="137" operator="equal">
      <formula>"PMS"</formula>
    </cfRule>
    <cfRule type="containsText" dxfId="28516" priority="138" operator="containsText" text="CMS">
      <formula>NOT(ISERROR(SEARCH("CMS",F32)))</formula>
    </cfRule>
    <cfRule type="cellIs" dxfId="28515" priority="139" operator="equal">
      <formula>0</formula>
    </cfRule>
    <cfRule type="cellIs" dxfId="28514" priority="140" operator="greaterThan">
      <formula>0</formula>
    </cfRule>
  </conditionalFormatting>
  <conditionalFormatting sqref="F32">
    <cfRule type="cellIs" dxfId="28513" priority="129" operator="equal">
      <formula>"PMS"</formula>
    </cfRule>
    <cfRule type="containsText" dxfId="28512" priority="130" operator="containsText" text="CMS">
      <formula>NOT(ISERROR(SEARCH("CMS",F32)))</formula>
    </cfRule>
    <cfRule type="cellIs" dxfId="28511" priority="131" operator="equal">
      <formula>0</formula>
    </cfRule>
    <cfRule type="cellIs" dxfId="28510" priority="132" operator="greaterThan">
      <formula>0</formula>
    </cfRule>
  </conditionalFormatting>
  <conditionalFormatting sqref="F32">
    <cfRule type="cellIs" dxfId="28509" priority="125" operator="equal">
      <formula>"PMS"</formula>
    </cfRule>
    <cfRule type="containsText" dxfId="28508" priority="126" operator="containsText" text="CMS">
      <formula>NOT(ISERROR(SEARCH("CMS",F32)))</formula>
    </cfRule>
    <cfRule type="cellIs" dxfId="28507" priority="127" operator="equal">
      <formula>0</formula>
    </cfRule>
    <cfRule type="cellIs" dxfId="28506" priority="128" operator="greaterThan">
      <formula>0</formula>
    </cfRule>
  </conditionalFormatting>
  <conditionalFormatting sqref="F35:F58">
    <cfRule type="cellIs" dxfId="28505" priority="117" operator="equal">
      <formula>"PMS"</formula>
    </cfRule>
    <cfRule type="containsText" dxfId="28504" priority="118" operator="containsText" text="CMS">
      <formula>NOT(ISERROR(SEARCH("CMS",F35)))</formula>
    </cfRule>
    <cfRule type="cellIs" dxfId="28503" priority="119" operator="equal">
      <formula>0</formula>
    </cfRule>
    <cfRule type="cellIs" dxfId="28502" priority="120" operator="greaterThan">
      <formula>0</formula>
    </cfRule>
    <cfRule type="cellIs" dxfId="28501" priority="121" operator="equal">
      <formula>"PMS"</formula>
    </cfRule>
    <cfRule type="containsText" dxfId="28500" priority="122" operator="containsText" text="CMS">
      <formula>NOT(ISERROR(SEARCH("CMS",F35)))</formula>
    </cfRule>
    <cfRule type="cellIs" dxfId="28499" priority="123" operator="equal">
      <formula>0</formula>
    </cfRule>
    <cfRule type="cellIs" dxfId="28498" priority="124" operator="greaterThan">
      <formula>0</formula>
    </cfRule>
  </conditionalFormatting>
  <conditionalFormatting sqref="F35:F58">
    <cfRule type="cellIs" dxfId="28497" priority="113" operator="equal">
      <formula>"PMS"</formula>
    </cfRule>
    <cfRule type="containsText" dxfId="28496" priority="114" operator="containsText" text="CMS">
      <formula>NOT(ISERROR(SEARCH("CMS",F35)))</formula>
    </cfRule>
    <cfRule type="cellIs" dxfId="28495" priority="115" operator="equal">
      <formula>0</formula>
    </cfRule>
    <cfRule type="cellIs" dxfId="28494" priority="116" operator="greaterThan">
      <formula>0</formula>
    </cfRule>
  </conditionalFormatting>
  <conditionalFormatting sqref="F35:F58">
    <cfRule type="cellIs" dxfId="28493" priority="109" operator="equal">
      <formula>"PMS"</formula>
    </cfRule>
    <cfRule type="containsText" dxfId="28492" priority="110" operator="containsText" text="CMS">
      <formula>NOT(ISERROR(SEARCH("CMS",F35)))</formula>
    </cfRule>
    <cfRule type="cellIs" dxfId="28491" priority="111" operator="equal">
      <formula>0</formula>
    </cfRule>
    <cfRule type="cellIs" dxfId="28490" priority="112" operator="greaterThan">
      <formula>0</formula>
    </cfRule>
  </conditionalFormatting>
  <conditionalFormatting sqref="F57">
    <cfRule type="cellIs" dxfId="28489" priority="105" operator="equal">
      <formula>"PMS"</formula>
    </cfRule>
    <cfRule type="containsText" dxfId="28488" priority="106" operator="containsText" text="CMS">
      <formula>NOT(ISERROR(SEARCH("CMS",F57)))</formula>
    </cfRule>
    <cfRule type="cellIs" dxfId="28487" priority="107" operator="equal">
      <formula>0</formula>
    </cfRule>
    <cfRule type="cellIs" dxfId="28486" priority="108" operator="greaterThan">
      <formula>0</formula>
    </cfRule>
  </conditionalFormatting>
  <conditionalFormatting sqref="F57">
    <cfRule type="cellIs" dxfId="28485" priority="101" operator="equal">
      <formula>"PMS"</formula>
    </cfRule>
    <cfRule type="containsText" dxfId="28484" priority="102" operator="containsText" text="CMS">
      <formula>NOT(ISERROR(SEARCH("CMS",F57)))</formula>
    </cfRule>
    <cfRule type="cellIs" dxfId="28483" priority="103" operator="equal">
      <formula>0</formula>
    </cfRule>
    <cfRule type="cellIs" dxfId="28482" priority="104" operator="greaterThan">
      <formula>0</formula>
    </cfRule>
  </conditionalFormatting>
  <conditionalFormatting sqref="F57">
    <cfRule type="cellIs" dxfId="28481" priority="97" operator="equal">
      <formula>"PMS"</formula>
    </cfRule>
    <cfRule type="containsText" dxfId="28480" priority="98" operator="containsText" text="CMS">
      <formula>NOT(ISERROR(SEARCH("CMS",F57)))</formula>
    </cfRule>
    <cfRule type="cellIs" dxfId="28479" priority="99" operator="equal">
      <formula>0</formula>
    </cfRule>
    <cfRule type="cellIs" dxfId="28478" priority="100" operator="greaterThan">
      <formula>0</formula>
    </cfRule>
  </conditionalFormatting>
  <conditionalFormatting sqref="F57">
    <cfRule type="cellIs" dxfId="28477" priority="93" operator="equal">
      <formula>"PMS"</formula>
    </cfRule>
    <cfRule type="containsText" dxfId="28476" priority="94" operator="containsText" text="CMS">
      <formula>NOT(ISERROR(SEARCH("CMS",F57)))</formula>
    </cfRule>
    <cfRule type="cellIs" dxfId="28475" priority="95" operator="equal">
      <formula>0</formula>
    </cfRule>
    <cfRule type="cellIs" dxfId="28474" priority="96" operator="greaterThan">
      <formula>0</formula>
    </cfRule>
  </conditionalFormatting>
  <conditionalFormatting sqref="F58">
    <cfRule type="cellIs" dxfId="28473" priority="89" operator="equal">
      <formula>"PMS"</formula>
    </cfRule>
    <cfRule type="containsText" dxfId="28472" priority="90" operator="containsText" text="CMS">
      <formula>NOT(ISERROR(SEARCH("CMS",F58)))</formula>
    </cfRule>
    <cfRule type="cellIs" dxfId="28471" priority="91" operator="equal">
      <formula>0</formula>
    </cfRule>
    <cfRule type="cellIs" dxfId="28470" priority="92" operator="greaterThan">
      <formula>0</formula>
    </cfRule>
  </conditionalFormatting>
  <conditionalFormatting sqref="F58">
    <cfRule type="cellIs" dxfId="28469" priority="85" operator="equal">
      <formula>"PMS"</formula>
    </cfRule>
    <cfRule type="containsText" dxfId="28468" priority="86" operator="containsText" text="CMS">
      <formula>NOT(ISERROR(SEARCH("CMS",F58)))</formula>
    </cfRule>
    <cfRule type="cellIs" dxfId="28467" priority="87" operator="equal">
      <formula>0</formula>
    </cfRule>
    <cfRule type="cellIs" dxfId="28466" priority="88" operator="greaterThan">
      <formula>0</formula>
    </cfRule>
  </conditionalFormatting>
  <conditionalFormatting sqref="F58">
    <cfRule type="cellIs" dxfId="28465" priority="81" operator="equal">
      <formula>"PMS"</formula>
    </cfRule>
    <cfRule type="containsText" dxfId="28464" priority="82" operator="containsText" text="CMS">
      <formula>NOT(ISERROR(SEARCH("CMS",F58)))</formula>
    </cfRule>
    <cfRule type="cellIs" dxfId="28463" priority="83" operator="equal">
      <formula>0</formula>
    </cfRule>
    <cfRule type="cellIs" dxfId="28462" priority="84" operator="greaterThan">
      <formula>0</formula>
    </cfRule>
  </conditionalFormatting>
  <conditionalFormatting sqref="F58">
    <cfRule type="cellIs" dxfId="28461" priority="77" operator="equal">
      <formula>"PMS"</formula>
    </cfRule>
    <cfRule type="containsText" dxfId="28460" priority="78" operator="containsText" text="CMS">
      <formula>NOT(ISERROR(SEARCH("CMS",F58)))</formula>
    </cfRule>
    <cfRule type="cellIs" dxfId="28459" priority="79" operator="equal">
      <formula>0</formula>
    </cfRule>
    <cfRule type="cellIs" dxfId="28458" priority="80" operator="greaterThan">
      <formula>0</formula>
    </cfRule>
  </conditionalFormatting>
  <conditionalFormatting sqref="F61:F63">
    <cfRule type="cellIs" dxfId="28457" priority="69" operator="equal">
      <formula>"PMS"</formula>
    </cfRule>
    <cfRule type="containsText" dxfId="28456" priority="70" operator="containsText" text="CMS">
      <formula>NOT(ISERROR(SEARCH("CMS",F61)))</formula>
    </cfRule>
    <cfRule type="cellIs" dxfId="28455" priority="71" operator="equal">
      <formula>0</formula>
    </cfRule>
    <cfRule type="cellIs" dxfId="28454" priority="72" operator="greaterThan">
      <formula>0</formula>
    </cfRule>
    <cfRule type="cellIs" dxfId="28453" priority="73" operator="equal">
      <formula>"PMS"</formula>
    </cfRule>
    <cfRule type="containsText" dxfId="28452" priority="74" operator="containsText" text="CMS">
      <formula>NOT(ISERROR(SEARCH("CMS",F61)))</formula>
    </cfRule>
    <cfRule type="cellIs" dxfId="28451" priority="75" operator="equal">
      <formula>0</formula>
    </cfRule>
    <cfRule type="cellIs" dxfId="28450" priority="76" operator="greaterThan">
      <formula>0</formula>
    </cfRule>
  </conditionalFormatting>
  <conditionalFormatting sqref="F61:F63">
    <cfRule type="cellIs" dxfId="28449" priority="65" operator="equal">
      <formula>"PMS"</formula>
    </cfRule>
    <cfRule type="containsText" dxfId="28448" priority="66" operator="containsText" text="CMS">
      <formula>NOT(ISERROR(SEARCH("CMS",F61)))</formula>
    </cfRule>
    <cfRule type="cellIs" dxfId="28447" priority="67" operator="equal">
      <formula>0</formula>
    </cfRule>
    <cfRule type="cellIs" dxfId="28446" priority="68" operator="greaterThan">
      <formula>0</formula>
    </cfRule>
  </conditionalFormatting>
  <conditionalFormatting sqref="F66:F74">
    <cfRule type="cellIs" dxfId="28445" priority="57" operator="equal">
      <formula>"PMS"</formula>
    </cfRule>
    <cfRule type="containsText" dxfId="28444" priority="58" operator="containsText" text="CMS">
      <formula>NOT(ISERROR(SEARCH("CMS",F66)))</formula>
    </cfRule>
    <cfRule type="cellIs" dxfId="28443" priority="59" operator="equal">
      <formula>0</formula>
    </cfRule>
    <cfRule type="cellIs" dxfId="28442" priority="60" operator="greaterThan">
      <formula>0</formula>
    </cfRule>
    <cfRule type="cellIs" dxfId="28441" priority="61" operator="equal">
      <formula>"PMS"</formula>
    </cfRule>
    <cfRule type="containsText" dxfId="28440" priority="62" operator="containsText" text="CMS">
      <formula>NOT(ISERROR(SEARCH("CMS",F66)))</formula>
    </cfRule>
    <cfRule type="cellIs" dxfId="28439" priority="63" operator="equal">
      <formula>0</formula>
    </cfRule>
    <cfRule type="cellIs" dxfId="28438" priority="64" operator="greaterThan">
      <formula>0</formula>
    </cfRule>
  </conditionalFormatting>
  <conditionalFormatting sqref="F66:F74">
    <cfRule type="cellIs" dxfId="28437" priority="53" operator="equal">
      <formula>"PMS"</formula>
    </cfRule>
    <cfRule type="containsText" dxfId="28436" priority="54" operator="containsText" text="CMS">
      <formula>NOT(ISERROR(SEARCH("CMS",F66)))</formula>
    </cfRule>
    <cfRule type="cellIs" dxfId="28435" priority="55" operator="equal">
      <formula>0</formula>
    </cfRule>
    <cfRule type="cellIs" dxfId="28434" priority="56" operator="greaterThan">
      <formula>0</formula>
    </cfRule>
  </conditionalFormatting>
  <conditionalFormatting sqref="F66:F74">
    <cfRule type="cellIs" dxfId="28433" priority="49" operator="equal">
      <formula>"PMS"</formula>
    </cfRule>
    <cfRule type="containsText" dxfId="28432" priority="50" operator="containsText" text="CMS">
      <formula>NOT(ISERROR(SEARCH("CMS",F66)))</formula>
    </cfRule>
    <cfRule type="cellIs" dxfId="28431" priority="51" operator="equal">
      <formula>0</formula>
    </cfRule>
    <cfRule type="cellIs" dxfId="28430" priority="52" operator="greaterThan">
      <formula>0</formula>
    </cfRule>
  </conditionalFormatting>
  <conditionalFormatting sqref="F77:F78">
    <cfRule type="cellIs" dxfId="28429" priority="41" operator="equal">
      <formula>"PMS"</formula>
    </cfRule>
    <cfRule type="containsText" dxfId="28428" priority="42" operator="containsText" text="CMS">
      <formula>NOT(ISERROR(SEARCH("CMS",F77)))</formula>
    </cfRule>
    <cfRule type="cellIs" dxfId="28427" priority="43" operator="equal">
      <formula>0</formula>
    </cfRule>
    <cfRule type="cellIs" dxfId="28426" priority="44" operator="greaterThan">
      <formula>0</formula>
    </cfRule>
    <cfRule type="cellIs" dxfId="28425" priority="45" operator="equal">
      <formula>"PMS"</formula>
    </cfRule>
    <cfRule type="containsText" dxfId="28424" priority="46" operator="containsText" text="CMS">
      <formula>NOT(ISERROR(SEARCH("CMS",F77)))</formula>
    </cfRule>
    <cfRule type="cellIs" dxfId="28423" priority="47" operator="equal">
      <formula>0</formula>
    </cfRule>
    <cfRule type="cellIs" dxfId="28422" priority="48" operator="greaterThan">
      <formula>0</formula>
    </cfRule>
  </conditionalFormatting>
  <conditionalFormatting sqref="F77:F78">
    <cfRule type="cellIs" dxfId="28421" priority="37" operator="equal">
      <formula>"PMS"</formula>
    </cfRule>
    <cfRule type="containsText" dxfId="28420" priority="38" operator="containsText" text="CMS">
      <formula>NOT(ISERROR(SEARCH("CMS",F77)))</formula>
    </cfRule>
    <cfRule type="cellIs" dxfId="28419" priority="39" operator="equal">
      <formula>0</formula>
    </cfRule>
    <cfRule type="cellIs" dxfId="28418" priority="40" operator="greaterThan">
      <formula>0</formula>
    </cfRule>
  </conditionalFormatting>
  <conditionalFormatting sqref="F14">
    <cfRule type="cellIs" dxfId="28417" priority="29" operator="equal">
      <formula>"PMS"</formula>
    </cfRule>
    <cfRule type="containsText" dxfId="28416" priority="30" operator="containsText" text="CMS">
      <formula>NOT(ISERROR(SEARCH("CMS",F14)))</formula>
    </cfRule>
    <cfRule type="cellIs" dxfId="28415" priority="31" operator="equal">
      <formula>0</formula>
    </cfRule>
    <cfRule type="cellIs" dxfId="28414" priority="32" operator="greaterThan">
      <formula>0</formula>
    </cfRule>
    <cfRule type="cellIs" dxfId="28413" priority="33" operator="equal">
      <formula>"PMS"</formula>
    </cfRule>
    <cfRule type="containsText" dxfId="28412" priority="34" operator="containsText" text="CMS">
      <formula>NOT(ISERROR(SEARCH("CMS",F14)))</formula>
    </cfRule>
    <cfRule type="cellIs" dxfId="28411" priority="35" operator="equal">
      <formula>0</formula>
    </cfRule>
    <cfRule type="cellIs" dxfId="28410" priority="36" operator="greaterThan">
      <formula>0</formula>
    </cfRule>
  </conditionalFormatting>
  <conditionalFormatting sqref="F14">
    <cfRule type="cellIs" dxfId="28409" priority="25" operator="equal">
      <formula>"PMS"</formula>
    </cfRule>
    <cfRule type="containsText" dxfId="28408" priority="26" operator="containsText" text="CMS">
      <formula>NOT(ISERROR(SEARCH("CMS",F14)))</formula>
    </cfRule>
    <cfRule type="cellIs" dxfId="28407" priority="27" operator="equal">
      <formula>0</formula>
    </cfRule>
    <cfRule type="cellIs" dxfId="28406" priority="28" operator="greaterThan">
      <formula>0</formula>
    </cfRule>
  </conditionalFormatting>
  <conditionalFormatting sqref="F14">
    <cfRule type="cellIs" dxfId="28405" priority="21" operator="equal">
      <formula>"PMS"</formula>
    </cfRule>
    <cfRule type="containsText" dxfId="28404" priority="22" operator="containsText" text="CMS">
      <formula>NOT(ISERROR(SEARCH("CMS",F14)))</formula>
    </cfRule>
    <cfRule type="cellIs" dxfId="28403" priority="23" operator="equal">
      <formula>0</formula>
    </cfRule>
    <cfRule type="cellIs" dxfId="28402" priority="24" operator="greaterThan">
      <formula>0</formula>
    </cfRule>
  </conditionalFormatting>
  <conditionalFormatting sqref="H29 K29 N29 Q29 T29 W29 Z29 AC29">
    <cfRule type="cellIs" dxfId="28401" priority="13" operator="equal">
      <formula>"PMS"</formula>
    </cfRule>
    <cfRule type="containsText" dxfId="28400" priority="14" operator="containsText" text="CMS">
      <formula>NOT(ISERROR(SEARCH("CMS",H29)))</formula>
    </cfRule>
    <cfRule type="cellIs" dxfId="28399" priority="15" operator="equal">
      <formula>0</formula>
    </cfRule>
    <cfRule type="cellIs" dxfId="28398" priority="16" operator="greaterThan">
      <formula>0</formula>
    </cfRule>
    <cfRule type="cellIs" dxfId="28397" priority="17" operator="equal">
      <formula>"PMS"</formula>
    </cfRule>
    <cfRule type="containsText" dxfId="28396" priority="18" operator="containsText" text="CMS">
      <formula>NOT(ISERROR(SEARCH("CMS",H29)))</formula>
    </cfRule>
    <cfRule type="cellIs" dxfId="28395" priority="19" operator="equal">
      <formula>0</formula>
    </cfRule>
    <cfRule type="cellIs" dxfId="28394" priority="20" operator="greaterThan">
      <formula>0</formula>
    </cfRule>
  </conditionalFormatting>
  <conditionalFormatting sqref="F81:AC81">
    <cfRule type="cellIs" dxfId="28393" priority="5" operator="equal">
      <formula>"PMS"</formula>
    </cfRule>
    <cfRule type="containsText" dxfId="28392" priority="6" operator="containsText" text="CMS">
      <formula>NOT(ISERROR(SEARCH("CMS",F81)))</formula>
    </cfRule>
    <cfRule type="cellIs" dxfId="28391" priority="7" operator="equal">
      <formula>0</formula>
    </cfRule>
    <cfRule type="cellIs" dxfId="28390" priority="8" operator="greaterThan">
      <formula>0</formula>
    </cfRule>
    <cfRule type="cellIs" dxfId="28389" priority="9" operator="equal">
      <formula>"PMS"</formula>
    </cfRule>
    <cfRule type="containsText" dxfId="28388" priority="10" operator="containsText" text="CMS">
      <formula>NOT(ISERROR(SEARCH("CMS",F81)))</formula>
    </cfRule>
    <cfRule type="cellIs" dxfId="28387" priority="11" operator="equal">
      <formula>0</formula>
    </cfRule>
    <cfRule type="cellIs" dxfId="28386" priority="12" operator="greaterThan">
      <formula>0</formula>
    </cfRule>
  </conditionalFormatting>
  <conditionalFormatting sqref="F81:AC81">
    <cfRule type="cellIs" dxfId="28385" priority="1" operator="equal">
      <formula>"PMS"</formula>
    </cfRule>
    <cfRule type="containsText" dxfId="28384" priority="2" operator="containsText" text="CMS">
      <formula>NOT(ISERROR(SEARCH("CMS",F81)))</formula>
    </cfRule>
    <cfRule type="cellIs" dxfId="28383" priority="3" operator="equal">
      <formula>0</formula>
    </cfRule>
    <cfRule type="cellIs" dxfId="2838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4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B7E7C-BDBA-432E-B05A-D083129EF790}">
  <sheetPr codeName="Sheet104"/>
  <dimension ref="A2:DT137"/>
  <sheetViews>
    <sheetView zoomScale="70" zoomScaleNormal="70" zoomScaleSheetLayoutView="51" zoomScalePageLayoutView="55" workbookViewId="0">
      <pane xSplit="5" ySplit="11" topLeftCell="F27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F109" sqref="F109:AC10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7,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526.89999999999975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6.6</v>
      </c>
      <c r="I13" s="71">
        <v>6.8</v>
      </c>
      <c r="J13" s="71">
        <v>6.6</v>
      </c>
      <c r="K13" s="71">
        <v>6.7</v>
      </c>
      <c r="L13" s="71">
        <v>6.7</v>
      </c>
      <c r="M13" s="71">
        <v>6.6</v>
      </c>
      <c r="N13" s="71">
        <v>6.7</v>
      </c>
      <c r="O13" s="219">
        <v>6.6</v>
      </c>
      <c r="P13" s="219">
        <v>6.7</v>
      </c>
      <c r="Q13" s="71">
        <v>6.7</v>
      </c>
      <c r="R13" s="71">
        <v>6.7</v>
      </c>
      <c r="S13" s="71">
        <v>6.8</v>
      </c>
      <c r="T13" s="71">
        <v>6.7</v>
      </c>
      <c r="U13" s="71">
        <v>6.5</v>
      </c>
      <c r="V13" s="71">
        <v>6.4</v>
      </c>
      <c r="W13" s="71">
        <v>6.3</v>
      </c>
      <c r="X13" s="71">
        <v>6.5</v>
      </c>
      <c r="Y13" s="71">
        <v>6.5</v>
      </c>
      <c r="Z13" s="71">
        <v>6.5</v>
      </c>
      <c r="AA13" s="71" t="s">
        <v>9</v>
      </c>
      <c r="AB13" s="71" t="s">
        <v>9</v>
      </c>
      <c r="AC13" s="71" t="s">
        <v>9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21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6.7</v>
      </c>
      <c r="G14" s="71">
        <v>6.7</v>
      </c>
      <c r="H14" s="71">
        <v>6.6</v>
      </c>
      <c r="I14" s="71">
        <v>6.8</v>
      </c>
      <c r="J14" s="71">
        <v>6.6</v>
      </c>
      <c r="K14" s="71">
        <v>6.7</v>
      </c>
      <c r="L14" s="71">
        <v>6.7</v>
      </c>
      <c r="M14" s="71">
        <v>6.6</v>
      </c>
      <c r="N14" s="71">
        <v>6.8</v>
      </c>
      <c r="O14" s="219">
        <v>6.6</v>
      </c>
      <c r="P14" s="219">
        <v>6.7</v>
      </c>
      <c r="Q14" s="71">
        <v>6.7</v>
      </c>
      <c r="R14" s="71">
        <v>6.7</v>
      </c>
      <c r="S14" s="71">
        <v>6.8</v>
      </c>
      <c r="T14" s="71">
        <v>6.7</v>
      </c>
      <c r="U14" s="71">
        <v>6.4</v>
      </c>
      <c r="V14" s="71">
        <v>6.5</v>
      </c>
      <c r="W14" s="71">
        <v>6.5</v>
      </c>
      <c r="X14" s="71">
        <v>6.5</v>
      </c>
      <c r="Y14" s="71">
        <v>6.5</v>
      </c>
      <c r="Z14" s="71" t="s">
        <v>9</v>
      </c>
      <c r="AA14" s="71" t="s">
        <v>9</v>
      </c>
      <c r="AB14" s="71" t="s">
        <v>9</v>
      </c>
      <c r="AC14" s="71" t="s">
        <v>9</v>
      </c>
      <c r="AD14" s="41"/>
      <c r="AE14" s="41"/>
      <c r="AF14" s="11">
        <f>COUNTIF(F14:AC14,$AJ$8)</f>
        <v>4</v>
      </c>
      <c r="AG14" s="11">
        <f>COUNTIF(F14:AD14,$AJ$7)</f>
        <v>0</v>
      </c>
      <c r="AH14" s="11">
        <f>COUNT(F14:AC14)</f>
        <v>20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/>
      <c r="G15" s="71"/>
      <c r="H15" s="71">
        <v>6.6</v>
      </c>
      <c r="I15" s="71">
        <v>6.8</v>
      </c>
      <c r="J15" s="71">
        <v>6.6</v>
      </c>
      <c r="K15" s="71">
        <v>6.7</v>
      </c>
      <c r="L15" s="71">
        <v>6.7</v>
      </c>
      <c r="M15" s="71">
        <v>6.6</v>
      </c>
      <c r="N15" s="71">
        <v>6.7</v>
      </c>
      <c r="O15" s="219">
        <v>6.5</v>
      </c>
      <c r="P15" s="219">
        <v>6.7</v>
      </c>
      <c r="Q15" s="71">
        <v>6.8</v>
      </c>
      <c r="R15" s="71">
        <v>6.6</v>
      </c>
      <c r="S15" s="71">
        <v>6.8</v>
      </c>
      <c r="T15" s="71">
        <v>6.7</v>
      </c>
      <c r="U15" s="71">
        <v>6.4</v>
      </c>
      <c r="V15" s="71">
        <v>6.4</v>
      </c>
      <c r="W15" s="71">
        <v>6.2</v>
      </c>
      <c r="X15" s="71">
        <v>6.4</v>
      </c>
      <c r="Y15" s="71">
        <v>6.5</v>
      </c>
      <c r="Z15" s="71">
        <v>6.4</v>
      </c>
      <c r="AA15" s="71">
        <v>6</v>
      </c>
      <c r="AB15" s="71">
        <v>6.5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6.7</v>
      </c>
      <c r="H16" s="71"/>
      <c r="I16" s="71"/>
      <c r="J16" s="71"/>
      <c r="K16" s="71"/>
      <c r="L16" s="71"/>
      <c r="M16" s="71"/>
      <c r="N16" s="71"/>
      <c r="O16" s="71">
        <v>6.8</v>
      </c>
      <c r="P16" s="219">
        <v>6.7</v>
      </c>
      <c r="Q16" s="71">
        <v>6.8</v>
      </c>
      <c r="R16" s="71">
        <v>6.6</v>
      </c>
      <c r="S16" s="71">
        <v>6.8</v>
      </c>
      <c r="T16" s="71">
        <v>6.7</v>
      </c>
      <c r="U16" s="71">
        <v>6.4</v>
      </c>
      <c r="V16" s="71">
        <v>6.4</v>
      </c>
      <c r="W16" s="71">
        <v>6.3</v>
      </c>
      <c r="X16" s="71">
        <v>6.4</v>
      </c>
      <c r="Y16" s="71">
        <v>6.5</v>
      </c>
      <c r="Z16" s="71">
        <v>6.4</v>
      </c>
      <c r="AA16" s="71">
        <v>6</v>
      </c>
      <c r="AB16" s="71">
        <v>6.5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20.100000000000001</v>
      </c>
      <c r="H17" s="19">
        <f t="shared" si="0"/>
        <v>19.799999999999997</v>
      </c>
      <c r="I17" s="19">
        <f t="shared" si="0"/>
        <v>20.399999999999999</v>
      </c>
      <c r="J17" s="19">
        <f t="shared" si="0"/>
        <v>19.799999999999997</v>
      </c>
      <c r="K17" s="19">
        <f t="shared" si="0"/>
        <v>20.100000000000001</v>
      </c>
      <c r="L17" s="19">
        <f t="shared" si="0"/>
        <v>20.100000000000001</v>
      </c>
      <c r="M17" s="19">
        <f t="shared" si="0"/>
        <v>19.799999999999997</v>
      </c>
      <c r="N17" s="19">
        <f t="shared" si="0"/>
        <v>20.2</v>
      </c>
      <c r="O17" s="19">
        <f t="shared" si="0"/>
        <v>26.5</v>
      </c>
      <c r="P17" s="19">
        <f t="shared" si="0"/>
        <v>26.8</v>
      </c>
      <c r="Q17" s="19">
        <f t="shared" si="0"/>
        <v>27</v>
      </c>
      <c r="R17" s="19">
        <f t="shared" si="0"/>
        <v>26.6</v>
      </c>
      <c r="S17" s="19">
        <f t="shared" si="0"/>
        <v>27.2</v>
      </c>
      <c r="T17" s="19">
        <f t="shared" si="0"/>
        <v>26.8</v>
      </c>
      <c r="U17" s="19">
        <f t="shared" si="0"/>
        <v>25.700000000000003</v>
      </c>
      <c r="V17" s="19">
        <f t="shared" si="0"/>
        <v>25.700000000000003</v>
      </c>
      <c r="W17" s="19">
        <f t="shared" si="0"/>
        <v>25.3</v>
      </c>
      <c r="X17" s="19">
        <f t="shared" si="0"/>
        <v>25.799999999999997</v>
      </c>
      <c r="Y17" s="19">
        <f t="shared" si="0"/>
        <v>26</v>
      </c>
      <c r="Z17" s="19">
        <f t="shared" si="0"/>
        <v>19.3</v>
      </c>
      <c r="AA17" s="19">
        <f t="shared" si="0"/>
        <v>12</v>
      </c>
      <c r="AB17" s="19">
        <f t="shared" si="0"/>
        <v>13</v>
      </c>
      <c r="AC17" s="19">
        <f t="shared" si="0"/>
        <v>12.8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22.400000000000002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>
        <v>0.5</v>
      </c>
      <c r="W21" s="71">
        <v>2.7</v>
      </c>
      <c r="X21" s="71">
        <v>3.2</v>
      </c>
      <c r="Y21" s="71">
        <v>3.2</v>
      </c>
      <c r="Z21" s="71">
        <v>3.3</v>
      </c>
      <c r="AA21" s="71">
        <v>3</v>
      </c>
      <c r="AB21" s="71">
        <v>3.2</v>
      </c>
      <c r="AC21" s="71">
        <v>3.3</v>
      </c>
      <c r="AD21" s="41"/>
      <c r="AE21" s="41"/>
      <c r="AF21" s="11">
        <f>COUNTIF(F21:AC21,$AJ$8)</f>
        <v>16</v>
      </c>
      <c r="AG21" s="11">
        <f>COUNTIF(G21:AD21,$AJ$7)</f>
        <v>0</v>
      </c>
      <c r="AH21" s="11">
        <f>COUNT(F21:AC21)</f>
        <v>8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0.5</v>
      </c>
      <c r="W22" s="19">
        <f t="shared" si="1"/>
        <v>2.7</v>
      </c>
      <c r="X22" s="19">
        <f t="shared" si="1"/>
        <v>3.2</v>
      </c>
      <c r="Y22" s="19">
        <f t="shared" si="1"/>
        <v>3.2</v>
      </c>
      <c r="Z22" s="19">
        <f t="shared" si="1"/>
        <v>3.3</v>
      </c>
      <c r="AA22" s="19">
        <f t="shared" si="1"/>
        <v>3</v>
      </c>
      <c r="AB22" s="19">
        <f t="shared" si="1"/>
        <v>3.2</v>
      </c>
      <c r="AC22" s="19">
        <f t="shared" si="1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90.899999999999963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3.5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3.5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183.1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4.2</v>
      </c>
      <c r="G27" s="71">
        <v>4</v>
      </c>
      <c r="H27" s="71">
        <v>4</v>
      </c>
      <c r="I27" s="71">
        <v>4</v>
      </c>
      <c r="J27" s="71">
        <v>4</v>
      </c>
      <c r="K27" s="71">
        <v>4.2</v>
      </c>
      <c r="L27" s="71">
        <v>4.2</v>
      </c>
      <c r="M27" s="71">
        <v>4</v>
      </c>
      <c r="N27" s="71">
        <v>4</v>
      </c>
      <c r="O27" s="219">
        <v>4</v>
      </c>
      <c r="P27" s="71">
        <v>3.8</v>
      </c>
      <c r="Q27" s="71">
        <v>3.9</v>
      </c>
      <c r="R27" s="71">
        <v>3.8</v>
      </c>
      <c r="S27" s="71">
        <v>3.9</v>
      </c>
      <c r="T27" s="71">
        <v>3.7</v>
      </c>
      <c r="U27" s="71">
        <v>2.7</v>
      </c>
      <c r="V27" s="71">
        <v>2</v>
      </c>
      <c r="W27" s="71">
        <v>3.5</v>
      </c>
      <c r="X27" s="71">
        <v>3.2</v>
      </c>
      <c r="Y27" s="71">
        <v>3.2</v>
      </c>
      <c r="Z27" s="71">
        <v>4.3</v>
      </c>
      <c r="AA27" s="71">
        <v>4.5</v>
      </c>
      <c r="AB27" s="71">
        <v>4.2</v>
      </c>
      <c r="AC27" s="71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4.2</v>
      </c>
      <c r="G28" s="71">
        <v>4</v>
      </c>
      <c r="H28" s="71">
        <v>4</v>
      </c>
      <c r="I28" s="71">
        <v>4</v>
      </c>
      <c r="J28" s="71">
        <v>4</v>
      </c>
      <c r="K28" s="71">
        <v>4.2</v>
      </c>
      <c r="L28" s="71">
        <v>4.2</v>
      </c>
      <c r="M28" s="71">
        <v>4</v>
      </c>
      <c r="N28" s="71">
        <v>4</v>
      </c>
      <c r="O28" s="219">
        <v>4.0999999999999996</v>
      </c>
      <c r="P28" s="71">
        <v>3.8</v>
      </c>
      <c r="Q28" s="71">
        <v>3.9</v>
      </c>
      <c r="R28" s="71">
        <v>3.8</v>
      </c>
      <c r="S28" s="71">
        <v>3.9</v>
      </c>
      <c r="T28" s="71">
        <v>3.7</v>
      </c>
      <c r="U28" s="71">
        <v>2.7</v>
      </c>
      <c r="V28" s="71">
        <v>2</v>
      </c>
      <c r="W28" s="71">
        <v>3.5</v>
      </c>
      <c r="X28" s="71">
        <v>3.2</v>
      </c>
      <c r="Y28" s="71">
        <v>3.2</v>
      </c>
      <c r="Z28" s="71">
        <v>4.3</v>
      </c>
      <c r="AA28" s="71">
        <v>4.5</v>
      </c>
      <c r="AB28" s="71">
        <v>4.2</v>
      </c>
      <c r="AC28" s="71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>
        <v>3</v>
      </c>
      <c r="V29" s="379">
        <v>5</v>
      </c>
      <c r="W29" s="379">
        <v>1.4</v>
      </c>
      <c r="X29" s="379">
        <v>2</v>
      </c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8.4</v>
      </c>
      <c r="G30" s="19">
        <f t="shared" si="4"/>
        <v>8</v>
      </c>
      <c r="H30" s="19">
        <f t="shared" si="4"/>
        <v>8</v>
      </c>
      <c r="I30" s="19">
        <f t="shared" si="4"/>
        <v>8</v>
      </c>
      <c r="J30" s="19">
        <f t="shared" si="4"/>
        <v>8</v>
      </c>
      <c r="K30" s="19">
        <f t="shared" si="4"/>
        <v>8.4</v>
      </c>
      <c r="L30" s="19">
        <f t="shared" si="4"/>
        <v>8.4</v>
      </c>
      <c r="M30" s="19">
        <f t="shared" si="4"/>
        <v>8</v>
      </c>
      <c r="N30" s="19">
        <f t="shared" si="4"/>
        <v>8</v>
      </c>
      <c r="O30" s="19">
        <f t="shared" si="4"/>
        <v>8.1</v>
      </c>
      <c r="P30" s="19">
        <f t="shared" si="4"/>
        <v>7.6</v>
      </c>
      <c r="Q30" s="19">
        <f t="shared" si="4"/>
        <v>7.8</v>
      </c>
      <c r="R30" s="19">
        <f t="shared" si="4"/>
        <v>7.6</v>
      </c>
      <c r="S30" s="19">
        <f t="shared" si="4"/>
        <v>7.8</v>
      </c>
      <c r="T30" s="19">
        <f t="shared" si="4"/>
        <v>7.4</v>
      </c>
      <c r="U30" s="19">
        <f t="shared" si="4"/>
        <v>8.4</v>
      </c>
      <c r="V30" s="19">
        <f t="shared" si="4"/>
        <v>9</v>
      </c>
      <c r="W30" s="19">
        <f t="shared" si="4"/>
        <v>8.4</v>
      </c>
      <c r="X30" s="19">
        <f t="shared" si="4"/>
        <v>8.4</v>
      </c>
      <c r="Y30" s="19">
        <f t="shared" si="4"/>
        <v>6.4</v>
      </c>
      <c r="Z30" s="19">
        <f t="shared" si="4"/>
        <v>8.6</v>
      </c>
      <c r="AA30" s="19">
        <f t="shared" si="4"/>
        <v>9</v>
      </c>
      <c r="AB30" s="19">
        <f t="shared" si="4"/>
        <v>8.4</v>
      </c>
      <c r="AC30" s="19">
        <f t="shared" si="4"/>
        <v>8.4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168.80000000000032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>
        <f t="shared" ref="L38:X38" si="10">3.8/4</f>
        <v>0.95</v>
      </c>
      <c r="M38" s="71">
        <f t="shared" si="10"/>
        <v>0.95</v>
      </c>
      <c r="N38" s="71">
        <f t="shared" si="10"/>
        <v>0.95</v>
      </c>
      <c r="O38" s="71">
        <f t="shared" si="10"/>
        <v>0.95</v>
      </c>
      <c r="P38" s="71">
        <f t="shared" si="10"/>
        <v>0.95</v>
      </c>
      <c r="Q38" s="71">
        <f t="shared" si="10"/>
        <v>0.95</v>
      </c>
      <c r="R38" s="71">
        <f t="shared" si="10"/>
        <v>0.95</v>
      </c>
      <c r="S38" s="71">
        <f t="shared" si="10"/>
        <v>0.95</v>
      </c>
      <c r="T38" s="71">
        <f t="shared" si="10"/>
        <v>0.95</v>
      </c>
      <c r="U38" s="71">
        <f t="shared" si="10"/>
        <v>0.95</v>
      </c>
      <c r="V38" s="71">
        <f t="shared" si="10"/>
        <v>0.95</v>
      </c>
      <c r="W38" s="71">
        <f t="shared" si="10"/>
        <v>0.95</v>
      </c>
      <c r="X38" s="71">
        <f t="shared" si="10"/>
        <v>0.95</v>
      </c>
      <c r="Y38" s="71">
        <v>0.9</v>
      </c>
      <c r="Z38" s="71">
        <v>0.9</v>
      </c>
      <c r="AA38" s="71">
        <v>0.9</v>
      </c>
      <c r="AB38" s="71">
        <v>0.9</v>
      </c>
      <c r="AC38" s="71">
        <v>0.9</v>
      </c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18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>
        <v>0.9</v>
      </c>
      <c r="Z39" s="71">
        <v>0.9</v>
      </c>
      <c r="AA39" s="71">
        <v>0.9</v>
      </c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3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f t="shared" ref="L40:X41" si="11">3.8/4</f>
        <v>0.95</v>
      </c>
      <c r="M40" s="71">
        <f t="shared" si="11"/>
        <v>0.95</v>
      </c>
      <c r="N40" s="71">
        <f t="shared" si="11"/>
        <v>0.95</v>
      </c>
      <c r="O40" s="71">
        <f t="shared" si="11"/>
        <v>0.95</v>
      </c>
      <c r="P40" s="71">
        <f t="shared" si="11"/>
        <v>0.95</v>
      </c>
      <c r="Q40" s="71">
        <f t="shared" si="11"/>
        <v>0.95</v>
      </c>
      <c r="R40" s="71">
        <f t="shared" si="11"/>
        <v>0.95</v>
      </c>
      <c r="S40" s="71">
        <f t="shared" si="11"/>
        <v>0.95</v>
      </c>
      <c r="T40" s="71">
        <f t="shared" si="11"/>
        <v>0.95</v>
      </c>
      <c r="U40" s="71">
        <f t="shared" si="11"/>
        <v>0.95</v>
      </c>
      <c r="V40" s="71">
        <f t="shared" si="11"/>
        <v>0.95</v>
      </c>
      <c r="W40" s="71">
        <f t="shared" si="11"/>
        <v>0.95</v>
      </c>
      <c r="X40" s="71">
        <f t="shared" si="11"/>
        <v>0.95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18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>
        <f t="shared" si="11"/>
        <v>0.95</v>
      </c>
      <c r="M41" s="71">
        <f t="shared" si="11"/>
        <v>0.95</v>
      </c>
      <c r="N41" s="71">
        <f t="shared" si="11"/>
        <v>0.95</v>
      </c>
      <c r="O41" s="71">
        <f t="shared" si="11"/>
        <v>0.95</v>
      </c>
      <c r="P41" s="71">
        <f t="shared" si="11"/>
        <v>0.95</v>
      </c>
      <c r="Q41" s="71">
        <f t="shared" si="11"/>
        <v>0.95</v>
      </c>
      <c r="R41" s="71">
        <f t="shared" si="11"/>
        <v>0.95</v>
      </c>
      <c r="S41" s="71">
        <f t="shared" si="11"/>
        <v>0.95</v>
      </c>
      <c r="T41" s="71">
        <f t="shared" si="11"/>
        <v>0.95</v>
      </c>
      <c r="U41" s="71">
        <f t="shared" si="11"/>
        <v>0.95</v>
      </c>
      <c r="V41" s="71">
        <f t="shared" si="11"/>
        <v>0.95</v>
      </c>
      <c r="W41" s="71">
        <f t="shared" si="11"/>
        <v>0.95</v>
      </c>
      <c r="X41" s="71">
        <f t="shared" si="11"/>
        <v>0.95</v>
      </c>
      <c r="Y41" s="71">
        <v>0.9</v>
      </c>
      <c r="Z41" s="71">
        <f>3.8/4</f>
        <v>0.95</v>
      </c>
      <c r="AA41" s="71">
        <f>3.8/4</f>
        <v>0.95</v>
      </c>
      <c r="AB41" s="71">
        <f>3.8/4</f>
        <v>0.95</v>
      </c>
      <c r="AC41" s="71">
        <f>3.8/4</f>
        <v>0.95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18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 t="shared" ref="L43:X43" si="12">3.8/4</f>
        <v>0.95</v>
      </c>
      <c r="M43" s="71">
        <f t="shared" si="12"/>
        <v>0.95</v>
      </c>
      <c r="N43" s="71">
        <f t="shared" si="12"/>
        <v>0.95</v>
      </c>
      <c r="O43" s="71">
        <f t="shared" si="12"/>
        <v>0.95</v>
      </c>
      <c r="P43" s="71">
        <f t="shared" si="12"/>
        <v>0.95</v>
      </c>
      <c r="Q43" s="71">
        <f t="shared" si="12"/>
        <v>0.95</v>
      </c>
      <c r="R43" s="71">
        <f t="shared" si="12"/>
        <v>0.95</v>
      </c>
      <c r="S43" s="71">
        <f t="shared" si="12"/>
        <v>0.95</v>
      </c>
      <c r="T43" s="71">
        <f t="shared" si="12"/>
        <v>0.95</v>
      </c>
      <c r="U43" s="71">
        <f t="shared" si="12"/>
        <v>0.95</v>
      </c>
      <c r="V43" s="71">
        <f t="shared" si="12"/>
        <v>0.95</v>
      </c>
      <c r="W43" s="71">
        <f t="shared" si="12"/>
        <v>0.95</v>
      </c>
      <c r="X43" s="71">
        <f t="shared" si="12"/>
        <v>0.95</v>
      </c>
      <c r="Y43" s="71">
        <v>0.9</v>
      </c>
      <c r="Z43" s="71">
        <v>0.9</v>
      </c>
      <c r="AA43" s="71">
        <v>0.9</v>
      </c>
      <c r="AB43" s="71">
        <v>0.9</v>
      </c>
      <c r="AC43" s="71">
        <v>0.9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18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>
        <v>0.8</v>
      </c>
      <c r="G44" s="71">
        <f>2.35/3</f>
        <v>0.78333333333333333</v>
      </c>
      <c r="H44" s="71">
        <v>0.75</v>
      </c>
      <c r="I44" s="71"/>
      <c r="J44" s="71"/>
      <c r="K44" s="71"/>
      <c r="L44" s="71"/>
      <c r="M44" s="71"/>
      <c r="N44" s="71"/>
      <c r="O44" s="219"/>
      <c r="P44" s="71"/>
      <c r="Q44" s="71"/>
      <c r="R44" s="71"/>
      <c r="S44" s="71"/>
      <c r="T44" s="71"/>
      <c r="U44" s="71"/>
      <c r="V44" s="71"/>
      <c r="W44" s="71"/>
      <c r="X44" s="71"/>
      <c r="Y44" s="71">
        <v>0.8</v>
      </c>
      <c r="Z44" s="71">
        <v>0.8</v>
      </c>
      <c r="AA44" s="71">
        <v>0.8</v>
      </c>
      <c r="AB44" s="71">
        <v>0.8</v>
      </c>
      <c r="AC44" s="71">
        <v>0.85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8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>
        <f t="shared" ref="P45:S46" si="13">3.9/5</f>
        <v>0.78</v>
      </c>
      <c r="Q45" s="71">
        <f t="shared" si="13"/>
        <v>0.78</v>
      </c>
      <c r="R45" s="71">
        <f t="shared" si="13"/>
        <v>0.78</v>
      </c>
      <c r="S45" s="71">
        <f t="shared" si="13"/>
        <v>0.78</v>
      </c>
      <c r="T45" s="71">
        <v>0.8</v>
      </c>
      <c r="U45" s="71">
        <v>0.8</v>
      </c>
      <c r="V45" s="71">
        <v>0.8</v>
      </c>
      <c r="W45" s="71">
        <v>0</v>
      </c>
      <c r="X45" s="71">
        <v>0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7"/>
        <v>5</v>
      </c>
      <c r="AG45" s="11">
        <f t="shared" si="8"/>
        <v>0</v>
      </c>
      <c r="AH45" s="11">
        <f t="shared" si="9"/>
        <v>9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>
        <v>0.8</v>
      </c>
      <c r="L46" s="71"/>
      <c r="M46" s="71">
        <v>0.8</v>
      </c>
      <c r="N46" s="71"/>
      <c r="O46" s="219"/>
      <c r="P46" s="71">
        <f t="shared" si="13"/>
        <v>0.78</v>
      </c>
      <c r="Q46" s="71">
        <f t="shared" si="13"/>
        <v>0.78</v>
      </c>
      <c r="R46" s="71">
        <f t="shared" si="13"/>
        <v>0.78</v>
      </c>
      <c r="S46" s="71">
        <f t="shared" si="13"/>
        <v>0.78</v>
      </c>
      <c r="T46" s="71">
        <v>0.8</v>
      </c>
      <c r="U46" s="71">
        <v>0.8</v>
      </c>
      <c r="V46" s="71">
        <v>0.8</v>
      </c>
      <c r="W46" s="71">
        <v>0</v>
      </c>
      <c r="X46" s="71"/>
      <c r="Y46" s="71">
        <v>0.8</v>
      </c>
      <c r="Z46" s="71">
        <v>0.8</v>
      </c>
      <c r="AA46" s="71">
        <v>0.8</v>
      </c>
      <c r="AB46" s="71">
        <v>0.8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>
        <v>0.8</v>
      </c>
      <c r="Z47" s="71">
        <v>0.8</v>
      </c>
      <c r="AA47" s="71">
        <v>0.8</v>
      </c>
      <c r="AB47" s="71">
        <v>0.8</v>
      </c>
      <c r="AC47" s="71">
        <v>0.8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5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>
        <f t="shared" ref="P48:P49" si="14">3.9/5</f>
        <v>0.78</v>
      </c>
      <c r="Q48" s="71">
        <f t="shared" ref="Q48:Q49" si="15">3.9/5</f>
        <v>0.78</v>
      </c>
      <c r="R48" s="71">
        <f>3.9/5</f>
        <v>0.78</v>
      </c>
      <c r="S48" s="71">
        <f>3.9/5</f>
        <v>0.78</v>
      </c>
      <c r="T48" s="71">
        <v>0.8</v>
      </c>
      <c r="U48" s="71">
        <v>0.8</v>
      </c>
      <c r="V48" s="71">
        <v>0.8</v>
      </c>
      <c r="W48" s="71">
        <v>0</v>
      </c>
      <c r="X48" s="71"/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12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>
        <v>0.8</v>
      </c>
      <c r="N49" s="71"/>
      <c r="O49" s="71"/>
      <c r="P49" s="71">
        <f t="shared" si="14"/>
        <v>0.78</v>
      </c>
      <c r="Q49" s="71">
        <f t="shared" si="15"/>
        <v>0.78</v>
      </c>
      <c r="R49" s="71">
        <f>3.9/5</f>
        <v>0.78</v>
      </c>
      <c r="S49" s="71">
        <f>3.9/5</f>
        <v>0.78</v>
      </c>
      <c r="T49" s="71">
        <v>0.8</v>
      </c>
      <c r="U49" s="71">
        <v>0.8</v>
      </c>
      <c r="V49" s="71">
        <v>0.8</v>
      </c>
      <c r="W49" s="71">
        <v>0</v>
      </c>
      <c r="X49" s="71">
        <v>0</v>
      </c>
      <c r="Y49" s="71">
        <v>0.8</v>
      </c>
      <c r="Z49" s="71">
        <v>0.8</v>
      </c>
      <c r="AA49" s="71">
        <v>0.8</v>
      </c>
      <c r="AB49" s="71">
        <v>0.8</v>
      </c>
      <c r="AC49" s="71">
        <v>0.8</v>
      </c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15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 t="s">
        <v>9</v>
      </c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 t="s">
        <v>9</v>
      </c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 t="s">
        <v>9</v>
      </c>
      <c r="W52" s="71" t="s">
        <v>9</v>
      </c>
      <c r="X52" s="71" t="s">
        <v>9</v>
      </c>
      <c r="Y52" s="71"/>
      <c r="Z52" s="71">
        <v>0.8</v>
      </c>
      <c r="AA52" s="71">
        <v>0.8</v>
      </c>
      <c r="AB52" s="71"/>
      <c r="AC52" s="71"/>
      <c r="AD52" s="41"/>
      <c r="AE52" s="41"/>
      <c r="AF52" s="11">
        <f t="shared" si="7"/>
        <v>19</v>
      </c>
      <c r="AG52" s="11">
        <f t="shared" si="8"/>
        <v>0</v>
      </c>
      <c r="AH52" s="11">
        <f t="shared" si="9"/>
        <v>2</v>
      </c>
    </row>
    <row r="53" spans="1:124" ht="16.5" customHeight="1" x14ac:dyDescent="0.25">
      <c r="A53" s="70" t="s">
        <v>44</v>
      </c>
      <c r="B53" s="15"/>
      <c r="C53" s="15">
        <v>0.8</v>
      </c>
      <c r="D53" s="15"/>
      <c r="E53" s="15"/>
      <c r="F53" s="71">
        <v>0.8</v>
      </c>
      <c r="G53" s="71"/>
      <c r="H53" s="71"/>
      <c r="I53" s="71"/>
      <c r="J53" s="71"/>
      <c r="K53" s="71"/>
      <c r="L53" s="71"/>
      <c r="M53" s="71"/>
      <c r="N53" s="71">
        <f>2.45/3</f>
        <v>0.81666666666666676</v>
      </c>
      <c r="O53" s="219"/>
      <c r="P53" s="71"/>
      <c r="Q53" s="71"/>
      <c r="R53" s="71"/>
      <c r="S53" s="71">
        <v>0.8</v>
      </c>
      <c r="T53" s="71">
        <v>0.8</v>
      </c>
      <c r="U53" s="71">
        <v>0.8</v>
      </c>
      <c r="V53" s="71">
        <v>0.8</v>
      </c>
      <c r="W53" s="71">
        <v>0.75</v>
      </c>
      <c r="X53" s="71">
        <v>0</v>
      </c>
      <c r="Y53" s="71">
        <v>0.8</v>
      </c>
      <c r="Z53" s="71">
        <v>0.8</v>
      </c>
      <c r="AA53" s="71">
        <v>0.8</v>
      </c>
      <c r="AB53" s="71">
        <v>0.8</v>
      </c>
      <c r="AC53" s="71">
        <v>0.8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13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>
        <v>0.8</v>
      </c>
      <c r="G54" s="71"/>
      <c r="H54" s="71"/>
      <c r="I54" s="71"/>
      <c r="J54" s="71"/>
      <c r="K54" s="71"/>
      <c r="L54" s="71"/>
      <c r="M54" s="71"/>
      <c r="N54" s="71">
        <f t="shared" ref="N54:N55" si="16">2.45/3</f>
        <v>0.81666666666666676</v>
      </c>
      <c r="O54" s="219"/>
      <c r="P54" s="71"/>
      <c r="Q54" s="71"/>
      <c r="R54" s="71"/>
      <c r="S54" s="71">
        <v>0.8</v>
      </c>
      <c r="T54" s="71">
        <v>0.8</v>
      </c>
      <c r="U54" s="71">
        <v>0.8</v>
      </c>
      <c r="V54" s="71">
        <v>0.8</v>
      </c>
      <c r="W54" s="71">
        <v>0.75</v>
      </c>
      <c r="X54" s="71">
        <v>0</v>
      </c>
      <c r="Y54" s="71">
        <v>0.8</v>
      </c>
      <c r="Z54" s="71">
        <v>0.8</v>
      </c>
      <c r="AA54" s="71">
        <v>0.8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f t="shared" si="16"/>
        <v>0.81666666666666676</v>
      </c>
      <c r="O55" s="71"/>
      <c r="P55" s="71"/>
      <c r="Q55" s="71">
        <f t="shared" ref="Q55" si="17">3.9/5</f>
        <v>0.78</v>
      </c>
      <c r="R55" s="71">
        <f>3.9/5</f>
        <v>0.78</v>
      </c>
      <c r="S55" s="71">
        <f>3.9/5</f>
        <v>0.78</v>
      </c>
      <c r="T55" s="71">
        <v>0.8</v>
      </c>
      <c r="U55" s="71">
        <v>0.8</v>
      </c>
      <c r="V55" s="71">
        <v>0.8</v>
      </c>
      <c r="W55" s="71">
        <v>0.75</v>
      </c>
      <c r="X55" s="71">
        <v>0</v>
      </c>
      <c r="Y55" s="71">
        <v>0.8</v>
      </c>
      <c r="Z55" s="71">
        <v>0.8</v>
      </c>
      <c r="AA55" s="71">
        <v>0.8</v>
      </c>
      <c r="AB55" s="71">
        <v>0.8</v>
      </c>
      <c r="AC55" s="71">
        <v>0.8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14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v>0.7</v>
      </c>
      <c r="P56" s="71">
        <f>3.9/5</f>
        <v>0.78</v>
      </c>
      <c r="Q56" s="71"/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>
        <v>0.8</v>
      </c>
      <c r="AB56" s="71">
        <v>0.8</v>
      </c>
      <c r="AC56" s="71">
        <v>0.8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>
        <v>0.8</v>
      </c>
      <c r="G57" s="71">
        <f t="shared" ref="G57:G58" si="18">2.35/3</f>
        <v>0.78333333333333333</v>
      </c>
      <c r="H57" s="71">
        <v>0.75</v>
      </c>
      <c r="I57" s="71"/>
      <c r="J57" s="71"/>
      <c r="K57" s="71"/>
      <c r="L57" s="71"/>
      <c r="M57" s="71"/>
      <c r="N57" s="71"/>
      <c r="O57" s="219"/>
      <c r="P57" s="219"/>
      <c r="Q57" s="71"/>
      <c r="R57" s="71"/>
      <c r="S57" s="71"/>
      <c r="T57" s="71">
        <v>0.8</v>
      </c>
      <c r="U57" s="71">
        <v>0.8</v>
      </c>
      <c r="V57" s="71">
        <v>0.8</v>
      </c>
      <c r="W57" s="71">
        <v>0.75</v>
      </c>
      <c r="X57" s="71">
        <v>0.8</v>
      </c>
      <c r="Y57" s="71">
        <v>0.8</v>
      </c>
      <c r="Z57" s="71">
        <v>0.8</v>
      </c>
      <c r="AA57" s="71">
        <v>0.8</v>
      </c>
      <c r="AB57" s="71">
        <v>0.8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13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>
        <v>0.8</v>
      </c>
      <c r="G58" s="71">
        <f t="shared" si="18"/>
        <v>0.78333333333333333</v>
      </c>
      <c r="H58" s="71"/>
      <c r="I58" s="71"/>
      <c r="J58" s="71"/>
      <c r="K58" s="71"/>
      <c r="L58" s="71"/>
      <c r="M58" s="71"/>
      <c r="N58" s="71"/>
      <c r="O58" s="219"/>
      <c r="P58" s="219"/>
      <c r="Q58" s="71"/>
      <c r="R58" s="71"/>
      <c r="S58" s="71"/>
      <c r="T58" s="71">
        <v>0.8</v>
      </c>
      <c r="U58" s="71">
        <v>0.8</v>
      </c>
      <c r="V58" s="71">
        <v>0.8</v>
      </c>
      <c r="W58" s="71">
        <v>0.8</v>
      </c>
      <c r="X58" s="71">
        <v>0</v>
      </c>
      <c r="Y58" s="71"/>
      <c r="Z58" s="71">
        <v>0.75</v>
      </c>
      <c r="AA58" s="71">
        <v>0.85</v>
      </c>
      <c r="AB58" s="71">
        <v>0.85</v>
      </c>
      <c r="AC58" s="71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10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9">SUM(F35:F58)</f>
        <v>4</v>
      </c>
      <c r="G59" s="19">
        <f t="shared" si="19"/>
        <v>2.35</v>
      </c>
      <c r="H59" s="19">
        <f t="shared" si="19"/>
        <v>1.5</v>
      </c>
      <c r="I59" s="19">
        <f t="shared" si="19"/>
        <v>0</v>
      </c>
      <c r="J59" s="19">
        <f t="shared" si="19"/>
        <v>0</v>
      </c>
      <c r="K59" s="19">
        <f t="shared" si="19"/>
        <v>0.8</v>
      </c>
      <c r="L59" s="19">
        <f t="shared" si="19"/>
        <v>3.8</v>
      </c>
      <c r="M59" s="19">
        <f t="shared" si="19"/>
        <v>5.3999999999999995</v>
      </c>
      <c r="N59" s="19">
        <f t="shared" si="19"/>
        <v>6.2499999999999991</v>
      </c>
      <c r="O59" s="19">
        <f t="shared" si="19"/>
        <v>4.5</v>
      </c>
      <c r="P59" s="19">
        <f t="shared" si="19"/>
        <v>7.7000000000000011</v>
      </c>
      <c r="Q59" s="19">
        <f t="shared" si="19"/>
        <v>7.7000000000000011</v>
      </c>
      <c r="R59" s="19">
        <f t="shared" si="19"/>
        <v>7.7000000000000011</v>
      </c>
      <c r="S59" s="19">
        <f t="shared" si="19"/>
        <v>9.3000000000000007</v>
      </c>
      <c r="T59" s="19">
        <f t="shared" si="19"/>
        <v>11.000000000000002</v>
      </c>
      <c r="U59" s="19">
        <f t="shared" si="19"/>
        <v>11.000000000000002</v>
      </c>
      <c r="V59" s="19">
        <f t="shared" si="19"/>
        <v>11.000000000000002</v>
      </c>
      <c r="W59" s="19">
        <f t="shared" si="19"/>
        <v>7.6</v>
      </c>
      <c r="X59" s="19">
        <f t="shared" si="19"/>
        <v>4.5999999999999996</v>
      </c>
      <c r="Y59" s="19">
        <f>SUM(Y35:Y58)</f>
        <v>12.500000000000004</v>
      </c>
      <c r="Z59" s="19">
        <f t="shared" si="19"/>
        <v>13.300000000000004</v>
      </c>
      <c r="AA59" s="19">
        <f t="shared" si="19"/>
        <v>14.200000000000005</v>
      </c>
      <c r="AB59" s="19">
        <f t="shared" si="19"/>
        <v>12.500000000000002</v>
      </c>
      <c r="AC59" s="19">
        <f t="shared" si="19"/>
        <v>10.100000000000001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25.360000000000007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0.96/2</f>
        <v>0.48</v>
      </c>
      <c r="M61" s="71">
        <f>1/2</f>
        <v>0.5</v>
      </c>
      <c r="N61" s="71">
        <f>1/2</f>
        <v>0.5</v>
      </c>
      <c r="O61" s="71">
        <f>1.16/2</f>
        <v>0.57999999999999996</v>
      </c>
      <c r="P61" s="71">
        <f>1.26/2</f>
        <v>0.63</v>
      </c>
      <c r="Q61" s="71">
        <v>0.64</v>
      </c>
      <c r="R61" s="71">
        <v>0.6</v>
      </c>
      <c r="S61" s="71">
        <v>0.64</v>
      </c>
      <c r="T61" s="71">
        <v>0.65</v>
      </c>
      <c r="U61" s="71">
        <v>0.6</v>
      </c>
      <c r="V61" s="71">
        <v>0.6</v>
      </c>
      <c r="W61" s="71">
        <f>1.03/2</f>
        <v>0.51500000000000001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0.88/2</f>
        <v>0.44</v>
      </c>
      <c r="G62" s="71">
        <f>0.82/2</f>
        <v>0.41</v>
      </c>
      <c r="H62" s="71">
        <f>0.8/2</f>
        <v>0.4</v>
      </c>
      <c r="I62" s="71">
        <f>0.78/2</f>
        <v>0.39</v>
      </c>
      <c r="J62" s="71">
        <f>0.75/2</f>
        <v>0.375</v>
      </c>
      <c r="K62" s="71">
        <f>0.8/2</f>
        <v>0.4</v>
      </c>
      <c r="L62" s="71">
        <f>0.96/2</f>
        <v>0.48</v>
      </c>
      <c r="M62" s="71">
        <f>1/2</f>
        <v>0.5</v>
      </c>
      <c r="N62" s="71">
        <f>1/2</f>
        <v>0.5</v>
      </c>
      <c r="O62" s="71">
        <f>1.16/2</f>
        <v>0.57999999999999996</v>
      </c>
      <c r="P62" s="71">
        <f>1.26/2</f>
        <v>0.63</v>
      </c>
      <c r="Q62" s="71">
        <v>0.64</v>
      </c>
      <c r="R62" s="71"/>
      <c r="S62" s="71"/>
      <c r="T62" s="71"/>
      <c r="U62" s="71"/>
      <c r="V62" s="71"/>
      <c r="W62" s="71"/>
      <c r="X62" s="71">
        <f>1.11/2</f>
        <v>0.55500000000000005</v>
      </c>
      <c r="Y62" s="71">
        <v>0.63500000000000001</v>
      </c>
      <c r="Z62" s="71">
        <v>0.63500000000000001</v>
      </c>
      <c r="AA62" s="71">
        <v>0.57499999999999996</v>
      </c>
      <c r="AB62" s="380">
        <f>0.98/2</f>
        <v>0.49</v>
      </c>
      <c r="AC62" s="380">
        <f>0.88/2</f>
        <v>0.44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>
        <f>0.88/2</f>
        <v>0.44</v>
      </c>
      <c r="G63" s="71">
        <f>0.82/2</f>
        <v>0.41</v>
      </c>
      <c r="H63" s="71">
        <f>0.8/2</f>
        <v>0.4</v>
      </c>
      <c r="I63" s="71">
        <f>0.78/2</f>
        <v>0.39</v>
      </c>
      <c r="J63" s="71">
        <f>0.75/2</f>
        <v>0.375</v>
      </c>
      <c r="K63" s="71">
        <f>0.8/2</f>
        <v>0.4</v>
      </c>
      <c r="L63" s="71"/>
      <c r="M63" s="71"/>
      <c r="N63" s="71"/>
      <c r="O63" s="71"/>
      <c r="P63" s="71"/>
      <c r="Q63" s="71"/>
      <c r="R63" s="71">
        <v>0.6</v>
      </c>
      <c r="S63" s="71">
        <v>0.64</v>
      </c>
      <c r="T63" s="71">
        <v>0.65</v>
      </c>
      <c r="U63" s="71">
        <v>0.6</v>
      </c>
      <c r="V63" s="71">
        <v>0.6</v>
      </c>
      <c r="W63" s="71">
        <f>1.03/2</f>
        <v>0.51500000000000001</v>
      </c>
      <c r="X63" s="71">
        <f>1.11/2</f>
        <v>0.55500000000000005</v>
      </c>
      <c r="Y63" s="71">
        <v>0.63500000000000001</v>
      </c>
      <c r="Z63" s="71">
        <v>0.63500000000000001</v>
      </c>
      <c r="AA63" s="71">
        <v>0.57499999999999996</v>
      </c>
      <c r="AB63" s="380">
        <f>0.98/2</f>
        <v>0.49</v>
      </c>
      <c r="AC63" s="380">
        <f>0.88/2</f>
        <v>0.44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0">SUM(F61:F63)</f>
        <v>0.88</v>
      </c>
      <c r="G64" s="19">
        <f>SUM(G61:G63)</f>
        <v>0.82</v>
      </c>
      <c r="H64" s="19">
        <f>SUM(H61:H63)</f>
        <v>0.8</v>
      </c>
      <c r="I64" s="19">
        <f>SUM(I61:I63)</f>
        <v>0.78</v>
      </c>
      <c r="J64" s="19">
        <f t="shared" ref="J64:AC64" si="21">SUM(J61:J63)</f>
        <v>0.75</v>
      </c>
      <c r="K64" s="19">
        <f>SUM(K61:K63)</f>
        <v>0.8</v>
      </c>
      <c r="L64" s="19">
        <f t="shared" si="21"/>
        <v>0.96</v>
      </c>
      <c r="M64" s="19">
        <f t="shared" si="21"/>
        <v>1</v>
      </c>
      <c r="N64" s="19">
        <f t="shared" si="21"/>
        <v>1</v>
      </c>
      <c r="O64" s="19">
        <f t="shared" si="21"/>
        <v>1.1599999999999999</v>
      </c>
      <c r="P64" s="19">
        <f t="shared" si="21"/>
        <v>1.26</v>
      </c>
      <c r="Q64" s="19">
        <f t="shared" si="21"/>
        <v>1.28</v>
      </c>
      <c r="R64" s="19">
        <f t="shared" si="21"/>
        <v>1.2</v>
      </c>
      <c r="S64" s="19">
        <f t="shared" si="21"/>
        <v>1.28</v>
      </c>
      <c r="T64" s="19">
        <f t="shared" si="21"/>
        <v>1.3</v>
      </c>
      <c r="U64" s="19">
        <f>SUM(U61:U63)</f>
        <v>1.2</v>
      </c>
      <c r="V64" s="19">
        <f t="shared" si="21"/>
        <v>1.2</v>
      </c>
      <c r="W64" s="19">
        <f t="shared" si="21"/>
        <v>1.03</v>
      </c>
      <c r="X64" s="19">
        <f t="shared" si="21"/>
        <v>1.1100000000000001</v>
      </c>
      <c r="Y64" s="19">
        <f t="shared" si="21"/>
        <v>1.27</v>
      </c>
      <c r="Z64" s="19">
        <f t="shared" si="21"/>
        <v>1.27</v>
      </c>
      <c r="AA64" s="19">
        <f t="shared" si="21"/>
        <v>1.1499999999999999</v>
      </c>
      <c r="AB64" s="19">
        <f t="shared" si="21"/>
        <v>0.98</v>
      </c>
      <c r="AC64" s="19">
        <f t="shared" si="21"/>
        <v>0.88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96.6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2">COUNTIF(F66:AC66,$AF$11)</f>
        <v>0</v>
      </c>
      <c r="AG66" s="11">
        <f t="shared" ref="AG66:AG74" si="23">COUNTIF(G66:AC66,$AG$11)</f>
        <v>0</v>
      </c>
      <c r="AH66" s="11">
        <f t="shared" ref="AH66:AH74" si="24">COUNT(F66:AC66)</f>
        <v>0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3.6/5</f>
        <v>0.72</v>
      </c>
      <c r="G67" s="71">
        <f>3.4/5</f>
        <v>0.67999999999999994</v>
      </c>
      <c r="H67" s="71">
        <f>3.2/5</f>
        <v>0.64</v>
      </c>
      <c r="I67" s="71"/>
      <c r="J67" s="71"/>
      <c r="K67" s="71"/>
      <c r="L67" s="71"/>
      <c r="M67" s="71"/>
      <c r="N67" s="71"/>
      <c r="O67" s="71"/>
      <c r="P67" s="71">
        <f>4.5/6</f>
        <v>0.75</v>
      </c>
      <c r="Q67" s="71">
        <f>4.6/6</f>
        <v>0.76666666666666661</v>
      </c>
      <c r="R67" s="71">
        <f>4.7/6</f>
        <v>0.78333333333333333</v>
      </c>
      <c r="S67" s="71">
        <f>4.7/6</f>
        <v>0.78333333333333333</v>
      </c>
      <c r="T67" s="71">
        <v>0.81666666666666676</v>
      </c>
      <c r="U67" s="71">
        <f>4.8/6</f>
        <v>0.79999999999999993</v>
      </c>
      <c r="V67" s="71">
        <f>4.5/6</f>
        <v>0.75</v>
      </c>
      <c r="W67" s="71">
        <f>4.4/6</f>
        <v>0.73333333333333339</v>
      </c>
      <c r="X67" s="71">
        <f>4.2/6</f>
        <v>0.70000000000000007</v>
      </c>
      <c r="Y67" s="71">
        <v>0.8</v>
      </c>
      <c r="Z67" s="71">
        <f t="shared" ref="Z67:AB68" si="25">4.2/6</f>
        <v>0.70000000000000007</v>
      </c>
      <c r="AA67" s="71">
        <f t="shared" si="25"/>
        <v>0.70000000000000007</v>
      </c>
      <c r="AB67" s="71">
        <f t="shared" si="25"/>
        <v>0.70000000000000007</v>
      </c>
      <c r="AC67" s="71">
        <f>4.1/6</f>
        <v>0.68333333333333324</v>
      </c>
      <c r="AD67" s="35"/>
      <c r="AE67" s="35"/>
      <c r="AF67" s="11">
        <f t="shared" si="22"/>
        <v>0</v>
      </c>
      <c r="AG67" s="11">
        <f t="shared" si="23"/>
        <v>0</v>
      </c>
      <c r="AH67" s="11">
        <f t="shared" si="24"/>
        <v>17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 t="shared" ref="F68:F71" si="26">3.6/5</f>
        <v>0.72</v>
      </c>
      <c r="G68" s="71">
        <f t="shared" ref="G68:G71" si="27">3.4/5</f>
        <v>0.67999999999999994</v>
      </c>
      <c r="H68" s="71">
        <f t="shared" ref="H68:H71" si="28">3.2/5</f>
        <v>0.64</v>
      </c>
      <c r="I68" s="71">
        <f>3.2/5</f>
        <v>0.64</v>
      </c>
      <c r="J68" s="71">
        <f>3/5</f>
        <v>0.6</v>
      </c>
      <c r="K68" s="71">
        <f>3.4/5</f>
        <v>0.67999999999999994</v>
      </c>
      <c r="L68" s="71">
        <f>3.6/5</f>
        <v>0.72</v>
      </c>
      <c r="M68" s="71">
        <f>3.6/5</f>
        <v>0.72</v>
      </c>
      <c r="N68" s="71">
        <f>3.5/5</f>
        <v>0.7</v>
      </c>
      <c r="O68" s="71">
        <f>4.1/5</f>
        <v>0.82</v>
      </c>
      <c r="P68" s="71">
        <f t="shared" ref="P68:P71" si="29">4.5/6</f>
        <v>0.75</v>
      </c>
      <c r="Q68" s="71">
        <f t="shared" ref="Q68:Q71" si="30">4.6/6</f>
        <v>0.76666666666666661</v>
      </c>
      <c r="R68" s="71">
        <f t="shared" ref="R68:R71" si="31">4.7/6</f>
        <v>0.78333333333333333</v>
      </c>
      <c r="S68" s="71">
        <f>4.7/6</f>
        <v>0.78333333333333333</v>
      </c>
      <c r="T68" s="71">
        <v>0.81666666666666676</v>
      </c>
      <c r="U68" s="71">
        <f t="shared" ref="U68:U71" si="32">4.8/6</f>
        <v>0.79999999999999993</v>
      </c>
      <c r="V68" s="71">
        <f t="shared" ref="V68:V71" si="33">4.5/6</f>
        <v>0.75</v>
      </c>
      <c r="W68" s="71">
        <f t="shared" ref="W68:W71" si="34">4.4/6</f>
        <v>0.73333333333333339</v>
      </c>
      <c r="X68" s="71">
        <f t="shared" ref="X68:X71" si="35">4.2/6</f>
        <v>0.70000000000000007</v>
      </c>
      <c r="Y68" s="71">
        <v>0.8</v>
      </c>
      <c r="Z68" s="71">
        <f t="shared" si="25"/>
        <v>0.70000000000000007</v>
      </c>
      <c r="AA68" s="71">
        <f t="shared" si="25"/>
        <v>0.70000000000000007</v>
      </c>
      <c r="AB68" s="71">
        <f t="shared" si="25"/>
        <v>0.70000000000000007</v>
      </c>
      <c r="AC68" s="71">
        <f>4.1/6</f>
        <v>0.68333333333333324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4"/>
        <v>24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f t="shared" si="26"/>
        <v>0.72</v>
      </c>
      <c r="G69" s="71">
        <f t="shared" si="27"/>
        <v>0.67999999999999994</v>
      </c>
      <c r="H69" s="71">
        <f t="shared" si="28"/>
        <v>0.64</v>
      </c>
      <c r="I69" s="71">
        <f>3.2/5</f>
        <v>0.64</v>
      </c>
      <c r="J69" s="71">
        <f t="shared" ref="J69:J71" si="36">3/5</f>
        <v>0.6</v>
      </c>
      <c r="K69" s="71">
        <f t="shared" ref="K69:K71" si="37">3.4/5</f>
        <v>0.67999999999999994</v>
      </c>
      <c r="L69" s="71">
        <f t="shared" ref="L69:L71" si="38">3.6/5</f>
        <v>0.72</v>
      </c>
      <c r="M69" s="71">
        <f>3.6/5</f>
        <v>0.72</v>
      </c>
      <c r="N69" s="71">
        <f t="shared" ref="N69:N71" si="39">3.5/5</f>
        <v>0.7</v>
      </c>
      <c r="O69" s="71">
        <f t="shared" ref="O69:O71" si="40">4.1/5</f>
        <v>0.82</v>
      </c>
      <c r="P69" s="71">
        <f t="shared" si="29"/>
        <v>0.75</v>
      </c>
      <c r="Q69" s="71">
        <f t="shared" si="30"/>
        <v>0.76666666666666661</v>
      </c>
      <c r="R69" s="71">
        <f t="shared" si="31"/>
        <v>0.78333333333333333</v>
      </c>
      <c r="S69" s="71">
        <f>4.7/6</f>
        <v>0.78333333333333333</v>
      </c>
      <c r="T69" s="71">
        <v>0.81666666666666676</v>
      </c>
      <c r="U69" s="71">
        <f t="shared" si="32"/>
        <v>0.79999999999999993</v>
      </c>
      <c r="V69" s="71">
        <f t="shared" si="33"/>
        <v>0.75</v>
      </c>
      <c r="W69" s="71">
        <f t="shared" si="34"/>
        <v>0.73333333333333339</v>
      </c>
      <c r="X69" s="71">
        <f t="shared" si="35"/>
        <v>0.70000000000000007</v>
      </c>
      <c r="Y69" s="71">
        <v>0.8</v>
      </c>
      <c r="Z69" s="71">
        <f>4.2/6</f>
        <v>0.70000000000000007</v>
      </c>
      <c r="AA69" s="71">
        <f>4.2/6</f>
        <v>0.70000000000000007</v>
      </c>
      <c r="AB69" s="71"/>
      <c r="AC69" s="71">
        <f>4.1/6</f>
        <v>0.68333333333333324</v>
      </c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23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si="26"/>
        <v>0.72</v>
      </c>
      <c r="G70" s="71">
        <f t="shared" si="27"/>
        <v>0.67999999999999994</v>
      </c>
      <c r="H70" s="71">
        <f t="shared" si="28"/>
        <v>0.64</v>
      </c>
      <c r="I70" s="71">
        <f>3.2/5</f>
        <v>0.64</v>
      </c>
      <c r="J70" s="71">
        <f t="shared" si="36"/>
        <v>0.6</v>
      </c>
      <c r="K70" s="71">
        <f t="shared" si="37"/>
        <v>0.67999999999999994</v>
      </c>
      <c r="L70" s="71">
        <f t="shared" si="38"/>
        <v>0.72</v>
      </c>
      <c r="M70" s="71">
        <f>3.6/5</f>
        <v>0.72</v>
      </c>
      <c r="N70" s="71">
        <f t="shared" si="39"/>
        <v>0.7</v>
      </c>
      <c r="O70" s="71">
        <f t="shared" si="40"/>
        <v>0.82</v>
      </c>
      <c r="P70" s="71">
        <f t="shared" si="29"/>
        <v>0.75</v>
      </c>
      <c r="Q70" s="71">
        <f t="shared" si="30"/>
        <v>0.76666666666666661</v>
      </c>
      <c r="R70" s="71">
        <f t="shared" si="31"/>
        <v>0.78333333333333333</v>
      </c>
      <c r="S70" s="71">
        <f>4.7/6</f>
        <v>0.78333333333333333</v>
      </c>
      <c r="T70" s="71">
        <v>0.81666666666666676</v>
      </c>
      <c r="U70" s="71">
        <f t="shared" si="32"/>
        <v>0.79999999999999993</v>
      </c>
      <c r="V70" s="71">
        <f t="shared" si="33"/>
        <v>0.75</v>
      </c>
      <c r="W70" s="71">
        <f t="shared" si="34"/>
        <v>0.73333333333333339</v>
      </c>
      <c r="X70" s="71">
        <f t="shared" si="35"/>
        <v>0.70000000000000007</v>
      </c>
      <c r="Y70" s="71">
        <f>4.2/6</f>
        <v>0.70000000000000007</v>
      </c>
      <c r="Z70" s="71">
        <f>4.2/6</f>
        <v>0.70000000000000007</v>
      </c>
      <c r="AA70" s="71">
        <f>4.2/6</f>
        <v>0.70000000000000007</v>
      </c>
      <c r="AB70" s="71">
        <f>4.2/6</f>
        <v>0.70000000000000007</v>
      </c>
      <c r="AC70" s="71">
        <f>4.1/6</f>
        <v>0.68333333333333324</v>
      </c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6"/>
        <v>0.72</v>
      </c>
      <c r="G71" s="71">
        <f t="shared" si="27"/>
        <v>0.67999999999999994</v>
      </c>
      <c r="H71" s="71">
        <f t="shared" si="28"/>
        <v>0.64</v>
      </c>
      <c r="I71" s="71">
        <f>3.2/5</f>
        <v>0.64</v>
      </c>
      <c r="J71" s="71">
        <f t="shared" si="36"/>
        <v>0.6</v>
      </c>
      <c r="K71" s="71">
        <f t="shared" si="37"/>
        <v>0.67999999999999994</v>
      </c>
      <c r="L71" s="71">
        <f t="shared" si="38"/>
        <v>0.72</v>
      </c>
      <c r="M71" s="71">
        <f>3.6/5</f>
        <v>0.72</v>
      </c>
      <c r="N71" s="71">
        <f t="shared" si="39"/>
        <v>0.7</v>
      </c>
      <c r="O71" s="71">
        <f t="shared" si="40"/>
        <v>0.82</v>
      </c>
      <c r="P71" s="71">
        <f t="shared" si="29"/>
        <v>0.75</v>
      </c>
      <c r="Q71" s="71">
        <f t="shared" si="30"/>
        <v>0.76666666666666661</v>
      </c>
      <c r="R71" s="71">
        <f t="shared" si="31"/>
        <v>0.78333333333333333</v>
      </c>
      <c r="S71" s="71">
        <f>4.7/6</f>
        <v>0.78333333333333333</v>
      </c>
      <c r="T71" s="71">
        <v>0.81666666666666676</v>
      </c>
      <c r="U71" s="71">
        <f t="shared" si="32"/>
        <v>0.79999999999999993</v>
      </c>
      <c r="V71" s="71">
        <f t="shared" si="33"/>
        <v>0.75</v>
      </c>
      <c r="W71" s="71">
        <f t="shared" si="34"/>
        <v>0.73333333333333339</v>
      </c>
      <c r="X71" s="71">
        <f t="shared" si="35"/>
        <v>0.70000000000000007</v>
      </c>
      <c r="Y71" s="71">
        <f>4.2/6</f>
        <v>0.70000000000000007</v>
      </c>
      <c r="Z71" s="71">
        <f>4.2/6</f>
        <v>0.70000000000000007</v>
      </c>
      <c r="AA71" s="71">
        <v>0.8</v>
      </c>
      <c r="AB71" s="71">
        <v>0.8</v>
      </c>
      <c r="AC71" s="71">
        <f>4.1/6</f>
        <v>0.68333333333333324</v>
      </c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2"/>
        <v>24</v>
      </c>
      <c r="AG73" s="11">
        <f t="shared" si="23"/>
        <v>0</v>
      </c>
      <c r="AH73" s="11">
        <f t="shared" si="24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>
        <f>3.2/5</f>
        <v>0.64</v>
      </c>
      <c r="J74" s="71">
        <f t="shared" ref="J74" si="41">3/5</f>
        <v>0.6</v>
      </c>
      <c r="K74" s="71">
        <f t="shared" ref="K74" si="42">3.4/5</f>
        <v>0.67999999999999994</v>
      </c>
      <c r="L74" s="71">
        <f t="shared" ref="L74" si="43">3.6/5</f>
        <v>0.72</v>
      </c>
      <c r="M74" s="71">
        <f>3.6/5</f>
        <v>0.72</v>
      </c>
      <c r="N74" s="71">
        <f>3.5/5</f>
        <v>0.7</v>
      </c>
      <c r="O74" s="71">
        <f>4.1/5</f>
        <v>0.82</v>
      </c>
      <c r="P74" s="71">
        <f>4.5/6</f>
        <v>0.75</v>
      </c>
      <c r="Q74" s="71">
        <f>4.6/6</f>
        <v>0.76666666666666661</v>
      </c>
      <c r="R74" s="71">
        <f>4.7/6</f>
        <v>0.78333333333333333</v>
      </c>
      <c r="S74" s="71">
        <f>4.7/6</f>
        <v>0.78333333333333333</v>
      </c>
      <c r="T74" s="71">
        <v>0.81666666666666676</v>
      </c>
      <c r="U74" s="71">
        <f>4.8/6</f>
        <v>0.79999999999999993</v>
      </c>
      <c r="V74" s="71">
        <f t="shared" ref="V74" si="44">4.5/6</f>
        <v>0.75</v>
      </c>
      <c r="W74" s="71">
        <f t="shared" ref="W74" si="45">4.4/6</f>
        <v>0.73333333333333339</v>
      </c>
      <c r="X74" s="71">
        <f>4.2/6</f>
        <v>0.70000000000000007</v>
      </c>
      <c r="Y74" s="71">
        <f>4.2/6</f>
        <v>0.70000000000000007</v>
      </c>
      <c r="Z74" s="71">
        <v>0.6</v>
      </c>
      <c r="AA74" s="71">
        <v>0.8</v>
      </c>
      <c r="AB74" s="71">
        <v>0.7</v>
      </c>
      <c r="AC74" s="71">
        <f>4.1/6</f>
        <v>0.68333333333333324</v>
      </c>
      <c r="AD74" s="31"/>
      <c r="AE74" s="31"/>
      <c r="AF74" s="11">
        <f t="shared" si="22"/>
        <v>0</v>
      </c>
      <c r="AG74" s="11">
        <f t="shared" si="23"/>
        <v>0</v>
      </c>
      <c r="AH74" s="11">
        <f t="shared" si="24"/>
        <v>21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46">SUM(F66:F74)</f>
        <v>3.5999999999999996</v>
      </c>
      <c r="G75" s="19">
        <f t="shared" si="46"/>
        <v>3.3999999999999995</v>
      </c>
      <c r="H75" s="19">
        <f t="shared" si="46"/>
        <v>3.2</v>
      </c>
      <c r="I75" s="19">
        <f t="shared" si="46"/>
        <v>3.2</v>
      </c>
      <c r="J75" s="19">
        <f t="shared" si="46"/>
        <v>3</v>
      </c>
      <c r="K75" s="19">
        <f t="shared" si="46"/>
        <v>3.3999999999999995</v>
      </c>
      <c r="L75" s="19">
        <f>SUM(L66:L74)</f>
        <v>3.5999999999999996</v>
      </c>
      <c r="M75" s="19">
        <f t="shared" si="46"/>
        <v>3.5999999999999996</v>
      </c>
      <c r="N75" s="19">
        <f t="shared" si="46"/>
        <v>3.5</v>
      </c>
      <c r="O75" s="19">
        <f t="shared" si="46"/>
        <v>4.0999999999999996</v>
      </c>
      <c r="P75" s="19">
        <f t="shared" si="46"/>
        <v>4.5</v>
      </c>
      <c r="Q75" s="19">
        <f t="shared" si="46"/>
        <v>4.5999999999999996</v>
      </c>
      <c r="R75" s="19">
        <f t="shared" si="46"/>
        <v>4.7</v>
      </c>
      <c r="S75" s="19">
        <f t="shared" si="46"/>
        <v>4.7</v>
      </c>
      <c r="T75" s="19">
        <f t="shared" si="46"/>
        <v>4.9000000000000004</v>
      </c>
      <c r="U75" s="19">
        <f t="shared" si="46"/>
        <v>4.8</v>
      </c>
      <c r="V75" s="19">
        <f t="shared" si="46"/>
        <v>4.5</v>
      </c>
      <c r="W75" s="19">
        <f t="shared" si="46"/>
        <v>4.4000000000000004</v>
      </c>
      <c r="X75" s="19">
        <f t="shared" si="46"/>
        <v>4.2</v>
      </c>
      <c r="Y75" s="19">
        <f t="shared" si="46"/>
        <v>4.5000000000000009</v>
      </c>
      <c r="Z75" s="19">
        <f t="shared" si="46"/>
        <v>4.1000000000000005</v>
      </c>
      <c r="AA75" s="19">
        <f t="shared" si="46"/>
        <v>4.4000000000000004</v>
      </c>
      <c r="AB75" s="19">
        <f t="shared" si="46"/>
        <v>3.6000000000000005</v>
      </c>
      <c r="AC75" s="19">
        <f t="shared" si="46"/>
        <v>4.0999999999999996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19.7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0.79</v>
      </c>
      <c r="N77" s="71">
        <v>0.71</v>
      </c>
      <c r="O77" s="71">
        <v>0.74</v>
      </c>
      <c r="P77" s="71">
        <v>0.82</v>
      </c>
      <c r="Q77" s="71">
        <v>0.86</v>
      </c>
      <c r="R77" s="71">
        <v>0.85</v>
      </c>
      <c r="S77" s="71">
        <v>0.87</v>
      </c>
      <c r="T77" s="71">
        <v>0.85</v>
      </c>
      <c r="U77" s="71">
        <v>0.84</v>
      </c>
      <c r="V77" s="71">
        <v>0.83</v>
      </c>
      <c r="W77" s="71">
        <v>0.89</v>
      </c>
      <c r="X77" s="71">
        <v>0.83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0.82</v>
      </c>
      <c r="G78" s="71">
        <v>0.78</v>
      </c>
      <c r="H78" s="71">
        <v>0.77</v>
      </c>
      <c r="I78" s="71">
        <v>0.75</v>
      </c>
      <c r="J78" s="71">
        <v>0.72</v>
      </c>
      <c r="K78" s="71">
        <v>0.77</v>
      </c>
      <c r="L78" s="71">
        <v>0.81</v>
      </c>
      <c r="M78" s="71">
        <v>0</v>
      </c>
      <c r="N78" s="71">
        <v>0</v>
      </c>
      <c r="O78" s="71">
        <v>0</v>
      </c>
      <c r="P78" s="71">
        <v>0</v>
      </c>
      <c r="Q78" s="71"/>
      <c r="R78" s="71"/>
      <c r="S78" s="71"/>
      <c r="T78" s="71"/>
      <c r="U78" s="71"/>
      <c r="V78" s="71"/>
      <c r="W78" s="71"/>
      <c r="X78" s="71"/>
      <c r="Y78" s="71">
        <v>0.94</v>
      </c>
      <c r="Z78" s="71">
        <v>0.93</v>
      </c>
      <c r="AA78" s="71">
        <v>0.91</v>
      </c>
      <c r="AB78" s="71">
        <v>0.84</v>
      </c>
      <c r="AC78" s="71">
        <v>0.78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7">SUM(F77:F78)</f>
        <v>0.82</v>
      </c>
      <c r="G79" s="19">
        <f>SUM(G77:G78)</f>
        <v>0.78</v>
      </c>
      <c r="H79" s="19">
        <f>SUM(H77:H78)</f>
        <v>0.77</v>
      </c>
      <c r="I79" s="19">
        <f>SUM(I77:I78)</f>
        <v>0.75</v>
      </c>
      <c r="J79" s="19">
        <f t="shared" ref="J79:AC79" si="48">SUM(J77:J78)</f>
        <v>0.72</v>
      </c>
      <c r="K79" s="19">
        <f t="shared" si="48"/>
        <v>0.77</v>
      </c>
      <c r="L79" s="19">
        <f>SUM(L77:L78)</f>
        <v>0.81</v>
      </c>
      <c r="M79" s="19">
        <f t="shared" si="48"/>
        <v>0.79</v>
      </c>
      <c r="N79" s="19">
        <f t="shared" si="48"/>
        <v>0.71</v>
      </c>
      <c r="O79" s="19">
        <f>SUM(O77:O78)</f>
        <v>0.74</v>
      </c>
      <c r="P79" s="19">
        <f t="shared" si="48"/>
        <v>0.82</v>
      </c>
      <c r="Q79" s="19">
        <f t="shared" si="48"/>
        <v>0.86</v>
      </c>
      <c r="R79" s="19">
        <f t="shared" si="48"/>
        <v>0.85</v>
      </c>
      <c r="S79" s="19">
        <f t="shared" si="48"/>
        <v>0.87</v>
      </c>
      <c r="T79" s="19">
        <f t="shared" si="48"/>
        <v>0.85</v>
      </c>
      <c r="U79" s="19">
        <f t="shared" si="48"/>
        <v>0.84</v>
      </c>
      <c r="V79" s="19">
        <f t="shared" si="48"/>
        <v>0.83</v>
      </c>
      <c r="W79" s="19">
        <f t="shared" si="48"/>
        <v>0.89</v>
      </c>
      <c r="X79" s="19">
        <f t="shared" si="48"/>
        <v>0.83</v>
      </c>
      <c r="Y79" s="19">
        <f t="shared" si="48"/>
        <v>0.94</v>
      </c>
      <c r="Z79" s="19">
        <f t="shared" si="48"/>
        <v>0.93</v>
      </c>
      <c r="AA79" s="19">
        <f t="shared" si="48"/>
        <v>0.91</v>
      </c>
      <c r="AB79" s="19">
        <f t="shared" si="48"/>
        <v>0.84</v>
      </c>
      <c r="AC79" s="19">
        <f t="shared" si="48"/>
        <v>0.78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49">SUM(F17,F22,F25,F30,F33,F59,F64,F75,F79,F81)</f>
        <v>41.600000000000009</v>
      </c>
      <c r="G82" s="28">
        <f t="shared" si="49"/>
        <v>39.25</v>
      </c>
      <c r="H82" s="28">
        <f t="shared" si="49"/>
        <v>37.869999999999997</v>
      </c>
      <c r="I82" s="28">
        <f t="shared" si="49"/>
        <v>36.930000000000007</v>
      </c>
      <c r="J82" s="28">
        <f t="shared" si="49"/>
        <v>36.069999999999993</v>
      </c>
      <c r="K82" s="28">
        <f t="shared" si="49"/>
        <v>38.07</v>
      </c>
      <c r="L82" s="28">
        <f t="shared" si="49"/>
        <v>41.470000000000006</v>
      </c>
      <c r="M82" s="28">
        <f t="shared" si="49"/>
        <v>42.39</v>
      </c>
      <c r="N82" s="28">
        <f t="shared" si="49"/>
        <v>43.46</v>
      </c>
      <c r="O82" s="28">
        <f t="shared" si="49"/>
        <v>48.9</v>
      </c>
      <c r="P82" s="28">
        <f t="shared" si="49"/>
        <v>52.480000000000004</v>
      </c>
      <c r="Q82" s="28">
        <f t="shared" si="49"/>
        <v>53.040000000000006</v>
      </c>
      <c r="R82" s="28">
        <f t="shared" si="49"/>
        <v>52.45000000000001</v>
      </c>
      <c r="S82" s="28">
        <f t="shared" si="49"/>
        <v>54.949999999999996</v>
      </c>
      <c r="T82" s="28">
        <f t="shared" si="49"/>
        <v>56.05</v>
      </c>
      <c r="U82" s="28">
        <f t="shared" si="49"/>
        <v>55.740000000000009</v>
      </c>
      <c r="V82" s="28">
        <f t="shared" si="49"/>
        <v>56.53</v>
      </c>
      <c r="W82" s="28">
        <f t="shared" si="49"/>
        <v>53.82</v>
      </c>
      <c r="X82" s="28">
        <f t="shared" si="49"/>
        <v>51.94</v>
      </c>
      <c r="Y82" s="28">
        <f t="shared" si="49"/>
        <v>58.610000000000007</v>
      </c>
      <c r="Z82" s="28">
        <f t="shared" si="49"/>
        <v>54.600000000000009</v>
      </c>
      <c r="AA82" s="28">
        <f t="shared" si="49"/>
        <v>48.46</v>
      </c>
      <c r="AB82" s="28">
        <f t="shared" si="49"/>
        <v>46.32</v>
      </c>
      <c r="AC82" s="28">
        <f t="shared" si="49"/>
        <v>44.160000000000011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50">SUM(F22,F25)</f>
        <v>3.8</v>
      </c>
      <c r="G88" s="64">
        <f t="shared" si="50"/>
        <v>3.8</v>
      </c>
      <c r="H88" s="64">
        <f t="shared" si="50"/>
        <v>3.8</v>
      </c>
      <c r="I88" s="64">
        <f t="shared" si="50"/>
        <v>3.8</v>
      </c>
      <c r="J88" s="64">
        <f t="shared" si="50"/>
        <v>3.8</v>
      </c>
      <c r="K88" s="64">
        <f t="shared" si="50"/>
        <v>3.8</v>
      </c>
      <c r="L88" s="64">
        <f t="shared" si="50"/>
        <v>3.8</v>
      </c>
      <c r="M88" s="64">
        <f t="shared" si="50"/>
        <v>3.8</v>
      </c>
      <c r="N88" s="64">
        <f t="shared" si="50"/>
        <v>3.8</v>
      </c>
      <c r="O88" s="64">
        <f t="shared" si="50"/>
        <v>3.8</v>
      </c>
      <c r="P88" s="64">
        <f t="shared" si="50"/>
        <v>3.8</v>
      </c>
      <c r="Q88" s="64">
        <f t="shared" si="50"/>
        <v>3.8</v>
      </c>
      <c r="R88" s="64">
        <f t="shared" si="50"/>
        <v>3.8</v>
      </c>
      <c r="S88" s="64">
        <f t="shared" si="50"/>
        <v>3.8</v>
      </c>
      <c r="T88" s="64">
        <f t="shared" si="50"/>
        <v>3.8</v>
      </c>
      <c r="U88" s="64">
        <f t="shared" si="50"/>
        <v>3.8</v>
      </c>
      <c r="V88" s="64">
        <f t="shared" si="50"/>
        <v>4.3</v>
      </c>
      <c r="W88" s="64">
        <f t="shared" si="50"/>
        <v>6.2</v>
      </c>
      <c r="X88" s="64">
        <f t="shared" si="50"/>
        <v>7</v>
      </c>
      <c r="Y88" s="64">
        <f t="shared" si="50"/>
        <v>7</v>
      </c>
      <c r="Z88" s="64">
        <f t="shared" si="50"/>
        <v>7.1</v>
      </c>
      <c r="AA88" s="64">
        <f t="shared" si="50"/>
        <v>6.8</v>
      </c>
      <c r="AB88" s="64">
        <f t="shared" si="50"/>
        <v>7</v>
      </c>
      <c r="AC88" s="64">
        <f t="shared" si="50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0.25800000000000001</v>
      </c>
      <c r="G89" s="68">
        <v>0.20699999999999999</v>
      </c>
      <c r="H89" s="68">
        <v>0.20699999999999999</v>
      </c>
      <c r="I89" s="68">
        <v>0.14000000000000001</v>
      </c>
      <c r="J89" s="68">
        <v>0.16600000000000001</v>
      </c>
      <c r="K89" s="68">
        <v>0.191</v>
      </c>
      <c r="L89" s="68">
        <v>0.16600000000000001</v>
      </c>
      <c r="M89" s="68">
        <v>0.20399999999999999</v>
      </c>
      <c r="N89" s="68">
        <v>0.23300000000000001</v>
      </c>
      <c r="O89" s="68">
        <v>0.25600000000000001</v>
      </c>
      <c r="P89" s="68">
        <v>0.219</v>
      </c>
      <c r="Q89" s="68">
        <v>0.24399999999999999</v>
      </c>
      <c r="R89" s="68">
        <v>0.26600000000000001</v>
      </c>
      <c r="S89" s="68">
        <v>0.189</v>
      </c>
      <c r="T89" s="68">
        <v>0.21199999999999999</v>
      </c>
      <c r="U89" s="68">
        <v>0.20300000000000001</v>
      </c>
      <c r="V89" s="68">
        <v>0.22700000000000001</v>
      </c>
      <c r="W89" s="68">
        <v>0.20200000000000001</v>
      </c>
      <c r="X89" s="68">
        <v>0.27500000000000002</v>
      </c>
      <c r="Y89" s="68">
        <v>0.24399999999999999</v>
      </c>
      <c r="Z89" s="68">
        <v>0.28000000000000003</v>
      </c>
      <c r="AA89" s="68">
        <v>0.27400000000000002</v>
      </c>
      <c r="AB89" s="68">
        <v>0.22500000000000001</v>
      </c>
      <c r="AC89" s="68">
        <v>0.193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51">F17</f>
        <v>20.100000000000001</v>
      </c>
      <c r="G90" s="64">
        <f t="shared" si="51"/>
        <v>20.100000000000001</v>
      </c>
      <c r="H90" s="64">
        <f t="shared" si="51"/>
        <v>19.799999999999997</v>
      </c>
      <c r="I90" s="64">
        <f t="shared" si="51"/>
        <v>20.399999999999999</v>
      </c>
      <c r="J90" s="64">
        <f t="shared" si="51"/>
        <v>19.799999999999997</v>
      </c>
      <c r="K90" s="64">
        <f t="shared" si="51"/>
        <v>20.100000000000001</v>
      </c>
      <c r="L90" s="64">
        <f t="shared" si="51"/>
        <v>20.100000000000001</v>
      </c>
      <c r="M90" s="64">
        <f t="shared" si="51"/>
        <v>19.799999999999997</v>
      </c>
      <c r="N90" s="64">
        <f t="shared" si="51"/>
        <v>20.2</v>
      </c>
      <c r="O90" s="64">
        <f t="shared" si="51"/>
        <v>26.5</v>
      </c>
      <c r="P90" s="64">
        <f t="shared" si="51"/>
        <v>26.8</v>
      </c>
      <c r="Q90" s="64">
        <f t="shared" si="51"/>
        <v>27</v>
      </c>
      <c r="R90" s="64">
        <f t="shared" si="51"/>
        <v>26.6</v>
      </c>
      <c r="S90" s="64">
        <f t="shared" si="51"/>
        <v>27.2</v>
      </c>
      <c r="T90" s="64">
        <f t="shared" si="51"/>
        <v>26.8</v>
      </c>
      <c r="U90" s="64">
        <f t="shared" si="51"/>
        <v>25.700000000000003</v>
      </c>
      <c r="V90" s="64">
        <f t="shared" si="51"/>
        <v>25.700000000000003</v>
      </c>
      <c r="W90" s="64">
        <f t="shared" si="51"/>
        <v>25.3</v>
      </c>
      <c r="X90" s="64">
        <f t="shared" si="51"/>
        <v>25.799999999999997</v>
      </c>
      <c r="Y90" s="64">
        <f t="shared" si="51"/>
        <v>26</v>
      </c>
      <c r="Z90" s="64">
        <f t="shared" si="51"/>
        <v>19.3</v>
      </c>
      <c r="AA90" s="64">
        <f t="shared" si="51"/>
        <v>12</v>
      </c>
      <c r="AB90" s="64">
        <f t="shared" si="51"/>
        <v>13</v>
      </c>
      <c r="AC90" s="64">
        <f t="shared" si="51"/>
        <v>12.8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0.65</v>
      </c>
      <c r="G91" s="68">
        <v>0.63200000000000001</v>
      </c>
      <c r="H91" s="68">
        <v>0.65200000000000002</v>
      </c>
      <c r="I91" s="68">
        <v>0.65100000000000002</v>
      </c>
      <c r="J91" s="68">
        <v>0.65</v>
      </c>
      <c r="K91" s="68">
        <v>0.69</v>
      </c>
      <c r="L91" s="68">
        <v>0.67200000000000004</v>
      </c>
      <c r="M91" s="68">
        <v>0.68</v>
      </c>
      <c r="N91" s="68">
        <v>0.68300000000000005</v>
      </c>
      <c r="O91" s="68">
        <v>0.88900000000000001</v>
      </c>
      <c r="P91" s="68">
        <v>0.81200000000000006</v>
      </c>
      <c r="Q91" s="68">
        <v>0.95199999999999996</v>
      </c>
      <c r="R91" s="68">
        <v>0.90200000000000002</v>
      </c>
      <c r="S91" s="68">
        <v>0.90500000000000003</v>
      </c>
      <c r="T91" s="68">
        <v>0.90300000000000002</v>
      </c>
      <c r="U91" s="68">
        <v>0.88400000000000001</v>
      </c>
      <c r="V91" s="68">
        <v>0.879</v>
      </c>
      <c r="W91" s="68">
        <v>0.89100000000000001</v>
      </c>
      <c r="X91" s="68">
        <v>0.77300000000000002</v>
      </c>
      <c r="Y91" s="68">
        <v>0.90500000000000003</v>
      </c>
      <c r="Z91" s="68">
        <v>0.84499999999999997</v>
      </c>
      <c r="AA91" s="68">
        <v>0.62</v>
      </c>
      <c r="AB91" s="68">
        <v>0.63500000000000001</v>
      </c>
      <c r="AC91" s="68">
        <v>0.68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52">F30</f>
        <v>8.4</v>
      </c>
      <c r="G92" s="65">
        <f t="shared" si="52"/>
        <v>8</v>
      </c>
      <c r="H92" s="65">
        <f t="shared" si="52"/>
        <v>8</v>
      </c>
      <c r="I92" s="65">
        <f t="shared" si="52"/>
        <v>8</v>
      </c>
      <c r="J92" s="65">
        <f t="shared" si="52"/>
        <v>8</v>
      </c>
      <c r="K92" s="65">
        <f t="shared" si="52"/>
        <v>8.4</v>
      </c>
      <c r="L92" s="65">
        <f t="shared" si="52"/>
        <v>8.4</v>
      </c>
      <c r="M92" s="65">
        <f t="shared" si="52"/>
        <v>8</v>
      </c>
      <c r="N92" s="65">
        <f t="shared" si="52"/>
        <v>8</v>
      </c>
      <c r="O92" s="65">
        <f t="shared" si="52"/>
        <v>8.1</v>
      </c>
      <c r="P92" s="65">
        <f t="shared" si="52"/>
        <v>7.6</v>
      </c>
      <c r="Q92" s="65">
        <f t="shared" si="52"/>
        <v>7.8</v>
      </c>
      <c r="R92" s="65">
        <f t="shared" si="52"/>
        <v>7.6</v>
      </c>
      <c r="S92" s="65">
        <f t="shared" si="52"/>
        <v>7.8</v>
      </c>
      <c r="T92" s="65">
        <f t="shared" si="52"/>
        <v>7.4</v>
      </c>
      <c r="U92" s="65">
        <f t="shared" si="52"/>
        <v>8.4</v>
      </c>
      <c r="V92" s="65">
        <f t="shared" si="52"/>
        <v>9</v>
      </c>
      <c r="W92" s="65">
        <f t="shared" si="52"/>
        <v>8.4</v>
      </c>
      <c r="X92" s="65">
        <f t="shared" si="52"/>
        <v>8.4</v>
      </c>
      <c r="Y92" s="65">
        <f t="shared" si="52"/>
        <v>6.4</v>
      </c>
      <c r="Z92" s="65">
        <f t="shared" si="52"/>
        <v>8.6</v>
      </c>
      <c r="AA92" s="65">
        <f t="shared" si="52"/>
        <v>9</v>
      </c>
      <c r="AB92" s="65">
        <f t="shared" si="52"/>
        <v>8.4</v>
      </c>
      <c r="AC92" s="65">
        <f t="shared" si="52"/>
        <v>8.4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0.28000000000000003</v>
      </c>
      <c r="G93" s="68">
        <v>0.27200000000000002</v>
      </c>
      <c r="H93" s="68">
        <v>0.26300000000000001</v>
      </c>
      <c r="I93" s="68">
        <v>0.26800000000000002</v>
      </c>
      <c r="J93" s="68">
        <v>0.26300000000000001</v>
      </c>
      <c r="K93" s="68">
        <v>0.26800000000000002</v>
      </c>
      <c r="L93" s="68">
        <v>0.26800000000000002</v>
      </c>
      <c r="M93" s="68">
        <v>0.26800000000000002</v>
      </c>
      <c r="N93" s="68">
        <v>0.26800000000000002</v>
      </c>
      <c r="O93" s="68">
        <v>0.29699999999999999</v>
      </c>
      <c r="P93" s="68">
        <v>0.30099999999999999</v>
      </c>
      <c r="Q93" s="68">
        <v>0.29399999999999998</v>
      </c>
      <c r="R93" s="68">
        <v>0.29499999999999998</v>
      </c>
      <c r="S93" s="68">
        <v>0.27800000000000002</v>
      </c>
      <c r="T93" s="68">
        <v>0.28499999999999998</v>
      </c>
      <c r="U93" s="68">
        <v>0.28999999999999998</v>
      </c>
      <c r="V93" s="68">
        <v>0.29799999999999999</v>
      </c>
      <c r="W93" s="68">
        <v>0.28199999999999997</v>
      </c>
      <c r="X93" s="68">
        <v>0.28100000000000003</v>
      </c>
      <c r="Y93" s="68">
        <v>0.28599999999999998</v>
      </c>
      <c r="Z93" s="68">
        <v>0.28699999999999998</v>
      </c>
      <c r="AA93" s="68">
        <v>0.30599999999999999</v>
      </c>
      <c r="AB93" s="68">
        <v>0.30099999999999999</v>
      </c>
      <c r="AC93" s="68">
        <v>0.27600000000000002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53">F33</f>
        <v>0</v>
      </c>
      <c r="G94" s="65">
        <f t="shared" si="53"/>
        <v>0</v>
      </c>
      <c r="H94" s="65">
        <f t="shared" si="53"/>
        <v>0</v>
      </c>
      <c r="I94" s="65">
        <f t="shared" si="53"/>
        <v>0</v>
      </c>
      <c r="J94" s="65">
        <f t="shared" si="53"/>
        <v>0</v>
      </c>
      <c r="K94" s="65">
        <f t="shared" si="53"/>
        <v>0</v>
      </c>
      <c r="L94" s="65">
        <f t="shared" si="53"/>
        <v>0</v>
      </c>
      <c r="M94" s="65">
        <f t="shared" si="53"/>
        <v>0</v>
      </c>
      <c r="N94" s="65">
        <f t="shared" si="53"/>
        <v>0</v>
      </c>
      <c r="O94" s="65">
        <f t="shared" si="53"/>
        <v>0</v>
      </c>
      <c r="P94" s="65">
        <f t="shared" si="53"/>
        <v>0</v>
      </c>
      <c r="Q94" s="65">
        <f t="shared" si="53"/>
        <v>0</v>
      </c>
      <c r="R94" s="65">
        <f t="shared" si="53"/>
        <v>0</v>
      </c>
      <c r="S94" s="65">
        <f t="shared" si="53"/>
        <v>0</v>
      </c>
      <c r="T94" s="65">
        <f t="shared" si="53"/>
        <v>0</v>
      </c>
      <c r="U94" s="65">
        <f t="shared" si="53"/>
        <v>0</v>
      </c>
      <c r="V94" s="65">
        <f t="shared" si="53"/>
        <v>0</v>
      </c>
      <c r="W94" s="65">
        <f t="shared" si="53"/>
        <v>0</v>
      </c>
      <c r="X94" s="65">
        <f t="shared" si="53"/>
        <v>0</v>
      </c>
      <c r="Y94" s="65">
        <f t="shared" si="53"/>
        <v>0</v>
      </c>
      <c r="Z94" s="65">
        <f t="shared" si="53"/>
        <v>0</v>
      </c>
      <c r="AA94" s="65">
        <f t="shared" si="53"/>
        <v>0</v>
      </c>
      <c r="AB94" s="65">
        <f t="shared" si="53"/>
        <v>0</v>
      </c>
      <c r="AC94" s="65">
        <f t="shared" si="53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54">F59</f>
        <v>4</v>
      </c>
      <c r="G96" s="64">
        <f t="shared" si="54"/>
        <v>2.35</v>
      </c>
      <c r="H96" s="64">
        <f t="shared" si="54"/>
        <v>1.5</v>
      </c>
      <c r="I96" s="64">
        <f t="shared" si="54"/>
        <v>0</v>
      </c>
      <c r="J96" s="64">
        <f t="shared" si="54"/>
        <v>0</v>
      </c>
      <c r="K96" s="64">
        <f t="shared" si="54"/>
        <v>0.8</v>
      </c>
      <c r="L96" s="64">
        <f t="shared" si="54"/>
        <v>3.8</v>
      </c>
      <c r="M96" s="64">
        <f t="shared" si="54"/>
        <v>5.3999999999999995</v>
      </c>
      <c r="N96" s="64">
        <f t="shared" si="54"/>
        <v>6.2499999999999991</v>
      </c>
      <c r="O96" s="64">
        <f t="shared" si="54"/>
        <v>4.5</v>
      </c>
      <c r="P96" s="64">
        <f t="shared" si="54"/>
        <v>7.7000000000000011</v>
      </c>
      <c r="Q96" s="64">
        <f t="shared" si="54"/>
        <v>7.7000000000000011</v>
      </c>
      <c r="R96" s="64">
        <f t="shared" si="54"/>
        <v>7.7000000000000011</v>
      </c>
      <c r="S96" s="64">
        <f t="shared" si="54"/>
        <v>9.3000000000000007</v>
      </c>
      <c r="T96" s="64">
        <f t="shared" si="54"/>
        <v>11.000000000000002</v>
      </c>
      <c r="U96" s="64">
        <f t="shared" si="54"/>
        <v>11.000000000000002</v>
      </c>
      <c r="V96" s="64">
        <f t="shared" si="54"/>
        <v>11.000000000000002</v>
      </c>
      <c r="W96" s="64">
        <f t="shared" si="54"/>
        <v>7.6</v>
      </c>
      <c r="X96" s="64">
        <f t="shared" si="54"/>
        <v>4.5999999999999996</v>
      </c>
      <c r="Y96" s="64">
        <f t="shared" si="54"/>
        <v>12.500000000000004</v>
      </c>
      <c r="Z96" s="64">
        <f t="shared" si="54"/>
        <v>13.300000000000004</v>
      </c>
      <c r="AA96" s="64">
        <f t="shared" si="54"/>
        <v>14.200000000000005</v>
      </c>
      <c r="AB96" s="64">
        <f t="shared" si="54"/>
        <v>12.500000000000002</v>
      </c>
      <c r="AC96" s="64">
        <f t="shared" si="54"/>
        <v>10.100000000000001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55">F64</f>
        <v>0.88</v>
      </c>
      <c r="G97" s="64">
        <f t="shared" si="55"/>
        <v>0.82</v>
      </c>
      <c r="H97" s="64">
        <f t="shared" si="55"/>
        <v>0.8</v>
      </c>
      <c r="I97" s="64">
        <f t="shared" si="55"/>
        <v>0.78</v>
      </c>
      <c r="J97" s="64">
        <f t="shared" si="55"/>
        <v>0.75</v>
      </c>
      <c r="K97" s="64">
        <f t="shared" si="55"/>
        <v>0.8</v>
      </c>
      <c r="L97" s="64">
        <f t="shared" si="55"/>
        <v>0.96</v>
      </c>
      <c r="M97" s="64">
        <f t="shared" si="55"/>
        <v>1</v>
      </c>
      <c r="N97" s="64">
        <f t="shared" si="55"/>
        <v>1</v>
      </c>
      <c r="O97" s="64">
        <f t="shared" si="55"/>
        <v>1.1599999999999999</v>
      </c>
      <c r="P97" s="64">
        <f t="shared" si="55"/>
        <v>1.26</v>
      </c>
      <c r="Q97" s="64">
        <f t="shared" si="55"/>
        <v>1.28</v>
      </c>
      <c r="R97" s="64">
        <f t="shared" si="55"/>
        <v>1.2</v>
      </c>
      <c r="S97" s="64">
        <f t="shared" si="55"/>
        <v>1.28</v>
      </c>
      <c r="T97" s="64">
        <f t="shared" si="55"/>
        <v>1.3</v>
      </c>
      <c r="U97" s="64">
        <f t="shared" si="55"/>
        <v>1.2</v>
      </c>
      <c r="V97" s="64">
        <f t="shared" si="55"/>
        <v>1.2</v>
      </c>
      <c r="W97" s="64">
        <f t="shared" si="55"/>
        <v>1.03</v>
      </c>
      <c r="X97" s="64">
        <f t="shared" si="55"/>
        <v>1.1100000000000001</v>
      </c>
      <c r="Y97" s="64">
        <f t="shared" si="55"/>
        <v>1.27</v>
      </c>
      <c r="Z97" s="64">
        <f t="shared" si="55"/>
        <v>1.27</v>
      </c>
      <c r="AA97" s="64">
        <f t="shared" si="55"/>
        <v>1.1499999999999999</v>
      </c>
      <c r="AB97" s="64">
        <f t="shared" si="55"/>
        <v>0.98</v>
      </c>
      <c r="AC97" s="64">
        <f t="shared" si="55"/>
        <v>0.88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56">F75</f>
        <v>3.5999999999999996</v>
      </c>
      <c r="G98" s="64">
        <f t="shared" si="56"/>
        <v>3.3999999999999995</v>
      </c>
      <c r="H98" s="64">
        <f t="shared" si="56"/>
        <v>3.2</v>
      </c>
      <c r="I98" s="64">
        <f t="shared" si="56"/>
        <v>3.2</v>
      </c>
      <c r="J98" s="64">
        <f t="shared" si="56"/>
        <v>3</v>
      </c>
      <c r="K98" s="64">
        <f t="shared" si="56"/>
        <v>3.3999999999999995</v>
      </c>
      <c r="L98" s="64">
        <f t="shared" si="56"/>
        <v>3.5999999999999996</v>
      </c>
      <c r="M98" s="64">
        <f t="shared" si="56"/>
        <v>3.5999999999999996</v>
      </c>
      <c r="N98" s="64">
        <f t="shared" si="56"/>
        <v>3.5</v>
      </c>
      <c r="O98" s="64">
        <f t="shared" si="56"/>
        <v>4.0999999999999996</v>
      </c>
      <c r="P98" s="64">
        <f t="shared" si="56"/>
        <v>4.5</v>
      </c>
      <c r="Q98" s="64">
        <f t="shared" si="56"/>
        <v>4.5999999999999996</v>
      </c>
      <c r="R98" s="64">
        <f t="shared" si="56"/>
        <v>4.7</v>
      </c>
      <c r="S98" s="64">
        <f t="shared" si="56"/>
        <v>4.7</v>
      </c>
      <c r="T98" s="64">
        <f t="shared" si="56"/>
        <v>4.9000000000000004</v>
      </c>
      <c r="U98" s="64">
        <f t="shared" si="56"/>
        <v>4.8</v>
      </c>
      <c r="V98" s="64">
        <f t="shared" si="56"/>
        <v>4.5</v>
      </c>
      <c r="W98" s="64">
        <f t="shared" si="56"/>
        <v>4.4000000000000004</v>
      </c>
      <c r="X98" s="64">
        <f t="shared" si="56"/>
        <v>4.2</v>
      </c>
      <c r="Y98" s="64">
        <f t="shared" si="56"/>
        <v>4.5000000000000009</v>
      </c>
      <c r="Z98" s="64">
        <f t="shared" si="56"/>
        <v>4.1000000000000005</v>
      </c>
      <c r="AA98" s="64">
        <f t="shared" si="56"/>
        <v>4.4000000000000004</v>
      </c>
      <c r="AB98" s="64">
        <f t="shared" si="56"/>
        <v>3.6000000000000005</v>
      </c>
      <c r="AC98" s="64">
        <f t="shared" si="56"/>
        <v>4.0999999999999996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57">F79</f>
        <v>0.82</v>
      </c>
      <c r="G99" s="64">
        <f t="shared" si="57"/>
        <v>0.78</v>
      </c>
      <c r="H99" s="64">
        <f t="shared" si="57"/>
        <v>0.77</v>
      </c>
      <c r="I99" s="64">
        <f t="shared" si="57"/>
        <v>0.75</v>
      </c>
      <c r="J99" s="64">
        <f t="shared" si="57"/>
        <v>0.72</v>
      </c>
      <c r="K99" s="64">
        <f t="shared" si="57"/>
        <v>0.77</v>
      </c>
      <c r="L99" s="64">
        <f t="shared" si="57"/>
        <v>0.81</v>
      </c>
      <c r="M99" s="64">
        <f t="shared" si="57"/>
        <v>0.79</v>
      </c>
      <c r="N99" s="64">
        <f t="shared" si="57"/>
        <v>0.71</v>
      </c>
      <c r="O99" s="64">
        <f t="shared" si="57"/>
        <v>0.74</v>
      </c>
      <c r="P99" s="64">
        <f t="shared" si="57"/>
        <v>0.82</v>
      </c>
      <c r="Q99" s="64">
        <f t="shared" si="57"/>
        <v>0.86</v>
      </c>
      <c r="R99" s="64">
        <f t="shared" si="57"/>
        <v>0.85</v>
      </c>
      <c r="S99" s="64">
        <f t="shared" si="57"/>
        <v>0.87</v>
      </c>
      <c r="T99" s="64">
        <f t="shared" si="57"/>
        <v>0.85</v>
      </c>
      <c r="U99" s="64">
        <f t="shared" si="57"/>
        <v>0.84</v>
      </c>
      <c r="V99" s="64">
        <f t="shared" si="57"/>
        <v>0.83</v>
      </c>
      <c r="W99" s="64">
        <f t="shared" si="57"/>
        <v>0.89</v>
      </c>
      <c r="X99" s="64">
        <f t="shared" si="57"/>
        <v>0.83</v>
      </c>
      <c r="Y99" s="64">
        <f t="shared" si="57"/>
        <v>0.94</v>
      </c>
      <c r="Z99" s="64">
        <f t="shared" si="57"/>
        <v>0.93</v>
      </c>
      <c r="AA99" s="64">
        <f t="shared" si="57"/>
        <v>0.91</v>
      </c>
      <c r="AB99" s="64">
        <f t="shared" si="57"/>
        <v>0.84</v>
      </c>
      <c r="AC99" s="64">
        <f t="shared" si="57"/>
        <v>0.78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58">F81</f>
        <v>0</v>
      </c>
      <c r="G100" s="64">
        <f t="shared" si="58"/>
        <v>0</v>
      </c>
      <c r="H100" s="64">
        <f t="shared" si="58"/>
        <v>0</v>
      </c>
      <c r="I100" s="64">
        <f t="shared" si="58"/>
        <v>0</v>
      </c>
      <c r="J100" s="64">
        <f t="shared" si="58"/>
        <v>0</v>
      </c>
      <c r="K100" s="64">
        <f t="shared" si="58"/>
        <v>0</v>
      </c>
      <c r="L100" s="64">
        <f t="shared" si="58"/>
        <v>0</v>
      </c>
      <c r="M100" s="64">
        <f t="shared" si="58"/>
        <v>0</v>
      </c>
      <c r="N100" s="64">
        <f t="shared" si="58"/>
        <v>0</v>
      </c>
      <c r="O100" s="64">
        <f t="shared" si="58"/>
        <v>0</v>
      </c>
      <c r="P100" s="64">
        <f t="shared" si="58"/>
        <v>0</v>
      </c>
      <c r="Q100" s="64">
        <f t="shared" si="58"/>
        <v>0</v>
      </c>
      <c r="R100" s="64">
        <f t="shared" si="58"/>
        <v>0</v>
      </c>
      <c r="S100" s="64">
        <f t="shared" si="58"/>
        <v>0</v>
      </c>
      <c r="T100" s="64">
        <f t="shared" si="58"/>
        <v>0</v>
      </c>
      <c r="U100" s="64">
        <f t="shared" si="58"/>
        <v>0</v>
      </c>
      <c r="V100" s="64">
        <f t="shared" si="58"/>
        <v>0</v>
      </c>
      <c r="W100" s="64">
        <f t="shared" si="58"/>
        <v>0</v>
      </c>
      <c r="X100" s="64">
        <f t="shared" si="58"/>
        <v>0</v>
      </c>
      <c r="Y100" s="64">
        <f t="shared" si="58"/>
        <v>0</v>
      </c>
      <c r="Z100" s="64">
        <f t="shared" si="58"/>
        <v>0</v>
      </c>
      <c r="AA100" s="64">
        <f t="shared" si="58"/>
        <v>0</v>
      </c>
      <c r="AB100" s="64">
        <f t="shared" si="58"/>
        <v>0</v>
      </c>
      <c r="AC100" s="64">
        <f t="shared" si="5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59">SUM(F88,F90,F92,F94,F96:F100,F80)</f>
        <v>41.600000000000009</v>
      </c>
      <c r="G101" s="61">
        <f t="shared" si="59"/>
        <v>39.25</v>
      </c>
      <c r="H101" s="61">
        <f t="shared" si="59"/>
        <v>37.869999999999997</v>
      </c>
      <c r="I101" s="61">
        <f t="shared" si="59"/>
        <v>36.930000000000007</v>
      </c>
      <c r="J101" s="61">
        <f t="shared" si="59"/>
        <v>36.069999999999993</v>
      </c>
      <c r="K101" s="61">
        <f t="shared" si="59"/>
        <v>38.07</v>
      </c>
      <c r="L101" s="61">
        <f t="shared" si="59"/>
        <v>41.470000000000006</v>
      </c>
      <c r="M101" s="61">
        <f t="shared" si="59"/>
        <v>42.39</v>
      </c>
      <c r="N101" s="61">
        <f t="shared" si="59"/>
        <v>43.46</v>
      </c>
      <c r="O101" s="61">
        <f t="shared" si="59"/>
        <v>48.9</v>
      </c>
      <c r="P101" s="61">
        <f t="shared" si="59"/>
        <v>52.480000000000004</v>
      </c>
      <c r="Q101" s="61">
        <f t="shared" si="59"/>
        <v>53.040000000000006</v>
      </c>
      <c r="R101" s="61">
        <f t="shared" si="59"/>
        <v>52.45000000000001</v>
      </c>
      <c r="S101" s="61">
        <f t="shared" si="59"/>
        <v>54.949999999999996</v>
      </c>
      <c r="T101" s="61">
        <f t="shared" si="59"/>
        <v>56.05</v>
      </c>
      <c r="U101" s="61">
        <f t="shared" si="59"/>
        <v>55.740000000000009</v>
      </c>
      <c r="V101" s="61">
        <f t="shared" si="59"/>
        <v>56.53</v>
      </c>
      <c r="W101" s="61">
        <f t="shared" si="59"/>
        <v>53.82</v>
      </c>
      <c r="X101" s="61">
        <f t="shared" si="59"/>
        <v>51.94</v>
      </c>
      <c r="Y101" s="61">
        <f t="shared" si="59"/>
        <v>58.610000000000007</v>
      </c>
      <c r="Z101" s="61">
        <f t="shared" si="59"/>
        <v>54.600000000000009</v>
      </c>
      <c r="AA101" s="61">
        <f t="shared" si="59"/>
        <v>48.46</v>
      </c>
      <c r="AB101" s="61">
        <f t="shared" si="59"/>
        <v>46.32</v>
      </c>
      <c r="AC101" s="61">
        <f t="shared" si="59"/>
        <v>44.160000000000004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>
        <v>0.99</v>
      </c>
      <c r="P103" s="77">
        <v>0.99</v>
      </c>
      <c r="Q103" s="77">
        <v>0.99</v>
      </c>
      <c r="R103" s="77">
        <v>0.99</v>
      </c>
      <c r="S103" s="77">
        <v>0.99</v>
      </c>
      <c r="T103" s="77">
        <v>0.99</v>
      </c>
      <c r="U103" s="77">
        <v>0.99</v>
      </c>
      <c r="V103" s="77">
        <v>0.99</v>
      </c>
      <c r="W103" s="77">
        <v>0.99</v>
      </c>
      <c r="X103" s="77">
        <v>0.99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>
        <v>1.1200000000000001</v>
      </c>
      <c r="AA104" s="77">
        <f>5.691+1.12</f>
        <v>6.8109999999999999</v>
      </c>
      <c r="AB104" s="77">
        <f>0.8</f>
        <v>0.8</v>
      </c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60">SUM(F102:F104)</f>
        <v>0</v>
      </c>
      <c r="G105" s="61">
        <f t="shared" si="60"/>
        <v>0</v>
      </c>
      <c r="H105" s="61">
        <f t="shared" si="60"/>
        <v>0</v>
      </c>
      <c r="I105" s="61">
        <f t="shared" si="60"/>
        <v>0</v>
      </c>
      <c r="J105" s="61">
        <f t="shared" si="60"/>
        <v>0</v>
      </c>
      <c r="K105" s="61">
        <f t="shared" si="60"/>
        <v>0</v>
      </c>
      <c r="L105" s="61">
        <f t="shared" si="60"/>
        <v>0</v>
      </c>
      <c r="M105" s="61">
        <f t="shared" si="60"/>
        <v>0</v>
      </c>
      <c r="N105" s="61">
        <f t="shared" si="60"/>
        <v>0</v>
      </c>
      <c r="O105" s="61">
        <f t="shared" si="60"/>
        <v>0.99</v>
      </c>
      <c r="P105" s="61">
        <f t="shared" si="60"/>
        <v>0.99</v>
      </c>
      <c r="Q105" s="61">
        <f t="shared" si="60"/>
        <v>0.99</v>
      </c>
      <c r="R105" s="61">
        <f t="shared" si="60"/>
        <v>0.99</v>
      </c>
      <c r="S105" s="61">
        <f t="shared" si="60"/>
        <v>0.99</v>
      </c>
      <c r="T105" s="61">
        <f t="shared" si="60"/>
        <v>0.99</v>
      </c>
      <c r="U105" s="61">
        <f t="shared" si="60"/>
        <v>0.99</v>
      </c>
      <c r="V105" s="61">
        <f t="shared" si="60"/>
        <v>0.99</v>
      </c>
      <c r="W105" s="61">
        <f t="shared" si="60"/>
        <v>0.99</v>
      </c>
      <c r="X105" s="61">
        <f t="shared" si="60"/>
        <v>0.99</v>
      </c>
      <c r="Y105" s="61">
        <f t="shared" si="60"/>
        <v>0</v>
      </c>
      <c r="Z105" s="61">
        <f t="shared" si="60"/>
        <v>1.1200000000000001</v>
      </c>
      <c r="AA105" s="61">
        <f t="shared" si="60"/>
        <v>6.8109999999999999</v>
      </c>
      <c r="AB105" s="61">
        <f t="shared" si="60"/>
        <v>0.8</v>
      </c>
      <c r="AC105" s="61">
        <f t="shared" si="6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61">F101+F105</f>
        <v>41.600000000000009</v>
      </c>
      <c r="G106" s="62">
        <f t="shared" si="61"/>
        <v>39.25</v>
      </c>
      <c r="H106" s="62">
        <f t="shared" si="61"/>
        <v>37.869999999999997</v>
      </c>
      <c r="I106" s="62">
        <f t="shared" si="61"/>
        <v>36.930000000000007</v>
      </c>
      <c r="J106" s="62">
        <f t="shared" si="61"/>
        <v>36.069999999999993</v>
      </c>
      <c r="K106" s="62">
        <f t="shared" si="61"/>
        <v>38.07</v>
      </c>
      <c r="L106" s="62">
        <f t="shared" si="61"/>
        <v>41.470000000000006</v>
      </c>
      <c r="M106" s="62">
        <f t="shared" si="61"/>
        <v>42.39</v>
      </c>
      <c r="N106" s="62">
        <f t="shared" si="61"/>
        <v>43.46</v>
      </c>
      <c r="O106" s="62">
        <f t="shared" si="61"/>
        <v>49.89</v>
      </c>
      <c r="P106" s="62">
        <f t="shared" si="61"/>
        <v>53.470000000000006</v>
      </c>
      <c r="Q106" s="62">
        <f t="shared" si="61"/>
        <v>54.030000000000008</v>
      </c>
      <c r="R106" s="62">
        <f t="shared" si="61"/>
        <v>53.440000000000012</v>
      </c>
      <c r="S106" s="62">
        <f t="shared" si="61"/>
        <v>55.94</v>
      </c>
      <c r="T106" s="62">
        <f t="shared" si="61"/>
        <v>57.04</v>
      </c>
      <c r="U106" s="62">
        <f t="shared" si="61"/>
        <v>56.730000000000011</v>
      </c>
      <c r="V106" s="62">
        <f t="shared" si="61"/>
        <v>57.52</v>
      </c>
      <c r="W106" s="62">
        <f t="shared" si="61"/>
        <v>54.81</v>
      </c>
      <c r="X106" s="62">
        <f t="shared" si="61"/>
        <v>52.93</v>
      </c>
      <c r="Y106" s="62">
        <f t="shared" si="61"/>
        <v>58.610000000000007</v>
      </c>
      <c r="Z106" s="62">
        <f t="shared" si="61"/>
        <v>55.720000000000006</v>
      </c>
      <c r="AA106" s="62">
        <f t="shared" si="61"/>
        <v>55.271000000000001</v>
      </c>
      <c r="AB106" s="62">
        <f t="shared" si="61"/>
        <v>47.12</v>
      </c>
      <c r="AC106" s="62">
        <f t="shared" si="61"/>
        <v>44.160000000000004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62">(COUNT(F13:F16))*7.2+(COUNT(F27:F28)*4.9)+(COUNT(F19:F21)*4.5)-F90-F92</f>
        <v>2.9000000000000004</v>
      </c>
      <c r="G107" s="63">
        <f t="shared" si="62"/>
        <v>3.3000000000000007</v>
      </c>
      <c r="H107" s="63">
        <f t="shared" si="62"/>
        <v>3.600000000000005</v>
      </c>
      <c r="I107" s="63">
        <f t="shared" si="62"/>
        <v>3.0000000000000036</v>
      </c>
      <c r="J107" s="63">
        <f t="shared" si="62"/>
        <v>3.600000000000005</v>
      </c>
      <c r="K107" s="63">
        <f t="shared" si="62"/>
        <v>2.9000000000000004</v>
      </c>
      <c r="L107" s="63">
        <f t="shared" si="62"/>
        <v>2.9000000000000004</v>
      </c>
      <c r="M107" s="63">
        <f t="shared" si="62"/>
        <v>3.600000000000005</v>
      </c>
      <c r="N107" s="63">
        <f t="shared" si="62"/>
        <v>3.2000000000000028</v>
      </c>
      <c r="O107" s="63">
        <f t="shared" si="62"/>
        <v>4.0000000000000018</v>
      </c>
      <c r="P107" s="63">
        <f t="shared" si="62"/>
        <v>4.2000000000000011</v>
      </c>
      <c r="Q107" s="63">
        <f t="shared" si="62"/>
        <v>3.8000000000000016</v>
      </c>
      <c r="R107" s="63">
        <f t="shared" si="62"/>
        <v>4.4000000000000004</v>
      </c>
      <c r="S107" s="63">
        <f t="shared" si="62"/>
        <v>3.6000000000000023</v>
      </c>
      <c r="T107" s="63">
        <f t="shared" si="62"/>
        <v>4.4000000000000004</v>
      </c>
      <c r="U107" s="63">
        <f t="shared" si="62"/>
        <v>4.4999999999999982</v>
      </c>
      <c r="V107" s="63">
        <f t="shared" si="62"/>
        <v>8.3999999999999986</v>
      </c>
      <c r="W107" s="63">
        <f t="shared" si="62"/>
        <v>9.4</v>
      </c>
      <c r="X107" s="63">
        <f t="shared" si="62"/>
        <v>8.9000000000000039</v>
      </c>
      <c r="Y107" s="63">
        <f t="shared" si="62"/>
        <v>10.700000000000001</v>
      </c>
      <c r="Z107" s="63">
        <f t="shared" si="62"/>
        <v>8.0000000000000053</v>
      </c>
      <c r="AA107" s="63">
        <f t="shared" si="62"/>
        <v>7.7000000000000028</v>
      </c>
      <c r="AB107" s="63">
        <f t="shared" si="62"/>
        <v>7.3000000000000025</v>
      </c>
      <c r="AC107" s="63">
        <f t="shared" si="62"/>
        <v>7.5000000000000018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6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2.2000000000000002</v>
      </c>
      <c r="G108" s="206">
        <f t="shared" si="63"/>
        <v>2.6000000000000005</v>
      </c>
      <c r="H108" s="206">
        <f t="shared" si="63"/>
        <v>2.9000000000000048</v>
      </c>
      <c r="I108" s="206">
        <f t="shared" si="63"/>
        <v>2.3000000000000034</v>
      </c>
      <c r="J108" s="206">
        <f t="shared" si="63"/>
        <v>2.9000000000000048</v>
      </c>
      <c r="K108" s="206">
        <f t="shared" si="63"/>
        <v>2.2000000000000002</v>
      </c>
      <c r="L108" s="206">
        <f t="shared" si="63"/>
        <v>2.2000000000000002</v>
      </c>
      <c r="M108" s="206">
        <f t="shared" si="63"/>
        <v>2.9000000000000048</v>
      </c>
      <c r="N108" s="206">
        <f t="shared" si="63"/>
        <v>2.5000000000000027</v>
      </c>
      <c r="O108" s="206">
        <f t="shared" si="63"/>
        <v>3.3000000000000016</v>
      </c>
      <c r="P108" s="206">
        <f t="shared" si="63"/>
        <v>3.5000000000000009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8" s="206">
        <f t="shared" ref="R108:AC108" si="6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4.3</v>
      </c>
      <c r="S108" s="206">
        <f t="shared" si="64"/>
        <v>3.5000000000000018</v>
      </c>
      <c r="T108" s="206">
        <f t="shared" si="64"/>
        <v>4.3</v>
      </c>
      <c r="U108" s="206">
        <f t="shared" si="64"/>
        <v>4.3999999999999977</v>
      </c>
      <c r="V108" s="206">
        <f t="shared" si="64"/>
        <v>7.7999999999999972</v>
      </c>
      <c r="W108" s="206">
        <f t="shared" si="64"/>
        <v>6.8999999999999995</v>
      </c>
      <c r="X108" s="206">
        <f t="shared" si="64"/>
        <v>5.6000000000000041</v>
      </c>
      <c r="Y108" s="206">
        <f t="shared" si="64"/>
        <v>7.4000000000000012</v>
      </c>
      <c r="Z108" s="206">
        <f t="shared" si="64"/>
        <v>4.6000000000000014</v>
      </c>
      <c r="AA108" s="206">
        <f t="shared" si="64"/>
        <v>4.6000000000000005</v>
      </c>
      <c r="AB108" s="206">
        <f t="shared" si="64"/>
        <v>4</v>
      </c>
      <c r="AC108" s="206">
        <f t="shared" si="64"/>
        <v>4.0999999999999996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60.09</v>
      </c>
      <c r="G109" s="75">
        <v>60.09</v>
      </c>
      <c r="H109" s="75">
        <v>60.13</v>
      </c>
      <c r="I109" s="75">
        <v>60.05</v>
      </c>
      <c r="J109" s="75">
        <v>60.11</v>
      </c>
      <c r="K109" s="75">
        <v>60.09</v>
      </c>
      <c r="L109" s="75">
        <v>60.11</v>
      </c>
      <c r="M109" s="75">
        <v>60.18</v>
      </c>
      <c r="N109" s="75">
        <v>60.11</v>
      </c>
      <c r="O109" s="75">
        <v>60.12</v>
      </c>
      <c r="P109" s="84">
        <v>60.1</v>
      </c>
      <c r="Q109" s="84">
        <v>60.07</v>
      </c>
      <c r="R109" s="84">
        <v>60.08</v>
      </c>
      <c r="S109" s="84">
        <v>60.03</v>
      </c>
      <c r="T109" s="84">
        <v>60.01</v>
      </c>
      <c r="U109" s="75">
        <v>60.18</v>
      </c>
      <c r="V109" s="75">
        <v>60.17</v>
      </c>
      <c r="W109" s="75">
        <v>60.25</v>
      </c>
      <c r="X109" s="75">
        <v>60.18</v>
      </c>
      <c r="Y109" s="75">
        <v>60.12</v>
      </c>
      <c r="Z109" s="75">
        <v>60.17</v>
      </c>
      <c r="AA109" s="75">
        <v>60.37</v>
      </c>
      <c r="AB109" s="75">
        <v>60.08</v>
      </c>
      <c r="AC109" s="75">
        <v>60.19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65">SUM(G117:G124)</f>
        <v>0</v>
      </c>
      <c r="H125" s="44">
        <f t="shared" si="65"/>
        <v>0</v>
      </c>
      <c r="I125" s="44">
        <f t="shared" si="65"/>
        <v>0</v>
      </c>
      <c r="J125" s="44">
        <f t="shared" si="65"/>
        <v>0</v>
      </c>
      <c r="K125" s="44">
        <f t="shared" si="65"/>
        <v>0</v>
      </c>
      <c r="L125" s="44">
        <f t="shared" si="65"/>
        <v>0</v>
      </c>
      <c r="M125" s="44">
        <f t="shared" si="65"/>
        <v>0</v>
      </c>
      <c r="N125" s="44">
        <f t="shared" si="65"/>
        <v>0</v>
      </c>
      <c r="O125" s="44">
        <f t="shared" si="65"/>
        <v>0</v>
      </c>
      <c r="P125" s="44">
        <f t="shared" si="65"/>
        <v>0</v>
      </c>
      <c r="Q125" s="44">
        <f t="shared" si="65"/>
        <v>0</v>
      </c>
      <c r="R125" s="44">
        <f t="shared" si="65"/>
        <v>0</v>
      </c>
      <c r="S125" s="44">
        <f t="shared" si="65"/>
        <v>0</v>
      </c>
      <c r="T125" s="44">
        <f t="shared" si="65"/>
        <v>0</v>
      </c>
      <c r="U125" s="44">
        <f t="shared" si="65"/>
        <v>0</v>
      </c>
      <c r="V125" s="44">
        <f t="shared" si="65"/>
        <v>0</v>
      </c>
      <c r="W125" s="44">
        <f t="shared" si="65"/>
        <v>0</v>
      </c>
      <c r="X125" s="44">
        <f t="shared" si="65"/>
        <v>0</v>
      </c>
      <c r="Y125" s="44">
        <f t="shared" si="65"/>
        <v>0</v>
      </c>
      <c r="Z125" s="44">
        <f t="shared" si="65"/>
        <v>0</v>
      </c>
      <c r="AA125" s="44">
        <f t="shared" si="65"/>
        <v>0</v>
      </c>
      <c r="AB125" s="44">
        <f t="shared" si="65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28381" priority="1183" operator="greaterThan">
      <formula>60.3</formula>
    </cfRule>
  </conditionalFormatting>
  <conditionalFormatting sqref="G53:G55 H20:AC21 H40:I50 J56:L56 H13:K14 H57:L58 H66:AC66 K15 L13:P15 H27:AC28 J24:AC24 K61:AC61 M56:O58 H15:J16 H61:H63 H67:J72 H74:J74 J35:O50 N51:O52 H53:I56 H77:AC78 J53:O55 K16:Q16 Q13:AC16 P35:AC58 X61:X63 L62:AC63 K67:AC74">
    <cfRule type="cellIs" dxfId="28380" priority="1175" operator="equal">
      <formula>"PMS"</formula>
    </cfRule>
    <cfRule type="containsText" dxfId="28379" priority="1176" operator="containsText" text="CMS">
      <formula>NOT(ISERROR(SEARCH("CMS",G13)))</formula>
    </cfRule>
    <cfRule type="cellIs" dxfId="28378" priority="1177" operator="equal">
      <formula>0</formula>
    </cfRule>
    <cfRule type="cellIs" dxfId="28377" priority="1178" operator="greaterThan">
      <formula>0</formula>
    </cfRule>
    <cfRule type="cellIs" dxfId="28376" priority="1179" operator="equal">
      <formula>"PMS"</formula>
    </cfRule>
    <cfRule type="containsText" dxfId="28375" priority="1180" operator="containsText" text="CMS">
      <formula>NOT(ISERROR(SEARCH("CMS",G13)))</formula>
    </cfRule>
    <cfRule type="cellIs" dxfId="28374" priority="1181" operator="equal">
      <formula>0</formula>
    </cfRule>
    <cfRule type="cellIs" dxfId="28373" priority="1182" operator="greaterThan">
      <formula>0</formula>
    </cfRule>
  </conditionalFormatting>
  <conditionalFormatting sqref="O77:AC78 O61:AC63 O66:AC74">
    <cfRule type="cellIs" dxfId="28372" priority="1171" operator="equal">
      <formula>"PMS"</formula>
    </cfRule>
    <cfRule type="containsText" dxfId="28371" priority="1172" operator="containsText" text="CMS">
      <formula>NOT(ISERROR(SEARCH("CMS",O61)))</formula>
    </cfRule>
    <cfRule type="cellIs" dxfId="28370" priority="1173" operator="equal">
      <formula>0</formula>
    </cfRule>
    <cfRule type="cellIs" dxfId="28369" priority="1174" operator="greaterThan">
      <formula>0</formula>
    </cfRule>
  </conditionalFormatting>
  <conditionalFormatting sqref="P66:AC74">
    <cfRule type="cellIs" dxfId="28368" priority="1167" operator="equal">
      <formula>"PMS"</formula>
    </cfRule>
    <cfRule type="containsText" dxfId="28367" priority="1168" operator="containsText" text="CMS">
      <formula>NOT(ISERROR(SEARCH("CMS",P66)))</formula>
    </cfRule>
    <cfRule type="cellIs" dxfId="28366" priority="1169" operator="equal">
      <formula>0</formula>
    </cfRule>
    <cfRule type="cellIs" dxfId="28365" priority="1170" operator="greaterThan">
      <formula>0</formula>
    </cfRule>
  </conditionalFormatting>
  <conditionalFormatting sqref="O13:AC16">
    <cfRule type="cellIs" dxfId="28364" priority="1163" operator="equal">
      <formula>"PMS"</formula>
    </cfRule>
    <cfRule type="containsText" dxfId="28363" priority="1164" operator="containsText" text="CMS">
      <formula>NOT(ISERROR(SEARCH("CMS",O13)))</formula>
    </cfRule>
    <cfRule type="cellIs" dxfId="28362" priority="1165" operator="equal">
      <formula>0</formula>
    </cfRule>
    <cfRule type="cellIs" dxfId="28361" priority="1166" operator="greaterThan">
      <formula>0</formula>
    </cfRule>
  </conditionalFormatting>
  <conditionalFormatting sqref="P13:AC16">
    <cfRule type="cellIs" dxfId="28360" priority="1159" operator="equal">
      <formula>"PMS"</formula>
    </cfRule>
    <cfRule type="containsText" dxfId="28359" priority="1160" operator="containsText" text="CMS">
      <formula>NOT(ISERROR(SEARCH("CMS",P13)))</formula>
    </cfRule>
    <cfRule type="cellIs" dxfId="28358" priority="1161" operator="equal">
      <formula>0</formula>
    </cfRule>
    <cfRule type="cellIs" dxfId="28357" priority="1162" operator="greaterThan">
      <formula>0</formula>
    </cfRule>
  </conditionalFormatting>
  <conditionalFormatting sqref="O20:AC21">
    <cfRule type="cellIs" dxfId="28356" priority="1155" operator="equal">
      <formula>"PMS"</formula>
    </cfRule>
    <cfRule type="containsText" dxfId="28355" priority="1156" operator="containsText" text="CMS">
      <formula>NOT(ISERROR(SEARCH("CMS",O20)))</formula>
    </cfRule>
    <cfRule type="cellIs" dxfId="28354" priority="1157" operator="equal">
      <formula>0</formula>
    </cfRule>
    <cfRule type="cellIs" dxfId="28353" priority="1158" operator="greaterThan">
      <formula>0</formula>
    </cfRule>
  </conditionalFormatting>
  <conditionalFormatting sqref="P20:AC21">
    <cfRule type="cellIs" dxfId="28352" priority="1151" operator="equal">
      <formula>"PMS"</formula>
    </cfRule>
    <cfRule type="containsText" dxfId="28351" priority="1152" operator="containsText" text="CMS">
      <formula>NOT(ISERROR(SEARCH("CMS",P20)))</formula>
    </cfRule>
    <cfRule type="cellIs" dxfId="28350" priority="1153" operator="equal">
      <formula>0</formula>
    </cfRule>
    <cfRule type="cellIs" dxfId="28349" priority="1154" operator="greaterThan">
      <formula>0</formula>
    </cfRule>
  </conditionalFormatting>
  <conditionalFormatting sqref="O24:AC24">
    <cfRule type="cellIs" dxfId="28348" priority="1147" operator="equal">
      <formula>"PMS"</formula>
    </cfRule>
    <cfRule type="containsText" dxfId="28347" priority="1148" operator="containsText" text="CMS">
      <formula>NOT(ISERROR(SEARCH("CMS",O24)))</formula>
    </cfRule>
    <cfRule type="cellIs" dxfId="28346" priority="1149" operator="equal">
      <formula>0</formula>
    </cfRule>
    <cfRule type="cellIs" dxfId="28345" priority="1150" operator="greaterThan">
      <formula>0</formula>
    </cfRule>
  </conditionalFormatting>
  <conditionalFormatting sqref="P24:AC24">
    <cfRule type="cellIs" dxfId="28344" priority="1143" operator="equal">
      <formula>"PMS"</formula>
    </cfRule>
    <cfRule type="containsText" dxfId="28343" priority="1144" operator="containsText" text="CMS">
      <formula>NOT(ISERROR(SEARCH("CMS",P24)))</formula>
    </cfRule>
    <cfRule type="cellIs" dxfId="28342" priority="1145" operator="equal">
      <formula>0</formula>
    </cfRule>
    <cfRule type="cellIs" dxfId="28341" priority="1146" operator="greaterThan">
      <formula>0</formula>
    </cfRule>
  </conditionalFormatting>
  <conditionalFormatting sqref="O27:AC28">
    <cfRule type="cellIs" dxfId="28340" priority="1139" operator="equal">
      <formula>"PMS"</formula>
    </cfRule>
    <cfRule type="containsText" dxfId="28339" priority="1140" operator="containsText" text="CMS">
      <formula>NOT(ISERROR(SEARCH("CMS",O27)))</formula>
    </cfRule>
    <cfRule type="cellIs" dxfId="28338" priority="1141" operator="equal">
      <formula>0</formula>
    </cfRule>
    <cfRule type="cellIs" dxfId="28337" priority="1142" operator="greaterThan">
      <formula>0</formula>
    </cfRule>
  </conditionalFormatting>
  <conditionalFormatting sqref="P27:AC28">
    <cfRule type="cellIs" dxfId="28336" priority="1135" operator="equal">
      <formula>"PMS"</formula>
    </cfRule>
    <cfRule type="containsText" dxfId="28335" priority="1136" operator="containsText" text="CMS">
      <formula>NOT(ISERROR(SEARCH("CMS",P27)))</formula>
    </cfRule>
    <cfRule type="cellIs" dxfId="28334" priority="1137" operator="equal">
      <formula>0</formula>
    </cfRule>
    <cfRule type="cellIs" dxfId="28333" priority="1138" operator="greaterThan">
      <formula>0</formula>
    </cfRule>
  </conditionalFormatting>
  <conditionalFormatting sqref="R50:AC51 R52:X52 Y52:AC55 Q55:Q56 O35:AC49 O53:X55 O56:AC58">
    <cfRule type="cellIs" dxfId="28332" priority="1131" operator="equal">
      <formula>"PMS"</formula>
    </cfRule>
    <cfRule type="containsText" dxfId="28331" priority="1132" operator="containsText" text="CMS">
      <formula>NOT(ISERROR(SEARCH("CMS",O35)))</formula>
    </cfRule>
    <cfRule type="cellIs" dxfId="28330" priority="1133" operator="equal">
      <formula>0</formula>
    </cfRule>
    <cfRule type="cellIs" dxfId="28329" priority="1134" operator="greaterThan">
      <formula>0</formula>
    </cfRule>
  </conditionalFormatting>
  <conditionalFormatting sqref="R50:AC51 O38:O49 R52:X52 Y52:AC55 Q55:Q56 P35:AC49 O53:X55 O56:AC58">
    <cfRule type="cellIs" dxfId="28328" priority="1127" operator="equal">
      <formula>"PMS"</formula>
    </cfRule>
    <cfRule type="containsText" dxfId="28327" priority="1128" operator="containsText" text="CMS">
      <formula>NOT(ISERROR(SEARCH("CMS",O35)))</formula>
    </cfRule>
    <cfRule type="cellIs" dxfId="28326" priority="1129" operator="equal">
      <formula>0</formula>
    </cfRule>
    <cfRule type="cellIs" dxfId="28325" priority="1130" operator="greaterThan">
      <formula>0</formula>
    </cfRule>
  </conditionalFormatting>
  <conditionalFormatting sqref="V13:AC13 V14:X16 Z14:AB16">
    <cfRule type="cellIs" dxfId="28324" priority="1123" operator="equal">
      <formula>"PMS"</formula>
    </cfRule>
    <cfRule type="containsText" dxfId="28323" priority="1124" operator="containsText" text="CMS">
      <formula>NOT(ISERROR(SEARCH("CMS",V13)))</formula>
    </cfRule>
    <cfRule type="cellIs" dxfId="28322" priority="1125" operator="equal">
      <formula>0</formula>
    </cfRule>
    <cfRule type="cellIs" dxfId="28321" priority="1126" operator="greaterThan">
      <formula>0</formula>
    </cfRule>
  </conditionalFormatting>
  <conditionalFormatting sqref="V13:AC13 V14:X16 Z14:AB16">
    <cfRule type="cellIs" dxfId="28320" priority="1119" operator="equal">
      <formula>"PMS"</formula>
    </cfRule>
    <cfRule type="containsText" dxfId="28319" priority="1120" operator="containsText" text="CMS">
      <formula>NOT(ISERROR(SEARCH("CMS",V13)))</formula>
    </cfRule>
    <cfRule type="cellIs" dxfId="28318" priority="1121" operator="equal">
      <formula>0</formula>
    </cfRule>
    <cfRule type="cellIs" dxfId="28317" priority="1122" operator="greaterThan">
      <formula>0</formula>
    </cfRule>
  </conditionalFormatting>
  <conditionalFormatting sqref="X57:AC57">
    <cfRule type="cellIs" dxfId="28316" priority="1115" operator="equal">
      <formula>"PMS"</formula>
    </cfRule>
    <cfRule type="containsText" dxfId="28315" priority="1116" operator="containsText" text="CMS">
      <formula>NOT(ISERROR(SEARCH("CMS",X57)))</formula>
    </cfRule>
    <cfRule type="cellIs" dxfId="28314" priority="1117" operator="equal">
      <formula>0</formula>
    </cfRule>
    <cfRule type="cellIs" dxfId="28313" priority="1118" operator="greaterThan">
      <formula>0</formula>
    </cfRule>
  </conditionalFormatting>
  <conditionalFormatting sqref="X57:AC57">
    <cfRule type="cellIs" dxfId="28312" priority="1111" operator="equal">
      <formula>"PMS"</formula>
    </cfRule>
    <cfRule type="containsText" dxfId="28311" priority="1112" operator="containsText" text="CMS">
      <formula>NOT(ISERROR(SEARCH("CMS",X57)))</formula>
    </cfRule>
    <cfRule type="cellIs" dxfId="28310" priority="1113" operator="equal">
      <formula>0</formula>
    </cfRule>
    <cfRule type="cellIs" dxfId="28309" priority="1114" operator="greaterThan">
      <formula>0</formula>
    </cfRule>
  </conditionalFormatting>
  <conditionalFormatting sqref="X57:AC57">
    <cfRule type="cellIs" dxfId="28308" priority="1107" operator="equal">
      <formula>"PMS"</formula>
    </cfRule>
    <cfRule type="containsText" dxfId="28307" priority="1108" operator="containsText" text="CMS">
      <formula>NOT(ISERROR(SEARCH("CMS",X57)))</formula>
    </cfRule>
    <cfRule type="cellIs" dxfId="28306" priority="1109" operator="equal">
      <formula>0</formula>
    </cfRule>
    <cfRule type="cellIs" dxfId="28305" priority="1110" operator="greaterThan">
      <formula>0</formula>
    </cfRule>
  </conditionalFormatting>
  <conditionalFormatting sqref="X57:AC57">
    <cfRule type="cellIs" dxfId="28304" priority="1103" operator="equal">
      <formula>"PMS"</formula>
    </cfRule>
    <cfRule type="containsText" dxfId="28303" priority="1104" operator="containsText" text="CMS">
      <formula>NOT(ISERROR(SEARCH("CMS",X57)))</formula>
    </cfRule>
    <cfRule type="cellIs" dxfId="28302" priority="1105" operator="equal">
      <formula>0</formula>
    </cfRule>
    <cfRule type="cellIs" dxfId="28301" priority="1106" operator="greaterThan">
      <formula>0</formula>
    </cfRule>
  </conditionalFormatting>
  <conditionalFormatting sqref="AB58:AC58">
    <cfRule type="cellIs" dxfId="28300" priority="1099" operator="equal">
      <formula>"PMS"</formula>
    </cfRule>
    <cfRule type="containsText" dxfId="28299" priority="1100" operator="containsText" text="CMS">
      <formula>NOT(ISERROR(SEARCH("CMS",AB58)))</formula>
    </cfRule>
    <cfRule type="cellIs" dxfId="28298" priority="1101" operator="equal">
      <formula>0</formula>
    </cfRule>
    <cfRule type="cellIs" dxfId="28297" priority="1102" operator="greaterThan">
      <formula>0</formula>
    </cfRule>
  </conditionalFormatting>
  <conditionalFormatting sqref="AB58:AC58">
    <cfRule type="cellIs" dxfId="28296" priority="1095" operator="equal">
      <formula>"PMS"</formula>
    </cfRule>
    <cfRule type="containsText" dxfId="28295" priority="1096" operator="containsText" text="CMS">
      <formula>NOT(ISERROR(SEARCH("CMS",AB58)))</formula>
    </cfRule>
    <cfRule type="cellIs" dxfId="28294" priority="1097" operator="equal">
      <formula>0</formula>
    </cfRule>
    <cfRule type="cellIs" dxfId="28293" priority="1098" operator="greaterThan">
      <formula>0</formula>
    </cfRule>
  </conditionalFormatting>
  <conditionalFormatting sqref="AB58:AC58">
    <cfRule type="cellIs" dxfId="28292" priority="1091" operator="equal">
      <formula>"PMS"</formula>
    </cfRule>
    <cfRule type="containsText" dxfId="28291" priority="1092" operator="containsText" text="CMS">
      <formula>NOT(ISERROR(SEARCH("CMS",AB58)))</formula>
    </cfRule>
    <cfRule type="cellIs" dxfId="28290" priority="1093" operator="equal">
      <formula>0</formula>
    </cfRule>
    <cfRule type="cellIs" dxfId="28289" priority="1094" operator="greaterThan">
      <formula>0</formula>
    </cfRule>
  </conditionalFormatting>
  <conditionalFormatting sqref="AB58:AC58">
    <cfRule type="cellIs" dxfId="28288" priority="1087" operator="equal">
      <formula>"PMS"</formula>
    </cfRule>
    <cfRule type="containsText" dxfId="28287" priority="1088" operator="containsText" text="CMS">
      <formula>NOT(ISERROR(SEARCH("CMS",AB58)))</formula>
    </cfRule>
    <cfRule type="cellIs" dxfId="28286" priority="1089" operator="equal">
      <formula>0</formula>
    </cfRule>
    <cfRule type="cellIs" dxfId="28285" priority="1090" operator="greaterThan">
      <formula>0</formula>
    </cfRule>
  </conditionalFormatting>
  <conditionalFormatting sqref="AB78">
    <cfRule type="cellIs" dxfId="28284" priority="1083" operator="equal">
      <formula>"PMS"</formula>
    </cfRule>
    <cfRule type="containsText" dxfId="28283" priority="1084" operator="containsText" text="CMS">
      <formula>NOT(ISERROR(SEARCH("CMS",AB78)))</formula>
    </cfRule>
    <cfRule type="cellIs" dxfId="28282" priority="1085" operator="equal">
      <formula>0</formula>
    </cfRule>
    <cfRule type="cellIs" dxfId="28281" priority="1086" operator="greaterThan">
      <formula>0</formula>
    </cfRule>
  </conditionalFormatting>
  <conditionalFormatting sqref="AB78">
    <cfRule type="cellIs" dxfId="28280" priority="1079" operator="equal">
      <formula>"PMS"</formula>
    </cfRule>
    <cfRule type="containsText" dxfId="28279" priority="1080" operator="containsText" text="CMS">
      <formula>NOT(ISERROR(SEARCH("CMS",AB78)))</formula>
    </cfRule>
    <cfRule type="cellIs" dxfId="28278" priority="1081" operator="equal">
      <formula>0</formula>
    </cfRule>
    <cfRule type="cellIs" dxfId="28277" priority="1082" operator="greaterThan">
      <formula>0</formula>
    </cfRule>
  </conditionalFormatting>
  <conditionalFormatting sqref="O44:O49">
    <cfRule type="cellIs" dxfId="28276" priority="1075" operator="equal">
      <formula>"PMS"</formula>
    </cfRule>
    <cfRule type="containsText" dxfId="28275" priority="1076" operator="containsText" text="CMS">
      <formula>NOT(ISERROR(SEARCH("CMS",O44)))</formula>
    </cfRule>
    <cfRule type="cellIs" dxfId="28274" priority="1077" operator="equal">
      <formula>0</formula>
    </cfRule>
    <cfRule type="cellIs" dxfId="28273" priority="1078" operator="greaterThan">
      <formula>0</formula>
    </cfRule>
  </conditionalFormatting>
  <conditionalFormatting sqref="O55:O56 P56">
    <cfRule type="cellIs" dxfId="28272" priority="1071" operator="equal">
      <formula>"PMS"</formula>
    </cfRule>
    <cfRule type="containsText" dxfId="28271" priority="1072" operator="containsText" text="CMS">
      <formula>NOT(ISERROR(SEARCH("CMS",O55)))</formula>
    </cfRule>
    <cfRule type="cellIs" dxfId="28270" priority="1073" operator="equal">
      <formula>0</formula>
    </cfRule>
    <cfRule type="cellIs" dxfId="28269" priority="1074" operator="greaterThan">
      <formula>0</formula>
    </cfRule>
  </conditionalFormatting>
  <conditionalFormatting sqref="O49">
    <cfRule type="cellIs" dxfId="28268" priority="1067" operator="equal">
      <formula>"PMS"</formula>
    </cfRule>
    <cfRule type="containsText" dxfId="28267" priority="1068" operator="containsText" text="CMS">
      <formula>NOT(ISERROR(SEARCH("CMS",O49)))</formula>
    </cfRule>
    <cfRule type="cellIs" dxfId="28266" priority="1069" operator="equal">
      <formula>0</formula>
    </cfRule>
    <cfRule type="cellIs" dxfId="28265" priority="1070" operator="greaterThan">
      <formula>0</formula>
    </cfRule>
  </conditionalFormatting>
  <conditionalFormatting sqref="O55:O57 P56">
    <cfRule type="cellIs" dxfId="28264" priority="1063" operator="equal">
      <formula>"PMS"</formula>
    </cfRule>
    <cfRule type="containsText" dxfId="28263" priority="1064" operator="containsText" text="CMS">
      <formula>NOT(ISERROR(SEARCH("CMS",O55)))</formula>
    </cfRule>
    <cfRule type="cellIs" dxfId="28262" priority="1065" operator="equal">
      <formula>0</formula>
    </cfRule>
    <cfRule type="cellIs" dxfId="28261" priority="1066" operator="greaterThan">
      <formula>0</formula>
    </cfRule>
  </conditionalFormatting>
  <conditionalFormatting sqref="Q24:V24">
    <cfRule type="cellIs" dxfId="28260" priority="1059" operator="equal">
      <formula>"PMS"</formula>
    </cfRule>
    <cfRule type="containsText" dxfId="28259" priority="1060" operator="containsText" text="CMS">
      <formula>NOT(ISERROR(SEARCH("CMS",Q24)))</formula>
    </cfRule>
    <cfRule type="cellIs" dxfId="28258" priority="1061" operator="equal">
      <formula>0</formula>
    </cfRule>
    <cfRule type="cellIs" dxfId="28257" priority="1062" operator="greaterThan">
      <formula>0</formula>
    </cfRule>
  </conditionalFormatting>
  <conditionalFormatting sqref="Q24:V24">
    <cfRule type="cellIs" dxfId="28256" priority="1055" operator="equal">
      <formula>"PMS"</formula>
    </cfRule>
    <cfRule type="containsText" dxfId="28255" priority="1056" operator="containsText" text="CMS">
      <formula>NOT(ISERROR(SEARCH("CMS",Q24)))</formula>
    </cfRule>
    <cfRule type="cellIs" dxfId="28254" priority="1057" operator="equal">
      <formula>0</formula>
    </cfRule>
    <cfRule type="cellIs" dxfId="28253" priority="1058" operator="greaterThan">
      <formula>0</formula>
    </cfRule>
  </conditionalFormatting>
  <conditionalFormatting sqref="Q27:V28">
    <cfRule type="cellIs" dxfId="28252" priority="1051" operator="equal">
      <formula>"PMS"</formula>
    </cfRule>
    <cfRule type="containsText" dxfId="28251" priority="1052" operator="containsText" text="CMS">
      <formula>NOT(ISERROR(SEARCH("CMS",Q27)))</formula>
    </cfRule>
    <cfRule type="cellIs" dxfId="28250" priority="1053" operator="equal">
      <formula>0</formula>
    </cfRule>
    <cfRule type="cellIs" dxfId="28249" priority="1054" operator="greaterThan">
      <formula>0</formula>
    </cfRule>
  </conditionalFormatting>
  <conditionalFormatting sqref="Q27:V28">
    <cfRule type="cellIs" dxfId="28248" priority="1047" operator="equal">
      <formula>"PMS"</formula>
    </cfRule>
    <cfRule type="containsText" dxfId="28247" priority="1048" operator="containsText" text="CMS">
      <formula>NOT(ISERROR(SEARCH("CMS",Q27)))</formula>
    </cfRule>
    <cfRule type="cellIs" dxfId="28246" priority="1049" operator="equal">
      <formula>0</formula>
    </cfRule>
    <cfRule type="cellIs" dxfId="28245" priority="1050" operator="greaterThan">
      <formula>0</formula>
    </cfRule>
  </conditionalFormatting>
  <conditionalFormatting sqref="R27:V28">
    <cfRule type="cellIs" dxfId="28244" priority="1043" operator="equal">
      <formula>"PMS"</formula>
    </cfRule>
    <cfRule type="containsText" dxfId="28243" priority="1044" operator="containsText" text="CMS">
      <formula>NOT(ISERROR(SEARCH("CMS",R27)))</formula>
    </cfRule>
    <cfRule type="cellIs" dxfId="28242" priority="1045" operator="equal">
      <formula>0</formula>
    </cfRule>
    <cfRule type="cellIs" dxfId="28241" priority="1046" operator="greaterThan">
      <formula>0</formula>
    </cfRule>
  </conditionalFormatting>
  <conditionalFormatting sqref="R27:V28">
    <cfRule type="cellIs" dxfId="28240" priority="1039" operator="equal">
      <formula>"PMS"</formula>
    </cfRule>
    <cfRule type="containsText" dxfId="28239" priority="1040" operator="containsText" text="CMS">
      <formula>NOT(ISERROR(SEARCH("CMS",R27)))</formula>
    </cfRule>
    <cfRule type="cellIs" dxfId="28238" priority="1041" operator="equal">
      <formula>0</formula>
    </cfRule>
    <cfRule type="cellIs" dxfId="28237" priority="1042" operator="greaterThan">
      <formula>0</formula>
    </cfRule>
  </conditionalFormatting>
  <conditionalFormatting sqref="O55:O56 P56">
    <cfRule type="cellIs" dxfId="28236" priority="1035" operator="equal">
      <formula>"PMS"</formula>
    </cfRule>
    <cfRule type="containsText" dxfId="28235" priority="1036" operator="containsText" text="CMS">
      <formula>NOT(ISERROR(SEARCH("CMS",O55)))</formula>
    </cfRule>
    <cfRule type="cellIs" dxfId="28234" priority="1037" operator="equal">
      <formula>0</formula>
    </cfRule>
    <cfRule type="cellIs" dxfId="28233" priority="1038" operator="greaterThan">
      <formula>0</formula>
    </cfRule>
  </conditionalFormatting>
  <conditionalFormatting sqref="O44:O45">
    <cfRule type="cellIs" dxfId="28232" priority="1031" operator="equal">
      <formula>"PMS"</formula>
    </cfRule>
    <cfRule type="containsText" dxfId="28231" priority="1032" operator="containsText" text="CMS">
      <formula>NOT(ISERROR(SEARCH("CMS",O44)))</formula>
    </cfRule>
    <cfRule type="cellIs" dxfId="28230" priority="1033" operator="equal">
      <formula>0</formula>
    </cfRule>
    <cfRule type="cellIs" dxfId="28229" priority="1034" operator="greaterThan">
      <formula>0</formula>
    </cfRule>
  </conditionalFormatting>
  <conditionalFormatting sqref="O44:O45">
    <cfRule type="cellIs" dxfId="28228" priority="1027" operator="equal">
      <formula>"PMS"</formula>
    </cfRule>
    <cfRule type="containsText" dxfId="28227" priority="1028" operator="containsText" text="CMS">
      <formula>NOT(ISERROR(SEARCH("CMS",O44)))</formula>
    </cfRule>
    <cfRule type="cellIs" dxfId="28226" priority="1029" operator="equal">
      <formula>0</formula>
    </cfRule>
    <cfRule type="cellIs" dxfId="28225" priority="1030" operator="greaterThan">
      <formula>0</formula>
    </cfRule>
  </conditionalFormatting>
  <conditionalFormatting sqref="O44:O45">
    <cfRule type="cellIs" dxfId="28224" priority="1023" operator="equal">
      <formula>"PMS"</formula>
    </cfRule>
    <cfRule type="containsText" dxfId="28223" priority="1024" operator="containsText" text="CMS">
      <formula>NOT(ISERROR(SEARCH("CMS",O44)))</formula>
    </cfRule>
    <cfRule type="cellIs" dxfId="28222" priority="1025" operator="equal">
      <formula>0</formula>
    </cfRule>
    <cfRule type="cellIs" dxfId="28221" priority="1026" operator="greaterThan">
      <formula>0</formula>
    </cfRule>
  </conditionalFormatting>
  <conditionalFormatting sqref="O46">
    <cfRule type="cellIs" dxfId="28220" priority="1019" operator="equal">
      <formula>"PMS"</formula>
    </cfRule>
    <cfRule type="containsText" dxfId="28219" priority="1020" operator="containsText" text="CMS">
      <formula>NOT(ISERROR(SEARCH("CMS",O46)))</formula>
    </cfRule>
    <cfRule type="cellIs" dxfId="28218" priority="1021" operator="equal">
      <formula>0</formula>
    </cfRule>
    <cfRule type="cellIs" dxfId="28217" priority="1022" operator="greaterThan">
      <formula>0</formula>
    </cfRule>
  </conditionalFormatting>
  <conditionalFormatting sqref="O46">
    <cfRule type="cellIs" dxfId="28216" priority="1015" operator="equal">
      <formula>"PMS"</formula>
    </cfRule>
    <cfRule type="containsText" dxfId="28215" priority="1016" operator="containsText" text="CMS">
      <formula>NOT(ISERROR(SEARCH("CMS",O46)))</formula>
    </cfRule>
    <cfRule type="cellIs" dxfId="28214" priority="1017" operator="equal">
      <formula>0</formula>
    </cfRule>
    <cfRule type="cellIs" dxfId="28213" priority="1018" operator="greaterThan">
      <formula>0</formula>
    </cfRule>
  </conditionalFormatting>
  <conditionalFormatting sqref="O46">
    <cfRule type="cellIs" dxfId="28212" priority="1011" operator="equal">
      <formula>"PMS"</formula>
    </cfRule>
    <cfRule type="containsText" dxfId="28211" priority="1012" operator="containsText" text="CMS">
      <formula>NOT(ISERROR(SEARCH("CMS",O46)))</formula>
    </cfRule>
    <cfRule type="cellIs" dxfId="28210" priority="1013" operator="equal">
      <formula>0</formula>
    </cfRule>
    <cfRule type="cellIs" dxfId="28209" priority="1014" operator="greaterThan">
      <formula>0</formula>
    </cfRule>
  </conditionalFormatting>
  <conditionalFormatting sqref="J19:AC19">
    <cfRule type="cellIs" dxfId="28208" priority="1007" operator="equal">
      <formula>"CMS"</formula>
    </cfRule>
    <cfRule type="cellIs" dxfId="28207" priority="1008" operator="equal">
      <formula>"PMS"</formula>
    </cfRule>
    <cfRule type="cellIs" dxfId="28206" priority="1009" operator="greaterThan">
      <formula>0</formula>
    </cfRule>
    <cfRule type="cellIs" dxfId="28205" priority="1010" operator="equal">
      <formula>0</formula>
    </cfRule>
  </conditionalFormatting>
  <conditionalFormatting sqref="G61:G63">
    <cfRule type="cellIs" dxfId="28204" priority="1003" operator="equal">
      <formula>"CMS"</formula>
    </cfRule>
    <cfRule type="cellIs" dxfId="28203" priority="1004" operator="equal">
      <formula>"PMS"</formula>
    </cfRule>
    <cfRule type="cellIs" dxfId="28202" priority="1005" operator="greaterThan">
      <formula>0</formula>
    </cfRule>
    <cfRule type="cellIs" dxfId="28201" priority="1006" operator="equal">
      <formula>0</formula>
    </cfRule>
  </conditionalFormatting>
  <conditionalFormatting sqref="G77:G78">
    <cfRule type="cellIs" dxfId="28200" priority="998" operator="equal">
      <formula>"EOC"</formula>
    </cfRule>
    <cfRule type="cellIs" dxfId="28199" priority="999" operator="equal">
      <formula>"CMS"</formula>
    </cfRule>
    <cfRule type="cellIs" dxfId="28198" priority="1000" operator="equal">
      <formula>"PMS"</formula>
    </cfRule>
    <cfRule type="cellIs" dxfId="28197" priority="1001" operator="greaterThan">
      <formula>0</formula>
    </cfRule>
    <cfRule type="cellIs" dxfId="28196" priority="1002" operator="equal">
      <formula>0</formula>
    </cfRule>
  </conditionalFormatting>
  <conditionalFormatting sqref="F109">
    <cfRule type="cellIs" dxfId="28195" priority="997" operator="greaterThan">
      <formula>60.3</formula>
    </cfRule>
  </conditionalFormatting>
  <conditionalFormatting sqref="G36:G44 G50 G47">
    <cfRule type="cellIs" dxfId="28194" priority="989" operator="equal">
      <formula>"PMS"</formula>
    </cfRule>
    <cfRule type="containsText" dxfId="28193" priority="990" operator="containsText" text="CMS">
      <formula>NOT(ISERROR(SEARCH("CMS",G36)))</formula>
    </cfRule>
    <cfRule type="cellIs" dxfId="28192" priority="991" operator="equal">
      <formula>0</formula>
    </cfRule>
    <cfRule type="cellIs" dxfId="28191" priority="992" operator="greaterThan">
      <formula>0</formula>
    </cfRule>
    <cfRule type="cellIs" dxfId="28190" priority="993" operator="equal">
      <formula>"PMS"</formula>
    </cfRule>
    <cfRule type="containsText" dxfId="28189" priority="994" operator="containsText" text="CMS">
      <formula>NOT(ISERROR(SEARCH("CMS",G36)))</formula>
    </cfRule>
    <cfRule type="cellIs" dxfId="28188" priority="995" operator="equal">
      <formula>0</formula>
    </cfRule>
    <cfRule type="cellIs" dxfId="28187" priority="996" operator="greaterThan">
      <formula>0</formula>
    </cfRule>
  </conditionalFormatting>
  <conditionalFormatting sqref="G36:G44 G50 G47">
    <cfRule type="cellIs" dxfId="28186" priority="985" operator="equal">
      <formula>"PMS"</formula>
    </cfRule>
    <cfRule type="containsText" dxfId="28185" priority="986" operator="containsText" text="CMS">
      <formula>NOT(ISERROR(SEARCH("CMS",G36)))</formula>
    </cfRule>
    <cfRule type="cellIs" dxfId="28184" priority="987" operator="equal">
      <formula>0</formula>
    </cfRule>
    <cfRule type="cellIs" dxfId="28183" priority="988" operator="greaterThan">
      <formula>0</formula>
    </cfRule>
  </conditionalFormatting>
  <conditionalFormatting sqref="G36:G44 G50 G47">
    <cfRule type="cellIs" dxfId="28182" priority="981" operator="equal">
      <formula>"PMS"</formula>
    </cfRule>
    <cfRule type="containsText" dxfId="28181" priority="982" operator="containsText" text="CMS">
      <formula>NOT(ISERROR(SEARCH("CMS",G36)))</formula>
    </cfRule>
    <cfRule type="cellIs" dxfId="28180" priority="983" operator="equal">
      <formula>0</formula>
    </cfRule>
    <cfRule type="cellIs" dxfId="28179" priority="984" operator="greaterThan">
      <formula>0</formula>
    </cfRule>
  </conditionalFormatting>
  <conditionalFormatting sqref="H36:H39">
    <cfRule type="cellIs" dxfId="28178" priority="973" operator="equal">
      <formula>"PMS"</formula>
    </cfRule>
    <cfRule type="containsText" dxfId="28177" priority="974" operator="containsText" text="CMS">
      <formula>NOT(ISERROR(SEARCH("CMS",H36)))</formula>
    </cfRule>
    <cfRule type="cellIs" dxfId="28176" priority="975" operator="equal">
      <formula>0</formula>
    </cfRule>
    <cfRule type="cellIs" dxfId="28175" priority="976" operator="greaterThan">
      <formula>0</formula>
    </cfRule>
    <cfRule type="cellIs" dxfId="28174" priority="977" operator="equal">
      <formula>"PMS"</formula>
    </cfRule>
    <cfRule type="containsText" dxfId="28173" priority="978" operator="containsText" text="CMS">
      <formula>NOT(ISERROR(SEARCH("CMS",H36)))</formula>
    </cfRule>
    <cfRule type="cellIs" dxfId="28172" priority="979" operator="equal">
      <formula>0</formula>
    </cfRule>
    <cfRule type="cellIs" dxfId="28171" priority="980" operator="greaterThan">
      <formula>0</formula>
    </cfRule>
  </conditionalFormatting>
  <conditionalFormatting sqref="H36:H39">
    <cfRule type="cellIs" dxfId="28170" priority="969" operator="equal">
      <formula>"PMS"</formula>
    </cfRule>
    <cfRule type="containsText" dxfId="28169" priority="970" operator="containsText" text="CMS">
      <formula>NOT(ISERROR(SEARCH("CMS",H36)))</formula>
    </cfRule>
    <cfRule type="cellIs" dxfId="28168" priority="971" operator="equal">
      <formula>0</formula>
    </cfRule>
    <cfRule type="cellIs" dxfId="28167" priority="972" operator="greaterThan">
      <formula>0</formula>
    </cfRule>
  </conditionalFormatting>
  <conditionalFormatting sqref="H36:H39">
    <cfRule type="cellIs" dxfId="28166" priority="965" operator="equal">
      <formula>"PMS"</formula>
    </cfRule>
    <cfRule type="containsText" dxfId="28165" priority="966" operator="containsText" text="CMS">
      <formula>NOT(ISERROR(SEARCH("CMS",H36)))</formula>
    </cfRule>
    <cfRule type="cellIs" dxfId="28164" priority="967" operator="equal">
      <formula>0</formula>
    </cfRule>
    <cfRule type="cellIs" dxfId="28163" priority="968" operator="greaterThan">
      <formula>0</formula>
    </cfRule>
  </conditionalFormatting>
  <conditionalFormatting sqref="I36:I39">
    <cfRule type="cellIs" dxfId="28162" priority="957" operator="equal">
      <formula>"PMS"</formula>
    </cfRule>
    <cfRule type="containsText" dxfId="28161" priority="958" operator="containsText" text="CMS">
      <formula>NOT(ISERROR(SEARCH("CMS",I36)))</formula>
    </cfRule>
    <cfRule type="cellIs" dxfId="28160" priority="959" operator="equal">
      <formula>0</formula>
    </cfRule>
    <cfRule type="cellIs" dxfId="28159" priority="960" operator="greaterThan">
      <formula>0</formula>
    </cfRule>
    <cfRule type="cellIs" dxfId="28158" priority="961" operator="equal">
      <formula>"PMS"</formula>
    </cfRule>
    <cfRule type="containsText" dxfId="28157" priority="962" operator="containsText" text="CMS">
      <formula>NOT(ISERROR(SEARCH("CMS",I36)))</formula>
    </cfRule>
    <cfRule type="cellIs" dxfId="28156" priority="963" operator="equal">
      <formula>0</formula>
    </cfRule>
    <cfRule type="cellIs" dxfId="28155" priority="964" operator="greaterThan">
      <formula>0</formula>
    </cfRule>
  </conditionalFormatting>
  <conditionalFormatting sqref="I36:I39">
    <cfRule type="cellIs" dxfId="28154" priority="953" operator="equal">
      <formula>"PMS"</formula>
    </cfRule>
    <cfRule type="containsText" dxfId="28153" priority="954" operator="containsText" text="CMS">
      <formula>NOT(ISERROR(SEARCH("CMS",I36)))</formula>
    </cfRule>
    <cfRule type="cellIs" dxfId="28152" priority="955" operator="equal">
      <formula>0</formula>
    </cfRule>
    <cfRule type="cellIs" dxfId="28151" priority="956" operator="greaterThan">
      <formula>0</formula>
    </cfRule>
  </conditionalFormatting>
  <conditionalFormatting sqref="I36:I39">
    <cfRule type="cellIs" dxfId="28150" priority="949" operator="equal">
      <formula>"PMS"</formula>
    </cfRule>
    <cfRule type="containsText" dxfId="28149" priority="950" operator="containsText" text="CMS">
      <formula>NOT(ISERROR(SEARCH("CMS",I36)))</formula>
    </cfRule>
    <cfRule type="cellIs" dxfId="28148" priority="951" operator="equal">
      <formula>0</formula>
    </cfRule>
    <cfRule type="cellIs" dxfId="28147" priority="952" operator="greaterThan">
      <formula>0</formula>
    </cfRule>
  </conditionalFormatting>
  <conditionalFormatting sqref="O49">
    <cfRule type="cellIs" dxfId="28146" priority="945" operator="equal">
      <formula>"PMS"</formula>
    </cfRule>
    <cfRule type="containsText" dxfId="28145" priority="946" operator="containsText" text="CMS">
      <formula>NOT(ISERROR(SEARCH("CMS",O49)))</formula>
    </cfRule>
    <cfRule type="cellIs" dxfId="28144" priority="947" operator="equal">
      <formula>0</formula>
    </cfRule>
    <cfRule type="cellIs" dxfId="28143" priority="948" operator="greaterThan">
      <formula>0</formula>
    </cfRule>
  </conditionalFormatting>
  <conditionalFormatting sqref="O55:O56 P56">
    <cfRule type="cellIs" dxfId="28142" priority="941" operator="equal">
      <formula>"PMS"</formula>
    </cfRule>
    <cfRule type="containsText" dxfId="28141" priority="942" operator="containsText" text="CMS">
      <formula>NOT(ISERROR(SEARCH("CMS",O55)))</formula>
    </cfRule>
    <cfRule type="cellIs" dxfId="28140" priority="943" operator="equal">
      <formula>0</formula>
    </cfRule>
    <cfRule type="cellIs" dxfId="28139" priority="944" operator="greaterThan">
      <formula>0</formula>
    </cfRule>
  </conditionalFormatting>
  <conditionalFormatting sqref="O57:P57">
    <cfRule type="cellIs" dxfId="28138" priority="937" operator="equal">
      <formula>"PMS"</formula>
    </cfRule>
    <cfRule type="containsText" dxfId="28137" priority="938" operator="containsText" text="CMS">
      <formula>NOT(ISERROR(SEARCH("CMS",O57)))</formula>
    </cfRule>
    <cfRule type="cellIs" dxfId="28136" priority="939" operator="equal">
      <formula>0</formula>
    </cfRule>
    <cfRule type="cellIs" dxfId="28135" priority="940" operator="greaterThan">
      <formula>0</formula>
    </cfRule>
  </conditionalFormatting>
  <conditionalFormatting sqref="O49">
    <cfRule type="cellIs" dxfId="28134" priority="933" operator="equal">
      <formula>"PMS"</formula>
    </cfRule>
    <cfRule type="containsText" dxfId="28133" priority="934" operator="containsText" text="CMS">
      <formula>NOT(ISERROR(SEARCH("CMS",O49)))</formula>
    </cfRule>
    <cfRule type="cellIs" dxfId="28132" priority="935" operator="equal">
      <formula>0</formula>
    </cfRule>
    <cfRule type="cellIs" dxfId="28131" priority="936" operator="greaterThan">
      <formula>0</formula>
    </cfRule>
  </conditionalFormatting>
  <conditionalFormatting sqref="O55:O57 P56">
    <cfRule type="cellIs" dxfId="28130" priority="929" operator="equal">
      <formula>"PMS"</formula>
    </cfRule>
    <cfRule type="containsText" dxfId="28129" priority="930" operator="containsText" text="CMS">
      <formula>NOT(ISERROR(SEARCH("CMS",O55)))</formula>
    </cfRule>
    <cfRule type="cellIs" dxfId="28128" priority="931" operator="equal">
      <formula>0</formula>
    </cfRule>
    <cfRule type="cellIs" dxfId="28127" priority="932" operator="greaterThan">
      <formula>0</formula>
    </cfRule>
  </conditionalFormatting>
  <conditionalFormatting sqref="O49">
    <cfRule type="cellIs" dxfId="28126" priority="925" operator="equal">
      <formula>"PMS"</formula>
    </cfRule>
    <cfRule type="containsText" dxfId="28125" priority="926" operator="containsText" text="CMS">
      <formula>NOT(ISERROR(SEARCH("CMS",O49)))</formula>
    </cfRule>
    <cfRule type="cellIs" dxfId="28124" priority="927" operator="equal">
      <formula>0</formula>
    </cfRule>
    <cfRule type="cellIs" dxfId="28123" priority="928" operator="greaterThan">
      <formula>0</formula>
    </cfRule>
  </conditionalFormatting>
  <conditionalFormatting sqref="O55:O57 P56">
    <cfRule type="cellIs" dxfId="28122" priority="921" operator="equal">
      <formula>"PMS"</formula>
    </cfRule>
    <cfRule type="containsText" dxfId="28121" priority="922" operator="containsText" text="CMS">
      <formula>NOT(ISERROR(SEARCH("CMS",O55)))</formula>
    </cfRule>
    <cfRule type="cellIs" dxfId="28120" priority="923" operator="equal">
      <formula>0</formula>
    </cfRule>
    <cfRule type="cellIs" dxfId="28119" priority="924" operator="greaterThan">
      <formula>0</formula>
    </cfRule>
  </conditionalFormatting>
  <conditionalFormatting sqref="V14:V16">
    <cfRule type="cellIs" dxfId="28118" priority="917" operator="equal">
      <formula>"PMS"</formula>
    </cfRule>
    <cfRule type="containsText" dxfId="28117" priority="918" operator="containsText" text="CMS">
      <formula>NOT(ISERROR(SEARCH("CMS",V14)))</formula>
    </cfRule>
    <cfRule type="cellIs" dxfId="28116" priority="919" operator="equal">
      <formula>0</formula>
    </cfRule>
    <cfRule type="cellIs" dxfId="28115" priority="920" operator="greaterThan">
      <formula>0</formula>
    </cfRule>
  </conditionalFormatting>
  <conditionalFormatting sqref="V14:V16">
    <cfRule type="cellIs" dxfId="28114" priority="913" operator="equal">
      <formula>"PMS"</formula>
    </cfRule>
    <cfRule type="containsText" dxfId="28113" priority="914" operator="containsText" text="CMS">
      <formula>NOT(ISERROR(SEARCH("CMS",V14)))</formula>
    </cfRule>
    <cfRule type="cellIs" dxfId="28112" priority="915" operator="equal">
      <formula>0</formula>
    </cfRule>
    <cfRule type="cellIs" dxfId="28111" priority="916" operator="greaterThan">
      <formula>0</formula>
    </cfRule>
  </conditionalFormatting>
  <conditionalFormatting sqref="W14:W16">
    <cfRule type="cellIs" dxfId="28110" priority="909" operator="equal">
      <formula>"PMS"</formula>
    </cfRule>
    <cfRule type="containsText" dxfId="28109" priority="910" operator="containsText" text="CMS">
      <formula>NOT(ISERROR(SEARCH("CMS",W14)))</formula>
    </cfRule>
    <cfRule type="cellIs" dxfId="28108" priority="911" operator="equal">
      <formula>0</formula>
    </cfRule>
    <cfRule type="cellIs" dxfId="28107" priority="912" operator="greaterThan">
      <formula>0</formula>
    </cfRule>
  </conditionalFormatting>
  <conditionalFormatting sqref="W14:W16">
    <cfRule type="cellIs" dxfId="28106" priority="905" operator="equal">
      <formula>"PMS"</formula>
    </cfRule>
    <cfRule type="containsText" dxfId="28105" priority="906" operator="containsText" text="CMS">
      <formula>NOT(ISERROR(SEARCH("CMS",W14)))</formula>
    </cfRule>
    <cfRule type="cellIs" dxfId="28104" priority="907" operator="equal">
      <formula>0</formula>
    </cfRule>
    <cfRule type="cellIs" dxfId="28103" priority="908" operator="greaterThan">
      <formula>0</formula>
    </cfRule>
  </conditionalFormatting>
  <conditionalFormatting sqref="X16">
    <cfRule type="cellIs" dxfId="28102" priority="901" operator="equal">
      <formula>"PMS"</formula>
    </cfRule>
    <cfRule type="containsText" dxfId="28101" priority="902" operator="containsText" text="CMS">
      <formula>NOT(ISERROR(SEARCH("CMS",X16)))</formula>
    </cfRule>
    <cfRule type="cellIs" dxfId="28100" priority="903" operator="equal">
      <formula>0</formula>
    </cfRule>
    <cfRule type="cellIs" dxfId="28099" priority="904" operator="greaterThan">
      <formula>0</formula>
    </cfRule>
  </conditionalFormatting>
  <conditionalFormatting sqref="X16">
    <cfRule type="cellIs" dxfId="28098" priority="897" operator="equal">
      <formula>"PMS"</formula>
    </cfRule>
    <cfRule type="containsText" dxfId="28097" priority="898" operator="containsText" text="CMS">
      <formula>NOT(ISERROR(SEARCH("CMS",X16)))</formula>
    </cfRule>
    <cfRule type="cellIs" dxfId="28096" priority="899" operator="equal">
      <formula>0</formula>
    </cfRule>
    <cfRule type="cellIs" dxfId="28095" priority="900" operator="greaterThan">
      <formula>0</formula>
    </cfRule>
  </conditionalFormatting>
  <conditionalFormatting sqref="O49">
    <cfRule type="cellIs" dxfId="28094" priority="893" operator="equal">
      <formula>"PMS"</formula>
    </cfRule>
    <cfRule type="containsText" dxfId="28093" priority="894" operator="containsText" text="CMS">
      <formula>NOT(ISERROR(SEARCH("CMS",O49)))</formula>
    </cfRule>
    <cfRule type="cellIs" dxfId="28092" priority="895" operator="equal">
      <formula>0</formula>
    </cfRule>
    <cfRule type="cellIs" dxfId="28091" priority="896" operator="greaterThan">
      <formula>0</formula>
    </cfRule>
  </conditionalFormatting>
  <conditionalFormatting sqref="O56:P56">
    <cfRule type="cellIs" dxfId="28090" priority="889" operator="equal">
      <formula>"PMS"</formula>
    </cfRule>
    <cfRule type="containsText" dxfId="28089" priority="890" operator="containsText" text="CMS">
      <formula>NOT(ISERROR(SEARCH("CMS",O56)))</formula>
    </cfRule>
    <cfRule type="cellIs" dxfId="28088" priority="891" operator="equal">
      <formula>0</formula>
    </cfRule>
    <cfRule type="cellIs" dxfId="28087" priority="892" operator="greaterThan">
      <formula>0</formula>
    </cfRule>
  </conditionalFormatting>
  <conditionalFormatting sqref="Z14">
    <cfRule type="cellIs" dxfId="28086" priority="885" operator="equal">
      <formula>"PMS"</formula>
    </cfRule>
    <cfRule type="containsText" dxfId="28085" priority="886" operator="containsText" text="CMS">
      <formula>NOT(ISERROR(SEARCH("CMS",Z14)))</formula>
    </cfRule>
    <cfRule type="cellIs" dxfId="28084" priority="887" operator="equal">
      <formula>0</formula>
    </cfRule>
    <cfRule type="cellIs" dxfId="28083" priority="888" operator="greaterThan">
      <formula>0</formula>
    </cfRule>
  </conditionalFormatting>
  <conditionalFormatting sqref="Z14">
    <cfRule type="cellIs" dxfId="28082" priority="881" operator="equal">
      <formula>"PMS"</formula>
    </cfRule>
    <cfRule type="containsText" dxfId="28081" priority="882" operator="containsText" text="CMS">
      <formula>NOT(ISERROR(SEARCH("CMS",Z14)))</formula>
    </cfRule>
    <cfRule type="cellIs" dxfId="28080" priority="883" operator="equal">
      <formula>0</formula>
    </cfRule>
    <cfRule type="cellIs" dxfId="28079" priority="884" operator="greaterThan">
      <formula>0</formula>
    </cfRule>
  </conditionalFormatting>
  <conditionalFormatting sqref="Z15">
    <cfRule type="cellIs" dxfId="28078" priority="877" operator="equal">
      <formula>"PMS"</formula>
    </cfRule>
    <cfRule type="containsText" dxfId="28077" priority="878" operator="containsText" text="CMS">
      <formula>NOT(ISERROR(SEARCH("CMS",Z15)))</formula>
    </cfRule>
    <cfRule type="cellIs" dxfId="28076" priority="879" operator="equal">
      <formula>0</formula>
    </cfRule>
    <cfRule type="cellIs" dxfId="28075" priority="880" operator="greaterThan">
      <formula>0</formula>
    </cfRule>
  </conditionalFormatting>
  <conditionalFormatting sqref="Z15">
    <cfRule type="cellIs" dxfId="28074" priority="873" operator="equal">
      <formula>"PMS"</formula>
    </cfRule>
    <cfRule type="containsText" dxfId="28073" priority="874" operator="containsText" text="CMS">
      <formula>NOT(ISERROR(SEARCH("CMS",Z15)))</formula>
    </cfRule>
    <cfRule type="cellIs" dxfId="28072" priority="875" operator="equal">
      <formula>0</formula>
    </cfRule>
    <cfRule type="cellIs" dxfId="28071" priority="876" operator="greaterThan">
      <formula>0</formula>
    </cfRule>
  </conditionalFormatting>
  <conditionalFormatting sqref="Z16">
    <cfRule type="cellIs" dxfId="28070" priority="869" operator="equal">
      <formula>"PMS"</formula>
    </cfRule>
    <cfRule type="containsText" dxfId="28069" priority="870" operator="containsText" text="CMS">
      <formula>NOT(ISERROR(SEARCH("CMS",Z16)))</formula>
    </cfRule>
    <cfRule type="cellIs" dxfId="28068" priority="871" operator="equal">
      <formula>0</formula>
    </cfRule>
    <cfRule type="cellIs" dxfId="28067" priority="872" operator="greaterThan">
      <formula>0</formula>
    </cfRule>
  </conditionalFormatting>
  <conditionalFormatting sqref="Z16">
    <cfRule type="cellIs" dxfId="28066" priority="865" operator="equal">
      <formula>"PMS"</formula>
    </cfRule>
    <cfRule type="containsText" dxfId="28065" priority="866" operator="containsText" text="CMS">
      <formula>NOT(ISERROR(SEARCH("CMS",Z16)))</formula>
    </cfRule>
    <cfRule type="cellIs" dxfId="28064" priority="867" operator="equal">
      <formula>0</formula>
    </cfRule>
    <cfRule type="cellIs" dxfId="28063" priority="868" operator="greaterThan">
      <formula>0</formula>
    </cfRule>
  </conditionalFormatting>
  <conditionalFormatting sqref="AA14">
    <cfRule type="cellIs" dxfId="28062" priority="861" operator="equal">
      <formula>"PMS"</formula>
    </cfRule>
    <cfRule type="containsText" dxfId="28061" priority="862" operator="containsText" text="CMS">
      <formula>NOT(ISERROR(SEARCH("CMS",AA14)))</formula>
    </cfRule>
    <cfRule type="cellIs" dxfId="28060" priority="863" operator="equal">
      <formula>0</formula>
    </cfRule>
    <cfRule type="cellIs" dxfId="28059" priority="864" operator="greaterThan">
      <formula>0</formula>
    </cfRule>
  </conditionalFormatting>
  <conditionalFormatting sqref="AA14">
    <cfRule type="cellIs" dxfId="28058" priority="857" operator="equal">
      <formula>"PMS"</formula>
    </cfRule>
    <cfRule type="containsText" dxfId="28057" priority="858" operator="containsText" text="CMS">
      <formula>NOT(ISERROR(SEARCH("CMS",AA14)))</formula>
    </cfRule>
    <cfRule type="cellIs" dxfId="28056" priority="859" operator="equal">
      <formula>0</formula>
    </cfRule>
    <cfRule type="cellIs" dxfId="28055" priority="860" operator="greaterThan">
      <formula>0</formula>
    </cfRule>
  </conditionalFormatting>
  <conditionalFormatting sqref="AA15">
    <cfRule type="cellIs" dxfId="28054" priority="853" operator="equal">
      <formula>"PMS"</formula>
    </cfRule>
    <cfRule type="containsText" dxfId="28053" priority="854" operator="containsText" text="CMS">
      <formula>NOT(ISERROR(SEARCH("CMS",AA15)))</formula>
    </cfRule>
    <cfRule type="cellIs" dxfId="28052" priority="855" operator="equal">
      <formula>0</formula>
    </cfRule>
    <cfRule type="cellIs" dxfId="28051" priority="856" operator="greaterThan">
      <formula>0</formula>
    </cfRule>
  </conditionalFormatting>
  <conditionalFormatting sqref="AA15">
    <cfRule type="cellIs" dxfId="28050" priority="849" operator="equal">
      <formula>"PMS"</formula>
    </cfRule>
    <cfRule type="containsText" dxfId="28049" priority="850" operator="containsText" text="CMS">
      <formula>NOT(ISERROR(SEARCH("CMS",AA15)))</formula>
    </cfRule>
    <cfRule type="cellIs" dxfId="28048" priority="851" operator="equal">
      <formula>0</formula>
    </cfRule>
    <cfRule type="cellIs" dxfId="28047" priority="852" operator="greaterThan">
      <formula>0</formula>
    </cfRule>
  </conditionalFormatting>
  <conditionalFormatting sqref="AA16">
    <cfRule type="cellIs" dxfId="28046" priority="845" operator="equal">
      <formula>"PMS"</formula>
    </cfRule>
    <cfRule type="containsText" dxfId="28045" priority="846" operator="containsText" text="CMS">
      <formula>NOT(ISERROR(SEARCH("CMS",AA16)))</formula>
    </cfRule>
    <cfRule type="cellIs" dxfId="28044" priority="847" operator="equal">
      <formula>0</formula>
    </cfRule>
    <cfRule type="cellIs" dxfId="28043" priority="848" operator="greaterThan">
      <formula>0</formula>
    </cfRule>
  </conditionalFormatting>
  <conditionalFormatting sqref="AA16">
    <cfRule type="cellIs" dxfId="28042" priority="841" operator="equal">
      <formula>"PMS"</formula>
    </cfRule>
    <cfRule type="containsText" dxfId="28041" priority="842" operator="containsText" text="CMS">
      <formula>NOT(ISERROR(SEARCH("CMS",AA16)))</formula>
    </cfRule>
    <cfRule type="cellIs" dxfId="28040" priority="843" operator="equal">
      <formula>0</formula>
    </cfRule>
    <cfRule type="cellIs" dxfId="28039" priority="844" operator="greaterThan">
      <formula>0</formula>
    </cfRule>
  </conditionalFormatting>
  <conditionalFormatting sqref="AA27">
    <cfRule type="cellIs" dxfId="28038" priority="837" operator="equal">
      <formula>"PMS"</formula>
    </cfRule>
    <cfRule type="containsText" dxfId="28037" priority="838" operator="containsText" text="CMS">
      <formula>NOT(ISERROR(SEARCH("CMS",AA27)))</formula>
    </cfRule>
    <cfRule type="cellIs" dxfId="28036" priority="839" operator="equal">
      <formula>0</formula>
    </cfRule>
    <cfRule type="cellIs" dxfId="28035" priority="840" operator="greaterThan">
      <formula>0</formula>
    </cfRule>
  </conditionalFormatting>
  <conditionalFormatting sqref="AA27">
    <cfRule type="cellIs" dxfId="28034" priority="833" operator="equal">
      <formula>"PMS"</formula>
    </cfRule>
    <cfRule type="containsText" dxfId="28033" priority="834" operator="containsText" text="CMS">
      <formula>NOT(ISERROR(SEARCH("CMS",AA27)))</formula>
    </cfRule>
    <cfRule type="cellIs" dxfId="28032" priority="835" operator="equal">
      <formula>0</formula>
    </cfRule>
    <cfRule type="cellIs" dxfId="28031" priority="836" operator="greaterThan">
      <formula>0</formula>
    </cfRule>
  </conditionalFormatting>
  <conditionalFormatting sqref="AA28">
    <cfRule type="cellIs" dxfId="28030" priority="829" operator="equal">
      <formula>"PMS"</formula>
    </cfRule>
    <cfRule type="containsText" dxfId="28029" priority="830" operator="containsText" text="CMS">
      <formula>NOT(ISERROR(SEARCH("CMS",AA28)))</formula>
    </cfRule>
    <cfRule type="cellIs" dxfId="28028" priority="831" operator="equal">
      <formula>0</formula>
    </cfRule>
    <cfRule type="cellIs" dxfId="28027" priority="832" operator="greaterThan">
      <formula>0</formula>
    </cfRule>
  </conditionalFormatting>
  <conditionalFormatting sqref="AA28">
    <cfRule type="cellIs" dxfId="28026" priority="825" operator="equal">
      <formula>"PMS"</formula>
    </cfRule>
    <cfRule type="containsText" dxfId="28025" priority="826" operator="containsText" text="CMS">
      <formula>NOT(ISERROR(SEARCH("CMS",AA28)))</formula>
    </cfRule>
    <cfRule type="cellIs" dxfId="28024" priority="827" operator="equal">
      <formula>0</formula>
    </cfRule>
    <cfRule type="cellIs" dxfId="28023" priority="828" operator="greaterThan">
      <formula>0</formula>
    </cfRule>
  </conditionalFormatting>
  <conditionalFormatting sqref="AB14">
    <cfRule type="cellIs" dxfId="28022" priority="821" operator="equal">
      <formula>"PMS"</formula>
    </cfRule>
    <cfRule type="containsText" dxfId="28021" priority="822" operator="containsText" text="CMS">
      <formula>NOT(ISERROR(SEARCH("CMS",AB14)))</formula>
    </cfRule>
    <cfRule type="cellIs" dxfId="28020" priority="823" operator="equal">
      <formula>0</formula>
    </cfRule>
    <cfRule type="cellIs" dxfId="28019" priority="824" operator="greaterThan">
      <formula>0</formula>
    </cfRule>
  </conditionalFormatting>
  <conditionalFormatting sqref="AB14">
    <cfRule type="cellIs" dxfId="28018" priority="817" operator="equal">
      <formula>"PMS"</formula>
    </cfRule>
    <cfRule type="containsText" dxfId="28017" priority="818" operator="containsText" text="CMS">
      <formula>NOT(ISERROR(SEARCH("CMS",AB14)))</formula>
    </cfRule>
    <cfRule type="cellIs" dxfId="28016" priority="819" operator="equal">
      <formula>0</formula>
    </cfRule>
    <cfRule type="cellIs" dxfId="28015" priority="820" operator="greaterThan">
      <formula>0</formula>
    </cfRule>
  </conditionalFormatting>
  <conditionalFormatting sqref="AB15">
    <cfRule type="cellIs" dxfId="28014" priority="813" operator="equal">
      <formula>"PMS"</formula>
    </cfRule>
    <cfRule type="containsText" dxfId="28013" priority="814" operator="containsText" text="CMS">
      <formula>NOT(ISERROR(SEARCH("CMS",AB15)))</formula>
    </cfRule>
    <cfRule type="cellIs" dxfId="28012" priority="815" operator="equal">
      <formula>0</formula>
    </cfRule>
    <cfRule type="cellIs" dxfId="28011" priority="816" operator="greaterThan">
      <formula>0</formula>
    </cfRule>
  </conditionalFormatting>
  <conditionalFormatting sqref="AB15">
    <cfRule type="cellIs" dxfId="28010" priority="809" operator="equal">
      <formula>"PMS"</formula>
    </cfRule>
    <cfRule type="containsText" dxfId="28009" priority="810" operator="containsText" text="CMS">
      <formula>NOT(ISERROR(SEARCH("CMS",AB15)))</formula>
    </cfRule>
    <cfRule type="cellIs" dxfId="28008" priority="811" operator="equal">
      <formula>0</formula>
    </cfRule>
    <cfRule type="cellIs" dxfId="28007" priority="812" operator="greaterThan">
      <formula>0</formula>
    </cfRule>
  </conditionalFormatting>
  <conditionalFormatting sqref="AB16">
    <cfRule type="cellIs" dxfId="28006" priority="805" operator="equal">
      <formula>"PMS"</formula>
    </cfRule>
    <cfRule type="containsText" dxfId="28005" priority="806" operator="containsText" text="CMS">
      <formula>NOT(ISERROR(SEARCH("CMS",AB16)))</formula>
    </cfRule>
    <cfRule type="cellIs" dxfId="28004" priority="807" operator="equal">
      <formula>0</formula>
    </cfRule>
    <cfRule type="cellIs" dxfId="28003" priority="808" operator="greaterThan">
      <formula>0</formula>
    </cfRule>
  </conditionalFormatting>
  <conditionalFormatting sqref="AB16">
    <cfRule type="cellIs" dxfId="28002" priority="801" operator="equal">
      <formula>"PMS"</formula>
    </cfRule>
    <cfRule type="containsText" dxfId="28001" priority="802" operator="containsText" text="CMS">
      <formula>NOT(ISERROR(SEARCH("CMS",AB16)))</formula>
    </cfRule>
    <cfRule type="cellIs" dxfId="28000" priority="803" operator="equal">
      <formula>0</formula>
    </cfRule>
    <cfRule type="cellIs" dxfId="27999" priority="804" operator="greaterThan">
      <formula>0</formula>
    </cfRule>
  </conditionalFormatting>
  <conditionalFormatting sqref="J61:J63">
    <cfRule type="cellIs" dxfId="27998" priority="793" operator="equal">
      <formula>"PMS"</formula>
    </cfRule>
    <cfRule type="containsText" dxfId="27997" priority="794" operator="containsText" text="CMS">
      <formula>NOT(ISERROR(SEARCH("CMS",J61)))</formula>
    </cfRule>
    <cfRule type="cellIs" dxfId="27996" priority="795" operator="equal">
      <formula>0</formula>
    </cfRule>
    <cfRule type="cellIs" dxfId="27995" priority="796" operator="greaterThan">
      <formula>0</formula>
    </cfRule>
    <cfRule type="cellIs" dxfId="27994" priority="797" operator="equal">
      <formula>"PMS"</formula>
    </cfRule>
    <cfRule type="containsText" dxfId="27993" priority="798" operator="containsText" text="CMS">
      <formula>NOT(ISERROR(SEARCH("CMS",J61)))</formula>
    </cfRule>
    <cfRule type="cellIs" dxfId="27992" priority="799" operator="equal">
      <formula>0</formula>
    </cfRule>
    <cfRule type="cellIs" dxfId="27991" priority="800" operator="greaterThan">
      <formula>0</formula>
    </cfRule>
  </conditionalFormatting>
  <conditionalFormatting sqref="V14">
    <cfRule type="cellIs" dxfId="27990" priority="789" operator="equal">
      <formula>"PMS"</formula>
    </cfRule>
    <cfRule type="containsText" dxfId="27989" priority="790" operator="containsText" text="CMS">
      <formula>NOT(ISERROR(SEARCH("CMS",V14)))</formula>
    </cfRule>
    <cfRule type="cellIs" dxfId="27988" priority="791" operator="equal">
      <formula>0</formula>
    </cfRule>
    <cfRule type="cellIs" dxfId="27987" priority="792" operator="greaterThan">
      <formula>0</formula>
    </cfRule>
  </conditionalFormatting>
  <conditionalFormatting sqref="V14">
    <cfRule type="cellIs" dxfId="27986" priority="785" operator="equal">
      <formula>"PMS"</formula>
    </cfRule>
    <cfRule type="containsText" dxfId="27985" priority="786" operator="containsText" text="CMS">
      <formula>NOT(ISERROR(SEARCH("CMS",V14)))</formula>
    </cfRule>
    <cfRule type="cellIs" dxfId="27984" priority="787" operator="equal">
      <formula>0</formula>
    </cfRule>
    <cfRule type="cellIs" dxfId="27983" priority="788" operator="greaterThan">
      <formula>0</formula>
    </cfRule>
  </conditionalFormatting>
  <conditionalFormatting sqref="V15">
    <cfRule type="cellIs" dxfId="27982" priority="781" operator="equal">
      <formula>"PMS"</formula>
    </cfRule>
    <cfRule type="containsText" dxfId="27981" priority="782" operator="containsText" text="CMS">
      <formula>NOT(ISERROR(SEARCH("CMS",V15)))</formula>
    </cfRule>
    <cfRule type="cellIs" dxfId="27980" priority="783" operator="equal">
      <formula>0</formula>
    </cfRule>
    <cfRule type="cellIs" dxfId="27979" priority="784" operator="greaterThan">
      <formula>0</formula>
    </cfRule>
  </conditionalFormatting>
  <conditionalFormatting sqref="V15">
    <cfRule type="cellIs" dxfId="27978" priority="777" operator="equal">
      <formula>"PMS"</formula>
    </cfRule>
    <cfRule type="containsText" dxfId="27977" priority="778" operator="containsText" text="CMS">
      <formula>NOT(ISERROR(SEARCH("CMS",V15)))</formula>
    </cfRule>
    <cfRule type="cellIs" dxfId="27976" priority="779" operator="equal">
      <formula>0</formula>
    </cfRule>
    <cfRule type="cellIs" dxfId="27975" priority="780" operator="greaterThan">
      <formula>0</formula>
    </cfRule>
  </conditionalFormatting>
  <conditionalFormatting sqref="V16">
    <cfRule type="cellIs" dxfId="27974" priority="773" operator="equal">
      <formula>"PMS"</formula>
    </cfRule>
    <cfRule type="containsText" dxfId="27973" priority="774" operator="containsText" text="CMS">
      <formula>NOT(ISERROR(SEARCH("CMS",V16)))</formula>
    </cfRule>
    <cfRule type="cellIs" dxfId="27972" priority="775" operator="equal">
      <formula>0</formula>
    </cfRule>
    <cfRule type="cellIs" dxfId="27971" priority="776" operator="greaterThan">
      <formula>0</formula>
    </cfRule>
  </conditionalFormatting>
  <conditionalFormatting sqref="V16">
    <cfRule type="cellIs" dxfId="27970" priority="769" operator="equal">
      <formula>"PMS"</formula>
    </cfRule>
    <cfRule type="containsText" dxfId="27969" priority="770" operator="containsText" text="CMS">
      <formula>NOT(ISERROR(SEARCH("CMS",V16)))</formula>
    </cfRule>
    <cfRule type="cellIs" dxfId="27968" priority="771" operator="equal">
      <formula>0</formula>
    </cfRule>
    <cfRule type="cellIs" dxfId="27967" priority="772" operator="greaterThan">
      <formula>0</formula>
    </cfRule>
  </conditionalFormatting>
  <conditionalFormatting sqref="W14">
    <cfRule type="cellIs" dxfId="27966" priority="765" operator="equal">
      <formula>"PMS"</formula>
    </cfRule>
    <cfRule type="containsText" dxfId="27965" priority="766" operator="containsText" text="CMS">
      <formula>NOT(ISERROR(SEARCH("CMS",W14)))</formula>
    </cfRule>
    <cfRule type="cellIs" dxfId="27964" priority="767" operator="equal">
      <formula>0</formula>
    </cfRule>
    <cfRule type="cellIs" dxfId="27963" priority="768" operator="greaterThan">
      <formula>0</formula>
    </cfRule>
  </conditionalFormatting>
  <conditionalFormatting sqref="W14">
    <cfRule type="cellIs" dxfId="27962" priority="761" operator="equal">
      <formula>"PMS"</formula>
    </cfRule>
    <cfRule type="containsText" dxfId="27961" priority="762" operator="containsText" text="CMS">
      <formula>NOT(ISERROR(SEARCH("CMS",W14)))</formula>
    </cfRule>
    <cfRule type="cellIs" dxfId="27960" priority="763" operator="equal">
      <formula>0</formula>
    </cfRule>
    <cfRule type="cellIs" dxfId="27959" priority="764" operator="greaterThan">
      <formula>0</formula>
    </cfRule>
  </conditionalFormatting>
  <conditionalFormatting sqref="W15">
    <cfRule type="cellIs" dxfId="27958" priority="757" operator="equal">
      <formula>"PMS"</formula>
    </cfRule>
    <cfRule type="containsText" dxfId="27957" priority="758" operator="containsText" text="CMS">
      <formula>NOT(ISERROR(SEARCH("CMS",W15)))</formula>
    </cfRule>
    <cfRule type="cellIs" dxfId="27956" priority="759" operator="equal">
      <formula>0</formula>
    </cfRule>
    <cfRule type="cellIs" dxfId="27955" priority="760" operator="greaterThan">
      <formula>0</formula>
    </cfRule>
  </conditionalFormatting>
  <conditionalFormatting sqref="W15">
    <cfRule type="cellIs" dxfId="27954" priority="753" operator="equal">
      <formula>"PMS"</formula>
    </cfRule>
    <cfRule type="containsText" dxfId="27953" priority="754" operator="containsText" text="CMS">
      <formula>NOT(ISERROR(SEARCH("CMS",W15)))</formula>
    </cfRule>
    <cfRule type="cellIs" dxfId="27952" priority="755" operator="equal">
      <formula>0</formula>
    </cfRule>
    <cfRule type="cellIs" dxfId="27951" priority="756" operator="greaterThan">
      <formula>0</formula>
    </cfRule>
  </conditionalFormatting>
  <conditionalFormatting sqref="W16">
    <cfRule type="cellIs" dxfId="27950" priority="749" operator="equal">
      <formula>"PMS"</formula>
    </cfRule>
    <cfRule type="containsText" dxfId="27949" priority="750" operator="containsText" text="CMS">
      <formula>NOT(ISERROR(SEARCH("CMS",W16)))</formula>
    </cfRule>
    <cfRule type="cellIs" dxfId="27948" priority="751" operator="equal">
      <formula>0</formula>
    </cfRule>
    <cfRule type="cellIs" dxfId="27947" priority="752" operator="greaterThan">
      <formula>0</formula>
    </cfRule>
  </conditionalFormatting>
  <conditionalFormatting sqref="W16">
    <cfRule type="cellIs" dxfId="27946" priority="745" operator="equal">
      <formula>"PMS"</formula>
    </cfRule>
    <cfRule type="containsText" dxfId="27945" priority="746" operator="containsText" text="CMS">
      <formula>NOT(ISERROR(SEARCH("CMS",W16)))</formula>
    </cfRule>
    <cfRule type="cellIs" dxfId="27944" priority="747" operator="equal">
      <formula>0</formula>
    </cfRule>
    <cfRule type="cellIs" dxfId="27943" priority="748" operator="greaterThan">
      <formula>0</formula>
    </cfRule>
  </conditionalFormatting>
  <conditionalFormatting sqref="G56">
    <cfRule type="cellIs" dxfId="27942" priority="737" operator="equal">
      <formula>"PMS"</formula>
    </cfRule>
    <cfRule type="containsText" dxfId="27941" priority="738" operator="containsText" text="CMS">
      <formula>NOT(ISERROR(SEARCH("CMS",G56)))</formula>
    </cfRule>
    <cfRule type="cellIs" dxfId="27940" priority="739" operator="equal">
      <formula>0</formula>
    </cfRule>
    <cfRule type="cellIs" dxfId="27939" priority="740" operator="greaterThan">
      <formula>0</formula>
    </cfRule>
    <cfRule type="cellIs" dxfId="27938" priority="741" operator="equal">
      <formula>"PMS"</formula>
    </cfRule>
    <cfRule type="containsText" dxfId="27937" priority="742" operator="containsText" text="CMS">
      <formula>NOT(ISERROR(SEARCH("CMS",G56)))</formula>
    </cfRule>
    <cfRule type="cellIs" dxfId="27936" priority="743" operator="equal">
      <formula>0</formula>
    </cfRule>
    <cfRule type="cellIs" dxfId="27935" priority="744" operator="greaterThan">
      <formula>0</formula>
    </cfRule>
  </conditionalFormatting>
  <conditionalFormatting sqref="G56">
    <cfRule type="cellIs" dxfId="27934" priority="733" operator="equal">
      <formula>"PMS"</formula>
    </cfRule>
    <cfRule type="containsText" dxfId="27933" priority="734" operator="containsText" text="CMS">
      <formula>NOT(ISERROR(SEARCH("CMS",G56)))</formula>
    </cfRule>
    <cfRule type="cellIs" dxfId="27932" priority="735" operator="equal">
      <formula>0</formula>
    </cfRule>
    <cfRule type="cellIs" dxfId="27931" priority="736" operator="greaterThan">
      <formula>0</formula>
    </cfRule>
  </conditionalFormatting>
  <conditionalFormatting sqref="G56">
    <cfRule type="cellIs" dxfId="27930" priority="729" operator="equal">
      <formula>"PMS"</formula>
    </cfRule>
    <cfRule type="containsText" dxfId="27929" priority="730" operator="containsText" text="CMS">
      <formula>NOT(ISERROR(SEARCH("CMS",G56)))</formula>
    </cfRule>
    <cfRule type="cellIs" dxfId="27928" priority="731" operator="equal">
      <formula>0</formula>
    </cfRule>
    <cfRule type="cellIs" dxfId="27927" priority="732" operator="greaterThan">
      <formula>0</formula>
    </cfRule>
  </conditionalFormatting>
  <conditionalFormatting sqref="G13:G16">
    <cfRule type="cellIs" dxfId="27926" priority="721" operator="equal">
      <formula>"PMS"</formula>
    </cfRule>
    <cfRule type="containsText" dxfId="27925" priority="722" operator="containsText" text="CMS">
      <formula>NOT(ISERROR(SEARCH("CMS",G13)))</formula>
    </cfRule>
    <cfRule type="cellIs" dxfId="27924" priority="723" operator="equal">
      <formula>0</formula>
    </cfRule>
    <cfRule type="cellIs" dxfId="27923" priority="724" operator="greaterThan">
      <formula>0</formula>
    </cfRule>
    <cfRule type="cellIs" dxfId="27922" priority="725" operator="equal">
      <formula>"PMS"</formula>
    </cfRule>
    <cfRule type="containsText" dxfId="27921" priority="726" operator="containsText" text="CMS">
      <formula>NOT(ISERROR(SEARCH("CMS",G13)))</formula>
    </cfRule>
    <cfRule type="cellIs" dxfId="27920" priority="727" operator="equal">
      <formula>0</formula>
    </cfRule>
    <cfRule type="cellIs" dxfId="27919" priority="728" operator="greaterThan">
      <formula>0</formula>
    </cfRule>
  </conditionalFormatting>
  <conditionalFormatting sqref="G13:G16">
    <cfRule type="cellIs" dxfId="27918" priority="717" operator="equal">
      <formula>"PMS"</formula>
    </cfRule>
    <cfRule type="containsText" dxfId="27917" priority="718" operator="containsText" text="CMS">
      <formula>NOT(ISERROR(SEARCH("CMS",G13)))</formula>
    </cfRule>
    <cfRule type="cellIs" dxfId="27916" priority="719" operator="equal">
      <formula>0</formula>
    </cfRule>
    <cfRule type="cellIs" dxfId="27915" priority="720" operator="greaterThan">
      <formula>0</formula>
    </cfRule>
  </conditionalFormatting>
  <conditionalFormatting sqref="G13:G16">
    <cfRule type="cellIs" dxfId="27914" priority="713" operator="equal">
      <formula>"PMS"</formula>
    </cfRule>
    <cfRule type="containsText" dxfId="27913" priority="714" operator="containsText" text="CMS">
      <formula>NOT(ISERROR(SEARCH("CMS",G13)))</formula>
    </cfRule>
    <cfRule type="cellIs" dxfId="27912" priority="715" operator="equal">
      <formula>0</formula>
    </cfRule>
    <cfRule type="cellIs" dxfId="27911" priority="716" operator="greaterThan">
      <formula>0</formula>
    </cfRule>
  </conditionalFormatting>
  <conditionalFormatting sqref="G13:G16">
    <cfRule type="cellIs" dxfId="27910" priority="709" operator="equal">
      <formula>"PMS"</formula>
    </cfRule>
    <cfRule type="containsText" dxfId="27909" priority="710" operator="containsText" text="CMS">
      <formula>NOT(ISERROR(SEARCH("CMS",G13)))</formula>
    </cfRule>
    <cfRule type="cellIs" dxfId="27908" priority="711" operator="equal">
      <formula>0</formula>
    </cfRule>
    <cfRule type="cellIs" dxfId="27907" priority="712" operator="greaterThan">
      <formula>0</formula>
    </cfRule>
  </conditionalFormatting>
  <conditionalFormatting sqref="G13:G16">
    <cfRule type="cellIs" dxfId="27906" priority="705" operator="equal">
      <formula>"PMS"</formula>
    </cfRule>
    <cfRule type="containsText" dxfId="27905" priority="706" operator="containsText" text="CMS">
      <formula>NOT(ISERROR(SEARCH("CMS",G13)))</formula>
    </cfRule>
    <cfRule type="cellIs" dxfId="27904" priority="707" operator="equal">
      <formula>0</formula>
    </cfRule>
    <cfRule type="cellIs" dxfId="27903" priority="708" operator="greaterThan">
      <formula>0</formula>
    </cfRule>
  </conditionalFormatting>
  <conditionalFormatting sqref="G20:G21">
    <cfRule type="cellIs" dxfId="27902" priority="697" operator="equal">
      <formula>"PMS"</formula>
    </cfRule>
    <cfRule type="containsText" dxfId="27901" priority="698" operator="containsText" text="CMS">
      <formula>NOT(ISERROR(SEARCH("CMS",G20)))</formula>
    </cfRule>
    <cfRule type="cellIs" dxfId="27900" priority="699" operator="equal">
      <formula>0</formula>
    </cfRule>
    <cfRule type="cellIs" dxfId="27899" priority="700" operator="greaterThan">
      <formula>0</formula>
    </cfRule>
    <cfRule type="cellIs" dxfId="27898" priority="701" operator="equal">
      <formula>"PMS"</formula>
    </cfRule>
    <cfRule type="containsText" dxfId="27897" priority="702" operator="containsText" text="CMS">
      <formula>NOT(ISERROR(SEARCH("CMS",G20)))</formula>
    </cfRule>
    <cfRule type="cellIs" dxfId="27896" priority="703" operator="equal">
      <formula>0</formula>
    </cfRule>
    <cfRule type="cellIs" dxfId="27895" priority="704" operator="greaterThan">
      <formula>0</formula>
    </cfRule>
  </conditionalFormatting>
  <conditionalFormatting sqref="G20:G21">
    <cfRule type="cellIs" dxfId="27894" priority="693" operator="equal">
      <formula>"PMS"</formula>
    </cfRule>
    <cfRule type="containsText" dxfId="27893" priority="694" operator="containsText" text="CMS">
      <formula>NOT(ISERROR(SEARCH("CMS",G20)))</formula>
    </cfRule>
    <cfRule type="cellIs" dxfId="27892" priority="695" operator="equal">
      <formula>0</formula>
    </cfRule>
    <cfRule type="cellIs" dxfId="27891" priority="696" operator="greaterThan">
      <formula>0</formula>
    </cfRule>
  </conditionalFormatting>
  <conditionalFormatting sqref="G20:G21">
    <cfRule type="cellIs" dxfId="27890" priority="689" operator="equal">
      <formula>"PMS"</formula>
    </cfRule>
    <cfRule type="containsText" dxfId="27889" priority="690" operator="containsText" text="CMS">
      <formula>NOT(ISERROR(SEARCH("CMS",G20)))</formula>
    </cfRule>
    <cfRule type="cellIs" dxfId="27888" priority="691" operator="equal">
      <formula>0</formula>
    </cfRule>
    <cfRule type="cellIs" dxfId="27887" priority="692" operator="greaterThan">
      <formula>0</formula>
    </cfRule>
  </conditionalFormatting>
  <conditionalFormatting sqref="G27:G29 J29 M29 P29 S29 V29 AB29">
    <cfRule type="cellIs" dxfId="27886" priority="681" operator="equal">
      <formula>"PMS"</formula>
    </cfRule>
    <cfRule type="containsText" dxfId="27885" priority="682" operator="containsText" text="CMS">
      <formula>NOT(ISERROR(SEARCH("CMS",G27)))</formula>
    </cfRule>
    <cfRule type="cellIs" dxfId="27884" priority="683" operator="equal">
      <formula>0</formula>
    </cfRule>
    <cfRule type="cellIs" dxfId="27883" priority="684" operator="greaterThan">
      <formula>0</formula>
    </cfRule>
    <cfRule type="cellIs" dxfId="27882" priority="685" operator="equal">
      <formula>"PMS"</formula>
    </cfRule>
    <cfRule type="containsText" dxfId="27881" priority="686" operator="containsText" text="CMS">
      <formula>NOT(ISERROR(SEARCH("CMS",G27)))</formula>
    </cfRule>
    <cfRule type="cellIs" dxfId="27880" priority="687" operator="equal">
      <formula>0</formula>
    </cfRule>
    <cfRule type="cellIs" dxfId="27879" priority="688" operator="greaterThan">
      <formula>0</formula>
    </cfRule>
  </conditionalFormatting>
  <conditionalFormatting sqref="G27:G29 J29 M29 P29 S29 V29 AB29">
    <cfRule type="cellIs" dxfId="27878" priority="677" operator="equal">
      <formula>"PMS"</formula>
    </cfRule>
    <cfRule type="containsText" dxfId="27877" priority="678" operator="containsText" text="CMS">
      <formula>NOT(ISERROR(SEARCH("CMS",G27)))</formula>
    </cfRule>
    <cfRule type="cellIs" dxfId="27876" priority="679" operator="equal">
      <formula>0</formula>
    </cfRule>
    <cfRule type="cellIs" dxfId="27875" priority="680" operator="greaterThan">
      <formula>0</formula>
    </cfRule>
  </conditionalFormatting>
  <conditionalFormatting sqref="G27:G29 J29 M29 P29 S29 V29 AB29">
    <cfRule type="cellIs" dxfId="27874" priority="673" operator="equal">
      <formula>"PMS"</formula>
    </cfRule>
    <cfRule type="containsText" dxfId="27873" priority="674" operator="containsText" text="CMS">
      <formula>NOT(ISERROR(SEARCH("CMS",G27)))</formula>
    </cfRule>
    <cfRule type="cellIs" dxfId="27872" priority="675" operator="equal">
      <formula>0</formula>
    </cfRule>
    <cfRule type="cellIs" dxfId="27871" priority="676" operator="greaterThan">
      <formula>0</formula>
    </cfRule>
  </conditionalFormatting>
  <conditionalFormatting sqref="G45:G46">
    <cfRule type="cellIs" dxfId="27870" priority="621" operator="equal">
      <formula>"PMS"</formula>
    </cfRule>
    <cfRule type="containsText" dxfId="27869" priority="622" operator="containsText" text="CMS">
      <formula>NOT(ISERROR(SEARCH("CMS",G45)))</formula>
    </cfRule>
    <cfRule type="cellIs" dxfId="27868" priority="623" operator="equal">
      <formula>0</formula>
    </cfRule>
    <cfRule type="cellIs" dxfId="27867" priority="624" operator="greaterThan">
      <formula>0</formula>
    </cfRule>
    <cfRule type="cellIs" dxfId="27866" priority="625" operator="equal">
      <formula>"PMS"</formula>
    </cfRule>
    <cfRule type="containsText" dxfId="27865" priority="626" operator="containsText" text="CMS">
      <formula>NOT(ISERROR(SEARCH("CMS",G45)))</formula>
    </cfRule>
    <cfRule type="cellIs" dxfId="27864" priority="627" operator="equal">
      <formula>0</formula>
    </cfRule>
    <cfRule type="cellIs" dxfId="27863" priority="628" operator="greaterThan">
      <formula>0</formula>
    </cfRule>
  </conditionalFormatting>
  <conditionalFormatting sqref="G45:G46">
    <cfRule type="cellIs" dxfId="27862" priority="617" operator="equal">
      <formula>"PMS"</formula>
    </cfRule>
    <cfRule type="containsText" dxfId="27861" priority="618" operator="containsText" text="CMS">
      <formula>NOT(ISERROR(SEARCH("CMS",G45)))</formula>
    </cfRule>
    <cfRule type="cellIs" dxfId="27860" priority="619" operator="equal">
      <formula>0</formula>
    </cfRule>
    <cfRule type="cellIs" dxfId="27859" priority="620" operator="greaterThan">
      <formula>0</formula>
    </cfRule>
  </conditionalFormatting>
  <conditionalFormatting sqref="G45:G46">
    <cfRule type="cellIs" dxfId="27858" priority="613" operator="equal">
      <formula>"PMS"</formula>
    </cfRule>
    <cfRule type="containsText" dxfId="27857" priority="614" operator="containsText" text="CMS">
      <formula>NOT(ISERROR(SEARCH("CMS",G45)))</formula>
    </cfRule>
    <cfRule type="cellIs" dxfId="27856" priority="615" operator="equal">
      <formula>0</formula>
    </cfRule>
    <cfRule type="cellIs" dxfId="27855" priority="616" operator="greaterThan">
      <formula>0</formula>
    </cfRule>
  </conditionalFormatting>
  <conditionalFormatting sqref="I61:I63">
    <cfRule type="cellIs" dxfId="27854" priority="605" operator="equal">
      <formula>"PMS"</formula>
    </cfRule>
    <cfRule type="containsText" dxfId="27853" priority="606" operator="containsText" text="CMS">
      <formula>NOT(ISERROR(SEARCH("CMS",I61)))</formula>
    </cfRule>
    <cfRule type="cellIs" dxfId="27852" priority="607" operator="equal">
      <formula>0</formula>
    </cfRule>
    <cfRule type="cellIs" dxfId="27851" priority="608" operator="greaterThan">
      <formula>0</formula>
    </cfRule>
    <cfRule type="cellIs" dxfId="27850" priority="609" operator="equal">
      <formula>"PMS"</formula>
    </cfRule>
    <cfRule type="containsText" dxfId="27849" priority="610" operator="containsText" text="CMS">
      <formula>NOT(ISERROR(SEARCH("CMS",I61)))</formula>
    </cfRule>
    <cfRule type="cellIs" dxfId="27848" priority="611" operator="equal">
      <formula>0</formula>
    </cfRule>
    <cfRule type="cellIs" dxfId="27847" priority="612" operator="greaterThan">
      <formula>0</formula>
    </cfRule>
  </conditionalFormatting>
  <conditionalFormatting sqref="O48">
    <cfRule type="cellIs" dxfId="27846" priority="585" operator="equal">
      <formula>"PMS"</formula>
    </cfRule>
    <cfRule type="containsText" dxfId="27845" priority="586" operator="containsText" text="CMS">
      <formula>NOT(ISERROR(SEARCH("CMS",O48)))</formula>
    </cfRule>
    <cfRule type="cellIs" dxfId="27844" priority="587" operator="equal">
      <formula>0</formula>
    </cfRule>
    <cfRule type="cellIs" dxfId="27843" priority="588" operator="greaterThan">
      <formula>0</formula>
    </cfRule>
  </conditionalFormatting>
  <conditionalFormatting sqref="O48">
    <cfRule type="cellIs" dxfId="27842" priority="581" operator="equal">
      <formula>"PMS"</formula>
    </cfRule>
    <cfRule type="containsText" dxfId="27841" priority="582" operator="containsText" text="CMS">
      <formula>NOT(ISERROR(SEARCH("CMS",O48)))</formula>
    </cfRule>
    <cfRule type="cellIs" dxfId="27840" priority="583" operator="equal">
      <formula>0</formula>
    </cfRule>
    <cfRule type="cellIs" dxfId="27839" priority="584" operator="greaterThan">
      <formula>0</formula>
    </cfRule>
  </conditionalFormatting>
  <conditionalFormatting sqref="O48">
    <cfRule type="cellIs" dxfId="27838" priority="577" operator="equal">
      <formula>"PMS"</formula>
    </cfRule>
    <cfRule type="containsText" dxfId="27837" priority="578" operator="containsText" text="CMS">
      <formula>NOT(ISERROR(SEARCH("CMS",O48)))</formula>
    </cfRule>
    <cfRule type="cellIs" dxfId="27836" priority="579" operator="equal">
      <formula>0</formula>
    </cfRule>
    <cfRule type="cellIs" dxfId="27835" priority="580" operator="greaterThan">
      <formula>0</formula>
    </cfRule>
  </conditionalFormatting>
  <conditionalFormatting sqref="O48">
    <cfRule type="cellIs" dxfId="27834" priority="573" operator="equal">
      <formula>"PMS"</formula>
    </cfRule>
    <cfRule type="containsText" dxfId="27833" priority="574" operator="containsText" text="CMS">
      <formula>NOT(ISERROR(SEARCH("CMS",O48)))</formula>
    </cfRule>
    <cfRule type="cellIs" dxfId="27832" priority="575" operator="equal">
      <formula>0</formula>
    </cfRule>
    <cfRule type="cellIs" dxfId="27831" priority="576" operator="greaterThan">
      <formula>0</formula>
    </cfRule>
  </conditionalFormatting>
  <conditionalFormatting sqref="O56:P56">
    <cfRule type="cellIs" dxfId="27830" priority="569" operator="equal">
      <formula>"PMS"</formula>
    </cfRule>
    <cfRule type="containsText" dxfId="27829" priority="570" operator="containsText" text="CMS">
      <formula>NOT(ISERROR(SEARCH("CMS",O56)))</formula>
    </cfRule>
    <cfRule type="cellIs" dxfId="27828" priority="571" operator="equal">
      <formula>0</formula>
    </cfRule>
    <cfRule type="cellIs" dxfId="27827" priority="572" operator="greaterThan">
      <formula>0</formula>
    </cfRule>
  </conditionalFormatting>
  <conditionalFormatting sqref="O56:P56">
    <cfRule type="cellIs" dxfId="27826" priority="565" operator="equal">
      <formula>"PMS"</formula>
    </cfRule>
    <cfRule type="containsText" dxfId="27825" priority="566" operator="containsText" text="CMS">
      <formula>NOT(ISERROR(SEARCH("CMS",O56)))</formula>
    </cfRule>
    <cfRule type="cellIs" dxfId="27824" priority="567" operator="equal">
      <formula>0</formula>
    </cfRule>
    <cfRule type="cellIs" dxfId="27823" priority="568" operator="greaterThan">
      <formula>0</formula>
    </cfRule>
  </conditionalFormatting>
  <conditionalFormatting sqref="O56:P56">
    <cfRule type="cellIs" dxfId="27822" priority="561" operator="equal">
      <formula>"PMS"</formula>
    </cfRule>
    <cfRule type="containsText" dxfId="27821" priority="562" operator="containsText" text="CMS">
      <formula>NOT(ISERROR(SEARCH("CMS",O56)))</formula>
    </cfRule>
    <cfRule type="cellIs" dxfId="27820" priority="563" operator="equal">
      <formula>0</formula>
    </cfRule>
    <cfRule type="cellIs" dxfId="27819" priority="564" operator="greaterThan">
      <formula>0</formula>
    </cfRule>
  </conditionalFormatting>
  <conditionalFormatting sqref="O56:P56">
    <cfRule type="cellIs" dxfId="27818" priority="557" operator="equal">
      <formula>"PMS"</formula>
    </cfRule>
    <cfRule type="containsText" dxfId="27817" priority="558" operator="containsText" text="CMS">
      <formula>NOT(ISERROR(SEARCH("CMS",O56)))</formula>
    </cfRule>
    <cfRule type="cellIs" dxfId="27816" priority="559" operator="equal">
      <formula>0</formula>
    </cfRule>
    <cfRule type="cellIs" dxfId="27815" priority="560" operator="greaterThan">
      <formula>0</formula>
    </cfRule>
  </conditionalFormatting>
  <conditionalFormatting sqref="O57:P57">
    <cfRule type="cellIs" dxfId="27814" priority="553" operator="equal">
      <formula>"PMS"</formula>
    </cfRule>
    <cfRule type="containsText" dxfId="27813" priority="554" operator="containsText" text="CMS">
      <formula>NOT(ISERROR(SEARCH("CMS",O57)))</formula>
    </cfRule>
    <cfRule type="cellIs" dxfId="27812" priority="555" operator="equal">
      <formula>0</formula>
    </cfRule>
    <cfRule type="cellIs" dxfId="27811" priority="556" operator="greaterThan">
      <formula>0</formula>
    </cfRule>
  </conditionalFormatting>
  <conditionalFormatting sqref="O57:P57">
    <cfRule type="cellIs" dxfId="27810" priority="549" operator="equal">
      <formula>"PMS"</formula>
    </cfRule>
    <cfRule type="containsText" dxfId="27809" priority="550" operator="containsText" text="CMS">
      <formula>NOT(ISERROR(SEARCH("CMS",O57)))</formula>
    </cfRule>
    <cfRule type="cellIs" dxfId="27808" priority="551" operator="equal">
      <formula>0</formula>
    </cfRule>
    <cfRule type="cellIs" dxfId="27807" priority="552" operator="greaterThan">
      <formula>0</formula>
    </cfRule>
  </conditionalFormatting>
  <conditionalFormatting sqref="O57:P57">
    <cfRule type="cellIs" dxfId="27806" priority="545" operator="equal">
      <formula>"PMS"</formula>
    </cfRule>
    <cfRule type="containsText" dxfId="27805" priority="546" operator="containsText" text="CMS">
      <formula>NOT(ISERROR(SEARCH("CMS",O57)))</formula>
    </cfRule>
    <cfRule type="cellIs" dxfId="27804" priority="547" operator="equal">
      <formula>0</formula>
    </cfRule>
    <cfRule type="cellIs" dxfId="27803" priority="548" operator="greaterThan">
      <formula>0</formula>
    </cfRule>
  </conditionalFormatting>
  <conditionalFormatting sqref="O57:P57">
    <cfRule type="cellIs" dxfId="27802" priority="541" operator="equal">
      <formula>"PMS"</formula>
    </cfRule>
    <cfRule type="containsText" dxfId="27801" priority="542" operator="containsText" text="CMS">
      <formula>NOT(ISERROR(SEARCH("CMS",O57)))</formula>
    </cfRule>
    <cfRule type="cellIs" dxfId="27800" priority="543" operator="equal">
      <formula>0</formula>
    </cfRule>
    <cfRule type="cellIs" dxfId="27799" priority="544" operator="greaterThan">
      <formula>0</formula>
    </cfRule>
  </conditionalFormatting>
  <conditionalFormatting sqref="G48:G49">
    <cfRule type="cellIs" dxfId="27798" priority="533" operator="equal">
      <formula>"PMS"</formula>
    </cfRule>
    <cfRule type="containsText" dxfId="27797" priority="534" operator="containsText" text="CMS">
      <formula>NOT(ISERROR(SEARCH("CMS",G48)))</formula>
    </cfRule>
    <cfRule type="cellIs" dxfId="27796" priority="535" operator="equal">
      <formula>0</formula>
    </cfRule>
    <cfRule type="cellIs" dxfId="27795" priority="536" operator="greaterThan">
      <formula>0</formula>
    </cfRule>
    <cfRule type="cellIs" dxfId="27794" priority="537" operator="equal">
      <formula>"PMS"</formula>
    </cfRule>
    <cfRule type="containsText" dxfId="27793" priority="538" operator="containsText" text="CMS">
      <formula>NOT(ISERROR(SEARCH("CMS",G48)))</formula>
    </cfRule>
    <cfRule type="cellIs" dxfId="27792" priority="539" operator="equal">
      <formula>0</formula>
    </cfRule>
    <cfRule type="cellIs" dxfId="27791" priority="540" operator="greaterThan">
      <formula>0</formula>
    </cfRule>
  </conditionalFormatting>
  <conditionalFormatting sqref="G48:G49">
    <cfRule type="cellIs" dxfId="27790" priority="529" operator="equal">
      <formula>"PMS"</formula>
    </cfRule>
    <cfRule type="containsText" dxfId="27789" priority="530" operator="containsText" text="CMS">
      <formula>NOT(ISERROR(SEARCH("CMS",G48)))</formula>
    </cfRule>
    <cfRule type="cellIs" dxfId="27788" priority="531" operator="equal">
      <formula>0</formula>
    </cfRule>
    <cfRule type="cellIs" dxfId="27787" priority="532" operator="greaterThan">
      <formula>0</formula>
    </cfRule>
  </conditionalFormatting>
  <conditionalFormatting sqref="G48:G49">
    <cfRule type="cellIs" dxfId="27786" priority="525" operator="equal">
      <formula>"PMS"</formula>
    </cfRule>
    <cfRule type="containsText" dxfId="27785" priority="526" operator="containsText" text="CMS">
      <formula>NOT(ISERROR(SEARCH("CMS",G48)))</formula>
    </cfRule>
    <cfRule type="cellIs" dxfId="27784" priority="527" operator="equal">
      <formula>0</formula>
    </cfRule>
    <cfRule type="cellIs" dxfId="27783" priority="528" operator="greaterThan">
      <formula>0</formula>
    </cfRule>
  </conditionalFormatting>
  <conditionalFormatting sqref="G74 G66:G72">
    <cfRule type="cellIs" dxfId="27782" priority="517" operator="equal">
      <formula>"PMS"</formula>
    </cfRule>
    <cfRule type="containsText" dxfId="27781" priority="518" operator="containsText" text="CMS">
      <formula>NOT(ISERROR(SEARCH("CMS",G66)))</formula>
    </cfRule>
    <cfRule type="cellIs" dxfId="27780" priority="519" operator="equal">
      <formula>0</formula>
    </cfRule>
    <cfRule type="cellIs" dxfId="27779" priority="520" operator="greaterThan">
      <formula>0</formula>
    </cfRule>
    <cfRule type="cellIs" dxfId="27778" priority="521" operator="equal">
      <formula>"PMS"</formula>
    </cfRule>
    <cfRule type="containsText" dxfId="27777" priority="522" operator="containsText" text="CMS">
      <formula>NOT(ISERROR(SEARCH("CMS",G66)))</formula>
    </cfRule>
    <cfRule type="cellIs" dxfId="27776" priority="523" operator="equal">
      <formula>0</formula>
    </cfRule>
    <cfRule type="cellIs" dxfId="27775" priority="524" operator="greaterThan">
      <formula>0</formula>
    </cfRule>
  </conditionalFormatting>
  <conditionalFormatting sqref="O53:O58 P56">
    <cfRule type="cellIs" dxfId="27774" priority="513" operator="equal">
      <formula>"PMS"</formula>
    </cfRule>
    <cfRule type="containsText" dxfId="27773" priority="514" operator="containsText" text="CMS">
      <formula>NOT(ISERROR(SEARCH("CMS",O53)))</formula>
    </cfRule>
    <cfRule type="cellIs" dxfId="27772" priority="515" operator="equal">
      <formula>0</formula>
    </cfRule>
    <cfRule type="cellIs" dxfId="27771" priority="516" operator="greaterThan">
      <formula>0</formula>
    </cfRule>
  </conditionalFormatting>
  <conditionalFormatting sqref="G24:I24 G35:I35 G73:J73">
    <cfRule type="cellIs" dxfId="27770" priority="505" operator="equal">
      <formula>"PMS"</formula>
    </cfRule>
    <cfRule type="containsText" dxfId="27769" priority="506" operator="containsText" text="CMS">
      <formula>NOT(ISERROR(SEARCH("CMS",G24)))</formula>
    </cfRule>
    <cfRule type="cellIs" dxfId="27768" priority="507" operator="equal">
      <formula>0</formula>
    </cfRule>
    <cfRule type="cellIs" dxfId="27767" priority="508" operator="greaterThan">
      <formula>0</formula>
    </cfRule>
    <cfRule type="cellIs" dxfId="27766" priority="509" operator="equal">
      <formula>"PMS"</formula>
    </cfRule>
    <cfRule type="containsText" dxfId="27765" priority="510" operator="containsText" text="CMS">
      <formula>NOT(ISERROR(SEARCH("CMS",G24)))</formula>
    </cfRule>
    <cfRule type="cellIs" dxfId="27764" priority="511" operator="equal">
      <formula>0</formula>
    </cfRule>
    <cfRule type="cellIs" dxfId="27763" priority="512" operator="greaterThan">
      <formula>0</formula>
    </cfRule>
  </conditionalFormatting>
  <conditionalFormatting sqref="G73:J73">
    <cfRule type="cellIs" dxfId="27762" priority="501" operator="equal">
      <formula>"PMS"</formula>
    </cfRule>
    <cfRule type="containsText" dxfId="27761" priority="502" operator="containsText" text="CMS">
      <formula>NOT(ISERROR(SEARCH("CMS",G73)))</formula>
    </cfRule>
    <cfRule type="cellIs" dxfId="27760" priority="503" operator="equal">
      <formula>0</formula>
    </cfRule>
    <cfRule type="cellIs" dxfId="27759" priority="504" operator="greaterThan">
      <formula>0</formula>
    </cfRule>
  </conditionalFormatting>
  <conditionalFormatting sqref="G73:J73">
    <cfRule type="cellIs" dxfId="27758" priority="497" operator="equal">
      <formula>"PMS"</formula>
    </cfRule>
    <cfRule type="containsText" dxfId="27757" priority="498" operator="containsText" text="CMS">
      <formula>NOT(ISERROR(SEARCH("CMS",G73)))</formula>
    </cfRule>
    <cfRule type="cellIs" dxfId="27756" priority="499" operator="equal">
      <formula>0</formula>
    </cfRule>
    <cfRule type="cellIs" dxfId="27755" priority="500" operator="greaterThan">
      <formula>0</formula>
    </cfRule>
  </conditionalFormatting>
  <conditionalFormatting sqref="G24:I24">
    <cfRule type="cellIs" dxfId="27754" priority="493" operator="equal">
      <formula>"PMS"</formula>
    </cfRule>
    <cfRule type="containsText" dxfId="27753" priority="494" operator="containsText" text="CMS">
      <formula>NOT(ISERROR(SEARCH("CMS",G24)))</formula>
    </cfRule>
    <cfRule type="cellIs" dxfId="27752" priority="495" operator="equal">
      <formula>0</formula>
    </cfRule>
    <cfRule type="cellIs" dxfId="27751" priority="496" operator="greaterThan">
      <formula>0</formula>
    </cfRule>
  </conditionalFormatting>
  <conditionalFormatting sqref="G24:I24">
    <cfRule type="cellIs" dxfId="27750" priority="489" operator="equal">
      <formula>"PMS"</formula>
    </cfRule>
    <cfRule type="containsText" dxfId="27749" priority="490" operator="containsText" text="CMS">
      <formula>NOT(ISERROR(SEARCH("CMS",G24)))</formula>
    </cfRule>
    <cfRule type="cellIs" dxfId="27748" priority="491" operator="equal">
      <formula>0</formula>
    </cfRule>
    <cfRule type="cellIs" dxfId="27747" priority="492" operator="greaterThan">
      <formula>0</formula>
    </cfRule>
  </conditionalFormatting>
  <conditionalFormatting sqref="G35:I35">
    <cfRule type="cellIs" dxfId="27746" priority="485" operator="equal">
      <formula>"PMS"</formula>
    </cfRule>
    <cfRule type="containsText" dxfId="27745" priority="486" operator="containsText" text="CMS">
      <formula>NOT(ISERROR(SEARCH("CMS",G35)))</formula>
    </cfRule>
    <cfRule type="cellIs" dxfId="27744" priority="487" operator="equal">
      <formula>0</formula>
    </cfRule>
    <cfRule type="cellIs" dxfId="27743" priority="488" operator="greaterThan">
      <formula>0</formula>
    </cfRule>
  </conditionalFormatting>
  <conditionalFormatting sqref="G35:I35">
    <cfRule type="cellIs" dxfId="27742" priority="481" operator="equal">
      <formula>"PMS"</formula>
    </cfRule>
    <cfRule type="containsText" dxfId="27741" priority="482" operator="containsText" text="CMS">
      <formula>NOT(ISERROR(SEARCH("CMS",G35)))</formula>
    </cfRule>
    <cfRule type="cellIs" dxfId="27740" priority="483" operator="equal">
      <formula>0</formula>
    </cfRule>
    <cfRule type="cellIs" dxfId="27739" priority="484" operator="greaterThan">
      <formula>0</formula>
    </cfRule>
  </conditionalFormatting>
  <conditionalFormatting sqref="G19:I19">
    <cfRule type="cellIs" dxfId="27738" priority="473" operator="equal">
      <formula>"PMS"</formula>
    </cfRule>
    <cfRule type="containsText" dxfId="27737" priority="474" operator="containsText" text="CMS">
      <formula>NOT(ISERROR(SEARCH("CMS",G19)))</formula>
    </cfRule>
    <cfRule type="cellIs" dxfId="27736" priority="475" operator="equal">
      <formula>0</formula>
    </cfRule>
    <cfRule type="cellIs" dxfId="27735" priority="476" operator="greaterThan">
      <formula>0</formula>
    </cfRule>
    <cfRule type="cellIs" dxfId="27734" priority="477" operator="equal">
      <formula>"PMS"</formula>
    </cfRule>
    <cfRule type="containsText" dxfId="27733" priority="478" operator="containsText" text="CMS">
      <formula>NOT(ISERROR(SEARCH("CMS",G19)))</formula>
    </cfRule>
    <cfRule type="cellIs" dxfId="27732" priority="479" operator="equal">
      <formula>0</formula>
    </cfRule>
    <cfRule type="cellIs" dxfId="27731" priority="480" operator="greaterThan">
      <formula>0</formula>
    </cfRule>
  </conditionalFormatting>
  <conditionalFormatting sqref="G19:I19">
    <cfRule type="cellIs" dxfId="27730" priority="469" operator="equal">
      <formula>"PMS"</formula>
    </cfRule>
    <cfRule type="containsText" dxfId="27729" priority="470" operator="containsText" text="CMS">
      <formula>NOT(ISERROR(SEARCH("CMS",G19)))</formula>
    </cfRule>
    <cfRule type="cellIs" dxfId="27728" priority="471" operator="equal">
      <formula>0</formula>
    </cfRule>
    <cfRule type="cellIs" dxfId="27727" priority="472" operator="greaterThan">
      <formula>0</formula>
    </cfRule>
  </conditionalFormatting>
  <conditionalFormatting sqref="G19:I19">
    <cfRule type="cellIs" dxfId="27726" priority="465" operator="equal">
      <formula>"PMS"</formula>
    </cfRule>
    <cfRule type="containsText" dxfId="27725" priority="466" operator="containsText" text="CMS">
      <formula>NOT(ISERROR(SEARCH("CMS",G19)))</formula>
    </cfRule>
    <cfRule type="cellIs" dxfId="27724" priority="467" operator="equal">
      <formula>0</formula>
    </cfRule>
    <cfRule type="cellIs" dxfId="27723" priority="468" operator="greaterThan">
      <formula>0</formula>
    </cfRule>
  </conditionalFormatting>
  <conditionalFormatting sqref="O55">
    <cfRule type="cellIs" dxfId="27722" priority="461" operator="equal">
      <formula>"PMS"</formula>
    </cfRule>
    <cfRule type="containsText" dxfId="27721" priority="462" operator="containsText" text="CMS">
      <formula>NOT(ISERROR(SEARCH("CMS",O55)))</formula>
    </cfRule>
    <cfRule type="cellIs" dxfId="27720" priority="463" operator="equal">
      <formula>0</formula>
    </cfRule>
    <cfRule type="cellIs" dxfId="27719" priority="464" operator="greaterThan">
      <formula>0</formula>
    </cfRule>
  </conditionalFormatting>
  <conditionalFormatting sqref="K62:K63">
    <cfRule type="cellIs" dxfId="27718" priority="453" operator="equal">
      <formula>"PMS"</formula>
    </cfRule>
    <cfRule type="containsText" dxfId="27717" priority="454" operator="containsText" text="CMS">
      <formula>NOT(ISERROR(SEARCH("CMS",K62)))</formula>
    </cfRule>
    <cfRule type="cellIs" dxfId="27716" priority="455" operator="equal">
      <formula>0</formula>
    </cfRule>
    <cfRule type="cellIs" dxfId="27715" priority="456" operator="greaterThan">
      <formula>0</formula>
    </cfRule>
    <cfRule type="cellIs" dxfId="27714" priority="457" operator="equal">
      <formula>"PMS"</formula>
    </cfRule>
    <cfRule type="containsText" dxfId="27713" priority="458" operator="containsText" text="CMS">
      <formula>NOT(ISERROR(SEARCH("CMS",K62)))</formula>
    </cfRule>
    <cfRule type="cellIs" dxfId="27712" priority="459" operator="equal">
      <formula>0</formula>
    </cfRule>
    <cfRule type="cellIs" dxfId="27711" priority="460" operator="greaterThan">
      <formula>0</formula>
    </cfRule>
  </conditionalFormatting>
  <conditionalFormatting sqref="O47:P47">
    <cfRule type="cellIs" dxfId="27710" priority="449" operator="equal">
      <formula>"PMS"</formula>
    </cfRule>
    <cfRule type="containsText" dxfId="27709" priority="450" operator="containsText" text="CMS">
      <formula>NOT(ISERROR(SEARCH("CMS",O47)))</formula>
    </cfRule>
    <cfRule type="cellIs" dxfId="27708" priority="451" operator="equal">
      <formula>0</formula>
    </cfRule>
    <cfRule type="cellIs" dxfId="27707" priority="452" operator="greaterThan">
      <formula>0</formula>
    </cfRule>
  </conditionalFormatting>
  <conditionalFormatting sqref="O16:P16">
    <cfRule type="cellIs" dxfId="27706" priority="445" operator="equal">
      <formula>"PMS"</formula>
    </cfRule>
    <cfRule type="containsText" dxfId="27705" priority="446" operator="containsText" text="CMS">
      <formula>NOT(ISERROR(SEARCH("CMS",O16)))</formula>
    </cfRule>
    <cfRule type="cellIs" dxfId="27704" priority="447" operator="equal">
      <formula>0</formula>
    </cfRule>
    <cfRule type="cellIs" dxfId="27703" priority="448" operator="greaterThan">
      <formula>0</formula>
    </cfRule>
  </conditionalFormatting>
  <conditionalFormatting sqref="P57">
    <cfRule type="cellIs" dxfId="27702" priority="441" operator="equal">
      <formula>"PMS"</formula>
    </cfRule>
    <cfRule type="containsText" dxfId="27701" priority="442" operator="containsText" text="CMS">
      <formula>NOT(ISERROR(SEARCH("CMS",P57)))</formula>
    </cfRule>
    <cfRule type="cellIs" dxfId="27700" priority="443" operator="equal">
      <formula>0</formula>
    </cfRule>
    <cfRule type="cellIs" dxfId="27699" priority="444" operator="greaterThan">
      <formula>0</formula>
    </cfRule>
  </conditionalFormatting>
  <conditionalFormatting sqref="P57">
    <cfRule type="cellIs" dxfId="27698" priority="437" operator="equal">
      <formula>"PMS"</formula>
    </cfRule>
    <cfRule type="containsText" dxfId="27697" priority="438" operator="containsText" text="CMS">
      <formula>NOT(ISERROR(SEARCH("CMS",P57)))</formula>
    </cfRule>
    <cfRule type="cellIs" dxfId="27696" priority="439" operator="equal">
      <formula>0</formula>
    </cfRule>
    <cfRule type="cellIs" dxfId="27695" priority="440" operator="greaterThan">
      <formula>0</formula>
    </cfRule>
  </conditionalFormatting>
  <conditionalFormatting sqref="P57">
    <cfRule type="cellIs" dxfId="27694" priority="433" operator="equal">
      <formula>"PMS"</formula>
    </cfRule>
    <cfRule type="containsText" dxfId="27693" priority="434" operator="containsText" text="CMS">
      <formula>NOT(ISERROR(SEARCH("CMS",P57)))</formula>
    </cfRule>
    <cfRule type="cellIs" dxfId="27692" priority="435" operator="equal">
      <formula>0</formula>
    </cfRule>
    <cfRule type="cellIs" dxfId="27691" priority="436" operator="greaterThan">
      <formula>0</formula>
    </cfRule>
  </conditionalFormatting>
  <conditionalFormatting sqref="P57:P58">
    <cfRule type="cellIs" dxfId="27690" priority="429" operator="equal">
      <formula>"PMS"</formula>
    </cfRule>
    <cfRule type="containsText" dxfId="27689" priority="430" operator="containsText" text="CMS">
      <formula>NOT(ISERROR(SEARCH("CMS",P57)))</formula>
    </cfRule>
    <cfRule type="cellIs" dxfId="27688" priority="431" operator="equal">
      <formula>0</formula>
    </cfRule>
    <cfRule type="cellIs" dxfId="27687" priority="432" operator="greaterThan">
      <formula>0</formula>
    </cfRule>
  </conditionalFormatting>
  <conditionalFormatting sqref="AB24">
    <cfRule type="cellIs" dxfId="27686" priority="425" operator="equal">
      <formula>"PMS"</formula>
    </cfRule>
    <cfRule type="containsText" dxfId="27685" priority="426" operator="containsText" text="CMS">
      <formula>NOT(ISERROR(SEARCH("CMS",AB24)))</formula>
    </cfRule>
    <cfRule type="cellIs" dxfId="27684" priority="427" operator="equal">
      <formula>0</formula>
    </cfRule>
    <cfRule type="cellIs" dxfId="27683" priority="428" operator="greaterThan">
      <formula>0</formula>
    </cfRule>
  </conditionalFormatting>
  <conditionalFormatting sqref="AB24">
    <cfRule type="cellIs" dxfId="27682" priority="421" operator="equal">
      <formula>"PMS"</formula>
    </cfRule>
    <cfRule type="containsText" dxfId="27681" priority="422" operator="containsText" text="CMS">
      <formula>NOT(ISERROR(SEARCH("CMS",AB24)))</formula>
    </cfRule>
    <cfRule type="cellIs" dxfId="27680" priority="423" operator="equal">
      <formula>0</formula>
    </cfRule>
    <cfRule type="cellIs" dxfId="27679" priority="424" operator="greaterThan">
      <formula>0</formula>
    </cfRule>
  </conditionalFormatting>
  <conditionalFormatting sqref="I29 L29 O29 R29 U29 AA29 X29:Y29">
    <cfRule type="cellIs" dxfId="27678" priority="353" operator="equal">
      <formula>"PMS"</formula>
    </cfRule>
    <cfRule type="containsText" dxfId="27677" priority="354" operator="containsText" text="CMS">
      <formula>NOT(ISERROR(SEARCH("CMS",I29)))</formula>
    </cfRule>
    <cfRule type="cellIs" dxfId="27676" priority="355" operator="equal">
      <formula>0</formula>
    </cfRule>
    <cfRule type="cellIs" dxfId="27675" priority="356" operator="greaterThan">
      <formula>0</formula>
    </cfRule>
    <cfRule type="cellIs" dxfId="27674" priority="357" operator="equal">
      <formula>"PMS"</formula>
    </cfRule>
    <cfRule type="containsText" dxfId="27673" priority="358" operator="containsText" text="CMS">
      <formula>NOT(ISERROR(SEARCH("CMS",I29)))</formula>
    </cfRule>
    <cfRule type="cellIs" dxfId="27672" priority="359" operator="equal">
      <formula>0</formula>
    </cfRule>
    <cfRule type="cellIs" dxfId="27671" priority="360" operator="greaterThan">
      <formula>0</formula>
    </cfRule>
  </conditionalFormatting>
  <conditionalFormatting sqref="I29 L29 O29 R29 U29 AA29 X29:Y29">
    <cfRule type="cellIs" dxfId="27670" priority="349" operator="equal">
      <formula>"PMS"</formula>
    </cfRule>
    <cfRule type="containsText" dxfId="27669" priority="350" operator="containsText" text="CMS">
      <formula>NOT(ISERROR(SEARCH("CMS",I29)))</formula>
    </cfRule>
    <cfRule type="cellIs" dxfId="27668" priority="351" operator="equal">
      <formula>0</formula>
    </cfRule>
    <cfRule type="cellIs" dxfId="27667" priority="352" operator="greaterThan">
      <formula>0</formula>
    </cfRule>
  </conditionalFormatting>
  <conditionalFormatting sqref="I29 L29 O29 R29 U29 AA29 X29:Y29">
    <cfRule type="cellIs" dxfId="27666" priority="345" operator="equal">
      <formula>"PMS"</formula>
    </cfRule>
    <cfRule type="containsText" dxfId="27665" priority="346" operator="containsText" text="CMS">
      <formula>NOT(ISERROR(SEARCH("CMS",I29)))</formula>
    </cfRule>
    <cfRule type="cellIs" dxfId="27664" priority="347" operator="equal">
      <formula>0</formula>
    </cfRule>
    <cfRule type="cellIs" dxfId="27663" priority="348" operator="greaterThan">
      <formula>0</formula>
    </cfRule>
  </conditionalFormatting>
  <conditionalFormatting sqref="H29 K29 N29 Q29 T29 W29 Z29 AC29">
    <cfRule type="cellIs" dxfId="27662" priority="217" operator="equal">
      <formula>"PMS"</formula>
    </cfRule>
    <cfRule type="containsText" dxfId="27661" priority="218" operator="containsText" text="CMS">
      <formula>NOT(ISERROR(SEARCH("CMS",H29)))</formula>
    </cfRule>
    <cfRule type="cellIs" dxfId="27660" priority="219" operator="equal">
      <formula>0</formula>
    </cfRule>
    <cfRule type="cellIs" dxfId="27659" priority="220" operator="greaterThan">
      <formula>0</formula>
    </cfRule>
    <cfRule type="cellIs" dxfId="27658" priority="221" operator="equal">
      <formula>"PMS"</formula>
    </cfRule>
    <cfRule type="containsText" dxfId="27657" priority="222" operator="containsText" text="CMS">
      <formula>NOT(ISERROR(SEARCH("CMS",H29)))</formula>
    </cfRule>
    <cfRule type="cellIs" dxfId="27656" priority="223" operator="equal">
      <formula>0</formula>
    </cfRule>
    <cfRule type="cellIs" dxfId="27655" priority="224" operator="greaterThan">
      <formula>0</formula>
    </cfRule>
  </conditionalFormatting>
  <conditionalFormatting sqref="F81:AC81">
    <cfRule type="cellIs" dxfId="27654" priority="209" operator="equal">
      <formula>"PMS"</formula>
    </cfRule>
    <cfRule type="containsText" dxfId="27653" priority="210" operator="containsText" text="CMS">
      <formula>NOT(ISERROR(SEARCH("CMS",F81)))</formula>
    </cfRule>
    <cfRule type="cellIs" dxfId="27652" priority="211" operator="equal">
      <formula>0</formula>
    </cfRule>
    <cfRule type="cellIs" dxfId="27651" priority="212" operator="greaterThan">
      <formula>0</formula>
    </cfRule>
    <cfRule type="cellIs" dxfId="27650" priority="213" operator="equal">
      <formula>"PMS"</formula>
    </cfRule>
    <cfRule type="containsText" dxfId="27649" priority="214" operator="containsText" text="CMS">
      <formula>NOT(ISERROR(SEARCH("CMS",F81)))</formula>
    </cfRule>
    <cfRule type="cellIs" dxfId="27648" priority="215" operator="equal">
      <formula>0</formula>
    </cfRule>
    <cfRule type="cellIs" dxfId="27647" priority="216" operator="greaterThan">
      <formula>0</formula>
    </cfRule>
  </conditionalFormatting>
  <conditionalFormatting sqref="F81:AC81">
    <cfRule type="cellIs" dxfId="27646" priority="205" operator="equal">
      <formula>"PMS"</formula>
    </cfRule>
    <cfRule type="containsText" dxfId="27645" priority="206" operator="containsText" text="CMS">
      <formula>NOT(ISERROR(SEARCH("CMS",F81)))</formula>
    </cfRule>
    <cfRule type="cellIs" dxfId="27644" priority="207" operator="equal">
      <formula>0</formula>
    </cfRule>
    <cfRule type="cellIs" dxfId="27643" priority="208" operator="greaterThan">
      <formula>0</formula>
    </cfRule>
  </conditionalFormatting>
  <conditionalFormatting sqref="F35:F58 G51:M52">
    <cfRule type="cellIs" dxfId="27642" priority="197" operator="equal">
      <formula>"PMS"</formula>
    </cfRule>
    <cfRule type="containsText" dxfId="27641" priority="198" operator="containsText" text="CMS">
      <formula>NOT(ISERROR(SEARCH("CMS",F35)))</formula>
    </cfRule>
    <cfRule type="cellIs" dxfId="27640" priority="199" operator="equal">
      <formula>0</formula>
    </cfRule>
    <cfRule type="cellIs" dxfId="27639" priority="200" operator="greaterThan">
      <formula>0</formula>
    </cfRule>
    <cfRule type="cellIs" dxfId="27638" priority="201" operator="equal">
      <formula>"PMS"</formula>
    </cfRule>
    <cfRule type="containsText" dxfId="27637" priority="202" operator="containsText" text="CMS">
      <formula>NOT(ISERROR(SEARCH("CMS",F35)))</formula>
    </cfRule>
    <cfRule type="cellIs" dxfId="27636" priority="203" operator="equal">
      <formula>0</formula>
    </cfRule>
    <cfRule type="cellIs" dxfId="27635" priority="204" operator="greaterThan">
      <formula>0</formula>
    </cfRule>
  </conditionalFormatting>
  <conditionalFormatting sqref="F35:F58 G51:M52">
    <cfRule type="cellIs" dxfId="27634" priority="193" operator="equal">
      <formula>"PMS"</formula>
    </cfRule>
    <cfRule type="containsText" dxfId="27633" priority="194" operator="containsText" text="CMS">
      <formula>NOT(ISERROR(SEARCH("CMS",F35)))</formula>
    </cfRule>
    <cfRule type="cellIs" dxfId="27632" priority="195" operator="equal">
      <formula>0</formula>
    </cfRule>
    <cfRule type="cellIs" dxfId="27631" priority="196" operator="greaterThan">
      <formula>0</formula>
    </cfRule>
  </conditionalFormatting>
  <conditionalFormatting sqref="F35:F58 G51:M52">
    <cfRule type="cellIs" dxfId="27630" priority="189" operator="equal">
      <formula>"PMS"</formula>
    </cfRule>
    <cfRule type="containsText" dxfId="27629" priority="190" operator="containsText" text="CMS">
      <formula>NOT(ISERROR(SEARCH("CMS",F35)))</formula>
    </cfRule>
    <cfRule type="cellIs" dxfId="27628" priority="191" operator="equal">
      <formula>0</formula>
    </cfRule>
    <cfRule type="cellIs" dxfId="27627" priority="192" operator="greaterThan">
      <formula>0</formula>
    </cfRule>
  </conditionalFormatting>
  <conditionalFormatting sqref="F57">
    <cfRule type="cellIs" dxfId="27626" priority="185" operator="equal">
      <formula>"PMS"</formula>
    </cfRule>
    <cfRule type="containsText" dxfId="27625" priority="186" operator="containsText" text="CMS">
      <formula>NOT(ISERROR(SEARCH("CMS",F57)))</formula>
    </cfRule>
    <cfRule type="cellIs" dxfId="27624" priority="187" operator="equal">
      <formula>0</formula>
    </cfRule>
    <cfRule type="cellIs" dxfId="27623" priority="188" operator="greaterThan">
      <formula>0</formula>
    </cfRule>
  </conditionalFormatting>
  <conditionalFormatting sqref="F57">
    <cfRule type="cellIs" dxfId="27622" priority="181" operator="equal">
      <formula>"PMS"</formula>
    </cfRule>
    <cfRule type="containsText" dxfId="27621" priority="182" operator="containsText" text="CMS">
      <formula>NOT(ISERROR(SEARCH("CMS",F57)))</formula>
    </cfRule>
    <cfRule type="cellIs" dxfId="27620" priority="183" operator="equal">
      <formula>0</formula>
    </cfRule>
    <cfRule type="cellIs" dxfId="27619" priority="184" operator="greaterThan">
      <formula>0</formula>
    </cfRule>
  </conditionalFormatting>
  <conditionalFormatting sqref="F57">
    <cfRule type="cellIs" dxfId="27618" priority="177" operator="equal">
      <formula>"PMS"</formula>
    </cfRule>
    <cfRule type="containsText" dxfId="27617" priority="178" operator="containsText" text="CMS">
      <formula>NOT(ISERROR(SEARCH("CMS",F57)))</formula>
    </cfRule>
    <cfRule type="cellIs" dxfId="27616" priority="179" operator="equal">
      <formula>0</formula>
    </cfRule>
    <cfRule type="cellIs" dxfId="27615" priority="180" operator="greaterThan">
      <formula>0</formula>
    </cfRule>
  </conditionalFormatting>
  <conditionalFormatting sqref="F57">
    <cfRule type="cellIs" dxfId="27614" priority="173" operator="equal">
      <formula>"PMS"</formula>
    </cfRule>
    <cfRule type="containsText" dxfId="27613" priority="174" operator="containsText" text="CMS">
      <formula>NOT(ISERROR(SEARCH("CMS",F57)))</formula>
    </cfRule>
    <cfRule type="cellIs" dxfId="27612" priority="175" operator="equal">
      <formula>0</formula>
    </cfRule>
    <cfRule type="cellIs" dxfId="27611" priority="176" operator="greaterThan">
      <formula>0</formula>
    </cfRule>
  </conditionalFormatting>
  <conditionalFormatting sqref="F58">
    <cfRule type="cellIs" dxfId="27610" priority="169" operator="equal">
      <formula>"PMS"</formula>
    </cfRule>
    <cfRule type="containsText" dxfId="27609" priority="170" operator="containsText" text="CMS">
      <formula>NOT(ISERROR(SEARCH("CMS",F58)))</formula>
    </cfRule>
    <cfRule type="cellIs" dxfId="27608" priority="171" operator="equal">
      <formula>0</formula>
    </cfRule>
    <cfRule type="cellIs" dxfId="27607" priority="172" operator="greaterThan">
      <formula>0</formula>
    </cfRule>
  </conditionalFormatting>
  <conditionalFormatting sqref="F58">
    <cfRule type="cellIs" dxfId="27606" priority="165" operator="equal">
      <formula>"PMS"</formula>
    </cfRule>
    <cfRule type="containsText" dxfId="27605" priority="166" operator="containsText" text="CMS">
      <formula>NOT(ISERROR(SEARCH("CMS",F58)))</formula>
    </cfRule>
    <cfRule type="cellIs" dxfId="27604" priority="167" operator="equal">
      <formula>0</formula>
    </cfRule>
    <cfRule type="cellIs" dxfId="27603" priority="168" operator="greaterThan">
      <formula>0</formula>
    </cfRule>
  </conditionalFormatting>
  <conditionalFormatting sqref="F58">
    <cfRule type="cellIs" dxfId="27602" priority="161" operator="equal">
      <formula>"PMS"</formula>
    </cfRule>
    <cfRule type="containsText" dxfId="27601" priority="162" operator="containsText" text="CMS">
      <formula>NOT(ISERROR(SEARCH("CMS",F58)))</formula>
    </cfRule>
    <cfRule type="cellIs" dxfId="27600" priority="163" operator="equal">
      <formula>0</formula>
    </cfRule>
    <cfRule type="cellIs" dxfId="27599" priority="164" operator="greaterThan">
      <formula>0</formula>
    </cfRule>
  </conditionalFormatting>
  <conditionalFormatting sqref="F58">
    <cfRule type="cellIs" dxfId="27598" priority="157" operator="equal">
      <formula>"PMS"</formula>
    </cfRule>
    <cfRule type="containsText" dxfId="27597" priority="158" operator="containsText" text="CMS">
      <formula>NOT(ISERROR(SEARCH("CMS",F58)))</formula>
    </cfRule>
    <cfRule type="cellIs" dxfId="27596" priority="159" operator="equal">
      <formula>0</formula>
    </cfRule>
    <cfRule type="cellIs" dxfId="27595" priority="160" operator="greaterThan">
      <formula>0</formula>
    </cfRule>
  </conditionalFormatting>
  <conditionalFormatting sqref="F61:F63">
    <cfRule type="cellIs" dxfId="27594" priority="149" operator="equal">
      <formula>"PMS"</formula>
    </cfRule>
    <cfRule type="containsText" dxfId="27593" priority="150" operator="containsText" text="CMS">
      <formula>NOT(ISERROR(SEARCH("CMS",F61)))</formula>
    </cfRule>
    <cfRule type="cellIs" dxfId="27592" priority="151" operator="equal">
      <formula>0</formula>
    </cfRule>
    <cfRule type="cellIs" dxfId="27591" priority="152" operator="greaterThan">
      <formula>0</formula>
    </cfRule>
    <cfRule type="cellIs" dxfId="27590" priority="153" operator="equal">
      <formula>"PMS"</formula>
    </cfRule>
    <cfRule type="containsText" dxfId="27589" priority="154" operator="containsText" text="CMS">
      <formula>NOT(ISERROR(SEARCH("CMS",F61)))</formula>
    </cfRule>
    <cfRule type="cellIs" dxfId="27588" priority="155" operator="equal">
      <formula>0</formula>
    </cfRule>
    <cfRule type="cellIs" dxfId="27587" priority="156" operator="greaterThan">
      <formula>0</formula>
    </cfRule>
  </conditionalFormatting>
  <conditionalFormatting sqref="F61:F63">
    <cfRule type="cellIs" dxfId="27586" priority="145" operator="equal">
      <formula>"PMS"</formula>
    </cfRule>
    <cfRule type="containsText" dxfId="27585" priority="146" operator="containsText" text="CMS">
      <formula>NOT(ISERROR(SEARCH("CMS",F61)))</formula>
    </cfRule>
    <cfRule type="cellIs" dxfId="27584" priority="147" operator="equal">
      <formula>0</formula>
    </cfRule>
    <cfRule type="cellIs" dxfId="27583" priority="148" operator="greaterThan">
      <formula>0</formula>
    </cfRule>
  </conditionalFormatting>
  <conditionalFormatting sqref="F27:F28">
    <cfRule type="cellIs" dxfId="27582" priority="137" operator="equal">
      <formula>"PMS"</formula>
    </cfRule>
    <cfRule type="containsText" dxfId="27581" priority="138" operator="containsText" text="CMS">
      <formula>NOT(ISERROR(SEARCH("CMS",F27)))</formula>
    </cfRule>
    <cfRule type="cellIs" dxfId="27580" priority="139" operator="equal">
      <formula>0</formula>
    </cfRule>
    <cfRule type="cellIs" dxfId="27579" priority="140" operator="greaterThan">
      <formula>0</formula>
    </cfRule>
    <cfRule type="cellIs" dxfId="27578" priority="141" operator="equal">
      <formula>"PMS"</formula>
    </cfRule>
    <cfRule type="containsText" dxfId="27577" priority="142" operator="containsText" text="CMS">
      <formula>NOT(ISERROR(SEARCH("CMS",F27)))</formula>
    </cfRule>
    <cfRule type="cellIs" dxfId="27576" priority="143" operator="equal">
      <formula>0</formula>
    </cfRule>
    <cfRule type="cellIs" dxfId="27575" priority="144" operator="greaterThan">
      <formula>0</formula>
    </cfRule>
  </conditionalFormatting>
  <conditionalFormatting sqref="F27:F28">
    <cfRule type="cellIs" dxfId="27574" priority="133" operator="equal">
      <formula>"PMS"</formula>
    </cfRule>
    <cfRule type="containsText" dxfId="27573" priority="134" operator="containsText" text="CMS">
      <formula>NOT(ISERROR(SEARCH("CMS",F27)))</formula>
    </cfRule>
    <cfRule type="cellIs" dxfId="27572" priority="135" operator="equal">
      <formula>0</formula>
    </cfRule>
    <cfRule type="cellIs" dxfId="27571" priority="136" operator="greaterThan">
      <formula>0</formula>
    </cfRule>
  </conditionalFormatting>
  <conditionalFormatting sqref="F27:F28">
    <cfRule type="cellIs" dxfId="27570" priority="129" operator="equal">
      <formula>"PMS"</formula>
    </cfRule>
    <cfRule type="containsText" dxfId="27569" priority="130" operator="containsText" text="CMS">
      <formula>NOT(ISERROR(SEARCH("CMS",F27)))</formula>
    </cfRule>
    <cfRule type="cellIs" dxfId="27568" priority="131" operator="equal">
      <formula>0</formula>
    </cfRule>
    <cfRule type="cellIs" dxfId="27567" priority="132" operator="greaterThan">
      <formula>0</formula>
    </cfRule>
  </conditionalFormatting>
  <conditionalFormatting sqref="F29">
    <cfRule type="cellIs" dxfId="27566" priority="121" operator="equal">
      <formula>"PMS"</formula>
    </cfRule>
    <cfRule type="containsText" dxfId="27565" priority="122" operator="containsText" text="CMS">
      <formula>NOT(ISERROR(SEARCH("CMS",F29)))</formula>
    </cfRule>
    <cfRule type="cellIs" dxfId="27564" priority="123" operator="equal">
      <formula>0</formula>
    </cfRule>
    <cfRule type="cellIs" dxfId="27563" priority="124" operator="greaterThan">
      <formula>0</formula>
    </cfRule>
    <cfRule type="cellIs" dxfId="27562" priority="125" operator="equal">
      <formula>"PMS"</formula>
    </cfRule>
    <cfRule type="containsText" dxfId="27561" priority="126" operator="containsText" text="CMS">
      <formula>NOT(ISERROR(SEARCH("CMS",F29)))</formula>
    </cfRule>
    <cfRule type="cellIs" dxfId="27560" priority="127" operator="equal">
      <formula>0</formula>
    </cfRule>
    <cfRule type="cellIs" dxfId="27559" priority="128" operator="greaterThan">
      <formula>0</formula>
    </cfRule>
  </conditionalFormatting>
  <conditionalFormatting sqref="F13:F16">
    <cfRule type="cellIs" dxfId="27558" priority="113" operator="equal">
      <formula>"PMS"</formula>
    </cfRule>
    <cfRule type="containsText" dxfId="27557" priority="114" operator="containsText" text="CMS">
      <formula>NOT(ISERROR(SEARCH("CMS",F13)))</formula>
    </cfRule>
    <cfRule type="cellIs" dxfId="27556" priority="115" operator="equal">
      <formula>0</formula>
    </cfRule>
    <cfRule type="cellIs" dxfId="27555" priority="116" operator="greaterThan">
      <formula>0</formula>
    </cfRule>
    <cfRule type="cellIs" dxfId="27554" priority="117" operator="equal">
      <formula>"PMS"</formula>
    </cfRule>
    <cfRule type="containsText" dxfId="27553" priority="118" operator="containsText" text="CMS">
      <formula>NOT(ISERROR(SEARCH("CMS",F13)))</formula>
    </cfRule>
    <cfRule type="cellIs" dxfId="27552" priority="119" operator="equal">
      <formula>0</formula>
    </cfRule>
    <cfRule type="cellIs" dxfId="27551" priority="120" operator="greaterThan">
      <formula>0</formula>
    </cfRule>
  </conditionalFormatting>
  <conditionalFormatting sqref="F13:F16">
    <cfRule type="cellIs" dxfId="27550" priority="109" operator="equal">
      <formula>"PMS"</formula>
    </cfRule>
    <cfRule type="containsText" dxfId="27549" priority="110" operator="containsText" text="CMS">
      <formula>NOT(ISERROR(SEARCH("CMS",F13)))</formula>
    </cfRule>
    <cfRule type="cellIs" dxfId="27548" priority="111" operator="equal">
      <formula>0</formula>
    </cfRule>
    <cfRule type="cellIs" dxfId="27547" priority="112" operator="greaterThan">
      <formula>0</formula>
    </cfRule>
  </conditionalFormatting>
  <conditionalFormatting sqref="F13:F16">
    <cfRule type="cellIs" dxfId="27546" priority="105" operator="equal">
      <formula>"PMS"</formula>
    </cfRule>
    <cfRule type="containsText" dxfId="27545" priority="106" operator="containsText" text="CMS">
      <formula>NOT(ISERROR(SEARCH("CMS",F13)))</formula>
    </cfRule>
    <cfRule type="cellIs" dxfId="27544" priority="107" operator="equal">
      <formula>0</formula>
    </cfRule>
    <cfRule type="cellIs" dxfId="27543" priority="108" operator="greaterThan">
      <formula>0</formula>
    </cfRule>
  </conditionalFormatting>
  <conditionalFormatting sqref="F13">
    <cfRule type="cellIs" dxfId="27542" priority="101" operator="equal">
      <formula>"PMS"</formula>
    </cfRule>
    <cfRule type="containsText" dxfId="27541" priority="102" operator="containsText" text="CMS">
      <formula>NOT(ISERROR(SEARCH("CMS",F13)))</formula>
    </cfRule>
    <cfRule type="cellIs" dxfId="27540" priority="103" operator="equal">
      <formula>0</formula>
    </cfRule>
    <cfRule type="cellIs" dxfId="27539" priority="104" operator="greaterThan">
      <formula>0</formula>
    </cfRule>
  </conditionalFormatting>
  <conditionalFormatting sqref="F13">
    <cfRule type="cellIs" dxfId="27538" priority="97" operator="equal">
      <formula>"PMS"</formula>
    </cfRule>
    <cfRule type="containsText" dxfId="27537" priority="98" operator="containsText" text="CMS">
      <formula>NOT(ISERROR(SEARCH("CMS",F13)))</formula>
    </cfRule>
    <cfRule type="cellIs" dxfId="27536" priority="99" operator="equal">
      <formula>0</formula>
    </cfRule>
    <cfRule type="cellIs" dxfId="27535" priority="100" operator="greaterThan">
      <formula>0</formula>
    </cfRule>
  </conditionalFormatting>
  <conditionalFormatting sqref="F20:F21">
    <cfRule type="cellIs" dxfId="27534" priority="89" operator="equal">
      <formula>"PMS"</formula>
    </cfRule>
    <cfRule type="containsText" dxfId="27533" priority="90" operator="containsText" text="CMS">
      <formula>NOT(ISERROR(SEARCH("CMS",F20)))</formula>
    </cfRule>
    <cfRule type="cellIs" dxfId="27532" priority="91" operator="equal">
      <formula>0</formula>
    </cfRule>
    <cfRule type="cellIs" dxfId="27531" priority="92" operator="greaterThan">
      <formula>0</formula>
    </cfRule>
    <cfRule type="cellIs" dxfId="27530" priority="93" operator="equal">
      <formula>"PMS"</formula>
    </cfRule>
    <cfRule type="containsText" dxfId="27529" priority="94" operator="containsText" text="CMS">
      <formula>NOT(ISERROR(SEARCH("CMS",F20)))</formula>
    </cfRule>
    <cfRule type="cellIs" dxfId="27528" priority="95" operator="equal">
      <formula>0</formula>
    </cfRule>
    <cfRule type="cellIs" dxfId="27527" priority="96" operator="greaterThan">
      <formula>0</formula>
    </cfRule>
  </conditionalFormatting>
  <conditionalFormatting sqref="F20:F21">
    <cfRule type="cellIs" dxfId="27526" priority="85" operator="equal">
      <formula>"PMS"</formula>
    </cfRule>
    <cfRule type="containsText" dxfId="27525" priority="86" operator="containsText" text="CMS">
      <formula>NOT(ISERROR(SEARCH("CMS",F20)))</formula>
    </cfRule>
    <cfRule type="cellIs" dxfId="27524" priority="87" operator="equal">
      <formula>0</formula>
    </cfRule>
    <cfRule type="cellIs" dxfId="27523" priority="88" operator="greaterThan">
      <formula>0</formula>
    </cfRule>
  </conditionalFormatting>
  <conditionalFormatting sqref="F20:F21">
    <cfRule type="cellIs" dxfId="27522" priority="81" operator="equal">
      <formula>"PMS"</formula>
    </cfRule>
    <cfRule type="containsText" dxfId="27521" priority="82" operator="containsText" text="CMS">
      <formula>NOT(ISERROR(SEARCH("CMS",F20)))</formula>
    </cfRule>
    <cfRule type="cellIs" dxfId="27520" priority="83" operator="equal">
      <formula>0</formula>
    </cfRule>
    <cfRule type="cellIs" dxfId="27519" priority="84" operator="greaterThan">
      <formula>0</formula>
    </cfRule>
  </conditionalFormatting>
  <conditionalFormatting sqref="F19">
    <cfRule type="cellIs" dxfId="27518" priority="77" operator="equal">
      <formula>"CMS"</formula>
    </cfRule>
    <cfRule type="cellIs" dxfId="27517" priority="78" operator="equal">
      <formula>"PMS"</formula>
    </cfRule>
    <cfRule type="cellIs" dxfId="27516" priority="79" operator="greaterThan">
      <formula>0</formula>
    </cfRule>
    <cfRule type="cellIs" dxfId="27515" priority="80" operator="equal">
      <formula>0</formula>
    </cfRule>
  </conditionalFormatting>
  <conditionalFormatting sqref="F24">
    <cfRule type="cellIs" dxfId="27514" priority="69" operator="equal">
      <formula>"PMS"</formula>
    </cfRule>
    <cfRule type="containsText" dxfId="27513" priority="70" operator="containsText" text="CMS">
      <formula>NOT(ISERROR(SEARCH("CMS",F24)))</formula>
    </cfRule>
    <cfRule type="cellIs" dxfId="27512" priority="71" operator="equal">
      <formula>0</formula>
    </cfRule>
    <cfRule type="cellIs" dxfId="27511" priority="72" operator="greaterThan">
      <formula>0</formula>
    </cfRule>
    <cfRule type="cellIs" dxfId="27510" priority="73" operator="equal">
      <formula>"PMS"</formula>
    </cfRule>
    <cfRule type="containsText" dxfId="27509" priority="74" operator="containsText" text="CMS">
      <formula>NOT(ISERROR(SEARCH("CMS",F24)))</formula>
    </cfRule>
    <cfRule type="cellIs" dxfId="27508" priority="75" operator="equal">
      <formula>0</formula>
    </cfRule>
    <cfRule type="cellIs" dxfId="27507" priority="76" operator="greaterThan">
      <formula>0</formula>
    </cfRule>
  </conditionalFormatting>
  <conditionalFormatting sqref="F24">
    <cfRule type="cellIs" dxfId="27506" priority="65" operator="equal">
      <formula>"PMS"</formula>
    </cfRule>
    <cfRule type="containsText" dxfId="27505" priority="66" operator="containsText" text="CMS">
      <formula>NOT(ISERROR(SEARCH("CMS",F24)))</formula>
    </cfRule>
    <cfRule type="cellIs" dxfId="27504" priority="67" operator="equal">
      <formula>0</formula>
    </cfRule>
    <cfRule type="cellIs" dxfId="27503" priority="68" operator="greaterThan">
      <formula>0</formula>
    </cfRule>
  </conditionalFormatting>
  <conditionalFormatting sqref="F24">
    <cfRule type="cellIs" dxfId="27502" priority="61" operator="equal">
      <formula>"PMS"</formula>
    </cfRule>
    <cfRule type="containsText" dxfId="27501" priority="62" operator="containsText" text="CMS">
      <formula>NOT(ISERROR(SEARCH("CMS",F24)))</formula>
    </cfRule>
    <cfRule type="cellIs" dxfId="27500" priority="63" operator="equal">
      <formula>0</formula>
    </cfRule>
    <cfRule type="cellIs" dxfId="27499" priority="64" operator="greaterThan">
      <formula>0</formula>
    </cfRule>
  </conditionalFormatting>
  <conditionalFormatting sqref="F66:F74">
    <cfRule type="cellIs" dxfId="27498" priority="53" operator="equal">
      <formula>"PMS"</formula>
    </cfRule>
    <cfRule type="containsText" dxfId="27497" priority="54" operator="containsText" text="CMS">
      <formula>NOT(ISERROR(SEARCH("CMS",F66)))</formula>
    </cfRule>
    <cfRule type="cellIs" dxfId="27496" priority="55" operator="equal">
      <formula>0</formula>
    </cfRule>
    <cfRule type="cellIs" dxfId="27495" priority="56" operator="greaterThan">
      <formula>0</formula>
    </cfRule>
    <cfRule type="cellIs" dxfId="27494" priority="57" operator="equal">
      <formula>"PMS"</formula>
    </cfRule>
    <cfRule type="containsText" dxfId="27493" priority="58" operator="containsText" text="CMS">
      <formula>NOT(ISERROR(SEARCH("CMS",F66)))</formula>
    </cfRule>
    <cfRule type="cellIs" dxfId="27492" priority="59" operator="equal">
      <formula>0</formula>
    </cfRule>
    <cfRule type="cellIs" dxfId="27491" priority="60" operator="greaterThan">
      <formula>0</formula>
    </cfRule>
  </conditionalFormatting>
  <conditionalFormatting sqref="F66:F74">
    <cfRule type="cellIs" dxfId="27490" priority="49" operator="equal">
      <formula>"PMS"</formula>
    </cfRule>
    <cfRule type="containsText" dxfId="27489" priority="50" operator="containsText" text="CMS">
      <formula>NOT(ISERROR(SEARCH("CMS",F66)))</formula>
    </cfRule>
    <cfRule type="cellIs" dxfId="27488" priority="51" operator="equal">
      <formula>0</formula>
    </cfRule>
    <cfRule type="cellIs" dxfId="27487" priority="52" operator="greaterThan">
      <formula>0</formula>
    </cfRule>
  </conditionalFormatting>
  <conditionalFormatting sqref="F66:F74">
    <cfRule type="cellIs" dxfId="27486" priority="45" operator="equal">
      <formula>"PMS"</formula>
    </cfRule>
    <cfRule type="containsText" dxfId="27485" priority="46" operator="containsText" text="CMS">
      <formula>NOT(ISERROR(SEARCH("CMS",F66)))</formula>
    </cfRule>
    <cfRule type="cellIs" dxfId="27484" priority="47" operator="equal">
      <formula>0</formula>
    </cfRule>
    <cfRule type="cellIs" dxfId="27483" priority="48" operator="greaterThan">
      <formula>0</formula>
    </cfRule>
  </conditionalFormatting>
  <conditionalFormatting sqref="F77:F78">
    <cfRule type="cellIs" dxfId="27482" priority="37" operator="equal">
      <formula>"PMS"</formula>
    </cfRule>
    <cfRule type="containsText" dxfId="27481" priority="38" operator="containsText" text="CMS">
      <formula>NOT(ISERROR(SEARCH("CMS",F77)))</formula>
    </cfRule>
    <cfRule type="cellIs" dxfId="27480" priority="39" operator="equal">
      <formula>0</formula>
    </cfRule>
    <cfRule type="cellIs" dxfId="27479" priority="40" operator="greaterThan">
      <formula>0</formula>
    </cfRule>
    <cfRule type="cellIs" dxfId="27478" priority="41" operator="equal">
      <formula>"PMS"</formula>
    </cfRule>
    <cfRule type="containsText" dxfId="27477" priority="42" operator="containsText" text="CMS">
      <formula>NOT(ISERROR(SEARCH("CMS",F77)))</formula>
    </cfRule>
    <cfRule type="cellIs" dxfId="27476" priority="43" operator="equal">
      <formula>0</formula>
    </cfRule>
    <cfRule type="cellIs" dxfId="27475" priority="44" operator="greaterThan">
      <formula>0</formula>
    </cfRule>
  </conditionalFormatting>
  <conditionalFormatting sqref="F77:F78">
    <cfRule type="cellIs" dxfId="27474" priority="33" operator="equal">
      <formula>"PMS"</formula>
    </cfRule>
    <cfRule type="containsText" dxfId="27473" priority="34" operator="containsText" text="CMS">
      <formula>NOT(ISERROR(SEARCH("CMS",F77)))</formula>
    </cfRule>
    <cfRule type="cellIs" dxfId="27472" priority="35" operator="equal">
      <formula>0</formula>
    </cfRule>
    <cfRule type="cellIs" dxfId="27471" priority="36" operator="greaterThan">
      <formula>0</formula>
    </cfRule>
  </conditionalFormatting>
  <conditionalFormatting sqref="G57:G58">
    <cfRule type="cellIs" dxfId="27470" priority="25" operator="equal">
      <formula>"PMS"</formula>
    </cfRule>
    <cfRule type="containsText" dxfId="27469" priority="26" operator="containsText" text="CMS">
      <formula>NOT(ISERROR(SEARCH("CMS",G57)))</formula>
    </cfRule>
    <cfRule type="cellIs" dxfId="27468" priority="27" operator="equal">
      <formula>0</formula>
    </cfRule>
    <cfRule type="cellIs" dxfId="27467" priority="28" operator="greaterThan">
      <formula>0</formula>
    </cfRule>
    <cfRule type="cellIs" dxfId="27466" priority="29" operator="equal">
      <formula>"PMS"</formula>
    </cfRule>
    <cfRule type="containsText" dxfId="27465" priority="30" operator="containsText" text="CMS">
      <formula>NOT(ISERROR(SEARCH("CMS",G57)))</formula>
    </cfRule>
    <cfRule type="cellIs" dxfId="27464" priority="31" operator="equal">
      <formula>0</formula>
    </cfRule>
    <cfRule type="cellIs" dxfId="27463" priority="32" operator="greaterThan">
      <formula>0</formula>
    </cfRule>
  </conditionalFormatting>
  <conditionalFormatting sqref="G57:G58">
    <cfRule type="cellIs" dxfId="27462" priority="21" operator="equal">
      <formula>"PMS"</formula>
    </cfRule>
    <cfRule type="containsText" dxfId="27461" priority="22" operator="containsText" text="CMS">
      <formula>NOT(ISERROR(SEARCH("CMS",G57)))</formula>
    </cfRule>
    <cfRule type="cellIs" dxfId="27460" priority="23" operator="equal">
      <formula>0</formula>
    </cfRule>
    <cfRule type="cellIs" dxfId="27459" priority="24" operator="greaterThan">
      <formula>0</formula>
    </cfRule>
  </conditionalFormatting>
  <conditionalFormatting sqref="G57:G58">
    <cfRule type="cellIs" dxfId="27458" priority="17" operator="equal">
      <formula>"PMS"</formula>
    </cfRule>
    <cfRule type="containsText" dxfId="27457" priority="18" operator="containsText" text="CMS">
      <formula>NOT(ISERROR(SEARCH("CMS",G57)))</formula>
    </cfRule>
    <cfRule type="cellIs" dxfId="27456" priority="19" operator="equal">
      <formula>0</formula>
    </cfRule>
    <cfRule type="cellIs" dxfId="27455" priority="20" operator="greaterThan">
      <formula>0</formula>
    </cfRule>
  </conditionalFormatting>
  <conditionalFormatting sqref="F32:AC32">
    <cfRule type="cellIs" dxfId="27454" priority="9" operator="equal">
      <formula>"PMS"</formula>
    </cfRule>
    <cfRule type="containsText" dxfId="27453" priority="10" operator="containsText" text="CMS">
      <formula>NOT(ISERROR(SEARCH("CMS",F32)))</formula>
    </cfRule>
    <cfRule type="cellIs" dxfId="27452" priority="11" operator="equal">
      <formula>0</formula>
    </cfRule>
    <cfRule type="cellIs" dxfId="27451" priority="12" operator="greaterThan">
      <formula>0</formula>
    </cfRule>
    <cfRule type="cellIs" dxfId="27450" priority="13" operator="equal">
      <formula>"PMS"</formula>
    </cfRule>
    <cfRule type="containsText" dxfId="27449" priority="14" operator="containsText" text="CMS">
      <formula>NOT(ISERROR(SEARCH("CMS",F32)))</formula>
    </cfRule>
    <cfRule type="cellIs" dxfId="27448" priority="15" operator="equal">
      <formula>0</formula>
    </cfRule>
    <cfRule type="cellIs" dxfId="27447" priority="16" operator="greaterThan">
      <formula>0</formula>
    </cfRule>
  </conditionalFormatting>
  <conditionalFormatting sqref="F32:AC32">
    <cfRule type="cellIs" dxfId="27446" priority="5" operator="equal">
      <formula>"PMS"</formula>
    </cfRule>
    <cfRule type="containsText" dxfId="27445" priority="6" operator="containsText" text="CMS">
      <formula>NOT(ISERROR(SEARCH("CMS",F32)))</formula>
    </cfRule>
    <cfRule type="cellIs" dxfId="27444" priority="7" operator="equal">
      <formula>0</formula>
    </cfRule>
    <cfRule type="cellIs" dxfId="27443" priority="8" operator="greaterThan">
      <formula>0</formula>
    </cfRule>
  </conditionalFormatting>
  <conditionalFormatting sqref="F32:AC32">
    <cfRule type="cellIs" dxfId="27442" priority="1" operator="equal">
      <formula>"PMS"</formula>
    </cfRule>
    <cfRule type="containsText" dxfId="27441" priority="2" operator="containsText" text="CMS">
      <formula>NOT(ISERROR(SEARCH("CMS",F32)))</formula>
    </cfRule>
    <cfRule type="cellIs" dxfId="27440" priority="3" operator="equal">
      <formula>0</formula>
    </cfRule>
    <cfRule type="cellIs" dxfId="2743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2741-F85A-4EB3-8957-6806F0D3979C}">
  <sheetPr codeName="Sheet105"/>
  <dimension ref="A2:DT137"/>
  <sheetViews>
    <sheetView zoomScale="80" zoomScaleNormal="80" zoomScaleSheetLayoutView="51" zoomScalePageLayoutView="55" workbookViewId="0">
      <pane xSplit="5" ySplit="11" topLeftCell="H12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AB33" sqref="AB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8,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451.7999999999999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>
        <v>6.4</v>
      </c>
      <c r="I13" s="71">
        <v>6.6</v>
      </c>
      <c r="J13" s="71">
        <v>6.6</v>
      </c>
      <c r="K13" s="71">
        <v>6.7</v>
      </c>
      <c r="L13" s="71">
        <v>6.7</v>
      </c>
      <c r="M13" s="71">
        <v>6.7</v>
      </c>
      <c r="N13" s="71">
        <v>6.7</v>
      </c>
      <c r="O13" s="219">
        <v>6.7</v>
      </c>
      <c r="P13" s="219">
        <v>6.6</v>
      </c>
      <c r="Q13" s="71">
        <v>6.5</v>
      </c>
      <c r="R13" s="71">
        <v>6.7</v>
      </c>
      <c r="S13" s="71">
        <v>6.7</v>
      </c>
      <c r="T13" s="71">
        <v>6.5</v>
      </c>
      <c r="U13" s="71">
        <v>6.7</v>
      </c>
      <c r="V13" s="71">
        <v>6.7</v>
      </c>
      <c r="W13" s="71">
        <v>6.7</v>
      </c>
      <c r="X13" s="71">
        <v>6.3</v>
      </c>
      <c r="Y13" s="71">
        <v>4.4000000000000004</v>
      </c>
      <c r="Z13" s="71">
        <v>6.3</v>
      </c>
      <c r="AA13" s="71">
        <v>5.9</v>
      </c>
      <c r="AB13" s="71">
        <v>5.0999999999999996</v>
      </c>
      <c r="AC13" s="71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 t="s">
        <v>9</v>
      </c>
      <c r="O14" s="219" t="s">
        <v>9</v>
      </c>
      <c r="P14" s="219" t="s">
        <v>9</v>
      </c>
      <c r="Q14" s="71" t="s">
        <v>9</v>
      </c>
      <c r="R14" s="71" t="s">
        <v>9</v>
      </c>
      <c r="S14" s="71" t="s">
        <v>9</v>
      </c>
      <c r="T14" s="71" t="s">
        <v>9</v>
      </c>
      <c r="U14" s="71" t="s">
        <v>9</v>
      </c>
      <c r="V14" s="71" t="s">
        <v>9</v>
      </c>
      <c r="W14" s="71" t="s">
        <v>9</v>
      </c>
      <c r="X14" s="71">
        <v>1</v>
      </c>
      <c r="Y14" s="71">
        <v>6.4</v>
      </c>
      <c r="Z14" s="71">
        <v>6.3</v>
      </c>
      <c r="AA14" s="71">
        <v>5.9</v>
      </c>
      <c r="AB14" s="71">
        <v>5.0999999999999996</v>
      </c>
      <c r="AC14" s="71">
        <v>6</v>
      </c>
      <c r="AD14" s="41"/>
      <c r="AE14" s="41"/>
      <c r="AF14" s="11">
        <f>COUNTIF(F14:AC14,$AJ$8)</f>
        <v>18</v>
      </c>
      <c r="AG14" s="11">
        <f>COUNTIF(F14:AD14,$AJ$7)</f>
        <v>0</v>
      </c>
      <c r="AH14" s="11">
        <f>COUNT(F14:AC14)</f>
        <v>6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6.4</v>
      </c>
      <c r="I15" s="71"/>
      <c r="J15" s="71"/>
      <c r="K15" s="71"/>
      <c r="L15" s="71"/>
      <c r="M15" s="71"/>
      <c r="N15" s="71"/>
      <c r="O15" s="219">
        <v>6.7</v>
      </c>
      <c r="P15" s="219">
        <v>6.5</v>
      </c>
      <c r="Q15" s="71">
        <v>6.6</v>
      </c>
      <c r="R15" s="71">
        <v>6.7</v>
      </c>
      <c r="S15" s="71">
        <v>6.7</v>
      </c>
      <c r="T15" s="71">
        <v>6.5</v>
      </c>
      <c r="U15" s="71">
        <v>6.7</v>
      </c>
      <c r="V15" s="71">
        <v>6.7</v>
      </c>
      <c r="W15" s="71">
        <v>6.7</v>
      </c>
      <c r="X15" s="71">
        <v>6.4</v>
      </c>
      <c r="Y15" s="71">
        <v>4.4000000000000004</v>
      </c>
      <c r="Z15" s="71">
        <v>6.3</v>
      </c>
      <c r="AA15" s="71">
        <v>5.9</v>
      </c>
      <c r="AB15" s="71">
        <v>5.0999999999999996</v>
      </c>
      <c r="AC15" s="71">
        <v>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6.4</v>
      </c>
      <c r="I16" s="71">
        <v>6.6</v>
      </c>
      <c r="J16" s="71">
        <v>6.6</v>
      </c>
      <c r="K16" s="71">
        <v>6.7</v>
      </c>
      <c r="L16" s="71">
        <v>6.7</v>
      </c>
      <c r="M16" s="71">
        <v>6.7</v>
      </c>
      <c r="N16" s="71">
        <v>6.7</v>
      </c>
      <c r="O16" s="71">
        <v>6.7</v>
      </c>
      <c r="P16" s="219">
        <v>6.6</v>
      </c>
      <c r="Q16" s="71">
        <v>6.7</v>
      </c>
      <c r="R16" s="71">
        <v>6.7</v>
      </c>
      <c r="S16" s="71">
        <v>6.7</v>
      </c>
      <c r="T16" s="71">
        <v>6.5</v>
      </c>
      <c r="U16" s="71">
        <v>6.8</v>
      </c>
      <c r="V16" s="71">
        <v>6.8</v>
      </c>
      <c r="W16" s="71">
        <v>6.7</v>
      </c>
      <c r="X16" s="71">
        <v>6.3</v>
      </c>
      <c r="Y16" s="71">
        <v>4.4000000000000004</v>
      </c>
      <c r="Z16" s="71">
        <v>6.3</v>
      </c>
      <c r="AA16" s="71">
        <v>5.9</v>
      </c>
      <c r="AB16" s="71">
        <v>5.0999999999999996</v>
      </c>
      <c r="AC16" s="71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19.5</v>
      </c>
      <c r="H17" s="19">
        <f t="shared" si="1"/>
        <v>19.200000000000003</v>
      </c>
      <c r="I17" s="19">
        <f t="shared" si="1"/>
        <v>13.2</v>
      </c>
      <c r="J17" s="19">
        <f t="shared" si="1"/>
        <v>13.2</v>
      </c>
      <c r="K17" s="19">
        <f t="shared" si="1"/>
        <v>13.4</v>
      </c>
      <c r="L17" s="19">
        <f t="shared" si="1"/>
        <v>13.4</v>
      </c>
      <c r="M17" s="19">
        <f t="shared" si="1"/>
        <v>13.4</v>
      </c>
      <c r="N17" s="19">
        <f t="shared" si="1"/>
        <v>13.4</v>
      </c>
      <c r="O17" s="19">
        <f t="shared" si="1"/>
        <v>20.100000000000001</v>
      </c>
      <c r="P17" s="19">
        <f t="shared" si="1"/>
        <v>19.7</v>
      </c>
      <c r="Q17" s="19">
        <f t="shared" si="1"/>
        <v>19.8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19.5</v>
      </c>
      <c r="U17" s="19">
        <f t="shared" si="1"/>
        <v>20.2</v>
      </c>
      <c r="V17" s="19">
        <f t="shared" si="1"/>
        <v>20.2</v>
      </c>
      <c r="W17" s="19">
        <f t="shared" si="1"/>
        <v>20.100000000000001</v>
      </c>
      <c r="X17" s="19">
        <f t="shared" si="1"/>
        <v>20</v>
      </c>
      <c r="Y17" s="19">
        <f t="shared" si="1"/>
        <v>19.600000000000001</v>
      </c>
      <c r="Z17" s="19">
        <f t="shared" si="1"/>
        <v>25.2</v>
      </c>
      <c r="AA17" s="19">
        <f t="shared" si="1"/>
        <v>23.6</v>
      </c>
      <c r="AB17" s="19">
        <f t="shared" si="1"/>
        <v>20.399999999999999</v>
      </c>
      <c r="AC17" s="19">
        <f t="shared" si="1"/>
        <v>25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74.399999999999977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3.2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3.4</v>
      </c>
      <c r="Y21" s="71">
        <v>3.3</v>
      </c>
      <c r="Z21" s="71">
        <v>3.3</v>
      </c>
      <c r="AA21" s="71">
        <v>3.3</v>
      </c>
      <c r="AB21" s="71">
        <v>1.8</v>
      </c>
      <c r="AC21" s="71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23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3.3</v>
      </c>
      <c r="G22" s="19">
        <f t="shared" ref="G22:AC22" si="3">SUM(G19:G21)</f>
        <v>3.3</v>
      </c>
      <c r="H22" s="19">
        <f t="shared" si="3"/>
        <v>3.2</v>
      </c>
      <c r="I22" s="19">
        <f t="shared" si="3"/>
        <v>3.3</v>
      </c>
      <c r="J22" s="19">
        <f t="shared" si="3"/>
        <v>3.3</v>
      </c>
      <c r="K22" s="19">
        <f t="shared" si="3"/>
        <v>3.3</v>
      </c>
      <c r="L22" s="19">
        <f t="shared" si="3"/>
        <v>3.3</v>
      </c>
      <c r="M22" s="19">
        <f t="shared" si="3"/>
        <v>3.3</v>
      </c>
      <c r="N22" s="19">
        <f t="shared" si="3"/>
        <v>3.3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3.3</v>
      </c>
      <c r="X22" s="19">
        <f t="shared" si="3"/>
        <v>3.4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1.8</v>
      </c>
      <c r="AC22" s="19">
        <f t="shared" si="3"/>
        <v>0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89.599999999999966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174.20000000000002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4</v>
      </c>
      <c r="G27" s="71">
        <v>3</v>
      </c>
      <c r="H27" s="71">
        <v>2.5</v>
      </c>
      <c r="I27" s="71">
        <v>4</v>
      </c>
      <c r="J27" s="71">
        <v>4</v>
      </c>
      <c r="K27" s="71">
        <v>4</v>
      </c>
      <c r="L27" s="71">
        <v>4</v>
      </c>
      <c r="M27" s="71">
        <v>4</v>
      </c>
      <c r="N27" s="71">
        <v>4</v>
      </c>
      <c r="O27" s="219">
        <v>4.0999999999999996</v>
      </c>
      <c r="P27" s="71">
        <v>4</v>
      </c>
      <c r="Q27" s="71">
        <v>3.8</v>
      </c>
      <c r="R27" s="71">
        <v>3.8</v>
      </c>
      <c r="S27" s="71">
        <v>3.8</v>
      </c>
      <c r="T27" s="71">
        <v>3.2</v>
      </c>
      <c r="U27" s="71">
        <v>3.8</v>
      </c>
      <c r="V27" s="71">
        <v>3.9</v>
      </c>
      <c r="W27" s="71">
        <v>4</v>
      </c>
      <c r="X27" s="71">
        <v>3.8</v>
      </c>
      <c r="Y27" s="71">
        <v>4.0999999999999996</v>
      </c>
      <c r="Z27" s="71">
        <v>4</v>
      </c>
      <c r="AA27" s="71">
        <v>3.7</v>
      </c>
      <c r="AB27" s="71">
        <v>1.1000000000000001</v>
      </c>
      <c r="AC27" s="71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4</v>
      </c>
      <c r="G28" s="71">
        <v>3</v>
      </c>
      <c r="H28" s="71">
        <v>2.5</v>
      </c>
      <c r="I28" s="71">
        <v>4</v>
      </c>
      <c r="J28" s="71">
        <v>4</v>
      </c>
      <c r="K28" s="71">
        <v>4</v>
      </c>
      <c r="L28" s="71">
        <v>4</v>
      </c>
      <c r="M28" s="71">
        <v>4</v>
      </c>
      <c r="N28" s="71">
        <v>4</v>
      </c>
      <c r="O28" s="219">
        <v>4.0999999999999996</v>
      </c>
      <c r="P28" s="71">
        <v>4</v>
      </c>
      <c r="Q28" s="71">
        <v>3.8</v>
      </c>
      <c r="R28" s="71">
        <v>3.8</v>
      </c>
      <c r="S28" s="71">
        <v>3.8</v>
      </c>
      <c r="T28" s="71">
        <v>3.2</v>
      </c>
      <c r="U28" s="71">
        <v>3.8</v>
      </c>
      <c r="V28" s="71">
        <v>3.9</v>
      </c>
      <c r="W28" s="71">
        <v>4</v>
      </c>
      <c r="X28" s="71">
        <v>3.8</v>
      </c>
      <c r="Y28" s="71">
        <v>4.0999999999999996</v>
      </c>
      <c r="Z28" s="71">
        <v>4</v>
      </c>
      <c r="AA28" s="71">
        <v>3.7</v>
      </c>
      <c r="AB28" s="71">
        <v>1.1000000000000001</v>
      </c>
      <c r="AC28" s="71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>
        <v>1.6</v>
      </c>
      <c r="U29" s="379"/>
      <c r="V29" s="379"/>
      <c r="W29" s="379"/>
      <c r="X29" s="379"/>
      <c r="Y29" s="379"/>
      <c r="Z29" s="379"/>
      <c r="AA29" s="379">
        <v>3</v>
      </c>
      <c r="AB29" s="379">
        <v>8.3000000000000007</v>
      </c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6">SUM(F27:F29)</f>
        <v>8</v>
      </c>
      <c r="G30" s="19">
        <f t="shared" ref="G30:AC30" si="7">SUM(G27:G29)</f>
        <v>6</v>
      </c>
      <c r="H30" s="19">
        <f t="shared" si="7"/>
        <v>5</v>
      </c>
      <c r="I30" s="19">
        <f t="shared" si="7"/>
        <v>8</v>
      </c>
      <c r="J30" s="19">
        <f t="shared" si="7"/>
        <v>8</v>
      </c>
      <c r="K30" s="19">
        <f t="shared" si="7"/>
        <v>8</v>
      </c>
      <c r="L30" s="19">
        <f t="shared" si="7"/>
        <v>8</v>
      </c>
      <c r="M30" s="19">
        <f t="shared" si="7"/>
        <v>8</v>
      </c>
      <c r="N30" s="19">
        <f t="shared" si="7"/>
        <v>8</v>
      </c>
      <c r="O30" s="19">
        <f t="shared" si="7"/>
        <v>8.1999999999999993</v>
      </c>
      <c r="P30" s="19">
        <f t="shared" si="7"/>
        <v>8</v>
      </c>
      <c r="Q30" s="19">
        <f t="shared" si="7"/>
        <v>7.6</v>
      </c>
      <c r="R30" s="19">
        <f t="shared" si="7"/>
        <v>7.6</v>
      </c>
      <c r="S30" s="19">
        <f t="shared" si="7"/>
        <v>7.6</v>
      </c>
      <c r="T30" s="19">
        <f t="shared" si="7"/>
        <v>8</v>
      </c>
      <c r="U30" s="19">
        <f t="shared" si="7"/>
        <v>7.6</v>
      </c>
      <c r="V30" s="19">
        <f t="shared" si="7"/>
        <v>7.8</v>
      </c>
      <c r="W30" s="19">
        <f t="shared" si="7"/>
        <v>8</v>
      </c>
      <c r="X30" s="19">
        <f t="shared" si="7"/>
        <v>7.6</v>
      </c>
      <c r="Y30" s="19">
        <f t="shared" si="7"/>
        <v>8.1999999999999993</v>
      </c>
      <c r="Z30" s="19">
        <f t="shared" si="7"/>
        <v>8</v>
      </c>
      <c r="AA30" s="19">
        <f t="shared" si="7"/>
        <v>10.4</v>
      </c>
      <c r="AB30" s="19">
        <f t="shared" si="7"/>
        <v>10.5</v>
      </c>
      <c r="AC30" s="19">
        <f t="shared" si="7"/>
        <v>5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8">SUM(F32)</f>
        <v>0</v>
      </c>
      <c r="G33" s="19">
        <f t="shared" ref="G33:AC33" si="9">SUM(G32)</f>
        <v>0</v>
      </c>
      <c r="H33" s="19">
        <f t="shared" si="9"/>
        <v>0</v>
      </c>
      <c r="I33" s="19">
        <f t="shared" si="9"/>
        <v>0</v>
      </c>
      <c r="J33" s="19">
        <f t="shared" si="9"/>
        <v>0</v>
      </c>
      <c r="K33" s="19">
        <f t="shared" si="9"/>
        <v>0</v>
      </c>
      <c r="L33" s="19">
        <f t="shared" si="9"/>
        <v>0</v>
      </c>
      <c r="M33" s="19">
        <f t="shared" si="9"/>
        <v>0</v>
      </c>
      <c r="N33" s="19">
        <f t="shared" si="9"/>
        <v>0</v>
      </c>
      <c r="O33" s="19">
        <f t="shared" si="9"/>
        <v>0</v>
      </c>
      <c r="P33" s="19">
        <f t="shared" si="9"/>
        <v>0</v>
      </c>
      <c r="Q33" s="19">
        <f t="shared" si="9"/>
        <v>0</v>
      </c>
      <c r="R33" s="19">
        <f t="shared" si="9"/>
        <v>0</v>
      </c>
      <c r="S33" s="19">
        <f t="shared" si="9"/>
        <v>0</v>
      </c>
      <c r="T33" s="19">
        <f t="shared" si="9"/>
        <v>0</v>
      </c>
      <c r="U33" s="19">
        <f t="shared" si="9"/>
        <v>0</v>
      </c>
      <c r="V33" s="19">
        <f t="shared" si="9"/>
        <v>0</v>
      </c>
      <c r="W33" s="19">
        <f t="shared" si="9"/>
        <v>0</v>
      </c>
      <c r="X33" s="19">
        <f t="shared" si="9"/>
        <v>0</v>
      </c>
      <c r="Y33" s="19">
        <f t="shared" si="9"/>
        <v>0</v>
      </c>
      <c r="Z33" s="19">
        <f t="shared" si="9"/>
        <v>0</v>
      </c>
      <c r="AA33" s="19">
        <f t="shared" si="9"/>
        <v>0</v>
      </c>
      <c r="AB33" s="19">
        <f t="shared" si="9"/>
        <v>0</v>
      </c>
      <c r="AC33" s="19">
        <f t="shared" si="9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102.04000000000002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0">COUNTIF(F35:AC35,$AJ$8)</f>
        <v>24</v>
      </c>
      <c r="AG35" s="11">
        <f t="shared" ref="AG35:AG58" si="11">COUNTIF(G35:AD35,$AJ$7)</f>
        <v>0</v>
      </c>
      <c r="AH35" s="11">
        <f t="shared" ref="AH35:AH58" si="12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0"/>
        <v>24</v>
      </c>
      <c r="AG36" s="11">
        <f t="shared" si="11"/>
        <v>0</v>
      </c>
      <c r="AH36" s="11">
        <f t="shared" si="12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 x14ac:dyDescent="0.2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>
        <f>2.7/3</f>
        <v>0.9</v>
      </c>
      <c r="M38" s="71">
        <f>3.7/4</f>
        <v>0.92500000000000004</v>
      </c>
      <c r="N38" s="71">
        <f>3.7/4</f>
        <v>0.92500000000000004</v>
      </c>
      <c r="O38" s="71">
        <f>3.7/4</f>
        <v>0.92500000000000004</v>
      </c>
      <c r="P38" s="71">
        <v>0.95</v>
      </c>
      <c r="Q38" s="71">
        <v>0.95</v>
      </c>
      <c r="R38" s="71">
        <v>0.95</v>
      </c>
      <c r="S38" s="71">
        <v>0.95</v>
      </c>
      <c r="T38" s="71">
        <v>0.95</v>
      </c>
      <c r="U38" s="71">
        <v>0.95</v>
      </c>
      <c r="V38" s="71">
        <v>0.95</v>
      </c>
      <c r="W38" s="71">
        <v>0.95</v>
      </c>
      <c r="X38" s="71">
        <v>0.95</v>
      </c>
      <c r="Y38" s="71">
        <v>0.95</v>
      </c>
      <c r="Z38" s="71">
        <v>0</v>
      </c>
      <c r="AA38" s="71">
        <v>0</v>
      </c>
      <c r="AB38" s="71">
        <v>0</v>
      </c>
      <c r="AC38" s="71">
        <v>0</v>
      </c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18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>
        <f t="shared" ref="M40:O41" si="13">3.7/4</f>
        <v>0.92500000000000004</v>
      </c>
      <c r="N40" s="71">
        <f t="shared" si="13"/>
        <v>0.92500000000000004</v>
      </c>
      <c r="O40" s="71">
        <f t="shared" si="13"/>
        <v>0.92500000000000004</v>
      </c>
      <c r="P40" s="71">
        <v>0.95</v>
      </c>
      <c r="Q40" s="71">
        <v>0.95</v>
      </c>
      <c r="R40" s="71">
        <v>0.95</v>
      </c>
      <c r="S40" s="71">
        <v>0.95</v>
      </c>
      <c r="T40" s="71">
        <v>0.95</v>
      </c>
      <c r="U40" s="71">
        <v>0.95</v>
      </c>
      <c r="V40" s="71">
        <v>0.95</v>
      </c>
      <c r="W40" s="71">
        <v>0.95</v>
      </c>
      <c r="X40" s="71">
        <v>0.95</v>
      </c>
      <c r="Y40" s="71">
        <v>0.95</v>
      </c>
      <c r="Z40" s="71">
        <v>0</v>
      </c>
      <c r="AA40" s="71">
        <v>0</v>
      </c>
      <c r="AB40" s="71">
        <v>0</v>
      </c>
      <c r="AC40" s="71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17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>
        <f>2.7/3</f>
        <v>0.9</v>
      </c>
      <c r="M41" s="71">
        <f t="shared" si="13"/>
        <v>0.92500000000000004</v>
      </c>
      <c r="N41" s="71">
        <f t="shared" si="13"/>
        <v>0.92500000000000004</v>
      </c>
      <c r="O41" s="71">
        <f t="shared" si="13"/>
        <v>0.92500000000000004</v>
      </c>
      <c r="P41" s="71">
        <v>0.95</v>
      </c>
      <c r="Q41" s="71">
        <v>0.95</v>
      </c>
      <c r="R41" s="71">
        <v>0.95</v>
      </c>
      <c r="S41" s="71">
        <v>0.95</v>
      </c>
      <c r="T41" s="71">
        <v>0.95</v>
      </c>
      <c r="U41" s="71">
        <v>0.95</v>
      </c>
      <c r="V41" s="71">
        <v>0.95</v>
      </c>
      <c r="W41" s="71">
        <v>0.95</v>
      </c>
      <c r="X41" s="71">
        <v>0.95</v>
      </c>
      <c r="Y41" s="71">
        <v>0.95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18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>2.7/3</f>
        <v>0.9</v>
      </c>
      <c r="M43" s="71">
        <f>3.7/4</f>
        <v>0.92500000000000004</v>
      </c>
      <c r="N43" s="71">
        <f>3.7/4</f>
        <v>0.92500000000000004</v>
      </c>
      <c r="O43" s="71">
        <f>3.7/4</f>
        <v>0.92500000000000004</v>
      </c>
      <c r="P43" s="71">
        <v>0.95</v>
      </c>
      <c r="Q43" s="71">
        <v>0.95</v>
      </c>
      <c r="R43" s="71">
        <v>0.95</v>
      </c>
      <c r="S43" s="71">
        <v>0.95</v>
      </c>
      <c r="T43" s="71">
        <v>0.95</v>
      </c>
      <c r="U43" s="71">
        <v>0.95</v>
      </c>
      <c r="V43" s="71">
        <v>0.95</v>
      </c>
      <c r="W43" s="71">
        <v>0.95</v>
      </c>
      <c r="X43" s="71">
        <v>0.95</v>
      </c>
      <c r="Y43" s="71">
        <v>0.95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18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>
        <f>4.8/6</f>
        <v>0.79999999999999993</v>
      </c>
      <c r="Q44" s="71"/>
      <c r="R44" s="71"/>
      <c r="S44" s="71"/>
      <c r="T44" s="71"/>
      <c r="U44" s="71"/>
      <c r="V44" s="71"/>
      <c r="W44" s="71">
        <v>0.8</v>
      </c>
      <c r="X44" s="71">
        <v>0.8</v>
      </c>
      <c r="Y44" s="71">
        <v>0.8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>
        <v>0.8</v>
      </c>
      <c r="X45" s="71">
        <v>0.8</v>
      </c>
      <c r="Y45" s="71">
        <v>0.8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10"/>
        <v>17</v>
      </c>
      <c r="AG45" s="11">
        <f t="shared" si="11"/>
        <v>0</v>
      </c>
      <c r="AH45" s="11">
        <f t="shared" si="12"/>
        <v>7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>
        <f>2.34/3</f>
        <v>0.77999999999999992</v>
      </c>
      <c r="J46" s="71">
        <v>0.8</v>
      </c>
      <c r="K46" s="71">
        <v>0.8</v>
      </c>
      <c r="L46" s="71"/>
      <c r="M46" s="71"/>
      <c r="N46" s="71"/>
      <c r="O46" s="219"/>
      <c r="P46" s="71">
        <v>0.8</v>
      </c>
      <c r="Q46" s="71">
        <f>(6.9-3.8)/4</f>
        <v>0.77500000000000013</v>
      </c>
      <c r="R46" s="71">
        <f>(7.6-3.8)/5</f>
        <v>0.76</v>
      </c>
      <c r="S46" s="71">
        <f>(7.6-3.8)/5</f>
        <v>0.76</v>
      </c>
      <c r="T46" s="71">
        <f>(7.6-3.8)/5</f>
        <v>0.76</v>
      </c>
      <c r="U46" s="71"/>
      <c r="V46" s="71"/>
      <c r="W46" s="71"/>
      <c r="X46" s="71"/>
      <c r="Y46" s="71">
        <v>0.8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13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0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>
        <f>2.34/3</f>
        <v>0.77999999999999992</v>
      </c>
      <c r="J48" s="71"/>
      <c r="K48" s="71"/>
      <c r="L48" s="71"/>
      <c r="M48" s="71"/>
      <c r="N48" s="71"/>
      <c r="O48" s="219"/>
      <c r="P48" s="71">
        <v>0.8</v>
      </c>
      <c r="Q48" s="71">
        <f>(6.9-3.8)/4</f>
        <v>0.77500000000000013</v>
      </c>
      <c r="R48" s="71"/>
      <c r="S48" s="71"/>
      <c r="T48" s="71"/>
      <c r="U48" s="71"/>
      <c r="V48" s="71"/>
      <c r="W48" s="71">
        <v>0.8</v>
      </c>
      <c r="X48" s="71">
        <v>0.8</v>
      </c>
      <c r="Y48" s="71">
        <v>0.8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>
        <f>2.34/3</f>
        <v>0.77999999999999992</v>
      </c>
      <c r="J49" s="71">
        <v>0.8</v>
      </c>
      <c r="K49" s="71">
        <v>0.8</v>
      </c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3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0"/>
        <v>24</v>
      </c>
      <c r="AG50" s="11">
        <f t="shared" si="11"/>
        <v>0</v>
      </c>
      <c r="AH50" s="11">
        <f t="shared" si="12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0"/>
        <v>24</v>
      </c>
      <c r="AG51" s="11">
        <f t="shared" si="11"/>
        <v>0</v>
      </c>
      <c r="AH51" s="11">
        <f t="shared" si="12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 t="s">
        <v>9</v>
      </c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0"/>
        <v>6</v>
      </c>
      <c r="AG52" s="11">
        <f t="shared" si="11"/>
        <v>0</v>
      </c>
      <c r="AH52" s="11">
        <f t="shared" si="12"/>
        <v>0</v>
      </c>
    </row>
    <row r="53" spans="1:124" ht="16.5" customHeight="1" x14ac:dyDescent="0.25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>
        <v>0</v>
      </c>
      <c r="P53" s="71">
        <v>0</v>
      </c>
      <c r="Q53" s="71"/>
      <c r="R53" s="71">
        <f t="shared" ref="R53:R55" si="14">(7.6-3.8)/5</f>
        <v>0.76</v>
      </c>
      <c r="S53" s="71">
        <f t="shared" ref="S53:T55" si="15">(7.6-3.8)/5</f>
        <v>0.76</v>
      </c>
      <c r="T53" s="71">
        <f t="shared" si="15"/>
        <v>0.76</v>
      </c>
      <c r="U53" s="71">
        <v>0.77500000000000013</v>
      </c>
      <c r="V53" s="71">
        <v>0.76666666666666661</v>
      </c>
      <c r="W53" s="71">
        <v>0.8</v>
      </c>
      <c r="X53" s="71">
        <v>0.8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15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219">
        <v>0</v>
      </c>
      <c r="P54" s="71">
        <v>0</v>
      </c>
      <c r="Q54" s="71"/>
      <c r="R54" s="71">
        <f t="shared" si="14"/>
        <v>0.76</v>
      </c>
      <c r="S54" s="71">
        <f t="shared" si="15"/>
        <v>0.76</v>
      </c>
      <c r="T54" s="71">
        <f t="shared" si="15"/>
        <v>0.76</v>
      </c>
      <c r="U54" s="71">
        <v>0.77500000000000013</v>
      </c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7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71">
        <v>0</v>
      </c>
      <c r="P55" s="71">
        <v>0.8</v>
      </c>
      <c r="Q55" s="71">
        <f>(6.9-3.8)/4</f>
        <v>0.77500000000000013</v>
      </c>
      <c r="R55" s="71">
        <f t="shared" si="14"/>
        <v>0.76</v>
      </c>
      <c r="S55" s="71">
        <f t="shared" si="15"/>
        <v>0.76</v>
      </c>
      <c r="T55" s="71">
        <f t="shared" si="15"/>
        <v>0.76</v>
      </c>
      <c r="U55" s="71">
        <v>0.77500000000000013</v>
      </c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8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>
        <v>0.8</v>
      </c>
      <c r="Q56" s="71">
        <f>(6.9-3.8)/4</f>
        <v>0.77500000000000013</v>
      </c>
      <c r="R56" s="71"/>
      <c r="S56" s="71"/>
      <c r="T56" s="71"/>
      <c r="U56" s="71"/>
      <c r="V56" s="71"/>
      <c r="W56" s="71">
        <v>0.8</v>
      </c>
      <c r="X56" s="71">
        <v>0.8</v>
      </c>
      <c r="Y56" s="71">
        <v>0.8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9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219">
        <v>0.8</v>
      </c>
      <c r="Q57" s="71"/>
      <c r="R57" s="71"/>
      <c r="S57" s="71"/>
      <c r="T57" s="71"/>
      <c r="U57" s="71"/>
      <c r="V57" s="71">
        <v>0.76666666666666661</v>
      </c>
      <c r="W57" s="71">
        <v>0.8</v>
      </c>
      <c r="X57" s="71">
        <v>0.8</v>
      </c>
      <c r="Y57" s="71">
        <v>0.8</v>
      </c>
      <c r="Z57" s="71">
        <v>0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9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>
        <v>0.8</v>
      </c>
      <c r="O58" s="219">
        <v>0</v>
      </c>
      <c r="P58" s="219">
        <v>0</v>
      </c>
      <c r="Q58" s="71"/>
      <c r="R58" s="71">
        <f>(7.6-3.8)/5</f>
        <v>0.76</v>
      </c>
      <c r="S58" s="71">
        <f>(7.6-3.8)/5</f>
        <v>0.76</v>
      </c>
      <c r="T58" s="71">
        <f>(7.6-3.8)/5</f>
        <v>0.76</v>
      </c>
      <c r="U58" s="71">
        <v>0.77500000000000013</v>
      </c>
      <c r="V58" s="71">
        <v>0.76666666666666661</v>
      </c>
      <c r="W58" s="71">
        <v>0.8</v>
      </c>
      <c r="X58" s="71">
        <v>0.8</v>
      </c>
      <c r="Y58" s="71">
        <v>0.8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15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" si="16">SUM(F35:F58)</f>
        <v>0</v>
      </c>
      <c r="G59" s="19">
        <f t="shared" ref="G59:AC59" si="17">SUM(G35:G58)</f>
        <v>0</v>
      </c>
      <c r="H59" s="19">
        <f t="shared" si="17"/>
        <v>0</v>
      </c>
      <c r="I59" s="19">
        <f t="shared" si="17"/>
        <v>2.34</v>
      </c>
      <c r="J59" s="19">
        <f t="shared" si="17"/>
        <v>1.6</v>
      </c>
      <c r="K59" s="19">
        <f t="shared" si="17"/>
        <v>1.6</v>
      </c>
      <c r="L59" s="19">
        <f t="shared" si="17"/>
        <v>2.7</v>
      </c>
      <c r="M59" s="19">
        <f t="shared" si="17"/>
        <v>3.7</v>
      </c>
      <c r="N59" s="19">
        <f t="shared" si="17"/>
        <v>6.8999999999999995</v>
      </c>
      <c r="O59" s="19">
        <f t="shared" si="17"/>
        <v>3.7</v>
      </c>
      <c r="P59" s="19">
        <f t="shared" si="17"/>
        <v>8.6</v>
      </c>
      <c r="Q59" s="19">
        <f t="shared" si="17"/>
        <v>6.9000000000000012</v>
      </c>
      <c r="R59" s="19">
        <f t="shared" si="17"/>
        <v>7.5999999999999988</v>
      </c>
      <c r="S59" s="19">
        <f t="shared" si="17"/>
        <v>7.5999999999999988</v>
      </c>
      <c r="T59" s="19">
        <f t="shared" si="17"/>
        <v>7.5999999999999988</v>
      </c>
      <c r="U59" s="19">
        <f t="shared" si="17"/>
        <v>6.9000000000000012</v>
      </c>
      <c r="V59" s="19">
        <f t="shared" si="17"/>
        <v>6.1</v>
      </c>
      <c r="W59" s="19">
        <f t="shared" si="17"/>
        <v>9.4</v>
      </c>
      <c r="X59" s="19">
        <f t="shared" si="17"/>
        <v>9.4</v>
      </c>
      <c r="Y59" s="19">
        <f>SUM(Y35:Y58)</f>
        <v>9.4</v>
      </c>
      <c r="Z59" s="19">
        <f t="shared" si="17"/>
        <v>0</v>
      </c>
      <c r="AA59" s="19">
        <f t="shared" si="17"/>
        <v>0</v>
      </c>
      <c r="AB59" s="19">
        <f t="shared" si="17"/>
        <v>0</v>
      </c>
      <c r="AC59" s="19">
        <f t="shared" si="17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22.419999999999998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0.81/2</f>
        <v>0.40500000000000003</v>
      </c>
      <c r="G61" s="71">
        <f>0.76/2</f>
        <v>0.38</v>
      </c>
      <c r="H61" s="71">
        <f>0.75/2</f>
        <v>0.375</v>
      </c>
      <c r="I61" s="71">
        <v>0.7</v>
      </c>
      <c r="J61" s="71">
        <v>0.69</v>
      </c>
      <c r="K61" s="71">
        <v>0.67</v>
      </c>
      <c r="L61" s="71">
        <f>0.77/2</f>
        <v>0.38500000000000001</v>
      </c>
      <c r="M61" s="71">
        <f>0.88/2</f>
        <v>0.44</v>
      </c>
      <c r="N61" s="71">
        <f>0.93/2</f>
        <v>0.46500000000000002</v>
      </c>
      <c r="O61" s="71">
        <f>0.98/2</f>
        <v>0.49</v>
      </c>
      <c r="P61" s="71">
        <f>0.93/2</f>
        <v>0.46500000000000002</v>
      </c>
      <c r="Q61" s="71">
        <f>1.05/2</f>
        <v>0.52500000000000002</v>
      </c>
      <c r="R61" s="71"/>
      <c r="S61" s="71"/>
      <c r="T61" s="71"/>
      <c r="U61" s="71"/>
      <c r="V61" s="71"/>
      <c r="W61" s="71"/>
      <c r="X61" s="71">
        <v>0.55000000000000004</v>
      </c>
      <c r="Y61" s="71">
        <f>1.17/2</f>
        <v>0.58499999999999996</v>
      </c>
      <c r="Z61" s="71">
        <f>1.16/2</f>
        <v>0.57999999999999996</v>
      </c>
      <c r="AA61" s="71">
        <f>1.01/2</f>
        <v>0.505</v>
      </c>
      <c r="AB61" s="71">
        <f>0.9/2</f>
        <v>0.45</v>
      </c>
      <c r="AC61" s="71">
        <v>0.4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0.81/2</f>
        <v>0.40500000000000003</v>
      </c>
      <c r="G62" s="71">
        <f>0.76/2</f>
        <v>0.38</v>
      </c>
      <c r="H62" s="71">
        <f>0.75/2</f>
        <v>0.375</v>
      </c>
      <c r="I62" s="71"/>
      <c r="J62" s="71"/>
      <c r="K62" s="71"/>
      <c r="L62" s="71"/>
      <c r="M62" s="71"/>
      <c r="N62" s="71"/>
      <c r="O62" s="71"/>
      <c r="P62" s="71"/>
      <c r="Q62" s="71"/>
      <c r="R62" s="71">
        <f>1.09/2</f>
        <v>0.54500000000000004</v>
      </c>
      <c r="S62" s="71">
        <v>0.54</v>
      </c>
      <c r="T62" s="71">
        <f>1.07/2</f>
        <v>0.53500000000000003</v>
      </c>
      <c r="U62" s="71">
        <v>0.52500000000000002</v>
      </c>
      <c r="V62" s="71">
        <v>0.52500000000000002</v>
      </c>
      <c r="W62" s="71">
        <v>0.51</v>
      </c>
      <c r="X62" s="71"/>
      <c r="Y62" s="71">
        <f>1.17/2</f>
        <v>0.58499999999999996</v>
      </c>
      <c r="Z62" s="71">
        <f>1.16/2</f>
        <v>0.57999999999999996</v>
      </c>
      <c r="AA62" s="71">
        <f>1.01/2</f>
        <v>0.505</v>
      </c>
      <c r="AB62" s="71">
        <f>0.9/2</f>
        <v>0.45</v>
      </c>
      <c r="AC62" s="380">
        <v>0.4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/>
      <c r="G63" s="71"/>
      <c r="H63" s="71"/>
      <c r="I63" s="71"/>
      <c r="J63" s="71"/>
      <c r="K63" s="71"/>
      <c r="L63" s="71">
        <f>0.77/2</f>
        <v>0.38500000000000001</v>
      </c>
      <c r="M63" s="71">
        <f>0.88/2</f>
        <v>0.44</v>
      </c>
      <c r="N63" s="71">
        <f>0.93/2</f>
        <v>0.46500000000000002</v>
      </c>
      <c r="O63" s="71">
        <f>0.98/2</f>
        <v>0.49</v>
      </c>
      <c r="P63" s="71">
        <f>0.93/2</f>
        <v>0.46500000000000002</v>
      </c>
      <c r="Q63" s="71">
        <f>1.05/2</f>
        <v>0.52500000000000002</v>
      </c>
      <c r="R63" s="71">
        <f>1.09/2</f>
        <v>0.54500000000000004</v>
      </c>
      <c r="S63" s="71">
        <v>0.54</v>
      </c>
      <c r="T63" s="71">
        <f>1.07/2</f>
        <v>0.53500000000000003</v>
      </c>
      <c r="U63" s="71">
        <v>0.52500000000000002</v>
      </c>
      <c r="V63" s="71">
        <v>0.52500000000000002</v>
      </c>
      <c r="W63" s="71">
        <v>0.51</v>
      </c>
      <c r="X63" s="71">
        <v>0.55000000000000004</v>
      </c>
      <c r="Y63" s="71">
        <v>0</v>
      </c>
      <c r="Z63" s="71">
        <v>0</v>
      </c>
      <c r="AA63" s="71">
        <v>0</v>
      </c>
      <c r="AB63" s="380">
        <v>0</v>
      </c>
      <c r="AC63" s="380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8">SUM(F61:F63)</f>
        <v>0.81</v>
      </c>
      <c r="G64" s="19">
        <f>SUM(G61:G63)</f>
        <v>0.76</v>
      </c>
      <c r="H64" s="19">
        <f>SUM(H61:H63)</f>
        <v>0.75</v>
      </c>
      <c r="I64" s="19">
        <f>SUM(I61:I63)</f>
        <v>0.7</v>
      </c>
      <c r="J64" s="19">
        <f t="shared" ref="J64:AC64" si="19">SUM(J61:J63)</f>
        <v>0.69</v>
      </c>
      <c r="K64" s="19">
        <f>SUM(K61:K63)</f>
        <v>0.67</v>
      </c>
      <c r="L64" s="19">
        <f t="shared" si="19"/>
        <v>0.77</v>
      </c>
      <c r="M64" s="19">
        <f t="shared" si="19"/>
        <v>0.88</v>
      </c>
      <c r="N64" s="19">
        <f t="shared" si="19"/>
        <v>0.93</v>
      </c>
      <c r="O64" s="19">
        <f t="shared" si="19"/>
        <v>0.98</v>
      </c>
      <c r="P64" s="19">
        <f t="shared" si="19"/>
        <v>0.93</v>
      </c>
      <c r="Q64" s="19">
        <f t="shared" si="19"/>
        <v>1.05</v>
      </c>
      <c r="R64" s="19">
        <f t="shared" si="19"/>
        <v>1.0900000000000001</v>
      </c>
      <c r="S64" s="19">
        <f t="shared" si="19"/>
        <v>1.08</v>
      </c>
      <c r="T64" s="19">
        <f t="shared" si="19"/>
        <v>1.07</v>
      </c>
      <c r="U64" s="19">
        <f>SUM(U61:U63)</f>
        <v>1.05</v>
      </c>
      <c r="V64" s="19">
        <f t="shared" si="19"/>
        <v>1.05</v>
      </c>
      <c r="W64" s="19">
        <f t="shared" si="19"/>
        <v>1.02</v>
      </c>
      <c r="X64" s="19">
        <f t="shared" si="19"/>
        <v>1.1000000000000001</v>
      </c>
      <c r="Y64" s="19">
        <f t="shared" si="19"/>
        <v>1.17</v>
      </c>
      <c r="Z64" s="19">
        <f t="shared" si="19"/>
        <v>1.1599999999999999</v>
      </c>
      <c r="AA64" s="19">
        <f t="shared" si="19"/>
        <v>1.01</v>
      </c>
      <c r="AB64" s="19">
        <f t="shared" si="19"/>
        <v>0.9</v>
      </c>
      <c r="AC64" s="19">
        <f t="shared" si="19"/>
        <v>0.8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86.190000000000026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0">COUNTIF(F66:AC66,$AF$11)</f>
        <v>0</v>
      </c>
      <c r="AG66" s="11">
        <f t="shared" ref="AG66:AG74" si="21">COUNTIF(G66:AC66,$AG$11)</f>
        <v>0</v>
      </c>
      <c r="AH66" s="11">
        <f t="shared" ref="AH66:AH74" si="22">COUNT(F66:AC66)</f>
        <v>0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4/6</f>
        <v>0.66666666666666663</v>
      </c>
      <c r="G67" s="71">
        <f t="shared" ref="G67:I71" si="23">3.6/6</f>
        <v>0.6</v>
      </c>
      <c r="H67" s="71">
        <f t="shared" si="23"/>
        <v>0.6</v>
      </c>
      <c r="I67" s="71">
        <f t="shared" si="23"/>
        <v>0.6</v>
      </c>
      <c r="J67" s="71">
        <f>3.7/5</f>
        <v>0.74</v>
      </c>
      <c r="K67" s="71">
        <f>3.6/5</f>
        <v>0.72</v>
      </c>
      <c r="L67" s="71">
        <f>3.7/5</f>
        <v>0.74</v>
      </c>
      <c r="M67" s="71">
        <f>3.8/5</f>
        <v>0.76</v>
      </c>
      <c r="N67" s="71">
        <f>4.5/6</f>
        <v>0.75</v>
      </c>
      <c r="O67" s="71">
        <f>3.4/5</f>
        <v>0.67999999999999994</v>
      </c>
      <c r="P67" s="71">
        <f>3.7/5</f>
        <v>0.74</v>
      </c>
      <c r="Q67" s="71">
        <f>3.81/5</f>
        <v>0.76200000000000001</v>
      </c>
      <c r="R67" s="71">
        <f>3.89/5</f>
        <v>0.77800000000000002</v>
      </c>
      <c r="S67" s="71">
        <f>3.73/5</f>
        <v>0.746</v>
      </c>
      <c r="T67" s="71">
        <f>2.36/4</f>
        <v>0.59</v>
      </c>
      <c r="U67" s="71">
        <v>0.67999999999999994</v>
      </c>
      <c r="V67" s="71">
        <v>0.68600000000000005</v>
      </c>
      <c r="W67" s="71">
        <v>0.71</v>
      </c>
      <c r="X67" s="71">
        <v>0.7</v>
      </c>
      <c r="Y67" s="71">
        <f>4.01/5</f>
        <v>0.80199999999999994</v>
      </c>
      <c r="Z67" s="71">
        <f>3.67/5</f>
        <v>0.73399999999999999</v>
      </c>
      <c r="AA67" s="71">
        <f>3.5/5</f>
        <v>0.7</v>
      </c>
      <c r="AB67" s="71">
        <f>3.4/4</f>
        <v>0.85</v>
      </c>
      <c r="AC67" s="71">
        <v>0.7</v>
      </c>
      <c r="AD67" s="35"/>
      <c r="AE67" s="35"/>
      <c r="AF67" s="11">
        <f t="shared" si="20"/>
        <v>0</v>
      </c>
      <c r="AG67" s="11">
        <f t="shared" si="21"/>
        <v>0</v>
      </c>
      <c r="AH67" s="11">
        <f t="shared" si="22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4/6</f>
        <v>0.66666666666666663</v>
      </c>
      <c r="G68" s="71">
        <f t="shared" si="23"/>
        <v>0.6</v>
      </c>
      <c r="H68" s="71">
        <f t="shared" si="23"/>
        <v>0.6</v>
      </c>
      <c r="I68" s="71">
        <f t="shared" si="23"/>
        <v>0.6</v>
      </c>
      <c r="J68" s="71">
        <f>3.7/5</f>
        <v>0.74</v>
      </c>
      <c r="K68" s="71">
        <f>3.6/5</f>
        <v>0.72</v>
      </c>
      <c r="L68" s="71">
        <f>3.7/5</f>
        <v>0.74</v>
      </c>
      <c r="M68" s="71">
        <f>3.8/5</f>
        <v>0.76</v>
      </c>
      <c r="N68" s="71">
        <f t="shared" ref="N68:N71" si="24">4.5/6</f>
        <v>0.75</v>
      </c>
      <c r="O68" s="71">
        <f>3.4/5</f>
        <v>0.67999999999999994</v>
      </c>
      <c r="P68" s="71">
        <f>3.7/5</f>
        <v>0.74</v>
      </c>
      <c r="Q68" s="71">
        <f>3.81/5</f>
        <v>0.76200000000000001</v>
      </c>
      <c r="R68" s="71">
        <f>3.89/5</f>
        <v>0.77800000000000002</v>
      </c>
      <c r="S68" s="71">
        <f>3.73/5</f>
        <v>0.746</v>
      </c>
      <c r="T68" s="71">
        <f>2.36/4</f>
        <v>0.59</v>
      </c>
      <c r="U68" s="71">
        <v>0.67999999999999994</v>
      </c>
      <c r="V68" s="71">
        <v>0.68600000000000005</v>
      </c>
      <c r="W68" s="71">
        <v>0.71</v>
      </c>
      <c r="X68" s="71">
        <v>0.7</v>
      </c>
      <c r="Y68" s="71">
        <f>4.01/5</f>
        <v>0.80199999999999994</v>
      </c>
      <c r="Z68" s="71">
        <f>3.67/5</f>
        <v>0.73399999999999999</v>
      </c>
      <c r="AA68" s="71">
        <f>3.5/5</f>
        <v>0.7</v>
      </c>
      <c r="AB68" s="71">
        <v>0</v>
      </c>
      <c r="AC68" s="71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2"/>
        <v>24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f>4/6</f>
        <v>0.66666666666666663</v>
      </c>
      <c r="G69" s="71">
        <f t="shared" si="23"/>
        <v>0.6</v>
      </c>
      <c r="H69" s="71">
        <f t="shared" si="23"/>
        <v>0.6</v>
      </c>
      <c r="I69" s="71">
        <f t="shared" si="23"/>
        <v>0.6</v>
      </c>
      <c r="J69" s="71"/>
      <c r="K69" s="71"/>
      <c r="L69" s="71"/>
      <c r="M69" s="71"/>
      <c r="N69" s="71">
        <f t="shared" si="24"/>
        <v>0.75</v>
      </c>
      <c r="O69" s="71">
        <v>0</v>
      </c>
      <c r="P69" s="71">
        <v>0</v>
      </c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7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>4/6</f>
        <v>0.66666666666666663</v>
      </c>
      <c r="G70" s="71">
        <f t="shared" si="23"/>
        <v>0.6</v>
      </c>
      <c r="H70" s="71">
        <f t="shared" si="23"/>
        <v>0.6</v>
      </c>
      <c r="I70" s="71">
        <f t="shared" si="23"/>
        <v>0.6</v>
      </c>
      <c r="J70" s="71">
        <f>3.7/5</f>
        <v>0.74</v>
      </c>
      <c r="K70" s="71">
        <f>3.6/5</f>
        <v>0.72</v>
      </c>
      <c r="L70" s="71">
        <f>3.7/5</f>
        <v>0.74</v>
      </c>
      <c r="M70" s="71">
        <f t="shared" ref="M70:M71" si="25">3.8/5</f>
        <v>0.76</v>
      </c>
      <c r="N70" s="71">
        <f t="shared" si="24"/>
        <v>0.75</v>
      </c>
      <c r="O70" s="71">
        <f t="shared" ref="O70:O71" si="26">3.4/5</f>
        <v>0.67999999999999994</v>
      </c>
      <c r="P70" s="71">
        <f t="shared" ref="P70:P71" si="27">3.7/5</f>
        <v>0.74</v>
      </c>
      <c r="Q70" s="71">
        <f>3.81/5</f>
        <v>0.76200000000000001</v>
      </c>
      <c r="R70" s="71">
        <f>3.89/5</f>
        <v>0.77800000000000002</v>
      </c>
      <c r="S70" s="71">
        <f>3.73/5</f>
        <v>0.746</v>
      </c>
      <c r="T70" s="71"/>
      <c r="U70" s="71">
        <v>0.67999999999999994</v>
      </c>
      <c r="V70" s="71">
        <v>0.68600000000000005</v>
      </c>
      <c r="W70" s="71">
        <v>0.71</v>
      </c>
      <c r="X70" s="71">
        <v>0.7</v>
      </c>
      <c r="Y70" s="71">
        <f t="shared" ref="Y70:Y71" si="28">4.01/5</f>
        <v>0.80199999999999994</v>
      </c>
      <c r="Z70" s="71">
        <f t="shared" ref="Z70:Z71" si="29">3.67/5</f>
        <v>0.73399999999999999</v>
      </c>
      <c r="AA70" s="71">
        <f>3.5/5</f>
        <v>0.7</v>
      </c>
      <c r="AB70" s="71">
        <f t="shared" ref="AB70:AB71" si="30">3.4/4</f>
        <v>0.85</v>
      </c>
      <c r="AC70" s="71">
        <v>0.7</v>
      </c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23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>4/6</f>
        <v>0.66666666666666663</v>
      </c>
      <c r="G71" s="71">
        <f t="shared" si="23"/>
        <v>0.6</v>
      </c>
      <c r="H71" s="71">
        <f t="shared" si="23"/>
        <v>0.6</v>
      </c>
      <c r="I71" s="71">
        <f t="shared" si="23"/>
        <v>0.6</v>
      </c>
      <c r="J71" s="71">
        <f>3.7/5</f>
        <v>0.74</v>
      </c>
      <c r="K71" s="71">
        <f>3.6/5</f>
        <v>0.72</v>
      </c>
      <c r="L71" s="71">
        <f>3.7/5</f>
        <v>0.74</v>
      </c>
      <c r="M71" s="71">
        <f t="shared" si="25"/>
        <v>0.76</v>
      </c>
      <c r="N71" s="71">
        <f t="shared" si="24"/>
        <v>0.75</v>
      </c>
      <c r="O71" s="71">
        <f t="shared" si="26"/>
        <v>0.67999999999999994</v>
      </c>
      <c r="P71" s="71">
        <f t="shared" si="27"/>
        <v>0.74</v>
      </c>
      <c r="Q71" s="71">
        <f>3.81/5</f>
        <v>0.76200000000000001</v>
      </c>
      <c r="R71" s="71">
        <f>3.89/5</f>
        <v>0.77800000000000002</v>
      </c>
      <c r="S71" s="71">
        <f>3.73/5</f>
        <v>0.746</v>
      </c>
      <c r="T71" s="71">
        <f>2.36/4</f>
        <v>0.59</v>
      </c>
      <c r="U71" s="71">
        <v>0.67999999999999994</v>
      </c>
      <c r="V71" s="71">
        <v>0.68600000000000005</v>
      </c>
      <c r="W71" s="71">
        <v>0.71</v>
      </c>
      <c r="X71" s="71">
        <v>0.7</v>
      </c>
      <c r="Y71" s="71">
        <f t="shared" si="28"/>
        <v>0.80199999999999994</v>
      </c>
      <c r="Z71" s="71">
        <f t="shared" si="29"/>
        <v>0.73399999999999999</v>
      </c>
      <c r="AA71" s="71">
        <f>3.5/5</f>
        <v>0.7</v>
      </c>
      <c r="AB71" s="71">
        <f t="shared" si="30"/>
        <v>0.85</v>
      </c>
      <c r="AC71" s="71">
        <v>0.7</v>
      </c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0"/>
        <v>24</v>
      </c>
      <c r="AG73" s="11">
        <f t="shared" si="21"/>
        <v>0</v>
      </c>
      <c r="AH73" s="11">
        <f t="shared" si="22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f>4/6</f>
        <v>0.66666666666666663</v>
      </c>
      <c r="G74" s="71">
        <f>3.6/6</f>
        <v>0.6</v>
      </c>
      <c r="H74" s="71">
        <f>3.6/6</f>
        <v>0.6</v>
      </c>
      <c r="I74" s="71">
        <f>3.6/6</f>
        <v>0.6</v>
      </c>
      <c r="J74" s="71">
        <f>3.7/5</f>
        <v>0.74</v>
      </c>
      <c r="K74" s="71">
        <f>3.6/5</f>
        <v>0.72</v>
      </c>
      <c r="L74" s="71">
        <f>3.7/5</f>
        <v>0.74</v>
      </c>
      <c r="M74" s="71">
        <f>3.8/5</f>
        <v>0.76</v>
      </c>
      <c r="N74" s="71">
        <f>4.5/6</f>
        <v>0.75</v>
      </c>
      <c r="O74" s="71">
        <f>3.4/5</f>
        <v>0.67999999999999994</v>
      </c>
      <c r="P74" s="71">
        <f>3.7/5</f>
        <v>0.74</v>
      </c>
      <c r="Q74" s="71">
        <f>3.81/5</f>
        <v>0.76200000000000001</v>
      </c>
      <c r="R74" s="71">
        <f>3.89/5</f>
        <v>0.77800000000000002</v>
      </c>
      <c r="S74" s="71">
        <f>3.73/5</f>
        <v>0.746</v>
      </c>
      <c r="T74" s="71">
        <f>2.36/4</f>
        <v>0.59</v>
      </c>
      <c r="U74" s="71">
        <v>0.67999999999999994</v>
      </c>
      <c r="V74" s="71">
        <v>0.68600000000000005</v>
      </c>
      <c r="W74" s="71">
        <v>0.71</v>
      </c>
      <c r="X74" s="71">
        <v>0.7</v>
      </c>
      <c r="Y74" s="71">
        <f t="shared" ref="Y74" si="31">4.01/5</f>
        <v>0.80199999999999994</v>
      </c>
      <c r="Z74" s="71">
        <f>3.67/5</f>
        <v>0.73399999999999999</v>
      </c>
      <c r="AA74" s="71">
        <f>3.5/5</f>
        <v>0.7</v>
      </c>
      <c r="AB74" s="71">
        <f>3.4/4</f>
        <v>0.85</v>
      </c>
      <c r="AC74" s="71">
        <v>0.64</v>
      </c>
      <c r="AD74" s="31"/>
      <c r="AE74" s="31"/>
      <c r="AF74" s="11">
        <f t="shared" si="20"/>
        <v>0</v>
      </c>
      <c r="AG74" s="11">
        <f t="shared" si="21"/>
        <v>0</v>
      </c>
      <c r="AH74" s="11">
        <f t="shared" si="22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2">SUM(F66:F74)</f>
        <v>3.9999999999999996</v>
      </c>
      <c r="G75" s="19">
        <f t="shared" ref="G75:AC75" si="33">SUM(G66:G74)</f>
        <v>3.6</v>
      </c>
      <c r="H75" s="19">
        <f t="shared" si="33"/>
        <v>3.6</v>
      </c>
      <c r="I75" s="19">
        <f t="shared" si="33"/>
        <v>3.6</v>
      </c>
      <c r="J75" s="19">
        <f t="shared" si="33"/>
        <v>3.7</v>
      </c>
      <c r="K75" s="19">
        <f t="shared" si="33"/>
        <v>3.5999999999999996</v>
      </c>
      <c r="L75" s="19">
        <f>SUM(L66:L74)</f>
        <v>3.7</v>
      </c>
      <c r="M75" s="19">
        <f t="shared" si="33"/>
        <v>3.8</v>
      </c>
      <c r="N75" s="19">
        <f t="shared" si="33"/>
        <v>4.5</v>
      </c>
      <c r="O75" s="19">
        <f t="shared" si="33"/>
        <v>3.3999999999999995</v>
      </c>
      <c r="P75" s="19">
        <f t="shared" si="33"/>
        <v>3.7</v>
      </c>
      <c r="Q75" s="19">
        <f t="shared" si="33"/>
        <v>3.81</v>
      </c>
      <c r="R75" s="19">
        <f t="shared" si="33"/>
        <v>3.89</v>
      </c>
      <c r="S75" s="19">
        <f t="shared" si="33"/>
        <v>3.73</v>
      </c>
      <c r="T75" s="19">
        <f t="shared" si="33"/>
        <v>2.36</v>
      </c>
      <c r="U75" s="19">
        <f t="shared" si="33"/>
        <v>3.3999999999999995</v>
      </c>
      <c r="V75" s="19">
        <f t="shared" si="33"/>
        <v>3.43</v>
      </c>
      <c r="W75" s="19">
        <f t="shared" si="33"/>
        <v>3.55</v>
      </c>
      <c r="X75" s="19">
        <f t="shared" si="33"/>
        <v>3.5</v>
      </c>
      <c r="Y75" s="19">
        <f t="shared" si="33"/>
        <v>4.01</v>
      </c>
      <c r="Z75" s="19">
        <f t="shared" si="33"/>
        <v>3.67</v>
      </c>
      <c r="AA75" s="19">
        <f t="shared" si="33"/>
        <v>3.5</v>
      </c>
      <c r="AB75" s="19">
        <f t="shared" si="33"/>
        <v>3.4</v>
      </c>
      <c r="AC75" s="19">
        <f t="shared" si="33"/>
        <v>2.7399999999999998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18.8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0.75</v>
      </c>
      <c r="V77" s="71">
        <v>0.77</v>
      </c>
      <c r="W77" s="71">
        <v>0.79</v>
      </c>
      <c r="X77" s="71">
        <v>0.79</v>
      </c>
      <c r="Y77" s="71">
        <v>0.92</v>
      </c>
      <c r="Z77" s="71">
        <v>0.91</v>
      </c>
      <c r="AA77" s="71">
        <v>0.88</v>
      </c>
      <c r="AB77" s="71">
        <v>0.81</v>
      </c>
      <c r="AC77" s="71">
        <v>0.81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9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0.73</v>
      </c>
      <c r="G78" s="71">
        <v>0.71</v>
      </c>
      <c r="H78" s="380">
        <v>0.67</v>
      </c>
      <c r="I78" s="71">
        <v>0.69</v>
      </c>
      <c r="J78" s="380">
        <v>0.69</v>
      </c>
      <c r="K78" s="71">
        <v>0.71</v>
      </c>
      <c r="L78" s="71">
        <v>0.73</v>
      </c>
      <c r="M78" s="71">
        <v>0.75</v>
      </c>
      <c r="N78" s="71">
        <v>0.76</v>
      </c>
      <c r="O78" s="71">
        <v>0.81</v>
      </c>
      <c r="P78" s="71">
        <v>0.84</v>
      </c>
      <c r="Q78" s="71">
        <v>0.85</v>
      </c>
      <c r="R78" s="71">
        <v>0.86</v>
      </c>
      <c r="S78" s="71">
        <v>0.79</v>
      </c>
      <c r="T78" s="71">
        <v>0.78</v>
      </c>
      <c r="U78" s="71"/>
      <c r="V78" s="71"/>
      <c r="W78" s="71"/>
      <c r="X78" s="71"/>
      <c r="Y78" s="71"/>
      <c r="Z78" s="71"/>
      <c r="AA78" s="71"/>
      <c r="AB78" s="71"/>
      <c r="AC78" s="71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4">SUM(F77:F78)</f>
        <v>0.73</v>
      </c>
      <c r="G79" s="19">
        <f>SUM(G77:G78)</f>
        <v>0.71</v>
      </c>
      <c r="H79" s="19">
        <f>SUM(H77:H78)</f>
        <v>0.67</v>
      </c>
      <c r="I79" s="19">
        <f>SUM(I77:I78)</f>
        <v>0.69</v>
      </c>
      <c r="J79" s="19">
        <f t="shared" ref="J79:AC79" si="35">SUM(J77:J78)</f>
        <v>0.69</v>
      </c>
      <c r="K79" s="19">
        <f t="shared" si="35"/>
        <v>0.71</v>
      </c>
      <c r="L79" s="19">
        <f>SUM(L77:L78)</f>
        <v>0.73</v>
      </c>
      <c r="M79" s="19">
        <f t="shared" si="35"/>
        <v>0.75</v>
      </c>
      <c r="N79" s="19">
        <f t="shared" si="35"/>
        <v>0.76</v>
      </c>
      <c r="O79" s="19">
        <f>SUM(O77:O78)</f>
        <v>0.81</v>
      </c>
      <c r="P79" s="19">
        <f t="shared" si="35"/>
        <v>0.84</v>
      </c>
      <c r="Q79" s="19">
        <f t="shared" si="35"/>
        <v>0.85</v>
      </c>
      <c r="R79" s="19">
        <f t="shared" si="35"/>
        <v>0.86</v>
      </c>
      <c r="S79" s="19">
        <f t="shared" si="35"/>
        <v>0.79</v>
      </c>
      <c r="T79" s="19">
        <f t="shared" si="35"/>
        <v>0.78</v>
      </c>
      <c r="U79" s="19">
        <f t="shared" si="35"/>
        <v>0.75</v>
      </c>
      <c r="V79" s="19">
        <f t="shared" si="35"/>
        <v>0.77</v>
      </c>
      <c r="W79" s="19">
        <f t="shared" si="35"/>
        <v>0.79</v>
      </c>
      <c r="X79" s="19">
        <f t="shared" si="35"/>
        <v>0.79</v>
      </c>
      <c r="Y79" s="19">
        <f t="shared" si="35"/>
        <v>0.92</v>
      </c>
      <c r="Z79" s="19">
        <f t="shared" si="35"/>
        <v>0.91</v>
      </c>
      <c r="AA79" s="19">
        <f t="shared" si="35"/>
        <v>0.88</v>
      </c>
      <c r="AB79" s="19">
        <f t="shared" si="35"/>
        <v>0.81</v>
      </c>
      <c r="AC79" s="19">
        <f t="shared" si="35"/>
        <v>0.81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" si="36">SUM(F17,F22,F25,F30,F33,F59,F64,F75,F79,F81)</f>
        <v>40.14</v>
      </c>
      <c r="G82" s="28">
        <f t="shared" ref="G82:AC82" si="37">SUM(G17,G22,G25,G30,G33,G59,G64,G75,G79,G81)</f>
        <v>37.67</v>
      </c>
      <c r="H82" s="28">
        <f t="shared" si="37"/>
        <v>35.42</v>
      </c>
      <c r="I82" s="28">
        <f t="shared" si="37"/>
        <v>35.629999999999995</v>
      </c>
      <c r="J82" s="28">
        <f t="shared" si="37"/>
        <v>34.980000000000004</v>
      </c>
      <c r="K82" s="28">
        <f t="shared" si="37"/>
        <v>35.080000000000005</v>
      </c>
      <c r="L82" s="28">
        <f t="shared" si="37"/>
        <v>36.4</v>
      </c>
      <c r="M82" s="28">
        <f t="shared" si="37"/>
        <v>37.630000000000003</v>
      </c>
      <c r="N82" s="28">
        <f t="shared" si="37"/>
        <v>41.589999999999996</v>
      </c>
      <c r="O82" s="28">
        <f t="shared" si="37"/>
        <v>44.290000000000006</v>
      </c>
      <c r="P82" s="28">
        <f t="shared" si="37"/>
        <v>48.870000000000005</v>
      </c>
      <c r="Q82" s="28">
        <f t="shared" si="37"/>
        <v>47.11</v>
      </c>
      <c r="R82" s="28">
        <f t="shared" si="37"/>
        <v>48.240000000000009</v>
      </c>
      <c r="S82" s="28">
        <f t="shared" si="37"/>
        <v>48</v>
      </c>
      <c r="T82" s="28">
        <f t="shared" si="37"/>
        <v>46.410000000000004</v>
      </c>
      <c r="U82" s="28">
        <f t="shared" si="37"/>
        <v>46.999999999999993</v>
      </c>
      <c r="V82" s="28">
        <f t="shared" si="37"/>
        <v>46.45</v>
      </c>
      <c r="W82" s="28">
        <f t="shared" si="37"/>
        <v>49.96</v>
      </c>
      <c r="X82" s="28">
        <f t="shared" si="37"/>
        <v>49.589999999999996</v>
      </c>
      <c r="Y82" s="28">
        <f t="shared" si="37"/>
        <v>50.400000000000006</v>
      </c>
      <c r="Z82" s="28">
        <f t="shared" si="37"/>
        <v>46.039999999999992</v>
      </c>
      <c r="AA82" s="28">
        <f t="shared" si="37"/>
        <v>46.49</v>
      </c>
      <c r="AB82" s="28">
        <f t="shared" si="37"/>
        <v>40.81</v>
      </c>
      <c r="AC82" s="28">
        <f t="shared" si="37"/>
        <v>38.15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8">SUM(F22,F25)</f>
        <v>7.1</v>
      </c>
      <c r="G88" s="64">
        <f t="shared" si="38"/>
        <v>7.1</v>
      </c>
      <c r="H88" s="64">
        <f t="shared" si="38"/>
        <v>6.2</v>
      </c>
      <c r="I88" s="64">
        <f t="shared" si="38"/>
        <v>7.1</v>
      </c>
      <c r="J88" s="64">
        <f t="shared" si="38"/>
        <v>7.1</v>
      </c>
      <c r="K88" s="64">
        <f t="shared" si="38"/>
        <v>7.1</v>
      </c>
      <c r="L88" s="64">
        <f t="shared" si="38"/>
        <v>7.1</v>
      </c>
      <c r="M88" s="64">
        <f t="shared" si="38"/>
        <v>7.1</v>
      </c>
      <c r="N88" s="64">
        <f t="shared" si="38"/>
        <v>7.1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7.1</v>
      </c>
      <c r="U88" s="64">
        <f t="shared" si="38"/>
        <v>7.1</v>
      </c>
      <c r="V88" s="64">
        <f t="shared" si="38"/>
        <v>7.1</v>
      </c>
      <c r="W88" s="64">
        <f t="shared" si="38"/>
        <v>7.1</v>
      </c>
      <c r="X88" s="64">
        <f t="shared" si="38"/>
        <v>7.1999999999999993</v>
      </c>
      <c r="Y88" s="64">
        <f t="shared" si="38"/>
        <v>7.1</v>
      </c>
      <c r="Z88" s="64">
        <f t="shared" si="38"/>
        <v>7.1</v>
      </c>
      <c r="AA88" s="64">
        <f t="shared" si="38"/>
        <v>7.1</v>
      </c>
      <c r="AB88" s="64">
        <f t="shared" si="38"/>
        <v>4.8</v>
      </c>
      <c r="AC88" s="64">
        <f t="shared" si="38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0.153</v>
      </c>
      <c r="G89" s="68">
        <v>0.2</v>
      </c>
      <c r="H89" s="68">
        <v>0.20699999999999999</v>
      </c>
      <c r="I89" s="68">
        <v>0.153</v>
      </c>
      <c r="J89" s="68">
        <v>0.17499999999999999</v>
      </c>
      <c r="K89" s="68">
        <v>0.191</v>
      </c>
      <c r="L89" s="68">
        <v>0.223</v>
      </c>
      <c r="M89" s="68">
        <v>0.24299999999999999</v>
      </c>
      <c r="N89" s="68">
        <v>0.249</v>
      </c>
      <c r="O89" s="68">
        <v>0.20699999999999999</v>
      </c>
      <c r="P89" s="68">
        <v>0.22500000000000001</v>
      </c>
      <c r="Q89" s="68">
        <v>0.25700000000000001</v>
      </c>
      <c r="R89" s="68">
        <v>0.17199999999999999</v>
      </c>
      <c r="S89" s="68">
        <v>0.245</v>
      </c>
      <c r="T89" s="68">
        <v>0.24299999999999999</v>
      </c>
      <c r="U89" s="68">
        <v>0.153</v>
      </c>
      <c r="V89" s="68">
        <v>0.185</v>
      </c>
      <c r="W89" s="68">
        <v>0.21099999999999999</v>
      </c>
      <c r="X89" s="68">
        <v>0.219</v>
      </c>
      <c r="Y89" s="68">
        <v>0.23599999999999999</v>
      </c>
      <c r="Z89" s="68">
        <v>0.23100000000000001</v>
      </c>
      <c r="AA89" s="68">
        <v>0.24199999999999999</v>
      </c>
      <c r="AB89" s="68">
        <v>0.23</v>
      </c>
      <c r="AC89" s="68">
        <v>0.27200000000000002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9">F17</f>
        <v>19.5</v>
      </c>
      <c r="G90" s="64">
        <f t="shared" si="39"/>
        <v>19.5</v>
      </c>
      <c r="H90" s="64">
        <f t="shared" si="39"/>
        <v>19.200000000000003</v>
      </c>
      <c r="I90" s="64">
        <f t="shared" si="39"/>
        <v>13.2</v>
      </c>
      <c r="J90" s="64">
        <f t="shared" si="39"/>
        <v>13.2</v>
      </c>
      <c r="K90" s="64">
        <f t="shared" si="39"/>
        <v>13.4</v>
      </c>
      <c r="L90" s="64">
        <f t="shared" si="39"/>
        <v>13.4</v>
      </c>
      <c r="M90" s="64">
        <f t="shared" si="39"/>
        <v>13.4</v>
      </c>
      <c r="N90" s="64">
        <f t="shared" si="39"/>
        <v>13.4</v>
      </c>
      <c r="O90" s="64">
        <f t="shared" si="39"/>
        <v>20.100000000000001</v>
      </c>
      <c r="P90" s="64">
        <f t="shared" si="39"/>
        <v>19.7</v>
      </c>
      <c r="Q90" s="64">
        <f t="shared" si="39"/>
        <v>19.8</v>
      </c>
      <c r="R90" s="64">
        <f t="shared" si="39"/>
        <v>20.100000000000001</v>
      </c>
      <c r="S90" s="64">
        <f t="shared" si="39"/>
        <v>20.100000000000001</v>
      </c>
      <c r="T90" s="64">
        <f t="shared" si="39"/>
        <v>19.5</v>
      </c>
      <c r="U90" s="64">
        <f t="shared" si="39"/>
        <v>20.2</v>
      </c>
      <c r="V90" s="64">
        <f t="shared" si="39"/>
        <v>20.2</v>
      </c>
      <c r="W90" s="64">
        <f t="shared" si="39"/>
        <v>20.100000000000001</v>
      </c>
      <c r="X90" s="64">
        <f t="shared" si="39"/>
        <v>20</v>
      </c>
      <c r="Y90" s="64">
        <f t="shared" si="39"/>
        <v>19.600000000000001</v>
      </c>
      <c r="Z90" s="64">
        <f t="shared" si="39"/>
        <v>25.2</v>
      </c>
      <c r="AA90" s="64">
        <f t="shared" si="39"/>
        <v>23.6</v>
      </c>
      <c r="AB90" s="64">
        <f t="shared" si="39"/>
        <v>20.399999999999999</v>
      </c>
      <c r="AC90" s="64">
        <f t="shared" si="39"/>
        <v>25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0.75700000000000001</v>
      </c>
      <c r="G91" s="68">
        <v>0.66</v>
      </c>
      <c r="H91" s="68">
        <v>0.78</v>
      </c>
      <c r="I91" s="68">
        <v>0.64</v>
      </c>
      <c r="J91" s="68">
        <v>0.68500000000000005</v>
      </c>
      <c r="K91" s="68">
        <v>0.68</v>
      </c>
      <c r="L91" s="68">
        <v>0.69499999999999995</v>
      </c>
      <c r="M91" s="68">
        <v>0.67100000000000004</v>
      </c>
      <c r="N91" s="68">
        <v>0.628</v>
      </c>
      <c r="O91" s="68">
        <v>0.72299999999999998</v>
      </c>
      <c r="P91" s="68">
        <v>0.72299999999999998</v>
      </c>
      <c r="Q91" s="68">
        <v>0.71699999999999997</v>
      </c>
      <c r="R91" s="68">
        <v>0.67700000000000005</v>
      </c>
      <c r="S91" s="68">
        <v>0.69799999999999995</v>
      </c>
      <c r="T91" s="68">
        <v>0.90300000000000002</v>
      </c>
      <c r="U91" s="68">
        <v>0.85499999999999998</v>
      </c>
      <c r="V91" s="68">
        <v>0.72499999999999998</v>
      </c>
      <c r="W91" s="68">
        <v>0.749</v>
      </c>
      <c r="X91" s="68">
        <v>0.90200000000000002</v>
      </c>
      <c r="Y91" s="68">
        <v>0.93200000000000005</v>
      </c>
      <c r="Z91" s="68">
        <v>0.308</v>
      </c>
      <c r="AA91" s="68">
        <v>0.89800000000000002</v>
      </c>
      <c r="AB91" s="68">
        <v>0.92800000000000005</v>
      </c>
      <c r="AC91" s="68">
        <v>0.90500000000000003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0">F30</f>
        <v>8</v>
      </c>
      <c r="G92" s="65">
        <f t="shared" si="40"/>
        <v>6</v>
      </c>
      <c r="H92" s="65">
        <f t="shared" si="40"/>
        <v>5</v>
      </c>
      <c r="I92" s="65">
        <f t="shared" si="40"/>
        <v>8</v>
      </c>
      <c r="J92" s="65">
        <f t="shared" si="40"/>
        <v>8</v>
      </c>
      <c r="K92" s="65">
        <f t="shared" si="40"/>
        <v>8</v>
      </c>
      <c r="L92" s="65">
        <f t="shared" si="40"/>
        <v>8</v>
      </c>
      <c r="M92" s="65">
        <f t="shared" si="40"/>
        <v>8</v>
      </c>
      <c r="N92" s="65">
        <f t="shared" si="40"/>
        <v>8</v>
      </c>
      <c r="O92" s="65">
        <f t="shared" si="40"/>
        <v>8.1999999999999993</v>
      </c>
      <c r="P92" s="65">
        <f t="shared" si="40"/>
        <v>8</v>
      </c>
      <c r="Q92" s="65">
        <f t="shared" si="40"/>
        <v>7.6</v>
      </c>
      <c r="R92" s="65">
        <f t="shared" si="40"/>
        <v>7.6</v>
      </c>
      <c r="S92" s="65">
        <f t="shared" si="40"/>
        <v>7.6</v>
      </c>
      <c r="T92" s="65">
        <f t="shared" si="40"/>
        <v>8</v>
      </c>
      <c r="U92" s="65">
        <f t="shared" si="40"/>
        <v>7.6</v>
      </c>
      <c r="V92" s="65">
        <f t="shared" si="40"/>
        <v>7.8</v>
      </c>
      <c r="W92" s="65">
        <f t="shared" si="40"/>
        <v>8</v>
      </c>
      <c r="X92" s="65">
        <f t="shared" si="40"/>
        <v>7.6</v>
      </c>
      <c r="Y92" s="65">
        <f t="shared" si="40"/>
        <v>8.1999999999999993</v>
      </c>
      <c r="Z92" s="65">
        <f t="shared" si="40"/>
        <v>8</v>
      </c>
      <c r="AA92" s="65">
        <f t="shared" si="40"/>
        <v>10.4</v>
      </c>
      <c r="AB92" s="65">
        <f t="shared" si="40"/>
        <v>10.5</v>
      </c>
      <c r="AC92" s="65">
        <f t="shared" si="40"/>
        <v>5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0.28399999999999997</v>
      </c>
      <c r="G93" s="68">
        <v>0.26500000000000001</v>
      </c>
      <c r="H93" s="68">
        <v>0.27</v>
      </c>
      <c r="I93" s="68">
        <v>0.26800000000000002</v>
      </c>
      <c r="J93" s="68">
        <v>0.26300000000000001</v>
      </c>
      <c r="K93" s="68">
        <v>0.26300000000000001</v>
      </c>
      <c r="L93" s="68">
        <v>0.28999999999999998</v>
      </c>
      <c r="M93" s="68">
        <v>0.28199999999999997</v>
      </c>
      <c r="N93" s="68">
        <v>0.28699999999999998</v>
      </c>
      <c r="O93" s="68">
        <v>0.25900000000000001</v>
      </c>
      <c r="P93" s="68">
        <v>0.29299999999999998</v>
      </c>
      <c r="Q93" s="68">
        <v>0.29799999999999999</v>
      </c>
      <c r="R93" s="68">
        <v>0.29799999999999999</v>
      </c>
      <c r="S93" s="68">
        <v>0.29299999999999998</v>
      </c>
      <c r="T93" s="68">
        <v>0.28899999999999998</v>
      </c>
      <c r="U93" s="68">
        <v>0.29399999999999998</v>
      </c>
      <c r="V93" s="68">
        <v>0.28000000000000003</v>
      </c>
      <c r="W93" s="68">
        <v>0.27200000000000002</v>
      </c>
      <c r="X93" s="68">
        <v>0.27700000000000002</v>
      </c>
      <c r="Y93" s="68">
        <v>0.308</v>
      </c>
      <c r="Z93" s="68">
        <v>0.308</v>
      </c>
      <c r="AA93" s="68">
        <v>0.28899999999999998</v>
      </c>
      <c r="AB93" s="68">
        <v>0.27400000000000002</v>
      </c>
      <c r="AC93" s="68">
        <v>0.27600000000000002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1">F33</f>
        <v>0</v>
      </c>
      <c r="G94" s="65">
        <f t="shared" si="41"/>
        <v>0</v>
      </c>
      <c r="H94" s="65">
        <f t="shared" si="41"/>
        <v>0</v>
      </c>
      <c r="I94" s="65">
        <f t="shared" si="41"/>
        <v>0</v>
      </c>
      <c r="J94" s="65">
        <f t="shared" si="41"/>
        <v>0</v>
      </c>
      <c r="K94" s="65">
        <f t="shared" si="41"/>
        <v>0</v>
      </c>
      <c r="L94" s="65">
        <f t="shared" si="41"/>
        <v>0</v>
      </c>
      <c r="M94" s="65">
        <f t="shared" si="41"/>
        <v>0</v>
      </c>
      <c r="N94" s="65">
        <f t="shared" si="41"/>
        <v>0</v>
      </c>
      <c r="O94" s="65">
        <f t="shared" si="41"/>
        <v>0</v>
      </c>
      <c r="P94" s="65">
        <f t="shared" si="41"/>
        <v>0</v>
      </c>
      <c r="Q94" s="65">
        <f t="shared" si="41"/>
        <v>0</v>
      </c>
      <c r="R94" s="65">
        <f t="shared" si="41"/>
        <v>0</v>
      </c>
      <c r="S94" s="65">
        <f t="shared" si="41"/>
        <v>0</v>
      </c>
      <c r="T94" s="65">
        <f t="shared" si="41"/>
        <v>0</v>
      </c>
      <c r="U94" s="65">
        <f t="shared" si="41"/>
        <v>0</v>
      </c>
      <c r="V94" s="65">
        <f t="shared" si="41"/>
        <v>0</v>
      </c>
      <c r="W94" s="65">
        <f t="shared" si="41"/>
        <v>0</v>
      </c>
      <c r="X94" s="65">
        <f t="shared" si="41"/>
        <v>0</v>
      </c>
      <c r="Y94" s="65">
        <f t="shared" si="41"/>
        <v>0</v>
      </c>
      <c r="Z94" s="65">
        <f t="shared" si="41"/>
        <v>0</v>
      </c>
      <c r="AA94" s="65">
        <f t="shared" si="41"/>
        <v>0</v>
      </c>
      <c r="AB94" s="65">
        <f t="shared" si="41"/>
        <v>0</v>
      </c>
      <c r="AC94" s="65">
        <f t="shared" si="4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2">F59</f>
        <v>0</v>
      </c>
      <c r="G96" s="64">
        <f t="shared" si="42"/>
        <v>0</v>
      </c>
      <c r="H96" s="64">
        <f t="shared" si="42"/>
        <v>0</v>
      </c>
      <c r="I96" s="64">
        <f t="shared" si="42"/>
        <v>2.34</v>
      </c>
      <c r="J96" s="64">
        <f t="shared" si="42"/>
        <v>1.6</v>
      </c>
      <c r="K96" s="64">
        <f t="shared" si="42"/>
        <v>1.6</v>
      </c>
      <c r="L96" s="64">
        <f t="shared" si="42"/>
        <v>2.7</v>
      </c>
      <c r="M96" s="64">
        <f t="shared" si="42"/>
        <v>3.7</v>
      </c>
      <c r="N96" s="64">
        <f t="shared" si="42"/>
        <v>6.8999999999999995</v>
      </c>
      <c r="O96" s="64">
        <f t="shared" si="42"/>
        <v>3.7</v>
      </c>
      <c r="P96" s="64">
        <f t="shared" si="42"/>
        <v>8.6</v>
      </c>
      <c r="Q96" s="64">
        <f t="shared" si="42"/>
        <v>6.9000000000000012</v>
      </c>
      <c r="R96" s="64">
        <f t="shared" si="42"/>
        <v>7.5999999999999988</v>
      </c>
      <c r="S96" s="64">
        <f t="shared" si="42"/>
        <v>7.5999999999999988</v>
      </c>
      <c r="T96" s="64">
        <f t="shared" si="42"/>
        <v>7.5999999999999988</v>
      </c>
      <c r="U96" s="64">
        <f t="shared" si="42"/>
        <v>6.9000000000000012</v>
      </c>
      <c r="V96" s="64">
        <f t="shared" si="42"/>
        <v>6.1</v>
      </c>
      <c r="W96" s="64">
        <f t="shared" si="42"/>
        <v>9.4</v>
      </c>
      <c r="X96" s="64">
        <f t="shared" si="42"/>
        <v>9.4</v>
      </c>
      <c r="Y96" s="64">
        <f t="shared" si="42"/>
        <v>9.4</v>
      </c>
      <c r="Z96" s="64">
        <f t="shared" si="42"/>
        <v>0</v>
      </c>
      <c r="AA96" s="64">
        <f t="shared" si="42"/>
        <v>0</v>
      </c>
      <c r="AB96" s="64">
        <f t="shared" si="42"/>
        <v>0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3">F64</f>
        <v>0.81</v>
      </c>
      <c r="G97" s="64">
        <f t="shared" si="43"/>
        <v>0.76</v>
      </c>
      <c r="H97" s="64">
        <f t="shared" si="43"/>
        <v>0.75</v>
      </c>
      <c r="I97" s="64">
        <f t="shared" si="43"/>
        <v>0.7</v>
      </c>
      <c r="J97" s="64">
        <f t="shared" si="43"/>
        <v>0.69</v>
      </c>
      <c r="K97" s="64">
        <f t="shared" si="43"/>
        <v>0.67</v>
      </c>
      <c r="L97" s="64">
        <f t="shared" si="43"/>
        <v>0.77</v>
      </c>
      <c r="M97" s="64">
        <f t="shared" si="43"/>
        <v>0.88</v>
      </c>
      <c r="N97" s="64">
        <f t="shared" si="43"/>
        <v>0.93</v>
      </c>
      <c r="O97" s="64">
        <f t="shared" si="43"/>
        <v>0.98</v>
      </c>
      <c r="P97" s="64">
        <f t="shared" si="43"/>
        <v>0.93</v>
      </c>
      <c r="Q97" s="64">
        <f t="shared" si="43"/>
        <v>1.05</v>
      </c>
      <c r="R97" s="64">
        <f t="shared" si="43"/>
        <v>1.0900000000000001</v>
      </c>
      <c r="S97" s="64">
        <f t="shared" si="43"/>
        <v>1.08</v>
      </c>
      <c r="T97" s="64">
        <f t="shared" si="43"/>
        <v>1.07</v>
      </c>
      <c r="U97" s="64">
        <f t="shared" si="43"/>
        <v>1.05</v>
      </c>
      <c r="V97" s="64">
        <f t="shared" si="43"/>
        <v>1.05</v>
      </c>
      <c r="W97" s="64">
        <f t="shared" si="43"/>
        <v>1.02</v>
      </c>
      <c r="X97" s="64">
        <f t="shared" si="43"/>
        <v>1.1000000000000001</v>
      </c>
      <c r="Y97" s="64">
        <f t="shared" si="43"/>
        <v>1.17</v>
      </c>
      <c r="Z97" s="64">
        <f t="shared" si="43"/>
        <v>1.1599999999999999</v>
      </c>
      <c r="AA97" s="64">
        <f t="shared" si="43"/>
        <v>1.01</v>
      </c>
      <c r="AB97" s="64">
        <f t="shared" si="43"/>
        <v>0.9</v>
      </c>
      <c r="AC97" s="64">
        <f t="shared" si="43"/>
        <v>0.8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4">F75</f>
        <v>3.9999999999999996</v>
      </c>
      <c r="G98" s="64">
        <f t="shared" si="44"/>
        <v>3.6</v>
      </c>
      <c r="H98" s="64">
        <f t="shared" si="44"/>
        <v>3.6</v>
      </c>
      <c r="I98" s="64">
        <f t="shared" si="44"/>
        <v>3.6</v>
      </c>
      <c r="J98" s="64">
        <f t="shared" si="44"/>
        <v>3.7</v>
      </c>
      <c r="K98" s="64">
        <f t="shared" si="44"/>
        <v>3.5999999999999996</v>
      </c>
      <c r="L98" s="64">
        <f t="shared" si="44"/>
        <v>3.7</v>
      </c>
      <c r="M98" s="64">
        <f t="shared" si="44"/>
        <v>3.8</v>
      </c>
      <c r="N98" s="64">
        <f t="shared" si="44"/>
        <v>4.5</v>
      </c>
      <c r="O98" s="64">
        <f t="shared" si="44"/>
        <v>3.3999999999999995</v>
      </c>
      <c r="P98" s="64">
        <f t="shared" si="44"/>
        <v>3.7</v>
      </c>
      <c r="Q98" s="64">
        <f t="shared" si="44"/>
        <v>3.81</v>
      </c>
      <c r="R98" s="64">
        <f t="shared" si="44"/>
        <v>3.89</v>
      </c>
      <c r="S98" s="64">
        <f t="shared" si="44"/>
        <v>3.73</v>
      </c>
      <c r="T98" s="64">
        <f t="shared" si="44"/>
        <v>2.36</v>
      </c>
      <c r="U98" s="64">
        <f t="shared" si="44"/>
        <v>3.3999999999999995</v>
      </c>
      <c r="V98" s="64">
        <f t="shared" si="44"/>
        <v>3.43</v>
      </c>
      <c r="W98" s="64">
        <f t="shared" si="44"/>
        <v>3.55</v>
      </c>
      <c r="X98" s="64">
        <f t="shared" si="44"/>
        <v>3.5</v>
      </c>
      <c r="Y98" s="64">
        <f t="shared" si="44"/>
        <v>4.01</v>
      </c>
      <c r="Z98" s="64">
        <f t="shared" si="44"/>
        <v>3.67</v>
      </c>
      <c r="AA98" s="64">
        <f t="shared" si="44"/>
        <v>3.5</v>
      </c>
      <c r="AB98" s="64">
        <f t="shared" si="44"/>
        <v>3.4</v>
      </c>
      <c r="AC98" s="64">
        <f t="shared" si="44"/>
        <v>2.7399999999999998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45">F79</f>
        <v>0.73</v>
      </c>
      <c r="G99" s="64">
        <f t="shared" si="45"/>
        <v>0.71</v>
      </c>
      <c r="H99" s="64">
        <f t="shared" si="45"/>
        <v>0.67</v>
      </c>
      <c r="I99" s="64">
        <f t="shared" si="45"/>
        <v>0.69</v>
      </c>
      <c r="J99" s="64">
        <f t="shared" si="45"/>
        <v>0.69</v>
      </c>
      <c r="K99" s="64">
        <f t="shared" si="45"/>
        <v>0.71</v>
      </c>
      <c r="L99" s="64">
        <f t="shared" si="45"/>
        <v>0.73</v>
      </c>
      <c r="M99" s="64">
        <f t="shared" si="45"/>
        <v>0.75</v>
      </c>
      <c r="N99" s="64">
        <f t="shared" si="45"/>
        <v>0.76</v>
      </c>
      <c r="O99" s="64">
        <f t="shared" si="45"/>
        <v>0.81</v>
      </c>
      <c r="P99" s="64">
        <f t="shared" si="45"/>
        <v>0.84</v>
      </c>
      <c r="Q99" s="64">
        <f t="shared" si="45"/>
        <v>0.85</v>
      </c>
      <c r="R99" s="64">
        <f t="shared" si="45"/>
        <v>0.86</v>
      </c>
      <c r="S99" s="64">
        <f t="shared" si="45"/>
        <v>0.79</v>
      </c>
      <c r="T99" s="64">
        <f t="shared" si="45"/>
        <v>0.78</v>
      </c>
      <c r="U99" s="64">
        <f t="shared" si="45"/>
        <v>0.75</v>
      </c>
      <c r="V99" s="64">
        <f t="shared" si="45"/>
        <v>0.77</v>
      </c>
      <c r="W99" s="64">
        <f t="shared" si="45"/>
        <v>0.79</v>
      </c>
      <c r="X99" s="64">
        <f t="shared" si="45"/>
        <v>0.79</v>
      </c>
      <c r="Y99" s="64">
        <f t="shared" si="45"/>
        <v>0.92</v>
      </c>
      <c r="Z99" s="64">
        <f t="shared" si="45"/>
        <v>0.91</v>
      </c>
      <c r="AA99" s="64">
        <f t="shared" si="45"/>
        <v>0.88</v>
      </c>
      <c r="AB99" s="64">
        <f t="shared" si="45"/>
        <v>0.81</v>
      </c>
      <c r="AC99" s="64">
        <f t="shared" si="45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47">SUM(F88,F90,F92,F94,F96:F100,F80)</f>
        <v>40.14</v>
      </c>
      <c r="G101" s="61">
        <f t="shared" si="47"/>
        <v>37.67</v>
      </c>
      <c r="H101" s="61">
        <f t="shared" si="47"/>
        <v>35.42</v>
      </c>
      <c r="I101" s="61">
        <f t="shared" si="47"/>
        <v>35.629999999999995</v>
      </c>
      <c r="J101" s="61">
        <f t="shared" si="47"/>
        <v>34.979999999999997</v>
      </c>
      <c r="K101" s="61">
        <f t="shared" si="47"/>
        <v>35.080000000000005</v>
      </c>
      <c r="L101" s="61">
        <f t="shared" si="47"/>
        <v>36.4</v>
      </c>
      <c r="M101" s="61">
        <f t="shared" si="47"/>
        <v>37.630000000000003</v>
      </c>
      <c r="N101" s="61">
        <f t="shared" si="47"/>
        <v>41.589999999999996</v>
      </c>
      <c r="O101" s="61">
        <f t="shared" si="47"/>
        <v>44.290000000000006</v>
      </c>
      <c r="P101" s="61">
        <f t="shared" si="47"/>
        <v>48.870000000000005</v>
      </c>
      <c r="Q101" s="61">
        <f t="shared" si="47"/>
        <v>47.11</v>
      </c>
      <c r="R101" s="61">
        <f t="shared" si="47"/>
        <v>48.240000000000009</v>
      </c>
      <c r="S101" s="61">
        <f t="shared" si="47"/>
        <v>48</v>
      </c>
      <c r="T101" s="61">
        <f t="shared" si="47"/>
        <v>46.410000000000004</v>
      </c>
      <c r="U101" s="61">
        <f t="shared" si="47"/>
        <v>46.999999999999993</v>
      </c>
      <c r="V101" s="61">
        <f t="shared" si="47"/>
        <v>46.449999999999996</v>
      </c>
      <c r="W101" s="61">
        <f t="shared" si="47"/>
        <v>49.96</v>
      </c>
      <c r="X101" s="61">
        <f t="shared" si="47"/>
        <v>49.589999999999996</v>
      </c>
      <c r="Y101" s="61">
        <f t="shared" si="47"/>
        <v>50.400000000000006</v>
      </c>
      <c r="Z101" s="61">
        <f t="shared" si="47"/>
        <v>46.039999999999992</v>
      </c>
      <c r="AA101" s="61">
        <f t="shared" si="47"/>
        <v>46.49</v>
      </c>
      <c r="AB101" s="61">
        <f t="shared" si="47"/>
        <v>40.81</v>
      </c>
      <c r="AC101" s="61">
        <f t="shared" si="47"/>
        <v>38.15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0.98</v>
      </c>
      <c r="P104" s="77"/>
      <c r="Q104" s="77"/>
      <c r="R104" s="77"/>
      <c r="S104" s="77"/>
      <c r="T104" s="382">
        <f>3.73-2.36</f>
        <v>1.37</v>
      </c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48">SUM(F102:F104)</f>
        <v>0</v>
      </c>
      <c r="G105" s="61">
        <f t="shared" si="48"/>
        <v>0</v>
      </c>
      <c r="H105" s="61">
        <f t="shared" si="48"/>
        <v>0</v>
      </c>
      <c r="I105" s="61">
        <f t="shared" si="48"/>
        <v>0</v>
      </c>
      <c r="J105" s="61">
        <f t="shared" si="48"/>
        <v>0</v>
      </c>
      <c r="K105" s="61">
        <f t="shared" si="48"/>
        <v>0</v>
      </c>
      <c r="L105" s="61">
        <f t="shared" si="48"/>
        <v>0</v>
      </c>
      <c r="M105" s="61">
        <f t="shared" si="48"/>
        <v>0</v>
      </c>
      <c r="N105" s="61">
        <f t="shared" si="48"/>
        <v>0</v>
      </c>
      <c r="O105" s="61">
        <f t="shared" si="48"/>
        <v>0.98</v>
      </c>
      <c r="P105" s="61">
        <f t="shared" si="48"/>
        <v>0</v>
      </c>
      <c r="Q105" s="61">
        <f t="shared" si="48"/>
        <v>0</v>
      </c>
      <c r="R105" s="61">
        <f t="shared" si="48"/>
        <v>0</v>
      </c>
      <c r="S105" s="61">
        <f t="shared" si="48"/>
        <v>0</v>
      </c>
      <c r="T105" s="61">
        <f t="shared" si="48"/>
        <v>1.37</v>
      </c>
      <c r="U105" s="61">
        <f t="shared" si="48"/>
        <v>0</v>
      </c>
      <c r="V105" s="61">
        <f t="shared" si="48"/>
        <v>0</v>
      </c>
      <c r="W105" s="61">
        <f t="shared" si="48"/>
        <v>0</v>
      </c>
      <c r="X105" s="61">
        <f t="shared" si="48"/>
        <v>0</v>
      </c>
      <c r="Y105" s="61">
        <f t="shared" si="48"/>
        <v>0</v>
      </c>
      <c r="Z105" s="61">
        <f t="shared" si="48"/>
        <v>0</v>
      </c>
      <c r="AA105" s="61">
        <f t="shared" si="48"/>
        <v>0</v>
      </c>
      <c r="AB105" s="61">
        <f t="shared" si="48"/>
        <v>0</v>
      </c>
      <c r="AC105" s="61">
        <f t="shared" si="48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49">F101+F105</f>
        <v>40.14</v>
      </c>
      <c r="G106" s="62">
        <f t="shared" si="49"/>
        <v>37.67</v>
      </c>
      <c r="H106" s="62">
        <f t="shared" si="49"/>
        <v>35.42</v>
      </c>
      <c r="I106" s="62">
        <f t="shared" si="49"/>
        <v>35.629999999999995</v>
      </c>
      <c r="J106" s="62">
        <f t="shared" si="49"/>
        <v>34.979999999999997</v>
      </c>
      <c r="K106" s="62">
        <f t="shared" si="49"/>
        <v>35.080000000000005</v>
      </c>
      <c r="L106" s="62">
        <f t="shared" si="49"/>
        <v>36.4</v>
      </c>
      <c r="M106" s="62">
        <f t="shared" si="49"/>
        <v>37.630000000000003</v>
      </c>
      <c r="N106" s="62">
        <f t="shared" si="49"/>
        <v>41.589999999999996</v>
      </c>
      <c r="O106" s="62">
        <f t="shared" si="49"/>
        <v>45.27</v>
      </c>
      <c r="P106" s="62">
        <f t="shared" si="49"/>
        <v>48.870000000000005</v>
      </c>
      <c r="Q106" s="62">
        <f t="shared" si="49"/>
        <v>47.11</v>
      </c>
      <c r="R106" s="62">
        <f t="shared" si="49"/>
        <v>48.240000000000009</v>
      </c>
      <c r="S106" s="62">
        <f t="shared" si="49"/>
        <v>48</v>
      </c>
      <c r="T106" s="62">
        <f t="shared" si="49"/>
        <v>47.78</v>
      </c>
      <c r="U106" s="62">
        <f t="shared" si="49"/>
        <v>46.999999999999993</v>
      </c>
      <c r="V106" s="62">
        <f t="shared" si="49"/>
        <v>46.449999999999996</v>
      </c>
      <c r="W106" s="62">
        <f t="shared" si="49"/>
        <v>49.96</v>
      </c>
      <c r="X106" s="62">
        <f t="shared" si="49"/>
        <v>49.589999999999996</v>
      </c>
      <c r="Y106" s="62">
        <f t="shared" si="49"/>
        <v>50.400000000000006</v>
      </c>
      <c r="Z106" s="62">
        <f t="shared" si="49"/>
        <v>46.039999999999992</v>
      </c>
      <c r="AA106" s="62">
        <f t="shared" si="49"/>
        <v>46.49</v>
      </c>
      <c r="AB106" s="62">
        <f t="shared" si="49"/>
        <v>40.81</v>
      </c>
      <c r="AC106" s="62">
        <f t="shared" si="49"/>
        <v>38.15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50">(COUNT(F13:F16))*7.2+(COUNT(F27:F28)*4.9)+(COUNT(F19:F21)*4.5)-F90-F92</f>
        <v>8.4000000000000057</v>
      </c>
      <c r="G107" s="63">
        <f t="shared" si="50"/>
        <v>10.400000000000006</v>
      </c>
      <c r="H107" s="63">
        <f t="shared" si="50"/>
        <v>11.700000000000003</v>
      </c>
      <c r="I107" s="63">
        <f t="shared" si="50"/>
        <v>7.5000000000000036</v>
      </c>
      <c r="J107" s="63">
        <f t="shared" si="50"/>
        <v>7.5000000000000036</v>
      </c>
      <c r="K107" s="63">
        <f t="shared" si="50"/>
        <v>7.3000000000000025</v>
      </c>
      <c r="L107" s="63">
        <f t="shared" si="50"/>
        <v>7.3000000000000025</v>
      </c>
      <c r="M107" s="63">
        <f t="shared" si="50"/>
        <v>7.3000000000000025</v>
      </c>
      <c r="N107" s="63">
        <f t="shared" si="50"/>
        <v>7.3000000000000025</v>
      </c>
      <c r="O107" s="63">
        <f t="shared" si="50"/>
        <v>7.600000000000005</v>
      </c>
      <c r="P107" s="63">
        <f t="shared" si="50"/>
        <v>8.2000000000000064</v>
      </c>
      <c r="Q107" s="63">
        <f t="shared" si="50"/>
        <v>8.5000000000000053</v>
      </c>
      <c r="R107" s="63">
        <f t="shared" si="50"/>
        <v>8.2000000000000046</v>
      </c>
      <c r="S107" s="63">
        <f t="shared" si="50"/>
        <v>8.2000000000000046</v>
      </c>
      <c r="T107" s="63">
        <f t="shared" si="50"/>
        <v>8.4000000000000057</v>
      </c>
      <c r="U107" s="63">
        <f t="shared" si="50"/>
        <v>8.1000000000000068</v>
      </c>
      <c r="V107" s="63">
        <f t="shared" si="50"/>
        <v>7.9000000000000066</v>
      </c>
      <c r="W107" s="63">
        <f t="shared" si="50"/>
        <v>7.8000000000000043</v>
      </c>
      <c r="X107" s="63">
        <f t="shared" si="50"/>
        <v>15.500000000000002</v>
      </c>
      <c r="Y107" s="63">
        <f t="shared" si="50"/>
        <v>15.3</v>
      </c>
      <c r="Z107" s="63">
        <f t="shared" si="50"/>
        <v>9.9000000000000021</v>
      </c>
      <c r="AA107" s="63">
        <f t="shared" si="50"/>
        <v>9.1</v>
      </c>
      <c r="AB107" s="63">
        <f t="shared" si="50"/>
        <v>12.200000000000003</v>
      </c>
      <c r="AC107" s="63">
        <f t="shared" si="50"/>
        <v>8.6000000000000014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5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4.4000000000000021</v>
      </c>
      <c r="G108" s="206">
        <f t="shared" si="51"/>
        <v>6.400000000000003</v>
      </c>
      <c r="H108" s="206">
        <f t="shared" si="51"/>
        <v>8.5999999999999979</v>
      </c>
      <c r="I108" s="206">
        <f t="shared" si="51"/>
        <v>3.5000000000000018</v>
      </c>
      <c r="J108" s="206">
        <f t="shared" si="51"/>
        <v>3.5000000000000018</v>
      </c>
      <c r="K108" s="206">
        <f t="shared" si="51"/>
        <v>3.3000000000000007</v>
      </c>
      <c r="L108" s="206">
        <f t="shared" si="51"/>
        <v>3.3000000000000007</v>
      </c>
      <c r="M108" s="206">
        <f t="shared" si="51"/>
        <v>3.3000000000000007</v>
      </c>
      <c r="N108" s="206">
        <f t="shared" si="51"/>
        <v>3.3000000000000007</v>
      </c>
      <c r="O108" s="206">
        <f t="shared" si="51"/>
        <v>3.6000000000000014</v>
      </c>
      <c r="P108" s="206">
        <f t="shared" si="51"/>
        <v>4.2000000000000028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5.900000000000003</v>
      </c>
      <c r="R108" s="206">
        <f t="shared" ref="R108:AC108" si="5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4.8000000000000016</v>
      </c>
      <c r="S108" s="206">
        <f t="shared" si="52"/>
        <v>4.8000000000000016</v>
      </c>
      <c r="T108" s="206">
        <f t="shared" si="52"/>
        <v>5.0000000000000009</v>
      </c>
      <c r="U108" s="206">
        <f t="shared" si="52"/>
        <v>4.7000000000000037</v>
      </c>
      <c r="V108" s="206">
        <f t="shared" si="52"/>
        <v>4.5000000000000027</v>
      </c>
      <c r="W108" s="206">
        <f t="shared" si="52"/>
        <v>4.4000000000000004</v>
      </c>
      <c r="X108" s="206">
        <f t="shared" si="52"/>
        <v>12.000000000000002</v>
      </c>
      <c r="Y108" s="206">
        <f t="shared" si="52"/>
        <v>11.899999999999999</v>
      </c>
      <c r="Z108" s="206">
        <f t="shared" si="52"/>
        <v>6.5000000000000009</v>
      </c>
      <c r="AA108" s="206">
        <f t="shared" si="52"/>
        <v>5.7</v>
      </c>
      <c r="AB108" s="206">
        <f t="shared" si="52"/>
        <v>11.100000000000001</v>
      </c>
      <c r="AC108" s="206">
        <f t="shared" si="52"/>
        <v>8.5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60.17</v>
      </c>
      <c r="G109" s="75">
        <v>60.16</v>
      </c>
      <c r="H109" s="75">
        <v>60.25</v>
      </c>
      <c r="I109" s="75">
        <v>60.14</v>
      </c>
      <c r="J109" s="75">
        <v>60.13</v>
      </c>
      <c r="K109" s="75">
        <v>60.13</v>
      </c>
      <c r="L109" s="75">
        <v>60.09</v>
      </c>
      <c r="M109" s="75">
        <v>60.1</v>
      </c>
      <c r="N109" s="75">
        <v>60.13</v>
      </c>
      <c r="O109" s="75">
        <v>60.04</v>
      </c>
      <c r="P109" s="84">
        <v>60.12</v>
      </c>
      <c r="Q109" s="84">
        <v>60.08</v>
      </c>
      <c r="R109" s="84">
        <v>60.13</v>
      </c>
      <c r="S109" s="84">
        <v>60.12</v>
      </c>
      <c r="T109" s="84">
        <v>60.18</v>
      </c>
      <c r="U109" s="75">
        <v>60.07</v>
      </c>
      <c r="V109" s="75">
        <v>60.01</v>
      </c>
      <c r="W109" s="75">
        <v>60.09</v>
      </c>
      <c r="X109" s="75">
        <v>60.09</v>
      </c>
      <c r="Y109" s="75">
        <v>60.15</v>
      </c>
      <c r="Z109" s="75">
        <v>60.06</v>
      </c>
      <c r="AA109" s="75">
        <v>60.25</v>
      </c>
      <c r="AB109" s="75">
        <v>60.2</v>
      </c>
      <c r="AC109" s="75">
        <v>60.37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53">SUM(G117:G124)</f>
        <v>0</v>
      </c>
      <c r="H125" s="44">
        <f t="shared" si="53"/>
        <v>0</v>
      </c>
      <c r="I125" s="44">
        <f t="shared" si="53"/>
        <v>0</v>
      </c>
      <c r="J125" s="44">
        <f t="shared" si="53"/>
        <v>0</v>
      </c>
      <c r="K125" s="44">
        <f t="shared" si="53"/>
        <v>0</v>
      </c>
      <c r="L125" s="44">
        <f t="shared" si="53"/>
        <v>0</v>
      </c>
      <c r="M125" s="44">
        <f t="shared" si="53"/>
        <v>0</v>
      </c>
      <c r="N125" s="44">
        <f t="shared" si="53"/>
        <v>0</v>
      </c>
      <c r="O125" s="44">
        <f t="shared" si="53"/>
        <v>0</v>
      </c>
      <c r="P125" s="44">
        <f t="shared" si="53"/>
        <v>0</v>
      </c>
      <c r="Q125" s="44">
        <f t="shared" si="53"/>
        <v>0</v>
      </c>
      <c r="R125" s="44">
        <f t="shared" si="53"/>
        <v>0</v>
      </c>
      <c r="S125" s="44">
        <f t="shared" si="53"/>
        <v>0</v>
      </c>
      <c r="T125" s="44">
        <f t="shared" si="53"/>
        <v>0</v>
      </c>
      <c r="U125" s="44">
        <f t="shared" si="53"/>
        <v>0</v>
      </c>
      <c r="V125" s="44">
        <f t="shared" si="53"/>
        <v>0</v>
      </c>
      <c r="W125" s="44">
        <f t="shared" si="53"/>
        <v>0</v>
      </c>
      <c r="X125" s="44">
        <f t="shared" si="53"/>
        <v>0</v>
      </c>
      <c r="Y125" s="44">
        <f t="shared" si="53"/>
        <v>0</v>
      </c>
      <c r="Z125" s="44">
        <f t="shared" si="53"/>
        <v>0</v>
      </c>
      <c r="AA125" s="44">
        <f t="shared" si="53"/>
        <v>0</v>
      </c>
      <c r="AB125" s="44">
        <f t="shared" si="53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27438" priority="1079" operator="greaterThan">
      <formula>60.3</formula>
    </cfRule>
  </conditionalFormatting>
  <conditionalFormatting sqref="G53:G55 H20:AC21 J56:L56 H13:K14 H57:L58 H66:AC66 K15 H27:AC28 J24:AC24 M56:O58 H15:J16 H53:I56 J53:O55 K16:Q16 L13:Q15 H61:H63 H40:I50 H67:J72 H74:J74 N51:O52 J35:O50 U66:U74 H77:AC78 K61:AC61 P35:AC58 R13:AC16 L62:AC63 K67:AC74">
    <cfRule type="cellIs" dxfId="27437" priority="1071" operator="equal">
      <formula>"PMS"</formula>
    </cfRule>
    <cfRule type="containsText" dxfId="27436" priority="1072" operator="containsText" text="CMS">
      <formula>NOT(ISERROR(SEARCH("CMS",G13)))</formula>
    </cfRule>
    <cfRule type="cellIs" dxfId="27435" priority="1073" operator="equal">
      <formula>0</formula>
    </cfRule>
    <cfRule type="cellIs" dxfId="27434" priority="1074" operator="greaterThan">
      <formula>0</formula>
    </cfRule>
    <cfRule type="cellIs" dxfId="27433" priority="1075" operator="equal">
      <formula>"PMS"</formula>
    </cfRule>
    <cfRule type="containsText" dxfId="27432" priority="1076" operator="containsText" text="CMS">
      <formula>NOT(ISERROR(SEARCH("CMS",G13)))</formula>
    </cfRule>
    <cfRule type="cellIs" dxfId="27431" priority="1077" operator="equal">
      <formula>0</formula>
    </cfRule>
    <cfRule type="cellIs" dxfId="27430" priority="1078" operator="greaterThan">
      <formula>0</formula>
    </cfRule>
  </conditionalFormatting>
  <conditionalFormatting sqref="O77:AC78 O61:AC63 O66:AC74">
    <cfRule type="cellIs" dxfId="27429" priority="1067" operator="equal">
      <formula>"PMS"</formula>
    </cfRule>
    <cfRule type="containsText" dxfId="27428" priority="1068" operator="containsText" text="CMS">
      <formula>NOT(ISERROR(SEARCH("CMS",O61)))</formula>
    </cfRule>
    <cfRule type="cellIs" dxfId="27427" priority="1069" operator="equal">
      <formula>0</formula>
    </cfRule>
    <cfRule type="cellIs" dxfId="27426" priority="1070" operator="greaterThan">
      <formula>0</formula>
    </cfRule>
  </conditionalFormatting>
  <conditionalFormatting sqref="P66:AC74">
    <cfRule type="cellIs" dxfId="27425" priority="1063" operator="equal">
      <formula>"PMS"</formula>
    </cfRule>
    <cfRule type="containsText" dxfId="27424" priority="1064" operator="containsText" text="CMS">
      <formula>NOT(ISERROR(SEARCH("CMS",P66)))</formula>
    </cfRule>
    <cfRule type="cellIs" dxfId="27423" priority="1065" operator="equal">
      <formula>0</formula>
    </cfRule>
    <cfRule type="cellIs" dxfId="27422" priority="1066" operator="greaterThan">
      <formula>0</formula>
    </cfRule>
  </conditionalFormatting>
  <conditionalFormatting sqref="O13:AC16">
    <cfRule type="cellIs" dxfId="27421" priority="1059" operator="equal">
      <formula>"PMS"</formula>
    </cfRule>
    <cfRule type="containsText" dxfId="27420" priority="1060" operator="containsText" text="CMS">
      <formula>NOT(ISERROR(SEARCH("CMS",O13)))</formula>
    </cfRule>
    <cfRule type="cellIs" dxfId="27419" priority="1061" operator="equal">
      <formula>0</formula>
    </cfRule>
    <cfRule type="cellIs" dxfId="27418" priority="1062" operator="greaterThan">
      <formula>0</formula>
    </cfRule>
  </conditionalFormatting>
  <conditionalFormatting sqref="P13:AC16">
    <cfRule type="cellIs" dxfId="27417" priority="1055" operator="equal">
      <formula>"PMS"</formula>
    </cfRule>
    <cfRule type="containsText" dxfId="27416" priority="1056" operator="containsText" text="CMS">
      <formula>NOT(ISERROR(SEARCH("CMS",P13)))</formula>
    </cfRule>
    <cfRule type="cellIs" dxfId="27415" priority="1057" operator="equal">
      <formula>0</formula>
    </cfRule>
    <cfRule type="cellIs" dxfId="27414" priority="1058" operator="greaterThan">
      <formula>0</formula>
    </cfRule>
  </conditionalFormatting>
  <conditionalFormatting sqref="O20:AC21">
    <cfRule type="cellIs" dxfId="27413" priority="1051" operator="equal">
      <formula>"PMS"</formula>
    </cfRule>
    <cfRule type="containsText" dxfId="27412" priority="1052" operator="containsText" text="CMS">
      <formula>NOT(ISERROR(SEARCH("CMS",O20)))</formula>
    </cfRule>
    <cfRule type="cellIs" dxfId="27411" priority="1053" operator="equal">
      <formula>0</formula>
    </cfRule>
    <cfRule type="cellIs" dxfId="27410" priority="1054" operator="greaterThan">
      <formula>0</formula>
    </cfRule>
  </conditionalFormatting>
  <conditionalFormatting sqref="P20:AC21">
    <cfRule type="cellIs" dxfId="27409" priority="1047" operator="equal">
      <formula>"PMS"</formula>
    </cfRule>
    <cfRule type="containsText" dxfId="27408" priority="1048" operator="containsText" text="CMS">
      <formula>NOT(ISERROR(SEARCH("CMS",P20)))</formula>
    </cfRule>
    <cfRule type="cellIs" dxfId="27407" priority="1049" operator="equal">
      <formula>0</formula>
    </cfRule>
    <cfRule type="cellIs" dxfId="27406" priority="1050" operator="greaterThan">
      <formula>0</formula>
    </cfRule>
  </conditionalFormatting>
  <conditionalFormatting sqref="O24:AC24">
    <cfRule type="cellIs" dxfId="27405" priority="1043" operator="equal">
      <formula>"PMS"</formula>
    </cfRule>
    <cfRule type="containsText" dxfId="27404" priority="1044" operator="containsText" text="CMS">
      <formula>NOT(ISERROR(SEARCH("CMS",O24)))</formula>
    </cfRule>
    <cfRule type="cellIs" dxfId="27403" priority="1045" operator="equal">
      <formula>0</formula>
    </cfRule>
    <cfRule type="cellIs" dxfId="27402" priority="1046" operator="greaterThan">
      <formula>0</formula>
    </cfRule>
  </conditionalFormatting>
  <conditionalFormatting sqref="P24:AC24">
    <cfRule type="cellIs" dxfId="27401" priority="1039" operator="equal">
      <formula>"PMS"</formula>
    </cfRule>
    <cfRule type="containsText" dxfId="27400" priority="1040" operator="containsText" text="CMS">
      <formula>NOT(ISERROR(SEARCH("CMS",P24)))</formula>
    </cfRule>
    <cfRule type="cellIs" dxfId="27399" priority="1041" operator="equal">
      <formula>0</formula>
    </cfRule>
    <cfRule type="cellIs" dxfId="27398" priority="1042" operator="greaterThan">
      <formula>0</formula>
    </cfRule>
  </conditionalFormatting>
  <conditionalFormatting sqref="O27:AC28">
    <cfRule type="cellIs" dxfId="27397" priority="1035" operator="equal">
      <formula>"PMS"</formula>
    </cfRule>
    <cfRule type="containsText" dxfId="27396" priority="1036" operator="containsText" text="CMS">
      <formula>NOT(ISERROR(SEARCH("CMS",O27)))</formula>
    </cfRule>
    <cfRule type="cellIs" dxfId="27395" priority="1037" operator="equal">
      <formula>0</formula>
    </cfRule>
    <cfRule type="cellIs" dxfId="27394" priority="1038" operator="greaterThan">
      <formula>0</formula>
    </cfRule>
  </conditionalFormatting>
  <conditionalFormatting sqref="P27:AC28">
    <cfRule type="cellIs" dxfId="27393" priority="1031" operator="equal">
      <formula>"PMS"</formula>
    </cfRule>
    <cfRule type="containsText" dxfId="27392" priority="1032" operator="containsText" text="CMS">
      <formula>NOT(ISERROR(SEARCH("CMS",P27)))</formula>
    </cfRule>
    <cfRule type="cellIs" dxfId="27391" priority="1033" operator="equal">
      <formula>0</formula>
    </cfRule>
    <cfRule type="cellIs" dxfId="27390" priority="1034" operator="greaterThan">
      <formula>0</formula>
    </cfRule>
  </conditionalFormatting>
  <conditionalFormatting sqref="O53:Q58 R50:AC58 O35:AC49">
    <cfRule type="cellIs" dxfId="27389" priority="1027" operator="equal">
      <formula>"PMS"</formula>
    </cfRule>
    <cfRule type="containsText" dxfId="27388" priority="1028" operator="containsText" text="CMS">
      <formula>NOT(ISERROR(SEARCH("CMS",O35)))</formula>
    </cfRule>
    <cfRule type="cellIs" dxfId="27387" priority="1029" operator="equal">
      <formula>0</formula>
    </cfRule>
    <cfRule type="cellIs" dxfId="27386" priority="1030" operator="greaterThan">
      <formula>0</formula>
    </cfRule>
  </conditionalFormatting>
  <conditionalFormatting sqref="O38:O49 O53:Q58 R50:AC58 P35:AC49">
    <cfRule type="cellIs" dxfId="27385" priority="1023" operator="equal">
      <formula>"PMS"</formula>
    </cfRule>
    <cfRule type="containsText" dxfId="27384" priority="1024" operator="containsText" text="CMS">
      <formula>NOT(ISERROR(SEARCH("CMS",O35)))</formula>
    </cfRule>
    <cfRule type="cellIs" dxfId="27383" priority="1025" operator="equal">
      <formula>0</formula>
    </cfRule>
    <cfRule type="cellIs" dxfId="27382" priority="1026" operator="greaterThan">
      <formula>0</formula>
    </cfRule>
  </conditionalFormatting>
  <conditionalFormatting sqref="V14:X16 V13:AC13 Z14:AB16">
    <cfRule type="cellIs" dxfId="27381" priority="1019" operator="equal">
      <formula>"PMS"</formula>
    </cfRule>
    <cfRule type="containsText" dxfId="27380" priority="1020" operator="containsText" text="CMS">
      <formula>NOT(ISERROR(SEARCH("CMS",V13)))</formula>
    </cfRule>
    <cfRule type="cellIs" dxfId="27379" priority="1021" operator="equal">
      <formula>0</formula>
    </cfRule>
    <cfRule type="cellIs" dxfId="27378" priority="1022" operator="greaterThan">
      <formula>0</formula>
    </cfRule>
  </conditionalFormatting>
  <conditionalFormatting sqref="V14:X16 V13:AC13 Z14:AB16">
    <cfRule type="cellIs" dxfId="27377" priority="1015" operator="equal">
      <formula>"PMS"</formula>
    </cfRule>
    <cfRule type="containsText" dxfId="27376" priority="1016" operator="containsText" text="CMS">
      <formula>NOT(ISERROR(SEARCH("CMS",V13)))</formula>
    </cfRule>
    <cfRule type="cellIs" dxfId="27375" priority="1017" operator="equal">
      <formula>0</formula>
    </cfRule>
    <cfRule type="cellIs" dxfId="27374" priority="1018" operator="greaterThan">
      <formula>0</formula>
    </cfRule>
  </conditionalFormatting>
  <conditionalFormatting sqref="X57:AC57">
    <cfRule type="cellIs" dxfId="27373" priority="1011" operator="equal">
      <formula>"PMS"</formula>
    </cfRule>
    <cfRule type="containsText" dxfId="27372" priority="1012" operator="containsText" text="CMS">
      <formula>NOT(ISERROR(SEARCH("CMS",X57)))</formula>
    </cfRule>
    <cfRule type="cellIs" dxfId="27371" priority="1013" operator="equal">
      <formula>0</formula>
    </cfRule>
    <cfRule type="cellIs" dxfId="27370" priority="1014" operator="greaterThan">
      <formula>0</formula>
    </cfRule>
  </conditionalFormatting>
  <conditionalFormatting sqref="X57:AC57">
    <cfRule type="cellIs" dxfId="27369" priority="1007" operator="equal">
      <formula>"PMS"</formula>
    </cfRule>
    <cfRule type="containsText" dxfId="27368" priority="1008" operator="containsText" text="CMS">
      <formula>NOT(ISERROR(SEARCH("CMS",X57)))</formula>
    </cfRule>
    <cfRule type="cellIs" dxfId="27367" priority="1009" operator="equal">
      <formula>0</formula>
    </cfRule>
    <cfRule type="cellIs" dxfId="27366" priority="1010" operator="greaterThan">
      <formula>0</formula>
    </cfRule>
  </conditionalFormatting>
  <conditionalFormatting sqref="X57:AC57">
    <cfRule type="cellIs" dxfId="27365" priority="1003" operator="equal">
      <formula>"PMS"</formula>
    </cfRule>
    <cfRule type="containsText" dxfId="27364" priority="1004" operator="containsText" text="CMS">
      <formula>NOT(ISERROR(SEARCH("CMS",X57)))</formula>
    </cfRule>
    <cfRule type="cellIs" dxfId="27363" priority="1005" operator="equal">
      <formula>0</formula>
    </cfRule>
    <cfRule type="cellIs" dxfId="27362" priority="1006" operator="greaterThan">
      <formula>0</formula>
    </cfRule>
  </conditionalFormatting>
  <conditionalFormatting sqref="X57:AC57">
    <cfRule type="cellIs" dxfId="27361" priority="999" operator="equal">
      <formula>"PMS"</formula>
    </cfRule>
    <cfRule type="containsText" dxfId="27360" priority="1000" operator="containsText" text="CMS">
      <formula>NOT(ISERROR(SEARCH("CMS",X57)))</formula>
    </cfRule>
    <cfRule type="cellIs" dxfId="27359" priority="1001" operator="equal">
      <formula>0</formula>
    </cfRule>
    <cfRule type="cellIs" dxfId="27358" priority="1002" operator="greaterThan">
      <formula>0</formula>
    </cfRule>
  </conditionalFormatting>
  <conditionalFormatting sqref="AB58:AC58">
    <cfRule type="cellIs" dxfId="27357" priority="995" operator="equal">
      <formula>"PMS"</formula>
    </cfRule>
    <cfRule type="containsText" dxfId="27356" priority="996" operator="containsText" text="CMS">
      <formula>NOT(ISERROR(SEARCH("CMS",AB58)))</formula>
    </cfRule>
    <cfRule type="cellIs" dxfId="27355" priority="997" operator="equal">
      <formula>0</formula>
    </cfRule>
    <cfRule type="cellIs" dxfId="27354" priority="998" operator="greaterThan">
      <formula>0</formula>
    </cfRule>
  </conditionalFormatting>
  <conditionalFormatting sqref="AB58:AC58">
    <cfRule type="cellIs" dxfId="27353" priority="991" operator="equal">
      <formula>"PMS"</formula>
    </cfRule>
    <cfRule type="containsText" dxfId="27352" priority="992" operator="containsText" text="CMS">
      <formula>NOT(ISERROR(SEARCH("CMS",AB58)))</formula>
    </cfRule>
    <cfRule type="cellIs" dxfId="27351" priority="993" operator="equal">
      <formula>0</formula>
    </cfRule>
    <cfRule type="cellIs" dxfId="27350" priority="994" operator="greaterThan">
      <formula>0</formula>
    </cfRule>
  </conditionalFormatting>
  <conditionalFormatting sqref="AB58:AC58">
    <cfRule type="cellIs" dxfId="27349" priority="987" operator="equal">
      <formula>"PMS"</formula>
    </cfRule>
    <cfRule type="containsText" dxfId="27348" priority="988" operator="containsText" text="CMS">
      <formula>NOT(ISERROR(SEARCH("CMS",AB58)))</formula>
    </cfRule>
    <cfRule type="cellIs" dxfId="27347" priority="989" operator="equal">
      <formula>0</formula>
    </cfRule>
    <cfRule type="cellIs" dxfId="27346" priority="990" operator="greaterThan">
      <formula>0</formula>
    </cfRule>
  </conditionalFormatting>
  <conditionalFormatting sqref="AB58:AC58">
    <cfRule type="cellIs" dxfId="27345" priority="983" operator="equal">
      <formula>"PMS"</formula>
    </cfRule>
    <cfRule type="containsText" dxfId="27344" priority="984" operator="containsText" text="CMS">
      <formula>NOT(ISERROR(SEARCH("CMS",AB58)))</formula>
    </cfRule>
    <cfRule type="cellIs" dxfId="27343" priority="985" operator="equal">
      <formula>0</formula>
    </cfRule>
    <cfRule type="cellIs" dxfId="27342" priority="986" operator="greaterThan">
      <formula>0</formula>
    </cfRule>
  </conditionalFormatting>
  <conditionalFormatting sqref="AB78">
    <cfRule type="cellIs" dxfId="27341" priority="979" operator="equal">
      <formula>"PMS"</formula>
    </cfRule>
    <cfRule type="containsText" dxfId="27340" priority="980" operator="containsText" text="CMS">
      <formula>NOT(ISERROR(SEARCH("CMS",AB78)))</formula>
    </cfRule>
    <cfRule type="cellIs" dxfId="27339" priority="981" operator="equal">
      <formula>0</formula>
    </cfRule>
    <cfRule type="cellIs" dxfId="27338" priority="982" operator="greaterThan">
      <formula>0</formula>
    </cfRule>
  </conditionalFormatting>
  <conditionalFormatting sqref="AB78">
    <cfRule type="cellIs" dxfId="27337" priority="975" operator="equal">
      <formula>"PMS"</formula>
    </cfRule>
    <cfRule type="containsText" dxfId="27336" priority="976" operator="containsText" text="CMS">
      <formula>NOT(ISERROR(SEARCH("CMS",AB78)))</formula>
    </cfRule>
    <cfRule type="cellIs" dxfId="27335" priority="977" operator="equal">
      <formula>0</formula>
    </cfRule>
    <cfRule type="cellIs" dxfId="27334" priority="978" operator="greaterThan">
      <formula>0</formula>
    </cfRule>
  </conditionalFormatting>
  <conditionalFormatting sqref="O44:O49">
    <cfRule type="cellIs" dxfId="27333" priority="971" operator="equal">
      <formula>"PMS"</formula>
    </cfRule>
    <cfRule type="containsText" dxfId="27332" priority="972" operator="containsText" text="CMS">
      <formula>NOT(ISERROR(SEARCH("CMS",O44)))</formula>
    </cfRule>
    <cfRule type="cellIs" dxfId="27331" priority="973" operator="equal">
      <formula>0</formula>
    </cfRule>
    <cfRule type="cellIs" dxfId="27330" priority="974" operator="greaterThan">
      <formula>0</formula>
    </cfRule>
  </conditionalFormatting>
  <conditionalFormatting sqref="O55:O56 P56">
    <cfRule type="cellIs" dxfId="27329" priority="967" operator="equal">
      <formula>"PMS"</formula>
    </cfRule>
    <cfRule type="containsText" dxfId="27328" priority="968" operator="containsText" text="CMS">
      <formula>NOT(ISERROR(SEARCH("CMS",O55)))</formula>
    </cfRule>
    <cfRule type="cellIs" dxfId="27327" priority="969" operator="equal">
      <formula>0</formula>
    </cfRule>
    <cfRule type="cellIs" dxfId="27326" priority="970" operator="greaterThan">
      <formula>0</formula>
    </cfRule>
  </conditionalFormatting>
  <conditionalFormatting sqref="O49">
    <cfRule type="cellIs" dxfId="27325" priority="963" operator="equal">
      <formula>"PMS"</formula>
    </cfRule>
    <cfRule type="containsText" dxfId="27324" priority="964" operator="containsText" text="CMS">
      <formula>NOT(ISERROR(SEARCH("CMS",O49)))</formula>
    </cfRule>
    <cfRule type="cellIs" dxfId="27323" priority="965" operator="equal">
      <formula>0</formula>
    </cfRule>
    <cfRule type="cellIs" dxfId="27322" priority="966" operator="greaterThan">
      <formula>0</formula>
    </cfRule>
  </conditionalFormatting>
  <conditionalFormatting sqref="O55:O57 P56">
    <cfRule type="cellIs" dxfId="27321" priority="959" operator="equal">
      <formula>"PMS"</formula>
    </cfRule>
    <cfRule type="containsText" dxfId="27320" priority="960" operator="containsText" text="CMS">
      <formula>NOT(ISERROR(SEARCH("CMS",O55)))</formula>
    </cfRule>
    <cfRule type="cellIs" dxfId="27319" priority="961" operator="equal">
      <formula>0</formula>
    </cfRule>
    <cfRule type="cellIs" dxfId="27318" priority="962" operator="greaterThan">
      <formula>0</formula>
    </cfRule>
  </conditionalFormatting>
  <conditionalFormatting sqref="Q24:V24">
    <cfRule type="cellIs" dxfId="27317" priority="955" operator="equal">
      <formula>"PMS"</formula>
    </cfRule>
    <cfRule type="containsText" dxfId="27316" priority="956" operator="containsText" text="CMS">
      <formula>NOT(ISERROR(SEARCH("CMS",Q24)))</formula>
    </cfRule>
    <cfRule type="cellIs" dxfId="27315" priority="957" operator="equal">
      <formula>0</formula>
    </cfRule>
    <cfRule type="cellIs" dxfId="27314" priority="958" operator="greaterThan">
      <formula>0</formula>
    </cfRule>
  </conditionalFormatting>
  <conditionalFormatting sqref="Q24:V24">
    <cfRule type="cellIs" dxfId="27313" priority="951" operator="equal">
      <formula>"PMS"</formula>
    </cfRule>
    <cfRule type="containsText" dxfId="27312" priority="952" operator="containsText" text="CMS">
      <formula>NOT(ISERROR(SEARCH("CMS",Q24)))</formula>
    </cfRule>
    <cfRule type="cellIs" dxfId="27311" priority="953" operator="equal">
      <formula>0</formula>
    </cfRule>
    <cfRule type="cellIs" dxfId="27310" priority="954" operator="greaterThan">
      <formula>0</formula>
    </cfRule>
  </conditionalFormatting>
  <conditionalFormatting sqref="Q27:V28">
    <cfRule type="cellIs" dxfId="27309" priority="947" operator="equal">
      <formula>"PMS"</formula>
    </cfRule>
    <cfRule type="containsText" dxfId="27308" priority="948" operator="containsText" text="CMS">
      <formula>NOT(ISERROR(SEARCH("CMS",Q27)))</formula>
    </cfRule>
    <cfRule type="cellIs" dxfId="27307" priority="949" operator="equal">
      <formula>0</formula>
    </cfRule>
    <cfRule type="cellIs" dxfId="27306" priority="950" operator="greaterThan">
      <formula>0</formula>
    </cfRule>
  </conditionalFormatting>
  <conditionalFormatting sqref="Q27:V28">
    <cfRule type="cellIs" dxfId="27305" priority="943" operator="equal">
      <formula>"PMS"</formula>
    </cfRule>
    <cfRule type="containsText" dxfId="27304" priority="944" operator="containsText" text="CMS">
      <formula>NOT(ISERROR(SEARCH("CMS",Q27)))</formula>
    </cfRule>
    <cfRule type="cellIs" dxfId="27303" priority="945" operator="equal">
      <formula>0</formula>
    </cfRule>
    <cfRule type="cellIs" dxfId="27302" priority="946" operator="greaterThan">
      <formula>0</formula>
    </cfRule>
  </conditionalFormatting>
  <conditionalFormatting sqref="R27:V28">
    <cfRule type="cellIs" dxfId="27301" priority="939" operator="equal">
      <formula>"PMS"</formula>
    </cfRule>
    <cfRule type="containsText" dxfId="27300" priority="940" operator="containsText" text="CMS">
      <formula>NOT(ISERROR(SEARCH("CMS",R27)))</formula>
    </cfRule>
    <cfRule type="cellIs" dxfId="27299" priority="941" operator="equal">
      <formula>0</formula>
    </cfRule>
    <cfRule type="cellIs" dxfId="27298" priority="942" operator="greaterThan">
      <formula>0</formula>
    </cfRule>
  </conditionalFormatting>
  <conditionalFormatting sqref="R27:V28">
    <cfRule type="cellIs" dxfId="27297" priority="935" operator="equal">
      <formula>"PMS"</formula>
    </cfRule>
    <cfRule type="containsText" dxfId="27296" priority="936" operator="containsText" text="CMS">
      <formula>NOT(ISERROR(SEARCH("CMS",R27)))</formula>
    </cfRule>
    <cfRule type="cellIs" dxfId="27295" priority="937" operator="equal">
      <formula>0</formula>
    </cfRule>
    <cfRule type="cellIs" dxfId="27294" priority="938" operator="greaterThan">
      <formula>0</formula>
    </cfRule>
  </conditionalFormatting>
  <conditionalFormatting sqref="O55:O56 P56">
    <cfRule type="cellIs" dxfId="27293" priority="931" operator="equal">
      <formula>"PMS"</formula>
    </cfRule>
    <cfRule type="containsText" dxfId="27292" priority="932" operator="containsText" text="CMS">
      <formula>NOT(ISERROR(SEARCH("CMS",O55)))</formula>
    </cfRule>
    <cfRule type="cellIs" dxfId="27291" priority="933" operator="equal">
      <formula>0</formula>
    </cfRule>
    <cfRule type="cellIs" dxfId="27290" priority="934" operator="greaterThan">
      <formula>0</formula>
    </cfRule>
  </conditionalFormatting>
  <conditionalFormatting sqref="O44:O45">
    <cfRule type="cellIs" dxfId="27289" priority="927" operator="equal">
      <formula>"PMS"</formula>
    </cfRule>
    <cfRule type="containsText" dxfId="27288" priority="928" operator="containsText" text="CMS">
      <formula>NOT(ISERROR(SEARCH("CMS",O44)))</formula>
    </cfRule>
    <cfRule type="cellIs" dxfId="27287" priority="929" operator="equal">
      <formula>0</formula>
    </cfRule>
    <cfRule type="cellIs" dxfId="27286" priority="930" operator="greaterThan">
      <formula>0</formula>
    </cfRule>
  </conditionalFormatting>
  <conditionalFormatting sqref="O44:O45">
    <cfRule type="cellIs" dxfId="27285" priority="923" operator="equal">
      <formula>"PMS"</formula>
    </cfRule>
    <cfRule type="containsText" dxfId="27284" priority="924" operator="containsText" text="CMS">
      <formula>NOT(ISERROR(SEARCH("CMS",O44)))</formula>
    </cfRule>
    <cfRule type="cellIs" dxfId="27283" priority="925" operator="equal">
      <formula>0</formula>
    </cfRule>
    <cfRule type="cellIs" dxfId="27282" priority="926" operator="greaterThan">
      <formula>0</formula>
    </cfRule>
  </conditionalFormatting>
  <conditionalFormatting sqref="O44:O45">
    <cfRule type="cellIs" dxfId="27281" priority="919" operator="equal">
      <formula>"PMS"</formula>
    </cfRule>
    <cfRule type="containsText" dxfId="27280" priority="920" operator="containsText" text="CMS">
      <formula>NOT(ISERROR(SEARCH("CMS",O44)))</formula>
    </cfRule>
    <cfRule type="cellIs" dxfId="27279" priority="921" operator="equal">
      <formula>0</formula>
    </cfRule>
    <cfRule type="cellIs" dxfId="27278" priority="922" operator="greaterThan">
      <formula>0</formula>
    </cfRule>
  </conditionalFormatting>
  <conditionalFormatting sqref="O46">
    <cfRule type="cellIs" dxfId="27277" priority="915" operator="equal">
      <formula>"PMS"</formula>
    </cfRule>
    <cfRule type="containsText" dxfId="27276" priority="916" operator="containsText" text="CMS">
      <formula>NOT(ISERROR(SEARCH("CMS",O46)))</formula>
    </cfRule>
    <cfRule type="cellIs" dxfId="27275" priority="917" operator="equal">
      <formula>0</formula>
    </cfRule>
    <cfRule type="cellIs" dxfId="27274" priority="918" operator="greaterThan">
      <formula>0</formula>
    </cfRule>
  </conditionalFormatting>
  <conditionalFormatting sqref="O46">
    <cfRule type="cellIs" dxfId="27273" priority="911" operator="equal">
      <formula>"PMS"</formula>
    </cfRule>
    <cfRule type="containsText" dxfId="27272" priority="912" operator="containsText" text="CMS">
      <formula>NOT(ISERROR(SEARCH("CMS",O46)))</formula>
    </cfRule>
    <cfRule type="cellIs" dxfId="27271" priority="913" operator="equal">
      <formula>0</formula>
    </cfRule>
    <cfRule type="cellIs" dxfId="27270" priority="914" operator="greaterThan">
      <formula>0</formula>
    </cfRule>
  </conditionalFormatting>
  <conditionalFormatting sqref="O46">
    <cfRule type="cellIs" dxfId="27269" priority="907" operator="equal">
      <formula>"PMS"</formula>
    </cfRule>
    <cfRule type="containsText" dxfId="27268" priority="908" operator="containsText" text="CMS">
      <formula>NOT(ISERROR(SEARCH("CMS",O46)))</formula>
    </cfRule>
    <cfRule type="cellIs" dxfId="27267" priority="909" operator="equal">
      <formula>0</formula>
    </cfRule>
    <cfRule type="cellIs" dxfId="27266" priority="910" operator="greaterThan">
      <formula>0</formula>
    </cfRule>
  </conditionalFormatting>
  <conditionalFormatting sqref="J19:AC19">
    <cfRule type="cellIs" dxfId="27265" priority="903" operator="equal">
      <formula>"CMS"</formula>
    </cfRule>
    <cfRule type="cellIs" dxfId="27264" priority="904" operator="equal">
      <formula>"PMS"</formula>
    </cfRule>
    <cfRule type="cellIs" dxfId="27263" priority="905" operator="greaterThan">
      <formula>0</formula>
    </cfRule>
    <cfRule type="cellIs" dxfId="27262" priority="906" operator="equal">
      <formula>0</formula>
    </cfRule>
  </conditionalFormatting>
  <conditionalFormatting sqref="G61:G63">
    <cfRule type="cellIs" dxfId="27261" priority="899" operator="equal">
      <formula>"CMS"</formula>
    </cfRule>
    <cfRule type="cellIs" dxfId="27260" priority="900" operator="equal">
      <formula>"PMS"</formula>
    </cfRule>
    <cfRule type="cellIs" dxfId="27259" priority="901" operator="greaterThan">
      <formula>0</formula>
    </cfRule>
    <cfRule type="cellIs" dxfId="27258" priority="902" operator="equal">
      <formula>0</formula>
    </cfRule>
  </conditionalFormatting>
  <conditionalFormatting sqref="G77:G78">
    <cfRule type="cellIs" dxfId="27257" priority="894" operator="equal">
      <formula>"EOC"</formula>
    </cfRule>
    <cfRule type="cellIs" dxfId="27256" priority="895" operator="equal">
      <formula>"CMS"</formula>
    </cfRule>
    <cfRule type="cellIs" dxfId="27255" priority="896" operator="equal">
      <formula>"PMS"</formula>
    </cfRule>
    <cfRule type="cellIs" dxfId="27254" priority="897" operator="greaterThan">
      <formula>0</formula>
    </cfRule>
    <cfRule type="cellIs" dxfId="27253" priority="898" operator="equal">
      <formula>0</formula>
    </cfRule>
  </conditionalFormatting>
  <conditionalFormatting sqref="F109">
    <cfRule type="cellIs" dxfId="27252" priority="893" operator="greaterThan">
      <formula>60.3</formula>
    </cfRule>
  </conditionalFormatting>
  <conditionalFormatting sqref="G36:G44 G50 G47">
    <cfRule type="cellIs" dxfId="27251" priority="885" operator="equal">
      <formula>"PMS"</formula>
    </cfRule>
    <cfRule type="containsText" dxfId="27250" priority="886" operator="containsText" text="CMS">
      <formula>NOT(ISERROR(SEARCH("CMS",G36)))</formula>
    </cfRule>
    <cfRule type="cellIs" dxfId="27249" priority="887" operator="equal">
      <formula>0</formula>
    </cfRule>
    <cfRule type="cellIs" dxfId="27248" priority="888" operator="greaterThan">
      <formula>0</formula>
    </cfRule>
    <cfRule type="cellIs" dxfId="27247" priority="889" operator="equal">
      <formula>"PMS"</formula>
    </cfRule>
    <cfRule type="containsText" dxfId="27246" priority="890" operator="containsText" text="CMS">
      <formula>NOT(ISERROR(SEARCH("CMS",G36)))</formula>
    </cfRule>
    <cfRule type="cellIs" dxfId="27245" priority="891" operator="equal">
      <formula>0</formula>
    </cfRule>
    <cfRule type="cellIs" dxfId="27244" priority="892" operator="greaterThan">
      <formula>0</formula>
    </cfRule>
  </conditionalFormatting>
  <conditionalFormatting sqref="G36:G44 G50 G47">
    <cfRule type="cellIs" dxfId="27243" priority="881" operator="equal">
      <formula>"PMS"</formula>
    </cfRule>
    <cfRule type="containsText" dxfId="27242" priority="882" operator="containsText" text="CMS">
      <formula>NOT(ISERROR(SEARCH("CMS",G36)))</formula>
    </cfRule>
    <cfRule type="cellIs" dxfId="27241" priority="883" operator="equal">
      <formula>0</formula>
    </cfRule>
    <cfRule type="cellIs" dxfId="27240" priority="884" operator="greaterThan">
      <formula>0</formula>
    </cfRule>
  </conditionalFormatting>
  <conditionalFormatting sqref="G36:G44 G50 G47">
    <cfRule type="cellIs" dxfId="27239" priority="877" operator="equal">
      <formula>"PMS"</formula>
    </cfRule>
    <cfRule type="containsText" dxfId="27238" priority="878" operator="containsText" text="CMS">
      <formula>NOT(ISERROR(SEARCH("CMS",G36)))</formula>
    </cfRule>
    <cfRule type="cellIs" dxfId="27237" priority="879" operator="equal">
      <formula>0</formula>
    </cfRule>
    <cfRule type="cellIs" dxfId="27236" priority="880" operator="greaterThan">
      <formula>0</formula>
    </cfRule>
  </conditionalFormatting>
  <conditionalFormatting sqref="H36:H39">
    <cfRule type="cellIs" dxfId="27235" priority="869" operator="equal">
      <formula>"PMS"</formula>
    </cfRule>
    <cfRule type="containsText" dxfId="27234" priority="870" operator="containsText" text="CMS">
      <formula>NOT(ISERROR(SEARCH("CMS",H36)))</formula>
    </cfRule>
    <cfRule type="cellIs" dxfId="27233" priority="871" operator="equal">
      <formula>0</formula>
    </cfRule>
    <cfRule type="cellIs" dxfId="27232" priority="872" operator="greaterThan">
      <formula>0</formula>
    </cfRule>
    <cfRule type="cellIs" dxfId="27231" priority="873" operator="equal">
      <formula>"PMS"</formula>
    </cfRule>
    <cfRule type="containsText" dxfId="27230" priority="874" operator="containsText" text="CMS">
      <formula>NOT(ISERROR(SEARCH("CMS",H36)))</formula>
    </cfRule>
    <cfRule type="cellIs" dxfId="27229" priority="875" operator="equal">
      <formula>0</formula>
    </cfRule>
    <cfRule type="cellIs" dxfId="27228" priority="876" operator="greaterThan">
      <formula>0</formula>
    </cfRule>
  </conditionalFormatting>
  <conditionalFormatting sqref="H36:H39">
    <cfRule type="cellIs" dxfId="27227" priority="865" operator="equal">
      <formula>"PMS"</formula>
    </cfRule>
    <cfRule type="containsText" dxfId="27226" priority="866" operator="containsText" text="CMS">
      <formula>NOT(ISERROR(SEARCH("CMS",H36)))</formula>
    </cfRule>
    <cfRule type="cellIs" dxfId="27225" priority="867" operator="equal">
      <formula>0</formula>
    </cfRule>
    <cfRule type="cellIs" dxfId="27224" priority="868" operator="greaterThan">
      <formula>0</formula>
    </cfRule>
  </conditionalFormatting>
  <conditionalFormatting sqref="H36:H39">
    <cfRule type="cellIs" dxfId="27223" priority="861" operator="equal">
      <formula>"PMS"</formula>
    </cfRule>
    <cfRule type="containsText" dxfId="27222" priority="862" operator="containsText" text="CMS">
      <formula>NOT(ISERROR(SEARCH("CMS",H36)))</formula>
    </cfRule>
    <cfRule type="cellIs" dxfId="27221" priority="863" operator="equal">
      <formula>0</formula>
    </cfRule>
    <cfRule type="cellIs" dxfId="27220" priority="864" operator="greaterThan">
      <formula>0</formula>
    </cfRule>
  </conditionalFormatting>
  <conditionalFormatting sqref="I36:I39">
    <cfRule type="cellIs" dxfId="27219" priority="853" operator="equal">
      <formula>"PMS"</formula>
    </cfRule>
    <cfRule type="containsText" dxfId="27218" priority="854" operator="containsText" text="CMS">
      <formula>NOT(ISERROR(SEARCH("CMS",I36)))</formula>
    </cfRule>
    <cfRule type="cellIs" dxfId="27217" priority="855" operator="equal">
      <formula>0</formula>
    </cfRule>
    <cfRule type="cellIs" dxfId="27216" priority="856" operator="greaterThan">
      <formula>0</formula>
    </cfRule>
    <cfRule type="cellIs" dxfId="27215" priority="857" operator="equal">
      <formula>"PMS"</formula>
    </cfRule>
    <cfRule type="containsText" dxfId="27214" priority="858" operator="containsText" text="CMS">
      <formula>NOT(ISERROR(SEARCH("CMS",I36)))</formula>
    </cfRule>
    <cfRule type="cellIs" dxfId="27213" priority="859" operator="equal">
      <formula>0</formula>
    </cfRule>
    <cfRule type="cellIs" dxfId="27212" priority="860" operator="greaterThan">
      <formula>0</formula>
    </cfRule>
  </conditionalFormatting>
  <conditionalFormatting sqref="I36:I39">
    <cfRule type="cellIs" dxfId="27211" priority="849" operator="equal">
      <formula>"PMS"</formula>
    </cfRule>
    <cfRule type="containsText" dxfId="27210" priority="850" operator="containsText" text="CMS">
      <formula>NOT(ISERROR(SEARCH("CMS",I36)))</formula>
    </cfRule>
    <cfRule type="cellIs" dxfId="27209" priority="851" operator="equal">
      <formula>0</formula>
    </cfRule>
    <cfRule type="cellIs" dxfId="27208" priority="852" operator="greaterThan">
      <formula>0</formula>
    </cfRule>
  </conditionalFormatting>
  <conditionalFormatting sqref="I36:I39">
    <cfRule type="cellIs" dxfId="27207" priority="845" operator="equal">
      <formula>"PMS"</formula>
    </cfRule>
    <cfRule type="containsText" dxfId="27206" priority="846" operator="containsText" text="CMS">
      <formula>NOT(ISERROR(SEARCH("CMS",I36)))</formula>
    </cfRule>
    <cfRule type="cellIs" dxfId="27205" priority="847" operator="equal">
      <formula>0</formula>
    </cfRule>
    <cfRule type="cellIs" dxfId="27204" priority="848" operator="greaterThan">
      <formula>0</formula>
    </cfRule>
  </conditionalFormatting>
  <conditionalFormatting sqref="O49">
    <cfRule type="cellIs" dxfId="27203" priority="841" operator="equal">
      <formula>"PMS"</formula>
    </cfRule>
    <cfRule type="containsText" dxfId="27202" priority="842" operator="containsText" text="CMS">
      <formula>NOT(ISERROR(SEARCH("CMS",O49)))</formula>
    </cfRule>
    <cfRule type="cellIs" dxfId="27201" priority="843" operator="equal">
      <formula>0</formula>
    </cfRule>
    <cfRule type="cellIs" dxfId="27200" priority="844" operator="greaterThan">
      <formula>0</formula>
    </cfRule>
  </conditionalFormatting>
  <conditionalFormatting sqref="O55:O56 P56">
    <cfRule type="cellIs" dxfId="27199" priority="837" operator="equal">
      <formula>"PMS"</formula>
    </cfRule>
    <cfRule type="containsText" dxfId="27198" priority="838" operator="containsText" text="CMS">
      <formula>NOT(ISERROR(SEARCH("CMS",O55)))</formula>
    </cfRule>
    <cfRule type="cellIs" dxfId="27197" priority="839" operator="equal">
      <formula>0</formula>
    </cfRule>
    <cfRule type="cellIs" dxfId="27196" priority="840" operator="greaterThan">
      <formula>0</formula>
    </cfRule>
  </conditionalFormatting>
  <conditionalFormatting sqref="O57:P57">
    <cfRule type="cellIs" dxfId="27195" priority="833" operator="equal">
      <formula>"PMS"</formula>
    </cfRule>
    <cfRule type="containsText" dxfId="27194" priority="834" operator="containsText" text="CMS">
      <formula>NOT(ISERROR(SEARCH("CMS",O57)))</formula>
    </cfRule>
    <cfRule type="cellIs" dxfId="27193" priority="835" operator="equal">
      <formula>0</formula>
    </cfRule>
    <cfRule type="cellIs" dxfId="27192" priority="836" operator="greaterThan">
      <formula>0</formula>
    </cfRule>
  </conditionalFormatting>
  <conditionalFormatting sqref="O49">
    <cfRule type="cellIs" dxfId="27191" priority="829" operator="equal">
      <formula>"PMS"</formula>
    </cfRule>
    <cfRule type="containsText" dxfId="27190" priority="830" operator="containsText" text="CMS">
      <formula>NOT(ISERROR(SEARCH("CMS",O49)))</formula>
    </cfRule>
    <cfRule type="cellIs" dxfId="27189" priority="831" operator="equal">
      <formula>0</formula>
    </cfRule>
    <cfRule type="cellIs" dxfId="27188" priority="832" operator="greaterThan">
      <formula>0</formula>
    </cfRule>
  </conditionalFormatting>
  <conditionalFormatting sqref="O55:O57 P56">
    <cfRule type="cellIs" dxfId="27187" priority="825" operator="equal">
      <formula>"PMS"</formula>
    </cfRule>
    <cfRule type="containsText" dxfId="27186" priority="826" operator="containsText" text="CMS">
      <formula>NOT(ISERROR(SEARCH("CMS",O55)))</formula>
    </cfRule>
    <cfRule type="cellIs" dxfId="27185" priority="827" operator="equal">
      <formula>0</formula>
    </cfRule>
    <cfRule type="cellIs" dxfId="27184" priority="828" operator="greaterThan">
      <formula>0</formula>
    </cfRule>
  </conditionalFormatting>
  <conditionalFormatting sqref="O49">
    <cfRule type="cellIs" dxfId="27183" priority="821" operator="equal">
      <formula>"PMS"</formula>
    </cfRule>
    <cfRule type="containsText" dxfId="27182" priority="822" operator="containsText" text="CMS">
      <formula>NOT(ISERROR(SEARCH("CMS",O49)))</formula>
    </cfRule>
    <cfRule type="cellIs" dxfId="27181" priority="823" operator="equal">
      <formula>0</formula>
    </cfRule>
    <cfRule type="cellIs" dxfId="27180" priority="824" operator="greaterThan">
      <formula>0</formula>
    </cfRule>
  </conditionalFormatting>
  <conditionalFormatting sqref="O55:O57 P56">
    <cfRule type="cellIs" dxfId="27179" priority="817" operator="equal">
      <formula>"PMS"</formula>
    </cfRule>
    <cfRule type="containsText" dxfId="27178" priority="818" operator="containsText" text="CMS">
      <formula>NOT(ISERROR(SEARCH("CMS",O55)))</formula>
    </cfRule>
    <cfRule type="cellIs" dxfId="27177" priority="819" operator="equal">
      <formula>0</formula>
    </cfRule>
    <cfRule type="cellIs" dxfId="27176" priority="820" operator="greaterThan">
      <formula>0</formula>
    </cfRule>
  </conditionalFormatting>
  <conditionalFormatting sqref="V14:V16">
    <cfRule type="cellIs" dxfId="27175" priority="813" operator="equal">
      <formula>"PMS"</formula>
    </cfRule>
    <cfRule type="containsText" dxfId="27174" priority="814" operator="containsText" text="CMS">
      <formula>NOT(ISERROR(SEARCH("CMS",V14)))</formula>
    </cfRule>
    <cfRule type="cellIs" dxfId="27173" priority="815" operator="equal">
      <formula>0</formula>
    </cfRule>
    <cfRule type="cellIs" dxfId="27172" priority="816" operator="greaterThan">
      <formula>0</formula>
    </cfRule>
  </conditionalFormatting>
  <conditionalFormatting sqref="V14:V16">
    <cfRule type="cellIs" dxfId="27171" priority="809" operator="equal">
      <formula>"PMS"</formula>
    </cfRule>
    <cfRule type="containsText" dxfId="27170" priority="810" operator="containsText" text="CMS">
      <formula>NOT(ISERROR(SEARCH("CMS",V14)))</formula>
    </cfRule>
    <cfRule type="cellIs" dxfId="27169" priority="811" operator="equal">
      <formula>0</formula>
    </cfRule>
    <cfRule type="cellIs" dxfId="27168" priority="812" operator="greaterThan">
      <formula>0</formula>
    </cfRule>
  </conditionalFormatting>
  <conditionalFormatting sqref="W14:W16">
    <cfRule type="cellIs" dxfId="27167" priority="805" operator="equal">
      <formula>"PMS"</formula>
    </cfRule>
    <cfRule type="containsText" dxfId="27166" priority="806" operator="containsText" text="CMS">
      <formula>NOT(ISERROR(SEARCH("CMS",W14)))</formula>
    </cfRule>
    <cfRule type="cellIs" dxfId="27165" priority="807" operator="equal">
      <formula>0</formula>
    </cfRule>
    <cfRule type="cellIs" dxfId="27164" priority="808" operator="greaterThan">
      <formula>0</formula>
    </cfRule>
  </conditionalFormatting>
  <conditionalFormatting sqref="W14:W16">
    <cfRule type="cellIs" dxfId="27163" priority="801" operator="equal">
      <formula>"PMS"</formula>
    </cfRule>
    <cfRule type="containsText" dxfId="27162" priority="802" operator="containsText" text="CMS">
      <formula>NOT(ISERROR(SEARCH("CMS",W14)))</formula>
    </cfRule>
    <cfRule type="cellIs" dxfId="27161" priority="803" operator="equal">
      <formula>0</formula>
    </cfRule>
    <cfRule type="cellIs" dxfId="27160" priority="804" operator="greaterThan">
      <formula>0</formula>
    </cfRule>
  </conditionalFormatting>
  <conditionalFormatting sqref="X16">
    <cfRule type="cellIs" dxfId="27159" priority="797" operator="equal">
      <formula>"PMS"</formula>
    </cfRule>
    <cfRule type="containsText" dxfId="27158" priority="798" operator="containsText" text="CMS">
      <formula>NOT(ISERROR(SEARCH("CMS",X16)))</formula>
    </cfRule>
    <cfRule type="cellIs" dxfId="27157" priority="799" operator="equal">
      <formula>0</formula>
    </cfRule>
    <cfRule type="cellIs" dxfId="27156" priority="800" operator="greaterThan">
      <formula>0</formula>
    </cfRule>
  </conditionalFormatting>
  <conditionalFormatting sqref="X16">
    <cfRule type="cellIs" dxfId="27155" priority="793" operator="equal">
      <formula>"PMS"</formula>
    </cfRule>
    <cfRule type="containsText" dxfId="27154" priority="794" operator="containsText" text="CMS">
      <formula>NOT(ISERROR(SEARCH("CMS",X16)))</formula>
    </cfRule>
    <cfRule type="cellIs" dxfId="27153" priority="795" operator="equal">
      <formula>0</formula>
    </cfRule>
    <cfRule type="cellIs" dxfId="27152" priority="796" operator="greaterThan">
      <formula>0</formula>
    </cfRule>
  </conditionalFormatting>
  <conditionalFormatting sqref="O49">
    <cfRule type="cellIs" dxfId="27151" priority="789" operator="equal">
      <formula>"PMS"</formula>
    </cfRule>
    <cfRule type="containsText" dxfId="27150" priority="790" operator="containsText" text="CMS">
      <formula>NOT(ISERROR(SEARCH("CMS",O49)))</formula>
    </cfRule>
    <cfRule type="cellIs" dxfId="27149" priority="791" operator="equal">
      <formula>0</formula>
    </cfRule>
    <cfRule type="cellIs" dxfId="27148" priority="792" operator="greaterThan">
      <formula>0</formula>
    </cfRule>
  </conditionalFormatting>
  <conditionalFormatting sqref="O56:P56">
    <cfRule type="cellIs" dxfId="27147" priority="785" operator="equal">
      <formula>"PMS"</formula>
    </cfRule>
    <cfRule type="containsText" dxfId="27146" priority="786" operator="containsText" text="CMS">
      <formula>NOT(ISERROR(SEARCH("CMS",O56)))</formula>
    </cfRule>
    <cfRule type="cellIs" dxfId="27145" priority="787" operator="equal">
      <formula>0</formula>
    </cfRule>
    <cfRule type="cellIs" dxfId="27144" priority="788" operator="greaterThan">
      <formula>0</formula>
    </cfRule>
  </conditionalFormatting>
  <conditionalFormatting sqref="Z14">
    <cfRule type="cellIs" dxfId="27143" priority="781" operator="equal">
      <formula>"PMS"</formula>
    </cfRule>
    <cfRule type="containsText" dxfId="27142" priority="782" operator="containsText" text="CMS">
      <formula>NOT(ISERROR(SEARCH("CMS",Z14)))</formula>
    </cfRule>
    <cfRule type="cellIs" dxfId="27141" priority="783" operator="equal">
      <formula>0</formula>
    </cfRule>
    <cfRule type="cellIs" dxfId="27140" priority="784" operator="greaterThan">
      <formula>0</formula>
    </cfRule>
  </conditionalFormatting>
  <conditionalFormatting sqref="Z14">
    <cfRule type="cellIs" dxfId="27139" priority="777" operator="equal">
      <formula>"PMS"</formula>
    </cfRule>
    <cfRule type="containsText" dxfId="27138" priority="778" operator="containsText" text="CMS">
      <formula>NOT(ISERROR(SEARCH("CMS",Z14)))</formula>
    </cfRule>
    <cfRule type="cellIs" dxfId="27137" priority="779" operator="equal">
      <formula>0</formula>
    </cfRule>
    <cfRule type="cellIs" dxfId="27136" priority="780" operator="greaterThan">
      <formula>0</formula>
    </cfRule>
  </conditionalFormatting>
  <conditionalFormatting sqref="Z15">
    <cfRule type="cellIs" dxfId="27135" priority="773" operator="equal">
      <formula>"PMS"</formula>
    </cfRule>
    <cfRule type="containsText" dxfId="27134" priority="774" operator="containsText" text="CMS">
      <formula>NOT(ISERROR(SEARCH("CMS",Z15)))</formula>
    </cfRule>
    <cfRule type="cellIs" dxfId="27133" priority="775" operator="equal">
      <formula>0</formula>
    </cfRule>
    <cfRule type="cellIs" dxfId="27132" priority="776" operator="greaterThan">
      <formula>0</formula>
    </cfRule>
  </conditionalFormatting>
  <conditionalFormatting sqref="Z15">
    <cfRule type="cellIs" dxfId="27131" priority="769" operator="equal">
      <formula>"PMS"</formula>
    </cfRule>
    <cfRule type="containsText" dxfId="27130" priority="770" operator="containsText" text="CMS">
      <formula>NOT(ISERROR(SEARCH("CMS",Z15)))</formula>
    </cfRule>
    <cfRule type="cellIs" dxfId="27129" priority="771" operator="equal">
      <formula>0</formula>
    </cfRule>
    <cfRule type="cellIs" dxfId="27128" priority="772" operator="greaterThan">
      <formula>0</formula>
    </cfRule>
  </conditionalFormatting>
  <conditionalFormatting sqref="Z16">
    <cfRule type="cellIs" dxfId="27127" priority="765" operator="equal">
      <formula>"PMS"</formula>
    </cfRule>
    <cfRule type="containsText" dxfId="27126" priority="766" operator="containsText" text="CMS">
      <formula>NOT(ISERROR(SEARCH("CMS",Z16)))</formula>
    </cfRule>
    <cfRule type="cellIs" dxfId="27125" priority="767" operator="equal">
      <formula>0</formula>
    </cfRule>
    <cfRule type="cellIs" dxfId="27124" priority="768" operator="greaterThan">
      <formula>0</formula>
    </cfRule>
  </conditionalFormatting>
  <conditionalFormatting sqref="Z16">
    <cfRule type="cellIs" dxfId="27123" priority="761" operator="equal">
      <formula>"PMS"</formula>
    </cfRule>
    <cfRule type="containsText" dxfId="27122" priority="762" operator="containsText" text="CMS">
      <formula>NOT(ISERROR(SEARCH("CMS",Z16)))</formula>
    </cfRule>
    <cfRule type="cellIs" dxfId="27121" priority="763" operator="equal">
      <formula>0</formula>
    </cfRule>
    <cfRule type="cellIs" dxfId="27120" priority="764" operator="greaterThan">
      <formula>0</formula>
    </cfRule>
  </conditionalFormatting>
  <conditionalFormatting sqref="AA13:AA16">
    <cfRule type="cellIs" dxfId="27119" priority="757" operator="equal">
      <formula>"PMS"</formula>
    </cfRule>
    <cfRule type="containsText" dxfId="27118" priority="758" operator="containsText" text="CMS">
      <formula>NOT(ISERROR(SEARCH("CMS",AA13)))</formula>
    </cfRule>
    <cfRule type="cellIs" dxfId="27117" priority="759" operator="equal">
      <formula>0</formula>
    </cfRule>
    <cfRule type="cellIs" dxfId="27116" priority="760" operator="greaterThan">
      <formula>0</formula>
    </cfRule>
  </conditionalFormatting>
  <conditionalFormatting sqref="AA13:AA16">
    <cfRule type="cellIs" dxfId="27115" priority="753" operator="equal">
      <formula>"PMS"</formula>
    </cfRule>
    <cfRule type="containsText" dxfId="27114" priority="754" operator="containsText" text="CMS">
      <formula>NOT(ISERROR(SEARCH("CMS",AA13)))</formula>
    </cfRule>
    <cfRule type="cellIs" dxfId="27113" priority="755" operator="equal">
      <formula>0</formula>
    </cfRule>
    <cfRule type="cellIs" dxfId="27112" priority="756" operator="greaterThan">
      <formula>0</formula>
    </cfRule>
  </conditionalFormatting>
  <conditionalFormatting sqref="AA15">
    <cfRule type="cellIs" dxfId="27111" priority="749" operator="equal">
      <formula>"PMS"</formula>
    </cfRule>
    <cfRule type="containsText" dxfId="27110" priority="750" operator="containsText" text="CMS">
      <formula>NOT(ISERROR(SEARCH("CMS",AA15)))</formula>
    </cfRule>
    <cfRule type="cellIs" dxfId="27109" priority="751" operator="equal">
      <formula>0</formula>
    </cfRule>
    <cfRule type="cellIs" dxfId="27108" priority="752" operator="greaterThan">
      <formula>0</formula>
    </cfRule>
  </conditionalFormatting>
  <conditionalFormatting sqref="AA15">
    <cfRule type="cellIs" dxfId="27107" priority="745" operator="equal">
      <formula>"PMS"</formula>
    </cfRule>
    <cfRule type="containsText" dxfId="27106" priority="746" operator="containsText" text="CMS">
      <formula>NOT(ISERROR(SEARCH("CMS",AA15)))</formula>
    </cfRule>
    <cfRule type="cellIs" dxfId="27105" priority="747" operator="equal">
      <formula>0</formula>
    </cfRule>
    <cfRule type="cellIs" dxfId="27104" priority="748" operator="greaterThan">
      <formula>0</formula>
    </cfRule>
  </conditionalFormatting>
  <conditionalFormatting sqref="AA16">
    <cfRule type="cellIs" dxfId="27103" priority="741" operator="equal">
      <formula>"PMS"</formula>
    </cfRule>
    <cfRule type="containsText" dxfId="27102" priority="742" operator="containsText" text="CMS">
      <formula>NOT(ISERROR(SEARCH("CMS",AA16)))</formula>
    </cfRule>
    <cfRule type="cellIs" dxfId="27101" priority="743" operator="equal">
      <formula>0</formula>
    </cfRule>
    <cfRule type="cellIs" dxfId="27100" priority="744" operator="greaterThan">
      <formula>0</formula>
    </cfRule>
  </conditionalFormatting>
  <conditionalFormatting sqref="AA16">
    <cfRule type="cellIs" dxfId="27099" priority="737" operator="equal">
      <formula>"PMS"</formula>
    </cfRule>
    <cfRule type="containsText" dxfId="27098" priority="738" operator="containsText" text="CMS">
      <formula>NOT(ISERROR(SEARCH("CMS",AA16)))</formula>
    </cfRule>
    <cfRule type="cellIs" dxfId="27097" priority="739" operator="equal">
      <formula>0</formula>
    </cfRule>
    <cfRule type="cellIs" dxfId="27096" priority="740" operator="greaterThan">
      <formula>0</formula>
    </cfRule>
  </conditionalFormatting>
  <conditionalFormatting sqref="AA27">
    <cfRule type="cellIs" dxfId="27095" priority="733" operator="equal">
      <formula>"PMS"</formula>
    </cfRule>
    <cfRule type="containsText" dxfId="27094" priority="734" operator="containsText" text="CMS">
      <formula>NOT(ISERROR(SEARCH("CMS",AA27)))</formula>
    </cfRule>
    <cfRule type="cellIs" dxfId="27093" priority="735" operator="equal">
      <formula>0</formula>
    </cfRule>
    <cfRule type="cellIs" dxfId="27092" priority="736" operator="greaterThan">
      <formula>0</formula>
    </cfRule>
  </conditionalFormatting>
  <conditionalFormatting sqref="AA27">
    <cfRule type="cellIs" dxfId="27091" priority="729" operator="equal">
      <formula>"PMS"</formula>
    </cfRule>
    <cfRule type="containsText" dxfId="27090" priority="730" operator="containsText" text="CMS">
      <formula>NOT(ISERROR(SEARCH("CMS",AA27)))</formula>
    </cfRule>
    <cfRule type="cellIs" dxfId="27089" priority="731" operator="equal">
      <formula>0</formula>
    </cfRule>
    <cfRule type="cellIs" dxfId="27088" priority="732" operator="greaterThan">
      <formula>0</formula>
    </cfRule>
  </conditionalFormatting>
  <conditionalFormatting sqref="AA28">
    <cfRule type="cellIs" dxfId="27087" priority="725" operator="equal">
      <formula>"PMS"</formula>
    </cfRule>
    <cfRule type="containsText" dxfId="27086" priority="726" operator="containsText" text="CMS">
      <formula>NOT(ISERROR(SEARCH("CMS",AA28)))</formula>
    </cfRule>
    <cfRule type="cellIs" dxfId="27085" priority="727" operator="equal">
      <formula>0</formula>
    </cfRule>
    <cfRule type="cellIs" dxfId="27084" priority="728" operator="greaterThan">
      <formula>0</formula>
    </cfRule>
  </conditionalFormatting>
  <conditionalFormatting sqref="AA28">
    <cfRule type="cellIs" dxfId="27083" priority="721" operator="equal">
      <formula>"PMS"</formula>
    </cfRule>
    <cfRule type="containsText" dxfId="27082" priority="722" operator="containsText" text="CMS">
      <formula>NOT(ISERROR(SEARCH("CMS",AA28)))</formula>
    </cfRule>
    <cfRule type="cellIs" dxfId="27081" priority="723" operator="equal">
      <formula>0</formula>
    </cfRule>
    <cfRule type="cellIs" dxfId="27080" priority="724" operator="greaterThan">
      <formula>0</formula>
    </cfRule>
  </conditionalFormatting>
  <conditionalFormatting sqref="AB14">
    <cfRule type="cellIs" dxfId="27079" priority="717" operator="equal">
      <formula>"PMS"</formula>
    </cfRule>
    <cfRule type="containsText" dxfId="27078" priority="718" operator="containsText" text="CMS">
      <formula>NOT(ISERROR(SEARCH("CMS",AB14)))</formula>
    </cfRule>
    <cfRule type="cellIs" dxfId="27077" priority="719" operator="equal">
      <formula>0</formula>
    </cfRule>
    <cfRule type="cellIs" dxfId="27076" priority="720" operator="greaterThan">
      <formula>0</formula>
    </cfRule>
  </conditionalFormatting>
  <conditionalFormatting sqref="AB14">
    <cfRule type="cellIs" dxfId="27075" priority="713" operator="equal">
      <formula>"PMS"</formula>
    </cfRule>
    <cfRule type="containsText" dxfId="27074" priority="714" operator="containsText" text="CMS">
      <formula>NOT(ISERROR(SEARCH("CMS",AB14)))</formula>
    </cfRule>
    <cfRule type="cellIs" dxfId="27073" priority="715" operator="equal">
      <formula>0</formula>
    </cfRule>
    <cfRule type="cellIs" dxfId="27072" priority="716" operator="greaterThan">
      <formula>0</formula>
    </cfRule>
  </conditionalFormatting>
  <conditionalFormatting sqref="AB15">
    <cfRule type="cellIs" dxfId="27071" priority="709" operator="equal">
      <formula>"PMS"</formula>
    </cfRule>
    <cfRule type="containsText" dxfId="27070" priority="710" operator="containsText" text="CMS">
      <formula>NOT(ISERROR(SEARCH("CMS",AB15)))</formula>
    </cfRule>
    <cfRule type="cellIs" dxfId="27069" priority="711" operator="equal">
      <formula>0</formula>
    </cfRule>
    <cfRule type="cellIs" dxfId="27068" priority="712" operator="greaterThan">
      <formula>0</formula>
    </cfRule>
  </conditionalFormatting>
  <conditionalFormatting sqref="AB15">
    <cfRule type="cellIs" dxfId="27067" priority="705" operator="equal">
      <formula>"PMS"</formula>
    </cfRule>
    <cfRule type="containsText" dxfId="27066" priority="706" operator="containsText" text="CMS">
      <formula>NOT(ISERROR(SEARCH("CMS",AB15)))</formula>
    </cfRule>
    <cfRule type="cellIs" dxfId="27065" priority="707" operator="equal">
      <formula>0</formula>
    </cfRule>
    <cfRule type="cellIs" dxfId="27064" priority="708" operator="greaterThan">
      <formula>0</formula>
    </cfRule>
  </conditionalFormatting>
  <conditionalFormatting sqref="AB16">
    <cfRule type="cellIs" dxfId="27063" priority="701" operator="equal">
      <formula>"PMS"</formula>
    </cfRule>
    <cfRule type="containsText" dxfId="27062" priority="702" operator="containsText" text="CMS">
      <formula>NOT(ISERROR(SEARCH("CMS",AB16)))</formula>
    </cfRule>
    <cfRule type="cellIs" dxfId="27061" priority="703" operator="equal">
      <formula>0</formula>
    </cfRule>
    <cfRule type="cellIs" dxfId="27060" priority="704" operator="greaterThan">
      <formula>0</formula>
    </cfRule>
  </conditionalFormatting>
  <conditionalFormatting sqref="AB16">
    <cfRule type="cellIs" dxfId="27059" priority="697" operator="equal">
      <formula>"PMS"</formula>
    </cfRule>
    <cfRule type="containsText" dxfId="27058" priority="698" operator="containsText" text="CMS">
      <formula>NOT(ISERROR(SEARCH("CMS",AB16)))</formula>
    </cfRule>
    <cfRule type="cellIs" dxfId="27057" priority="699" operator="equal">
      <formula>0</formula>
    </cfRule>
    <cfRule type="cellIs" dxfId="27056" priority="700" operator="greaterThan">
      <formula>0</formula>
    </cfRule>
  </conditionalFormatting>
  <conditionalFormatting sqref="J61:J63">
    <cfRule type="cellIs" dxfId="27055" priority="689" operator="equal">
      <formula>"PMS"</formula>
    </cfRule>
    <cfRule type="containsText" dxfId="27054" priority="690" operator="containsText" text="CMS">
      <formula>NOT(ISERROR(SEARCH("CMS",J61)))</formula>
    </cfRule>
    <cfRule type="cellIs" dxfId="27053" priority="691" operator="equal">
      <formula>0</formula>
    </cfRule>
    <cfRule type="cellIs" dxfId="27052" priority="692" operator="greaterThan">
      <formula>0</formula>
    </cfRule>
    <cfRule type="cellIs" dxfId="27051" priority="693" operator="equal">
      <formula>"PMS"</formula>
    </cfRule>
    <cfRule type="containsText" dxfId="27050" priority="694" operator="containsText" text="CMS">
      <formula>NOT(ISERROR(SEARCH("CMS",J61)))</formula>
    </cfRule>
    <cfRule type="cellIs" dxfId="27049" priority="695" operator="equal">
      <formula>0</formula>
    </cfRule>
    <cfRule type="cellIs" dxfId="27048" priority="696" operator="greaterThan">
      <formula>0</formula>
    </cfRule>
  </conditionalFormatting>
  <conditionalFormatting sqref="V14">
    <cfRule type="cellIs" dxfId="27047" priority="685" operator="equal">
      <formula>"PMS"</formula>
    </cfRule>
    <cfRule type="containsText" dxfId="27046" priority="686" operator="containsText" text="CMS">
      <formula>NOT(ISERROR(SEARCH("CMS",V14)))</formula>
    </cfRule>
    <cfRule type="cellIs" dxfId="27045" priority="687" operator="equal">
      <formula>0</formula>
    </cfRule>
    <cfRule type="cellIs" dxfId="27044" priority="688" operator="greaterThan">
      <formula>0</formula>
    </cfRule>
  </conditionalFormatting>
  <conditionalFormatting sqref="V14">
    <cfRule type="cellIs" dxfId="27043" priority="681" operator="equal">
      <formula>"PMS"</formula>
    </cfRule>
    <cfRule type="containsText" dxfId="27042" priority="682" operator="containsText" text="CMS">
      <formula>NOT(ISERROR(SEARCH("CMS",V14)))</formula>
    </cfRule>
    <cfRule type="cellIs" dxfId="27041" priority="683" operator="equal">
      <formula>0</formula>
    </cfRule>
    <cfRule type="cellIs" dxfId="27040" priority="684" operator="greaterThan">
      <formula>0</formula>
    </cfRule>
  </conditionalFormatting>
  <conditionalFormatting sqref="V15">
    <cfRule type="cellIs" dxfId="27039" priority="677" operator="equal">
      <formula>"PMS"</formula>
    </cfRule>
    <cfRule type="containsText" dxfId="27038" priority="678" operator="containsText" text="CMS">
      <formula>NOT(ISERROR(SEARCH("CMS",V15)))</formula>
    </cfRule>
    <cfRule type="cellIs" dxfId="27037" priority="679" operator="equal">
      <formula>0</formula>
    </cfRule>
    <cfRule type="cellIs" dxfId="27036" priority="680" operator="greaterThan">
      <formula>0</formula>
    </cfRule>
  </conditionalFormatting>
  <conditionalFormatting sqref="V15">
    <cfRule type="cellIs" dxfId="27035" priority="673" operator="equal">
      <formula>"PMS"</formula>
    </cfRule>
    <cfRule type="containsText" dxfId="27034" priority="674" operator="containsText" text="CMS">
      <formula>NOT(ISERROR(SEARCH("CMS",V15)))</formula>
    </cfRule>
    <cfRule type="cellIs" dxfId="27033" priority="675" operator="equal">
      <formula>0</formula>
    </cfRule>
    <cfRule type="cellIs" dxfId="27032" priority="676" operator="greaterThan">
      <formula>0</formula>
    </cfRule>
  </conditionalFormatting>
  <conditionalFormatting sqref="V16">
    <cfRule type="cellIs" dxfId="27031" priority="669" operator="equal">
      <formula>"PMS"</formula>
    </cfRule>
    <cfRule type="containsText" dxfId="27030" priority="670" operator="containsText" text="CMS">
      <formula>NOT(ISERROR(SEARCH("CMS",V16)))</formula>
    </cfRule>
    <cfRule type="cellIs" dxfId="27029" priority="671" operator="equal">
      <formula>0</formula>
    </cfRule>
    <cfRule type="cellIs" dxfId="27028" priority="672" operator="greaterThan">
      <formula>0</formula>
    </cfRule>
  </conditionalFormatting>
  <conditionalFormatting sqref="V16">
    <cfRule type="cellIs" dxfId="27027" priority="665" operator="equal">
      <formula>"PMS"</formula>
    </cfRule>
    <cfRule type="containsText" dxfId="27026" priority="666" operator="containsText" text="CMS">
      <formula>NOT(ISERROR(SEARCH("CMS",V16)))</formula>
    </cfRule>
    <cfRule type="cellIs" dxfId="27025" priority="667" operator="equal">
      <formula>0</formula>
    </cfRule>
    <cfRule type="cellIs" dxfId="27024" priority="668" operator="greaterThan">
      <formula>0</formula>
    </cfRule>
  </conditionalFormatting>
  <conditionalFormatting sqref="W14">
    <cfRule type="cellIs" dxfId="27023" priority="661" operator="equal">
      <formula>"PMS"</formula>
    </cfRule>
    <cfRule type="containsText" dxfId="27022" priority="662" operator="containsText" text="CMS">
      <formula>NOT(ISERROR(SEARCH("CMS",W14)))</formula>
    </cfRule>
    <cfRule type="cellIs" dxfId="27021" priority="663" operator="equal">
      <formula>0</formula>
    </cfRule>
    <cfRule type="cellIs" dxfId="27020" priority="664" operator="greaterThan">
      <formula>0</formula>
    </cfRule>
  </conditionalFormatting>
  <conditionalFormatting sqref="W14">
    <cfRule type="cellIs" dxfId="27019" priority="657" operator="equal">
      <formula>"PMS"</formula>
    </cfRule>
    <cfRule type="containsText" dxfId="27018" priority="658" operator="containsText" text="CMS">
      <formula>NOT(ISERROR(SEARCH("CMS",W14)))</formula>
    </cfRule>
    <cfRule type="cellIs" dxfId="27017" priority="659" operator="equal">
      <formula>0</formula>
    </cfRule>
    <cfRule type="cellIs" dxfId="27016" priority="660" operator="greaterThan">
      <formula>0</formula>
    </cfRule>
  </conditionalFormatting>
  <conditionalFormatting sqref="W15">
    <cfRule type="cellIs" dxfId="27015" priority="653" operator="equal">
      <formula>"PMS"</formula>
    </cfRule>
    <cfRule type="containsText" dxfId="27014" priority="654" operator="containsText" text="CMS">
      <formula>NOT(ISERROR(SEARCH("CMS",W15)))</formula>
    </cfRule>
    <cfRule type="cellIs" dxfId="27013" priority="655" operator="equal">
      <formula>0</formula>
    </cfRule>
    <cfRule type="cellIs" dxfId="27012" priority="656" operator="greaterThan">
      <formula>0</formula>
    </cfRule>
  </conditionalFormatting>
  <conditionalFormatting sqref="W15">
    <cfRule type="cellIs" dxfId="27011" priority="649" operator="equal">
      <formula>"PMS"</formula>
    </cfRule>
    <cfRule type="containsText" dxfId="27010" priority="650" operator="containsText" text="CMS">
      <formula>NOT(ISERROR(SEARCH("CMS",W15)))</formula>
    </cfRule>
    <cfRule type="cellIs" dxfId="27009" priority="651" operator="equal">
      <formula>0</formula>
    </cfRule>
    <cfRule type="cellIs" dxfId="27008" priority="652" operator="greaterThan">
      <formula>0</formula>
    </cfRule>
  </conditionalFormatting>
  <conditionalFormatting sqref="W16">
    <cfRule type="cellIs" dxfId="27007" priority="645" operator="equal">
      <formula>"PMS"</formula>
    </cfRule>
    <cfRule type="containsText" dxfId="27006" priority="646" operator="containsText" text="CMS">
      <formula>NOT(ISERROR(SEARCH("CMS",W16)))</formula>
    </cfRule>
    <cfRule type="cellIs" dxfId="27005" priority="647" operator="equal">
      <formula>0</formula>
    </cfRule>
    <cfRule type="cellIs" dxfId="27004" priority="648" operator="greaterThan">
      <formula>0</formula>
    </cfRule>
  </conditionalFormatting>
  <conditionalFormatting sqref="W16">
    <cfRule type="cellIs" dxfId="27003" priority="641" operator="equal">
      <formula>"PMS"</formula>
    </cfRule>
    <cfRule type="containsText" dxfId="27002" priority="642" operator="containsText" text="CMS">
      <formula>NOT(ISERROR(SEARCH("CMS",W16)))</formula>
    </cfRule>
    <cfRule type="cellIs" dxfId="27001" priority="643" operator="equal">
      <formula>0</formula>
    </cfRule>
    <cfRule type="cellIs" dxfId="27000" priority="644" operator="greaterThan">
      <formula>0</formula>
    </cfRule>
  </conditionalFormatting>
  <conditionalFormatting sqref="G56">
    <cfRule type="cellIs" dxfId="26999" priority="633" operator="equal">
      <formula>"PMS"</formula>
    </cfRule>
    <cfRule type="containsText" dxfId="26998" priority="634" operator="containsText" text="CMS">
      <formula>NOT(ISERROR(SEARCH("CMS",G56)))</formula>
    </cfRule>
    <cfRule type="cellIs" dxfId="26997" priority="635" operator="equal">
      <formula>0</formula>
    </cfRule>
    <cfRule type="cellIs" dxfId="26996" priority="636" operator="greaterThan">
      <formula>0</formula>
    </cfRule>
    <cfRule type="cellIs" dxfId="26995" priority="637" operator="equal">
      <formula>"PMS"</formula>
    </cfRule>
    <cfRule type="containsText" dxfId="26994" priority="638" operator="containsText" text="CMS">
      <formula>NOT(ISERROR(SEARCH("CMS",G56)))</formula>
    </cfRule>
    <cfRule type="cellIs" dxfId="26993" priority="639" operator="equal">
      <formula>0</formula>
    </cfRule>
    <cfRule type="cellIs" dxfId="26992" priority="640" operator="greaterThan">
      <formula>0</formula>
    </cfRule>
  </conditionalFormatting>
  <conditionalFormatting sqref="G56">
    <cfRule type="cellIs" dxfId="26991" priority="629" operator="equal">
      <formula>"PMS"</formula>
    </cfRule>
    <cfRule type="containsText" dxfId="26990" priority="630" operator="containsText" text="CMS">
      <formula>NOT(ISERROR(SEARCH("CMS",G56)))</formula>
    </cfRule>
    <cfRule type="cellIs" dxfId="26989" priority="631" operator="equal">
      <formula>0</formula>
    </cfRule>
    <cfRule type="cellIs" dxfId="26988" priority="632" operator="greaterThan">
      <formula>0</formula>
    </cfRule>
  </conditionalFormatting>
  <conditionalFormatting sqref="G56">
    <cfRule type="cellIs" dxfId="26987" priority="625" operator="equal">
      <formula>"PMS"</formula>
    </cfRule>
    <cfRule type="containsText" dxfId="26986" priority="626" operator="containsText" text="CMS">
      <formula>NOT(ISERROR(SEARCH("CMS",G56)))</formula>
    </cfRule>
    <cfRule type="cellIs" dxfId="26985" priority="627" operator="equal">
      <formula>0</formula>
    </cfRule>
    <cfRule type="cellIs" dxfId="26984" priority="628" operator="greaterThan">
      <formula>0</formula>
    </cfRule>
  </conditionalFormatting>
  <conditionalFormatting sqref="G13:G16">
    <cfRule type="cellIs" dxfId="26983" priority="617" operator="equal">
      <formula>"PMS"</formula>
    </cfRule>
    <cfRule type="containsText" dxfId="26982" priority="618" operator="containsText" text="CMS">
      <formula>NOT(ISERROR(SEARCH("CMS",G13)))</formula>
    </cfRule>
    <cfRule type="cellIs" dxfId="26981" priority="619" operator="equal">
      <formula>0</formula>
    </cfRule>
    <cfRule type="cellIs" dxfId="26980" priority="620" operator="greaterThan">
      <formula>0</formula>
    </cfRule>
    <cfRule type="cellIs" dxfId="26979" priority="621" operator="equal">
      <formula>"PMS"</formula>
    </cfRule>
    <cfRule type="containsText" dxfId="26978" priority="622" operator="containsText" text="CMS">
      <formula>NOT(ISERROR(SEARCH("CMS",G13)))</formula>
    </cfRule>
    <cfRule type="cellIs" dxfId="26977" priority="623" operator="equal">
      <formula>0</formula>
    </cfRule>
    <cfRule type="cellIs" dxfId="26976" priority="624" operator="greaterThan">
      <formula>0</formula>
    </cfRule>
  </conditionalFormatting>
  <conditionalFormatting sqref="G13:G16">
    <cfRule type="cellIs" dxfId="26975" priority="613" operator="equal">
      <formula>"PMS"</formula>
    </cfRule>
    <cfRule type="containsText" dxfId="26974" priority="614" operator="containsText" text="CMS">
      <formula>NOT(ISERROR(SEARCH("CMS",G13)))</formula>
    </cfRule>
    <cfRule type="cellIs" dxfId="26973" priority="615" operator="equal">
      <formula>0</formula>
    </cfRule>
    <cfRule type="cellIs" dxfId="26972" priority="616" operator="greaterThan">
      <formula>0</formula>
    </cfRule>
  </conditionalFormatting>
  <conditionalFormatting sqref="G13:G16">
    <cfRule type="cellIs" dxfId="26971" priority="609" operator="equal">
      <formula>"PMS"</formula>
    </cfRule>
    <cfRule type="containsText" dxfId="26970" priority="610" operator="containsText" text="CMS">
      <formula>NOT(ISERROR(SEARCH("CMS",G13)))</formula>
    </cfRule>
    <cfRule type="cellIs" dxfId="26969" priority="611" operator="equal">
      <formula>0</formula>
    </cfRule>
    <cfRule type="cellIs" dxfId="26968" priority="612" operator="greaterThan">
      <formula>0</formula>
    </cfRule>
  </conditionalFormatting>
  <conditionalFormatting sqref="G13:G16">
    <cfRule type="cellIs" dxfId="26967" priority="605" operator="equal">
      <formula>"PMS"</formula>
    </cfRule>
    <cfRule type="containsText" dxfId="26966" priority="606" operator="containsText" text="CMS">
      <formula>NOT(ISERROR(SEARCH("CMS",G13)))</formula>
    </cfRule>
    <cfRule type="cellIs" dxfId="26965" priority="607" operator="equal">
      <formula>0</formula>
    </cfRule>
    <cfRule type="cellIs" dxfId="26964" priority="608" operator="greaterThan">
      <formula>0</formula>
    </cfRule>
  </conditionalFormatting>
  <conditionalFormatting sqref="G13:G16">
    <cfRule type="cellIs" dxfId="26963" priority="601" operator="equal">
      <formula>"PMS"</formula>
    </cfRule>
    <cfRule type="containsText" dxfId="26962" priority="602" operator="containsText" text="CMS">
      <formula>NOT(ISERROR(SEARCH("CMS",G13)))</formula>
    </cfRule>
    <cfRule type="cellIs" dxfId="26961" priority="603" operator="equal">
      <formula>0</formula>
    </cfRule>
    <cfRule type="cellIs" dxfId="26960" priority="604" operator="greaterThan">
      <formula>0</formula>
    </cfRule>
  </conditionalFormatting>
  <conditionalFormatting sqref="G20:G21">
    <cfRule type="cellIs" dxfId="26959" priority="593" operator="equal">
      <formula>"PMS"</formula>
    </cfRule>
    <cfRule type="containsText" dxfId="26958" priority="594" operator="containsText" text="CMS">
      <formula>NOT(ISERROR(SEARCH("CMS",G20)))</formula>
    </cfRule>
    <cfRule type="cellIs" dxfId="26957" priority="595" operator="equal">
      <formula>0</formula>
    </cfRule>
    <cfRule type="cellIs" dxfId="26956" priority="596" operator="greaterThan">
      <formula>0</formula>
    </cfRule>
    <cfRule type="cellIs" dxfId="26955" priority="597" operator="equal">
      <formula>"PMS"</formula>
    </cfRule>
    <cfRule type="containsText" dxfId="26954" priority="598" operator="containsText" text="CMS">
      <formula>NOT(ISERROR(SEARCH("CMS",G20)))</formula>
    </cfRule>
    <cfRule type="cellIs" dxfId="26953" priority="599" operator="equal">
      <formula>0</formula>
    </cfRule>
    <cfRule type="cellIs" dxfId="26952" priority="600" operator="greaterThan">
      <formula>0</formula>
    </cfRule>
  </conditionalFormatting>
  <conditionalFormatting sqref="G20:G21">
    <cfRule type="cellIs" dxfId="26951" priority="589" operator="equal">
      <formula>"PMS"</formula>
    </cfRule>
    <cfRule type="containsText" dxfId="26950" priority="590" operator="containsText" text="CMS">
      <formula>NOT(ISERROR(SEARCH("CMS",G20)))</formula>
    </cfRule>
    <cfRule type="cellIs" dxfId="26949" priority="591" operator="equal">
      <formula>0</formula>
    </cfRule>
    <cfRule type="cellIs" dxfId="26948" priority="592" operator="greaterThan">
      <formula>0</formula>
    </cfRule>
  </conditionalFormatting>
  <conditionalFormatting sqref="G20:G21">
    <cfRule type="cellIs" dxfId="26947" priority="585" operator="equal">
      <formula>"PMS"</formula>
    </cfRule>
    <cfRule type="containsText" dxfId="26946" priority="586" operator="containsText" text="CMS">
      <formula>NOT(ISERROR(SEARCH("CMS",G20)))</formula>
    </cfRule>
    <cfRule type="cellIs" dxfId="26945" priority="587" operator="equal">
      <formula>0</formula>
    </cfRule>
    <cfRule type="cellIs" dxfId="26944" priority="588" operator="greaterThan">
      <formula>0</formula>
    </cfRule>
  </conditionalFormatting>
  <conditionalFormatting sqref="G27:G29 J29 M29 P29 S29 V29 AB29">
    <cfRule type="cellIs" dxfId="26943" priority="577" operator="equal">
      <formula>"PMS"</formula>
    </cfRule>
    <cfRule type="containsText" dxfId="26942" priority="578" operator="containsText" text="CMS">
      <formula>NOT(ISERROR(SEARCH("CMS",G27)))</formula>
    </cfRule>
    <cfRule type="cellIs" dxfId="26941" priority="579" operator="equal">
      <formula>0</formula>
    </cfRule>
    <cfRule type="cellIs" dxfId="26940" priority="580" operator="greaterThan">
      <formula>0</formula>
    </cfRule>
    <cfRule type="cellIs" dxfId="26939" priority="581" operator="equal">
      <formula>"PMS"</formula>
    </cfRule>
    <cfRule type="containsText" dxfId="26938" priority="582" operator="containsText" text="CMS">
      <formula>NOT(ISERROR(SEARCH("CMS",G27)))</formula>
    </cfRule>
    <cfRule type="cellIs" dxfId="26937" priority="583" operator="equal">
      <formula>0</formula>
    </cfRule>
    <cfRule type="cellIs" dxfId="26936" priority="584" operator="greaterThan">
      <formula>0</formula>
    </cfRule>
  </conditionalFormatting>
  <conditionalFormatting sqref="G27:G29 J29 M29 P29 S29 V29 AB29">
    <cfRule type="cellIs" dxfId="26935" priority="573" operator="equal">
      <formula>"PMS"</formula>
    </cfRule>
    <cfRule type="containsText" dxfId="26934" priority="574" operator="containsText" text="CMS">
      <formula>NOT(ISERROR(SEARCH("CMS",G27)))</formula>
    </cfRule>
    <cfRule type="cellIs" dxfId="26933" priority="575" operator="equal">
      <formula>0</formula>
    </cfRule>
    <cfRule type="cellIs" dxfId="26932" priority="576" operator="greaterThan">
      <formula>0</formula>
    </cfRule>
  </conditionalFormatting>
  <conditionalFormatting sqref="G27:G29 J29 M29 P29 S29 V29 AB29">
    <cfRule type="cellIs" dxfId="26931" priority="569" operator="equal">
      <formula>"PMS"</formula>
    </cfRule>
    <cfRule type="containsText" dxfId="26930" priority="570" operator="containsText" text="CMS">
      <formula>NOT(ISERROR(SEARCH("CMS",G27)))</formula>
    </cfRule>
    <cfRule type="cellIs" dxfId="26929" priority="571" operator="equal">
      <formula>0</formula>
    </cfRule>
    <cfRule type="cellIs" dxfId="26928" priority="572" operator="greaterThan">
      <formula>0</formula>
    </cfRule>
  </conditionalFormatting>
  <conditionalFormatting sqref="G45:G46">
    <cfRule type="cellIs" dxfId="26927" priority="561" operator="equal">
      <formula>"PMS"</formula>
    </cfRule>
    <cfRule type="containsText" dxfId="26926" priority="562" operator="containsText" text="CMS">
      <formula>NOT(ISERROR(SEARCH("CMS",G45)))</formula>
    </cfRule>
    <cfRule type="cellIs" dxfId="26925" priority="563" operator="equal">
      <formula>0</formula>
    </cfRule>
    <cfRule type="cellIs" dxfId="26924" priority="564" operator="greaterThan">
      <formula>0</formula>
    </cfRule>
    <cfRule type="cellIs" dxfId="26923" priority="565" operator="equal">
      <formula>"PMS"</formula>
    </cfRule>
    <cfRule type="containsText" dxfId="26922" priority="566" operator="containsText" text="CMS">
      <formula>NOT(ISERROR(SEARCH("CMS",G45)))</formula>
    </cfRule>
    <cfRule type="cellIs" dxfId="26921" priority="567" operator="equal">
      <formula>0</formula>
    </cfRule>
    <cfRule type="cellIs" dxfId="26920" priority="568" operator="greaterThan">
      <formula>0</formula>
    </cfRule>
  </conditionalFormatting>
  <conditionalFormatting sqref="G45:G46">
    <cfRule type="cellIs" dxfId="26919" priority="557" operator="equal">
      <formula>"PMS"</formula>
    </cfRule>
    <cfRule type="containsText" dxfId="26918" priority="558" operator="containsText" text="CMS">
      <formula>NOT(ISERROR(SEARCH("CMS",G45)))</formula>
    </cfRule>
    <cfRule type="cellIs" dxfId="26917" priority="559" operator="equal">
      <formula>0</formula>
    </cfRule>
    <cfRule type="cellIs" dxfId="26916" priority="560" operator="greaterThan">
      <formula>0</formula>
    </cfRule>
  </conditionalFormatting>
  <conditionalFormatting sqref="G45:G46">
    <cfRule type="cellIs" dxfId="26915" priority="553" operator="equal">
      <formula>"PMS"</formula>
    </cfRule>
    <cfRule type="containsText" dxfId="26914" priority="554" operator="containsText" text="CMS">
      <formula>NOT(ISERROR(SEARCH("CMS",G45)))</formula>
    </cfRule>
    <cfRule type="cellIs" dxfId="26913" priority="555" operator="equal">
      <formula>0</formula>
    </cfRule>
    <cfRule type="cellIs" dxfId="26912" priority="556" operator="greaterThan">
      <formula>0</formula>
    </cfRule>
  </conditionalFormatting>
  <conditionalFormatting sqref="I61:I63">
    <cfRule type="cellIs" dxfId="26911" priority="545" operator="equal">
      <formula>"PMS"</formula>
    </cfRule>
    <cfRule type="containsText" dxfId="26910" priority="546" operator="containsText" text="CMS">
      <formula>NOT(ISERROR(SEARCH("CMS",I61)))</formula>
    </cfRule>
    <cfRule type="cellIs" dxfId="26909" priority="547" operator="equal">
      <formula>0</formula>
    </cfRule>
    <cfRule type="cellIs" dxfId="26908" priority="548" operator="greaterThan">
      <formula>0</formula>
    </cfRule>
    <cfRule type="cellIs" dxfId="26907" priority="549" operator="equal">
      <formula>"PMS"</formula>
    </cfRule>
    <cfRule type="containsText" dxfId="26906" priority="550" operator="containsText" text="CMS">
      <formula>NOT(ISERROR(SEARCH("CMS",I61)))</formula>
    </cfRule>
    <cfRule type="cellIs" dxfId="26905" priority="551" operator="equal">
      <formula>0</formula>
    </cfRule>
    <cfRule type="cellIs" dxfId="26904" priority="552" operator="greaterThan">
      <formula>0</formula>
    </cfRule>
  </conditionalFormatting>
  <conditionalFormatting sqref="O48">
    <cfRule type="cellIs" dxfId="26903" priority="541" operator="equal">
      <formula>"PMS"</formula>
    </cfRule>
    <cfRule type="containsText" dxfId="26902" priority="542" operator="containsText" text="CMS">
      <formula>NOT(ISERROR(SEARCH("CMS",O48)))</formula>
    </cfRule>
    <cfRule type="cellIs" dxfId="26901" priority="543" operator="equal">
      <formula>0</formula>
    </cfRule>
    <cfRule type="cellIs" dxfId="26900" priority="544" operator="greaterThan">
      <formula>0</formula>
    </cfRule>
  </conditionalFormatting>
  <conditionalFormatting sqref="O48">
    <cfRule type="cellIs" dxfId="26899" priority="537" operator="equal">
      <formula>"PMS"</formula>
    </cfRule>
    <cfRule type="containsText" dxfId="26898" priority="538" operator="containsText" text="CMS">
      <formula>NOT(ISERROR(SEARCH("CMS",O48)))</formula>
    </cfRule>
    <cfRule type="cellIs" dxfId="26897" priority="539" operator="equal">
      <formula>0</formula>
    </cfRule>
    <cfRule type="cellIs" dxfId="26896" priority="540" operator="greaterThan">
      <formula>0</formula>
    </cfRule>
  </conditionalFormatting>
  <conditionalFormatting sqref="O48">
    <cfRule type="cellIs" dxfId="26895" priority="533" operator="equal">
      <formula>"PMS"</formula>
    </cfRule>
    <cfRule type="containsText" dxfId="26894" priority="534" operator="containsText" text="CMS">
      <formula>NOT(ISERROR(SEARCH("CMS",O48)))</formula>
    </cfRule>
    <cfRule type="cellIs" dxfId="26893" priority="535" operator="equal">
      <formula>0</formula>
    </cfRule>
    <cfRule type="cellIs" dxfId="26892" priority="536" operator="greaterThan">
      <formula>0</formula>
    </cfRule>
  </conditionalFormatting>
  <conditionalFormatting sqref="O48">
    <cfRule type="cellIs" dxfId="26891" priority="529" operator="equal">
      <formula>"PMS"</formula>
    </cfRule>
    <cfRule type="containsText" dxfId="26890" priority="530" operator="containsText" text="CMS">
      <formula>NOT(ISERROR(SEARCH("CMS",O48)))</formula>
    </cfRule>
    <cfRule type="cellIs" dxfId="26889" priority="531" operator="equal">
      <formula>0</formula>
    </cfRule>
    <cfRule type="cellIs" dxfId="26888" priority="532" operator="greaterThan">
      <formula>0</formula>
    </cfRule>
  </conditionalFormatting>
  <conditionalFormatting sqref="O56:P56">
    <cfRule type="cellIs" dxfId="26887" priority="525" operator="equal">
      <formula>"PMS"</formula>
    </cfRule>
    <cfRule type="containsText" dxfId="26886" priority="526" operator="containsText" text="CMS">
      <formula>NOT(ISERROR(SEARCH("CMS",O56)))</formula>
    </cfRule>
    <cfRule type="cellIs" dxfId="26885" priority="527" operator="equal">
      <formula>0</formula>
    </cfRule>
    <cfRule type="cellIs" dxfId="26884" priority="528" operator="greaterThan">
      <formula>0</formula>
    </cfRule>
  </conditionalFormatting>
  <conditionalFormatting sqref="O56:P56">
    <cfRule type="cellIs" dxfId="26883" priority="521" operator="equal">
      <formula>"PMS"</formula>
    </cfRule>
    <cfRule type="containsText" dxfId="26882" priority="522" operator="containsText" text="CMS">
      <formula>NOT(ISERROR(SEARCH("CMS",O56)))</formula>
    </cfRule>
    <cfRule type="cellIs" dxfId="26881" priority="523" operator="equal">
      <formula>0</formula>
    </cfRule>
    <cfRule type="cellIs" dxfId="26880" priority="524" operator="greaterThan">
      <formula>0</formula>
    </cfRule>
  </conditionalFormatting>
  <conditionalFormatting sqref="O56:P56">
    <cfRule type="cellIs" dxfId="26879" priority="517" operator="equal">
      <formula>"PMS"</formula>
    </cfRule>
    <cfRule type="containsText" dxfId="26878" priority="518" operator="containsText" text="CMS">
      <formula>NOT(ISERROR(SEARCH("CMS",O56)))</formula>
    </cfRule>
    <cfRule type="cellIs" dxfId="26877" priority="519" operator="equal">
      <formula>0</formula>
    </cfRule>
    <cfRule type="cellIs" dxfId="26876" priority="520" operator="greaterThan">
      <formula>0</formula>
    </cfRule>
  </conditionalFormatting>
  <conditionalFormatting sqref="O56:P56">
    <cfRule type="cellIs" dxfId="26875" priority="513" operator="equal">
      <formula>"PMS"</formula>
    </cfRule>
    <cfRule type="containsText" dxfId="26874" priority="514" operator="containsText" text="CMS">
      <formula>NOT(ISERROR(SEARCH("CMS",O56)))</formula>
    </cfRule>
    <cfRule type="cellIs" dxfId="26873" priority="515" operator="equal">
      <formula>0</formula>
    </cfRule>
    <cfRule type="cellIs" dxfId="26872" priority="516" operator="greaterThan">
      <formula>0</formula>
    </cfRule>
  </conditionalFormatting>
  <conditionalFormatting sqref="O57:P57">
    <cfRule type="cellIs" dxfId="26871" priority="509" operator="equal">
      <formula>"PMS"</formula>
    </cfRule>
    <cfRule type="containsText" dxfId="26870" priority="510" operator="containsText" text="CMS">
      <formula>NOT(ISERROR(SEARCH("CMS",O57)))</formula>
    </cfRule>
    <cfRule type="cellIs" dxfId="26869" priority="511" operator="equal">
      <formula>0</formula>
    </cfRule>
    <cfRule type="cellIs" dxfId="26868" priority="512" operator="greaterThan">
      <formula>0</formula>
    </cfRule>
  </conditionalFormatting>
  <conditionalFormatting sqref="O57:P57">
    <cfRule type="cellIs" dxfId="26867" priority="505" operator="equal">
      <formula>"PMS"</formula>
    </cfRule>
    <cfRule type="containsText" dxfId="26866" priority="506" operator="containsText" text="CMS">
      <formula>NOT(ISERROR(SEARCH("CMS",O57)))</formula>
    </cfRule>
    <cfRule type="cellIs" dxfId="26865" priority="507" operator="equal">
      <formula>0</formula>
    </cfRule>
    <cfRule type="cellIs" dxfId="26864" priority="508" operator="greaterThan">
      <formula>0</formula>
    </cfRule>
  </conditionalFormatting>
  <conditionalFormatting sqref="O57:P57">
    <cfRule type="cellIs" dxfId="26863" priority="501" operator="equal">
      <formula>"PMS"</formula>
    </cfRule>
    <cfRule type="containsText" dxfId="26862" priority="502" operator="containsText" text="CMS">
      <formula>NOT(ISERROR(SEARCH("CMS",O57)))</formula>
    </cfRule>
    <cfRule type="cellIs" dxfId="26861" priority="503" operator="equal">
      <formula>0</formula>
    </cfRule>
    <cfRule type="cellIs" dxfId="26860" priority="504" operator="greaterThan">
      <formula>0</formula>
    </cfRule>
  </conditionalFormatting>
  <conditionalFormatting sqref="O57:P57">
    <cfRule type="cellIs" dxfId="26859" priority="497" operator="equal">
      <formula>"PMS"</formula>
    </cfRule>
    <cfRule type="containsText" dxfId="26858" priority="498" operator="containsText" text="CMS">
      <formula>NOT(ISERROR(SEARCH("CMS",O57)))</formula>
    </cfRule>
    <cfRule type="cellIs" dxfId="26857" priority="499" operator="equal">
      <formula>0</formula>
    </cfRule>
    <cfRule type="cellIs" dxfId="26856" priority="500" operator="greaterThan">
      <formula>0</formula>
    </cfRule>
  </conditionalFormatting>
  <conditionalFormatting sqref="G48:G49">
    <cfRule type="cellIs" dxfId="26855" priority="489" operator="equal">
      <formula>"PMS"</formula>
    </cfRule>
    <cfRule type="containsText" dxfId="26854" priority="490" operator="containsText" text="CMS">
      <formula>NOT(ISERROR(SEARCH("CMS",G48)))</formula>
    </cfRule>
    <cfRule type="cellIs" dxfId="26853" priority="491" operator="equal">
      <formula>0</formula>
    </cfRule>
    <cfRule type="cellIs" dxfId="26852" priority="492" operator="greaterThan">
      <formula>0</formula>
    </cfRule>
    <cfRule type="cellIs" dxfId="26851" priority="493" operator="equal">
      <formula>"PMS"</formula>
    </cfRule>
    <cfRule type="containsText" dxfId="26850" priority="494" operator="containsText" text="CMS">
      <formula>NOT(ISERROR(SEARCH("CMS",G48)))</formula>
    </cfRule>
    <cfRule type="cellIs" dxfId="26849" priority="495" operator="equal">
      <formula>0</formula>
    </cfRule>
    <cfRule type="cellIs" dxfId="26848" priority="496" operator="greaterThan">
      <formula>0</formula>
    </cfRule>
  </conditionalFormatting>
  <conditionalFormatting sqref="G48:G49">
    <cfRule type="cellIs" dxfId="26847" priority="485" operator="equal">
      <formula>"PMS"</formula>
    </cfRule>
    <cfRule type="containsText" dxfId="26846" priority="486" operator="containsText" text="CMS">
      <formula>NOT(ISERROR(SEARCH("CMS",G48)))</formula>
    </cfRule>
    <cfRule type="cellIs" dxfId="26845" priority="487" operator="equal">
      <formula>0</formula>
    </cfRule>
    <cfRule type="cellIs" dxfId="26844" priority="488" operator="greaterThan">
      <formula>0</formula>
    </cfRule>
  </conditionalFormatting>
  <conditionalFormatting sqref="G48:G49">
    <cfRule type="cellIs" dxfId="26843" priority="481" operator="equal">
      <formula>"PMS"</formula>
    </cfRule>
    <cfRule type="containsText" dxfId="26842" priority="482" operator="containsText" text="CMS">
      <formula>NOT(ISERROR(SEARCH("CMS",G48)))</formula>
    </cfRule>
    <cfRule type="cellIs" dxfId="26841" priority="483" operator="equal">
      <formula>0</formula>
    </cfRule>
    <cfRule type="cellIs" dxfId="26840" priority="484" operator="greaterThan">
      <formula>0</formula>
    </cfRule>
  </conditionalFormatting>
  <conditionalFormatting sqref="G66:G72 G74">
    <cfRule type="cellIs" dxfId="26839" priority="473" operator="equal">
      <formula>"PMS"</formula>
    </cfRule>
    <cfRule type="containsText" dxfId="26838" priority="474" operator="containsText" text="CMS">
      <formula>NOT(ISERROR(SEARCH("CMS",G66)))</formula>
    </cfRule>
    <cfRule type="cellIs" dxfId="26837" priority="475" operator="equal">
      <formula>0</formula>
    </cfRule>
    <cfRule type="cellIs" dxfId="26836" priority="476" operator="greaterThan">
      <formula>0</formula>
    </cfRule>
    <cfRule type="cellIs" dxfId="26835" priority="477" operator="equal">
      <formula>"PMS"</formula>
    </cfRule>
    <cfRule type="containsText" dxfId="26834" priority="478" operator="containsText" text="CMS">
      <formula>NOT(ISERROR(SEARCH("CMS",G66)))</formula>
    </cfRule>
    <cfRule type="cellIs" dxfId="26833" priority="479" operator="equal">
      <formula>0</formula>
    </cfRule>
    <cfRule type="cellIs" dxfId="26832" priority="480" operator="greaterThan">
      <formula>0</formula>
    </cfRule>
  </conditionalFormatting>
  <conditionalFormatting sqref="O53:O58 P56">
    <cfRule type="cellIs" dxfId="26831" priority="469" operator="equal">
      <formula>"PMS"</formula>
    </cfRule>
    <cfRule type="containsText" dxfId="26830" priority="470" operator="containsText" text="CMS">
      <formula>NOT(ISERROR(SEARCH("CMS",O53)))</formula>
    </cfRule>
    <cfRule type="cellIs" dxfId="26829" priority="471" operator="equal">
      <formula>0</formula>
    </cfRule>
    <cfRule type="cellIs" dxfId="26828" priority="472" operator="greaterThan">
      <formula>0</formula>
    </cfRule>
  </conditionalFormatting>
  <conditionalFormatting sqref="G24:I24 G35:I35 G73:J73">
    <cfRule type="cellIs" dxfId="26827" priority="461" operator="equal">
      <formula>"PMS"</formula>
    </cfRule>
    <cfRule type="containsText" dxfId="26826" priority="462" operator="containsText" text="CMS">
      <formula>NOT(ISERROR(SEARCH("CMS",G24)))</formula>
    </cfRule>
    <cfRule type="cellIs" dxfId="26825" priority="463" operator="equal">
      <formula>0</formula>
    </cfRule>
    <cfRule type="cellIs" dxfId="26824" priority="464" operator="greaterThan">
      <formula>0</formula>
    </cfRule>
    <cfRule type="cellIs" dxfId="26823" priority="465" operator="equal">
      <formula>"PMS"</formula>
    </cfRule>
    <cfRule type="containsText" dxfId="26822" priority="466" operator="containsText" text="CMS">
      <formula>NOT(ISERROR(SEARCH("CMS",G24)))</formula>
    </cfRule>
    <cfRule type="cellIs" dxfId="26821" priority="467" operator="equal">
      <formula>0</formula>
    </cfRule>
    <cfRule type="cellIs" dxfId="26820" priority="468" operator="greaterThan">
      <formula>0</formula>
    </cfRule>
  </conditionalFormatting>
  <conditionalFormatting sqref="G73:J73">
    <cfRule type="cellIs" dxfId="26819" priority="457" operator="equal">
      <formula>"PMS"</formula>
    </cfRule>
    <cfRule type="containsText" dxfId="26818" priority="458" operator="containsText" text="CMS">
      <formula>NOT(ISERROR(SEARCH("CMS",G73)))</formula>
    </cfRule>
    <cfRule type="cellIs" dxfId="26817" priority="459" operator="equal">
      <formula>0</formula>
    </cfRule>
    <cfRule type="cellIs" dxfId="26816" priority="460" operator="greaterThan">
      <formula>0</formula>
    </cfRule>
  </conditionalFormatting>
  <conditionalFormatting sqref="G73:J73">
    <cfRule type="cellIs" dxfId="26815" priority="453" operator="equal">
      <formula>"PMS"</formula>
    </cfRule>
    <cfRule type="containsText" dxfId="26814" priority="454" operator="containsText" text="CMS">
      <formula>NOT(ISERROR(SEARCH("CMS",G73)))</formula>
    </cfRule>
    <cfRule type="cellIs" dxfId="26813" priority="455" operator="equal">
      <formula>0</formula>
    </cfRule>
    <cfRule type="cellIs" dxfId="26812" priority="456" operator="greaterThan">
      <formula>0</formula>
    </cfRule>
  </conditionalFormatting>
  <conditionalFormatting sqref="G24:I24">
    <cfRule type="cellIs" dxfId="26811" priority="449" operator="equal">
      <formula>"PMS"</formula>
    </cfRule>
    <cfRule type="containsText" dxfId="26810" priority="450" operator="containsText" text="CMS">
      <formula>NOT(ISERROR(SEARCH("CMS",G24)))</formula>
    </cfRule>
    <cfRule type="cellIs" dxfId="26809" priority="451" operator="equal">
      <formula>0</formula>
    </cfRule>
    <cfRule type="cellIs" dxfId="26808" priority="452" operator="greaterThan">
      <formula>0</formula>
    </cfRule>
  </conditionalFormatting>
  <conditionalFormatting sqref="G24:I24">
    <cfRule type="cellIs" dxfId="26807" priority="445" operator="equal">
      <formula>"PMS"</formula>
    </cfRule>
    <cfRule type="containsText" dxfId="26806" priority="446" operator="containsText" text="CMS">
      <formula>NOT(ISERROR(SEARCH("CMS",G24)))</formula>
    </cfRule>
    <cfRule type="cellIs" dxfId="26805" priority="447" operator="equal">
      <formula>0</formula>
    </cfRule>
    <cfRule type="cellIs" dxfId="26804" priority="448" operator="greaterThan">
      <formula>0</formula>
    </cfRule>
  </conditionalFormatting>
  <conditionalFormatting sqref="G35:I35">
    <cfRule type="cellIs" dxfId="26803" priority="441" operator="equal">
      <formula>"PMS"</formula>
    </cfRule>
    <cfRule type="containsText" dxfId="26802" priority="442" operator="containsText" text="CMS">
      <formula>NOT(ISERROR(SEARCH("CMS",G35)))</formula>
    </cfRule>
    <cfRule type="cellIs" dxfId="26801" priority="443" operator="equal">
      <formula>0</formula>
    </cfRule>
    <cfRule type="cellIs" dxfId="26800" priority="444" operator="greaterThan">
      <formula>0</formula>
    </cfRule>
  </conditionalFormatting>
  <conditionalFormatting sqref="G35:I35">
    <cfRule type="cellIs" dxfId="26799" priority="437" operator="equal">
      <formula>"PMS"</formula>
    </cfRule>
    <cfRule type="containsText" dxfId="26798" priority="438" operator="containsText" text="CMS">
      <formula>NOT(ISERROR(SEARCH("CMS",G35)))</formula>
    </cfRule>
    <cfRule type="cellIs" dxfId="26797" priority="439" operator="equal">
      <formula>0</formula>
    </cfRule>
    <cfRule type="cellIs" dxfId="26796" priority="440" operator="greaterThan">
      <formula>0</formula>
    </cfRule>
  </conditionalFormatting>
  <conditionalFormatting sqref="G19:I19">
    <cfRule type="cellIs" dxfId="26795" priority="429" operator="equal">
      <formula>"PMS"</formula>
    </cfRule>
    <cfRule type="containsText" dxfId="26794" priority="430" operator="containsText" text="CMS">
      <formula>NOT(ISERROR(SEARCH("CMS",G19)))</formula>
    </cfRule>
    <cfRule type="cellIs" dxfId="26793" priority="431" operator="equal">
      <formula>0</formula>
    </cfRule>
    <cfRule type="cellIs" dxfId="26792" priority="432" operator="greaterThan">
      <formula>0</formula>
    </cfRule>
    <cfRule type="cellIs" dxfId="26791" priority="433" operator="equal">
      <formula>"PMS"</formula>
    </cfRule>
    <cfRule type="containsText" dxfId="26790" priority="434" operator="containsText" text="CMS">
      <formula>NOT(ISERROR(SEARCH("CMS",G19)))</formula>
    </cfRule>
    <cfRule type="cellIs" dxfId="26789" priority="435" operator="equal">
      <formula>0</formula>
    </cfRule>
    <cfRule type="cellIs" dxfId="26788" priority="436" operator="greaterThan">
      <formula>0</formula>
    </cfRule>
  </conditionalFormatting>
  <conditionalFormatting sqref="G19:I19">
    <cfRule type="cellIs" dxfId="26787" priority="425" operator="equal">
      <formula>"PMS"</formula>
    </cfRule>
    <cfRule type="containsText" dxfId="26786" priority="426" operator="containsText" text="CMS">
      <formula>NOT(ISERROR(SEARCH("CMS",G19)))</formula>
    </cfRule>
    <cfRule type="cellIs" dxfId="26785" priority="427" operator="equal">
      <formula>0</formula>
    </cfRule>
    <cfRule type="cellIs" dxfId="26784" priority="428" operator="greaterThan">
      <formula>0</formula>
    </cfRule>
  </conditionalFormatting>
  <conditionalFormatting sqref="G19:I19">
    <cfRule type="cellIs" dxfId="26783" priority="421" operator="equal">
      <formula>"PMS"</formula>
    </cfRule>
    <cfRule type="containsText" dxfId="26782" priority="422" operator="containsText" text="CMS">
      <formula>NOT(ISERROR(SEARCH("CMS",G19)))</formula>
    </cfRule>
    <cfRule type="cellIs" dxfId="26781" priority="423" operator="equal">
      <formula>0</formula>
    </cfRule>
    <cfRule type="cellIs" dxfId="26780" priority="424" operator="greaterThan">
      <formula>0</formula>
    </cfRule>
  </conditionalFormatting>
  <conditionalFormatting sqref="O55">
    <cfRule type="cellIs" dxfId="26779" priority="417" operator="equal">
      <formula>"PMS"</formula>
    </cfRule>
    <cfRule type="containsText" dxfId="26778" priority="418" operator="containsText" text="CMS">
      <formula>NOT(ISERROR(SEARCH("CMS",O55)))</formula>
    </cfRule>
    <cfRule type="cellIs" dxfId="26777" priority="419" operator="equal">
      <formula>0</formula>
    </cfRule>
    <cfRule type="cellIs" dxfId="26776" priority="420" operator="greaterThan">
      <formula>0</formula>
    </cfRule>
  </conditionalFormatting>
  <conditionalFormatting sqref="K62:K63">
    <cfRule type="cellIs" dxfId="26775" priority="409" operator="equal">
      <formula>"PMS"</formula>
    </cfRule>
    <cfRule type="containsText" dxfId="26774" priority="410" operator="containsText" text="CMS">
      <formula>NOT(ISERROR(SEARCH("CMS",K62)))</formula>
    </cfRule>
    <cfRule type="cellIs" dxfId="26773" priority="411" operator="equal">
      <formula>0</formula>
    </cfRule>
    <cfRule type="cellIs" dxfId="26772" priority="412" operator="greaterThan">
      <formula>0</formula>
    </cfRule>
    <cfRule type="cellIs" dxfId="26771" priority="413" operator="equal">
      <formula>"PMS"</formula>
    </cfRule>
    <cfRule type="containsText" dxfId="26770" priority="414" operator="containsText" text="CMS">
      <formula>NOT(ISERROR(SEARCH("CMS",K62)))</formula>
    </cfRule>
    <cfRule type="cellIs" dxfId="26769" priority="415" operator="equal">
      <formula>0</formula>
    </cfRule>
    <cfRule type="cellIs" dxfId="26768" priority="416" operator="greaterThan">
      <formula>0</formula>
    </cfRule>
  </conditionalFormatting>
  <conditionalFormatting sqref="O47:P47">
    <cfRule type="cellIs" dxfId="26767" priority="405" operator="equal">
      <formula>"PMS"</formula>
    </cfRule>
    <cfRule type="containsText" dxfId="26766" priority="406" operator="containsText" text="CMS">
      <formula>NOT(ISERROR(SEARCH("CMS",O47)))</formula>
    </cfRule>
    <cfRule type="cellIs" dxfId="26765" priority="407" operator="equal">
      <formula>0</formula>
    </cfRule>
    <cfRule type="cellIs" dxfId="26764" priority="408" operator="greaterThan">
      <formula>0</formula>
    </cfRule>
  </conditionalFormatting>
  <conditionalFormatting sqref="O16:P16">
    <cfRule type="cellIs" dxfId="26763" priority="401" operator="equal">
      <formula>"PMS"</formula>
    </cfRule>
    <cfRule type="containsText" dxfId="26762" priority="402" operator="containsText" text="CMS">
      <formula>NOT(ISERROR(SEARCH("CMS",O16)))</formula>
    </cfRule>
    <cfRule type="cellIs" dxfId="26761" priority="403" operator="equal">
      <formula>0</formula>
    </cfRule>
    <cfRule type="cellIs" dxfId="26760" priority="404" operator="greaterThan">
      <formula>0</formula>
    </cfRule>
  </conditionalFormatting>
  <conditionalFormatting sqref="P57">
    <cfRule type="cellIs" dxfId="26759" priority="397" operator="equal">
      <formula>"PMS"</formula>
    </cfRule>
    <cfRule type="containsText" dxfId="26758" priority="398" operator="containsText" text="CMS">
      <formula>NOT(ISERROR(SEARCH("CMS",P57)))</formula>
    </cfRule>
    <cfRule type="cellIs" dxfId="26757" priority="399" operator="equal">
      <formula>0</formula>
    </cfRule>
    <cfRule type="cellIs" dxfId="26756" priority="400" operator="greaterThan">
      <formula>0</formula>
    </cfRule>
  </conditionalFormatting>
  <conditionalFormatting sqref="P57">
    <cfRule type="cellIs" dxfId="26755" priority="393" operator="equal">
      <formula>"PMS"</formula>
    </cfRule>
    <cfRule type="containsText" dxfId="26754" priority="394" operator="containsText" text="CMS">
      <formula>NOT(ISERROR(SEARCH("CMS",P57)))</formula>
    </cfRule>
    <cfRule type="cellIs" dxfId="26753" priority="395" operator="equal">
      <formula>0</formula>
    </cfRule>
    <cfRule type="cellIs" dxfId="26752" priority="396" operator="greaterThan">
      <formula>0</formula>
    </cfRule>
  </conditionalFormatting>
  <conditionalFormatting sqref="P57">
    <cfRule type="cellIs" dxfId="26751" priority="389" operator="equal">
      <formula>"PMS"</formula>
    </cfRule>
    <cfRule type="containsText" dxfId="26750" priority="390" operator="containsText" text="CMS">
      <formula>NOT(ISERROR(SEARCH("CMS",P57)))</formula>
    </cfRule>
    <cfRule type="cellIs" dxfId="26749" priority="391" operator="equal">
      <formula>0</formula>
    </cfRule>
    <cfRule type="cellIs" dxfId="26748" priority="392" operator="greaterThan">
      <formula>0</formula>
    </cfRule>
  </conditionalFormatting>
  <conditionalFormatting sqref="P57:P58">
    <cfRule type="cellIs" dxfId="26747" priority="385" operator="equal">
      <formula>"PMS"</formula>
    </cfRule>
    <cfRule type="containsText" dxfId="26746" priority="386" operator="containsText" text="CMS">
      <formula>NOT(ISERROR(SEARCH("CMS",P57)))</formula>
    </cfRule>
    <cfRule type="cellIs" dxfId="26745" priority="387" operator="equal">
      <formula>0</formula>
    </cfRule>
    <cfRule type="cellIs" dxfId="26744" priority="388" operator="greaterThan">
      <formula>0</formula>
    </cfRule>
  </conditionalFormatting>
  <conditionalFormatting sqref="AB24">
    <cfRule type="cellIs" dxfId="26743" priority="381" operator="equal">
      <formula>"PMS"</formula>
    </cfRule>
    <cfRule type="containsText" dxfId="26742" priority="382" operator="containsText" text="CMS">
      <formula>NOT(ISERROR(SEARCH("CMS",AB24)))</formula>
    </cfRule>
    <cfRule type="cellIs" dxfId="26741" priority="383" operator="equal">
      <formula>0</formula>
    </cfRule>
    <cfRule type="cellIs" dxfId="26740" priority="384" operator="greaterThan">
      <formula>0</formula>
    </cfRule>
  </conditionalFormatting>
  <conditionalFormatting sqref="AB24">
    <cfRule type="cellIs" dxfId="26739" priority="377" operator="equal">
      <formula>"PMS"</formula>
    </cfRule>
    <cfRule type="containsText" dxfId="26738" priority="378" operator="containsText" text="CMS">
      <formula>NOT(ISERROR(SEARCH("CMS",AB24)))</formula>
    </cfRule>
    <cfRule type="cellIs" dxfId="26737" priority="379" operator="equal">
      <formula>0</formula>
    </cfRule>
    <cfRule type="cellIs" dxfId="26736" priority="380" operator="greaterThan">
      <formula>0</formula>
    </cfRule>
  </conditionalFormatting>
  <conditionalFormatting sqref="I29 L29 O29 R29 U29 AA29 X29:Y29">
    <cfRule type="cellIs" dxfId="26735" priority="369" operator="equal">
      <formula>"PMS"</formula>
    </cfRule>
    <cfRule type="containsText" dxfId="26734" priority="370" operator="containsText" text="CMS">
      <formula>NOT(ISERROR(SEARCH("CMS",I29)))</formula>
    </cfRule>
    <cfRule type="cellIs" dxfId="26733" priority="371" operator="equal">
      <formula>0</formula>
    </cfRule>
    <cfRule type="cellIs" dxfId="26732" priority="372" operator="greaterThan">
      <formula>0</formula>
    </cfRule>
    <cfRule type="cellIs" dxfId="26731" priority="373" operator="equal">
      <formula>"PMS"</formula>
    </cfRule>
    <cfRule type="containsText" dxfId="26730" priority="374" operator="containsText" text="CMS">
      <formula>NOT(ISERROR(SEARCH("CMS",I29)))</formula>
    </cfRule>
    <cfRule type="cellIs" dxfId="26729" priority="375" operator="equal">
      <formula>0</formula>
    </cfRule>
    <cfRule type="cellIs" dxfId="26728" priority="376" operator="greaterThan">
      <formula>0</formula>
    </cfRule>
  </conditionalFormatting>
  <conditionalFormatting sqref="I29 L29 O29 R29 U29 AA29 X29:Y29">
    <cfRule type="cellIs" dxfId="26727" priority="365" operator="equal">
      <formula>"PMS"</formula>
    </cfRule>
    <cfRule type="containsText" dxfId="26726" priority="366" operator="containsText" text="CMS">
      <formula>NOT(ISERROR(SEARCH("CMS",I29)))</formula>
    </cfRule>
    <cfRule type="cellIs" dxfId="26725" priority="367" operator="equal">
      <formula>0</formula>
    </cfRule>
    <cfRule type="cellIs" dxfId="26724" priority="368" operator="greaterThan">
      <formula>0</formula>
    </cfRule>
  </conditionalFormatting>
  <conditionalFormatting sqref="I29 L29 O29 R29 U29 AA29 X29:Y29">
    <cfRule type="cellIs" dxfId="26723" priority="361" operator="equal">
      <formula>"PMS"</formula>
    </cfRule>
    <cfRule type="containsText" dxfId="26722" priority="362" operator="containsText" text="CMS">
      <formula>NOT(ISERROR(SEARCH("CMS",I29)))</formula>
    </cfRule>
    <cfRule type="cellIs" dxfId="26721" priority="363" operator="equal">
      <formula>0</formula>
    </cfRule>
    <cfRule type="cellIs" dxfId="26720" priority="364" operator="greaterThan">
      <formula>0</formula>
    </cfRule>
  </conditionalFormatting>
  <conditionalFormatting sqref="H29 K29 N29 Q29 T29 W29 Z29 AC29">
    <cfRule type="cellIs" dxfId="26719" priority="353" operator="equal">
      <formula>"PMS"</formula>
    </cfRule>
    <cfRule type="containsText" dxfId="26718" priority="354" operator="containsText" text="CMS">
      <formula>NOT(ISERROR(SEARCH("CMS",H29)))</formula>
    </cfRule>
    <cfRule type="cellIs" dxfId="26717" priority="355" operator="equal">
      <formula>0</formula>
    </cfRule>
    <cfRule type="cellIs" dxfId="26716" priority="356" operator="greaterThan">
      <formula>0</formula>
    </cfRule>
    <cfRule type="cellIs" dxfId="26715" priority="357" operator="equal">
      <formula>"PMS"</formula>
    </cfRule>
    <cfRule type="containsText" dxfId="26714" priority="358" operator="containsText" text="CMS">
      <formula>NOT(ISERROR(SEARCH("CMS",H29)))</formula>
    </cfRule>
    <cfRule type="cellIs" dxfId="26713" priority="359" operator="equal">
      <formula>0</formula>
    </cfRule>
    <cfRule type="cellIs" dxfId="26712" priority="360" operator="greaterThan">
      <formula>0</formula>
    </cfRule>
  </conditionalFormatting>
  <conditionalFormatting sqref="G81:AC81">
    <cfRule type="cellIs" dxfId="26711" priority="345" operator="equal">
      <formula>"PMS"</formula>
    </cfRule>
    <cfRule type="containsText" dxfId="26710" priority="346" operator="containsText" text="CMS">
      <formula>NOT(ISERROR(SEARCH("CMS",G81)))</formula>
    </cfRule>
    <cfRule type="cellIs" dxfId="26709" priority="347" operator="equal">
      <formula>0</formula>
    </cfRule>
    <cfRule type="cellIs" dxfId="26708" priority="348" operator="greaterThan">
      <formula>0</formula>
    </cfRule>
    <cfRule type="cellIs" dxfId="26707" priority="349" operator="equal">
      <formula>"PMS"</formula>
    </cfRule>
    <cfRule type="containsText" dxfId="26706" priority="350" operator="containsText" text="CMS">
      <formula>NOT(ISERROR(SEARCH("CMS",G81)))</formula>
    </cfRule>
    <cfRule type="cellIs" dxfId="26705" priority="351" operator="equal">
      <formula>0</formula>
    </cfRule>
    <cfRule type="cellIs" dxfId="26704" priority="352" operator="greaterThan">
      <formula>0</formula>
    </cfRule>
  </conditionalFormatting>
  <conditionalFormatting sqref="G81:AC81">
    <cfRule type="cellIs" dxfId="26703" priority="341" operator="equal">
      <formula>"PMS"</formula>
    </cfRule>
    <cfRule type="containsText" dxfId="26702" priority="342" operator="containsText" text="CMS">
      <formula>NOT(ISERROR(SEARCH("CMS",G81)))</formula>
    </cfRule>
    <cfRule type="cellIs" dxfId="26701" priority="343" operator="equal">
      <formula>0</formula>
    </cfRule>
    <cfRule type="cellIs" dxfId="26700" priority="344" operator="greaterThan">
      <formula>0</formula>
    </cfRule>
  </conditionalFormatting>
  <conditionalFormatting sqref="G51:M52">
    <cfRule type="cellIs" dxfId="26699" priority="333" operator="equal">
      <formula>"PMS"</formula>
    </cfRule>
    <cfRule type="containsText" dxfId="26698" priority="334" operator="containsText" text="CMS">
      <formula>NOT(ISERROR(SEARCH("CMS",G51)))</formula>
    </cfRule>
    <cfRule type="cellIs" dxfId="26697" priority="335" operator="equal">
      <formula>0</formula>
    </cfRule>
    <cfRule type="cellIs" dxfId="26696" priority="336" operator="greaterThan">
      <formula>0</formula>
    </cfRule>
    <cfRule type="cellIs" dxfId="26695" priority="337" operator="equal">
      <formula>"PMS"</formula>
    </cfRule>
    <cfRule type="containsText" dxfId="26694" priority="338" operator="containsText" text="CMS">
      <formula>NOT(ISERROR(SEARCH("CMS",G51)))</formula>
    </cfRule>
    <cfRule type="cellIs" dxfId="26693" priority="339" operator="equal">
      <formula>0</formula>
    </cfRule>
    <cfRule type="cellIs" dxfId="26692" priority="340" operator="greaterThan">
      <formula>0</formula>
    </cfRule>
  </conditionalFormatting>
  <conditionalFormatting sqref="G51:M52">
    <cfRule type="cellIs" dxfId="26691" priority="329" operator="equal">
      <formula>"PMS"</formula>
    </cfRule>
    <cfRule type="containsText" dxfId="26690" priority="330" operator="containsText" text="CMS">
      <formula>NOT(ISERROR(SEARCH("CMS",G51)))</formula>
    </cfRule>
    <cfRule type="cellIs" dxfId="26689" priority="331" operator="equal">
      <formula>0</formula>
    </cfRule>
    <cfRule type="cellIs" dxfId="26688" priority="332" operator="greaterThan">
      <formula>0</formula>
    </cfRule>
  </conditionalFormatting>
  <conditionalFormatting sqref="G51:M52">
    <cfRule type="cellIs" dxfId="26687" priority="325" operator="equal">
      <formula>"PMS"</formula>
    </cfRule>
    <cfRule type="containsText" dxfId="26686" priority="326" operator="containsText" text="CMS">
      <formula>NOT(ISERROR(SEARCH("CMS",G51)))</formula>
    </cfRule>
    <cfRule type="cellIs" dxfId="26685" priority="327" operator="equal">
      <formula>0</formula>
    </cfRule>
    <cfRule type="cellIs" dxfId="26684" priority="328" operator="greaterThan">
      <formula>0</formula>
    </cfRule>
  </conditionalFormatting>
  <conditionalFormatting sqref="G57:G58">
    <cfRule type="cellIs" dxfId="26683" priority="161" operator="equal">
      <formula>"PMS"</formula>
    </cfRule>
    <cfRule type="containsText" dxfId="26682" priority="162" operator="containsText" text="CMS">
      <formula>NOT(ISERROR(SEARCH("CMS",G57)))</formula>
    </cfRule>
    <cfRule type="cellIs" dxfId="26681" priority="163" operator="equal">
      <formula>0</formula>
    </cfRule>
    <cfRule type="cellIs" dxfId="26680" priority="164" operator="greaterThan">
      <formula>0</formula>
    </cfRule>
    <cfRule type="cellIs" dxfId="26679" priority="165" operator="equal">
      <formula>"PMS"</formula>
    </cfRule>
    <cfRule type="containsText" dxfId="26678" priority="166" operator="containsText" text="CMS">
      <formula>NOT(ISERROR(SEARCH("CMS",G57)))</formula>
    </cfRule>
    <cfRule type="cellIs" dxfId="26677" priority="167" operator="equal">
      <formula>0</formula>
    </cfRule>
    <cfRule type="cellIs" dxfId="26676" priority="168" operator="greaterThan">
      <formula>0</formula>
    </cfRule>
  </conditionalFormatting>
  <conditionalFormatting sqref="G57:G58">
    <cfRule type="cellIs" dxfId="26675" priority="157" operator="equal">
      <formula>"PMS"</formula>
    </cfRule>
    <cfRule type="containsText" dxfId="26674" priority="158" operator="containsText" text="CMS">
      <formula>NOT(ISERROR(SEARCH("CMS",G57)))</formula>
    </cfRule>
    <cfRule type="cellIs" dxfId="26673" priority="159" operator="equal">
      <formula>0</formula>
    </cfRule>
    <cfRule type="cellIs" dxfId="26672" priority="160" operator="greaterThan">
      <formula>0</formula>
    </cfRule>
  </conditionalFormatting>
  <conditionalFormatting sqref="G57:G58">
    <cfRule type="cellIs" dxfId="26671" priority="153" operator="equal">
      <formula>"PMS"</formula>
    </cfRule>
    <cfRule type="containsText" dxfId="26670" priority="154" operator="containsText" text="CMS">
      <formula>NOT(ISERROR(SEARCH("CMS",G57)))</formula>
    </cfRule>
    <cfRule type="cellIs" dxfId="26669" priority="155" operator="equal">
      <formula>0</formula>
    </cfRule>
    <cfRule type="cellIs" dxfId="26668" priority="156" operator="greaterThan">
      <formula>0</formula>
    </cfRule>
  </conditionalFormatting>
  <conditionalFormatting sqref="G32:AC32">
    <cfRule type="cellIs" dxfId="26667" priority="145" operator="equal">
      <formula>"PMS"</formula>
    </cfRule>
    <cfRule type="containsText" dxfId="26666" priority="146" operator="containsText" text="CMS">
      <formula>NOT(ISERROR(SEARCH("CMS",G32)))</formula>
    </cfRule>
    <cfRule type="cellIs" dxfId="26665" priority="147" operator="equal">
      <formula>0</formula>
    </cfRule>
    <cfRule type="cellIs" dxfId="26664" priority="148" operator="greaterThan">
      <formula>0</formula>
    </cfRule>
    <cfRule type="cellIs" dxfId="26663" priority="149" operator="equal">
      <formula>"PMS"</formula>
    </cfRule>
    <cfRule type="containsText" dxfId="26662" priority="150" operator="containsText" text="CMS">
      <formula>NOT(ISERROR(SEARCH("CMS",G32)))</formula>
    </cfRule>
    <cfRule type="cellIs" dxfId="26661" priority="151" operator="equal">
      <formula>0</formula>
    </cfRule>
    <cfRule type="cellIs" dxfId="26660" priority="152" operator="greaterThan">
      <formula>0</formula>
    </cfRule>
  </conditionalFormatting>
  <conditionalFormatting sqref="G32:AC32">
    <cfRule type="cellIs" dxfId="26659" priority="141" operator="equal">
      <formula>"PMS"</formula>
    </cfRule>
    <cfRule type="containsText" dxfId="26658" priority="142" operator="containsText" text="CMS">
      <formula>NOT(ISERROR(SEARCH("CMS",G32)))</formula>
    </cfRule>
    <cfRule type="cellIs" dxfId="26657" priority="143" operator="equal">
      <formula>0</formula>
    </cfRule>
    <cfRule type="cellIs" dxfId="26656" priority="144" operator="greaterThan">
      <formula>0</formula>
    </cfRule>
  </conditionalFormatting>
  <conditionalFormatting sqref="G32:AC32">
    <cfRule type="cellIs" dxfId="26655" priority="137" operator="equal">
      <formula>"PMS"</formula>
    </cfRule>
    <cfRule type="containsText" dxfId="26654" priority="138" operator="containsText" text="CMS">
      <formula>NOT(ISERROR(SEARCH("CMS",G32)))</formula>
    </cfRule>
    <cfRule type="cellIs" dxfId="26653" priority="139" operator="equal">
      <formula>0</formula>
    </cfRule>
    <cfRule type="cellIs" dxfId="26652" priority="140" operator="greaterThan">
      <formula>0</formula>
    </cfRule>
  </conditionalFormatting>
  <conditionalFormatting sqref="F20:F21 F27:F28 F24 F77:F78 F13:F16 F61:F63 F66:F74 F35:F58">
    <cfRule type="cellIs" dxfId="26651" priority="129" operator="equal">
      <formula>"PMS"</formula>
    </cfRule>
    <cfRule type="containsText" dxfId="26650" priority="130" operator="containsText" text="CMS">
      <formula>NOT(ISERROR(SEARCH("CMS",F13)))</formula>
    </cfRule>
    <cfRule type="cellIs" dxfId="26649" priority="131" operator="equal">
      <formula>0</formula>
    </cfRule>
    <cfRule type="cellIs" dxfId="26648" priority="132" operator="greaterThan">
      <formula>0</formula>
    </cfRule>
    <cfRule type="cellIs" dxfId="26647" priority="133" operator="equal">
      <formula>"PMS"</formula>
    </cfRule>
    <cfRule type="containsText" dxfId="26646" priority="134" operator="containsText" text="CMS">
      <formula>NOT(ISERROR(SEARCH("CMS",F13)))</formula>
    </cfRule>
    <cfRule type="cellIs" dxfId="26645" priority="135" operator="equal">
      <formula>0</formula>
    </cfRule>
    <cfRule type="cellIs" dxfId="26644" priority="136" operator="greaterThan">
      <formula>0</formula>
    </cfRule>
  </conditionalFormatting>
  <conditionalFormatting sqref="F77:F78 F61:F63 F66:F74">
    <cfRule type="cellIs" dxfId="26643" priority="125" operator="equal">
      <formula>"PMS"</formula>
    </cfRule>
    <cfRule type="containsText" dxfId="26642" priority="126" operator="containsText" text="CMS">
      <formula>NOT(ISERROR(SEARCH("CMS",F61)))</formula>
    </cfRule>
    <cfRule type="cellIs" dxfId="26641" priority="127" operator="equal">
      <formula>0</formula>
    </cfRule>
    <cfRule type="cellIs" dxfId="26640" priority="128" operator="greaterThan">
      <formula>0</formula>
    </cfRule>
  </conditionalFormatting>
  <conditionalFormatting sqref="F66:F74">
    <cfRule type="cellIs" dxfId="26639" priority="121" operator="equal">
      <formula>"PMS"</formula>
    </cfRule>
    <cfRule type="containsText" dxfId="26638" priority="122" operator="containsText" text="CMS">
      <formula>NOT(ISERROR(SEARCH("CMS",F66)))</formula>
    </cfRule>
    <cfRule type="cellIs" dxfId="26637" priority="123" operator="equal">
      <formula>0</formula>
    </cfRule>
    <cfRule type="cellIs" dxfId="26636" priority="124" operator="greaterThan">
      <formula>0</formula>
    </cfRule>
  </conditionalFormatting>
  <conditionalFormatting sqref="F13:F16">
    <cfRule type="cellIs" dxfId="26635" priority="117" operator="equal">
      <formula>"PMS"</formula>
    </cfRule>
    <cfRule type="containsText" dxfId="26634" priority="118" operator="containsText" text="CMS">
      <formula>NOT(ISERROR(SEARCH("CMS",F13)))</formula>
    </cfRule>
    <cfRule type="cellIs" dxfId="26633" priority="119" operator="equal">
      <formula>0</formula>
    </cfRule>
    <cfRule type="cellIs" dxfId="26632" priority="120" operator="greaterThan">
      <formula>0</formula>
    </cfRule>
  </conditionalFormatting>
  <conditionalFormatting sqref="F13:F16">
    <cfRule type="cellIs" dxfId="26631" priority="113" operator="equal">
      <formula>"PMS"</formula>
    </cfRule>
    <cfRule type="containsText" dxfId="26630" priority="114" operator="containsText" text="CMS">
      <formula>NOT(ISERROR(SEARCH("CMS",F13)))</formula>
    </cfRule>
    <cfRule type="cellIs" dxfId="26629" priority="115" operator="equal">
      <formula>0</formula>
    </cfRule>
    <cfRule type="cellIs" dxfId="26628" priority="116" operator="greaterThan">
      <formula>0</formula>
    </cfRule>
  </conditionalFormatting>
  <conditionalFormatting sqref="F20:F21">
    <cfRule type="cellIs" dxfId="26627" priority="109" operator="equal">
      <formula>"PMS"</formula>
    </cfRule>
    <cfRule type="containsText" dxfId="26626" priority="110" operator="containsText" text="CMS">
      <formula>NOT(ISERROR(SEARCH("CMS",F20)))</formula>
    </cfRule>
    <cfRule type="cellIs" dxfId="26625" priority="111" operator="equal">
      <formula>0</formula>
    </cfRule>
    <cfRule type="cellIs" dxfId="26624" priority="112" operator="greaterThan">
      <formula>0</formula>
    </cfRule>
  </conditionalFormatting>
  <conditionalFormatting sqref="F20:F21">
    <cfRule type="cellIs" dxfId="26623" priority="105" operator="equal">
      <formula>"PMS"</formula>
    </cfRule>
    <cfRule type="containsText" dxfId="26622" priority="106" operator="containsText" text="CMS">
      <formula>NOT(ISERROR(SEARCH("CMS",F20)))</formula>
    </cfRule>
    <cfRule type="cellIs" dxfId="26621" priority="107" operator="equal">
      <formula>0</formula>
    </cfRule>
    <cfRule type="cellIs" dxfId="26620" priority="108" operator="greaterThan">
      <formula>0</formula>
    </cfRule>
  </conditionalFormatting>
  <conditionalFormatting sqref="F24">
    <cfRule type="cellIs" dxfId="26619" priority="101" operator="equal">
      <formula>"PMS"</formula>
    </cfRule>
    <cfRule type="containsText" dxfId="26618" priority="102" operator="containsText" text="CMS">
      <formula>NOT(ISERROR(SEARCH("CMS",F24)))</formula>
    </cfRule>
    <cfRule type="cellIs" dxfId="26617" priority="103" operator="equal">
      <formula>0</formula>
    </cfRule>
    <cfRule type="cellIs" dxfId="26616" priority="104" operator="greaterThan">
      <formula>0</formula>
    </cfRule>
  </conditionalFormatting>
  <conditionalFormatting sqref="F24">
    <cfRule type="cellIs" dxfId="26615" priority="97" operator="equal">
      <formula>"PMS"</formula>
    </cfRule>
    <cfRule type="containsText" dxfId="26614" priority="98" operator="containsText" text="CMS">
      <formula>NOT(ISERROR(SEARCH("CMS",F24)))</formula>
    </cfRule>
    <cfRule type="cellIs" dxfId="26613" priority="99" operator="equal">
      <formula>0</formula>
    </cfRule>
    <cfRule type="cellIs" dxfId="26612" priority="100" operator="greaterThan">
      <formula>0</formula>
    </cfRule>
  </conditionalFormatting>
  <conditionalFormatting sqref="F27:F28">
    <cfRule type="cellIs" dxfId="26611" priority="93" operator="equal">
      <formula>"PMS"</formula>
    </cfRule>
    <cfRule type="containsText" dxfId="26610" priority="94" operator="containsText" text="CMS">
      <formula>NOT(ISERROR(SEARCH("CMS",F27)))</formula>
    </cfRule>
    <cfRule type="cellIs" dxfId="26609" priority="95" operator="equal">
      <formula>0</formula>
    </cfRule>
    <cfRule type="cellIs" dxfId="26608" priority="96" operator="greaterThan">
      <formula>0</formula>
    </cfRule>
  </conditionalFormatting>
  <conditionalFormatting sqref="F27:F28">
    <cfRule type="cellIs" dxfId="26607" priority="89" operator="equal">
      <formula>"PMS"</formula>
    </cfRule>
    <cfRule type="containsText" dxfId="26606" priority="90" operator="containsText" text="CMS">
      <formula>NOT(ISERROR(SEARCH("CMS",F27)))</formula>
    </cfRule>
    <cfRule type="cellIs" dxfId="26605" priority="91" operator="equal">
      <formula>0</formula>
    </cfRule>
    <cfRule type="cellIs" dxfId="26604" priority="92" operator="greaterThan">
      <formula>0</formula>
    </cfRule>
  </conditionalFormatting>
  <conditionalFormatting sqref="F35:F58">
    <cfRule type="cellIs" dxfId="26603" priority="85" operator="equal">
      <formula>"PMS"</formula>
    </cfRule>
    <cfRule type="containsText" dxfId="26602" priority="86" operator="containsText" text="CMS">
      <formula>NOT(ISERROR(SEARCH("CMS",F35)))</formula>
    </cfRule>
    <cfRule type="cellIs" dxfId="26601" priority="87" operator="equal">
      <formula>0</formula>
    </cfRule>
    <cfRule type="cellIs" dxfId="26600" priority="88" operator="greaterThan">
      <formula>0</formula>
    </cfRule>
  </conditionalFormatting>
  <conditionalFormatting sqref="F35:F58">
    <cfRule type="cellIs" dxfId="26599" priority="81" operator="equal">
      <formula>"PMS"</formula>
    </cfRule>
    <cfRule type="containsText" dxfId="26598" priority="82" operator="containsText" text="CMS">
      <formula>NOT(ISERROR(SEARCH("CMS",F35)))</formula>
    </cfRule>
    <cfRule type="cellIs" dxfId="26597" priority="83" operator="equal">
      <formula>0</formula>
    </cfRule>
    <cfRule type="cellIs" dxfId="26596" priority="84" operator="greaterThan">
      <formula>0</formula>
    </cfRule>
  </conditionalFormatting>
  <conditionalFormatting sqref="F13">
    <cfRule type="cellIs" dxfId="26595" priority="77" operator="equal">
      <formula>"PMS"</formula>
    </cfRule>
    <cfRule type="containsText" dxfId="26594" priority="78" operator="containsText" text="CMS">
      <formula>NOT(ISERROR(SEARCH("CMS",F13)))</formula>
    </cfRule>
    <cfRule type="cellIs" dxfId="26593" priority="79" operator="equal">
      <formula>0</formula>
    </cfRule>
    <cfRule type="cellIs" dxfId="26592" priority="80" operator="greaterThan">
      <formula>0</formula>
    </cfRule>
  </conditionalFormatting>
  <conditionalFormatting sqref="F13">
    <cfRule type="cellIs" dxfId="26591" priority="73" operator="equal">
      <formula>"PMS"</formula>
    </cfRule>
    <cfRule type="containsText" dxfId="26590" priority="74" operator="containsText" text="CMS">
      <formula>NOT(ISERROR(SEARCH("CMS",F13)))</formula>
    </cfRule>
    <cfRule type="cellIs" dxfId="26589" priority="75" operator="equal">
      <formula>0</formula>
    </cfRule>
    <cfRule type="cellIs" dxfId="26588" priority="76" operator="greaterThan">
      <formula>0</formula>
    </cfRule>
  </conditionalFormatting>
  <conditionalFormatting sqref="F57">
    <cfRule type="cellIs" dxfId="26587" priority="69" operator="equal">
      <formula>"PMS"</formula>
    </cfRule>
    <cfRule type="containsText" dxfId="26586" priority="70" operator="containsText" text="CMS">
      <formula>NOT(ISERROR(SEARCH("CMS",F57)))</formula>
    </cfRule>
    <cfRule type="cellIs" dxfId="26585" priority="71" operator="equal">
      <formula>0</formula>
    </cfRule>
    <cfRule type="cellIs" dxfId="26584" priority="72" operator="greaterThan">
      <formula>0</formula>
    </cfRule>
  </conditionalFormatting>
  <conditionalFormatting sqref="F57">
    <cfRule type="cellIs" dxfId="26583" priority="65" operator="equal">
      <formula>"PMS"</formula>
    </cfRule>
    <cfRule type="containsText" dxfId="26582" priority="66" operator="containsText" text="CMS">
      <formula>NOT(ISERROR(SEARCH("CMS",F57)))</formula>
    </cfRule>
    <cfRule type="cellIs" dxfId="26581" priority="67" operator="equal">
      <formula>0</formula>
    </cfRule>
    <cfRule type="cellIs" dxfId="26580" priority="68" operator="greaterThan">
      <formula>0</formula>
    </cfRule>
  </conditionalFormatting>
  <conditionalFormatting sqref="F57">
    <cfRule type="cellIs" dxfId="26579" priority="61" operator="equal">
      <formula>"PMS"</formula>
    </cfRule>
    <cfRule type="containsText" dxfId="26578" priority="62" operator="containsText" text="CMS">
      <formula>NOT(ISERROR(SEARCH("CMS",F57)))</formula>
    </cfRule>
    <cfRule type="cellIs" dxfId="26577" priority="63" operator="equal">
      <formula>0</formula>
    </cfRule>
    <cfRule type="cellIs" dxfId="26576" priority="64" operator="greaterThan">
      <formula>0</formula>
    </cfRule>
  </conditionalFormatting>
  <conditionalFormatting sqref="F57">
    <cfRule type="cellIs" dxfId="26575" priority="57" operator="equal">
      <formula>"PMS"</formula>
    </cfRule>
    <cfRule type="containsText" dxfId="26574" priority="58" operator="containsText" text="CMS">
      <formula>NOT(ISERROR(SEARCH("CMS",F57)))</formula>
    </cfRule>
    <cfRule type="cellIs" dxfId="26573" priority="59" operator="equal">
      <formula>0</formula>
    </cfRule>
    <cfRule type="cellIs" dxfId="26572" priority="60" operator="greaterThan">
      <formula>0</formula>
    </cfRule>
  </conditionalFormatting>
  <conditionalFormatting sqref="F58">
    <cfRule type="cellIs" dxfId="26571" priority="53" operator="equal">
      <formula>"PMS"</formula>
    </cfRule>
    <cfRule type="containsText" dxfId="26570" priority="54" operator="containsText" text="CMS">
      <formula>NOT(ISERROR(SEARCH("CMS",F58)))</formula>
    </cfRule>
    <cfRule type="cellIs" dxfId="26569" priority="55" operator="equal">
      <formula>0</formula>
    </cfRule>
    <cfRule type="cellIs" dxfId="26568" priority="56" operator="greaterThan">
      <formula>0</formula>
    </cfRule>
  </conditionalFormatting>
  <conditionalFormatting sqref="F58">
    <cfRule type="cellIs" dxfId="26567" priority="49" operator="equal">
      <formula>"PMS"</formula>
    </cfRule>
    <cfRule type="containsText" dxfId="26566" priority="50" operator="containsText" text="CMS">
      <formula>NOT(ISERROR(SEARCH("CMS",F58)))</formula>
    </cfRule>
    <cfRule type="cellIs" dxfId="26565" priority="51" operator="equal">
      <formula>0</formula>
    </cfRule>
    <cfRule type="cellIs" dxfId="26564" priority="52" operator="greaterThan">
      <formula>0</formula>
    </cfRule>
  </conditionalFormatting>
  <conditionalFormatting sqref="F58">
    <cfRule type="cellIs" dxfId="26563" priority="45" operator="equal">
      <formula>"PMS"</formula>
    </cfRule>
    <cfRule type="containsText" dxfId="26562" priority="46" operator="containsText" text="CMS">
      <formula>NOT(ISERROR(SEARCH("CMS",F58)))</formula>
    </cfRule>
    <cfRule type="cellIs" dxfId="26561" priority="47" operator="equal">
      <formula>0</formula>
    </cfRule>
    <cfRule type="cellIs" dxfId="26560" priority="48" operator="greaterThan">
      <formula>0</formula>
    </cfRule>
  </conditionalFormatting>
  <conditionalFormatting sqref="F58">
    <cfRule type="cellIs" dxfId="26559" priority="41" operator="equal">
      <formula>"PMS"</formula>
    </cfRule>
    <cfRule type="containsText" dxfId="26558" priority="42" operator="containsText" text="CMS">
      <formula>NOT(ISERROR(SEARCH("CMS",F58)))</formula>
    </cfRule>
    <cfRule type="cellIs" dxfId="26557" priority="43" operator="equal">
      <formula>0</formula>
    </cfRule>
    <cfRule type="cellIs" dxfId="26556" priority="44" operator="greaterThan">
      <formula>0</formula>
    </cfRule>
  </conditionalFormatting>
  <conditionalFormatting sqref="F19">
    <cfRule type="cellIs" dxfId="26555" priority="37" operator="equal">
      <formula>"CMS"</formula>
    </cfRule>
    <cfRule type="cellIs" dxfId="26554" priority="38" operator="equal">
      <formula>"PMS"</formula>
    </cfRule>
    <cfRule type="cellIs" dxfId="26553" priority="39" operator="greaterThan">
      <formula>0</formula>
    </cfRule>
    <cfRule type="cellIs" dxfId="26552" priority="40" operator="equal">
      <formula>0</formula>
    </cfRule>
  </conditionalFormatting>
  <conditionalFormatting sqref="F29">
    <cfRule type="cellIs" dxfId="26551" priority="29" operator="equal">
      <formula>"PMS"</formula>
    </cfRule>
    <cfRule type="containsText" dxfId="26550" priority="30" operator="containsText" text="CMS">
      <formula>NOT(ISERROR(SEARCH("CMS",F29)))</formula>
    </cfRule>
    <cfRule type="cellIs" dxfId="26549" priority="31" operator="equal">
      <formula>0</formula>
    </cfRule>
    <cfRule type="cellIs" dxfId="26548" priority="32" operator="greaterThan">
      <formula>0</formula>
    </cfRule>
    <cfRule type="cellIs" dxfId="26547" priority="33" operator="equal">
      <formula>"PMS"</formula>
    </cfRule>
    <cfRule type="containsText" dxfId="26546" priority="34" operator="containsText" text="CMS">
      <formula>NOT(ISERROR(SEARCH("CMS",F29)))</formula>
    </cfRule>
    <cfRule type="cellIs" dxfId="26545" priority="35" operator="equal">
      <formula>0</formula>
    </cfRule>
    <cfRule type="cellIs" dxfId="26544" priority="36" operator="greaterThan">
      <formula>0</formula>
    </cfRule>
  </conditionalFormatting>
  <conditionalFormatting sqref="F81">
    <cfRule type="cellIs" dxfId="26543" priority="21" operator="equal">
      <formula>"PMS"</formula>
    </cfRule>
    <cfRule type="containsText" dxfId="26542" priority="22" operator="containsText" text="CMS">
      <formula>NOT(ISERROR(SEARCH("CMS",F81)))</formula>
    </cfRule>
    <cfRule type="cellIs" dxfId="26541" priority="23" operator="equal">
      <formula>0</formula>
    </cfRule>
    <cfRule type="cellIs" dxfId="26540" priority="24" operator="greaterThan">
      <formula>0</formula>
    </cfRule>
    <cfRule type="cellIs" dxfId="26539" priority="25" operator="equal">
      <formula>"PMS"</formula>
    </cfRule>
    <cfRule type="containsText" dxfId="26538" priority="26" operator="containsText" text="CMS">
      <formula>NOT(ISERROR(SEARCH("CMS",F81)))</formula>
    </cfRule>
    <cfRule type="cellIs" dxfId="26537" priority="27" operator="equal">
      <formula>0</formula>
    </cfRule>
    <cfRule type="cellIs" dxfId="26536" priority="28" operator="greaterThan">
      <formula>0</formula>
    </cfRule>
  </conditionalFormatting>
  <conditionalFormatting sqref="F81">
    <cfRule type="cellIs" dxfId="26535" priority="17" operator="equal">
      <formula>"PMS"</formula>
    </cfRule>
    <cfRule type="containsText" dxfId="26534" priority="18" operator="containsText" text="CMS">
      <formula>NOT(ISERROR(SEARCH("CMS",F81)))</formula>
    </cfRule>
    <cfRule type="cellIs" dxfId="26533" priority="19" operator="equal">
      <formula>0</formula>
    </cfRule>
    <cfRule type="cellIs" dxfId="26532" priority="20" operator="greaterThan">
      <formula>0</formula>
    </cfRule>
  </conditionalFormatting>
  <conditionalFormatting sqref="F32">
    <cfRule type="cellIs" dxfId="26531" priority="9" operator="equal">
      <formula>"PMS"</formula>
    </cfRule>
    <cfRule type="containsText" dxfId="26530" priority="10" operator="containsText" text="CMS">
      <formula>NOT(ISERROR(SEARCH("CMS",F32)))</formula>
    </cfRule>
    <cfRule type="cellIs" dxfId="26529" priority="11" operator="equal">
      <formula>0</formula>
    </cfRule>
    <cfRule type="cellIs" dxfId="26528" priority="12" operator="greaterThan">
      <formula>0</formula>
    </cfRule>
    <cfRule type="cellIs" dxfId="26527" priority="13" operator="equal">
      <formula>"PMS"</formula>
    </cfRule>
    <cfRule type="containsText" dxfId="26526" priority="14" operator="containsText" text="CMS">
      <formula>NOT(ISERROR(SEARCH("CMS",F32)))</formula>
    </cfRule>
    <cfRule type="cellIs" dxfId="26525" priority="15" operator="equal">
      <formula>0</formula>
    </cfRule>
    <cfRule type="cellIs" dxfId="26524" priority="16" operator="greaterThan">
      <formula>0</formula>
    </cfRule>
  </conditionalFormatting>
  <conditionalFormatting sqref="F32">
    <cfRule type="cellIs" dxfId="26523" priority="5" operator="equal">
      <formula>"PMS"</formula>
    </cfRule>
    <cfRule type="containsText" dxfId="26522" priority="6" operator="containsText" text="CMS">
      <formula>NOT(ISERROR(SEARCH("CMS",F32)))</formula>
    </cfRule>
    <cfRule type="cellIs" dxfId="26521" priority="7" operator="equal">
      <formula>0</formula>
    </cfRule>
    <cfRule type="cellIs" dxfId="26520" priority="8" operator="greaterThan">
      <formula>0</formula>
    </cfRule>
  </conditionalFormatting>
  <conditionalFormatting sqref="F32">
    <cfRule type="cellIs" dxfId="26519" priority="1" operator="equal">
      <formula>"PMS"</formula>
    </cfRule>
    <cfRule type="containsText" dxfId="26518" priority="2" operator="containsText" text="CMS">
      <formula>NOT(ISERROR(SEARCH("CMS",F32)))</formula>
    </cfRule>
    <cfRule type="cellIs" dxfId="26517" priority="3" operator="equal">
      <formula>0</formula>
    </cfRule>
    <cfRule type="cellIs" dxfId="2651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7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3F9A-4D8B-43C0-B641-2A6A9FFA83DD}">
  <sheetPr codeName="Sheet106"/>
  <dimension ref="A2:DT137"/>
  <sheetViews>
    <sheetView zoomScale="80" zoomScaleNormal="80" zoomScaleSheetLayoutView="51" zoomScalePageLayoutView="55" workbookViewId="0">
      <pane xSplit="5" ySplit="11" topLeftCell="G12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Z24" sqref="Z2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9,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391.39999999999992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6.6</v>
      </c>
      <c r="H13" s="71">
        <v>6.3</v>
      </c>
      <c r="I13" s="71">
        <v>6.5</v>
      </c>
      <c r="J13" s="71">
        <v>6.7</v>
      </c>
      <c r="K13" s="71">
        <v>6.7</v>
      </c>
      <c r="L13" s="71">
        <v>6.7</v>
      </c>
      <c r="M13" s="71">
        <v>6.6</v>
      </c>
      <c r="N13" s="71">
        <v>6.5</v>
      </c>
      <c r="O13" s="219">
        <v>6.5</v>
      </c>
      <c r="P13" s="219">
        <v>6.7</v>
      </c>
      <c r="Q13" s="71">
        <v>6.7</v>
      </c>
      <c r="R13" s="71">
        <v>6.6</v>
      </c>
      <c r="S13" s="71">
        <v>6.6</v>
      </c>
      <c r="T13" s="71">
        <v>6.3</v>
      </c>
      <c r="U13" s="71">
        <v>6.3</v>
      </c>
      <c r="V13" s="71">
        <v>6.7</v>
      </c>
      <c r="W13" s="71">
        <v>6.7</v>
      </c>
      <c r="X13" s="71">
        <v>6.7</v>
      </c>
      <c r="Y13" s="71">
        <v>6.5</v>
      </c>
      <c r="Z13" s="71">
        <v>6.7</v>
      </c>
      <c r="AA13" s="71"/>
      <c r="AB13" s="71">
        <v>0.6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6.6</v>
      </c>
      <c r="G14" s="71">
        <v>6.6</v>
      </c>
      <c r="H14" s="71">
        <v>6.3</v>
      </c>
      <c r="I14" s="71"/>
      <c r="J14" s="71"/>
      <c r="K14" s="71"/>
      <c r="L14" s="71"/>
      <c r="M14" s="71"/>
      <c r="N14" s="71"/>
      <c r="O14" s="219"/>
      <c r="P14" s="219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3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219"/>
      <c r="P15" s="219">
        <v>6.6</v>
      </c>
      <c r="Q15" s="71">
        <v>6.7</v>
      </c>
      <c r="R15" s="71">
        <v>6.6</v>
      </c>
      <c r="S15" s="71">
        <v>6.6</v>
      </c>
      <c r="T15" s="71">
        <v>6.4</v>
      </c>
      <c r="U15" s="71">
        <v>6.3</v>
      </c>
      <c r="V15" s="71">
        <v>6.7</v>
      </c>
      <c r="W15" s="71">
        <v>6.7</v>
      </c>
      <c r="X15" s="71">
        <v>6.7</v>
      </c>
      <c r="Y15" s="71">
        <v>6.6</v>
      </c>
      <c r="Z15" s="71">
        <v>6.7</v>
      </c>
      <c r="AA15" s="71"/>
      <c r="AB15" s="71">
        <v>1.1000000000000001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13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6.3</v>
      </c>
      <c r="I16" s="71">
        <v>6.5</v>
      </c>
      <c r="J16" s="71">
        <v>6.7</v>
      </c>
      <c r="K16" s="71">
        <v>6.7</v>
      </c>
      <c r="L16" s="71">
        <v>6.7</v>
      </c>
      <c r="M16" s="71">
        <v>6.6</v>
      </c>
      <c r="N16" s="71">
        <v>6.5</v>
      </c>
      <c r="O16" s="71">
        <v>6.6</v>
      </c>
      <c r="P16" s="219">
        <v>6.5</v>
      </c>
      <c r="Q16" s="71">
        <v>6.7</v>
      </c>
      <c r="R16" s="71">
        <v>6.6</v>
      </c>
      <c r="S16" s="71">
        <v>6.6</v>
      </c>
      <c r="T16" s="71">
        <v>6.4</v>
      </c>
      <c r="U16" s="71">
        <v>6.3</v>
      </c>
      <c r="V16" s="71">
        <v>6.7</v>
      </c>
      <c r="W16" s="71">
        <v>6.7</v>
      </c>
      <c r="X16" s="71">
        <v>6.7</v>
      </c>
      <c r="Y16" s="71">
        <v>6.5</v>
      </c>
      <c r="Z16" s="71">
        <v>6.7</v>
      </c>
      <c r="AA16" s="71"/>
      <c r="AB16" s="71">
        <v>1.1000000000000001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19.799999999999997</v>
      </c>
      <c r="H17" s="19">
        <f t="shared" si="0"/>
        <v>18.899999999999999</v>
      </c>
      <c r="I17" s="19">
        <f t="shared" si="0"/>
        <v>13</v>
      </c>
      <c r="J17" s="19">
        <f t="shared" si="0"/>
        <v>13.4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13</v>
      </c>
      <c r="O17" s="19">
        <f t="shared" si="0"/>
        <v>13.1</v>
      </c>
      <c r="P17" s="19">
        <f t="shared" si="0"/>
        <v>19.8</v>
      </c>
      <c r="Q17" s="19">
        <f t="shared" si="0"/>
        <v>20.100000000000001</v>
      </c>
      <c r="R17" s="19">
        <f t="shared" si="0"/>
        <v>19.799999999999997</v>
      </c>
      <c r="S17" s="19">
        <f t="shared" si="0"/>
        <v>19.799999999999997</v>
      </c>
      <c r="T17" s="19">
        <f t="shared" si="0"/>
        <v>19.100000000000001</v>
      </c>
      <c r="U17" s="19">
        <f t="shared" si="0"/>
        <v>18.899999999999999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20.100000000000001</v>
      </c>
      <c r="Y17" s="19">
        <f t="shared" si="0"/>
        <v>19.600000000000001</v>
      </c>
      <c r="Z17" s="19">
        <f t="shared" si="0"/>
        <v>20.100000000000001</v>
      </c>
      <c r="AA17" s="19">
        <f t="shared" si="0"/>
        <v>0</v>
      </c>
      <c r="AB17" s="19">
        <f t="shared" si="0"/>
        <v>2.8000000000000003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45.099999999999994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/>
      <c r="G21" s="71"/>
      <c r="H21" s="71"/>
      <c r="I21" s="71"/>
      <c r="J21" s="71"/>
      <c r="K21" s="71"/>
      <c r="L21" s="71"/>
      <c r="M21" s="71"/>
      <c r="N21" s="71">
        <v>3</v>
      </c>
      <c r="O21" s="219">
        <v>3.3</v>
      </c>
      <c r="P21" s="71">
        <v>3.3</v>
      </c>
      <c r="Q21" s="71">
        <v>3.3</v>
      </c>
      <c r="R21" s="71">
        <v>3.3</v>
      </c>
      <c r="S21" s="71">
        <v>3.2</v>
      </c>
      <c r="T21" s="71">
        <v>3</v>
      </c>
      <c r="U21" s="71">
        <v>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/>
      <c r="AB21" s="71"/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3.2</v>
      </c>
      <c r="T22" s="19">
        <f>SUM(T19:T21)</f>
        <v>3</v>
      </c>
      <c r="U22" s="19">
        <f t="shared" si="1"/>
        <v>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0</v>
      </c>
      <c r="AB22" s="19">
        <f t="shared" si="1"/>
        <v>0</v>
      </c>
      <c r="AC22" s="19">
        <f t="shared" si="1"/>
        <v>3.2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78.699999999999974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3.5</v>
      </c>
      <c r="U24" s="71">
        <v>3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/>
      <c r="AB24" s="71"/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3.5</v>
      </c>
      <c r="U25" s="19">
        <f t="shared" si="3"/>
        <v>3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171.6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3</v>
      </c>
      <c r="H27" s="71">
        <v>3</v>
      </c>
      <c r="I27" s="71">
        <v>4</v>
      </c>
      <c r="J27" s="71">
        <v>4</v>
      </c>
      <c r="K27" s="71">
        <v>4</v>
      </c>
      <c r="L27" s="71">
        <v>4.0999999999999996</v>
      </c>
      <c r="M27" s="71">
        <v>3.8</v>
      </c>
      <c r="N27" s="71">
        <v>3.8</v>
      </c>
      <c r="O27" s="219">
        <v>3.9</v>
      </c>
      <c r="P27" s="71">
        <v>3.9</v>
      </c>
      <c r="Q27" s="71">
        <v>4.2</v>
      </c>
      <c r="R27" s="71">
        <v>4</v>
      </c>
      <c r="S27" s="71">
        <v>3.9</v>
      </c>
      <c r="T27" s="71">
        <v>3</v>
      </c>
      <c r="U27" s="71">
        <v>2.7</v>
      </c>
      <c r="V27" s="71">
        <v>4.2</v>
      </c>
      <c r="W27" s="71">
        <v>4.3</v>
      </c>
      <c r="X27" s="71">
        <v>4</v>
      </c>
      <c r="Y27" s="71">
        <v>3.8</v>
      </c>
      <c r="Z27" s="71">
        <v>3.9</v>
      </c>
      <c r="AA27" s="71">
        <v>2.1</v>
      </c>
      <c r="AB27" s="71">
        <v>2.2999999999999998</v>
      </c>
      <c r="AC27" s="71">
        <v>2.1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3.8</v>
      </c>
      <c r="G28" s="71">
        <v>3</v>
      </c>
      <c r="H28" s="71">
        <v>3</v>
      </c>
      <c r="I28" s="71">
        <v>4</v>
      </c>
      <c r="J28" s="71">
        <v>4</v>
      </c>
      <c r="K28" s="71">
        <v>4</v>
      </c>
      <c r="L28" s="71">
        <v>4.0999999999999996</v>
      </c>
      <c r="M28" s="71">
        <v>3.8</v>
      </c>
      <c r="N28" s="71">
        <v>3.8</v>
      </c>
      <c r="O28" s="219">
        <v>3.9</v>
      </c>
      <c r="P28" s="71">
        <v>3.9</v>
      </c>
      <c r="Q28" s="71">
        <v>4.2</v>
      </c>
      <c r="R28" s="71">
        <v>4</v>
      </c>
      <c r="S28" s="71">
        <v>3.9</v>
      </c>
      <c r="T28" s="71">
        <v>3</v>
      </c>
      <c r="U28" s="71">
        <v>2.7</v>
      </c>
      <c r="V28" s="71">
        <v>4.2</v>
      </c>
      <c r="W28" s="71">
        <v>4.3</v>
      </c>
      <c r="X28" s="71">
        <v>4</v>
      </c>
      <c r="Y28" s="71">
        <v>3.8</v>
      </c>
      <c r="Z28" s="71">
        <v>3.9</v>
      </c>
      <c r="AA28" s="71">
        <v>2.1</v>
      </c>
      <c r="AB28" s="71">
        <v>2.2999999999999998</v>
      </c>
      <c r="AC28" s="71">
        <v>2.1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7.6</v>
      </c>
      <c r="G30" s="19">
        <f t="shared" si="4"/>
        <v>6</v>
      </c>
      <c r="H30" s="19">
        <f t="shared" si="4"/>
        <v>6</v>
      </c>
      <c r="I30" s="19">
        <f t="shared" si="4"/>
        <v>8</v>
      </c>
      <c r="J30" s="19">
        <f t="shared" si="4"/>
        <v>8</v>
      </c>
      <c r="K30" s="19">
        <f t="shared" si="4"/>
        <v>8</v>
      </c>
      <c r="L30" s="19">
        <f t="shared" si="4"/>
        <v>8.1999999999999993</v>
      </c>
      <c r="M30" s="19">
        <f t="shared" si="4"/>
        <v>7.6</v>
      </c>
      <c r="N30" s="19">
        <f t="shared" si="4"/>
        <v>7.6</v>
      </c>
      <c r="O30" s="19">
        <f t="shared" si="4"/>
        <v>7.8</v>
      </c>
      <c r="P30" s="19">
        <f t="shared" si="4"/>
        <v>7.8</v>
      </c>
      <c r="Q30" s="19">
        <f t="shared" si="4"/>
        <v>8.4</v>
      </c>
      <c r="R30" s="19">
        <f t="shared" si="4"/>
        <v>8</v>
      </c>
      <c r="S30" s="19">
        <f t="shared" si="4"/>
        <v>7.8</v>
      </c>
      <c r="T30" s="19">
        <f t="shared" si="4"/>
        <v>6</v>
      </c>
      <c r="U30" s="19">
        <f t="shared" si="4"/>
        <v>5.4</v>
      </c>
      <c r="V30" s="19">
        <f t="shared" si="4"/>
        <v>8.4</v>
      </c>
      <c r="W30" s="19">
        <f t="shared" si="4"/>
        <v>8.6</v>
      </c>
      <c r="X30" s="19">
        <f t="shared" si="4"/>
        <v>8</v>
      </c>
      <c r="Y30" s="19">
        <f t="shared" si="4"/>
        <v>7.6</v>
      </c>
      <c r="Z30" s="19">
        <f t="shared" si="4"/>
        <v>7.8</v>
      </c>
      <c r="AA30" s="19">
        <f t="shared" si="4"/>
        <v>4.2</v>
      </c>
      <c r="AB30" s="19">
        <f t="shared" si="4"/>
        <v>4.5999999999999996</v>
      </c>
      <c r="AC30" s="19">
        <f t="shared" si="4"/>
        <v>4.2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45.499999999999972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0.9</v>
      </c>
      <c r="M38" s="71">
        <v>0.9</v>
      </c>
      <c r="N38" s="71">
        <v>0.9</v>
      </c>
      <c r="O38" s="71">
        <v>0.92</v>
      </c>
      <c r="P38" s="71">
        <v>0</v>
      </c>
      <c r="Q38" s="71">
        <v>0</v>
      </c>
      <c r="R38" s="71"/>
      <c r="S38" s="71"/>
      <c r="T38" s="71"/>
      <c r="U38" s="71"/>
      <c r="V38" s="71"/>
      <c r="W38" s="71"/>
      <c r="X38" s="71">
        <f>3.7/4</f>
        <v>0.92500000000000004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7"/>
        <v>5</v>
      </c>
      <c r="AG38" s="11">
        <f t="shared" si="8"/>
        <v>0</v>
      </c>
      <c r="AH38" s="11">
        <f t="shared" si="9"/>
        <v>13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5">
      <c r="A40" s="70">
        <v>36</v>
      </c>
      <c r="B40" s="15"/>
      <c r="C40" s="15"/>
      <c r="D40" s="15"/>
      <c r="E40" s="15"/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1</v>
      </c>
      <c r="L40" s="71">
        <v>0.9</v>
      </c>
      <c r="M40" s="71">
        <v>0.9</v>
      </c>
      <c r="N40" s="71">
        <v>0.9</v>
      </c>
      <c r="O40" s="71">
        <v>0.92</v>
      </c>
      <c r="P40" s="71">
        <v>0</v>
      </c>
      <c r="Q40" s="71">
        <v>0</v>
      </c>
      <c r="R40" s="71"/>
      <c r="S40" s="71"/>
      <c r="T40" s="71"/>
      <c r="U40" s="71"/>
      <c r="V40" s="71"/>
      <c r="W40" s="71"/>
      <c r="X40" s="71">
        <f t="shared" ref="X40:X41" si="10">3.7/4</f>
        <v>0.92500000000000004</v>
      </c>
      <c r="Y40" s="71">
        <v>0.95</v>
      </c>
      <c r="Z40" s="71">
        <v>0.95</v>
      </c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15</v>
      </c>
    </row>
    <row r="41" spans="1:35" x14ac:dyDescent="0.2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0.95</v>
      </c>
      <c r="L41" s="71">
        <v>0.9</v>
      </c>
      <c r="M41" s="71">
        <v>0.9</v>
      </c>
      <c r="N41" s="71">
        <v>0.9</v>
      </c>
      <c r="O41" s="71">
        <v>0.92</v>
      </c>
      <c r="P41" s="71">
        <v>0.8</v>
      </c>
      <c r="Q41" s="71">
        <v>0</v>
      </c>
      <c r="R41" s="71"/>
      <c r="S41" s="71"/>
      <c r="T41" s="71"/>
      <c r="U41" s="71"/>
      <c r="V41" s="71"/>
      <c r="W41" s="71"/>
      <c r="X41" s="71">
        <f t="shared" si="10"/>
        <v>0.92500000000000004</v>
      </c>
      <c r="Y41" s="71">
        <v>0.95</v>
      </c>
      <c r="Z41" s="71">
        <v>0.95</v>
      </c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15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0.95</v>
      </c>
      <c r="L43" s="71">
        <v>0.9</v>
      </c>
      <c r="M43" s="71">
        <v>0.9</v>
      </c>
      <c r="N43" s="71">
        <v>0.9</v>
      </c>
      <c r="O43" s="71">
        <v>0.92</v>
      </c>
      <c r="P43" s="71">
        <v>0</v>
      </c>
      <c r="Q43" s="71">
        <v>0</v>
      </c>
      <c r="R43" s="71"/>
      <c r="S43" s="71"/>
      <c r="T43" s="71"/>
      <c r="U43" s="71"/>
      <c r="V43" s="71"/>
      <c r="W43" s="71"/>
      <c r="X43" s="71">
        <f>3.7/4</f>
        <v>0.92500000000000004</v>
      </c>
      <c r="Y43" s="71">
        <v>0.9</v>
      </c>
      <c r="Z43" s="71">
        <v>0.9</v>
      </c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19">
        <f>1.62/2</f>
        <v>0.81</v>
      </c>
      <c r="P44" s="71">
        <v>0</v>
      </c>
      <c r="Q44" s="71">
        <v>0</v>
      </c>
      <c r="R44" s="71"/>
      <c r="S44" s="71"/>
      <c r="T44" s="71"/>
      <c r="U44" s="71"/>
      <c r="V44" s="71"/>
      <c r="W44" s="71"/>
      <c r="X44" s="71"/>
      <c r="Y44" s="71">
        <v>0.8</v>
      </c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13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219">
        <v>0</v>
      </c>
      <c r="P45" s="71">
        <v>0</v>
      </c>
      <c r="Q45" s="71">
        <v>0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12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N46" s="71">
        <v>0</v>
      </c>
      <c r="O46" s="219">
        <v>0</v>
      </c>
      <c r="P46" s="71">
        <v>0</v>
      </c>
      <c r="Q46" s="71">
        <v>0</v>
      </c>
      <c r="R46" s="71">
        <v>0.75</v>
      </c>
      <c r="S46" s="71"/>
      <c r="T46" s="71"/>
      <c r="U46" s="71"/>
      <c r="V46" s="71"/>
      <c r="W46" s="71"/>
      <c r="X46" s="71"/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15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>
        <v>0.8</v>
      </c>
      <c r="J47" s="71">
        <v>0.8</v>
      </c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>
        <f>2.3/3</f>
        <v>0.76666666666666661</v>
      </c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3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219">
        <v>0</v>
      </c>
      <c r="P48" s="71">
        <v>0</v>
      </c>
      <c r="Q48" s="71">
        <v>0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12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>
        <v>0.75</v>
      </c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t="16.5" customHeight="1" x14ac:dyDescent="0.25">
      <c r="A53" s="70" t="s">
        <v>44</v>
      </c>
      <c r="B53" s="15"/>
      <c r="C53" s="15">
        <v>0.8</v>
      </c>
      <c r="D53" s="15"/>
      <c r="E53" s="15"/>
      <c r="F53" s="71">
        <v>0</v>
      </c>
      <c r="G53" s="71">
        <v>0</v>
      </c>
      <c r="H53" s="71"/>
      <c r="I53" s="71">
        <v>0.8</v>
      </c>
      <c r="J53" s="71">
        <v>0.8</v>
      </c>
      <c r="K53" s="71"/>
      <c r="L53" s="71"/>
      <c r="M53" s="71">
        <f>1.5/2</f>
        <v>0.75</v>
      </c>
      <c r="N53" s="71">
        <f>1.5/2</f>
        <v>0.75</v>
      </c>
      <c r="O53" s="219">
        <v>0</v>
      </c>
      <c r="P53" s="71">
        <v>0</v>
      </c>
      <c r="Q53" s="71">
        <v>0</v>
      </c>
      <c r="R53" s="71"/>
      <c r="S53" s="71"/>
      <c r="T53" s="71"/>
      <c r="U53" s="71"/>
      <c r="V53" s="71"/>
      <c r="W53" s="71">
        <f>2.3/3</f>
        <v>0.76666666666666661</v>
      </c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10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f>1.5/2</f>
        <v>0.75</v>
      </c>
      <c r="N54" s="71">
        <v>0</v>
      </c>
      <c r="O54" s="219">
        <v>0</v>
      </c>
      <c r="P54" s="71">
        <v>0</v>
      </c>
      <c r="Q54" s="71">
        <v>0</v>
      </c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5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>
        <v>0.8</v>
      </c>
      <c r="J55" s="71">
        <v>0.8</v>
      </c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>
        <f>2.3/3</f>
        <v>0.76666666666666661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9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>
        <v>0</v>
      </c>
      <c r="O56" s="219">
        <v>0</v>
      </c>
      <c r="P56" s="71">
        <v>0</v>
      </c>
      <c r="Q56" s="71">
        <v>0</v>
      </c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13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19">
        <f>1.62/2</f>
        <v>0.81</v>
      </c>
      <c r="P57" s="219">
        <v>0</v>
      </c>
      <c r="Q57" s="71">
        <v>0</v>
      </c>
      <c r="R57" s="71"/>
      <c r="S57" s="71"/>
      <c r="T57" s="71"/>
      <c r="U57" s="71"/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13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>
        <f>1.5/2</f>
        <v>0.75</v>
      </c>
      <c r="O58" s="219">
        <v>0</v>
      </c>
      <c r="P58" s="219">
        <v>0</v>
      </c>
      <c r="Q58" s="71">
        <v>0</v>
      </c>
      <c r="R58" s="71"/>
      <c r="S58" s="71"/>
      <c r="T58" s="71"/>
      <c r="U58" s="71"/>
      <c r="V58" s="71"/>
      <c r="W58" s="71"/>
      <c r="X58" s="71"/>
      <c r="Y58" s="71">
        <v>0.8</v>
      </c>
      <c r="Z58" s="71"/>
      <c r="AA58" s="71"/>
      <c r="AB58" s="71"/>
      <c r="AC58" s="71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13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1">SUM(F35:F58)</f>
        <v>0</v>
      </c>
      <c r="G59" s="19">
        <f t="shared" si="11"/>
        <v>0</v>
      </c>
      <c r="H59" s="19">
        <f t="shared" si="11"/>
        <v>0</v>
      </c>
      <c r="I59" s="19">
        <f t="shared" si="11"/>
        <v>2.4000000000000004</v>
      </c>
      <c r="J59" s="19">
        <f t="shared" si="11"/>
        <v>2.4000000000000004</v>
      </c>
      <c r="K59" s="19">
        <f t="shared" si="11"/>
        <v>2.9</v>
      </c>
      <c r="L59" s="19">
        <f t="shared" si="11"/>
        <v>3.6</v>
      </c>
      <c r="M59" s="19">
        <f t="shared" si="11"/>
        <v>5.0999999999999996</v>
      </c>
      <c r="N59" s="19">
        <f t="shared" si="11"/>
        <v>5.0999999999999996</v>
      </c>
      <c r="O59" s="19">
        <f t="shared" si="11"/>
        <v>5.3000000000000007</v>
      </c>
      <c r="P59" s="19">
        <f t="shared" si="11"/>
        <v>0.8</v>
      </c>
      <c r="Q59" s="19">
        <f t="shared" si="11"/>
        <v>0</v>
      </c>
      <c r="R59" s="19">
        <f t="shared" si="11"/>
        <v>1.5</v>
      </c>
      <c r="S59" s="19">
        <f t="shared" si="11"/>
        <v>0</v>
      </c>
      <c r="T59" s="19">
        <f t="shared" si="11"/>
        <v>0</v>
      </c>
      <c r="U59" s="19">
        <f t="shared" si="11"/>
        <v>0</v>
      </c>
      <c r="V59" s="19">
        <f t="shared" si="11"/>
        <v>0</v>
      </c>
      <c r="W59" s="19">
        <f t="shared" si="11"/>
        <v>2.2999999999999998</v>
      </c>
      <c r="X59" s="19">
        <f t="shared" si="11"/>
        <v>3.7</v>
      </c>
      <c r="Y59" s="19">
        <f>SUM(Y35:Y58)</f>
        <v>6.7999999999999989</v>
      </c>
      <c r="Z59" s="19">
        <f t="shared" si="11"/>
        <v>3.5999999999999996</v>
      </c>
      <c r="AA59" s="19">
        <f t="shared" si="11"/>
        <v>0</v>
      </c>
      <c r="AB59" s="19">
        <f t="shared" si="11"/>
        <v>0</v>
      </c>
      <c r="AC59" s="19">
        <f t="shared" si="11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21.049999999999997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v>0.375</v>
      </c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>
        <v>0.53</v>
      </c>
      <c r="S61" s="71">
        <f>0.95/2</f>
        <v>0.47499999999999998</v>
      </c>
      <c r="T61" s="71">
        <v>0.46</v>
      </c>
      <c r="U61" s="71">
        <f>0.87/2</f>
        <v>0.435</v>
      </c>
      <c r="V61" s="71">
        <f>0.89/2</f>
        <v>0.44500000000000001</v>
      </c>
      <c r="W61" s="71">
        <f>0.98/2</f>
        <v>0.49</v>
      </c>
      <c r="X61" s="71">
        <f>1.07/2</f>
        <v>0.53500000000000003</v>
      </c>
      <c r="Y61" s="71">
        <v>0.56999999999999995</v>
      </c>
      <c r="Z61" s="71">
        <v>0.52500000000000002</v>
      </c>
      <c r="AA61" s="71">
        <v>0.49</v>
      </c>
      <c r="AB61" s="71">
        <v>0.435</v>
      </c>
      <c r="AC61" s="71">
        <v>0.375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13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380"/>
      <c r="G62" s="71"/>
      <c r="H62" s="380"/>
      <c r="I62" s="71"/>
      <c r="J62" s="71"/>
      <c r="K62" s="71"/>
      <c r="L62" s="71"/>
      <c r="M62" s="71">
        <f>0.95/2</f>
        <v>0.47499999999999998</v>
      </c>
      <c r="N62" s="71">
        <f>0.94/2</f>
        <v>0.47</v>
      </c>
      <c r="O62" s="71">
        <f>1.02/2</f>
        <v>0.51</v>
      </c>
      <c r="P62" s="71">
        <f>0.78/2</f>
        <v>0.39</v>
      </c>
      <c r="Q62" s="71">
        <f>0.98/2</f>
        <v>0.49</v>
      </c>
      <c r="R62" s="71">
        <v>0.53</v>
      </c>
      <c r="S62" s="71">
        <f>0.95/2</f>
        <v>0.47499999999999998</v>
      </c>
      <c r="T62" s="71">
        <v>0.46</v>
      </c>
      <c r="U62" s="71">
        <f>0.87/2</f>
        <v>0.435</v>
      </c>
      <c r="V62" s="71">
        <f>0.89/2</f>
        <v>0.44500000000000001</v>
      </c>
      <c r="W62" s="71">
        <f>0.98/2</f>
        <v>0.49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380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>
        <v>0.375</v>
      </c>
      <c r="G63" s="71">
        <v>0.7</v>
      </c>
      <c r="H63" s="380">
        <v>0.69</v>
      </c>
      <c r="I63" s="71">
        <v>0.68</v>
      </c>
      <c r="J63" s="71">
        <v>0.65</v>
      </c>
      <c r="K63" s="71">
        <v>0.66</v>
      </c>
      <c r="L63" s="71">
        <v>0.72</v>
      </c>
      <c r="M63" s="71">
        <f>0.95/2</f>
        <v>0.47499999999999998</v>
      </c>
      <c r="N63" s="71">
        <f>0.94/2</f>
        <v>0.47</v>
      </c>
      <c r="O63" s="71">
        <f>1.02/2</f>
        <v>0.51</v>
      </c>
      <c r="P63" s="71">
        <f>0.78/2</f>
        <v>0.39</v>
      </c>
      <c r="Q63" s="71">
        <f>0.98/2</f>
        <v>0.49</v>
      </c>
      <c r="R63" s="71"/>
      <c r="S63" s="71"/>
      <c r="T63" s="71"/>
      <c r="U63" s="71"/>
      <c r="V63" s="71"/>
      <c r="W63" s="71"/>
      <c r="X63" s="71">
        <f>1.07/2</f>
        <v>0.53500000000000003</v>
      </c>
      <c r="Y63" s="71">
        <v>0.56999999999999995</v>
      </c>
      <c r="Z63" s="71">
        <v>0.52500000000000002</v>
      </c>
      <c r="AA63" s="71">
        <v>0.49</v>
      </c>
      <c r="AB63" s="380">
        <v>0.435</v>
      </c>
      <c r="AC63" s="380">
        <v>0.375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2">SUM(F61:F63)</f>
        <v>0.75</v>
      </c>
      <c r="G64" s="19">
        <f>SUM(G61:G63)</f>
        <v>0.7</v>
      </c>
      <c r="H64" s="19">
        <f>SUM(H61:H63)</f>
        <v>0.69</v>
      </c>
      <c r="I64" s="19">
        <f>SUM(I61:I63)</f>
        <v>0.68</v>
      </c>
      <c r="J64" s="19">
        <f t="shared" ref="J64:AC64" si="13">SUM(J61:J63)</f>
        <v>0.65</v>
      </c>
      <c r="K64" s="19">
        <f>SUM(K61:K63)</f>
        <v>0.66</v>
      </c>
      <c r="L64" s="19">
        <f t="shared" si="13"/>
        <v>0.72</v>
      </c>
      <c r="M64" s="19">
        <f t="shared" si="13"/>
        <v>0.95</v>
      </c>
      <c r="N64" s="19">
        <f t="shared" si="13"/>
        <v>0.94</v>
      </c>
      <c r="O64" s="19">
        <f t="shared" si="13"/>
        <v>1.02</v>
      </c>
      <c r="P64" s="19">
        <f t="shared" si="13"/>
        <v>0.78</v>
      </c>
      <c r="Q64" s="19">
        <f t="shared" si="13"/>
        <v>0.98</v>
      </c>
      <c r="R64" s="19">
        <f t="shared" si="13"/>
        <v>1.06</v>
      </c>
      <c r="S64" s="19">
        <f t="shared" si="13"/>
        <v>0.95</v>
      </c>
      <c r="T64" s="19">
        <f t="shared" si="13"/>
        <v>0.92</v>
      </c>
      <c r="U64" s="19">
        <f>SUM(U61:U63)</f>
        <v>0.87</v>
      </c>
      <c r="V64" s="19">
        <f t="shared" si="13"/>
        <v>0.89</v>
      </c>
      <c r="W64" s="19">
        <f t="shared" si="13"/>
        <v>0.98</v>
      </c>
      <c r="X64" s="19">
        <f t="shared" si="13"/>
        <v>1.07</v>
      </c>
      <c r="Y64" s="19">
        <f t="shared" si="13"/>
        <v>1.1399999999999999</v>
      </c>
      <c r="Z64" s="19">
        <f t="shared" si="13"/>
        <v>1.05</v>
      </c>
      <c r="AA64" s="19">
        <f t="shared" si="13"/>
        <v>0.98</v>
      </c>
      <c r="AB64" s="19">
        <f t="shared" si="13"/>
        <v>0.87</v>
      </c>
      <c r="AC64" s="19">
        <f t="shared" si="13"/>
        <v>0.75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65.390000000000015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4">COUNTIF(F66:AC66,$AF$11)</f>
        <v>0</v>
      </c>
      <c r="AG66" s="11">
        <f t="shared" ref="AG66:AG74" si="15">COUNTIF(G66:AC66,$AG$11)</f>
        <v>0</v>
      </c>
      <c r="AH66" s="11">
        <f t="shared" ref="AH66:AH74" si="16">COUNT(F66:AC66)</f>
        <v>0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0.7</v>
      </c>
      <c r="G67" s="71">
        <v>0.7</v>
      </c>
      <c r="H67" s="71"/>
      <c r="I67" s="71"/>
      <c r="J67" s="71"/>
      <c r="K67" s="71"/>
      <c r="L67" s="71"/>
      <c r="M67" s="71"/>
      <c r="N67" s="71"/>
      <c r="O67" s="71">
        <f>2.87/4</f>
        <v>0.71750000000000003</v>
      </c>
      <c r="P67" s="71">
        <f>2.86/4</f>
        <v>0.71499999999999997</v>
      </c>
      <c r="Q67" s="71">
        <f>2.93/4</f>
        <v>0.73250000000000004</v>
      </c>
      <c r="R67" s="71">
        <f>2.93/4</f>
        <v>0.73250000000000004</v>
      </c>
      <c r="S67" s="71">
        <f>3/4</f>
        <v>0.75</v>
      </c>
      <c r="T67" s="71">
        <f>2.89/4</f>
        <v>0.72250000000000003</v>
      </c>
      <c r="U67" s="71">
        <f>2.89/4</f>
        <v>0.72250000000000003</v>
      </c>
      <c r="V67" s="71">
        <f>2.77/4</f>
        <v>0.6925</v>
      </c>
      <c r="W67" s="71">
        <f>2.9/4</f>
        <v>0.72499999999999998</v>
      </c>
      <c r="X67" s="71">
        <f>2.7/4</f>
        <v>0.67500000000000004</v>
      </c>
      <c r="Y67" s="71">
        <v>0.83750000000000002</v>
      </c>
      <c r="Z67" s="71">
        <v>0.81</v>
      </c>
      <c r="AA67" s="71">
        <f>2.89/4</f>
        <v>0.72250000000000003</v>
      </c>
      <c r="AB67" s="71">
        <v>0.7</v>
      </c>
      <c r="AC67" s="71">
        <v>0.6</v>
      </c>
      <c r="AD67" s="35"/>
      <c r="AE67" s="35"/>
      <c r="AF67" s="11">
        <f t="shared" si="14"/>
        <v>0</v>
      </c>
      <c r="AG67" s="11">
        <f t="shared" si="15"/>
        <v>0</v>
      </c>
      <c r="AH67" s="11">
        <f t="shared" si="16"/>
        <v>17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v>0</v>
      </c>
      <c r="G68" s="71">
        <v>0</v>
      </c>
      <c r="H68" s="71">
        <v>0</v>
      </c>
      <c r="I68" s="71">
        <v>0</v>
      </c>
      <c r="J68" s="71">
        <v>0</v>
      </c>
      <c r="K68" s="71">
        <v>0</v>
      </c>
      <c r="L68" s="71">
        <v>0</v>
      </c>
      <c r="M68" s="71">
        <v>0</v>
      </c>
      <c r="N68" s="71">
        <v>0</v>
      </c>
      <c r="O68" s="71">
        <v>0</v>
      </c>
      <c r="P68" s="71">
        <v>0</v>
      </c>
      <c r="Q68" s="71">
        <v>0</v>
      </c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6"/>
        <v>12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0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v>0.7</v>
      </c>
      <c r="G70" s="71">
        <v>0.6</v>
      </c>
      <c r="H70" s="71">
        <v>0.8</v>
      </c>
      <c r="I70" s="71">
        <v>0.79</v>
      </c>
      <c r="J70" s="71">
        <v>0.8</v>
      </c>
      <c r="K70" s="71">
        <v>0.8</v>
      </c>
      <c r="L70" s="71">
        <f>2.3/3</f>
        <v>0.76666666666666661</v>
      </c>
      <c r="M70" s="71">
        <f>2.32/3</f>
        <v>0.77333333333333332</v>
      </c>
      <c r="N70" s="71">
        <f>2.59/3</f>
        <v>0.86333333333333329</v>
      </c>
      <c r="O70" s="71">
        <f t="shared" ref="O70:O71" si="17">2.87/4</f>
        <v>0.71750000000000003</v>
      </c>
      <c r="P70" s="71">
        <f t="shared" ref="P70:P71" si="18">2.86/4</f>
        <v>0.71499999999999997</v>
      </c>
      <c r="Q70" s="71">
        <f t="shared" ref="Q70:Q71" si="19">2.93/4</f>
        <v>0.73250000000000004</v>
      </c>
      <c r="R70" s="71">
        <f>2.93/4</f>
        <v>0.73250000000000004</v>
      </c>
      <c r="S70" s="71">
        <f>3/4</f>
        <v>0.75</v>
      </c>
      <c r="T70" s="71">
        <f t="shared" ref="T70:U71" si="20">2.89/4</f>
        <v>0.72250000000000003</v>
      </c>
      <c r="U70" s="71">
        <f t="shared" si="20"/>
        <v>0.72250000000000003</v>
      </c>
      <c r="V70" s="71">
        <f t="shared" ref="V70:V71" si="21">2.77/4</f>
        <v>0.6925</v>
      </c>
      <c r="W70" s="71">
        <f t="shared" ref="W70:W71" si="22">2.9/4</f>
        <v>0.72499999999999998</v>
      </c>
      <c r="X70" s="71">
        <f t="shared" ref="X70:X71" si="23">2.7/4</f>
        <v>0.67500000000000004</v>
      </c>
      <c r="Y70" s="71">
        <v>0.83750000000000002</v>
      </c>
      <c r="Z70" s="71">
        <v>0.81</v>
      </c>
      <c r="AA70" s="71">
        <f>2.89/4</f>
        <v>0.72250000000000003</v>
      </c>
      <c r="AB70" s="71">
        <v>0.62</v>
      </c>
      <c r="AC70" s="71">
        <v>0.61</v>
      </c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v>0.6</v>
      </c>
      <c r="G71" s="71">
        <v>0.6</v>
      </c>
      <c r="H71" s="71">
        <v>0.8</v>
      </c>
      <c r="I71" s="71">
        <v>0.8</v>
      </c>
      <c r="J71" s="71">
        <v>0.8</v>
      </c>
      <c r="K71" s="71">
        <v>0.85</v>
      </c>
      <c r="L71" s="71">
        <f>2.3/3</f>
        <v>0.76666666666666661</v>
      </c>
      <c r="M71" s="71">
        <f>2.32/3</f>
        <v>0.77333333333333332</v>
      </c>
      <c r="N71" s="71">
        <f>2.59/3</f>
        <v>0.86333333333333329</v>
      </c>
      <c r="O71" s="71">
        <f t="shared" si="17"/>
        <v>0.71750000000000003</v>
      </c>
      <c r="P71" s="71">
        <f t="shared" si="18"/>
        <v>0.71499999999999997</v>
      </c>
      <c r="Q71" s="71">
        <f t="shared" si="19"/>
        <v>0.73250000000000004</v>
      </c>
      <c r="R71" s="71">
        <f>2.93/4</f>
        <v>0.73250000000000004</v>
      </c>
      <c r="S71" s="71">
        <f>3/4</f>
        <v>0.75</v>
      </c>
      <c r="T71" s="71">
        <f t="shared" si="20"/>
        <v>0.72250000000000003</v>
      </c>
      <c r="U71" s="71">
        <f t="shared" si="20"/>
        <v>0.72250000000000003</v>
      </c>
      <c r="V71" s="71">
        <f t="shared" si="21"/>
        <v>0.6925</v>
      </c>
      <c r="W71" s="71">
        <f t="shared" si="22"/>
        <v>0.72499999999999998</v>
      </c>
      <c r="X71" s="71">
        <f t="shared" si="23"/>
        <v>0.67500000000000004</v>
      </c>
      <c r="Y71" s="71">
        <v>0.83750000000000002</v>
      </c>
      <c r="Z71" s="71">
        <v>0.81</v>
      </c>
      <c r="AA71" s="71">
        <f>2.89/4</f>
        <v>0.72250000000000003</v>
      </c>
      <c r="AB71" s="71">
        <v>0.7</v>
      </c>
      <c r="AC71" s="71">
        <v>0.6</v>
      </c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4"/>
        <v>24</v>
      </c>
      <c r="AG73" s="11">
        <f t="shared" si="15"/>
        <v>0</v>
      </c>
      <c r="AH73" s="11">
        <f t="shared" si="16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v>0.64</v>
      </c>
      <c r="G74" s="71">
        <v>0.6</v>
      </c>
      <c r="H74" s="71">
        <v>0.83</v>
      </c>
      <c r="I74" s="71">
        <v>0.8</v>
      </c>
      <c r="J74" s="71">
        <v>0.82</v>
      </c>
      <c r="K74" s="71">
        <v>0.7</v>
      </c>
      <c r="L74" s="71">
        <f>2.3/3</f>
        <v>0.76666666666666661</v>
      </c>
      <c r="M74" s="71">
        <f>2.32/3</f>
        <v>0.77333333333333332</v>
      </c>
      <c r="N74" s="71">
        <f>2.59/3</f>
        <v>0.86333333333333329</v>
      </c>
      <c r="O74" s="71">
        <f>2.87/4</f>
        <v>0.71750000000000003</v>
      </c>
      <c r="P74" s="71">
        <f>2.86/4</f>
        <v>0.71499999999999997</v>
      </c>
      <c r="Q74" s="71">
        <f>2.93/4</f>
        <v>0.73250000000000004</v>
      </c>
      <c r="R74" s="71">
        <f>2.93/4</f>
        <v>0.73250000000000004</v>
      </c>
      <c r="S74" s="71">
        <f>3/4</f>
        <v>0.75</v>
      </c>
      <c r="T74" s="71">
        <f>2.89/4</f>
        <v>0.72250000000000003</v>
      </c>
      <c r="U74" s="71">
        <f>2.89/4</f>
        <v>0.72250000000000003</v>
      </c>
      <c r="V74" s="71">
        <f>2.77/4</f>
        <v>0.6925</v>
      </c>
      <c r="W74" s="71">
        <f>2.9/4</f>
        <v>0.72499999999999998</v>
      </c>
      <c r="X74" s="71">
        <f>2.7/4</f>
        <v>0.67500000000000004</v>
      </c>
      <c r="Y74" s="71">
        <v>0.83750000000000002</v>
      </c>
      <c r="Z74" s="71">
        <v>0.81</v>
      </c>
      <c r="AA74" s="71">
        <f>2.89/4</f>
        <v>0.72250000000000003</v>
      </c>
      <c r="AB74" s="71">
        <v>0.7</v>
      </c>
      <c r="AC74" s="71">
        <v>0.7</v>
      </c>
      <c r="AD74" s="31"/>
      <c r="AE74" s="31"/>
      <c r="AF74" s="11">
        <f t="shared" si="14"/>
        <v>0</v>
      </c>
      <c r="AG74" s="11">
        <f t="shared" si="15"/>
        <v>0</v>
      </c>
      <c r="AH74" s="11">
        <f t="shared" si="16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4">SUM(F66:F74)</f>
        <v>2.64</v>
      </c>
      <c r="G75" s="19">
        <f t="shared" si="24"/>
        <v>2.5</v>
      </c>
      <c r="H75" s="19">
        <f t="shared" si="24"/>
        <v>2.4300000000000002</v>
      </c>
      <c r="I75" s="19">
        <f t="shared" si="24"/>
        <v>2.39</v>
      </c>
      <c r="J75" s="19">
        <f t="shared" si="24"/>
        <v>2.42</v>
      </c>
      <c r="K75" s="19">
        <f t="shared" si="24"/>
        <v>2.3499999999999996</v>
      </c>
      <c r="L75" s="19">
        <f>SUM(L66:L74)</f>
        <v>2.2999999999999998</v>
      </c>
      <c r="M75" s="19">
        <f t="shared" si="24"/>
        <v>2.3199999999999998</v>
      </c>
      <c r="N75" s="19">
        <f t="shared" si="24"/>
        <v>2.59</v>
      </c>
      <c r="O75" s="19">
        <f t="shared" si="24"/>
        <v>2.87</v>
      </c>
      <c r="P75" s="19">
        <f t="shared" si="24"/>
        <v>2.86</v>
      </c>
      <c r="Q75" s="19">
        <f t="shared" si="24"/>
        <v>2.93</v>
      </c>
      <c r="R75" s="19">
        <f t="shared" si="24"/>
        <v>2.93</v>
      </c>
      <c r="S75" s="19">
        <f t="shared" si="24"/>
        <v>3</v>
      </c>
      <c r="T75" s="19">
        <f t="shared" si="24"/>
        <v>2.89</v>
      </c>
      <c r="U75" s="19">
        <f t="shared" si="24"/>
        <v>2.89</v>
      </c>
      <c r="V75" s="19">
        <f t="shared" si="24"/>
        <v>2.77</v>
      </c>
      <c r="W75" s="19">
        <f t="shared" si="24"/>
        <v>2.9</v>
      </c>
      <c r="X75" s="19">
        <f t="shared" si="24"/>
        <v>2.7</v>
      </c>
      <c r="Y75" s="19">
        <f t="shared" si="24"/>
        <v>3.35</v>
      </c>
      <c r="Z75" s="19">
        <f t="shared" si="24"/>
        <v>3.24</v>
      </c>
      <c r="AA75" s="19">
        <f t="shared" si="24"/>
        <v>2.89</v>
      </c>
      <c r="AB75" s="19">
        <f t="shared" si="24"/>
        <v>2.7199999999999998</v>
      </c>
      <c r="AC75" s="19">
        <f t="shared" si="24"/>
        <v>2.5099999999999998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18.629999999999995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>
        <v>0.7</v>
      </c>
      <c r="G77" s="71">
        <v>0.69</v>
      </c>
      <c r="H77" s="71">
        <v>0.66</v>
      </c>
      <c r="I77" s="71">
        <v>0.65</v>
      </c>
      <c r="J77" s="71">
        <v>0.63</v>
      </c>
      <c r="K77" s="71">
        <v>0.65</v>
      </c>
      <c r="L77" s="71">
        <v>0.63</v>
      </c>
      <c r="M77" s="71">
        <v>0.64</v>
      </c>
      <c r="N77" s="71">
        <v>0.69</v>
      </c>
      <c r="O77" s="71">
        <v>0.74</v>
      </c>
      <c r="P77" s="71">
        <v>0.79</v>
      </c>
      <c r="Q77" s="71">
        <v>0.79</v>
      </c>
      <c r="R77" s="71">
        <v>0.78</v>
      </c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/>
      <c r="G78" s="71"/>
      <c r="H78" s="71"/>
      <c r="I78" s="71"/>
      <c r="J78" s="380"/>
      <c r="K78" s="71"/>
      <c r="L78" s="71"/>
      <c r="M78" s="71"/>
      <c r="N78" s="71"/>
      <c r="O78" s="71"/>
      <c r="P78" s="71"/>
      <c r="Q78" s="71"/>
      <c r="R78" s="71"/>
      <c r="S78" s="71">
        <v>0.82</v>
      </c>
      <c r="T78" s="71">
        <v>0.84</v>
      </c>
      <c r="U78" s="71">
        <v>0.85</v>
      </c>
      <c r="V78" s="71">
        <v>0.86</v>
      </c>
      <c r="W78" s="71">
        <v>0.82</v>
      </c>
      <c r="X78" s="71">
        <v>0.84</v>
      </c>
      <c r="Y78" s="71">
        <v>0.98</v>
      </c>
      <c r="Z78" s="71">
        <v>0.95</v>
      </c>
      <c r="AA78" s="71">
        <v>0.91</v>
      </c>
      <c r="AB78" s="71">
        <v>0.88</v>
      </c>
      <c r="AC78" s="71">
        <v>0.84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5">SUM(F77:F78)</f>
        <v>0.7</v>
      </c>
      <c r="G79" s="19">
        <f>SUM(G77:G78)</f>
        <v>0.69</v>
      </c>
      <c r="H79" s="19">
        <f>SUM(H77:H78)</f>
        <v>0.66</v>
      </c>
      <c r="I79" s="19">
        <f>SUM(I77:I78)</f>
        <v>0.65</v>
      </c>
      <c r="J79" s="19">
        <f t="shared" ref="J79:AC79" si="26">SUM(J77:J78)</f>
        <v>0.63</v>
      </c>
      <c r="K79" s="19">
        <f t="shared" si="26"/>
        <v>0.65</v>
      </c>
      <c r="L79" s="19">
        <f>SUM(L77:L78)</f>
        <v>0.63</v>
      </c>
      <c r="M79" s="19">
        <f t="shared" si="26"/>
        <v>0.64</v>
      </c>
      <c r="N79" s="19">
        <f t="shared" si="26"/>
        <v>0.69</v>
      </c>
      <c r="O79" s="19">
        <f>SUM(O77:O78)</f>
        <v>0.74</v>
      </c>
      <c r="P79" s="19">
        <f t="shared" si="26"/>
        <v>0.79</v>
      </c>
      <c r="Q79" s="19">
        <f t="shared" si="26"/>
        <v>0.79</v>
      </c>
      <c r="R79" s="19">
        <f t="shared" si="26"/>
        <v>0.78</v>
      </c>
      <c r="S79" s="19">
        <f t="shared" si="26"/>
        <v>0.82</v>
      </c>
      <c r="T79" s="19">
        <f t="shared" si="26"/>
        <v>0.84</v>
      </c>
      <c r="U79" s="19">
        <f t="shared" si="26"/>
        <v>0.85</v>
      </c>
      <c r="V79" s="19">
        <f t="shared" si="26"/>
        <v>0.86</v>
      </c>
      <c r="W79" s="19">
        <f t="shared" si="26"/>
        <v>0.82</v>
      </c>
      <c r="X79" s="19">
        <f t="shared" si="26"/>
        <v>0.84</v>
      </c>
      <c r="Y79" s="19">
        <f t="shared" si="26"/>
        <v>0.98</v>
      </c>
      <c r="Z79" s="19">
        <f t="shared" si="26"/>
        <v>0.95</v>
      </c>
      <c r="AA79" s="19">
        <f t="shared" si="26"/>
        <v>0.91</v>
      </c>
      <c r="AB79" s="19">
        <f t="shared" si="26"/>
        <v>0.88</v>
      </c>
      <c r="AC79" s="19">
        <f t="shared" si="26"/>
        <v>0.84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27">SUM(F17,F22,F25,F30,F33,F59,F64,F75,F79,F81)</f>
        <v>35.29</v>
      </c>
      <c r="G82" s="28">
        <f t="shared" si="27"/>
        <v>33.489999999999995</v>
      </c>
      <c r="H82" s="28">
        <f t="shared" si="27"/>
        <v>32.479999999999997</v>
      </c>
      <c r="I82" s="28">
        <f t="shared" si="27"/>
        <v>30.92</v>
      </c>
      <c r="J82" s="28">
        <f t="shared" si="27"/>
        <v>31.3</v>
      </c>
      <c r="K82" s="28">
        <f t="shared" si="27"/>
        <v>31.759999999999998</v>
      </c>
      <c r="L82" s="28">
        <f t="shared" si="27"/>
        <v>32.65</v>
      </c>
      <c r="M82" s="28">
        <f t="shared" si="27"/>
        <v>33.61</v>
      </c>
      <c r="N82" s="28">
        <f t="shared" si="27"/>
        <v>36.72</v>
      </c>
      <c r="O82" s="28">
        <f t="shared" si="27"/>
        <v>37.93</v>
      </c>
      <c r="P82" s="28">
        <f t="shared" si="27"/>
        <v>39.93</v>
      </c>
      <c r="Q82" s="28">
        <f t="shared" si="27"/>
        <v>40.299999999999997</v>
      </c>
      <c r="R82" s="28">
        <f t="shared" si="27"/>
        <v>41.17</v>
      </c>
      <c r="S82" s="28">
        <f t="shared" si="27"/>
        <v>39.369999999999997</v>
      </c>
      <c r="T82" s="28">
        <f t="shared" si="27"/>
        <v>36.250000000000007</v>
      </c>
      <c r="U82" s="28">
        <f t="shared" si="27"/>
        <v>34.909999999999997</v>
      </c>
      <c r="V82" s="28">
        <f t="shared" si="27"/>
        <v>40.120000000000005</v>
      </c>
      <c r="W82" s="28">
        <f t="shared" si="27"/>
        <v>42.8</v>
      </c>
      <c r="X82" s="28">
        <f t="shared" si="27"/>
        <v>43.510000000000012</v>
      </c>
      <c r="Y82" s="28">
        <f t="shared" si="27"/>
        <v>46.57</v>
      </c>
      <c r="Z82" s="28">
        <f t="shared" si="27"/>
        <v>43.84</v>
      </c>
      <c r="AA82" s="28">
        <f t="shared" si="27"/>
        <v>8.98</v>
      </c>
      <c r="AB82" s="28">
        <f t="shared" si="27"/>
        <v>11.87</v>
      </c>
      <c r="AC82" s="28">
        <f t="shared" si="27"/>
        <v>31.599999999999998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28">SUM(F22,F25)</f>
        <v>3.8</v>
      </c>
      <c r="G88" s="64">
        <f t="shared" si="28"/>
        <v>3.8</v>
      </c>
      <c r="H88" s="64">
        <f t="shared" si="28"/>
        <v>3.8</v>
      </c>
      <c r="I88" s="64">
        <f t="shared" si="28"/>
        <v>3.8</v>
      </c>
      <c r="J88" s="64">
        <f t="shared" si="28"/>
        <v>3.8</v>
      </c>
      <c r="K88" s="64">
        <f t="shared" si="28"/>
        <v>3.8</v>
      </c>
      <c r="L88" s="64">
        <f t="shared" si="28"/>
        <v>3.8</v>
      </c>
      <c r="M88" s="64">
        <f t="shared" si="28"/>
        <v>3.8</v>
      </c>
      <c r="N88" s="64">
        <f t="shared" si="28"/>
        <v>6.8</v>
      </c>
      <c r="O88" s="64">
        <f t="shared" si="28"/>
        <v>7.1</v>
      </c>
      <c r="P88" s="64">
        <f t="shared" si="28"/>
        <v>7.1</v>
      </c>
      <c r="Q88" s="64">
        <f t="shared" si="28"/>
        <v>7.1</v>
      </c>
      <c r="R88" s="64">
        <f t="shared" si="28"/>
        <v>7.1</v>
      </c>
      <c r="S88" s="64">
        <f t="shared" si="28"/>
        <v>7</v>
      </c>
      <c r="T88" s="64">
        <f t="shared" si="28"/>
        <v>6.5</v>
      </c>
      <c r="U88" s="64">
        <f t="shared" si="28"/>
        <v>6</v>
      </c>
      <c r="V88" s="64">
        <f t="shared" si="28"/>
        <v>7.1</v>
      </c>
      <c r="W88" s="64">
        <f t="shared" si="28"/>
        <v>7.1</v>
      </c>
      <c r="X88" s="64">
        <f t="shared" si="28"/>
        <v>7.1</v>
      </c>
      <c r="Y88" s="64">
        <f t="shared" si="28"/>
        <v>7.1</v>
      </c>
      <c r="Z88" s="64">
        <f t="shared" si="28"/>
        <v>7.1</v>
      </c>
      <c r="AA88" s="64">
        <f t="shared" si="28"/>
        <v>0</v>
      </c>
      <c r="AB88" s="64">
        <f t="shared" si="28"/>
        <v>0</v>
      </c>
      <c r="AC88" s="64">
        <f t="shared" si="28"/>
        <v>3.2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0.23300000000000001</v>
      </c>
      <c r="G89" s="68">
        <v>0.221</v>
      </c>
      <c r="H89" s="68">
        <v>0.22700000000000001</v>
      </c>
      <c r="I89" s="68">
        <v>0.22900000000000001</v>
      </c>
      <c r="J89" s="68">
        <v>0.17299999999999999</v>
      </c>
      <c r="K89" s="68">
        <v>0.19800000000000001</v>
      </c>
      <c r="L89" s="68">
        <v>0.26100000000000001</v>
      </c>
      <c r="M89" s="68">
        <v>0.26</v>
      </c>
      <c r="N89" s="68">
        <v>0.25900000000000001</v>
      </c>
      <c r="O89" s="68">
        <v>0.23599999999999999</v>
      </c>
      <c r="P89" s="68">
        <v>0.254</v>
      </c>
      <c r="Q89" s="68">
        <v>0.29699999999999999</v>
      </c>
      <c r="R89" s="68">
        <v>0.23499999999999999</v>
      </c>
      <c r="S89" s="68">
        <v>0.191</v>
      </c>
      <c r="T89" s="68">
        <v>0.248</v>
      </c>
      <c r="U89" s="68">
        <v>0.218</v>
      </c>
      <c r="V89" s="68">
        <v>0.27400000000000002</v>
      </c>
      <c r="W89" s="68">
        <v>0.23599999999999999</v>
      </c>
      <c r="X89" s="68">
        <v>0.218</v>
      </c>
      <c r="Y89" s="68">
        <v>0.19600000000000001</v>
      </c>
      <c r="Z89" s="68">
        <v>0.21099999999999999</v>
      </c>
      <c r="AA89" s="68">
        <v>0</v>
      </c>
      <c r="AB89" s="68">
        <v>0</v>
      </c>
      <c r="AC89" s="68"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29">F17</f>
        <v>19.799999999999997</v>
      </c>
      <c r="G90" s="64">
        <f t="shared" si="29"/>
        <v>19.799999999999997</v>
      </c>
      <c r="H90" s="64">
        <f t="shared" si="29"/>
        <v>18.899999999999999</v>
      </c>
      <c r="I90" s="64">
        <f t="shared" si="29"/>
        <v>13</v>
      </c>
      <c r="J90" s="64">
        <f t="shared" si="29"/>
        <v>13.4</v>
      </c>
      <c r="K90" s="64">
        <f t="shared" si="29"/>
        <v>13.4</v>
      </c>
      <c r="L90" s="64">
        <f t="shared" si="29"/>
        <v>13.4</v>
      </c>
      <c r="M90" s="64">
        <f t="shared" si="29"/>
        <v>13.2</v>
      </c>
      <c r="N90" s="64">
        <f t="shared" si="29"/>
        <v>13</v>
      </c>
      <c r="O90" s="64">
        <f t="shared" si="29"/>
        <v>13.1</v>
      </c>
      <c r="P90" s="64">
        <f t="shared" si="29"/>
        <v>19.8</v>
      </c>
      <c r="Q90" s="64">
        <f t="shared" si="29"/>
        <v>20.100000000000001</v>
      </c>
      <c r="R90" s="64">
        <f t="shared" si="29"/>
        <v>19.799999999999997</v>
      </c>
      <c r="S90" s="64">
        <f t="shared" si="29"/>
        <v>19.799999999999997</v>
      </c>
      <c r="T90" s="64">
        <f t="shared" si="29"/>
        <v>19.100000000000001</v>
      </c>
      <c r="U90" s="64">
        <f t="shared" si="29"/>
        <v>18.899999999999999</v>
      </c>
      <c r="V90" s="64">
        <f t="shared" si="29"/>
        <v>20.100000000000001</v>
      </c>
      <c r="W90" s="64">
        <f t="shared" si="29"/>
        <v>20.100000000000001</v>
      </c>
      <c r="X90" s="64">
        <f t="shared" si="29"/>
        <v>20.100000000000001</v>
      </c>
      <c r="Y90" s="64">
        <f t="shared" si="29"/>
        <v>19.600000000000001</v>
      </c>
      <c r="Z90" s="64">
        <f t="shared" si="29"/>
        <v>20.100000000000001</v>
      </c>
      <c r="AA90" s="64">
        <f t="shared" si="29"/>
        <v>0</v>
      </c>
      <c r="AB90" s="64">
        <f t="shared" si="29"/>
        <v>2.8000000000000003</v>
      </c>
      <c r="AC90" s="64">
        <f t="shared" si="29"/>
        <v>20.100000000000001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0.73699999999999999</v>
      </c>
      <c r="G91" s="68">
        <v>0.52100000000000002</v>
      </c>
      <c r="H91" s="68">
        <v>0.52</v>
      </c>
      <c r="I91" s="68">
        <v>0.626</v>
      </c>
      <c r="J91" s="68">
        <v>0.61099999999999999</v>
      </c>
      <c r="K91" s="68">
        <v>0.65500000000000003</v>
      </c>
      <c r="L91" s="68">
        <v>0.70099999999999996</v>
      </c>
      <c r="M91" s="68">
        <v>0.60799999999999998</v>
      </c>
      <c r="N91" s="68">
        <v>0.61099999999999999</v>
      </c>
      <c r="O91" s="68">
        <v>0.67900000000000005</v>
      </c>
      <c r="P91" s="68">
        <v>0.82</v>
      </c>
      <c r="Q91" s="68">
        <v>0.83099999999999996</v>
      </c>
      <c r="R91" s="68">
        <v>0.77200000000000002</v>
      </c>
      <c r="S91" s="68">
        <v>0.68200000000000005</v>
      </c>
      <c r="T91" s="68">
        <v>0.79500000000000004</v>
      </c>
      <c r="U91" s="68">
        <v>0.80100000000000005</v>
      </c>
      <c r="V91" s="68">
        <v>0.83599999999999997</v>
      </c>
      <c r="W91" s="68">
        <v>0.81799999999999995</v>
      </c>
      <c r="X91" s="68">
        <v>0.83599999999999997</v>
      </c>
      <c r="Y91" s="68">
        <v>0.82099999999999995</v>
      </c>
      <c r="Z91" s="68">
        <v>0.745</v>
      </c>
      <c r="AA91" s="68">
        <v>0</v>
      </c>
      <c r="AB91" s="68">
        <v>0.25</v>
      </c>
      <c r="AC91" s="68">
        <v>0.746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30">F30</f>
        <v>7.6</v>
      </c>
      <c r="G92" s="65">
        <f t="shared" si="30"/>
        <v>6</v>
      </c>
      <c r="H92" s="65">
        <f t="shared" si="30"/>
        <v>6</v>
      </c>
      <c r="I92" s="65">
        <f t="shared" si="30"/>
        <v>8</v>
      </c>
      <c r="J92" s="65">
        <f t="shared" si="30"/>
        <v>8</v>
      </c>
      <c r="K92" s="65">
        <f t="shared" si="30"/>
        <v>8</v>
      </c>
      <c r="L92" s="65">
        <f t="shared" si="30"/>
        <v>8.1999999999999993</v>
      </c>
      <c r="M92" s="65">
        <f t="shared" si="30"/>
        <v>7.6</v>
      </c>
      <c r="N92" s="65">
        <f t="shared" si="30"/>
        <v>7.6</v>
      </c>
      <c r="O92" s="65">
        <f t="shared" si="30"/>
        <v>7.8</v>
      </c>
      <c r="P92" s="65">
        <f t="shared" si="30"/>
        <v>7.8</v>
      </c>
      <c r="Q92" s="65">
        <f t="shared" si="30"/>
        <v>8.4</v>
      </c>
      <c r="R92" s="65">
        <f t="shared" si="30"/>
        <v>8</v>
      </c>
      <c r="S92" s="65">
        <f t="shared" si="30"/>
        <v>7.8</v>
      </c>
      <c r="T92" s="65">
        <f t="shared" si="30"/>
        <v>6</v>
      </c>
      <c r="U92" s="65">
        <f t="shared" si="30"/>
        <v>5.4</v>
      </c>
      <c r="V92" s="65">
        <f t="shared" si="30"/>
        <v>8.4</v>
      </c>
      <c r="W92" s="65">
        <f t="shared" si="30"/>
        <v>8.6</v>
      </c>
      <c r="X92" s="65">
        <f t="shared" si="30"/>
        <v>8</v>
      </c>
      <c r="Y92" s="65">
        <f t="shared" si="30"/>
        <v>7.6</v>
      </c>
      <c r="Z92" s="65">
        <f t="shared" si="30"/>
        <v>7.8</v>
      </c>
      <c r="AA92" s="65">
        <f t="shared" si="30"/>
        <v>4.2</v>
      </c>
      <c r="AB92" s="65">
        <f t="shared" si="30"/>
        <v>4.5999999999999996</v>
      </c>
      <c r="AC92" s="65">
        <f t="shared" si="30"/>
        <v>4.2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0.28199999999999997</v>
      </c>
      <c r="G93" s="68">
        <v>0.28000000000000003</v>
      </c>
      <c r="H93" s="68">
        <v>0.27800000000000002</v>
      </c>
      <c r="I93" s="68">
        <v>0.27100000000000002</v>
      </c>
      <c r="J93" s="68">
        <v>0.28499999999999998</v>
      </c>
      <c r="K93" s="68">
        <v>0.28399999999999997</v>
      </c>
      <c r="L93" s="68">
        <v>0.28799999999999998</v>
      </c>
      <c r="M93" s="68">
        <v>0.29499999999999998</v>
      </c>
      <c r="N93" s="68">
        <v>0.26100000000000001</v>
      </c>
      <c r="O93" s="68">
        <v>0.27100000000000002</v>
      </c>
      <c r="P93" s="68">
        <v>0.252</v>
      </c>
      <c r="Q93" s="68">
        <v>0.26500000000000001</v>
      </c>
      <c r="R93" s="68">
        <v>0.28799999999999998</v>
      </c>
      <c r="S93" s="68">
        <v>0.28299999999999997</v>
      </c>
      <c r="T93" s="68">
        <v>0.28399999999999997</v>
      </c>
      <c r="U93" s="68">
        <v>0.27700000000000002</v>
      </c>
      <c r="V93" s="68">
        <v>0.27</v>
      </c>
      <c r="W93" s="68">
        <v>0.28100000000000003</v>
      </c>
      <c r="X93" s="68">
        <v>0.28599999999999998</v>
      </c>
      <c r="Y93" s="68">
        <v>0.27400000000000002</v>
      </c>
      <c r="Z93" s="68">
        <v>0.253</v>
      </c>
      <c r="AA93" s="68">
        <v>0.28199999999999997</v>
      </c>
      <c r="AB93" s="68">
        <v>0.28499999999999998</v>
      </c>
      <c r="AC93" s="68">
        <v>0.28199999999999997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31">F33</f>
        <v>0</v>
      </c>
      <c r="G94" s="65">
        <f t="shared" si="31"/>
        <v>0</v>
      </c>
      <c r="H94" s="65">
        <f t="shared" si="31"/>
        <v>0</v>
      </c>
      <c r="I94" s="65">
        <f t="shared" si="31"/>
        <v>0</v>
      </c>
      <c r="J94" s="65">
        <f t="shared" si="31"/>
        <v>0</v>
      </c>
      <c r="K94" s="65">
        <f t="shared" si="31"/>
        <v>0</v>
      </c>
      <c r="L94" s="65">
        <f t="shared" si="31"/>
        <v>0</v>
      </c>
      <c r="M94" s="65">
        <f t="shared" si="31"/>
        <v>0</v>
      </c>
      <c r="N94" s="65">
        <f t="shared" si="31"/>
        <v>0</v>
      </c>
      <c r="O94" s="65">
        <f t="shared" si="31"/>
        <v>0</v>
      </c>
      <c r="P94" s="65">
        <f t="shared" si="31"/>
        <v>0</v>
      </c>
      <c r="Q94" s="65">
        <f t="shared" si="31"/>
        <v>0</v>
      </c>
      <c r="R94" s="65">
        <f t="shared" si="31"/>
        <v>0</v>
      </c>
      <c r="S94" s="65">
        <f t="shared" si="31"/>
        <v>0</v>
      </c>
      <c r="T94" s="65">
        <f t="shared" si="31"/>
        <v>0</v>
      </c>
      <c r="U94" s="65">
        <f t="shared" si="31"/>
        <v>0</v>
      </c>
      <c r="V94" s="65">
        <f t="shared" si="31"/>
        <v>0</v>
      </c>
      <c r="W94" s="65">
        <f t="shared" si="31"/>
        <v>0</v>
      </c>
      <c r="X94" s="65">
        <f t="shared" si="31"/>
        <v>0</v>
      </c>
      <c r="Y94" s="65">
        <f t="shared" si="31"/>
        <v>0</v>
      </c>
      <c r="Z94" s="65">
        <f t="shared" si="31"/>
        <v>0</v>
      </c>
      <c r="AA94" s="65">
        <f t="shared" si="31"/>
        <v>0</v>
      </c>
      <c r="AB94" s="65">
        <f t="shared" si="31"/>
        <v>0</v>
      </c>
      <c r="AC94" s="65">
        <f t="shared" si="3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32">F59</f>
        <v>0</v>
      </c>
      <c r="G96" s="64">
        <f t="shared" si="32"/>
        <v>0</v>
      </c>
      <c r="H96" s="64">
        <f t="shared" si="32"/>
        <v>0</v>
      </c>
      <c r="I96" s="64">
        <f t="shared" si="32"/>
        <v>2.4000000000000004</v>
      </c>
      <c r="J96" s="64">
        <f t="shared" si="32"/>
        <v>2.4000000000000004</v>
      </c>
      <c r="K96" s="64">
        <f t="shared" si="32"/>
        <v>2.9</v>
      </c>
      <c r="L96" s="64">
        <f t="shared" si="32"/>
        <v>3.6</v>
      </c>
      <c r="M96" s="64">
        <f t="shared" si="32"/>
        <v>5.0999999999999996</v>
      </c>
      <c r="N96" s="64">
        <f t="shared" si="32"/>
        <v>5.0999999999999996</v>
      </c>
      <c r="O96" s="64">
        <f t="shared" si="32"/>
        <v>5.3000000000000007</v>
      </c>
      <c r="P96" s="64">
        <f t="shared" si="32"/>
        <v>0.8</v>
      </c>
      <c r="Q96" s="64">
        <f t="shared" si="32"/>
        <v>0</v>
      </c>
      <c r="R96" s="64">
        <f t="shared" si="32"/>
        <v>1.5</v>
      </c>
      <c r="S96" s="64">
        <f t="shared" si="32"/>
        <v>0</v>
      </c>
      <c r="T96" s="64">
        <f t="shared" si="32"/>
        <v>0</v>
      </c>
      <c r="U96" s="64">
        <f t="shared" si="32"/>
        <v>0</v>
      </c>
      <c r="V96" s="64">
        <f t="shared" si="32"/>
        <v>0</v>
      </c>
      <c r="W96" s="64">
        <f t="shared" si="32"/>
        <v>2.2999999999999998</v>
      </c>
      <c r="X96" s="64">
        <f t="shared" si="32"/>
        <v>3.7</v>
      </c>
      <c r="Y96" s="64">
        <f t="shared" si="32"/>
        <v>6.7999999999999989</v>
      </c>
      <c r="Z96" s="64">
        <f t="shared" si="32"/>
        <v>3.5999999999999996</v>
      </c>
      <c r="AA96" s="64">
        <f t="shared" si="32"/>
        <v>0</v>
      </c>
      <c r="AB96" s="64">
        <f t="shared" si="32"/>
        <v>0</v>
      </c>
      <c r="AC96" s="64">
        <f t="shared" si="3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33">F64</f>
        <v>0.75</v>
      </c>
      <c r="G97" s="64">
        <f t="shared" si="33"/>
        <v>0.7</v>
      </c>
      <c r="H97" s="64">
        <f t="shared" si="33"/>
        <v>0.69</v>
      </c>
      <c r="I97" s="64">
        <f t="shared" si="33"/>
        <v>0.68</v>
      </c>
      <c r="J97" s="64">
        <f t="shared" si="33"/>
        <v>0.65</v>
      </c>
      <c r="K97" s="64">
        <f t="shared" si="33"/>
        <v>0.66</v>
      </c>
      <c r="L97" s="64">
        <f t="shared" si="33"/>
        <v>0.72</v>
      </c>
      <c r="M97" s="64">
        <f t="shared" si="33"/>
        <v>0.95</v>
      </c>
      <c r="N97" s="64">
        <f t="shared" si="33"/>
        <v>0.94</v>
      </c>
      <c r="O97" s="64">
        <f t="shared" si="33"/>
        <v>1.02</v>
      </c>
      <c r="P97" s="64">
        <f t="shared" si="33"/>
        <v>0.78</v>
      </c>
      <c r="Q97" s="64">
        <f t="shared" si="33"/>
        <v>0.98</v>
      </c>
      <c r="R97" s="64">
        <f t="shared" si="33"/>
        <v>1.06</v>
      </c>
      <c r="S97" s="64">
        <f t="shared" si="33"/>
        <v>0.95</v>
      </c>
      <c r="T97" s="64">
        <f t="shared" si="33"/>
        <v>0.92</v>
      </c>
      <c r="U97" s="64">
        <f t="shared" si="33"/>
        <v>0.87</v>
      </c>
      <c r="V97" s="64">
        <f t="shared" si="33"/>
        <v>0.89</v>
      </c>
      <c r="W97" s="64">
        <f t="shared" si="33"/>
        <v>0.98</v>
      </c>
      <c r="X97" s="64">
        <f t="shared" si="33"/>
        <v>1.07</v>
      </c>
      <c r="Y97" s="64">
        <f t="shared" si="33"/>
        <v>1.1399999999999999</v>
      </c>
      <c r="Z97" s="64">
        <f t="shared" si="33"/>
        <v>1.05</v>
      </c>
      <c r="AA97" s="64">
        <f t="shared" si="33"/>
        <v>0.98</v>
      </c>
      <c r="AB97" s="64">
        <f t="shared" si="33"/>
        <v>0.87</v>
      </c>
      <c r="AC97" s="64">
        <f t="shared" si="33"/>
        <v>0.75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34">F75</f>
        <v>2.64</v>
      </c>
      <c r="G98" s="64">
        <f t="shared" si="34"/>
        <v>2.5</v>
      </c>
      <c r="H98" s="64">
        <f t="shared" si="34"/>
        <v>2.4300000000000002</v>
      </c>
      <c r="I98" s="64">
        <f t="shared" si="34"/>
        <v>2.39</v>
      </c>
      <c r="J98" s="64">
        <f t="shared" si="34"/>
        <v>2.42</v>
      </c>
      <c r="K98" s="64">
        <f t="shared" si="34"/>
        <v>2.3499999999999996</v>
      </c>
      <c r="L98" s="64">
        <f t="shared" si="34"/>
        <v>2.2999999999999998</v>
      </c>
      <c r="M98" s="64">
        <f t="shared" si="34"/>
        <v>2.3199999999999998</v>
      </c>
      <c r="N98" s="64">
        <f t="shared" si="34"/>
        <v>2.59</v>
      </c>
      <c r="O98" s="64">
        <f t="shared" si="34"/>
        <v>2.87</v>
      </c>
      <c r="P98" s="64">
        <f t="shared" si="34"/>
        <v>2.86</v>
      </c>
      <c r="Q98" s="64">
        <f t="shared" si="34"/>
        <v>2.93</v>
      </c>
      <c r="R98" s="64">
        <f t="shared" si="34"/>
        <v>2.93</v>
      </c>
      <c r="S98" s="64">
        <f t="shared" si="34"/>
        <v>3</v>
      </c>
      <c r="T98" s="64">
        <f t="shared" si="34"/>
        <v>2.89</v>
      </c>
      <c r="U98" s="64">
        <f t="shared" si="34"/>
        <v>2.89</v>
      </c>
      <c r="V98" s="64">
        <f t="shared" si="34"/>
        <v>2.77</v>
      </c>
      <c r="W98" s="64">
        <f t="shared" si="34"/>
        <v>2.9</v>
      </c>
      <c r="X98" s="64">
        <f t="shared" si="34"/>
        <v>2.7</v>
      </c>
      <c r="Y98" s="64">
        <f t="shared" si="34"/>
        <v>3.35</v>
      </c>
      <c r="Z98" s="64">
        <f t="shared" si="34"/>
        <v>3.24</v>
      </c>
      <c r="AA98" s="64">
        <f t="shared" si="34"/>
        <v>2.89</v>
      </c>
      <c r="AB98" s="64">
        <f t="shared" si="34"/>
        <v>2.7199999999999998</v>
      </c>
      <c r="AC98" s="64">
        <f t="shared" si="34"/>
        <v>2.5099999999999998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35">F79</f>
        <v>0.7</v>
      </c>
      <c r="G99" s="64">
        <f t="shared" si="35"/>
        <v>0.69</v>
      </c>
      <c r="H99" s="64">
        <f t="shared" si="35"/>
        <v>0.66</v>
      </c>
      <c r="I99" s="64">
        <f t="shared" si="35"/>
        <v>0.65</v>
      </c>
      <c r="J99" s="64">
        <f t="shared" si="35"/>
        <v>0.63</v>
      </c>
      <c r="K99" s="64">
        <f t="shared" si="35"/>
        <v>0.65</v>
      </c>
      <c r="L99" s="64">
        <f t="shared" si="35"/>
        <v>0.63</v>
      </c>
      <c r="M99" s="64">
        <f t="shared" si="35"/>
        <v>0.64</v>
      </c>
      <c r="N99" s="64">
        <f t="shared" si="35"/>
        <v>0.69</v>
      </c>
      <c r="O99" s="64">
        <f t="shared" si="35"/>
        <v>0.74</v>
      </c>
      <c r="P99" s="64">
        <f t="shared" si="35"/>
        <v>0.79</v>
      </c>
      <c r="Q99" s="64">
        <f t="shared" si="35"/>
        <v>0.79</v>
      </c>
      <c r="R99" s="64">
        <f t="shared" si="35"/>
        <v>0.78</v>
      </c>
      <c r="S99" s="64">
        <f t="shared" si="35"/>
        <v>0.82</v>
      </c>
      <c r="T99" s="64">
        <f t="shared" si="35"/>
        <v>0.84</v>
      </c>
      <c r="U99" s="64">
        <f t="shared" si="35"/>
        <v>0.85</v>
      </c>
      <c r="V99" s="64">
        <f t="shared" si="35"/>
        <v>0.86</v>
      </c>
      <c r="W99" s="64">
        <f t="shared" si="35"/>
        <v>0.82</v>
      </c>
      <c r="X99" s="64">
        <f t="shared" si="35"/>
        <v>0.84</v>
      </c>
      <c r="Y99" s="64">
        <f t="shared" si="35"/>
        <v>0.98</v>
      </c>
      <c r="Z99" s="64">
        <f t="shared" si="35"/>
        <v>0.95</v>
      </c>
      <c r="AA99" s="64">
        <f t="shared" si="35"/>
        <v>0.91</v>
      </c>
      <c r="AB99" s="64">
        <f t="shared" si="35"/>
        <v>0.88</v>
      </c>
      <c r="AC99" s="64">
        <f t="shared" si="35"/>
        <v>0.84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36">F81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37">SUM(F88,F90,F92,F94,F96:F100,F80)</f>
        <v>35.29</v>
      </c>
      <c r="G101" s="61">
        <f t="shared" si="37"/>
        <v>33.489999999999995</v>
      </c>
      <c r="H101" s="61">
        <f t="shared" si="37"/>
        <v>32.479999999999997</v>
      </c>
      <c r="I101" s="61">
        <f t="shared" si="37"/>
        <v>30.92</v>
      </c>
      <c r="J101" s="61">
        <f t="shared" si="37"/>
        <v>31.3</v>
      </c>
      <c r="K101" s="61">
        <f t="shared" si="37"/>
        <v>31.759999999999998</v>
      </c>
      <c r="L101" s="61">
        <f t="shared" si="37"/>
        <v>32.65</v>
      </c>
      <c r="M101" s="61">
        <f t="shared" si="37"/>
        <v>33.61</v>
      </c>
      <c r="N101" s="61">
        <f t="shared" si="37"/>
        <v>36.72</v>
      </c>
      <c r="O101" s="61">
        <f t="shared" si="37"/>
        <v>37.93</v>
      </c>
      <c r="P101" s="61">
        <f t="shared" si="37"/>
        <v>39.929999999999993</v>
      </c>
      <c r="Q101" s="61">
        <f t="shared" si="37"/>
        <v>40.299999999999997</v>
      </c>
      <c r="R101" s="61">
        <f t="shared" si="37"/>
        <v>41.17</v>
      </c>
      <c r="S101" s="61">
        <f t="shared" si="37"/>
        <v>39.369999999999997</v>
      </c>
      <c r="T101" s="61">
        <f t="shared" si="37"/>
        <v>36.250000000000007</v>
      </c>
      <c r="U101" s="61">
        <f t="shared" si="37"/>
        <v>34.909999999999997</v>
      </c>
      <c r="V101" s="61">
        <f t="shared" si="37"/>
        <v>40.120000000000005</v>
      </c>
      <c r="W101" s="61">
        <f t="shared" si="37"/>
        <v>42.8</v>
      </c>
      <c r="X101" s="61">
        <f t="shared" si="37"/>
        <v>43.510000000000012</v>
      </c>
      <c r="Y101" s="61">
        <f t="shared" si="37"/>
        <v>46.57</v>
      </c>
      <c r="Z101" s="61">
        <f t="shared" si="37"/>
        <v>43.84</v>
      </c>
      <c r="AA101" s="61">
        <f t="shared" si="37"/>
        <v>8.98</v>
      </c>
      <c r="AB101" s="61">
        <f t="shared" si="37"/>
        <v>11.87</v>
      </c>
      <c r="AC101" s="61">
        <f t="shared" si="37"/>
        <v>31.599999999999998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0.99</v>
      </c>
      <c r="P104" s="77">
        <v>0.99</v>
      </c>
      <c r="Q104" s="77">
        <f>0.99+0.3</f>
        <v>1.29</v>
      </c>
      <c r="R104" s="77">
        <v>0.3</v>
      </c>
      <c r="S104" s="77">
        <v>0.3</v>
      </c>
      <c r="T104" s="382">
        <f>2.64+0.3</f>
        <v>2.94</v>
      </c>
      <c r="U104" s="382">
        <f>2.64+0.3</f>
        <v>2.94</v>
      </c>
      <c r="V104" s="77">
        <v>0.3</v>
      </c>
      <c r="W104" s="77">
        <v>0.3</v>
      </c>
      <c r="X104" s="77"/>
      <c r="Y104" s="77"/>
      <c r="Z104" s="77"/>
      <c r="AA104" s="77">
        <v>26.07</v>
      </c>
      <c r="AB104" s="77">
        <f>26.07-1.45-2.11</f>
        <v>22.51</v>
      </c>
      <c r="AC104" s="77">
        <f>26.07-3.45-3.11-4.21-1-1-2.5-1.5-0.8-1.5-0.49-1.53-0.64-0.69-0.86</f>
        <v>2.79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38">SUM(F102:F104)</f>
        <v>0</v>
      </c>
      <c r="G105" s="61">
        <f t="shared" si="38"/>
        <v>0</v>
      </c>
      <c r="H105" s="61">
        <f t="shared" si="38"/>
        <v>0</v>
      </c>
      <c r="I105" s="61">
        <f t="shared" si="38"/>
        <v>0</v>
      </c>
      <c r="J105" s="61">
        <f t="shared" si="38"/>
        <v>0</v>
      </c>
      <c r="K105" s="61">
        <f t="shared" si="38"/>
        <v>0</v>
      </c>
      <c r="L105" s="61">
        <f t="shared" si="38"/>
        <v>0</v>
      </c>
      <c r="M105" s="61">
        <f t="shared" si="38"/>
        <v>0</v>
      </c>
      <c r="N105" s="61">
        <f t="shared" si="38"/>
        <v>0</v>
      </c>
      <c r="O105" s="61">
        <f t="shared" si="38"/>
        <v>0.99</v>
      </c>
      <c r="P105" s="61">
        <f t="shared" si="38"/>
        <v>0.99</v>
      </c>
      <c r="Q105" s="61">
        <f t="shared" si="38"/>
        <v>1.29</v>
      </c>
      <c r="R105" s="61">
        <f t="shared" si="38"/>
        <v>0.3</v>
      </c>
      <c r="S105" s="61">
        <f t="shared" si="38"/>
        <v>0.3</v>
      </c>
      <c r="T105" s="61">
        <f t="shared" si="38"/>
        <v>2.94</v>
      </c>
      <c r="U105" s="61">
        <f>SUM(U102:U104)</f>
        <v>2.94</v>
      </c>
      <c r="V105" s="61">
        <f t="shared" si="38"/>
        <v>0.3</v>
      </c>
      <c r="W105" s="61">
        <f t="shared" si="38"/>
        <v>0.3</v>
      </c>
      <c r="X105" s="61">
        <f t="shared" si="38"/>
        <v>0</v>
      </c>
      <c r="Y105" s="61">
        <f t="shared" si="38"/>
        <v>0</v>
      </c>
      <c r="Z105" s="61">
        <f t="shared" si="38"/>
        <v>0</v>
      </c>
      <c r="AA105" s="61">
        <f t="shared" si="38"/>
        <v>26.07</v>
      </c>
      <c r="AB105" s="61">
        <f t="shared" si="38"/>
        <v>22.51</v>
      </c>
      <c r="AC105" s="61">
        <f t="shared" si="38"/>
        <v>2.79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39">F101+F105</f>
        <v>35.29</v>
      </c>
      <c r="G106" s="62">
        <f t="shared" si="39"/>
        <v>33.489999999999995</v>
      </c>
      <c r="H106" s="62">
        <f t="shared" si="39"/>
        <v>32.479999999999997</v>
      </c>
      <c r="I106" s="62">
        <f t="shared" si="39"/>
        <v>30.92</v>
      </c>
      <c r="J106" s="62">
        <f t="shared" si="39"/>
        <v>31.3</v>
      </c>
      <c r="K106" s="62">
        <f t="shared" si="39"/>
        <v>31.759999999999998</v>
      </c>
      <c r="L106" s="62">
        <f t="shared" si="39"/>
        <v>32.65</v>
      </c>
      <c r="M106" s="62">
        <f t="shared" si="39"/>
        <v>33.61</v>
      </c>
      <c r="N106" s="62">
        <f t="shared" si="39"/>
        <v>36.72</v>
      </c>
      <c r="O106" s="62">
        <f t="shared" si="39"/>
        <v>38.92</v>
      </c>
      <c r="P106" s="62">
        <f t="shared" si="39"/>
        <v>40.919999999999995</v>
      </c>
      <c r="Q106" s="62">
        <f t="shared" si="39"/>
        <v>41.589999999999996</v>
      </c>
      <c r="R106" s="62">
        <f t="shared" si="39"/>
        <v>41.47</v>
      </c>
      <c r="S106" s="62">
        <f t="shared" si="39"/>
        <v>39.669999999999995</v>
      </c>
      <c r="T106" s="62">
        <f t="shared" si="39"/>
        <v>39.190000000000005</v>
      </c>
      <c r="U106" s="62">
        <f t="shared" si="39"/>
        <v>37.849999999999994</v>
      </c>
      <c r="V106" s="62">
        <f t="shared" si="39"/>
        <v>40.42</v>
      </c>
      <c r="W106" s="62">
        <f t="shared" si="39"/>
        <v>43.099999999999994</v>
      </c>
      <c r="X106" s="62">
        <f t="shared" si="39"/>
        <v>43.510000000000012</v>
      </c>
      <c r="Y106" s="62">
        <f t="shared" si="39"/>
        <v>46.57</v>
      </c>
      <c r="Z106" s="62">
        <f t="shared" si="39"/>
        <v>43.84</v>
      </c>
      <c r="AA106" s="62">
        <f t="shared" si="39"/>
        <v>35.049999999999997</v>
      </c>
      <c r="AB106" s="62">
        <f t="shared" si="39"/>
        <v>34.380000000000003</v>
      </c>
      <c r="AC106" s="62">
        <f t="shared" si="39"/>
        <v>34.39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40">(COUNT(F13:F16))*7.2+(COUNT(F27:F28)*4.9)+(COUNT(F19:F21)*4.5)-F90-F92</f>
        <v>4.0000000000000053</v>
      </c>
      <c r="G107" s="63">
        <f t="shared" si="40"/>
        <v>5.600000000000005</v>
      </c>
      <c r="H107" s="63">
        <f t="shared" si="40"/>
        <v>6.5000000000000036</v>
      </c>
      <c r="I107" s="63">
        <f t="shared" si="40"/>
        <v>3.2000000000000028</v>
      </c>
      <c r="J107" s="63">
        <f t="shared" si="40"/>
        <v>2.8000000000000025</v>
      </c>
      <c r="K107" s="63">
        <f t="shared" si="40"/>
        <v>2.8000000000000025</v>
      </c>
      <c r="L107" s="63">
        <f t="shared" si="40"/>
        <v>2.6000000000000032</v>
      </c>
      <c r="M107" s="63">
        <f t="shared" si="40"/>
        <v>3.4000000000000039</v>
      </c>
      <c r="N107" s="63">
        <f t="shared" si="40"/>
        <v>8.1000000000000032</v>
      </c>
      <c r="O107" s="63">
        <f t="shared" si="40"/>
        <v>7.8000000000000034</v>
      </c>
      <c r="P107" s="63">
        <f t="shared" si="40"/>
        <v>8.3000000000000043</v>
      </c>
      <c r="Q107" s="63">
        <f t="shared" si="40"/>
        <v>7.4000000000000039</v>
      </c>
      <c r="R107" s="63">
        <f t="shared" si="40"/>
        <v>8.1000000000000085</v>
      </c>
      <c r="S107" s="63">
        <f t="shared" si="40"/>
        <v>8.3000000000000078</v>
      </c>
      <c r="T107" s="63">
        <f t="shared" si="40"/>
        <v>10.800000000000004</v>
      </c>
      <c r="U107" s="63">
        <f t="shared" si="40"/>
        <v>11.600000000000007</v>
      </c>
      <c r="V107" s="63">
        <f t="shared" si="40"/>
        <v>7.4000000000000039</v>
      </c>
      <c r="W107" s="63">
        <f t="shared" si="40"/>
        <v>7.2000000000000046</v>
      </c>
      <c r="X107" s="63">
        <f t="shared" si="40"/>
        <v>7.8000000000000043</v>
      </c>
      <c r="Y107" s="63">
        <f t="shared" si="40"/>
        <v>8.7000000000000046</v>
      </c>
      <c r="Z107" s="63">
        <f t="shared" si="40"/>
        <v>8.0000000000000036</v>
      </c>
      <c r="AA107" s="63">
        <f t="shared" si="40"/>
        <v>5.6000000000000005</v>
      </c>
      <c r="AB107" s="63">
        <f t="shared" si="40"/>
        <v>24</v>
      </c>
      <c r="AC107" s="63">
        <f t="shared" si="40"/>
        <v>11.600000000000005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3.3000000000000052</v>
      </c>
      <c r="G108" s="206">
        <f t="shared" si="41"/>
        <v>4.9000000000000048</v>
      </c>
      <c r="H108" s="206">
        <f t="shared" si="41"/>
        <v>5.8000000000000034</v>
      </c>
      <c r="I108" s="206">
        <f t="shared" si="41"/>
        <v>2.5000000000000009</v>
      </c>
      <c r="J108" s="206">
        <f t="shared" si="41"/>
        <v>2.1000000000000005</v>
      </c>
      <c r="K108" s="206">
        <f t="shared" si="41"/>
        <v>2.1000000000000005</v>
      </c>
      <c r="L108" s="206">
        <f t="shared" si="41"/>
        <v>1.9000000000000012</v>
      </c>
      <c r="M108" s="206">
        <f t="shared" si="41"/>
        <v>2.700000000000002</v>
      </c>
      <c r="N108" s="206">
        <f t="shared" si="41"/>
        <v>4.4000000000000012</v>
      </c>
      <c r="O108" s="206">
        <f t="shared" si="41"/>
        <v>3.8000000000000016</v>
      </c>
      <c r="P108" s="206">
        <f t="shared" si="41"/>
        <v>4.3000000000000016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4.8000000000000016</v>
      </c>
      <c r="R108" s="206">
        <f t="shared" ref="R108:AC108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4.7000000000000037</v>
      </c>
      <c r="S108" s="206">
        <f t="shared" si="42"/>
        <v>5.0000000000000044</v>
      </c>
      <c r="T108" s="206">
        <f t="shared" si="42"/>
        <v>8</v>
      </c>
      <c r="U108" s="206">
        <f t="shared" si="42"/>
        <v>9.3000000000000025</v>
      </c>
      <c r="V108" s="206">
        <f t="shared" si="42"/>
        <v>4</v>
      </c>
      <c r="W108" s="206">
        <f t="shared" si="42"/>
        <v>3.8000000000000007</v>
      </c>
      <c r="X108" s="206">
        <f t="shared" si="42"/>
        <v>4.4000000000000004</v>
      </c>
      <c r="Y108" s="206">
        <f t="shared" si="42"/>
        <v>5.3000000000000016</v>
      </c>
      <c r="Z108" s="206">
        <f t="shared" si="42"/>
        <v>4.6000000000000005</v>
      </c>
      <c r="AA108" s="206">
        <f t="shared" si="42"/>
        <v>4.8</v>
      </c>
      <c r="AB108" s="206">
        <f t="shared" si="42"/>
        <v>23.200000000000003</v>
      </c>
      <c r="AC108" s="206">
        <f t="shared" si="42"/>
        <v>7.6000000000000005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60.11</v>
      </c>
      <c r="G109" s="75">
        <v>60.12</v>
      </c>
      <c r="H109" s="75">
        <v>60.21</v>
      </c>
      <c r="I109" s="75">
        <v>60.18</v>
      </c>
      <c r="J109" s="75">
        <v>60.08</v>
      </c>
      <c r="K109" s="75">
        <v>60.08</v>
      </c>
      <c r="L109" s="75">
        <v>60.07</v>
      </c>
      <c r="M109" s="75">
        <v>60.08</v>
      </c>
      <c r="N109" s="75">
        <v>60.15</v>
      </c>
      <c r="O109" s="75">
        <v>60.08</v>
      </c>
      <c r="P109" s="84">
        <v>60.11</v>
      </c>
      <c r="Q109" s="84">
        <v>60.13</v>
      </c>
      <c r="R109" s="84">
        <v>60.14</v>
      </c>
      <c r="S109" s="84">
        <v>60.11</v>
      </c>
      <c r="T109" s="84">
        <v>60.24</v>
      </c>
      <c r="U109" s="75">
        <v>60.13</v>
      </c>
      <c r="V109" s="75">
        <v>60.11</v>
      </c>
      <c r="W109" s="75">
        <v>60.15</v>
      </c>
      <c r="X109" s="75">
        <v>60.11</v>
      </c>
      <c r="Y109" s="75">
        <v>60.14</v>
      </c>
      <c r="Z109" s="75">
        <v>60.11</v>
      </c>
      <c r="AA109" s="75"/>
      <c r="AB109" s="75">
        <v>60.56</v>
      </c>
      <c r="AC109" s="75">
        <v>60.49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43">SUM(G117:G124)</f>
        <v>0</v>
      </c>
      <c r="H125" s="44">
        <f t="shared" si="43"/>
        <v>0</v>
      </c>
      <c r="I125" s="44">
        <f t="shared" si="43"/>
        <v>0</v>
      </c>
      <c r="J125" s="44">
        <f t="shared" si="43"/>
        <v>0</v>
      </c>
      <c r="K125" s="44">
        <f t="shared" si="43"/>
        <v>0</v>
      </c>
      <c r="L125" s="44">
        <f t="shared" si="43"/>
        <v>0</v>
      </c>
      <c r="M125" s="44">
        <f t="shared" si="43"/>
        <v>0</v>
      </c>
      <c r="N125" s="44">
        <f t="shared" si="43"/>
        <v>0</v>
      </c>
      <c r="O125" s="44">
        <f t="shared" si="43"/>
        <v>0</v>
      </c>
      <c r="P125" s="44">
        <f t="shared" si="43"/>
        <v>0</v>
      </c>
      <c r="Q125" s="44">
        <f t="shared" si="43"/>
        <v>0</v>
      </c>
      <c r="R125" s="44">
        <f t="shared" si="43"/>
        <v>0</v>
      </c>
      <c r="S125" s="44">
        <f t="shared" si="43"/>
        <v>0</v>
      </c>
      <c r="T125" s="44">
        <f t="shared" si="43"/>
        <v>0</v>
      </c>
      <c r="U125" s="44">
        <f t="shared" si="43"/>
        <v>0</v>
      </c>
      <c r="V125" s="44">
        <f t="shared" si="43"/>
        <v>0</v>
      </c>
      <c r="W125" s="44">
        <f t="shared" si="43"/>
        <v>0</v>
      </c>
      <c r="X125" s="44">
        <f t="shared" si="43"/>
        <v>0</v>
      </c>
      <c r="Y125" s="44">
        <f t="shared" si="43"/>
        <v>0</v>
      </c>
      <c r="Z125" s="44">
        <f t="shared" si="43"/>
        <v>0</v>
      </c>
      <c r="AA125" s="44">
        <f t="shared" si="43"/>
        <v>0</v>
      </c>
      <c r="AB125" s="44">
        <f t="shared" si="43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6515" priority="1351" operator="greaterThan">
      <formula>60.3</formula>
    </cfRule>
  </conditionalFormatting>
  <conditionalFormatting sqref="G53:G55 I20:AC21 J56:L56 I13:K14 I57:L58 I66:AC66 K15 I27:AC28 J24:AC24 I15:J16 I53:I56 K16:Q16 L13:Q15 I40:I50 I67:J72 I74:J74 N51:O52 K61:AC61 J53:O55 J35:O50 M56:O58 R13:AC16 I77:AC78 P35:AC58 L62:AC63 K67:AC74">
    <cfRule type="cellIs" dxfId="26514" priority="1343" operator="equal">
      <formula>"PMS"</formula>
    </cfRule>
    <cfRule type="containsText" dxfId="26513" priority="1344" operator="containsText" text="CMS">
      <formula>NOT(ISERROR(SEARCH("CMS",G13)))</formula>
    </cfRule>
    <cfRule type="cellIs" dxfId="26512" priority="1345" operator="equal">
      <formula>0</formula>
    </cfRule>
    <cfRule type="cellIs" dxfId="26511" priority="1346" operator="greaterThan">
      <formula>0</formula>
    </cfRule>
    <cfRule type="cellIs" dxfId="26510" priority="1347" operator="equal">
      <formula>"PMS"</formula>
    </cfRule>
    <cfRule type="containsText" dxfId="26509" priority="1348" operator="containsText" text="CMS">
      <formula>NOT(ISERROR(SEARCH("CMS",G13)))</formula>
    </cfRule>
    <cfRule type="cellIs" dxfId="26508" priority="1349" operator="equal">
      <formula>0</formula>
    </cfRule>
    <cfRule type="cellIs" dxfId="26507" priority="1350" operator="greaterThan">
      <formula>0</formula>
    </cfRule>
  </conditionalFormatting>
  <conditionalFormatting sqref="O77:AC78 O61:AC63 O66:AC74">
    <cfRule type="cellIs" dxfId="26506" priority="1339" operator="equal">
      <formula>"PMS"</formula>
    </cfRule>
    <cfRule type="containsText" dxfId="26505" priority="1340" operator="containsText" text="CMS">
      <formula>NOT(ISERROR(SEARCH("CMS",O61)))</formula>
    </cfRule>
    <cfRule type="cellIs" dxfId="26504" priority="1341" operator="equal">
      <formula>0</formula>
    </cfRule>
    <cfRule type="cellIs" dxfId="26503" priority="1342" operator="greaterThan">
      <formula>0</formula>
    </cfRule>
  </conditionalFormatting>
  <conditionalFormatting sqref="P66:AC74">
    <cfRule type="cellIs" dxfId="26502" priority="1335" operator="equal">
      <formula>"PMS"</formula>
    </cfRule>
    <cfRule type="containsText" dxfId="26501" priority="1336" operator="containsText" text="CMS">
      <formula>NOT(ISERROR(SEARCH("CMS",P66)))</formula>
    </cfRule>
    <cfRule type="cellIs" dxfId="26500" priority="1337" operator="equal">
      <formula>0</formula>
    </cfRule>
    <cfRule type="cellIs" dxfId="26499" priority="1338" operator="greaterThan">
      <formula>0</formula>
    </cfRule>
  </conditionalFormatting>
  <conditionalFormatting sqref="O13:AC16">
    <cfRule type="cellIs" dxfId="26498" priority="1331" operator="equal">
      <formula>"PMS"</formula>
    </cfRule>
    <cfRule type="containsText" dxfId="26497" priority="1332" operator="containsText" text="CMS">
      <formula>NOT(ISERROR(SEARCH("CMS",O13)))</formula>
    </cfRule>
    <cfRule type="cellIs" dxfId="26496" priority="1333" operator="equal">
      <formula>0</formula>
    </cfRule>
    <cfRule type="cellIs" dxfId="26495" priority="1334" operator="greaterThan">
      <formula>0</formula>
    </cfRule>
  </conditionalFormatting>
  <conditionalFormatting sqref="P13:AC16">
    <cfRule type="cellIs" dxfId="26494" priority="1327" operator="equal">
      <formula>"PMS"</formula>
    </cfRule>
    <cfRule type="containsText" dxfId="26493" priority="1328" operator="containsText" text="CMS">
      <formula>NOT(ISERROR(SEARCH("CMS",P13)))</formula>
    </cfRule>
    <cfRule type="cellIs" dxfId="26492" priority="1329" operator="equal">
      <formula>0</formula>
    </cfRule>
    <cfRule type="cellIs" dxfId="26491" priority="1330" operator="greaterThan">
      <formula>0</formula>
    </cfRule>
  </conditionalFormatting>
  <conditionalFormatting sqref="O20:AC21">
    <cfRule type="cellIs" dxfId="26490" priority="1323" operator="equal">
      <formula>"PMS"</formula>
    </cfRule>
    <cfRule type="containsText" dxfId="26489" priority="1324" operator="containsText" text="CMS">
      <formula>NOT(ISERROR(SEARCH("CMS",O20)))</formula>
    </cfRule>
    <cfRule type="cellIs" dxfId="26488" priority="1325" operator="equal">
      <formula>0</formula>
    </cfRule>
    <cfRule type="cellIs" dxfId="26487" priority="1326" operator="greaterThan">
      <formula>0</formula>
    </cfRule>
  </conditionalFormatting>
  <conditionalFormatting sqref="P20:AC21">
    <cfRule type="cellIs" dxfId="26486" priority="1319" operator="equal">
      <formula>"PMS"</formula>
    </cfRule>
    <cfRule type="containsText" dxfId="26485" priority="1320" operator="containsText" text="CMS">
      <formula>NOT(ISERROR(SEARCH("CMS",P20)))</formula>
    </cfRule>
    <cfRule type="cellIs" dxfId="26484" priority="1321" operator="equal">
      <formula>0</formula>
    </cfRule>
    <cfRule type="cellIs" dxfId="26483" priority="1322" operator="greaterThan">
      <formula>0</formula>
    </cfRule>
  </conditionalFormatting>
  <conditionalFormatting sqref="O24:AC24">
    <cfRule type="cellIs" dxfId="26482" priority="1315" operator="equal">
      <formula>"PMS"</formula>
    </cfRule>
    <cfRule type="containsText" dxfId="26481" priority="1316" operator="containsText" text="CMS">
      <formula>NOT(ISERROR(SEARCH("CMS",O24)))</formula>
    </cfRule>
    <cfRule type="cellIs" dxfId="26480" priority="1317" operator="equal">
      <formula>0</formula>
    </cfRule>
    <cfRule type="cellIs" dxfId="26479" priority="1318" operator="greaterThan">
      <formula>0</formula>
    </cfRule>
  </conditionalFormatting>
  <conditionalFormatting sqref="P24:AC24">
    <cfRule type="cellIs" dxfId="26478" priority="1311" operator="equal">
      <formula>"PMS"</formula>
    </cfRule>
    <cfRule type="containsText" dxfId="26477" priority="1312" operator="containsText" text="CMS">
      <formula>NOT(ISERROR(SEARCH("CMS",P24)))</formula>
    </cfRule>
    <cfRule type="cellIs" dxfId="26476" priority="1313" operator="equal">
      <formula>0</formula>
    </cfRule>
    <cfRule type="cellIs" dxfId="26475" priority="1314" operator="greaterThan">
      <formula>0</formula>
    </cfRule>
  </conditionalFormatting>
  <conditionalFormatting sqref="O27:AC28">
    <cfRule type="cellIs" dxfId="26474" priority="1307" operator="equal">
      <formula>"PMS"</formula>
    </cfRule>
    <cfRule type="containsText" dxfId="26473" priority="1308" operator="containsText" text="CMS">
      <formula>NOT(ISERROR(SEARCH("CMS",O27)))</formula>
    </cfRule>
    <cfRule type="cellIs" dxfId="26472" priority="1309" operator="equal">
      <formula>0</formula>
    </cfRule>
    <cfRule type="cellIs" dxfId="26471" priority="1310" operator="greaterThan">
      <formula>0</formula>
    </cfRule>
  </conditionalFormatting>
  <conditionalFormatting sqref="P27:AC28">
    <cfRule type="cellIs" dxfId="26470" priority="1303" operator="equal">
      <formula>"PMS"</formula>
    </cfRule>
    <cfRule type="containsText" dxfId="26469" priority="1304" operator="containsText" text="CMS">
      <formula>NOT(ISERROR(SEARCH("CMS",P27)))</formula>
    </cfRule>
    <cfRule type="cellIs" dxfId="26468" priority="1305" operator="equal">
      <formula>0</formula>
    </cfRule>
    <cfRule type="cellIs" dxfId="26467" priority="1306" operator="greaterThan">
      <formula>0</formula>
    </cfRule>
  </conditionalFormatting>
  <conditionalFormatting sqref="O53:Q58 R50:AC58 O35:AC49">
    <cfRule type="cellIs" dxfId="26466" priority="1299" operator="equal">
      <formula>"PMS"</formula>
    </cfRule>
    <cfRule type="containsText" dxfId="26465" priority="1300" operator="containsText" text="CMS">
      <formula>NOT(ISERROR(SEARCH("CMS",O35)))</formula>
    </cfRule>
    <cfRule type="cellIs" dxfId="26464" priority="1301" operator="equal">
      <formula>0</formula>
    </cfRule>
    <cfRule type="cellIs" dxfId="26463" priority="1302" operator="greaterThan">
      <formula>0</formula>
    </cfRule>
  </conditionalFormatting>
  <conditionalFormatting sqref="O38:O49 O53:Q58 R50:AC58 P35:AC49">
    <cfRule type="cellIs" dxfId="26462" priority="1295" operator="equal">
      <formula>"PMS"</formula>
    </cfRule>
    <cfRule type="containsText" dxfId="26461" priority="1296" operator="containsText" text="CMS">
      <formula>NOT(ISERROR(SEARCH("CMS",O35)))</formula>
    </cfRule>
    <cfRule type="cellIs" dxfId="26460" priority="1297" operator="equal">
      <formula>0</formula>
    </cfRule>
    <cfRule type="cellIs" dxfId="26459" priority="1298" operator="greaterThan">
      <formula>0</formula>
    </cfRule>
  </conditionalFormatting>
  <conditionalFormatting sqref="V14:X16 V13:AC13 Z14:AB16">
    <cfRule type="cellIs" dxfId="26458" priority="1291" operator="equal">
      <formula>"PMS"</formula>
    </cfRule>
    <cfRule type="containsText" dxfId="26457" priority="1292" operator="containsText" text="CMS">
      <formula>NOT(ISERROR(SEARCH("CMS",V13)))</formula>
    </cfRule>
    <cfRule type="cellIs" dxfId="26456" priority="1293" operator="equal">
      <formula>0</formula>
    </cfRule>
    <cfRule type="cellIs" dxfId="26455" priority="1294" operator="greaterThan">
      <formula>0</formula>
    </cfRule>
  </conditionalFormatting>
  <conditionalFormatting sqref="V14:X16 V13:AC13 Z14:AB16">
    <cfRule type="cellIs" dxfId="26454" priority="1287" operator="equal">
      <formula>"PMS"</formula>
    </cfRule>
    <cfRule type="containsText" dxfId="26453" priority="1288" operator="containsText" text="CMS">
      <formula>NOT(ISERROR(SEARCH("CMS",V13)))</formula>
    </cfRule>
    <cfRule type="cellIs" dxfId="26452" priority="1289" operator="equal">
      <formula>0</formula>
    </cfRule>
    <cfRule type="cellIs" dxfId="26451" priority="1290" operator="greaterThan">
      <formula>0</formula>
    </cfRule>
  </conditionalFormatting>
  <conditionalFormatting sqref="X57:AC57">
    <cfRule type="cellIs" dxfId="26450" priority="1283" operator="equal">
      <formula>"PMS"</formula>
    </cfRule>
    <cfRule type="containsText" dxfId="26449" priority="1284" operator="containsText" text="CMS">
      <formula>NOT(ISERROR(SEARCH("CMS",X57)))</formula>
    </cfRule>
    <cfRule type="cellIs" dxfId="26448" priority="1285" operator="equal">
      <formula>0</formula>
    </cfRule>
    <cfRule type="cellIs" dxfId="26447" priority="1286" operator="greaterThan">
      <formula>0</formula>
    </cfRule>
  </conditionalFormatting>
  <conditionalFormatting sqref="X57:AC57">
    <cfRule type="cellIs" dxfId="26446" priority="1279" operator="equal">
      <formula>"PMS"</formula>
    </cfRule>
    <cfRule type="containsText" dxfId="26445" priority="1280" operator="containsText" text="CMS">
      <formula>NOT(ISERROR(SEARCH("CMS",X57)))</formula>
    </cfRule>
    <cfRule type="cellIs" dxfId="26444" priority="1281" operator="equal">
      <formula>0</formula>
    </cfRule>
    <cfRule type="cellIs" dxfId="26443" priority="1282" operator="greaterThan">
      <formula>0</formula>
    </cfRule>
  </conditionalFormatting>
  <conditionalFormatting sqref="X57:AC57">
    <cfRule type="cellIs" dxfId="26442" priority="1275" operator="equal">
      <formula>"PMS"</formula>
    </cfRule>
    <cfRule type="containsText" dxfId="26441" priority="1276" operator="containsText" text="CMS">
      <formula>NOT(ISERROR(SEARCH("CMS",X57)))</formula>
    </cfRule>
    <cfRule type="cellIs" dxfId="26440" priority="1277" operator="equal">
      <formula>0</formula>
    </cfRule>
    <cfRule type="cellIs" dxfId="26439" priority="1278" operator="greaterThan">
      <formula>0</formula>
    </cfRule>
  </conditionalFormatting>
  <conditionalFormatting sqref="X57:AC57">
    <cfRule type="cellIs" dxfId="26438" priority="1271" operator="equal">
      <formula>"PMS"</formula>
    </cfRule>
    <cfRule type="containsText" dxfId="26437" priority="1272" operator="containsText" text="CMS">
      <formula>NOT(ISERROR(SEARCH("CMS",X57)))</formula>
    </cfRule>
    <cfRule type="cellIs" dxfId="26436" priority="1273" operator="equal">
      <formula>0</formula>
    </cfRule>
    <cfRule type="cellIs" dxfId="26435" priority="1274" operator="greaterThan">
      <formula>0</formula>
    </cfRule>
  </conditionalFormatting>
  <conditionalFormatting sqref="AB58:AC58">
    <cfRule type="cellIs" dxfId="26434" priority="1267" operator="equal">
      <formula>"PMS"</formula>
    </cfRule>
    <cfRule type="containsText" dxfId="26433" priority="1268" operator="containsText" text="CMS">
      <formula>NOT(ISERROR(SEARCH("CMS",AB58)))</formula>
    </cfRule>
    <cfRule type="cellIs" dxfId="26432" priority="1269" operator="equal">
      <formula>0</formula>
    </cfRule>
    <cfRule type="cellIs" dxfId="26431" priority="1270" operator="greaterThan">
      <formula>0</formula>
    </cfRule>
  </conditionalFormatting>
  <conditionalFormatting sqref="AB58:AC58">
    <cfRule type="cellIs" dxfId="26430" priority="1263" operator="equal">
      <formula>"PMS"</formula>
    </cfRule>
    <cfRule type="containsText" dxfId="26429" priority="1264" operator="containsText" text="CMS">
      <formula>NOT(ISERROR(SEARCH("CMS",AB58)))</formula>
    </cfRule>
    <cfRule type="cellIs" dxfId="26428" priority="1265" operator="equal">
      <formula>0</formula>
    </cfRule>
    <cfRule type="cellIs" dxfId="26427" priority="1266" operator="greaterThan">
      <formula>0</formula>
    </cfRule>
  </conditionalFormatting>
  <conditionalFormatting sqref="AB58:AC58">
    <cfRule type="cellIs" dxfId="26426" priority="1259" operator="equal">
      <formula>"PMS"</formula>
    </cfRule>
    <cfRule type="containsText" dxfId="26425" priority="1260" operator="containsText" text="CMS">
      <formula>NOT(ISERROR(SEARCH("CMS",AB58)))</formula>
    </cfRule>
    <cfRule type="cellIs" dxfId="26424" priority="1261" operator="equal">
      <formula>0</formula>
    </cfRule>
    <cfRule type="cellIs" dxfId="26423" priority="1262" operator="greaterThan">
      <formula>0</formula>
    </cfRule>
  </conditionalFormatting>
  <conditionalFormatting sqref="AB58:AC58">
    <cfRule type="cellIs" dxfId="26422" priority="1255" operator="equal">
      <formula>"PMS"</formula>
    </cfRule>
    <cfRule type="containsText" dxfId="26421" priority="1256" operator="containsText" text="CMS">
      <formula>NOT(ISERROR(SEARCH("CMS",AB58)))</formula>
    </cfRule>
    <cfRule type="cellIs" dxfId="26420" priority="1257" operator="equal">
      <formula>0</formula>
    </cfRule>
    <cfRule type="cellIs" dxfId="26419" priority="1258" operator="greaterThan">
      <formula>0</formula>
    </cfRule>
  </conditionalFormatting>
  <conditionalFormatting sqref="AB78">
    <cfRule type="cellIs" dxfId="26418" priority="1251" operator="equal">
      <formula>"PMS"</formula>
    </cfRule>
    <cfRule type="containsText" dxfId="26417" priority="1252" operator="containsText" text="CMS">
      <formula>NOT(ISERROR(SEARCH("CMS",AB78)))</formula>
    </cfRule>
    <cfRule type="cellIs" dxfId="26416" priority="1253" operator="equal">
      <formula>0</formula>
    </cfRule>
    <cfRule type="cellIs" dxfId="26415" priority="1254" operator="greaterThan">
      <formula>0</formula>
    </cfRule>
  </conditionalFormatting>
  <conditionalFormatting sqref="AB78">
    <cfRule type="cellIs" dxfId="26414" priority="1247" operator="equal">
      <formula>"PMS"</formula>
    </cfRule>
    <cfRule type="containsText" dxfId="26413" priority="1248" operator="containsText" text="CMS">
      <formula>NOT(ISERROR(SEARCH("CMS",AB78)))</formula>
    </cfRule>
    <cfRule type="cellIs" dxfId="26412" priority="1249" operator="equal">
      <formula>0</formula>
    </cfRule>
    <cfRule type="cellIs" dxfId="26411" priority="1250" operator="greaterThan">
      <formula>0</formula>
    </cfRule>
  </conditionalFormatting>
  <conditionalFormatting sqref="O44:O49">
    <cfRule type="cellIs" dxfId="26410" priority="1243" operator="equal">
      <formula>"PMS"</formula>
    </cfRule>
    <cfRule type="containsText" dxfId="26409" priority="1244" operator="containsText" text="CMS">
      <formula>NOT(ISERROR(SEARCH("CMS",O44)))</formula>
    </cfRule>
    <cfRule type="cellIs" dxfId="26408" priority="1245" operator="equal">
      <formula>0</formula>
    </cfRule>
    <cfRule type="cellIs" dxfId="26407" priority="1246" operator="greaterThan">
      <formula>0</formula>
    </cfRule>
  </conditionalFormatting>
  <conditionalFormatting sqref="O55:O56 P56">
    <cfRule type="cellIs" dxfId="26406" priority="1239" operator="equal">
      <formula>"PMS"</formula>
    </cfRule>
    <cfRule type="containsText" dxfId="26405" priority="1240" operator="containsText" text="CMS">
      <formula>NOT(ISERROR(SEARCH("CMS",O55)))</formula>
    </cfRule>
    <cfRule type="cellIs" dxfId="26404" priority="1241" operator="equal">
      <formula>0</formula>
    </cfRule>
    <cfRule type="cellIs" dxfId="26403" priority="1242" operator="greaterThan">
      <formula>0</formula>
    </cfRule>
  </conditionalFormatting>
  <conditionalFormatting sqref="O49">
    <cfRule type="cellIs" dxfId="26402" priority="1235" operator="equal">
      <formula>"PMS"</formula>
    </cfRule>
    <cfRule type="containsText" dxfId="26401" priority="1236" operator="containsText" text="CMS">
      <formula>NOT(ISERROR(SEARCH("CMS",O49)))</formula>
    </cfRule>
    <cfRule type="cellIs" dxfId="26400" priority="1237" operator="equal">
      <formula>0</formula>
    </cfRule>
    <cfRule type="cellIs" dxfId="26399" priority="1238" operator="greaterThan">
      <formula>0</formula>
    </cfRule>
  </conditionalFormatting>
  <conditionalFormatting sqref="O55:O57 P56">
    <cfRule type="cellIs" dxfId="26398" priority="1231" operator="equal">
      <formula>"PMS"</formula>
    </cfRule>
    <cfRule type="containsText" dxfId="26397" priority="1232" operator="containsText" text="CMS">
      <formula>NOT(ISERROR(SEARCH("CMS",O55)))</formula>
    </cfRule>
    <cfRule type="cellIs" dxfId="26396" priority="1233" operator="equal">
      <formula>0</formula>
    </cfRule>
    <cfRule type="cellIs" dxfId="26395" priority="1234" operator="greaterThan">
      <formula>0</formula>
    </cfRule>
  </conditionalFormatting>
  <conditionalFormatting sqref="Q24:V24">
    <cfRule type="cellIs" dxfId="26394" priority="1227" operator="equal">
      <formula>"PMS"</formula>
    </cfRule>
    <cfRule type="containsText" dxfId="26393" priority="1228" operator="containsText" text="CMS">
      <formula>NOT(ISERROR(SEARCH("CMS",Q24)))</formula>
    </cfRule>
    <cfRule type="cellIs" dxfId="26392" priority="1229" operator="equal">
      <formula>0</formula>
    </cfRule>
    <cfRule type="cellIs" dxfId="26391" priority="1230" operator="greaterThan">
      <formula>0</formula>
    </cfRule>
  </conditionalFormatting>
  <conditionalFormatting sqref="Q24:V24">
    <cfRule type="cellIs" dxfId="26390" priority="1223" operator="equal">
      <formula>"PMS"</formula>
    </cfRule>
    <cfRule type="containsText" dxfId="26389" priority="1224" operator="containsText" text="CMS">
      <formula>NOT(ISERROR(SEARCH("CMS",Q24)))</formula>
    </cfRule>
    <cfRule type="cellIs" dxfId="26388" priority="1225" operator="equal">
      <formula>0</formula>
    </cfRule>
    <cfRule type="cellIs" dxfId="26387" priority="1226" operator="greaterThan">
      <formula>0</formula>
    </cfRule>
  </conditionalFormatting>
  <conditionalFormatting sqref="Q27:V28">
    <cfRule type="cellIs" dxfId="26386" priority="1219" operator="equal">
      <formula>"PMS"</formula>
    </cfRule>
    <cfRule type="containsText" dxfId="26385" priority="1220" operator="containsText" text="CMS">
      <formula>NOT(ISERROR(SEARCH("CMS",Q27)))</formula>
    </cfRule>
    <cfRule type="cellIs" dxfId="26384" priority="1221" operator="equal">
      <formula>0</formula>
    </cfRule>
    <cfRule type="cellIs" dxfId="26383" priority="1222" operator="greaterThan">
      <formula>0</formula>
    </cfRule>
  </conditionalFormatting>
  <conditionalFormatting sqref="Q27:V28">
    <cfRule type="cellIs" dxfId="26382" priority="1215" operator="equal">
      <formula>"PMS"</formula>
    </cfRule>
    <cfRule type="containsText" dxfId="26381" priority="1216" operator="containsText" text="CMS">
      <formula>NOT(ISERROR(SEARCH("CMS",Q27)))</formula>
    </cfRule>
    <cfRule type="cellIs" dxfId="26380" priority="1217" operator="equal">
      <formula>0</formula>
    </cfRule>
    <cfRule type="cellIs" dxfId="26379" priority="1218" operator="greaterThan">
      <formula>0</formula>
    </cfRule>
  </conditionalFormatting>
  <conditionalFormatting sqref="R27:V28">
    <cfRule type="cellIs" dxfId="26378" priority="1211" operator="equal">
      <formula>"PMS"</formula>
    </cfRule>
    <cfRule type="containsText" dxfId="26377" priority="1212" operator="containsText" text="CMS">
      <formula>NOT(ISERROR(SEARCH("CMS",R27)))</formula>
    </cfRule>
    <cfRule type="cellIs" dxfId="26376" priority="1213" operator="equal">
      <formula>0</formula>
    </cfRule>
    <cfRule type="cellIs" dxfId="26375" priority="1214" operator="greaterThan">
      <formula>0</formula>
    </cfRule>
  </conditionalFormatting>
  <conditionalFormatting sqref="R27:V28">
    <cfRule type="cellIs" dxfId="26374" priority="1207" operator="equal">
      <formula>"PMS"</formula>
    </cfRule>
    <cfRule type="containsText" dxfId="26373" priority="1208" operator="containsText" text="CMS">
      <formula>NOT(ISERROR(SEARCH("CMS",R27)))</formula>
    </cfRule>
    <cfRule type="cellIs" dxfId="26372" priority="1209" operator="equal">
      <formula>0</formula>
    </cfRule>
    <cfRule type="cellIs" dxfId="26371" priority="1210" operator="greaterThan">
      <formula>0</formula>
    </cfRule>
  </conditionalFormatting>
  <conditionalFormatting sqref="O55:O56 P56">
    <cfRule type="cellIs" dxfId="26370" priority="1203" operator="equal">
      <formula>"PMS"</formula>
    </cfRule>
    <cfRule type="containsText" dxfId="26369" priority="1204" operator="containsText" text="CMS">
      <formula>NOT(ISERROR(SEARCH("CMS",O55)))</formula>
    </cfRule>
    <cfRule type="cellIs" dxfId="26368" priority="1205" operator="equal">
      <formula>0</formula>
    </cfRule>
    <cfRule type="cellIs" dxfId="26367" priority="1206" operator="greaterThan">
      <formula>0</formula>
    </cfRule>
  </conditionalFormatting>
  <conditionalFormatting sqref="O44:O45">
    <cfRule type="cellIs" dxfId="26366" priority="1199" operator="equal">
      <formula>"PMS"</formula>
    </cfRule>
    <cfRule type="containsText" dxfId="26365" priority="1200" operator="containsText" text="CMS">
      <formula>NOT(ISERROR(SEARCH("CMS",O44)))</formula>
    </cfRule>
    <cfRule type="cellIs" dxfId="26364" priority="1201" operator="equal">
      <formula>0</formula>
    </cfRule>
    <cfRule type="cellIs" dxfId="26363" priority="1202" operator="greaterThan">
      <formula>0</formula>
    </cfRule>
  </conditionalFormatting>
  <conditionalFormatting sqref="O44:O45">
    <cfRule type="cellIs" dxfId="26362" priority="1195" operator="equal">
      <formula>"PMS"</formula>
    </cfRule>
    <cfRule type="containsText" dxfId="26361" priority="1196" operator="containsText" text="CMS">
      <formula>NOT(ISERROR(SEARCH("CMS",O44)))</formula>
    </cfRule>
    <cfRule type="cellIs" dxfId="26360" priority="1197" operator="equal">
      <formula>0</formula>
    </cfRule>
    <cfRule type="cellIs" dxfId="26359" priority="1198" operator="greaterThan">
      <formula>0</formula>
    </cfRule>
  </conditionalFormatting>
  <conditionalFormatting sqref="O44:O45">
    <cfRule type="cellIs" dxfId="26358" priority="1191" operator="equal">
      <formula>"PMS"</formula>
    </cfRule>
    <cfRule type="containsText" dxfId="26357" priority="1192" operator="containsText" text="CMS">
      <formula>NOT(ISERROR(SEARCH("CMS",O44)))</formula>
    </cfRule>
    <cfRule type="cellIs" dxfId="26356" priority="1193" operator="equal">
      <formula>0</formula>
    </cfRule>
    <cfRule type="cellIs" dxfId="26355" priority="1194" operator="greaterThan">
      <formula>0</formula>
    </cfRule>
  </conditionalFormatting>
  <conditionalFormatting sqref="O46">
    <cfRule type="cellIs" dxfId="26354" priority="1187" operator="equal">
      <formula>"PMS"</formula>
    </cfRule>
    <cfRule type="containsText" dxfId="26353" priority="1188" operator="containsText" text="CMS">
      <formula>NOT(ISERROR(SEARCH("CMS",O46)))</formula>
    </cfRule>
    <cfRule type="cellIs" dxfId="26352" priority="1189" operator="equal">
      <formula>0</formula>
    </cfRule>
    <cfRule type="cellIs" dxfId="26351" priority="1190" operator="greaterThan">
      <formula>0</formula>
    </cfRule>
  </conditionalFormatting>
  <conditionalFormatting sqref="O46">
    <cfRule type="cellIs" dxfId="26350" priority="1183" operator="equal">
      <formula>"PMS"</formula>
    </cfRule>
    <cfRule type="containsText" dxfId="26349" priority="1184" operator="containsText" text="CMS">
      <formula>NOT(ISERROR(SEARCH("CMS",O46)))</formula>
    </cfRule>
    <cfRule type="cellIs" dxfId="26348" priority="1185" operator="equal">
      <formula>0</formula>
    </cfRule>
    <cfRule type="cellIs" dxfId="26347" priority="1186" operator="greaterThan">
      <formula>0</formula>
    </cfRule>
  </conditionalFormatting>
  <conditionalFormatting sqref="O46">
    <cfRule type="cellIs" dxfId="26346" priority="1179" operator="equal">
      <formula>"PMS"</formula>
    </cfRule>
    <cfRule type="containsText" dxfId="26345" priority="1180" operator="containsText" text="CMS">
      <formula>NOT(ISERROR(SEARCH("CMS",O46)))</formula>
    </cfRule>
    <cfRule type="cellIs" dxfId="26344" priority="1181" operator="equal">
      <formula>0</formula>
    </cfRule>
    <cfRule type="cellIs" dxfId="26343" priority="1182" operator="greaterThan">
      <formula>0</formula>
    </cfRule>
  </conditionalFormatting>
  <conditionalFormatting sqref="J19:AC19">
    <cfRule type="cellIs" dxfId="26342" priority="1175" operator="equal">
      <formula>"CMS"</formula>
    </cfRule>
    <cfRule type="cellIs" dxfId="26341" priority="1176" operator="equal">
      <formula>"PMS"</formula>
    </cfRule>
    <cfRule type="cellIs" dxfId="26340" priority="1177" operator="greaterThan">
      <formula>0</formula>
    </cfRule>
    <cfRule type="cellIs" dxfId="26339" priority="1178" operator="equal">
      <formula>0</formula>
    </cfRule>
  </conditionalFormatting>
  <conditionalFormatting sqref="G61:G63">
    <cfRule type="cellIs" dxfId="26338" priority="1171" operator="equal">
      <formula>"CMS"</formula>
    </cfRule>
    <cfRule type="cellIs" dxfId="26337" priority="1172" operator="equal">
      <formula>"PMS"</formula>
    </cfRule>
    <cfRule type="cellIs" dxfId="26336" priority="1173" operator="greaterThan">
      <formula>0</formula>
    </cfRule>
    <cfRule type="cellIs" dxfId="26335" priority="1174" operator="equal">
      <formula>0</formula>
    </cfRule>
  </conditionalFormatting>
  <conditionalFormatting sqref="G77:G78">
    <cfRule type="cellIs" dxfId="26334" priority="1166" operator="equal">
      <formula>"EOC"</formula>
    </cfRule>
    <cfRule type="cellIs" dxfId="26333" priority="1167" operator="equal">
      <formula>"CMS"</formula>
    </cfRule>
    <cfRule type="cellIs" dxfId="26332" priority="1168" operator="equal">
      <formula>"PMS"</formula>
    </cfRule>
    <cfRule type="cellIs" dxfId="26331" priority="1169" operator="greaterThan">
      <formula>0</formula>
    </cfRule>
    <cfRule type="cellIs" dxfId="26330" priority="1170" operator="equal">
      <formula>0</formula>
    </cfRule>
  </conditionalFormatting>
  <conditionalFormatting sqref="F109">
    <cfRule type="cellIs" dxfId="26329" priority="1165" operator="greaterThan">
      <formula>60.3</formula>
    </cfRule>
  </conditionalFormatting>
  <conditionalFormatting sqref="G36:G44 G50 G47">
    <cfRule type="cellIs" dxfId="26328" priority="1157" operator="equal">
      <formula>"PMS"</formula>
    </cfRule>
    <cfRule type="containsText" dxfId="26327" priority="1158" operator="containsText" text="CMS">
      <formula>NOT(ISERROR(SEARCH("CMS",G36)))</formula>
    </cfRule>
    <cfRule type="cellIs" dxfId="26326" priority="1159" operator="equal">
      <formula>0</formula>
    </cfRule>
    <cfRule type="cellIs" dxfId="26325" priority="1160" operator="greaterThan">
      <formula>0</formula>
    </cfRule>
    <cfRule type="cellIs" dxfId="26324" priority="1161" operator="equal">
      <formula>"PMS"</formula>
    </cfRule>
    <cfRule type="containsText" dxfId="26323" priority="1162" operator="containsText" text="CMS">
      <formula>NOT(ISERROR(SEARCH("CMS",G36)))</formula>
    </cfRule>
    <cfRule type="cellIs" dxfId="26322" priority="1163" operator="equal">
      <formula>0</formula>
    </cfRule>
    <cfRule type="cellIs" dxfId="26321" priority="1164" operator="greaterThan">
      <formula>0</formula>
    </cfRule>
  </conditionalFormatting>
  <conditionalFormatting sqref="G36:G44 G50 G47">
    <cfRule type="cellIs" dxfId="26320" priority="1153" operator="equal">
      <formula>"PMS"</formula>
    </cfRule>
    <cfRule type="containsText" dxfId="26319" priority="1154" operator="containsText" text="CMS">
      <formula>NOT(ISERROR(SEARCH("CMS",G36)))</formula>
    </cfRule>
    <cfRule type="cellIs" dxfId="26318" priority="1155" operator="equal">
      <formula>0</formula>
    </cfRule>
    <cfRule type="cellIs" dxfId="26317" priority="1156" operator="greaterThan">
      <formula>0</formula>
    </cfRule>
  </conditionalFormatting>
  <conditionalFormatting sqref="G36:G44 G50 G47">
    <cfRule type="cellIs" dxfId="26316" priority="1149" operator="equal">
      <formula>"PMS"</formula>
    </cfRule>
    <cfRule type="containsText" dxfId="26315" priority="1150" operator="containsText" text="CMS">
      <formula>NOT(ISERROR(SEARCH("CMS",G36)))</formula>
    </cfRule>
    <cfRule type="cellIs" dxfId="26314" priority="1151" operator="equal">
      <formula>0</formula>
    </cfRule>
    <cfRule type="cellIs" dxfId="26313" priority="1152" operator="greaterThan">
      <formula>0</formula>
    </cfRule>
  </conditionalFormatting>
  <conditionalFormatting sqref="I36:I39">
    <cfRule type="cellIs" dxfId="26312" priority="1125" operator="equal">
      <formula>"PMS"</formula>
    </cfRule>
    <cfRule type="containsText" dxfId="26311" priority="1126" operator="containsText" text="CMS">
      <formula>NOT(ISERROR(SEARCH("CMS",I36)))</formula>
    </cfRule>
    <cfRule type="cellIs" dxfId="26310" priority="1127" operator="equal">
      <formula>0</formula>
    </cfRule>
    <cfRule type="cellIs" dxfId="26309" priority="1128" operator="greaterThan">
      <formula>0</formula>
    </cfRule>
    <cfRule type="cellIs" dxfId="26308" priority="1129" operator="equal">
      <formula>"PMS"</formula>
    </cfRule>
    <cfRule type="containsText" dxfId="26307" priority="1130" operator="containsText" text="CMS">
      <formula>NOT(ISERROR(SEARCH("CMS",I36)))</formula>
    </cfRule>
    <cfRule type="cellIs" dxfId="26306" priority="1131" operator="equal">
      <formula>0</formula>
    </cfRule>
    <cfRule type="cellIs" dxfId="26305" priority="1132" operator="greaterThan">
      <formula>0</formula>
    </cfRule>
  </conditionalFormatting>
  <conditionalFormatting sqref="I36:I39">
    <cfRule type="cellIs" dxfId="26304" priority="1121" operator="equal">
      <formula>"PMS"</formula>
    </cfRule>
    <cfRule type="containsText" dxfId="26303" priority="1122" operator="containsText" text="CMS">
      <formula>NOT(ISERROR(SEARCH("CMS",I36)))</formula>
    </cfRule>
    <cfRule type="cellIs" dxfId="26302" priority="1123" operator="equal">
      <formula>0</formula>
    </cfRule>
    <cfRule type="cellIs" dxfId="26301" priority="1124" operator="greaterThan">
      <formula>0</formula>
    </cfRule>
  </conditionalFormatting>
  <conditionalFormatting sqref="I36:I39">
    <cfRule type="cellIs" dxfId="26300" priority="1117" operator="equal">
      <formula>"PMS"</formula>
    </cfRule>
    <cfRule type="containsText" dxfId="26299" priority="1118" operator="containsText" text="CMS">
      <formula>NOT(ISERROR(SEARCH("CMS",I36)))</formula>
    </cfRule>
    <cfRule type="cellIs" dxfId="26298" priority="1119" operator="equal">
      <formula>0</formula>
    </cfRule>
    <cfRule type="cellIs" dxfId="26297" priority="1120" operator="greaterThan">
      <formula>0</formula>
    </cfRule>
  </conditionalFormatting>
  <conditionalFormatting sqref="O49">
    <cfRule type="cellIs" dxfId="26296" priority="1113" operator="equal">
      <formula>"PMS"</formula>
    </cfRule>
    <cfRule type="containsText" dxfId="26295" priority="1114" operator="containsText" text="CMS">
      <formula>NOT(ISERROR(SEARCH("CMS",O49)))</formula>
    </cfRule>
    <cfRule type="cellIs" dxfId="26294" priority="1115" operator="equal">
      <formula>0</formula>
    </cfRule>
    <cfRule type="cellIs" dxfId="26293" priority="1116" operator="greaterThan">
      <formula>0</formula>
    </cfRule>
  </conditionalFormatting>
  <conditionalFormatting sqref="O55:O56 P56">
    <cfRule type="cellIs" dxfId="26292" priority="1109" operator="equal">
      <formula>"PMS"</formula>
    </cfRule>
    <cfRule type="containsText" dxfId="26291" priority="1110" operator="containsText" text="CMS">
      <formula>NOT(ISERROR(SEARCH("CMS",O55)))</formula>
    </cfRule>
    <cfRule type="cellIs" dxfId="26290" priority="1111" operator="equal">
      <formula>0</formula>
    </cfRule>
    <cfRule type="cellIs" dxfId="26289" priority="1112" operator="greaterThan">
      <formula>0</formula>
    </cfRule>
  </conditionalFormatting>
  <conditionalFormatting sqref="O57:P57">
    <cfRule type="cellIs" dxfId="26288" priority="1105" operator="equal">
      <formula>"PMS"</formula>
    </cfRule>
    <cfRule type="containsText" dxfId="26287" priority="1106" operator="containsText" text="CMS">
      <formula>NOT(ISERROR(SEARCH("CMS",O57)))</formula>
    </cfRule>
    <cfRule type="cellIs" dxfId="26286" priority="1107" operator="equal">
      <formula>0</formula>
    </cfRule>
    <cfRule type="cellIs" dxfId="26285" priority="1108" operator="greaterThan">
      <formula>0</formula>
    </cfRule>
  </conditionalFormatting>
  <conditionalFormatting sqref="O49">
    <cfRule type="cellIs" dxfId="26284" priority="1101" operator="equal">
      <formula>"PMS"</formula>
    </cfRule>
    <cfRule type="containsText" dxfId="26283" priority="1102" operator="containsText" text="CMS">
      <formula>NOT(ISERROR(SEARCH("CMS",O49)))</formula>
    </cfRule>
    <cfRule type="cellIs" dxfId="26282" priority="1103" operator="equal">
      <formula>0</formula>
    </cfRule>
    <cfRule type="cellIs" dxfId="26281" priority="1104" operator="greaterThan">
      <formula>0</formula>
    </cfRule>
  </conditionalFormatting>
  <conditionalFormatting sqref="O55:O57 P56">
    <cfRule type="cellIs" dxfId="26280" priority="1097" operator="equal">
      <formula>"PMS"</formula>
    </cfRule>
    <cfRule type="containsText" dxfId="26279" priority="1098" operator="containsText" text="CMS">
      <formula>NOT(ISERROR(SEARCH("CMS",O55)))</formula>
    </cfRule>
    <cfRule type="cellIs" dxfId="26278" priority="1099" operator="equal">
      <formula>0</formula>
    </cfRule>
    <cfRule type="cellIs" dxfId="26277" priority="1100" operator="greaterThan">
      <formula>0</formula>
    </cfRule>
  </conditionalFormatting>
  <conditionalFormatting sqref="O49">
    <cfRule type="cellIs" dxfId="26276" priority="1093" operator="equal">
      <formula>"PMS"</formula>
    </cfRule>
    <cfRule type="containsText" dxfId="26275" priority="1094" operator="containsText" text="CMS">
      <formula>NOT(ISERROR(SEARCH("CMS",O49)))</formula>
    </cfRule>
    <cfRule type="cellIs" dxfId="26274" priority="1095" operator="equal">
      <formula>0</formula>
    </cfRule>
    <cfRule type="cellIs" dxfId="26273" priority="1096" operator="greaterThan">
      <formula>0</formula>
    </cfRule>
  </conditionalFormatting>
  <conditionalFormatting sqref="O55:O57 P56">
    <cfRule type="cellIs" dxfId="26272" priority="1089" operator="equal">
      <formula>"PMS"</formula>
    </cfRule>
    <cfRule type="containsText" dxfId="26271" priority="1090" operator="containsText" text="CMS">
      <formula>NOT(ISERROR(SEARCH("CMS",O55)))</formula>
    </cfRule>
    <cfRule type="cellIs" dxfId="26270" priority="1091" operator="equal">
      <formula>0</formula>
    </cfRule>
    <cfRule type="cellIs" dxfId="26269" priority="1092" operator="greaterThan">
      <formula>0</formula>
    </cfRule>
  </conditionalFormatting>
  <conditionalFormatting sqref="V14:V16">
    <cfRule type="cellIs" dxfId="26268" priority="1085" operator="equal">
      <formula>"PMS"</formula>
    </cfRule>
    <cfRule type="containsText" dxfId="26267" priority="1086" operator="containsText" text="CMS">
      <formula>NOT(ISERROR(SEARCH("CMS",V14)))</formula>
    </cfRule>
    <cfRule type="cellIs" dxfId="26266" priority="1087" operator="equal">
      <formula>0</formula>
    </cfRule>
    <cfRule type="cellIs" dxfId="26265" priority="1088" operator="greaterThan">
      <formula>0</formula>
    </cfRule>
  </conditionalFormatting>
  <conditionalFormatting sqref="V14:V16">
    <cfRule type="cellIs" dxfId="26264" priority="1081" operator="equal">
      <formula>"PMS"</formula>
    </cfRule>
    <cfRule type="containsText" dxfId="26263" priority="1082" operator="containsText" text="CMS">
      <formula>NOT(ISERROR(SEARCH("CMS",V14)))</formula>
    </cfRule>
    <cfRule type="cellIs" dxfId="26262" priority="1083" operator="equal">
      <formula>0</formula>
    </cfRule>
    <cfRule type="cellIs" dxfId="26261" priority="1084" operator="greaterThan">
      <formula>0</formula>
    </cfRule>
  </conditionalFormatting>
  <conditionalFormatting sqref="W14:W16">
    <cfRule type="cellIs" dxfId="26260" priority="1077" operator="equal">
      <formula>"PMS"</formula>
    </cfRule>
    <cfRule type="containsText" dxfId="26259" priority="1078" operator="containsText" text="CMS">
      <formula>NOT(ISERROR(SEARCH("CMS",W14)))</formula>
    </cfRule>
    <cfRule type="cellIs" dxfId="26258" priority="1079" operator="equal">
      <formula>0</formula>
    </cfRule>
    <cfRule type="cellIs" dxfId="26257" priority="1080" operator="greaterThan">
      <formula>0</formula>
    </cfRule>
  </conditionalFormatting>
  <conditionalFormatting sqref="W14:W16">
    <cfRule type="cellIs" dxfId="26256" priority="1073" operator="equal">
      <formula>"PMS"</formula>
    </cfRule>
    <cfRule type="containsText" dxfId="26255" priority="1074" operator="containsText" text="CMS">
      <formula>NOT(ISERROR(SEARCH("CMS",W14)))</formula>
    </cfRule>
    <cfRule type="cellIs" dxfId="26254" priority="1075" operator="equal">
      <formula>0</formula>
    </cfRule>
    <cfRule type="cellIs" dxfId="26253" priority="1076" operator="greaterThan">
      <formula>0</formula>
    </cfRule>
  </conditionalFormatting>
  <conditionalFormatting sqref="X16">
    <cfRule type="cellIs" dxfId="26252" priority="1069" operator="equal">
      <formula>"PMS"</formula>
    </cfRule>
    <cfRule type="containsText" dxfId="26251" priority="1070" operator="containsText" text="CMS">
      <formula>NOT(ISERROR(SEARCH("CMS",X16)))</formula>
    </cfRule>
    <cfRule type="cellIs" dxfId="26250" priority="1071" operator="equal">
      <formula>0</formula>
    </cfRule>
    <cfRule type="cellIs" dxfId="26249" priority="1072" operator="greaterThan">
      <formula>0</formula>
    </cfRule>
  </conditionalFormatting>
  <conditionalFormatting sqref="X16">
    <cfRule type="cellIs" dxfId="26248" priority="1065" operator="equal">
      <formula>"PMS"</formula>
    </cfRule>
    <cfRule type="containsText" dxfId="26247" priority="1066" operator="containsText" text="CMS">
      <formula>NOT(ISERROR(SEARCH("CMS",X16)))</formula>
    </cfRule>
    <cfRule type="cellIs" dxfId="26246" priority="1067" operator="equal">
      <formula>0</formula>
    </cfRule>
    <cfRule type="cellIs" dxfId="26245" priority="1068" operator="greaterThan">
      <formula>0</formula>
    </cfRule>
  </conditionalFormatting>
  <conditionalFormatting sqref="O49">
    <cfRule type="cellIs" dxfId="26244" priority="1061" operator="equal">
      <formula>"PMS"</formula>
    </cfRule>
    <cfRule type="containsText" dxfId="26243" priority="1062" operator="containsText" text="CMS">
      <formula>NOT(ISERROR(SEARCH("CMS",O49)))</formula>
    </cfRule>
    <cfRule type="cellIs" dxfId="26242" priority="1063" operator="equal">
      <formula>0</formula>
    </cfRule>
    <cfRule type="cellIs" dxfId="26241" priority="1064" operator="greaterThan">
      <formula>0</formula>
    </cfRule>
  </conditionalFormatting>
  <conditionalFormatting sqref="O56:P56">
    <cfRule type="cellIs" dxfId="26240" priority="1057" operator="equal">
      <formula>"PMS"</formula>
    </cfRule>
    <cfRule type="containsText" dxfId="26239" priority="1058" operator="containsText" text="CMS">
      <formula>NOT(ISERROR(SEARCH("CMS",O56)))</formula>
    </cfRule>
    <cfRule type="cellIs" dxfId="26238" priority="1059" operator="equal">
      <formula>0</formula>
    </cfRule>
    <cfRule type="cellIs" dxfId="26237" priority="1060" operator="greaterThan">
      <formula>0</formula>
    </cfRule>
  </conditionalFormatting>
  <conditionalFormatting sqref="Z14">
    <cfRule type="cellIs" dxfId="26236" priority="1053" operator="equal">
      <formula>"PMS"</formula>
    </cfRule>
    <cfRule type="containsText" dxfId="26235" priority="1054" operator="containsText" text="CMS">
      <formula>NOT(ISERROR(SEARCH("CMS",Z14)))</formula>
    </cfRule>
    <cfRule type="cellIs" dxfId="26234" priority="1055" operator="equal">
      <formula>0</formula>
    </cfRule>
    <cfRule type="cellIs" dxfId="26233" priority="1056" operator="greaterThan">
      <formula>0</formula>
    </cfRule>
  </conditionalFormatting>
  <conditionalFormatting sqref="Z14">
    <cfRule type="cellIs" dxfId="26232" priority="1049" operator="equal">
      <formula>"PMS"</formula>
    </cfRule>
    <cfRule type="containsText" dxfId="26231" priority="1050" operator="containsText" text="CMS">
      <formula>NOT(ISERROR(SEARCH("CMS",Z14)))</formula>
    </cfRule>
    <cfRule type="cellIs" dxfId="26230" priority="1051" operator="equal">
      <formula>0</formula>
    </cfRule>
    <cfRule type="cellIs" dxfId="26229" priority="1052" operator="greaterThan">
      <formula>0</formula>
    </cfRule>
  </conditionalFormatting>
  <conditionalFormatting sqref="Z15">
    <cfRule type="cellIs" dxfId="26228" priority="1045" operator="equal">
      <formula>"PMS"</formula>
    </cfRule>
    <cfRule type="containsText" dxfId="26227" priority="1046" operator="containsText" text="CMS">
      <formula>NOT(ISERROR(SEARCH("CMS",Z15)))</formula>
    </cfRule>
    <cfRule type="cellIs" dxfId="26226" priority="1047" operator="equal">
      <formula>0</formula>
    </cfRule>
    <cfRule type="cellIs" dxfId="26225" priority="1048" operator="greaterThan">
      <formula>0</formula>
    </cfRule>
  </conditionalFormatting>
  <conditionalFormatting sqref="Z15">
    <cfRule type="cellIs" dxfId="26224" priority="1041" operator="equal">
      <formula>"PMS"</formula>
    </cfRule>
    <cfRule type="containsText" dxfId="26223" priority="1042" operator="containsText" text="CMS">
      <formula>NOT(ISERROR(SEARCH("CMS",Z15)))</formula>
    </cfRule>
    <cfRule type="cellIs" dxfId="26222" priority="1043" operator="equal">
      <formula>0</formula>
    </cfRule>
    <cfRule type="cellIs" dxfId="26221" priority="1044" operator="greaterThan">
      <formula>0</formula>
    </cfRule>
  </conditionalFormatting>
  <conditionalFormatting sqref="Z16">
    <cfRule type="cellIs" dxfId="26220" priority="1037" operator="equal">
      <formula>"PMS"</formula>
    </cfRule>
    <cfRule type="containsText" dxfId="26219" priority="1038" operator="containsText" text="CMS">
      <formula>NOT(ISERROR(SEARCH("CMS",Z16)))</formula>
    </cfRule>
    <cfRule type="cellIs" dxfId="26218" priority="1039" operator="equal">
      <formula>0</formula>
    </cfRule>
    <cfRule type="cellIs" dxfId="26217" priority="1040" operator="greaterThan">
      <formula>0</formula>
    </cfRule>
  </conditionalFormatting>
  <conditionalFormatting sqref="Z16">
    <cfRule type="cellIs" dxfId="26216" priority="1033" operator="equal">
      <formula>"PMS"</formula>
    </cfRule>
    <cfRule type="containsText" dxfId="26215" priority="1034" operator="containsText" text="CMS">
      <formula>NOT(ISERROR(SEARCH("CMS",Z16)))</formula>
    </cfRule>
    <cfRule type="cellIs" dxfId="26214" priority="1035" operator="equal">
      <formula>0</formula>
    </cfRule>
    <cfRule type="cellIs" dxfId="26213" priority="1036" operator="greaterThan">
      <formula>0</formula>
    </cfRule>
  </conditionalFormatting>
  <conditionalFormatting sqref="AA13:AA16">
    <cfRule type="cellIs" dxfId="26212" priority="1029" operator="equal">
      <formula>"PMS"</formula>
    </cfRule>
    <cfRule type="containsText" dxfId="26211" priority="1030" operator="containsText" text="CMS">
      <formula>NOT(ISERROR(SEARCH("CMS",AA13)))</formula>
    </cfRule>
    <cfRule type="cellIs" dxfId="26210" priority="1031" operator="equal">
      <formula>0</formula>
    </cfRule>
    <cfRule type="cellIs" dxfId="26209" priority="1032" operator="greaterThan">
      <formula>0</formula>
    </cfRule>
  </conditionalFormatting>
  <conditionalFormatting sqref="AA13:AA16">
    <cfRule type="cellIs" dxfId="26208" priority="1025" operator="equal">
      <formula>"PMS"</formula>
    </cfRule>
    <cfRule type="containsText" dxfId="26207" priority="1026" operator="containsText" text="CMS">
      <formula>NOT(ISERROR(SEARCH("CMS",AA13)))</formula>
    </cfRule>
    <cfRule type="cellIs" dxfId="26206" priority="1027" operator="equal">
      <formula>0</formula>
    </cfRule>
    <cfRule type="cellIs" dxfId="26205" priority="1028" operator="greaterThan">
      <formula>0</formula>
    </cfRule>
  </conditionalFormatting>
  <conditionalFormatting sqref="AA15">
    <cfRule type="cellIs" dxfId="26204" priority="1021" operator="equal">
      <formula>"PMS"</formula>
    </cfRule>
    <cfRule type="containsText" dxfId="26203" priority="1022" operator="containsText" text="CMS">
      <formula>NOT(ISERROR(SEARCH("CMS",AA15)))</formula>
    </cfRule>
    <cfRule type="cellIs" dxfId="26202" priority="1023" operator="equal">
      <formula>0</formula>
    </cfRule>
    <cfRule type="cellIs" dxfId="26201" priority="1024" operator="greaterThan">
      <formula>0</formula>
    </cfRule>
  </conditionalFormatting>
  <conditionalFormatting sqref="AA15">
    <cfRule type="cellIs" dxfId="26200" priority="1017" operator="equal">
      <formula>"PMS"</formula>
    </cfRule>
    <cfRule type="containsText" dxfId="26199" priority="1018" operator="containsText" text="CMS">
      <formula>NOT(ISERROR(SEARCH("CMS",AA15)))</formula>
    </cfRule>
    <cfRule type="cellIs" dxfId="26198" priority="1019" operator="equal">
      <formula>0</formula>
    </cfRule>
    <cfRule type="cellIs" dxfId="26197" priority="1020" operator="greaterThan">
      <formula>0</formula>
    </cfRule>
  </conditionalFormatting>
  <conditionalFormatting sqref="AA16">
    <cfRule type="cellIs" dxfId="26196" priority="1013" operator="equal">
      <formula>"PMS"</formula>
    </cfRule>
    <cfRule type="containsText" dxfId="26195" priority="1014" operator="containsText" text="CMS">
      <formula>NOT(ISERROR(SEARCH("CMS",AA16)))</formula>
    </cfRule>
    <cfRule type="cellIs" dxfId="26194" priority="1015" operator="equal">
      <formula>0</formula>
    </cfRule>
    <cfRule type="cellIs" dxfId="26193" priority="1016" operator="greaterThan">
      <formula>0</formula>
    </cfRule>
  </conditionalFormatting>
  <conditionalFormatting sqref="AA16">
    <cfRule type="cellIs" dxfId="26192" priority="1009" operator="equal">
      <formula>"PMS"</formula>
    </cfRule>
    <cfRule type="containsText" dxfId="26191" priority="1010" operator="containsText" text="CMS">
      <formula>NOT(ISERROR(SEARCH("CMS",AA16)))</formula>
    </cfRule>
    <cfRule type="cellIs" dxfId="26190" priority="1011" operator="equal">
      <formula>0</formula>
    </cfRule>
    <cfRule type="cellIs" dxfId="26189" priority="1012" operator="greaterThan">
      <formula>0</formula>
    </cfRule>
  </conditionalFormatting>
  <conditionalFormatting sqref="AA27">
    <cfRule type="cellIs" dxfId="26188" priority="1005" operator="equal">
      <formula>"PMS"</formula>
    </cfRule>
    <cfRule type="containsText" dxfId="26187" priority="1006" operator="containsText" text="CMS">
      <formula>NOT(ISERROR(SEARCH("CMS",AA27)))</formula>
    </cfRule>
    <cfRule type="cellIs" dxfId="26186" priority="1007" operator="equal">
      <formula>0</formula>
    </cfRule>
    <cfRule type="cellIs" dxfId="26185" priority="1008" operator="greaterThan">
      <formula>0</formula>
    </cfRule>
  </conditionalFormatting>
  <conditionalFormatting sqref="AA27">
    <cfRule type="cellIs" dxfId="26184" priority="1001" operator="equal">
      <formula>"PMS"</formula>
    </cfRule>
    <cfRule type="containsText" dxfId="26183" priority="1002" operator="containsText" text="CMS">
      <formula>NOT(ISERROR(SEARCH("CMS",AA27)))</formula>
    </cfRule>
    <cfRule type="cellIs" dxfId="26182" priority="1003" operator="equal">
      <formula>0</formula>
    </cfRule>
    <cfRule type="cellIs" dxfId="26181" priority="1004" operator="greaterThan">
      <formula>0</formula>
    </cfRule>
  </conditionalFormatting>
  <conditionalFormatting sqref="AA28">
    <cfRule type="cellIs" dxfId="26180" priority="997" operator="equal">
      <formula>"PMS"</formula>
    </cfRule>
    <cfRule type="containsText" dxfId="26179" priority="998" operator="containsText" text="CMS">
      <formula>NOT(ISERROR(SEARCH("CMS",AA28)))</formula>
    </cfRule>
    <cfRule type="cellIs" dxfId="26178" priority="999" operator="equal">
      <formula>0</formula>
    </cfRule>
    <cfRule type="cellIs" dxfId="26177" priority="1000" operator="greaterThan">
      <formula>0</formula>
    </cfRule>
  </conditionalFormatting>
  <conditionalFormatting sqref="AA28">
    <cfRule type="cellIs" dxfId="26176" priority="993" operator="equal">
      <formula>"PMS"</formula>
    </cfRule>
    <cfRule type="containsText" dxfId="26175" priority="994" operator="containsText" text="CMS">
      <formula>NOT(ISERROR(SEARCH("CMS",AA28)))</formula>
    </cfRule>
    <cfRule type="cellIs" dxfId="26174" priority="995" operator="equal">
      <formula>0</formula>
    </cfRule>
    <cfRule type="cellIs" dxfId="26173" priority="996" operator="greaterThan">
      <formula>0</formula>
    </cfRule>
  </conditionalFormatting>
  <conditionalFormatting sqref="AB14">
    <cfRule type="cellIs" dxfId="26172" priority="989" operator="equal">
      <formula>"PMS"</formula>
    </cfRule>
    <cfRule type="containsText" dxfId="26171" priority="990" operator="containsText" text="CMS">
      <formula>NOT(ISERROR(SEARCH("CMS",AB14)))</formula>
    </cfRule>
    <cfRule type="cellIs" dxfId="26170" priority="991" operator="equal">
      <formula>0</formula>
    </cfRule>
    <cfRule type="cellIs" dxfId="26169" priority="992" operator="greaterThan">
      <formula>0</formula>
    </cfRule>
  </conditionalFormatting>
  <conditionalFormatting sqref="AB14">
    <cfRule type="cellIs" dxfId="26168" priority="985" operator="equal">
      <formula>"PMS"</formula>
    </cfRule>
    <cfRule type="containsText" dxfId="26167" priority="986" operator="containsText" text="CMS">
      <formula>NOT(ISERROR(SEARCH("CMS",AB14)))</formula>
    </cfRule>
    <cfRule type="cellIs" dxfId="26166" priority="987" operator="equal">
      <formula>0</formula>
    </cfRule>
    <cfRule type="cellIs" dxfId="26165" priority="988" operator="greaterThan">
      <formula>0</formula>
    </cfRule>
  </conditionalFormatting>
  <conditionalFormatting sqref="AB15">
    <cfRule type="cellIs" dxfId="26164" priority="981" operator="equal">
      <formula>"PMS"</formula>
    </cfRule>
    <cfRule type="containsText" dxfId="26163" priority="982" operator="containsText" text="CMS">
      <formula>NOT(ISERROR(SEARCH("CMS",AB15)))</formula>
    </cfRule>
    <cfRule type="cellIs" dxfId="26162" priority="983" operator="equal">
      <formula>0</formula>
    </cfRule>
    <cfRule type="cellIs" dxfId="26161" priority="984" operator="greaterThan">
      <formula>0</formula>
    </cfRule>
  </conditionalFormatting>
  <conditionalFormatting sqref="AB15">
    <cfRule type="cellIs" dxfId="26160" priority="977" operator="equal">
      <formula>"PMS"</formula>
    </cfRule>
    <cfRule type="containsText" dxfId="26159" priority="978" operator="containsText" text="CMS">
      <formula>NOT(ISERROR(SEARCH("CMS",AB15)))</formula>
    </cfRule>
    <cfRule type="cellIs" dxfId="26158" priority="979" operator="equal">
      <formula>0</formula>
    </cfRule>
    <cfRule type="cellIs" dxfId="26157" priority="980" operator="greaterThan">
      <formula>0</formula>
    </cfRule>
  </conditionalFormatting>
  <conditionalFormatting sqref="AB16">
    <cfRule type="cellIs" dxfId="26156" priority="973" operator="equal">
      <formula>"PMS"</formula>
    </cfRule>
    <cfRule type="containsText" dxfId="26155" priority="974" operator="containsText" text="CMS">
      <formula>NOT(ISERROR(SEARCH("CMS",AB16)))</formula>
    </cfRule>
    <cfRule type="cellIs" dxfId="26154" priority="975" operator="equal">
      <formula>0</formula>
    </cfRule>
    <cfRule type="cellIs" dxfId="26153" priority="976" operator="greaterThan">
      <formula>0</formula>
    </cfRule>
  </conditionalFormatting>
  <conditionalFormatting sqref="AB16">
    <cfRule type="cellIs" dxfId="26152" priority="969" operator="equal">
      <formula>"PMS"</formula>
    </cfRule>
    <cfRule type="containsText" dxfId="26151" priority="970" operator="containsText" text="CMS">
      <formula>NOT(ISERROR(SEARCH("CMS",AB16)))</formula>
    </cfRule>
    <cfRule type="cellIs" dxfId="26150" priority="971" operator="equal">
      <formula>0</formula>
    </cfRule>
    <cfRule type="cellIs" dxfId="26149" priority="972" operator="greaterThan">
      <formula>0</formula>
    </cfRule>
  </conditionalFormatting>
  <conditionalFormatting sqref="J61:J63">
    <cfRule type="cellIs" dxfId="26148" priority="961" operator="equal">
      <formula>"PMS"</formula>
    </cfRule>
    <cfRule type="containsText" dxfId="26147" priority="962" operator="containsText" text="CMS">
      <formula>NOT(ISERROR(SEARCH("CMS",J61)))</formula>
    </cfRule>
    <cfRule type="cellIs" dxfId="26146" priority="963" operator="equal">
      <formula>0</formula>
    </cfRule>
    <cfRule type="cellIs" dxfId="26145" priority="964" operator="greaterThan">
      <formula>0</formula>
    </cfRule>
    <cfRule type="cellIs" dxfId="26144" priority="965" operator="equal">
      <formula>"PMS"</formula>
    </cfRule>
    <cfRule type="containsText" dxfId="26143" priority="966" operator="containsText" text="CMS">
      <formula>NOT(ISERROR(SEARCH("CMS",J61)))</formula>
    </cfRule>
    <cfRule type="cellIs" dxfId="26142" priority="967" operator="equal">
      <formula>0</formula>
    </cfRule>
    <cfRule type="cellIs" dxfId="26141" priority="968" operator="greaterThan">
      <formula>0</formula>
    </cfRule>
  </conditionalFormatting>
  <conditionalFormatting sqref="V14">
    <cfRule type="cellIs" dxfId="26140" priority="957" operator="equal">
      <formula>"PMS"</formula>
    </cfRule>
    <cfRule type="containsText" dxfId="26139" priority="958" operator="containsText" text="CMS">
      <formula>NOT(ISERROR(SEARCH("CMS",V14)))</formula>
    </cfRule>
    <cfRule type="cellIs" dxfId="26138" priority="959" operator="equal">
      <formula>0</formula>
    </cfRule>
    <cfRule type="cellIs" dxfId="26137" priority="960" operator="greaterThan">
      <formula>0</formula>
    </cfRule>
  </conditionalFormatting>
  <conditionalFormatting sqref="V14">
    <cfRule type="cellIs" dxfId="26136" priority="953" operator="equal">
      <formula>"PMS"</formula>
    </cfRule>
    <cfRule type="containsText" dxfId="26135" priority="954" operator="containsText" text="CMS">
      <formula>NOT(ISERROR(SEARCH("CMS",V14)))</formula>
    </cfRule>
    <cfRule type="cellIs" dxfId="26134" priority="955" operator="equal">
      <formula>0</formula>
    </cfRule>
    <cfRule type="cellIs" dxfId="26133" priority="956" operator="greaterThan">
      <formula>0</formula>
    </cfRule>
  </conditionalFormatting>
  <conditionalFormatting sqref="V15">
    <cfRule type="cellIs" dxfId="26132" priority="949" operator="equal">
      <formula>"PMS"</formula>
    </cfRule>
    <cfRule type="containsText" dxfId="26131" priority="950" operator="containsText" text="CMS">
      <formula>NOT(ISERROR(SEARCH("CMS",V15)))</formula>
    </cfRule>
    <cfRule type="cellIs" dxfId="26130" priority="951" operator="equal">
      <formula>0</formula>
    </cfRule>
    <cfRule type="cellIs" dxfId="26129" priority="952" operator="greaterThan">
      <formula>0</formula>
    </cfRule>
  </conditionalFormatting>
  <conditionalFormatting sqref="V15">
    <cfRule type="cellIs" dxfId="26128" priority="945" operator="equal">
      <formula>"PMS"</formula>
    </cfRule>
    <cfRule type="containsText" dxfId="26127" priority="946" operator="containsText" text="CMS">
      <formula>NOT(ISERROR(SEARCH("CMS",V15)))</formula>
    </cfRule>
    <cfRule type="cellIs" dxfId="26126" priority="947" operator="equal">
      <formula>0</formula>
    </cfRule>
    <cfRule type="cellIs" dxfId="26125" priority="948" operator="greaterThan">
      <formula>0</formula>
    </cfRule>
  </conditionalFormatting>
  <conditionalFormatting sqref="V16">
    <cfRule type="cellIs" dxfId="26124" priority="941" operator="equal">
      <formula>"PMS"</formula>
    </cfRule>
    <cfRule type="containsText" dxfId="26123" priority="942" operator="containsText" text="CMS">
      <formula>NOT(ISERROR(SEARCH("CMS",V16)))</formula>
    </cfRule>
    <cfRule type="cellIs" dxfId="26122" priority="943" operator="equal">
      <formula>0</formula>
    </cfRule>
    <cfRule type="cellIs" dxfId="26121" priority="944" operator="greaterThan">
      <formula>0</formula>
    </cfRule>
  </conditionalFormatting>
  <conditionalFormatting sqref="V16">
    <cfRule type="cellIs" dxfId="26120" priority="937" operator="equal">
      <formula>"PMS"</formula>
    </cfRule>
    <cfRule type="containsText" dxfId="26119" priority="938" operator="containsText" text="CMS">
      <formula>NOT(ISERROR(SEARCH("CMS",V16)))</formula>
    </cfRule>
    <cfRule type="cellIs" dxfId="26118" priority="939" operator="equal">
      <formula>0</formula>
    </cfRule>
    <cfRule type="cellIs" dxfId="26117" priority="940" operator="greaterThan">
      <formula>0</formula>
    </cfRule>
  </conditionalFormatting>
  <conditionalFormatting sqref="W14">
    <cfRule type="cellIs" dxfId="26116" priority="933" operator="equal">
      <formula>"PMS"</formula>
    </cfRule>
    <cfRule type="containsText" dxfId="26115" priority="934" operator="containsText" text="CMS">
      <formula>NOT(ISERROR(SEARCH("CMS",W14)))</formula>
    </cfRule>
    <cfRule type="cellIs" dxfId="26114" priority="935" operator="equal">
      <formula>0</formula>
    </cfRule>
    <cfRule type="cellIs" dxfId="26113" priority="936" operator="greaterThan">
      <formula>0</formula>
    </cfRule>
  </conditionalFormatting>
  <conditionalFormatting sqref="W14">
    <cfRule type="cellIs" dxfId="26112" priority="929" operator="equal">
      <formula>"PMS"</formula>
    </cfRule>
    <cfRule type="containsText" dxfId="26111" priority="930" operator="containsText" text="CMS">
      <formula>NOT(ISERROR(SEARCH("CMS",W14)))</formula>
    </cfRule>
    <cfRule type="cellIs" dxfId="26110" priority="931" operator="equal">
      <formula>0</formula>
    </cfRule>
    <cfRule type="cellIs" dxfId="26109" priority="932" operator="greaterThan">
      <formula>0</formula>
    </cfRule>
  </conditionalFormatting>
  <conditionalFormatting sqref="W15">
    <cfRule type="cellIs" dxfId="26108" priority="925" operator="equal">
      <formula>"PMS"</formula>
    </cfRule>
    <cfRule type="containsText" dxfId="26107" priority="926" operator="containsText" text="CMS">
      <formula>NOT(ISERROR(SEARCH("CMS",W15)))</formula>
    </cfRule>
    <cfRule type="cellIs" dxfId="26106" priority="927" operator="equal">
      <formula>0</formula>
    </cfRule>
    <cfRule type="cellIs" dxfId="26105" priority="928" operator="greaterThan">
      <formula>0</formula>
    </cfRule>
  </conditionalFormatting>
  <conditionalFormatting sqref="W15">
    <cfRule type="cellIs" dxfId="26104" priority="921" operator="equal">
      <formula>"PMS"</formula>
    </cfRule>
    <cfRule type="containsText" dxfId="26103" priority="922" operator="containsText" text="CMS">
      <formula>NOT(ISERROR(SEARCH("CMS",W15)))</formula>
    </cfRule>
    <cfRule type="cellIs" dxfId="26102" priority="923" operator="equal">
      <formula>0</formula>
    </cfRule>
    <cfRule type="cellIs" dxfId="26101" priority="924" operator="greaterThan">
      <formula>0</formula>
    </cfRule>
  </conditionalFormatting>
  <conditionalFormatting sqref="W16">
    <cfRule type="cellIs" dxfId="26100" priority="917" operator="equal">
      <formula>"PMS"</formula>
    </cfRule>
    <cfRule type="containsText" dxfId="26099" priority="918" operator="containsText" text="CMS">
      <formula>NOT(ISERROR(SEARCH("CMS",W16)))</formula>
    </cfRule>
    <cfRule type="cellIs" dxfId="26098" priority="919" operator="equal">
      <formula>0</formula>
    </cfRule>
    <cfRule type="cellIs" dxfId="26097" priority="920" operator="greaterThan">
      <formula>0</formula>
    </cfRule>
  </conditionalFormatting>
  <conditionalFormatting sqref="W16">
    <cfRule type="cellIs" dxfId="26096" priority="913" operator="equal">
      <formula>"PMS"</formula>
    </cfRule>
    <cfRule type="containsText" dxfId="26095" priority="914" operator="containsText" text="CMS">
      <formula>NOT(ISERROR(SEARCH("CMS",W16)))</formula>
    </cfRule>
    <cfRule type="cellIs" dxfId="26094" priority="915" operator="equal">
      <formula>0</formula>
    </cfRule>
    <cfRule type="cellIs" dxfId="26093" priority="916" operator="greaterThan">
      <formula>0</formula>
    </cfRule>
  </conditionalFormatting>
  <conditionalFormatting sqref="G56">
    <cfRule type="cellIs" dxfId="26092" priority="905" operator="equal">
      <formula>"PMS"</formula>
    </cfRule>
    <cfRule type="containsText" dxfId="26091" priority="906" operator="containsText" text="CMS">
      <formula>NOT(ISERROR(SEARCH("CMS",G56)))</formula>
    </cfRule>
    <cfRule type="cellIs" dxfId="26090" priority="907" operator="equal">
      <formula>0</formula>
    </cfRule>
    <cfRule type="cellIs" dxfId="26089" priority="908" operator="greaterThan">
      <formula>0</formula>
    </cfRule>
    <cfRule type="cellIs" dxfId="26088" priority="909" operator="equal">
      <formula>"PMS"</formula>
    </cfRule>
    <cfRule type="containsText" dxfId="26087" priority="910" operator="containsText" text="CMS">
      <formula>NOT(ISERROR(SEARCH("CMS",G56)))</formula>
    </cfRule>
    <cfRule type="cellIs" dxfId="26086" priority="911" operator="equal">
      <formula>0</formula>
    </cfRule>
    <cfRule type="cellIs" dxfId="26085" priority="912" operator="greaterThan">
      <formula>0</formula>
    </cfRule>
  </conditionalFormatting>
  <conditionalFormatting sqref="G56">
    <cfRule type="cellIs" dxfId="26084" priority="901" operator="equal">
      <formula>"PMS"</formula>
    </cfRule>
    <cfRule type="containsText" dxfId="26083" priority="902" operator="containsText" text="CMS">
      <formula>NOT(ISERROR(SEARCH("CMS",G56)))</formula>
    </cfRule>
    <cfRule type="cellIs" dxfId="26082" priority="903" operator="equal">
      <formula>0</formula>
    </cfRule>
    <cfRule type="cellIs" dxfId="26081" priority="904" operator="greaterThan">
      <formula>0</formula>
    </cfRule>
  </conditionalFormatting>
  <conditionalFormatting sqref="G56">
    <cfRule type="cellIs" dxfId="26080" priority="897" operator="equal">
      <formula>"PMS"</formula>
    </cfRule>
    <cfRule type="containsText" dxfId="26079" priority="898" operator="containsText" text="CMS">
      <formula>NOT(ISERROR(SEARCH("CMS",G56)))</formula>
    </cfRule>
    <cfRule type="cellIs" dxfId="26078" priority="899" operator="equal">
      <formula>0</formula>
    </cfRule>
    <cfRule type="cellIs" dxfId="26077" priority="900" operator="greaterThan">
      <formula>0</formula>
    </cfRule>
  </conditionalFormatting>
  <conditionalFormatting sqref="G13:G16">
    <cfRule type="cellIs" dxfId="26076" priority="889" operator="equal">
      <formula>"PMS"</formula>
    </cfRule>
    <cfRule type="containsText" dxfId="26075" priority="890" operator="containsText" text="CMS">
      <formula>NOT(ISERROR(SEARCH("CMS",G13)))</formula>
    </cfRule>
    <cfRule type="cellIs" dxfId="26074" priority="891" operator="equal">
      <formula>0</formula>
    </cfRule>
    <cfRule type="cellIs" dxfId="26073" priority="892" operator="greaterThan">
      <formula>0</formula>
    </cfRule>
    <cfRule type="cellIs" dxfId="26072" priority="893" operator="equal">
      <formula>"PMS"</formula>
    </cfRule>
    <cfRule type="containsText" dxfId="26071" priority="894" operator="containsText" text="CMS">
      <formula>NOT(ISERROR(SEARCH("CMS",G13)))</formula>
    </cfRule>
    <cfRule type="cellIs" dxfId="26070" priority="895" operator="equal">
      <formula>0</formula>
    </cfRule>
    <cfRule type="cellIs" dxfId="26069" priority="896" operator="greaterThan">
      <formula>0</formula>
    </cfRule>
  </conditionalFormatting>
  <conditionalFormatting sqref="G13:G16">
    <cfRule type="cellIs" dxfId="26068" priority="885" operator="equal">
      <formula>"PMS"</formula>
    </cfRule>
    <cfRule type="containsText" dxfId="26067" priority="886" operator="containsText" text="CMS">
      <formula>NOT(ISERROR(SEARCH("CMS",G13)))</formula>
    </cfRule>
    <cfRule type="cellIs" dxfId="26066" priority="887" operator="equal">
      <formula>0</formula>
    </cfRule>
    <cfRule type="cellIs" dxfId="26065" priority="888" operator="greaterThan">
      <formula>0</formula>
    </cfRule>
  </conditionalFormatting>
  <conditionalFormatting sqref="G13:G16">
    <cfRule type="cellIs" dxfId="26064" priority="881" operator="equal">
      <formula>"PMS"</formula>
    </cfRule>
    <cfRule type="containsText" dxfId="26063" priority="882" operator="containsText" text="CMS">
      <formula>NOT(ISERROR(SEARCH("CMS",G13)))</formula>
    </cfRule>
    <cfRule type="cellIs" dxfId="26062" priority="883" operator="equal">
      <formula>0</formula>
    </cfRule>
    <cfRule type="cellIs" dxfId="26061" priority="884" operator="greaterThan">
      <formula>0</formula>
    </cfRule>
  </conditionalFormatting>
  <conditionalFormatting sqref="G13:G16">
    <cfRule type="cellIs" dxfId="26060" priority="877" operator="equal">
      <formula>"PMS"</formula>
    </cfRule>
    <cfRule type="containsText" dxfId="26059" priority="878" operator="containsText" text="CMS">
      <formula>NOT(ISERROR(SEARCH("CMS",G13)))</formula>
    </cfRule>
    <cfRule type="cellIs" dxfId="26058" priority="879" operator="equal">
      <formula>0</formula>
    </cfRule>
    <cfRule type="cellIs" dxfId="26057" priority="880" operator="greaterThan">
      <formula>0</formula>
    </cfRule>
  </conditionalFormatting>
  <conditionalFormatting sqref="G13:G16">
    <cfRule type="cellIs" dxfId="26056" priority="873" operator="equal">
      <formula>"PMS"</formula>
    </cfRule>
    <cfRule type="containsText" dxfId="26055" priority="874" operator="containsText" text="CMS">
      <formula>NOT(ISERROR(SEARCH("CMS",G13)))</formula>
    </cfRule>
    <cfRule type="cellIs" dxfId="26054" priority="875" operator="equal">
      <formula>0</formula>
    </cfRule>
    <cfRule type="cellIs" dxfId="26053" priority="876" operator="greaterThan">
      <formula>0</formula>
    </cfRule>
  </conditionalFormatting>
  <conditionalFormatting sqref="G20:G21">
    <cfRule type="cellIs" dxfId="26052" priority="865" operator="equal">
      <formula>"PMS"</formula>
    </cfRule>
    <cfRule type="containsText" dxfId="26051" priority="866" operator="containsText" text="CMS">
      <formula>NOT(ISERROR(SEARCH("CMS",G20)))</formula>
    </cfRule>
    <cfRule type="cellIs" dxfId="26050" priority="867" operator="equal">
      <formula>0</formula>
    </cfRule>
    <cfRule type="cellIs" dxfId="26049" priority="868" operator="greaterThan">
      <formula>0</formula>
    </cfRule>
    <cfRule type="cellIs" dxfId="26048" priority="869" operator="equal">
      <formula>"PMS"</formula>
    </cfRule>
    <cfRule type="containsText" dxfId="26047" priority="870" operator="containsText" text="CMS">
      <formula>NOT(ISERROR(SEARCH("CMS",G20)))</formula>
    </cfRule>
    <cfRule type="cellIs" dxfId="26046" priority="871" operator="equal">
      <formula>0</formula>
    </cfRule>
    <cfRule type="cellIs" dxfId="26045" priority="872" operator="greaterThan">
      <formula>0</formula>
    </cfRule>
  </conditionalFormatting>
  <conditionalFormatting sqref="G20:G21">
    <cfRule type="cellIs" dxfId="26044" priority="861" operator="equal">
      <formula>"PMS"</formula>
    </cfRule>
    <cfRule type="containsText" dxfId="26043" priority="862" operator="containsText" text="CMS">
      <formula>NOT(ISERROR(SEARCH("CMS",G20)))</formula>
    </cfRule>
    <cfRule type="cellIs" dxfId="26042" priority="863" operator="equal">
      <formula>0</formula>
    </cfRule>
    <cfRule type="cellIs" dxfId="26041" priority="864" operator="greaterThan">
      <formula>0</formula>
    </cfRule>
  </conditionalFormatting>
  <conditionalFormatting sqref="G20:G21">
    <cfRule type="cellIs" dxfId="26040" priority="857" operator="equal">
      <formula>"PMS"</formula>
    </cfRule>
    <cfRule type="containsText" dxfId="26039" priority="858" operator="containsText" text="CMS">
      <formula>NOT(ISERROR(SEARCH("CMS",G20)))</formula>
    </cfRule>
    <cfRule type="cellIs" dxfId="26038" priority="859" operator="equal">
      <formula>0</formula>
    </cfRule>
    <cfRule type="cellIs" dxfId="26037" priority="860" operator="greaterThan">
      <formula>0</formula>
    </cfRule>
  </conditionalFormatting>
  <conditionalFormatting sqref="G27:G29 J29 M29 P29 S29 V29 AB29">
    <cfRule type="cellIs" dxfId="26036" priority="849" operator="equal">
      <formula>"PMS"</formula>
    </cfRule>
    <cfRule type="containsText" dxfId="26035" priority="850" operator="containsText" text="CMS">
      <formula>NOT(ISERROR(SEARCH("CMS",G27)))</formula>
    </cfRule>
    <cfRule type="cellIs" dxfId="26034" priority="851" operator="equal">
      <formula>0</formula>
    </cfRule>
    <cfRule type="cellIs" dxfId="26033" priority="852" operator="greaterThan">
      <formula>0</formula>
    </cfRule>
    <cfRule type="cellIs" dxfId="26032" priority="853" operator="equal">
      <formula>"PMS"</formula>
    </cfRule>
    <cfRule type="containsText" dxfId="26031" priority="854" operator="containsText" text="CMS">
      <formula>NOT(ISERROR(SEARCH("CMS",G27)))</formula>
    </cfRule>
    <cfRule type="cellIs" dxfId="26030" priority="855" operator="equal">
      <formula>0</formula>
    </cfRule>
    <cfRule type="cellIs" dxfId="26029" priority="856" operator="greaterThan">
      <formula>0</formula>
    </cfRule>
  </conditionalFormatting>
  <conditionalFormatting sqref="G27:G29 J29 M29 P29 S29 V29 AB29">
    <cfRule type="cellIs" dxfId="26028" priority="845" operator="equal">
      <formula>"PMS"</formula>
    </cfRule>
    <cfRule type="containsText" dxfId="26027" priority="846" operator="containsText" text="CMS">
      <formula>NOT(ISERROR(SEARCH("CMS",G27)))</formula>
    </cfRule>
    <cfRule type="cellIs" dxfId="26026" priority="847" operator="equal">
      <formula>0</formula>
    </cfRule>
    <cfRule type="cellIs" dxfId="26025" priority="848" operator="greaterThan">
      <formula>0</formula>
    </cfRule>
  </conditionalFormatting>
  <conditionalFormatting sqref="G27:G29 J29 M29 P29 S29 V29 AB29">
    <cfRule type="cellIs" dxfId="26024" priority="841" operator="equal">
      <formula>"PMS"</formula>
    </cfRule>
    <cfRule type="containsText" dxfId="26023" priority="842" operator="containsText" text="CMS">
      <formula>NOT(ISERROR(SEARCH("CMS",G27)))</formula>
    </cfRule>
    <cfRule type="cellIs" dxfId="26022" priority="843" operator="equal">
      <formula>0</formula>
    </cfRule>
    <cfRule type="cellIs" dxfId="26021" priority="844" operator="greaterThan">
      <formula>0</formula>
    </cfRule>
  </conditionalFormatting>
  <conditionalFormatting sqref="G45:G46">
    <cfRule type="cellIs" dxfId="26020" priority="833" operator="equal">
      <formula>"PMS"</formula>
    </cfRule>
    <cfRule type="containsText" dxfId="26019" priority="834" operator="containsText" text="CMS">
      <formula>NOT(ISERROR(SEARCH("CMS",G45)))</formula>
    </cfRule>
    <cfRule type="cellIs" dxfId="26018" priority="835" operator="equal">
      <formula>0</formula>
    </cfRule>
    <cfRule type="cellIs" dxfId="26017" priority="836" operator="greaterThan">
      <formula>0</formula>
    </cfRule>
    <cfRule type="cellIs" dxfId="26016" priority="837" operator="equal">
      <formula>"PMS"</formula>
    </cfRule>
    <cfRule type="containsText" dxfId="26015" priority="838" operator="containsText" text="CMS">
      <formula>NOT(ISERROR(SEARCH("CMS",G45)))</formula>
    </cfRule>
    <cfRule type="cellIs" dxfId="26014" priority="839" operator="equal">
      <formula>0</formula>
    </cfRule>
    <cfRule type="cellIs" dxfId="26013" priority="840" operator="greaterThan">
      <formula>0</formula>
    </cfRule>
  </conditionalFormatting>
  <conditionalFormatting sqref="G45:G46">
    <cfRule type="cellIs" dxfId="26012" priority="829" operator="equal">
      <formula>"PMS"</formula>
    </cfRule>
    <cfRule type="containsText" dxfId="26011" priority="830" operator="containsText" text="CMS">
      <formula>NOT(ISERROR(SEARCH("CMS",G45)))</formula>
    </cfRule>
    <cfRule type="cellIs" dxfId="26010" priority="831" operator="equal">
      <formula>0</formula>
    </cfRule>
    <cfRule type="cellIs" dxfId="26009" priority="832" operator="greaterThan">
      <formula>0</formula>
    </cfRule>
  </conditionalFormatting>
  <conditionalFormatting sqref="G45:G46">
    <cfRule type="cellIs" dxfId="26008" priority="825" operator="equal">
      <formula>"PMS"</formula>
    </cfRule>
    <cfRule type="containsText" dxfId="26007" priority="826" operator="containsText" text="CMS">
      <formula>NOT(ISERROR(SEARCH("CMS",G45)))</formula>
    </cfRule>
    <cfRule type="cellIs" dxfId="26006" priority="827" operator="equal">
      <formula>0</formula>
    </cfRule>
    <cfRule type="cellIs" dxfId="26005" priority="828" operator="greaterThan">
      <formula>0</formula>
    </cfRule>
  </conditionalFormatting>
  <conditionalFormatting sqref="I61:I63">
    <cfRule type="cellIs" dxfId="26004" priority="817" operator="equal">
      <formula>"PMS"</formula>
    </cfRule>
    <cfRule type="containsText" dxfId="26003" priority="818" operator="containsText" text="CMS">
      <formula>NOT(ISERROR(SEARCH("CMS",I61)))</formula>
    </cfRule>
    <cfRule type="cellIs" dxfId="26002" priority="819" operator="equal">
      <formula>0</formula>
    </cfRule>
    <cfRule type="cellIs" dxfId="26001" priority="820" operator="greaterThan">
      <formula>0</formula>
    </cfRule>
    <cfRule type="cellIs" dxfId="26000" priority="821" operator="equal">
      <formula>"PMS"</formula>
    </cfRule>
    <cfRule type="containsText" dxfId="25999" priority="822" operator="containsText" text="CMS">
      <formula>NOT(ISERROR(SEARCH("CMS",I61)))</formula>
    </cfRule>
    <cfRule type="cellIs" dxfId="25998" priority="823" operator="equal">
      <formula>0</formula>
    </cfRule>
    <cfRule type="cellIs" dxfId="25997" priority="824" operator="greaterThan">
      <formula>0</formula>
    </cfRule>
  </conditionalFormatting>
  <conditionalFormatting sqref="O48">
    <cfRule type="cellIs" dxfId="25996" priority="813" operator="equal">
      <formula>"PMS"</formula>
    </cfRule>
    <cfRule type="containsText" dxfId="25995" priority="814" operator="containsText" text="CMS">
      <formula>NOT(ISERROR(SEARCH("CMS",O48)))</formula>
    </cfRule>
    <cfRule type="cellIs" dxfId="25994" priority="815" operator="equal">
      <formula>0</formula>
    </cfRule>
    <cfRule type="cellIs" dxfId="25993" priority="816" operator="greaterThan">
      <formula>0</formula>
    </cfRule>
  </conditionalFormatting>
  <conditionalFormatting sqref="O48">
    <cfRule type="cellIs" dxfId="25992" priority="809" operator="equal">
      <formula>"PMS"</formula>
    </cfRule>
    <cfRule type="containsText" dxfId="25991" priority="810" operator="containsText" text="CMS">
      <formula>NOT(ISERROR(SEARCH("CMS",O48)))</formula>
    </cfRule>
    <cfRule type="cellIs" dxfId="25990" priority="811" operator="equal">
      <formula>0</formula>
    </cfRule>
    <cfRule type="cellIs" dxfId="25989" priority="812" operator="greaterThan">
      <formula>0</formula>
    </cfRule>
  </conditionalFormatting>
  <conditionalFormatting sqref="O48">
    <cfRule type="cellIs" dxfId="25988" priority="805" operator="equal">
      <formula>"PMS"</formula>
    </cfRule>
    <cfRule type="containsText" dxfId="25987" priority="806" operator="containsText" text="CMS">
      <formula>NOT(ISERROR(SEARCH("CMS",O48)))</formula>
    </cfRule>
    <cfRule type="cellIs" dxfId="25986" priority="807" operator="equal">
      <formula>0</formula>
    </cfRule>
    <cfRule type="cellIs" dxfId="25985" priority="808" operator="greaterThan">
      <formula>0</formula>
    </cfRule>
  </conditionalFormatting>
  <conditionalFormatting sqref="O48">
    <cfRule type="cellIs" dxfId="25984" priority="801" operator="equal">
      <formula>"PMS"</formula>
    </cfRule>
    <cfRule type="containsText" dxfId="25983" priority="802" operator="containsText" text="CMS">
      <formula>NOT(ISERROR(SEARCH("CMS",O48)))</formula>
    </cfRule>
    <cfRule type="cellIs" dxfId="25982" priority="803" operator="equal">
      <formula>0</formula>
    </cfRule>
    <cfRule type="cellIs" dxfId="25981" priority="804" operator="greaterThan">
      <formula>0</formula>
    </cfRule>
  </conditionalFormatting>
  <conditionalFormatting sqref="O56:P56">
    <cfRule type="cellIs" dxfId="25980" priority="797" operator="equal">
      <formula>"PMS"</formula>
    </cfRule>
    <cfRule type="containsText" dxfId="25979" priority="798" operator="containsText" text="CMS">
      <formula>NOT(ISERROR(SEARCH("CMS",O56)))</formula>
    </cfRule>
    <cfRule type="cellIs" dxfId="25978" priority="799" operator="equal">
      <formula>0</formula>
    </cfRule>
    <cfRule type="cellIs" dxfId="25977" priority="800" operator="greaterThan">
      <formula>0</formula>
    </cfRule>
  </conditionalFormatting>
  <conditionalFormatting sqref="O56:P56">
    <cfRule type="cellIs" dxfId="25976" priority="793" operator="equal">
      <formula>"PMS"</formula>
    </cfRule>
    <cfRule type="containsText" dxfId="25975" priority="794" operator="containsText" text="CMS">
      <formula>NOT(ISERROR(SEARCH("CMS",O56)))</formula>
    </cfRule>
    <cfRule type="cellIs" dxfId="25974" priority="795" operator="equal">
      <formula>0</formula>
    </cfRule>
    <cfRule type="cellIs" dxfId="25973" priority="796" operator="greaterThan">
      <formula>0</formula>
    </cfRule>
  </conditionalFormatting>
  <conditionalFormatting sqref="O56:P56">
    <cfRule type="cellIs" dxfId="25972" priority="789" operator="equal">
      <formula>"PMS"</formula>
    </cfRule>
    <cfRule type="containsText" dxfId="25971" priority="790" operator="containsText" text="CMS">
      <formula>NOT(ISERROR(SEARCH("CMS",O56)))</formula>
    </cfRule>
    <cfRule type="cellIs" dxfId="25970" priority="791" operator="equal">
      <formula>0</formula>
    </cfRule>
    <cfRule type="cellIs" dxfId="25969" priority="792" operator="greaterThan">
      <formula>0</formula>
    </cfRule>
  </conditionalFormatting>
  <conditionalFormatting sqref="O56:P56">
    <cfRule type="cellIs" dxfId="25968" priority="785" operator="equal">
      <formula>"PMS"</formula>
    </cfRule>
    <cfRule type="containsText" dxfId="25967" priority="786" operator="containsText" text="CMS">
      <formula>NOT(ISERROR(SEARCH("CMS",O56)))</formula>
    </cfRule>
    <cfRule type="cellIs" dxfId="25966" priority="787" operator="equal">
      <formula>0</formula>
    </cfRule>
    <cfRule type="cellIs" dxfId="25965" priority="788" operator="greaterThan">
      <formula>0</formula>
    </cfRule>
  </conditionalFormatting>
  <conditionalFormatting sqref="O57:P57">
    <cfRule type="cellIs" dxfId="25964" priority="781" operator="equal">
      <formula>"PMS"</formula>
    </cfRule>
    <cfRule type="containsText" dxfId="25963" priority="782" operator="containsText" text="CMS">
      <formula>NOT(ISERROR(SEARCH("CMS",O57)))</formula>
    </cfRule>
    <cfRule type="cellIs" dxfId="25962" priority="783" operator="equal">
      <formula>0</formula>
    </cfRule>
    <cfRule type="cellIs" dxfId="25961" priority="784" operator="greaterThan">
      <formula>0</formula>
    </cfRule>
  </conditionalFormatting>
  <conditionalFormatting sqref="O57:P57">
    <cfRule type="cellIs" dxfId="25960" priority="777" operator="equal">
      <formula>"PMS"</formula>
    </cfRule>
    <cfRule type="containsText" dxfId="25959" priority="778" operator="containsText" text="CMS">
      <formula>NOT(ISERROR(SEARCH("CMS",O57)))</formula>
    </cfRule>
    <cfRule type="cellIs" dxfId="25958" priority="779" operator="equal">
      <formula>0</formula>
    </cfRule>
    <cfRule type="cellIs" dxfId="25957" priority="780" operator="greaterThan">
      <formula>0</formula>
    </cfRule>
  </conditionalFormatting>
  <conditionalFormatting sqref="O57:P57">
    <cfRule type="cellIs" dxfId="25956" priority="773" operator="equal">
      <formula>"PMS"</formula>
    </cfRule>
    <cfRule type="containsText" dxfId="25955" priority="774" operator="containsText" text="CMS">
      <formula>NOT(ISERROR(SEARCH("CMS",O57)))</formula>
    </cfRule>
    <cfRule type="cellIs" dxfId="25954" priority="775" operator="equal">
      <formula>0</formula>
    </cfRule>
    <cfRule type="cellIs" dxfId="25953" priority="776" operator="greaterThan">
      <formula>0</formula>
    </cfRule>
  </conditionalFormatting>
  <conditionalFormatting sqref="O57:P57">
    <cfRule type="cellIs" dxfId="25952" priority="769" operator="equal">
      <formula>"PMS"</formula>
    </cfRule>
    <cfRule type="containsText" dxfId="25951" priority="770" operator="containsText" text="CMS">
      <formula>NOT(ISERROR(SEARCH("CMS",O57)))</formula>
    </cfRule>
    <cfRule type="cellIs" dxfId="25950" priority="771" operator="equal">
      <formula>0</formula>
    </cfRule>
    <cfRule type="cellIs" dxfId="25949" priority="772" operator="greaterThan">
      <formula>0</formula>
    </cfRule>
  </conditionalFormatting>
  <conditionalFormatting sqref="G48:G49">
    <cfRule type="cellIs" dxfId="25948" priority="761" operator="equal">
      <formula>"PMS"</formula>
    </cfRule>
    <cfRule type="containsText" dxfId="25947" priority="762" operator="containsText" text="CMS">
      <formula>NOT(ISERROR(SEARCH("CMS",G48)))</formula>
    </cfRule>
    <cfRule type="cellIs" dxfId="25946" priority="763" operator="equal">
      <formula>0</formula>
    </cfRule>
    <cfRule type="cellIs" dxfId="25945" priority="764" operator="greaterThan">
      <formula>0</formula>
    </cfRule>
    <cfRule type="cellIs" dxfId="25944" priority="765" operator="equal">
      <formula>"PMS"</formula>
    </cfRule>
    <cfRule type="containsText" dxfId="25943" priority="766" operator="containsText" text="CMS">
      <formula>NOT(ISERROR(SEARCH("CMS",G48)))</formula>
    </cfRule>
    <cfRule type="cellIs" dxfId="25942" priority="767" operator="equal">
      <formula>0</formula>
    </cfRule>
    <cfRule type="cellIs" dxfId="25941" priority="768" operator="greaterThan">
      <formula>0</formula>
    </cfRule>
  </conditionalFormatting>
  <conditionalFormatting sqref="G48:G49">
    <cfRule type="cellIs" dxfId="25940" priority="757" operator="equal">
      <formula>"PMS"</formula>
    </cfRule>
    <cfRule type="containsText" dxfId="25939" priority="758" operator="containsText" text="CMS">
      <formula>NOT(ISERROR(SEARCH("CMS",G48)))</formula>
    </cfRule>
    <cfRule type="cellIs" dxfId="25938" priority="759" operator="equal">
      <formula>0</formula>
    </cfRule>
    <cfRule type="cellIs" dxfId="25937" priority="760" operator="greaterThan">
      <formula>0</formula>
    </cfRule>
  </conditionalFormatting>
  <conditionalFormatting sqref="G48:G49">
    <cfRule type="cellIs" dxfId="25936" priority="753" operator="equal">
      <formula>"PMS"</formula>
    </cfRule>
    <cfRule type="containsText" dxfId="25935" priority="754" operator="containsText" text="CMS">
      <formula>NOT(ISERROR(SEARCH("CMS",G48)))</formula>
    </cfRule>
    <cfRule type="cellIs" dxfId="25934" priority="755" operator="equal">
      <formula>0</formula>
    </cfRule>
    <cfRule type="cellIs" dxfId="25933" priority="756" operator="greaterThan">
      <formula>0</formula>
    </cfRule>
  </conditionalFormatting>
  <conditionalFormatting sqref="G66:G72 G74">
    <cfRule type="cellIs" dxfId="25932" priority="745" operator="equal">
      <formula>"PMS"</formula>
    </cfRule>
    <cfRule type="containsText" dxfId="25931" priority="746" operator="containsText" text="CMS">
      <formula>NOT(ISERROR(SEARCH("CMS",G66)))</formula>
    </cfRule>
    <cfRule type="cellIs" dxfId="25930" priority="747" operator="equal">
      <formula>0</formula>
    </cfRule>
    <cfRule type="cellIs" dxfId="25929" priority="748" operator="greaterThan">
      <formula>0</formula>
    </cfRule>
    <cfRule type="cellIs" dxfId="25928" priority="749" operator="equal">
      <formula>"PMS"</formula>
    </cfRule>
    <cfRule type="containsText" dxfId="25927" priority="750" operator="containsText" text="CMS">
      <formula>NOT(ISERROR(SEARCH("CMS",G66)))</formula>
    </cfRule>
    <cfRule type="cellIs" dxfId="25926" priority="751" operator="equal">
      <formula>0</formula>
    </cfRule>
    <cfRule type="cellIs" dxfId="25925" priority="752" operator="greaterThan">
      <formula>0</formula>
    </cfRule>
  </conditionalFormatting>
  <conditionalFormatting sqref="O53:O58 P56">
    <cfRule type="cellIs" dxfId="25924" priority="741" operator="equal">
      <formula>"PMS"</formula>
    </cfRule>
    <cfRule type="containsText" dxfId="25923" priority="742" operator="containsText" text="CMS">
      <formula>NOT(ISERROR(SEARCH("CMS",O53)))</formula>
    </cfRule>
    <cfRule type="cellIs" dxfId="25922" priority="743" operator="equal">
      <formula>0</formula>
    </cfRule>
    <cfRule type="cellIs" dxfId="25921" priority="744" operator="greaterThan">
      <formula>0</formula>
    </cfRule>
  </conditionalFormatting>
  <conditionalFormatting sqref="G24 G35 G73 I24 I35 I73:J73">
    <cfRule type="cellIs" dxfId="25920" priority="733" operator="equal">
      <formula>"PMS"</formula>
    </cfRule>
    <cfRule type="containsText" dxfId="25919" priority="734" operator="containsText" text="CMS">
      <formula>NOT(ISERROR(SEARCH("CMS",G24)))</formula>
    </cfRule>
    <cfRule type="cellIs" dxfId="25918" priority="735" operator="equal">
      <formula>0</formula>
    </cfRule>
    <cfRule type="cellIs" dxfId="25917" priority="736" operator="greaterThan">
      <formula>0</formula>
    </cfRule>
    <cfRule type="cellIs" dxfId="25916" priority="737" operator="equal">
      <formula>"PMS"</formula>
    </cfRule>
    <cfRule type="containsText" dxfId="25915" priority="738" operator="containsText" text="CMS">
      <formula>NOT(ISERROR(SEARCH("CMS",G24)))</formula>
    </cfRule>
    <cfRule type="cellIs" dxfId="25914" priority="739" operator="equal">
      <formula>0</formula>
    </cfRule>
    <cfRule type="cellIs" dxfId="25913" priority="740" operator="greaterThan">
      <formula>0</formula>
    </cfRule>
  </conditionalFormatting>
  <conditionalFormatting sqref="G73 I73:J73">
    <cfRule type="cellIs" dxfId="25912" priority="729" operator="equal">
      <formula>"PMS"</formula>
    </cfRule>
    <cfRule type="containsText" dxfId="25911" priority="730" operator="containsText" text="CMS">
      <formula>NOT(ISERROR(SEARCH("CMS",G73)))</formula>
    </cfRule>
    <cfRule type="cellIs" dxfId="25910" priority="731" operator="equal">
      <formula>0</formula>
    </cfRule>
    <cfRule type="cellIs" dxfId="25909" priority="732" operator="greaterThan">
      <formula>0</formula>
    </cfRule>
  </conditionalFormatting>
  <conditionalFormatting sqref="G73 I73:J73">
    <cfRule type="cellIs" dxfId="25908" priority="725" operator="equal">
      <formula>"PMS"</formula>
    </cfRule>
    <cfRule type="containsText" dxfId="25907" priority="726" operator="containsText" text="CMS">
      <formula>NOT(ISERROR(SEARCH("CMS",G73)))</formula>
    </cfRule>
    <cfRule type="cellIs" dxfId="25906" priority="727" operator="equal">
      <formula>0</formula>
    </cfRule>
    <cfRule type="cellIs" dxfId="25905" priority="728" operator="greaterThan">
      <formula>0</formula>
    </cfRule>
  </conditionalFormatting>
  <conditionalFormatting sqref="G24 I24">
    <cfRule type="cellIs" dxfId="25904" priority="721" operator="equal">
      <formula>"PMS"</formula>
    </cfRule>
    <cfRule type="containsText" dxfId="25903" priority="722" operator="containsText" text="CMS">
      <formula>NOT(ISERROR(SEARCH("CMS",G24)))</formula>
    </cfRule>
    <cfRule type="cellIs" dxfId="25902" priority="723" operator="equal">
      <formula>0</formula>
    </cfRule>
    <cfRule type="cellIs" dxfId="25901" priority="724" operator="greaterThan">
      <formula>0</formula>
    </cfRule>
  </conditionalFormatting>
  <conditionalFormatting sqref="G24 I24">
    <cfRule type="cellIs" dxfId="25900" priority="717" operator="equal">
      <formula>"PMS"</formula>
    </cfRule>
    <cfRule type="containsText" dxfId="25899" priority="718" operator="containsText" text="CMS">
      <formula>NOT(ISERROR(SEARCH("CMS",G24)))</formula>
    </cfRule>
    <cfRule type="cellIs" dxfId="25898" priority="719" operator="equal">
      <formula>0</formula>
    </cfRule>
    <cfRule type="cellIs" dxfId="25897" priority="720" operator="greaterThan">
      <formula>0</formula>
    </cfRule>
  </conditionalFormatting>
  <conditionalFormatting sqref="G35 I35">
    <cfRule type="cellIs" dxfId="25896" priority="713" operator="equal">
      <formula>"PMS"</formula>
    </cfRule>
    <cfRule type="containsText" dxfId="25895" priority="714" operator="containsText" text="CMS">
      <formula>NOT(ISERROR(SEARCH("CMS",G35)))</formula>
    </cfRule>
    <cfRule type="cellIs" dxfId="25894" priority="715" operator="equal">
      <formula>0</formula>
    </cfRule>
    <cfRule type="cellIs" dxfId="25893" priority="716" operator="greaterThan">
      <formula>0</formula>
    </cfRule>
  </conditionalFormatting>
  <conditionalFormatting sqref="G35 I35">
    <cfRule type="cellIs" dxfId="25892" priority="709" operator="equal">
      <formula>"PMS"</formula>
    </cfRule>
    <cfRule type="containsText" dxfId="25891" priority="710" operator="containsText" text="CMS">
      <formula>NOT(ISERROR(SEARCH("CMS",G35)))</formula>
    </cfRule>
    <cfRule type="cellIs" dxfId="25890" priority="711" operator="equal">
      <formula>0</formula>
    </cfRule>
    <cfRule type="cellIs" dxfId="25889" priority="712" operator="greaterThan">
      <formula>0</formula>
    </cfRule>
  </conditionalFormatting>
  <conditionalFormatting sqref="G19 I19">
    <cfRule type="cellIs" dxfId="25888" priority="701" operator="equal">
      <formula>"PMS"</formula>
    </cfRule>
    <cfRule type="containsText" dxfId="25887" priority="702" operator="containsText" text="CMS">
      <formula>NOT(ISERROR(SEARCH("CMS",G19)))</formula>
    </cfRule>
    <cfRule type="cellIs" dxfId="25886" priority="703" operator="equal">
      <formula>0</formula>
    </cfRule>
    <cfRule type="cellIs" dxfId="25885" priority="704" operator="greaterThan">
      <formula>0</formula>
    </cfRule>
    <cfRule type="cellIs" dxfId="25884" priority="705" operator="equal">
      <formula>"PMS"</formula>
    </cfRule>
    <cfRule type="containsText" dxfId="25883" priority="706" operator="containsText" text="CMS">
      <formula>NOT(ISERROR(SEARCH("CMS",G19)))</formula>
    </cfRule>
    <cfRule type="cellIs" dxfId="25882" priority="707" operator="equal">
      <formula>0</formula>
    </cfRule>
    <cfRule type="cellIs" dxfId="25881" priority="708" operator="greaterThan">
      <formula>0</formula>
    </cfRule>
  </conditionalFormatting>
  <conditionalFormatting sqref="G19 I19">
    <cfRule type="cellIs" dxfId="25880" priority="697" operator="equal">
      <formula>"PMS"</formula>
    </cfRule>
    <cfRule type="containsText" dxfId="25879" priority="698" operator="containsText" text="CMS">
      <formula>NOT(ISERROR(SEARCH("CMS",G19)))</formula>
    </cfRule>
    <cfRule type="cellIs" dxfId="25878" priority="699" operator="equal">
      <formula>0</formula>
    </cfRule>
    <cfRule type="cellIs" dxfId="25877" priority="700" operator="greaterThan">
      <formula>0</formula>
    </cfRule>
  </conditionalFormatting>
  <conditionalFormatting sqref="G19 I19">
    <cfRule type="cellIs" dxfId="25876" priority="693" operator="equal">
      <formula>"PMS"</formula>
    </cfRule>
    <cfRule type="containsText" dxfId="25875" priority="694" operator="containsText" text="CMS">
      <formula>NOT(ISERROR(SEARCH("CMS",G19)))</formula>
    </cfRule>
    <cfRule type="cellIs" dxfId="25874" priority="695" operator="equal">
      <formula>0</formula>
    </cfRule>
    <cfRule type="cellIs" dxfId="25873" priority="696" operator="greaterThan">
      <formula>0</formula>
    </cfRule>
  </conditionalFormatting>
  <conditionalFormatting sqref="O55">
    <cfRule type="cellIs" dxfId="25872" priority="689" operator="equal">
      <formula>"PMS"</formula>
    </cfRule>
    <cfRule type="containsText" dxfId="25871" priority="690" operator="containsText" text="CMS">
      <formula>NOT(ISERROR(SEARCH("CMS",O55)))</formula>
    </cfRule>
    <cfRule type="cellIs" dxfId="25870" priority="691" operator="equal">
      <formula>0</formula>
    </cfRule>
    <cfRule type="cellIs" dxfId="25869" priority="692" operator="greaterThan">
      <formula>0</formula>
    </cfRule>
  </conditionalFormatting>
  <conditionalFormatting sqref="K62:K63">
    <cfRule type="cellIs" dxfId="25868" priority="681" operator="equal">
      <formula>"PMS"</formula>
    </cfRule>
    <cfRule type="containsText" dxfId="25867" priority="682" operator="containsText" text="CMS">
      <formula>NOT(ISERROR(SEARCH("CMS",K62)))</formula>
    </cfRule>
    <cfRule type="cellIs" dxfId="25866" priority="683" operator="equal">
      <formula>0</formula>
    </cfRule>
    <cfRule type="cellIs" dxfId="25865" priority="684" operator="greaterThan">
      <formula>0</formula>
    </cfRule>
    <cfRule type="cellIs" dxfId="25864" priority="685" operator="equal">
      <formula>"PMS"</formula>
    </cfRule>
    <cfRule type="containsText" dxfId="25863" priority="686" operator="containsText" text="CMS">
      <formula>NOT(ISERROR(SEARCH("CMS",K62)))</formula>
    </cfRule>
    <cfRule type="cellIs" dxfId="25862" priority="687" operator="equal">
      <formula>0</formula>
    </cfRule>
    <cfRule type="cellIs" dxfId="25861" priority="688" operator="greaterThan">
      <formula>0</formula>
    </cfRule>
  </conditionalFormatting>
  <conditionalFormatting sqref="O47:P47">
    <cfRule type="cellIs" dxfId="25860" priority="677" operator="equal">
      <formula>"PMS"</formula>
    </cfRule>
    <cfRule type="containsText" dxfId="25859" priority="678" operator="containsText" text="CMS">
      <formula>NOT(ISERROR(SEARCH("CMS",O47)))</formula>
    </cfRule>
    <cfRule type="cellIs" dxfId="25858" priority="679" operator="equal">
      <formula>0</formula>
    </cfRule>
    <cfRule type="cellIs" dxfId="25857" priority="680" operator="greaterThan">
      <formula>0</formula>
    </cfRule>
  </conditionalFormatting>
  <conditionalFormatting sqref="O16:P16">
    <cfRule type="cellIs" dxfId="25856" priority="673" operator="equal">
      <formula>"PMS"</formula>
    </cfRule>
    <cfRule type="containsText" dxfId="25855" priority="674" operator="containsText" text="CMS">
      <formula>NOT(ISERROR(SEARCH("CMS",O16)))</formula>
    </cfRule>
    <cfRule type="cellIs" dxfId="25854" priority="675" operator="equal">
      <formula>0</formula>
    </cfRule>
    <cfRule type="cellIs" dxfId="25853" priority="676" operator="greaterThan">
      <formula>0</formula>
    </cfRule>
  </conditionalFormatting>
  <conditionalFormatting sqref="P57">
    <cfRule type="cellIs" dxfId="25852" priority="669" operator="equal">
      <formula>"PMS"</formula>
    </cfRule>
    <cfRule type="containsText" dxfId="25851" priority="670" operator="containsText" text="CMS">
      <formula>NOT(ISERROR(SEARCH("CMS",P57)))</formula>
    </cfRule>
    <cfRule type="cellIs" dxfId="25850" priority="671" operator="equal">
      <formula>0</formula>
    </cfRule>
    <cfRule type="cellIs" dxfId="25849" priority="672" operator="greaterThan">
      <formula>0</formula>
    </cfRule>
  </conditionalFormatting>
  <conditionalFormatting sqref="P57">
    <cfRule type="cellIs" dxfId="25848" priority="665" operator="equal">
      <formula>"PMS"</formula>
    </cfRule>
    <cfRule type="containsText" dxfId="25847" priority="666" operator="containsText" text="CMS">
      <formula>NOT(ISERROR(SEARCH("CMS",P57)))</formula>
    </cfRule>
    <cfRule type="cellIs" dxfId="25846" priority="667" operator="equal">
      <formula>0</formula>
    </cfRule>
    <cfRule type="cellIs" dxfId="25845" priority="668" operator="greaterThan">
      <formula>0</formula>
    </cfRule>
  </conditionalFormatting>
  <conditionalFormatting sqref="P57">
    <cfRule type="cellIs" dxfId="25844" priority="661" operator="equal">
      <formula>"PMS"</formula>
    </cfRule>
    <cfRule type="containsText" dxfId="25843" priority="662" operator="containsText" text="CMS">
      <formula>NOT(ISERROR(SEARCH("CMS",P57)))</formula>
    </cfRule>
    <cfRule type="cellIs" dxfId="25842" priority="663" operator="equal">
      <formula>0</formula>
    </cfRule>
    <cfRule type="cellIs" dxfId="25841" priority="664" operator="greaterThan">
      <formula>0</formula>
    </cfRule>
  </conditionalFormatting>
  <conditionalFormatting sqref="P57:P58">
    <cfRule type="cellIs" dxfId="25840" priority="657" operator="equal">
      <formula>"PMS"</formula>
    </cfRule>
    <cfRule type="containsText" dxfId="25839" priority="658" operator="containsText" text="CMS">
      <formula>NOT(ISERROR(SEARCH("CMS",P57)))</formula>
    </cfRule>
    <cfRule type="cellIs" dxfId="25838" priority="659" operator="equal">
      <formula>0</formula>
    </cfRule>
    <cfRule type="cellIs" dxfId="25837" priority="660" operator="greaterThan">
      <formula>0</formula>
    </cfRule>
  </conditionalFormatting>
  <conditionalFormatting sqref="AB24">
    <cfRule type="cellIs" dxfId="25836" priority="653" operator="equal">
      <formula>"PMS"</formula>
    </cfRule>
    <cfRule type="containsText" dxfId="25835" priority="654" operator="containsText" text="CMS">
      <formula>NOT(ISERROR(SEARCH("CMS",AB24)))</formula>
    </cfRule>
    <cfRule type="cellIs" dxfId="25834" priority="655" operator="equal">
      <formula>0</formula>
    </cfRule>
    <cfRule type="cellIs" dxfId="25833" priority="656" operator="greaterThan">
      <formula>0</formula>
    </cfRule>
  </conditionalFormatting>
  <conditionalFormatting sqref="AB24">
    <cfRule type="cellIs" dxfId="25832" priority="649" operator="equal">
      <formula>"PMS"</formula>
    </cfRule>
    <cfRule type="containsText" dxfId="25831" priority="650" operator="containsText" text="CMS">
      <formula>NOT(ISERROR(SEARCH("CMS",AB24)))</formula>
    </cfRule>
    <cfRule type="cellIs" dxfId="25830" priority="651" operator="equal">
      <formula>0</formula>
    </cfRule>
    <cfRule type="cellIs" dxfId="25829" priority="652" operator="greaterThan">
      <formula>0</formula>
    </cfRule>
  </conditionalFormatting>
  <conditionalFormatting sqref="I29 L29 O29 R29 U29 AA29 X29:Y29">
    <cfRule type="cellIs" dxfId="25828" priority="641" operator="equal">
      <formula>"PMS"</formula>
    </cfRule>
    <cfRule type="containsText" dxfId="25827" priority="642" operator="containsText" text="CMS">
      <formula>NOT(ISERROR(SEARCH("CMS",I29)))</formula>
    </cfRule>
    <cfRule type="cellIs" dxfId="25826" priority="643" operator="equal">
      <formula>0</formula>
    </cfRule>
    <cfRule type="cellIs" dxfId="25825" priority="644" operator="greaterThan">
      <formula>0</formula>
    </cfRule>
    <cfRule type="cellIs" dxfId="25824" priority="645" operator="equal">
      <formula>"PMS"</formula>
    </cfRule>
    <cfRule type="containsText" dxfId="25823" priority="646" operator="containsText" text="CMS">
      <formula>NOT(ISERROR(SEARCH("CMS",I29)))</formula>
    </cfRule>
    <cfRule type="cellIs" dxfId="25822" priority="647" operator="equal">
      <formula>0</formula>
    </cfRule>
    <cfRule type="cellIs" dxfId="25821" priority="648" operator="greaterThan">
      <formula>0</formula>
    </cfRule>
  </conditionalFormatting>
  <conditionalFormatting sqref="I29 L29 O29 R29 U29 AA29 X29:Y29">
    <cfRule type="cellIs" dxfId="25820" priority="637" operator="equal">
      <formula>"PMS"</formula>
    </cfRule>
    <cfRule type="containsText" dxfId="25819" priority="638" operator="containsText" text="CMS">
      <formula>NOT(ISERROR(SEARCH("CMS",I29)))</formula>
    </cfRule>
    <cfRule type="cellIs" dxfId="25818" priority="639" operator="equal">
      <formula>0</formula>
    </cfRule>
    <cfRule type="cellIs" dxfId="25817" priority="640" operator="greaterThan">
      <formula>0</formula>
    </cfRule>
  </conditionalFormatting>
  <conditionalFormatting sqref="I29 L29 O29 R29 U29 AA29 X29:Y29">
    <cfRule type="cellIs" dxfId="25816" priority="633" operator="equal">
      <formula>"PMS"</formula>
    </cfRule>
    <cfRule type="containsText" dxfId="25815" priority="634" operator="containsText" text="CMS">
      <formula>NOT(ISERROR(SEARCH("CMS",I29)))</formula>
    </cfRule>
    <cfRule type="cellIs" dxfId="25814" priority="635" operator="equal">
      <formula>0</formula>
    </cfRule>
    <cfRule type="cellIs" dxfId="25813" priority="636" operator="greaterThan">
      <formula>0</formula>
    </cfRule>
  </conditionalFormatting>
  <conditionalFormatting sqref="K29 N29 Q29 T29 W29 Z29 AC29">
    <cfRule type="cellIs" dxfId="25812" priority="625" operator="equal">
      <formula>"PMS"</formula>
    </cfRule>
    <cfRule type="containsText" dxfId="25811" priority="626" operator="containsText" text="CMS">
      <formula>NOT(ISERROR(SEARCH("CMS",K29)))</formula>
    </cfRule>
    <cfRule type="cellIs" dxfId="25810" priority="627" operator="equal">
      <formula>0</formula>
    </cfRule>
    <cfRule type="cellIs" dxfId="25809" priority="628" operator="greaterThan">
      <formula>0</formula>
    </cfRule>
    <cfRule type="cellIs" dxfId="25808" priority="629" operator="equal">
      <formula>"PMS"</formula>
    </cfRule>
    <cfRule type="containsText" dxfId="25807" priority="630" operator="containsText" text="CMS">
      <formula>NOT(ISERROR(SEARCH("CMS",K29)))</formula>
    </cfRule>
    <cfRule type="cellIs" dxfId="25806" priority="631" operator="equal">
      <formula>0</formula>
    </cfRule>
    <cfRule type="cellIs" dxfId="25805" priority="632" operator="greaterThan">
      <formula>0</formula>
    </cfRule>
  </conditionalFormatting>
  <conditionalFormatting sqref="G81:AC81">
    <cfRule type="cellIs" dxfId="25804" priority="617" operator="equal">
      <formula>"PMS"</formula>
    </cfRule>
    <cfRule type="containsText" dxfId="25803" priority="618" operator="containsText" text="CMS">
      <formula>NOT(ISERROR(SEARCH("CMS",G81)))</formula>
    </cfRule>
    <cfRule type="cellIs" dxfId="25802" priority="619" operator="equal">
      <formula>0</formula>
    </cfRule>
    <cfRule type="cellIs" dxfId="25801" priority="620" operator="greaterThan">
      <formula>0</formula>
    </cfRule>
    <cfRule type="cellIs" dxfId="25800" priority="621" operator="equal">
      <formula>"PMS"</formula>
    </cfRule>
    <cfRule type="containsText" dxfId="25799" priority="622" operator="containsText" text="CMS">
      <formula>NOT(ISERROR(SEARCH("CMS",G81)))</formula>
    </cfRule>
    <cfRule type="cellIs" dxfId="25798" priority="623" operator="equal">
      <formula>0</formula>
    </cfRule>
    <cfRule type="cellIs" dxfId="25797" priority="624" operator="greaterThan">
      <formula>0</formula>
    </cfRule>
  </conditionalFormatting>
  <conditionalFormatting sqref="G81:AC81">
    <cfRule type="cellIs" dxfId="25796" priority="613" operator="equal">
      <formula>"PMS"</formula>
    </cfRule>
    <cfRule type="containsText" dxfId="25795" priority="614" operator="containsText" text="CMS">
      <formula>NOT(ISERROR(SEARCH("CMS",G81)))</formula>
    </cfRule>
    <cfRule type="cellIs" dxfId="25794" priority="615" operator="equal">
      <formula>0</formula>
    </cfRule>
    <cfRule type="cellIs" dxfId="25793" priority="616" operator="greaterThan">
      <formula>0</formula>
    </cfRule>
  </conditionalFormatting>
  <conditionalFormatting sqref="G51:G52 I51:M52">
    <cfRule type="cellIs" dxfId="25792" priority="605" operator="equal">
      <formula>"PMS"</formula>
    </cfRule>
    <cfRule type="containsText" dxfId="25791" priority="606" operator="containsText" text="CMS">
      <formula>NOT(ISERROR(SEARCH("CMS",G51)))</formula>
    </cfRule>
    <cfRule type="cellIs" dxfId="25790" priority="607" operator="equal">
      <formula>0</formula>
    </cfRule>
    <cfRule type="cellIs" dxfId="25789" priority="608" operator="greaterThan">
      <formula>0</formula>
    </cfRule>
    <cfRule type="cellIs" dxfId="25788" priority="609" operator="equal">
      <formula>"PMS"</formula>
    </cfRule>
    <cfRule type="containsText" dxfId="25787" priority="610" operator="containsText" text="CMS">
      <formula>NOT(ISERROR(SEARCH("CMS",G51)))</formula>
    </cfRule>
    <cfRule type="cellIs" dxfId="25786" priority="611" operator="equal">
      <formula>0</formula>
    </cfRule>
    <cfRule type="cellIs" dxfId="25785" priority="612" operator="greaterThan">
      <formula>0</formula>
    </cfRule>
  </conditionalFormatting>
  <conditionalFormatting sqref="G51:G52 I51:M52">
    <cfRule type="cellIs" dxfId="25784" priority="601" operator="equal">
      <formula>"PMS"</formula>
    </cfRule>
    <cfRule type="containsText" dxfId="25783" priority="602" operator="containsText" text="CMS">
      <formula>NOT(ISERROR(SEARCH("CMS",G51)))</formula>
    </cfRule>
    <cfRule type="cellIs" dxfId="25782" priority="603" operator="equal">
      <formula>0</formula>
    </cfRule>
    <cfRule type="cellIs" dxfId="25781" priority="604" operator="greaterThan">
      <formula>0</formula>
    </cfRule>
  </conditionalFormatting>
  <conditionalFormatting sqref="G51:G52 I51:M52">
    <cfRule type="cellIs" dxfId="25780" priority="597" operator="equal">
      <formula>"PMS"</formula>
    </cfRule>
    <cfRule type="containsText" dxfId="25779" priority="598" operator="containsText" text="CMS">
      <formula>NOT(ISERROR(SEARCH("CMS",G51)))</formula>
    </cfRule>
    <cfRule type="cellIs" dxfId="25778" priority="599" operator="equal">
      <formula>0</formula>
    </cfRule>
    <cfRule type="cellIs" dxfId="25777" priority="600" operator="greaterThan">
      <formula>0</formula>
    </cfRule>
  </conditionalFormatting>
  <conditionalFormatting sqref="G57:G58">
    <cfRule type="cellIs" dxfId="25776" priority="589" operator="equal">
      <formula>"PMS"</formula>
    </cfRule>
    <cfRule type="containsText" dxfId="25775" priority="590" operator="containsText" text="CMS">
      <formula>NOT(ISERROR(SEARCH("CMS",G57)))</formula>
    </cfRule>
    <cfRule type="cellIs" dxfId="25774" priority="591" operator="equal">
      <formula>0</formula>
    </cfRule>
    <cfRule type="cellIs" dxfId="25773" priority="592" operator="greaterThan">
      <formula>0</formula>
    </cfRule>
    <cfRule type="cellIs" dxfId="25772" priority="593" operator="equal">
      <formula>"PMS"</formula>
    </cfRule>
    <cfRule type="containsText" dxfId="25771" priority="594" operator="containsText" text="CMS">
      <formula>NOT(ISERROR(SEARCH("CMS",G57)))</formula>
    </cfRule>
    <cfRule type="cellIs" dxfId="25770" priority="595" operator="equal">
      <formula>0</formula>
    </cfRule>
    <cfRule type="cellIs" dxfId="25769" priority="596" operator="greaterThan">
      <formula>0</formula>
    </cfRule>
  </conditionalFormatting>
  <conditionalFormatting sqref="G57:G58">
    <cfRule type="cellIs" dxfId="25768" priority="585" operator="equal">
      <formula>"PMS"</formula>
    </cfRule>
    <cfRule type="containsText" dxfId="25767" priority="586" operator="containsText" text="CMS">
      <formula>NOT(ISERROR(SEARCH("CMS",G57)))</formula>
    </cfRule>
    <cfRule type="cellIs" dxfId="25766" priority="587" operator="equal">
      <formula>0</formula>
    </cfRule>
    <cfRule type="cellIs" dxfId="25765" priority="588" operator="greaterThan">
      <formula>0</formula>
    </cfRule>
  </conditionalFormatting>
  <conditionalFormatting sqref="G57:G58">
    <cfRule type="cellIs" dxfId="25764" priority="581" operator="equal">
      <formula>"PMS"</formula>
    </cfRule>
    <cfRule type="containsText" dxfId="25763" priority="582" operator="containsText" text="CMS">
      <formula>NOT(ISERROR(SEARCH("CMS",G57)))</formula>
    </cfRule>
    <cfRule type="cellIs" dxfId="25762" priority="583" operator="equal">
      <formula>0</formula>
    </cfRule>
    <cfRule type="cellIs" dxfId="25761" priority="584" operator="greaterThan">
      <formula>0</formula>
    </cfRule>
  </conditionalFormatting>
  <conditionalFormatting sqref="G32 I32:AC32">
    <cfRule type="cellIs" dxfId="25760" priority="573" operator="equal">
      <formula>"PMS"</formula>
    </cfRule>
    <cfRule type="containsText" dxfId="25759" priority="574" operator="containsText" text="CMS">
      <formula>NOT(ISERROR(SEARCH("CMS",G32)))</formula>
    </cfRule>
    <cfRule type="cellIs" dxfId="25758" priority="575" operator="equal">
      <formula>0</formula>
    </cfRule>
    <cfRule type="cellIs" dxfId="25757" priority="576" operator="greaterThan">
      <formula>0</formula>
    </cfRule>
    <cfRule type="cellIs" dxfId="25756" priority="577" operator="equal">
      <formula>"PMS"</formula>
    </cfRule>
    <cfRule type="containsText" dxfId="25755" priority="578" operator="containsText" text="CMS">
      <formula>NOT(ISERROR(SEARCH("CMS",G32)))</formula>
    </cfRule>
    <cfRule type="cellIs" dxfId="25754" priority="579" operator="equal">
      <formula>0</formula>
    </cfRule>
    <cfRule type="cellIs" dxfId="25753" priority="580" operator="greaterThan">
      <formula>0</formula>
    </cfRule>
  </conditionalFormatting>
  <conditionalFormatting sqref="G32 I32:AC32">
    <cfRule type="cellIs" dxfId="25752" priority="569" operator="equal">
      <formula>"PMS"</formula>
    </cfRule>
    <cfRule type="containsText" dxfId="25751" priority="570" operator="containsText" text="CMS">
      <formula>NOT(ISERROR(SEARCH("CMS",G32)))</formula>
    </cfRule>
    <cfRule type="cellIs" dxfId="25750" priority="571" operator="equal">
      <formula>0</formula>
    </cfRule>
    <cfRule type="cellIs" dxfId="25749" priority="572" operator="greaterThan">
      <formula>0</formula>
    </cfRule>
  </conditionalFormatting>
  <conditionalFormatting sqref="G32 I32:AC32">
    <cfRule type="cellIs" dxfId="25748" priority="565" operator="equal">
      <formula>"PMS"</formula>
    </cfRule>
    <cfRule type="containsText" dxfId="25747" priority="566" operator="containsText" text="CMS">
      <formula>NOT(ISERROR(SEARCH("CMS",G32)))</formula>
    </cfRule>
    <cfRule type="cellIs" dxfId="25746" priority="567" operator="equal">
      <formula>0</formula>
    </cfRule>
    <cfRule type="cellIs" dxfId="25745" priority="568" operator="greaterThan">
      <formula>0</formula>
    </cfRule>
  </conditionalFormatting>
  <conditionalFormatting sqref="F81">
    <cfRule type="cellIs" dxfId="25744" priority="449" operator="equal">
      <formula>"PMS"</formula>
    </cfRule>
    <cfRule type="containsText" dxfId="25743" priority="450" operator="containsText" text="CMS">
      <formula>NOT(ISERROR(SEARCH("CMS",F81)))</formula>
    </cfRule>
    <cfRule type="cellIs" dxfId="25742" priority="451" operator="equal">
      <formula>0</formula>
    </cfRule>
    <cfRule type="cellIs" dxfId="25741" priority="452" operator="greaterThan">
      <formula>0</formula>
    </cfRule>
    <cfRule type="cellIs" dxfId="25740" priority="453" operator="equal">
      <formula>"PMS"</formula>
    </cfRule>
    <cfRule type="containsText" dxfId="25739" priority="454" operator="containsText" text="CMS">
      <formula>NOT(ISERROR(SEARCH("CMS",F81)))</formula>
    </cfRule>
    <cfRule type="cellIs" dxfId="25738" priority="455" operator="equal">
      <formula>0</formula>
    </cfRule>
    <cfRule type="cellIs" dxfId="25737" priority="456" operator="greaterThan">
      <formula>0</formula>
    </cfRule>
  </conditionalFormatting>
  <conditionalFormatting sqref="F81">
    <cfRule type="cellIs" dxfId="25736" priority="445" operator="equal">
      <formula>"PMS"</formula>
    </cfRule>
    <cfRule type="containsText" dxfId="25735" priority="446" operator="containsText" text="CMS">
      <formula>NOT(ISERROR(SEARCH("CMS",F81)))</formula>
    </cfRule>
    <cfRule type="cellIs" dxfId="25734" priority="447" operator="equal">
      <formula>0</formula>
    </cfRule>
    <cfRule type="cellIs" dxfId="25733" priority="448" operator="greaterThan">
      <formula>0</formula>
    </cfRule>
  </conditionalFormatting>
  <conditionalFormatting sqref="H13:H16">
    <cfRule type="cellIs" dxfId="25732" priority="421" operator="equal">
      <formula>"PMS"</formula>
    </cfRule>
    <cfRule type="containsText" dxfId="25731" priority="422" operator="containsText" text="CMS">
      <formula>NOT(ISERROR(SEARCH("CMS",H13)))</formula>
    </cfRule>
    <cfRule type="cellIs" dxfId="25730" priority="423" operator="equal">
      <formula>0</formula>
    </cfRule>
    <cfRule type="cellIs" dxfId="25729" priority="424" operator="greaterThan">
      <formula>0</formula>
    </cfRule>
    <cfRule type="cellIs" dxfId="25728" priority="425" operator="equal">
      <formula>"PMS"</formula>
    </cfRule>
    <cfRule type="containsText" dxfId="25727" priority="426" operator="containsText" text="CMS">
      <formula>NOT(ISERROR(SEARCH("CMS",H13)))</formula>
    </cfRule>
    <cfRule type="cellIs" dxfId="25726" priority="427" operator="equal">
      <formula>0</formula>
    </cfRule>
    <cfRule type="cellIs" dxfId="25725" priority="428" operator="greaterThan">
      <formula>0</formula>
    </cfRule>
  </conditionalFormatting>
  <conditionalFormatting sqref="H13:H16">
    <cfRule type="cellIs" dxfId="25724" priority="417" operator="equal">
      <formula>"PMS"</formula>
    </cfRule>
    <cfRule type="containsText" dxfId="25723" priority="418" operator="containsText" text="CMS">
      <formula>NOT(ISERROR(SEARCH("CMS",H13)))</formula>
    </cfRule>
    <cfRule type="cellIs" dxfId="25722" priority="419" operator="equal">
      <formula>0</formula>
    </cfRule>
    <cfRule type="cellIs" dxfId="25721" priority="420" operator="greaterThan">
      <formula>0</formula>
    </cfRule>
  </conditionalFormatting>
  <conditionalFormatting sqref="H13:H16">
    <cfRule type="cellIs" dxfId="25720" priority="413" operator="equal">
      <formula>"PMS"</formula>
    </cfRule>
    <cfRule type="containsText" dxfId="25719" priority="414" operator="containsText" text="CMS">
      <formula>NOT(ISERROR(SEARCH("CMS",H13)))</formula>
    </cfRule>
    <cfRule type="cellIs" dxfId="25718" priority="415" operator="equal">
      <formula>0</formula>
    </cfRule>
    <cfRule type="cellIs" dxfId="25717" priority="416" operator="greaterThan">
      <formula>0</formula>
    </cfRule>
  </conditionalFormatting>
  <conditionalFormatting sqref="H13">
    <cfRule type="cellIs" dxfId="25716" priority="409" operator="equal">
      <formula>"PMS"</formula>
    </cfRule>
    <cfRule type="containsText" dxfId="25715" priority="410" operator="containsText" text="CMS">
      <formula>NOT(ISERROR(SEARCH("CMS",H13)))</formula>
    </cfRule>
    <cfRule type="cellIs" dxfId="25714" priority="411" operator="equal">
      <formula>0</formula>
    </cfRule>
    <cfRule type="cellIs" dxfId="25713" priority="412" operator="greaterThan">
      <formula>0</formula>
    </cfRule>
  </conditionalFormatting>
  <conditionalFormatting sqref="H13">
    <cfRule type="cellIs" dxfId="25712" priority="405" operator="equal">
      <formula>"PMS"</formula>
    </cfRule>
    <cfRule type="containsText" dxfId="25711" priority="406" operator="containsText" text="CMS">
      <formula>NOT(ISERROR(SEARCH("CMS",H13)))</formula>
    </cfRule>
    <cfRule type="cellIs" dxfId="25710" priority="407" operator="equal">
      <formula>0</formula>
    </cfRule>
    <cfRule type="cellIs" dxfId="25709" priority="408" operator="greaterThan">
      <formula>0</formula>
    </cfRule>
  </conditionalFormatting>
  <conditionalFormatting sqref="H20:H21">
    <cfRule type="cellIs" dxfId="25708" priority="397" operator="equal">
      <formula>"PMS"</formula>
    </cfRule>
    <cfRule type="containsText" dxfId="25707" priority="398" operator="containsText" text="CMS">
      <formula>NOT(ISERROR(SEARCH("CMS",H20)))</formula>
    </cfRule>
    <cfRule type="cellIs" dxfId="25706" priority="399" operator="equal">
      <formula>0</formula>
    </cfRule>
    <cfRule type="cellIs" dxfId="25705" priority="400" operator="greaterThan">
      <formula>0</formula>
    </cfRule>
    <cfRule type="cellIs" dxfId="25704" priority="401" operator="equal">
      <formula>"PMS"</formula>
    </cfRule>
    <cfRule type="containsText" dxfId="25703" priority="402" operator="containsText" text="CMS">
      <formula>NOT(ISERROR(SEARCH("CMS",H20)))</formula>
    </cfRule>
    <cfRule type="cellIs" dxfId="25702" priority="403" operator="equal">
      <formula>0</formula>
    </cfRule>
    <cfRule type="cellIs" dxfId="25701" priority="404" operator="greaterThan">
      <formula>0</formula>
    </cfRule>
  </conditionalFormatting>
  <conditionalFormatting sqref="H20:H21">
    <cfRule type="cellIs" dxfId="25700" priority="393" operator="equal">
      <formula>"PMS"</formula>
    </cfRule>
    <cfRule type="containsText" dxfId="25699" priority="394" operator="containsText" text="CMS">
      <formula>NOT(ISERROR(SEARCH("CMS",H20)))</formula>
    </cfRule>
    <cfRule type="cellIs" dxfId="25698" priority="395" operator="equal">
      <formula>0</formula>
    </cfRule>
    <cfRule type="cellIs" dxfId="25697" priority="396" operator="greaterThan">
      <formula>0</formula>
    </cfRule>
  </conditionalFormatting>
  <conditionalFormatting sqref="H20:H21">
    <cfRule type="cellIs" dxfId="25696" priority="389" operator="equal">
      <formula>"PMS"</formula>
    </cfRule>
    <cfRule type="containsText" dxfId="25695" priority="390" operator="containsText" text="CMS">
      <formula>NOT(ISERROR(SEARCH("CMS",H20)))</formula>
    </cfRule>
    <cfRule type="cellIs" dxfId="25694" priority="391" operator="equal">
      <formula>0</formula>
    </cfRule>
    <cfRule type="cellIs" dxfId="25693" priority="392" operator="greaterThan">
      <formula>0</formula>
    </cfRule>
  </conditionalFormatting>
  <conditionalFormatting sqref="H19">
    <cfRule type="cellIs" dxfId="25692" priority="385" operator="equal">
      <formula>"CMS"</formula>
    </cfRule>
    <cfRule type="cellIs" dxfId="25691" priority="386" operator="equal">
      <formula>"PMS"</formula>
    </cfRule>
    <cfRule type="cellIs" dxfId="25690" priority="387" operator="greaterThan">
      <formula>0</formula>
    </cfRule>
    <cfRule type="cellIs" dxfId="25689" priority="388" operator="equal">
      <formula>0</formula>
    </cfRule>
  </conditionalFormatting>
  <conditionalFormatting sqref="H24">
    <cfRule type="cellIs" dxfId="25688" priority="377" operator="equal">
      <formula>"PMS"</formula>
    </cfRule>
    <cfRule type="containsText" dxfId="25687" priority="378" operator="containsText" text="CMS">
      <formula>NOT(ISERROR(SEARCH("CMS",H24)))</formula>
    </cfRule>
    <cfRule type="cellIs" dxfId="25686" priority="379" operator="equal">
      <formula>0</formula>
    </cfRule>
    <cfRule type="cellIs" dxfId="25685" priority="380" operator="greaterThan">
      <formula>0</formula>
    </cfRule>
    <cfRule type="cellIs" dxfId="25684" priority="381" operator="equal">
      <formula>"PMS"</formula>
    </cfRule>
    <cfRule type="containsText" dxfId="25683" priority="382" operator="containsText" text="CMS">
      <formula>NOT(ISERROR(SEARCH("CMS",H24)))</formula>
    </cfRule>
    <cfRule type="cellIs" dxfId="25682" priority="383" operator="equal">
      <formula>0</formula>
    </cfRule>
    <cfRule type="cellIs" dxfId="25681" priority="384" operator="greaterThan">
      <formula>0</formula>
    </cfRule>
  </conditionalFormatting>
  <conditionalFormatting sqref="H24">
    <cfRule type="cellIs" dxfId="25680" priority="373" operator="equal">
      <formula>"PMS"</formula>
    </cfRule>
    <cfRule type="containsText" dxfId="25679" priority="374" operator="containsText" text="CMS">
      <formula>NOT(ISERROR(SEARCH("CMS",H24)))</formula>
    </cfRule>
    <cfRule type="cellIs" dxfId="25678" priority="375" operator="equal">
      <formula>0</formula>
    </cfRule>
    <cfRule type="cellIs" dxfId="25677" priority="376" operator="greaterThan">
      <formula>0</formula>
    </cfRule>
  </conditionalFormatting>
  <conditionalFormatting sqref="H24">
    <cfRule type="cellIs" dxfId="25676" priority="369" operator="equal">
      <formula>"PMS"</formula>
    </cfRule>
    <cfRule type="containsText" dxfId="25675" priority="370" operator="containsText" text="CMS">
      <formula>NOT(ISERROR(SEARCH("CMS",H24)))</formula>
    </cfRule>
    <cfRule type="cellIs" dxfId="25674" priority="371" operator="equal">
      <formula>0</formula>
    </cfRule>
    <cfRule type="cellIs" dxfId="25673" priority="372" operator="greaterThan">
      <formula>0</formula>
    </cfRule>
  </conditionalFormatting>
  <conditionalFormatting sqref="H27:H28">
    <cfRule type="cellIs" dxfId="25672" priority="361" operator="equal">
      <formula>"PMS"</formula>
    </cfRule>
    <cfRule type="containsText" dxfId="25671" priority="362" operator="containsText" text="CMS">
      <formula>NOT(ISERROR(SEARCH("CMS",H27)))</formula>
    </cfRule>
    <cfRule type="cellIs" dxfId="25670" priority="363" operator="equal">
      <formula>0</formula>
    </cfRule>
    <cfRule type="cellIs" dxfId="25669" priority="364" operator="greaterThan">
      <formula>0</formula>
    </cfRule>
    <cfRule type="cellIs" dxfId="25668" priority="365" operator="equal">
      <formula>"PMS"</formula>
    </cfRule>
    <cfRule type="containsText" dxfId="25667" priority="366" operator="containsText" text="CMS">
      <formula>NOT(ISERROR(SEARCH("CMS",H27)))</formula>
    </cfRule>
    <cfRule type="cellIs" dxfId="25666" priority="367" operator="equal">
      <formula>0</formula>
    </cfRule>
    <cfRule type="cellIs" dxfId="25665" priority="368" operator="greaterThan">
      <formula>0</formula>
    </cfRule>
  </conditionalFormatting>
  <conditionalFormatting sqref="H27:H28">
    <cfRule type="cellIs" dxfId="25664" priority="357" operator="equal">
      <formula>"PMS"</formula>
    </cfRule>
    <cfRule type="containsText" dxfId="25663" priority="358" operator="containsText" text="CMS">
      <formula>NOT(ISERROR(SEARCH("CMS",H27)))</formula>
    </cfRule>
    <cfRule type="cellIs" dxfId="25662" priority="359" operator="equal">
      <formula>0</formula>
    </cfRule>
    <cfRule type="cellIs" dxfId="25661" priority="360" operator="greaterThan">
      <formula>0</formula>
    </cfRule>
  </conditionalFormatting>
  <conditionalFormatting sqref="H27:H28">
    <cfRule type="cellIs" dxfId="25660" priority="353" operator="equal">
      <formula>"PMS"</formula>
    </cfRule>
    <cfRule type="containsText" dxfId="25659" priority="354" operator="containsText" text="CMS">
      <formula>NOT(ISERROR(SEARCH("CMS",H27)))</formula>
    </cfRule>
    <cfRule type="cellIs" dxfId="25658" priority="355" operator="equal">
      <formula>0</formula>
    </cfRule>
    <cfRule type="cellIs" dxfId="25657" priority="356" operator="greaterThan">
      <formula>0</formula>
    </cfRule>
  </conditionalFormatting>
  <conditionalFormatting sqref="H29">
    <cfRule type="cellIs" dxfId="25656" priority="345" operator="equal">
      <formula>"PMS"</formula>
    </cfRule>
    <cfRule type="containsText" dxfId="25655" priority="346" operator="containsText" text="CMS">
      <formula>NOT(ISERROR(SEARCH("CMS",H29)))</formula>
    </cfRule>
    <cfRule type="cellIs" dxfId="25654" priority="347" operator="equal">
      <formula>0</formula>
    </cfRule>
    <cfRule type="cellIs" dxfId="25653" priority="348" operator="greaterThan">
      <formula>0</formula>
    </cfRule>
    <cfRule type="cellIs" dxfId="25652" priority="349" operator="equal">
      <formula>"PMS"</formula>
    </cfRule>
    <cfRule type="containsText" dxfId="25651" priority="350" operator="containsText" text="CMS">
      <formula>NOT(ISERROR(SEARCH("CMS",H29)))</formula>
    </cfRule>
    <cfRule type="cellIs" dxfId="25650" priority="351" operator="equal">
      <formula>0</formula>
    </cfRule>
    <cfRule type="cellIs" dxfId="25649" priority="352" operator="greaterThan">
      <formula>0</formula>
    </cfRule>
  </conditionalFormatting>
  <conditionalFormatting sqref="H32">
    <cfRule type="cellIs" dxfId="25648" priority="337" operator="equal">
      <formula>"PMS"</formula>
    </cfRule>
    <cfRule type="containsText" dxfId="25647" priority="338" operator="containsText" text="CMS">
      <formula>NOT(ISERROR(SEARCH("CMS",H32)))</formula>
    </cfRule>
    <cfRule type="cellIs" dxfId="25646" priority="339" operator="equal">
      <formula>0</formula>
    </cfRule>
    <cfRule type="cellIs" dxfId="25645" priority="340" operator="greaterThan">
      <formula>0</formula>
    </cfRule>
    <cfRule type="cellIs" dxfId="25644" priority="341" operator="equal">
      <formula>"PMS"</formula>
    </cfRule>
    <cfRule type="containsText" dxfId="25643" priority="342" operator="containsText" text="CMS">
      <formula>NOT(ISERROR(SEARCH("CMS",H32)))</formula>
    </cfRule>
    <cfRule type="cellIs" dxfId="25642" priority="343" operator="equal">
      <formula>0</formula>
    </cfRule>
    <cfRule type="cellIs" dxfId="25641" priority="344" operator="greaterThan">
      <formula>0</formula>
    </cfRule>
  </conditionalFormatting>
  <conditionalFormatting sqref="H32">
    <cfRule type="cellIs" dxfId="25640" priority="333" operator="equal">
      <formula>"PMS"</formula>
    </cfRule>
    <cfRule type="containsText" dxfId="25639" priority="334" operator="containsText" text="CMS">
      <formula>NOT(ISERROR(SEARCH("CMS",H32)))</formula>
    </cfRule>
    <cfRule type="cellIs" dxfId="25638" priority="335" operator="equal">
      <formula>0</formula>
    </cfRule>
    <cfRule type="cellIs" dxfId="25637" priority="336" operator="greaterThan">
      <formula>0</formula>
    </cfRule>
  </conditionalFormatting>
  <conditionalFormatting sqref="H32">
    <cfRule type="cellIs" dxfId="25636" priority="329" operator="equal">
      <formula>"PMS"</formula>
    </cfRule>
    <cfRule type="containsText" dxfId="25635" priority="330" operator="containsText" text="CMS">
      <formula>NOT(ISERROR(SEARCH("CMS",H32)))</formula>
    </cfRule>
    <cfRule type="cellIs" dxfId="25634" priority="331" operator="equal">
      <formula>0</formula>
    </cfRule>
    <cfRule type="cellIs" dxfId="25633" priority="332" operator="greaterThan">
      <formula>0</formula>
    </cfRule>
  </conditionalFormatting>
  <conditionalFormatting sqref="H35:H58">
    <cfRule type="cellIs" dxfId="25632" priority="321" operator="equal">
      <formula>"PMS"</formula>
    </cfRule>
    <cfRule type="containsText" dxfId="25631" priority="322" operator="containsText" text="CMS">
      <formula>NOT(ISERROR(SEARCH("CMS",H35)))</formula>
    </cfRule>
    <cfRule type="cellIs" dxfId="25630" priority="323" operator="equal">
      <formula>0</formula>
    </cfRule>
    <cfRule type="cellIs" dxfId="25629" priority="324" operator="greaterThan">
      <formula>0</formula>
    </cfRule>
    <cfRule type="cellIs" dxfId="25628" priority="325" operator="equal">
      <formula>"PMS"</formula>
    </cfRule>
    <cfRule type="containsText" dxfId="25627" priority="326" operator="containsText" text="CMS">
      <formula>NOT(ISERROR(SEARCH("CMS",H35)))</formula>
    </cfRule>
    <cfRule type="cellIs" dxfId="25626" priority="327" operator="equal">
      <formula>0</formula>
    </cfRule>
    <cfRule type="cellIs" dxfId="25625" priority="328" operator="greaterThan">
      <formula>0</formula>
    </cfRule>
  </conditionalFormatting>
  <conditionalFormatting sqref="H35:H58">
    <cfRule type="cellIs" dxfId="25624" priority="317" operator="equal">
      <formula>"PMS"</formula>
    </cfRule>
    <cfRule type="containsText" dxfId="25623" priority="318" operator="containsText" text="CMS">
      <formula>NOT(ISERROR(SEARCH("CMS",H35)))</formula>
    </cfRule>
    <cfRule type="cellIs" dxfId="25622" priority="319" operator="equal">
      <formula>0</formula>
    </cfRule>
    <cfRule type="cellIs" dxfId="25621" priority="320" operator="greaterThan">
      <formula>0</formula>
    </cfRule>
  </conditionalFormatting>
  <conditionalFormatting sqref="H35:H58">
    <cfRule type="cellIs" dxfId="25620" priority="313" operator="equal">
      <formula>"PMS"</formula>
    </cfRule>
    <cfRule type="containsText" dxfId="25619" priority="314" operator="containsText" text="CMS">
      <formula>NOT(ISERROR(SEARCH("CMS",H35)))</formula>
    </cfRule>
    <cfRule type="cellIs" dxfId="25618" priority="315" operator="equal">
      <formula>0</formula>
    </cfRule>
    <cfRule type="cellIs" dxfId="25617" priority="316" operator="greaterThan">
      <formula>0</formula>
    </cfRule>
  </conditionalFormatting>
  <conditionalFormatting sqref="H57">
    <cfRule type="cellIs" dxfId="25616" priority="309" operator="equal">
      <formula>"PMS"</formula>
    </cfRule>
    <cfRule type="containsText" dxfId="25615" priority="310" operator="containsText" text="CMS">
      <formula>NOT(ISERROR(SEARCH("CMS",H57)))</formula>
    </cfRule>
    <cfRule type="cellIs" dxfId="25614" priority="311" operator="equal">
      <formula>0</formula>
    </cfRule>
    <cfRule type="cellIs" dxfId="25613" priority="312" operator="greaterThan">
      <formula>0</formula>
    </cfRule>
  </conditionalFormatting>
  <conditionalFormatting sqref="H57">
    <cfRule type="cellIs" dxfId="25612" priority="305" operator="equal">
      <formula>"PMS"</formula>
    </cfRule>
    <cfRule type="containsText" dxfId="25611" priority="306" operator="containsText" text="CMS">
      <formula>NOT(ISERROR(SEARCH("CMS",H57)))</formula>
    </cfRule>
    <cfRule type="cellIs" dxfId="25610" priority="307" operator="equal">
      <formula>0</formula>
    </cfRule>
    <cfRule type="cellIs" dxfId="25609" priority="308" operator="greaterThan">
      <formula>0</formula>
    </cfRule>
  </conditionalFormatting>
  <conditionalFormatting sqref="H57">
    <cfRule type="cellIs" dxfId="25608" priority="301" operator="equal">
      <formula>"PMS"</formula>
    </cfRule>
    <cfRule type="containsText" dxfId="25607" priority="302" operator="containsText" text="CMS">
      <formula>NOT(ISERROR(SEARCH("CMS",H57)))</formula>
    </cfRule>
    <cfRule type="cellIs" dxfId="25606" priority="303" operator="equal">
      <formula>0</formula>
    </cfRule>
    <cfRule type="cellIs" dxfId="25605" priority="304" operator="greaterThan">
      <formula>0</formula>
    </cfRule>
  </conditionalFormatting>
  <conditionalFormatting sqref="H57">
    <cfRule type="cellIs" dxfId="25604" priority="297" operator="equal">
      <formula>"PMS"</formula>
    </cfRule>
    <cfRule type="containsText" dxfId="25603" priority="298" operator="containsText" text="CMS">
      <formula>NOT(ISERROR(SEARCH("CMS",H57)))</formula>
    </cfRule>
    <cfRule type="cellIs" dxfId="25602" priority="299" operator="equal">
      <formula>0</formula>
    </cfRule>
    <cfRule type="cellIs" dxfId="25601" priority="300" operator="greaterThan">
      <formula>0</formula>
    </cfRule>
  </conditionalFormatting>
  <conditionalFormatting sqref="H58">
    <cfRule type="cellIs" dxfId="25600" priority="293" operator="equal">
      <formula>"PMS"</formula>
    </cfRule>
    <cfRule type="containsText" dxfId="25599" priority="294" operator="containsText" text="CMS">
      <formula>NOT(ISERROR(SEARCH("CMS",H58)))</formula>
    </cfRule>
    <cfRule type="cellIs" dxfId="25598" priority="295" operator="equal">
      <formula>0</formula>
    </cfRule>
    <cfRule type="cellIs" dxfId="25597" priority="296" operator="greaterThan">
      <formula>0</formula>
    </cfRule>
  </conditionalFormatting>
  <conditionalFormatting sqref="H58">
    <cfRule type="cellIs" dxfId="25596" priority="289" operator="equal">
      <formula>"PMS"</formula>
    </cfRule>
    <cfRule type="containsText" dxfId="25595" priority="290" operator="containsText" text="CMS">
      <formula>NOT(ISERROR(SEARCH("CMS",H58)))</formula>
    </cfRule>
    <cfRule type="cellIs" dxfId="25594" priority="291" operator="equal">
      <formula>0</formula>
    </cfRule>
    <cfRule type="cellIs" dxfId="25593" priority="292" operator="greaterThan">
      <formula>0</formula>
    </cfRule>
  </conditionalFormatting>
  <conditionalFormatting sqref="H58">
    <cfRule type="cellIs" dxfId="25592" priority="285" operator="equal">
      <formula>"PMS"</formula>
    </cfRule>
    <cfRule type="containsText" dxfId="25591" priority="286" operator="containsText" text="CMS">
      <formula>NOT(ISERROR(SEARCH("CMS",H58)))</formula>
    </cfRule>
    <cfRule type="cellIs" dxfId="25590" priority="287" operator="equal">
      <formula>0</formula>
    </cfRule>
    <cfRule type="cellIs" dxfId="25589" priority="288" operator="greaterThan">
      <formula>0</formula>
    </cfRule>
  </conditionalFormatting>
  <conditionalFormatting sqref="H58">
    <cfRule type="cellIs" dxfId="25588" priority="281" operator="equal">
      <formula>"PMS"</formula>
    </cfRule>
    <cfRule type="containsText" dxfId="25587" priority="282" operator="containsText" text="CMS">
      <formula>NOT(ISERROR(SEARCH("CMS",H58)))</formula>
    </cfRule>
    <cfRule type="cellIs" dxfId="25586" priority="283" operator="equal">
      <formula>0</formula>
    </cfRule>
    <cfRule type="cellIs" dxfId="25585" priority="284" operator="greaterThan">
      <formula>0</formula>
    </cfRule>
  </conditionalFormatting>
  <conditionalFormatting sqref="H61:H63">
    <cfRule type="cellIs" dxfId="25584" priority="273" operator="equal">
      <formula>"PMS"</formula>
    </cfRule>
    <cfRule type="containsText" dxfId="25583" priority="274" operator="containsText" text="CMS">
      <formula>NOT(ISERROR(SEARCH("CMS",H61)))</formula>
    </cfRule>
    <cfRule type="cellIs" dxfId="25582" priority="275" operator="equal">
      <formula>0</formula>
    </cfRule>
    <cfRule type="cellIs" dxfId="25581" priority="276" operator="greaterThan">
      <formula>0</formula>
    </cfRule>
    <cfRule type="cellIs" dxfId="25580" priority="277" operator="equal">
      <formula>"PMS"</formula>
    </cfRule>
    <cfRule type="containsText" dxfId="25579" priority="278" operator="containsText" text="CMS">
      <formula>NOT(ISERROR(SEARCH("CMS",H61)))</formula>
    </cfRule>
    <cfRule type="cellIs" dxfId="25578" priority="279" operator="equal">
      <formula>0</formula>
    </cfRule>
    <cfRule type="cellIs" dxfId="25577" priority="280" operator="greaterThan">
      <formula>0</formula>
    </cfRule>
  </conditionalFormatting>
  <conditionalFormatting sqref="H61:H63">
    <cfRule type="cellIs" dxfId="25576" priority="269" operator="equal">
      <formula>"PMS"</formula>
    </cfRule>
    <cfRule type="containsText" dxfId="25575" priority="270" operator="containsText" text="CMS">
      <formula>NOT(ISERROR(SEARCH("CMS",H61)))</formula>
    </cfRule>
    <cfRule type="cellIs" dxfId="25574" priority="271" operator="equal">
      <formula>0</formula>
    </cfRule>
    <cfRule type="cellIs" dxfId="25573" priority="272" operator="greaterThan">
      <formula>0</formula>
    </cfRule>
  </conditionalFormatting>
  <conditionalFormatting sqref="H66:H74">
    <cfRule type="cellIs" dxfId="25572" priority="261" operator="equal">
      <formula>"PMS"</formula>
    </cfRule>
    <cfRule type="containsText" dxfId="25571" priority="262" operator="containsText" text="CMS">
      <formula>NOT(ISERROR(SEARCH("CMS",H66)))</formula>
    </cfRule>
    <cfRule type="cellIs" dxfId="25570" priority="263" operator="equal">
      <formula>0</formula>
    </cfRule>
    <cfRule type="cellIs" dxfId="25569" priority="264" operator="greaterThan">
      <formula>0</formula>
    </cfRule>
    <cfRule type="cellIs" dxfId="25568" priority="265" operator="equal">
      <formula>"PMS"</formula>
    </cfRule>
    <cfRule type="containsText" dxfId="25567" priority="266" operator="containsText" text="CMS">
      <formula>NOT(ISERROR(SEARCH("CMS",H66)))</formula>
    </cfRule>
    <cfRule type="cellIs" dxfId="25566" priority="267" operator="equal">
      <formula>0</formula>
    </cfRule>
    <cfRule type="cellIs" dxfId="25565" priority="268" operator="greaterThan">
      <formula>0</formula>
    </cfRule>
  </conditionalFormatting>
  <conditionalFormatting sqref="H66:H74">
    <cfRule type="cellIs" dxfId="25564" priority="257" operator="equal">
      <formula>"PMS"</formula>
    </cfRule>
    <cfRule type="containsText" dxfId="25563" priority="258" operator="containsText" text="CMS">
      <formula>NOT(ISERROR(SEARCH("CMS",H66)))</formula>
    </cfRule>
    <cfRule type="cellIs" dxfId="25562" priority="259" operator="equal">
      <formula>0</formula>
    </cfRule>
    <cfRule type="cellIs" dxfId="25561" priority="260" operator="greaterThan">
      <formula>0</formula>
    </cfRule>
  </conditionalFormatting>
  <conditionalFormatting sqref="H66:H74">
    <cfRule type="cellIs" dxfId="25560" priority="253" operator="equal">
      <formula>"PMS"</formula>
    </cfRule>
    <cfRule type="containsText" dxfId="25559" priority="254" operator="containsText" text="CMS">
      <formula>NOT(ISERROR(SEARCH("CMS",H66)))</formula>
    </cfRule>
    <cfRule type="cellIs" dxfId="25558" priority="255" operator="equal">
      <formula>0</formula>
    </cfRule>
    <cfRule type="cellIs" dxfId="25557" priority="256" operator="greaterThan">
      <formula>0</formula>
    </cfRule>
  </conditionalFormatting>
  <conditionalFormatting sqref="H77:H78">
    <cfRule type="cellIs" dxfId="25556" priority="245" operator="equal">
      <formula>"PMS"</formula>
    </cfRule>
    <cfRule type="containsText" dxfId="25555" priority="246" operator="containsText" text="CMS">
      <formula>NOT(ISERROR(SEARCH("CMS",H77)))</formula>
    </cfRule>
    <cfRule type="cellIs" dxfId="25554" priority="247" operator="equal">
      <formula>0</formula>
    </cfRule>
    <cfRule type="cellIs" dxfId="25553" priority="248" operator="greaterThan">
      <formula>0</formula>
    </cfRule>
    <cfRule type="cellIs" dxfId="25552" priority="249" operator="equal">
      <formula>"PMS"</formula>
    </cfRule>
    <cfRule type="containsText" dxfId="25551" priority="250" operator="containsText" text="CMS">
      <formula>NOT(ISERROR(SEARCH("CMS",H77)))</formula>
    </cfRule>
    <cfRule type="cellIs" dxfId="25550" priority="251" operator="equal">
      <formula>0</formula>
    </cfRule>
    <cfRule type="cellIs" dxfId="25549" priority="252" operator="greaterThan">
      <formula>0</formula>
    </cfRule>
  </conditionalFormatting>
  <conditionalFormatting sqref="H77:H78">
    <cfRule type="cellIs" dxfId="25548" priority="241" operator="equal">
      <formula>"PMS"</formula>
    </cfRule>
    <cfRule type="containsText" dxfId="25547" priority="242" operator="containsText" text="CMS">
      <formula>NOT(ISERROR(SEARCH("CMS",H77)))</formula>
    </cfRule>
    <cfRule type="cellIs" dxfId="25546" priority="243" operator="equal">
      <formula>0</formula>
    </cfRule>
    <cfRule type="cellIs" dxfId="25545" priority="244" operator="greaterThan">
      <formula>0</formula>
    </cfRule>
  </conditionalFormatting>
  <conditionalFormatting sqref="F13:F16">
    <cfRule type="cellIs" dxfId="25544" priority="233" operator="equal">
      <formula>"PMS"</formula>
    </cfRule>
    <cfRule type="containsText" dxfId="25543" priority="234" operator="containsText" text="CMS">
      <formula>NOT(ISERROR(SEARCH("CMS",F13)))</formula>
    </cfRule>
    <cfRule type="cellIs" dxfId="25542" priority="235" operator="equal">
      <formula>0</formula>
    </cfRule>
    <cfRule type="cellIs" dxfId="25541" priority="236" operator="greaterThan">
      <formula>0</formula>
    </cfRule>
    <cfRule type="cellIs" dxfId="25540" priority="237" operator="equal">
      <formula>"PMS"</formula>
    </cfRule>
    <cfRule type="containsText" dxfId="25539" priority="238" operator="containsText" text="CMS">
      <formula>NOT(ISERROR(SEARCH("CMS",F13)))</formula>
    </cfRule>
    <cfRule type="cellIs" dxfId="25538" priority="239" operator="equal">
      <formula>0</formula>
    </cfRule>
    <cfRule type="cellIs" dxfId="25537" priority="240" operator="greaterThan">
      <formula>0</formula>
    </cfRule>
  </conditionalFormatting>
  <conditionalFormatting sqref="F13:F16">
    <cfRule type="cellIs" dxfId="25536" priority="229" operator="equal">
      <formula>"PMS"</formula>
    </cfRule>
    <cfRule type="containsText" dxfId="25535" priority="230" operator="containsText" text="CMS">
      <formula>NOT(ISERROR(SEARCH("CMS",F13)))</formula>
    </cfRule>
    <cfRule type="cellIs" dxfId="25534" priority="231" operator="equal">
      <formula>0</formula>
    </cfRule>
    <cfRule type="cellIs" dxfId="25533" priority="232" operator="greaterThan">
      <formula>0</formula>
    </cfRule>
  </conditionalFormatting>
  <conditionalFormatting sqref="F13:F16">
    <cfRule type="cellIs" dxfId="25532" priority="225" operator="equal">
      <formula>"PMS"</formula>
    </cfRule>
    <cfRule type="containsText" dxfId="25531" priority="226" operator="containsText" text="CMS">
      <formula>NOT(ISERROR(SEARCH("CMS",F13)))</formula>
    </cfRule>
    <cfRule type="cellIs" dxfId="25530" priority="227" operator="equal">
      <formula>0</formula>
    </cfRule>
    <cfRule type="cellIs" dxfId="25529" priority="228" operator="greaterThan">
      <formula>0</formula>
    </cfRule>
  </conditionalFormatting>
  <conditionalFormatting sqref="F13">
    <cfRule type="cellIs" dxfId="25528" priority="221" operator="equal">
      <formula>"PMS"</formula>
    </cfRule>
    <cfRule type="containsText" dxfId="25527" priority="222" operator="containsText" text="CMS">
      <formula>NOT(ISERROR(SEARCH("CMS",F13)))</formula>
    </cfRule>
    <cfRule type="cellIs" dxfId="25526" priority="223" operator="equal">
      <formula>0</formula>
    </cfRule>
    <cfRule type="cellIs" dxfId="25525" priority="224" operator="greaterThan">
      <formula>0</formula>
    </cfRule>
  </conditionalFormatting>
  <conditionalFormatting sqref="F13">
    <cfRule type="cellIs" dxfId="25524" priority="217" operator="equal">
      <formula>"PMS"</formula>
    </cfRule>
    <cfRule type="containsText" dxfId="25523" priority="218" operator="containsText" text="CMS">
      <formula>NOT(ISERROR(SEARCH("CMS",F13)))</formula>
    </cfRule>
    <cfRule type="cellIs" dxfId="25522" priority="219" operator="equal">
      <formula>0</formula>
    </cfRule>
    <cfRule type="cellIs" dxfId="25521" priority="220" operator="greaterThan">
      <formula>0</formula>
    </cfRule>
  </conditionalFormatting>
  <conditionalFormatting sqref="F20:F21">
    <cfRule type="cellIs" dxfId="25520" priority="209" operator="equal">
      <formula>"PMS"</formula>
    </cfRule>
    <cfRule type="containsText" dxfId="25519" priority="210" operator="containsText" text="CMS">
      <formula>NOT(ISERROR(SEARCH("CMS",F20)))</formula>
    </cfRule>
    <cfRule type="cellIs" dxfId="25518" priority="211" operator="equal">
      <formula>0</formula>
    </cfRule>
    <cfRule type="cellIs" dxfId="25517" priority="212" operator="greaterThan">
      <formula>0</formula>
    </cfRule>
    <cfRule type="cellIs" dxfId="25516" priority="213" operator="equal">
      <formula>"PMS"</formula>
    </cfRule>
    <cfRule type="containsText" dxfId="25515" priority="214" operator="containsText" text="CMS">
      <formula>NOT(ISERROR(SEARCH("CMS",F20)))</formula>
    </cfRule>
    <cfRule type="cellIs" dxfId="25514" priority="215" operator="equal">
      <formula>0</formula>
    </cfRule>
    <cfRule type="cellIs" dxfId="25513" priority="216" operator="greaterThan">
      <formula>0</formula>
    </cfRule>
  </conditionalFormatting>
  <conditionalFormatting sqref="F20:F21">
    <cfRule type="cellIs" dxfId="25512" priority="205" operator="equal">
      <formula>"PMS"</formula>
    </cfRule>
    <cfRule type="containsText" dxfId="25511" priority="206" operator="containsText" text="CMS">
      <formula>NOT(ISERROR(SEARCH("CMS",F20)))</formula>
    </cfRule>
    <cfRule type="cellIs" dxfId="25510" priority="207" operator="equal">
      <formula>0</formula>
    </cfRule>
    <cfRule type="cellIs" dxfId="25509" priority="208" operator="greaterThan">
      <formula>0</formula>
    </cfRule>
  </conditionalFormatting>
  <conditionalFormatting sqref="F20:F21">
    <cfRule type="cellIs" dxfId="25508" priority="201" operator="equal">
      <formula>"PMS"</formula>
    </cfRule>
    <cfRule type="containsText" dxfId="25507" priority="202" operator="containsText" text="CMS">
      <formula>NOT(ISERROR(SEARCH("CMS",F20)))</formula>
    </cfRule>
    <cfRule type="cellIs" dxfId="25506" priority="203" operator="equal">
      <formula>0</formula>
    </cfRule>
    <cfRule type="cellIs" dxfId="25505" priority="204" operator="greaterThan">
      <formula>0</formula>
    </cfRule>
  </conditionalFormatting>
  <conditionalFormatting sqref="F19">
    <cfRule type="cellIs" dxfId="25504" priority="197" operator="equal">
      <formula>"CMS"</formula>
    </cfRule>
    <cfRule type="cellIs" dxfId="25503" priority="198" operator="equal">
      <formula>"PMS"</formula>
    </cfRule>
    <cfRule type="cellIs" dxfId="25502" priority="199" operator="greaterThan">
      <formula>0</formula>
    </cfRule>
    <cfRule type="cellIs" dxfId="25501" priority="200" operator="equal">
      <formula>0</formula>
    </cfRule>
  </conditionalFormatting>
  <conditionalFormatting sqref="F24">
    <cfRule type="cellIs" dxfId="25500" priority="189" operator="equal">
      <formula>"PMS"</formula>
    </cfRule>
    <cfRule type="containsText" dxfId="25499" priority="190" operator="containsText" text="CMS">
      <formula>NOT(ISERROR(SEARCH("CMS",F24)))</formula>
    </cfRule>
    <cfRule type="cellIs" dxfId="25498" priority="191" operator="equal">
      <formula>0</formula>
    </cfRule>
    <cfRule type="cellIs" dxfId="25497" priority="192" operator="greaterThan">
      <formula>0</formula>
    </cfRule>
    <cfRule type="cellIs" dxfId="25496" priority="193" operator="equal">
      <formula>"PMS"</formula>
    </cfRule>
    <cfRule type="containsText" dxfId="25495" priority="194" operator="containsText" text="CMS">
      <formula>NOT(ISERROR(SEARCH("CMS",F24)))</formula>
    </cfRule>
    <cfRule type="cellIs" dxfId="25494" priority="195" operator="equal">
      <formula>0</formula>
    </cfRule>
    <cfRule type="cellIs" dxfId="25493" priority="196" operator="greaterThan">
      <formula>0</formula>
    </cfRule>
  </conditionalFormatting>
  <conditionalFormatting sqref="F24">
    <cfRule type="cellIs" dxfId="25492" priority="185" operator="equal">
      <formula>"PMS"</formula>
    </cfRule>
    <cfRule type="containsText" dxfId="25491" priority="186" operator="containsText" text="CMS">
      <formula>NOT(ISERROR(SEARCH("CMS",F24)))</formula>
    </cfRule>
    <cfRule type="cellIs" dxfId="25490" priority="187" operator="equal">
      <formula>0</formula>
    </cfRule>
    <cfRule type="cellIs" dxfId="25489" priority="188" operator="greaterThan">
      <formula>0</formula>
    </cfRule>
  </conditionalFormatting>
  <conditionalFormatting sqref="F24">
    <cfRule type="cellIs" dxfId="25488" priority="181" operator="equal">
      <formula>"PMS"</formula>
    </cfRule>
    <cfRule type="containsText" dxfId="25487" priority="182" operator="containsText" text="CMS">
      <formula>NOT(ISERROR(SEARCH("CMS",F24)))</formula>
    </cfRule>
    <cfRule type="cellIs" dxfId="25486" priority="183" operator="equal">
      <formula>0</formula>
    </cfRule>
    <cfRule type="cellIs" dxfId="25485" priority="184" operator="greaterThan">
      <formula>0</formula>
    </cfRule>
  </conditionalFormatting>
  <conditionalFormatting sqref="F27:F28">
    <cfRule type="cellIs" dxfId="25484" priority="173" operator="equal">
      <formula>"PMS"</formula>
    </cfRule>
    <cfRule type="containsText" dxfId="25483" priority="174" operator="containsText" text="CMS">
      <formula>NOT(ISERROR(SEARCH("CMS",F27)))</formula>
    </cfRule>
    <cfRule type="cellIs" dxfId="25482" priority="175" operator="equal">
      <formula>0</formula>
    </cfRule>
    <cfRule type="cellIs" dxfId="25481" priority="176" operator="greaterThan">
      <formula>0</formula>
    </cfRule>
    <cfRule type="cellIs" dxfId="25480" priority="177" operator="equal">
      <formula>"PMS"</formula>
    </cfRule>
    <cfRule type="containsText" dxfId="25479" priority="178" operator="containsText" text="CMS">
      <formula>NOT(ISERROR(SEARCH("CMS",F27)))</formula>
    </cfRule>
    <cfRule type="cellIs" dxfId="25478" priority="179" operator="equal">
      <formula>0</formula>
    </cfRule>
    <cfRule type="cellIs" dxfId="25477" priority="180" operator="greaterThan">
      <formula>0</formula>
    </cfRule>
  </conditionalFormatting>
  <conditionalFormatting sqref="F27:F28">
    <cfRule type="cellIs" dxfId="25476" priority="169" operator="equal">
      <formula>"PMS"</formula>
    </cfRule>
    <cfRule type="containsText" dxfId="25475" priority="170" operator="containsText" text="CMS">
      <formula>NOT(ISERROR(SEARCH("CMS",F27)))</formula>
    </cfRule>
    <cfRule type="cellIs" dxfId="25474" priority="171" operator="equal">
      <formula>0</formula>
    </cfRule>
    <cfRule type="cellIs" dxfId="25473" priority="172" operator="greaterThan">
      <formula>0</formula>
    </cfRule>
  </conditionalFormatting>
  <conditionalFormatting sqref="F27:F28">
    <cfRule type="cellIs" dxfId="25472" priority="165" operator="equal">
      <formula>"PMS"</formula>
    </cfRule>
    <cfRule type="containsText" dxfId="25471" priority="166" operator="containsText" text="CMS">
      <formula>NOT(ISERROR(SEARCH("CMS",F27)))</formula>
    </cfRule>
    <cfRule type="cellIs" dxfId="25470" priority="167" operator="equal">
      <formula>0</formula>
    </cfRule>
    <cfRule type="cellIs" dxfId="25469" priority="168" operator="greaterThan">
      <formula>0</formula>
    </cfRule>
  </conditionalFormatting>
  <conditionalFormatting sqref="F29">
    <cfRule type="cellIs" dxfId="25468" priority="157" operator="equal">
      <formula>"PMS"</formula>
    </cfRule>
    <cfRule type="containsText" dxfId="25467" priority="158" operator="containsText" text="CMS">
      <formula>NOT(ISERROR(SEARCH("CMS",F29)))</formula>
    </cfRule>
    <cfRule type="cellIs" dxfId="25466" priority="159" operator="equal">
      <formula>0</formula>
    </cfRule>
    <cfRule type="cellIs" dxfId="25465" priority="160" operator="greaterThan">
      <formula>0</formula>
    </cfRule>
    <cfRule type="cellIs" dxfId="25464" priority="161" operator="equal">
      <formula>"PMS"</formula>
    </cfRule>
    <cfRule type="containsText" dxfId="25463" priority="162" operator="containsText" text="CMS">
      <formula>NOT(ISERROR(SEARCH("CMS",F29)))</formula>
    </cfRule>
    <cfRule type="cellIs" dxfId="25462" priority="163" operator="equal">
      <formula>0</formula>
    </cfRule>
    <cfRule type="cellIs" dxfId="25461" priority="164" operator="greaterThan">
      <formula>0</formula>
    </cfRule>
  </conditionalFormatting>
  <conditionalFormatting sqref="F32">
    <cfRule type="cellIs" dxfId="25460" priority="149" operator="equal">
      <formula>"PMS"</formula>
    </cfRule>
    <cfRule type="containsText" dxfId="25459" priority="150" operator="containsText" text="CMS">
      <formula>NOT(ISERROR(SEARCH("CMS",F32)))</formula>
    </cfRule>
    <cfRule type="cellIs" dxfId="25458" priority="151" operator="equal">
      <formula>0</formula>
    </cfRule>
    <cfRule type="cellIs" dxfId="25457" priority="152" operator="greaterThan">
      <formula>0</formula>
    </cfRule>
    <cfRule type="cellIs" dxfId="25456" priority="153" operator="equal">
      <formula>"PMS"</formula>
    </cfRule>
    <cfRule type="containsText" dxfId="25455" priority="154" operator="containsText" text="CMS">
      <formula>NOT(ISERROR(SEARCH("CMS",F32)))</formula>
    </cfRule>
    <cfRule type="cellIs" dxfId="25454" priority="155" operator="equal">
      <formula>0</formula>
    </cfRule>
    <cfRule type="cellIs" dxfId="25453" priority="156" operator="greaterThan">
      <formula>0</formula>
    </cfRule>
  </conditionalFormatting>
  <conditionalFormatting sqref="F32">
    <cfRule type="cellIs" dxfId="25452" priority="145" operator="equal">
      <formula>"PMS"</formula>
    </cfRule>
    <cfRule type="containsText" dxfId="25451" priority="146" operator="containsText" text="CMS">
      <formula>NOT(ISERROR(SEARCH("CMS",F32)))</formula>
    </cfRule>
    <cfRule type="cellIs" dxfId="25450" priority="147" operator="equal">
      <formula>0</formula>
    </cfRule>
    <cfRule type="cellIs" dxfId="25449" priority="148" operator="greaterThan">
      <formula>0</formula>
    </cfRule>
  </conditionalFormatting>
  <conditionalFormatting sqref="F32">
    <cfRule type="cellIs" dxfId="25448" priority="141" operator="equal">
      <formula>"PMS"</formula>
    </cfRule>
    <cfRule type="containsText" dxfId="25447" priority="142" operator="containsText" text="CMS">
      <formula>NOT(ISERROR(SEARCH("CMS",F32)))</formula>
    </cfRule>
    <cfRule type="cellIs" dxfId="25446" priority="143" operator="equal">
      <formula>0</formula>
    </cfRule>
    <cfRule type="cellIs" dxfId="25445" priority="144" operator="greaterThan">
      <formula>0</formula>
    </cfRule>
  </conditionalFormatting>
  <conditionalFormatting sqref="F35:F58">
    <cfRule type="cellIs" dxfId="25444" priority="133" operator="equal">
      <formula>"PMS"</formula>
    </cfRule>
    <cfRule type="containsText" dxfId="25443" priority="134" operator="containsText" text="CMS">
      <formula>NOT(ISERROR(SEARCH("CMS",F35)))</formula>
    </cfRule>
    <cfRule type="cellIs" dxfId="25442" priority="135" operator="equal">
      <formula>0</formula>
    </cfRule>
    <cfRule type="cellIs" dxfId="25441" priority="136" operator="greaterThan">
      <formula>0</formula>
    </cfRule>
    <cfRule type="cellIs" dxfId="25440" priority="137" operator="equal">
      <formula>"PMS"</formula>
    </cfRule>
    <cfRule type="containsText" dxfId="25439" priority="138" operator="containsText" text="CMS">
      <formula>NOT(ISERROR(SEARCH("CMS",F35)))</formula>
    </cfRule>
    <cfRule type="cellIs" dxfId="25438" priority="139" operator="equal">
      <formula>0</formula>
    </cfRule>
    <cfRule type="cellIs" dxfId="25437" priority="140" operator="greaterThan">
      <formula>0</formula>
    </cfRule>
  </conditionalFormatting>
  <conditionalFormatting sqref="F35:F58">
    <cfRule type="cellIs" dxfId="25436" priority="129" operator="equal">
      <formula>"PMS"</formula>
    </cfRule>
    <cfRule type="containsText" dxfId="25435" priority="130" operator="containsText" text="CMS">
      <formula>NOT(ISERROR(SEARCH("CMS",F35)))</formula>
    </cfRule>
    <cfRule type="cellIs" dxfId="25434" priority="131" operator="equal">
      <formula>0</formula>
    </cfRule>
    <cfRule type="cellIs" dxfId="25433" priority="132" operator="greaterThan">
      <formula>0</formula>
    </cfRule>
  </conditionalFormatting>
  <conditionalFormatting sqref="F35:F58">
    <cfRule type="cellIs" dxfId="25432" priority="125" operator="equal">
      <formula>"PMS"</formula>
    </cfRule>
    <cfRule type="containsText" dxfId="25431" priority="126" operator="containsText" text="CMS">
      <formula>NOT(ISERROR(SEARCH("CMS",F35)))</formula>
    </cfRule>
    <cfRule type="cellIs" dxfId="25430" priority="127" operator="equal">
      <formula>0</formula>
    </cfRule>
    <cfRule type="cellIs" dxfId="25429" priority="128" operator="greaterThan">
      <formula>0</formula>
    </cfRule>
  </conditionalFormatting>
  <conditionalFormatting sqref="F57">
    <cfRule type="cellIs" dxfId="25428" priority="121" operator="equal">
      <formula>"PMS"</formula>
    </cfRule>
    <cfRule type="containsText" dxfId="25427" priority="122" operator="containsText" text="CMS">
      <formula>NOT(ISERROR(SEARCH("CMS",F57)))</formula>
    </cfRule>
    <cfRule type="cellIs" dxfId="25426" priority="123" operator="equal">
      <formula>0</formula>
    </cfRule>
    <cfRule type="cellIs" dxfId="25425" priority="124" operator="greaterThan">
      <formula>0</formula>
    </cfRule>
  </conditionalFormatting>
  <conditionalFormatting sqref="F57">
    <cfRule type="cellIs" dxfId="25424" priority="117" operator="equal">
      <formula>"PMS"</formula>
    </cfRule>
    <cfRule type="containsText" dxfId="25423" priority="118" operator="containsText" text="CMS">
      <formula>NOT(ISERROR(SEARCH("CMS",F57)))</formula>
    </cfRule>
    <cfRule type="cellIs" dxfId="25422" priority="119" operator="equal">
      <formula>0</formula>
    </cfRule>
    <cfRule type="cellIs" dxfId="25421" priority="120" operator="greaterThan">
      <formula>0</formula>
    </cfRule>
  </conditionalFormatting>
  <conditionalFormatting sqref="F57">
    <cfRule type="cellIs" dxfId="25420" priority="113" operator="equal">
      <formula>"PMS"</formula>
    </cfRule>
    <cfRule type="containsText" dxfId="25419" priority="114" operator="containsText" text="CMS">
      <formula>NOT(ISERROR(SEARCH("CMS",F57)))</formula>
    </cfRule>
    <cfRule type="cellIs" dxfId="25418" priority="115" operator="equal">
      <formula>0</formula>
    </cfRule>
    <cfRule type="cellIs" dxfId="25417" priority="116" operator="greaterThan">
      <formula>0</formula>
    </cfRule>
  </conditionalFormatting>
  <conditionalFormatting sqref="F57">
    <cfRule type="cellIs" dxfId="25416" priority="109" operator="equal">
      <formula>"PMS"</formula>
    </cfRule>
    <cfRule type="containsText" dxfId="25415" priority="110" operator="containsText" text="CMS">
      <formula>NOT(ISERROR(SEARCH("CMS",F57)))</formula>
    </cfRule>
    <cfRule type="cellIs" dxfId="25414" priority="111" operator="equal">
      <formula>0</formula>
    </cfRule>
    <cfRule type="cellIs" dxfId="25413" priority="112" operator="greaterThan">
      <formula>0</formula>
    </cfRule>
  </conditionalFormatting>
  <conditionalFormatting sqref="F58">
    <cfRule type="cellIs" dxfId="25412" priority="105" operator="equal">
      <formula>"PMS"</formula>
    </cfRule>
    <cfRule type="containsText" dxfId="25411" priority="106" operator="containsText" text="CMS">
      <formula>NOT(ISERROR(SEARCH("CMS",F58)))</formula>
    </cfRule>
    <cfRule type="cellIs" dxfId="25410" priority="107" operator="equal">
      <formula>0</formula>
    </cfRule>
    <cfRule type="cellIs" dxfId="25409" priority="108" operator="greaterThan">
      <formula>0</formula>
    </cfRule>
  </conditionalFormatting>
  <conditionalFormatting sqref="F58">
    <cfRule type="cellIs" dxfId="25408" priority="101" operator="equal">
      <formula>"PMS"</formula>
    </cfRule>
    <cfRule type="containsText" dxfId="25407" priority="102" operator="containsText" text="CMS">
      <formula>NOT(ISERROR(SEARCH("CMS",F58)))</formula>
    </cfRule>
    <cfRule type="cellIs" dxfId="25406" priority="103" operator="equal">
      <formula>0</formula>
    </cfRule>
    <cfRule type="cellIs" dxfId="25405" priority="104" operator="greaterThan">
      <formula>0</formula>
    </cfRule>
  </conditionalFormatting>
  <conditionalFormatting sqref="F58">
    <cfRule type="cellIs" dxfId="25404" priority="97" operator="equal">
      <formula>"PMS"</formula>
    </cfRule>
    <cfRule type="containsText" dxfId="25403" priority="98" operator="containsText" text="CMS">
      <formula>NOT(ISERROR(SEARCH("CMS",F58)))</formula>
    </cfRule>
    <cfRule type="cellIs" dxfId="25402" priority="99" operator="equal">
      <formula>0</formula>
    </cfRule>
    <cfRule type="cellIs" dxfId="25401" priority="100" operator="greaterThan">
      <formula>0</formula>
    </cfRule>
  </conditionalFormatting>
  <conditionalFormatting sqref="F58">
    <cfRule type="cellIs" dxfId="25400" priority="93" operator="equal">
      <formula>"PMS"</formula>
    </cfRule>
    <cfRule type="containsText" dxfId="25399" priority="94" operator="containsText" text="CMS">
      <formula>NOT(ISERROR(SEARCH("CMS",F58)))</formula>
    </cfRule>
    <cfRule type="cellIs" dxfId="25398" priority="95" operator="equal">
      <formula>0</formula>
    </cfRule>
    <cfRule type="cellIs" dxfId="25397" priority="96" operator="greaterThan">
      <formula>0</formula>
    </cfRule>
  </conditionalFormatting>
  <conditionalFormatting sqref="F61:F63">
    <cfRule type="cellIs" dxfId="25396" priority="85" operator="equal">
      <formula>"PMS"</formula>
    </cfRule>
    <cfRule type="containsText" dxfId="25395" priority="86" operator="containsText" text="CMS">
      <formula>NOT(ISERROR(SEARCH("CMS",F61)))</formula>
    </cfRule>
    <cfRule type="cellIs" dxfId="25394" priority="87" operator="equal">
      <formula>0</formula>
    </cfRule>
    <cfRule type="cellIs" dxfId="25393" priority="88" operator="greaterThan">
      <formula>0</formula>
    </cfRule>
    <cfRule type="cellIs" dxfId="25392" priority="89" operator="equal">
      <formula>"PMS"</formula>
    </cfRule>
    <cfRule type="containsText" dxfId="25391" priority="90" operator="containsText" text="CMS">
      <formula>NOT(ISERROR(SEARCH("CMS",F61)))</formula>
    </cfRule>
    <cfRule type="cellIs" dxfId="25390" priority="91" operator="equal">
      <formula>0</formula>
    </cfRule>
    <cfRule type="cellIs" dxfId="25389" priority="92" operator="greaterThan">
      <formula>0</formula>
    </cfRule>
  </conditionalFormatting>
  <conditionalFormatting sqref="F61:F63">
    <cfRule type="cellIs" dxfId="25388" priority="81" operator="equal">
      <formula>"PMS"</formula>
    </cfRule>
    <cfRule type="containsText" dxfId="25387" priority="82" operator="containsText" text="CMS">
      <formula>NOT(ISERROR(SEARCH("CMS",F61)))</formula>
    </cfRule>
    <cfRule type="cellIs" dxfId="25386" priority="83" operator="equal">
      <formula>0</formula>
    </cfRule>
    <cfRule type="cellIs" dxfId="25385" priority="84" operator="greaterThan">
      <formula>0</formula>
    </cfRule>
  </conditionalFormatting>
  <conditionalFormatting sqref="F66:F74">
    <cfRule type="cellIs" dxfId="25384" priority="73" operator="equal">
      <formula>"PMS"</formula>
    </cfRule>
    <cfRule type="containsText" dxfId="25383" priority="74" operator="containsText" text="CMS">
      <formula>NOT(ISERROR(SEARCH("CMS",F66)))</formula>
    </cfRule>
    <cfRule type="cellIs" dxfId="25382" priority="75" operator="equal">
      <formula>0</formula>
    </cfRule>
    <cfRule type="cellIs" dxfId="25381" priority="76" operator="greaterThan">
      <formula>0</formula>
    </cfRule>
    <cfRule type="cellIs" dxfId="25380" priority="77" operator="equal">
      <formula>"PMS"</formula>
    </cfRule>
    <cfRule type="containsText" dxfId="25379" priority="78" operator="containsText" text="CMS">
      <formula>NOT(ISERROR(SEARCH("CMS",F66)))</formula>
    </cfRule>
    <cfRule type="cellIs" dxfId="25378" priority="79" operator="equal">
      <formula>0</formula>
    </cfRule>
    <cfRule type="cellIs" dxfId="25377" priority="80" operator="greaterThan">
      <formula>0</formula>
    </cfRule>
  </conditionalFormatting>
  <conditionalFormatting sqref="F66:F74">
    <cfRule type="cellIs" dxfId="25376" priority="69" operator="equal">
      <formula>"PMS"</formula>
    </cfRule>
    <cfRule type="containsText" dxfId="25375" priority="70" operator="containsText" text="CMS">
      <formula>NOT(ISERROR(SEARCH("CMS",F66)))</formula>
    </cfRule>
    <cfRule type="cellIs" dxfId="25374" priority="71" operator="equal">
      <formula>0</formula>
    </cfRule>
    <cfRule type="cellIs" dxfId="25373" priority="72" operator="greaterThan">
      <formula>0</formula>
    </cfRule>
  </conditionalFormatting>
  <conditionalFormatting sqref="F66:F74">
    <cfRule type="cellIs" dxfId="25372" priority="65" operator="equal">
      <formula>"PMS"</formula>
    </cfRule>
    <cfRule type="containsText" dxfId="25371" priority="66" operator="containsText" text="CMS">
      <formula>NOT(ISERROR(SEARCH("CMS",F66)))</formula>
    </cfRule>
    <cfRule type="cellIs" dxfId="25370" priority="67" operator="equal">
      <formula>0</formula>
    </cfRule>
    <cfRule type="cellIs" dxfId="25369" priority="68" operator="greaterThan">
      <formula>0</formula>
    </cfRule>
  </conditionalFormatting>
  <conditionalFormatting sqref="F77:F78">
    <cfRule type="cellIs" dxfId="25368" priority="57" operator="equal">
      <formula>"PMS"</formula>
    </cfRule>
    <cfRule type="containsText" dxfId="25367" priority="58" operator="containsText" text="CMS">
      <formula>NOT(ISERROR(SEARCH("CMS",F77)))</formula>
    </cfRule>
    <cfRule type="cellIs" dxfId="25366" priority="59" operator="equal">
      <formula>0</formula>
    </cfRule>
    <cfRule type="cellIs" dxfId="25365" priority="60" operator="greaterThan">
      <formula>0</formula>
    </cfRule>
    <cfRule type="cellIs" dxfId="25364" priority="61" operator="equal">
      <formula>"PMS"</formula>
    </cfRule>
    <cfRule type="containsText" dxfId="25363" priority="62" operator="containsText" text="CMS">
      <formula>NOT(ISERROR(SEARCH("CMS",F77)))</formula>
    </cfRule>
    <cfRule type="cellIs" dxfId="25362" priority="63" operator="equal">
      <formula>0</formula>
    </cfRule>
    <cfRule type="cellIs" dxfId="25361" priority="64" operator="greaterThan">
      <formula>0</formula>
    </cfRule>
  </conditionalFormatting>
  <conditionalFormatting sqref="F77:F78">
    <cfRule type="cellIs" dxfId="25360" priority="53" operator="equal">
      <formula>"PMS"</formula>
    </cfRule>
    <cfRule type="containsText" dxfId="25359" priority="54" operator="containsText" text="CMS">
      <formula>NOT(ISERROR(SEARCH("CMS",F77)))</formula>
    </cfRule>
    <cfRule type="cellIs" dxfId="25358" priority="55" operator="equal">
      <formula>0</formula>
    </cfRule>
    <cfRule type="cellIs" dxfId="25357" priority="56" operator="greaterThan">
      <formula>0</formula>
    </cfRule>
  </conditionalFormatting>
  <conditionalFormatting sqref="O57">
    <cfRule type="cellIs" dxfId="25356" priority="49" operator="equal">
      <formula>"PMS"</formula>
    </cfRule>
    <cfRule type="containsText" dxfId="25355" priority="50" operator="containsText" text="CMS">
      <formula>NOT(ISERROR(SEARCH("CMS",O57)))</formula>
    </cfRule>
    <cfRule type="cellIs" dxfId="25354" priority="51" operator="equal">
      <formula>0</formula>
    </cfRule>
    <cfRule type="cellIs" dxfId="25353" priority="52" operator="greaterThan">
      <formula>0</formula>
    </cfRule>
  </conditionalFormatting>
  <conditionalFormatting sqref="O57">
    <cfRule type="cellIs" dxfId="25352" priority="45" operator="equal">
      <formula>"PMS"</formula>
    </cfRule>
    <cfRule type="containsText" dxfId="25351" priority="46" operator="containsText" text="CMS">
      <formula>NOT(ISERROR(SEARCH("CMS",O57)))</formula>
    </cfRule>
    <cfRule type="cellIs" dxfId="25350" priority="47" operator="equal">
      <formula>0</formula>
    </cfRule>
    <cfRule type="cellIs" dxfId="25349" priority="48" operator="greaterThan">
      <formula>0</formula>
    </cfRule>
  </conditionalFormatting>
  <conditionalFormatting sqref="O57">
    <cfRule type="cellIs" dxfId="25348" priority="41" operator="equal">
      <formula>"PMS"</formula>
    </cfRule>
    <cfRule type="containsText" dxfId="25347" priority="42" operator="containsText" text="CMS">
      <formula>NOT(ISERROR(SEARCH("CMS",O57)))</formula>
    </cfRule>
    <cfRule type="cellIs" dxfId="25346" priority="43" operator="equal">
      <formula>0</formula>
    </cfRule>
    <cfRule type="cellIs" dxfId="25345" priority="44" operator="greaterThan">
      <formula>0</formula>
    </cfRule>
  </conditionalFormatting>
  <conditionalFormatting sqref="O57">
    <cfRule type="cellIs" dxfId="25344" priority="37" operator="equal">
      <formula>"PMS"</formula>
    </cfRule>
    <cfRule type="containsText" dxfId="25343" priority="38" operator="containsText" text="CMS">
      <formula>NOT(ISERROR(SEARCH("CMS",O57)))</formula>
    </cfRule>
    <cfRule type="cellIs" dxfId="25342" priority="39" operator="equal">
      <formula>0</formula>
    </cfRule>
    <cfRule type="cellIs" dxfId="25341" priority="40" operator="greaterThan">
      <formula>0</formula>
    </cfRule>
  </conditionalFormatting>
  <conditionalFormatting sqref="O57">
    <cfRule type="cellIs" dxfId="25340" priority="33" operator="equal">
      <formula>"PMS"</formula>
    </cfRule>
    <cfRule type="containsText" dxfId="25339" priority="34" operator="containsText" text="CMS">
      <formula>NOT(ISERROR(SEARCH("CMS",O57)))</formula>
    </cfRule>
    <cfRule type="cellIs" dxfId="25338" priority="35" operator="equal">
      <formula>0</formula>
    </cfRule>
    <cfRule type="cellIs" dxfId="25337" priority="36" operator="greaterThan">
      <formula>0</formula>
    </cfRule>
  </conditionalFormatting>
  <conditionalFormatting sqref="O57">
    <cfRule type="cellIs" dxfId="25336" priority="29" operator="equal">
      <formula>"PMS"</formula>
    </cfRule>
    <cfRule type="containsText" dxfId="25335" priority="30" operator="containsText" text="CMS">
      <formula>NOT(ISERROR(SEARCH("CMS",O57)))</formula>
    </cfRule>
    <cfRule type="cellIs" dxfId="25334" priority="31" operator="equal">
      <formula>0</formula>
    </cfRule>
    <cfRule type="cellIs" dxfId="25333" priority="32" operator="greaterThan">
      <formula>0</formula>
    </cfRule>
  </conditionalFormatting>
  <conditionalFormatting sqref="O57">
    <cfRule type="cellIs" dxfId="25332" priority="25" operator="equal">
      <formula>"PMS"</formula>
    </cfRule>
    <cfRule type="containsText" dxfId="25331" priority="26" operator="containsText" text="CMS">
      <formula>NOT(ISERROR(SEARCH("CMS",O57)))</formula>
    </cfRule>
    <cfRule type="cellIs" dxfId="25330" priority="27" operator="equal">
      <formula>0</formula>
    </cfRule>
    <cfRule type="cellIs" dxfId="25329" priority="28" operator="greaterThan">
      <formula>0</formula>
    </cfRule>
  </conditionalFormatting>
  <conditionalFormatting sqref="O57">
    <cfRule type="cellIs" dxfId="25328" priority="21" operator="equal">
      <formula>"PMS"</formula>
    </cfRule>
    <cfRule type="containsText" dxfId="25327" priority="22" operator="containsText" text="CMS">
      <formula>NOT(ISERROR(SEARCH("CMS",O57)))</formula>
    </cfRule>
    <cfRule type="cellIs" dxfId="25326" priority="23" operator="equal">
      <formula>0</formula>
    </cfRule>
    <cfRule type="cellIs" dxfId="25325" priority="24" operator="greaterThan">
      <formula>0</formula>
    </cfRule>
  </conditionalFormatting>
  <conditionalFormatting sqref="O57">
    <cfRule type="cellIs" dxfId="25324" priority="17" operator="equal">
      <formula>"PMS"</formula>
    </cfRule>
    <cfRule type="containsText" dxfId="25323" priority="18" operator="containsText" text="CMS">
      <formula>NOT(ISERROR(SEARCH("CMS",O57)))</formula>
    </cfRule>
    <cfRule type="cellIs" dxfId="25322" priority="19" operator="equal">
      <formula>0</formula>
    </cfRule>
    <cfRule type="cellIs" dxfId="25321" priority="20" operator="greaterThan">
      <formula>0</formula>
    </cfRule>
  </conditionalFormatting>
  <conditionalFormatting sqref="O57">
    <cfRule type="cellIs" dxfId="25320" priority="13" operator="equal">
      <formula>"PMS"</formula>
    </cfRule>
    <cfRule type="containsText" dxfId="25319" priority="14" operator="containsText" text="CMS">
      <formula>NOT(ISERROR(SEARCH("CMS",O57)))</formula>
    </cfRule>
    <cfRule type="cellIs" dxfId="25318" priority="15" operator="equal">
      <formula>0</formula>
    </cfRule>
    <cfRule type="cellIs" dxfId="25317" priority="16" operator="greaterThan">
      <formula>0</formula>
    </cfRule>
  </conditionalFormatting>
  <conditionalFormatting sqref="O57">
    <cfRule type="cellIs" dxfId="25316" priority="9" operator="equal">
      <formula>"PMS"</formula>
    </cfRule>
    <cfRule type="containsText" dxfId="25315" priority="10" operator="containsText" text="CMS">
      <formula>NOT(ISERROR(SEARCH("CMS",O57)))</formula>
    </cfRule>
    <cfRule type="cellIs" dxfId="25314" priority="11" operator="equal">
      <formula>0</formula>
    </cfRule>
    <cfRule type="cellIs" dxfId="25313" priority="12" operator="greaterThan">
      <formula>0</formula>
    </cfRule>
  </conditionalFormatting>
  <conditionalFormatting sqref="O57">
    <cfRule type="cellIs" dxfId="25312" priority="5" operator="equal">
      <formula>"PMS"</formula>
    </cfRule>
    <cfRule type="containsText" dxfId="25311" priority="6" operator="containsText" text="CMS">
      <formula>NOT(ISERROR(SEARCH("CMS",O57)))</formula>
    </cfRule>
    <cfRule type="cellIs" dxfId="25310" priority="7" operator="equal">
      <formula>0</formula>
    </cfRule>
    <cfRule type="cellIs" dxfId="25309" priority="8" operator="greaterThan">
      <formula>0</formula>
    </cfRule>
  </conditionalFormatting>
  <conditionalFormatting sqref="R77">
    <cfRule type="cellIs" dxfId="25308" priority="1" operator="equal">
      <formula>"PMS"</formula>
    </cfRule>
    <cfRule type="containsText" dxfId="25307" priority="2" operator="containsText" text="CMS">
      <formula>NOT(ISERROR(SEARCH("CMS",R77)))</formula>
    </cfRule>
    <cfRule type="cellIs" dxfId="25306" priority="3" operator="equal">
      <formula>0</formula>
    </cfRule>
    <cfRule type="cellIs" dxfId="2530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8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9C8A5-1139-4FF3-AB84-8E4BC58CA478}">
  <sheetPr codeName="Sheet107"/>
  <dimension ref="A2:DT137"/>
  <sheetViews>
    <sheetView zoomScale="80" zoomScaleNormal="80" zoomScaleSheetLayoutView="51" zoomScalePageLayoutView="55" workbookViewId="0">
      <pane xSplit="5" ySplit="11" topLeftCell="F86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K104" sqref="K10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10,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475.79999999999995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6.3</v>
      </c>
      <c r="G13" s="71">
        <v>5.5</v>
      </c>
      <c r="H13" s="71"/>
      <c r="I13" s="71"/>
      <c r="J13" s="71"/>
      <c r="K13" s="71"/>
      <c r="L13" s="71">
        <v>1.5</v>
      </c>
      <c r="M13" s="71">
        <v>6.5</v>
      </c>
      <c r="N13" s="71">
        <v>6.7</v>
      </c>
      <c r="O13" s="219">
        <v>5.8</v>
      </c>
      <c r="P13" s="219">
        <v>6.5</v>
      </c>
      <c r="Q13" s="71" t="s">
        <v>9</v>
      </c>
      <c r="R13" s="71" t="s">
        <v>9</v>
      </c>
      <c r="S13" s="71" t="s">
        <v>9</v>
      </c>
      <c r="T13" s="71">
        <v>2.6</v>
      </c>
      <c r="U13" s="71">
        <v>5.8</v>
      </c>
      <c r="V13" s="71">
        <v>6.4</v>
      </c>
      <c r="W13" s="71">
        <v>6.2</v>
      </c>
      <c r="X13" s="71">
        <v>6.7</v>
      </c>
      <c r="Y13" s="71">
        <v>6.5</v>
      </c>
      <c r="Z13" s="71">
        <v>6.4</v>
      </c>
      <c r="AA13" s="71">
        <v>2.5</v>
      </c>
      <c r="AB13" s="71">
        <v>0</v>
      </c>
      <c r="AC13" s="71">
        <v>0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17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>
        <v>5.8</v>
      </c>
      <c r="P14" s="219">
        <v>6.5</v>
      </c>
      <c r="Q14" s="71">
        <v>6.3</v>
      </c>
      <c r="R14" s="71">
        <v>6.2</v>
      </c>
      <c r="S14" s="71">
        <v>6</v>
      </c>
      <c r="T14" s="71">
        <v>5.8</v>
      </c>
      <c r="U14" s="71">
        <v>5.8</v>
      </c>
      <c r="V14" s="71">
        <v>6.4</v>
      </c>
      <c r="W14" s="71">
        <v>6.2</v>
      </c>
      <c r="X14" s="71">
        <v>6.7</v>
      </c>
      <c r="Y14" s="71">
        <v>6.5</v>
      </c>
      <c r="Z14" s="71">
        <v>6.4</v>
      </c>
      <c r="AA14" s="71">
        <v>6.7</v>
      </c>
      <c r="AB14" s="71">
        <v>6.6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6.3</v>
      </c>
      <c r="G15" s="71">
        <v>7</v>
      </c>
      <c r="H15" s="71">
        <v>6.6</v>
      </c>
      <c r="I15" s="71">
        <v>6.8</v>
      </c>
      <c r="J15" s="71">
        <v>6.6</v>
      </c>
      <c r="K15" s="71">
        <v>6.5</v>
      </c>
      <c r="L15" s="71">
        <v>6.4</v>
      </c>
      <c r="M15" s="71">
        <v>6.5</v>
      </c>
      <c r="N15" s="71">
        <v>6.7</v>
      </c>
      <c r="O15" s="219">
        <v>5.8</v>
      </c>
      <c r="P15" s="219">
        <v>6.5</v>
      </c>
      <c r="Q15" s="71">
        <v>6.3</v>
      </c>
      <c r="R15" s="71">
        <v>6.2</v>
      </c>
      <c r="S15" s="71">
        <v>6</v>
      </c>
      <c r="T15" s="71">
        <v>5.8</v>
      </c>
      <c r="U15" s="71">
        <v>5.8</v>
      </c>
      <c r="V15" s="71">
        <v>6.4</v>
      </c>
      <c r="W15" s="71">
        <v>6.2</v>
      </c>
      <c r="X15" s="71">
        <v>6.7</v>
      </c>
      <c r="Y15" s="71">
        <v>6.5</v>
      </c>
      <c r="Z15" s="71">
        <v>6.4</v>
      </c>
      <c r="AA15" s="71">
        <v>6.7</v>
      </c>
      <c r="AB15" s="71">
        <v>6.5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6.3</v>
      </c>
      <c r="G16" s="71">
        <v>5.5</v>
      </c>
      <c r="H16" s="71">
        <v>6.6</v>
      </c>
      <c r="I16" s="71">
        <v>6.8</v>
      </c>
      <c r="J16" s="71">
        <v>6.6</v>
      </c>
      <c r="K16" s="71">
        <v>6.5</v>
      </c>
      <c r="L16" s="71">
        <v>6.4</v>
      </c>
      <c r="M16" s="71">
        <v>6.5</v>
      </c>
      <c r="N16" s="71">
        <v>6.7</v>
      </c>
      <c r="O16" s="71">
        <v>5.8</v>
      </c>
      <c r="P16" s="219">
        <v>6.5</v>
      </c>
      <c r="Q16" s="71">
        <v>6.3</v>
      </c>
      <c r="R16" s="71">
        <v>6.2</v>
      </c>
      <c r="S16" s="71">
        <v>6</v>
      </c>
      <c r="T16" s="71">
        <v>5.8</v>
      </c>
      <c r="U16" s="71">
        <v>5.8</v>
      </c>
      <c r="V16" s="71">
        <v>6.4</v>
      </c>
      <c r="W16" s="71">
        <v>6.2</v>
      </c>
      <c r="X16" s="71">
        <v>6.7</v>
      </c>
      <c r="Y16" s="71">
        <v>6.5</v>
      </c>
      <c r="Z16" s="71">
        <v>6.4</v>
      </c>
      <c r="AA16" s="71">
        <v>6.8</v>
      </c>
      <c r="AB16" s="71">
        <v>6.5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18.899999999999999</v>
      </c>
      <c r="G17" s="19">
        <f t="shared" si="0"/>
        <v>18</v>
      </c>
      <c r="H17" s="19">
        <f t="shared" si="0"/>
        <v>13.2</v>
      </c>
      <c r="I17" s="19">
        <f t="shared" si="0"/>
        <v>13.6</v>
      </c>
      <c r="J17" s="19">
        <f t="shared" si="0"/>
        <v>13.2</v>
      </c>
      <c r="K17" s="19">
        <f t="shared" si="0"/>
        <v>13</v>
      </c>
      <c r="L17" s="19">
        <f t="shared" si="0"/>
        <v>14.3</v>
      </c>
      <c r="M17" s="19">
        <f t="shared" si="0"/>
        <v>19.5</v>
      </c>
      <c r="N17" s="19">
        <f t="shared" si="0"/>
        <v>20.100000000000001</v>
      </c>
      <c r="O17" s="19">
        <f t="shared" si="0"/>
        <v>23.2</v>
      </c>
      <c r="P17" s="19">
        <f t="shared" si="0"/>
        <v>26</v>
      </c>
      <c r="Q17" s="19">
        <f t="shared" si="0"/>
        <v>18.899999999999999</v>
      </c>
      <c r="R17" s="19">
        <f t="shared" si="0"/>
        <v>18.600000000000001</v>
      </c>
      <c r="S17" s="19">
        <f t="shared" si="0"/>
        <v>18</v>
      </c>
      <c r="T17" s="19">
        <f t="shared" si="0"/>
        <v>20</v>
      </c>
      <c r="U17" s="19">
        <f t="shared" si="0"/>
        <v>23.2</v>
      </c>
      <c r="V17" s="19">
        <f t="shared" si="0"/>
        <v>25.6</v>
      </c>
      <c r="W17" s="19">
        <f t="shared" si="0"/>
        <v>24.8</v>
      </c>
      <c r="X17" s="19">
        <f t="shared" si="0"/>
        <v>26.8</v>
      </c>
      <c r="Y17" s="19">
        <f t="shared" si="0"/>
        <v>26</v>
      </c>
      <c r="Z17" s="19">
        <f t="shared" si="0"/>
        <v>25.6</v>
      </c>
      <c r="AA17" s="19">
        <f t="shared" si="0"/>
        <v>22.7</v>
      </c>
      <c r="AB17" s="19">
        <f t="shared" si="0"/>
        <v>19.600000000000001</v>
      </c>
      <c r="AC17" s="19">
        <f t="shared" si="0"/>
        <v>13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77.59999999999998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</v>
      </c>
      <c r="P21" s="71">
        <v>3.3</v>
      </c>
      <c r="Q21" s="71">
        <v>2.8</v>
      </c>
      <c r="R21" s="71">
        <v>3</v>
      </c>
      <c r="S21" s="71">
        <v>2.8</v>
      </c>
      <c r="T21" s="71">
        <v>3.3</v>
      </c>
      <c r="U21" s="71">
        <v>3.3</v>
      </c>
      <c r="V21" s="71">
        <v>3.3</v>
      </c>
      <c r="W21" s="71">
        <v>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4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</v>
      </c>
      <c r="H22" s="19">
        <f t="shared" si="1"/>
        <v>3.3</v>
      </c>
      <c r="I22" s="19">
        <f t="shared" si="1"/>
        <v>3.3</v>
      </c>
      <c r="J22" s="19">
        <f t="shared" si="1"/>
        <v>3.3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</v>
      </c>
      <c r="P22" s="19">
        <f t="shared" si="1"/>
        <v>3.3</v>
      </c>
      <c r="Q22" s="19">
        <f t="shared" si="1"/>
        <v>2.8</v>
      </c>
      <c r="R22" s="19">
        <f t="shared" si="1"/>
        <v>3</v>
      </c>
      <c r="S22" s="19">
        <f>SUM(S19:S21)</f>
        <v>2.8</v>
      </c>
      <c r="T22" s="19">
        <f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4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/>
      <c r="G24" s="71"/>
      <c r="H24" s="71"/>
      <c r="I24" s="71"/>
      <c r="J24" s="71"/>
      <c r="K24" s="71"/>
      <c r="L24" s="71"/>
      <c r="M24" s="219"/>
      <c r="N24" s="219">
        <v>1.9</v>
      </c>
      <c r="O24" s="219">
        <v>3</v>
      </c>
      <c r="P24" s="219">
        <v>2.1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>
        <v>0.5</v>
      </c>
      <c r="AC24" s="71">
        <v>0.5</v>
      </c>
      <c r="AD24" s="41"/>
      <c r="AE24" s="41"/>
      <c r="AF24" s="11">
        <f>COUNTIF(F24:AC24,$AJ$8)</f>
        <v>11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1.9</v>
      </c>
      <c r="O25" s="19">
        <f t="shared" si="3"/>
        <v>3</v>
      </c>
      <c r="P25" s="19">
        <f t="shared" si="3"/>
        <v>2.1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0.5</v>
      </c>
      <c r="AC25" s="19">
        <f t="shared" si="3"/>
        <v>0.5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103.60000000000002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</v>
      </c>
      <c r="H27" s="71">
        <v>2.9</v>
      </c>
      <c r="I27" s="71">
        <v>2.9</v>
      </c>
      <c r="J27" s="71">
        <v>2.8</v>
      </c>
      <c r="K27" s="71"/>
      <c r="L27" s="71"/>
      <c r="M27" s="71"/>
      <c r="N27" s="71" t="s">
        <v>9</v>
      </c>
      <c r="O27" s="71" t="s">
        <v>9</v>
      </c>
      <c r="P27" s="71" t="s">
        <v>9</v>
      </c>
      <c r="Q27" s="71" t="s">
        <v>9</v>
      </c>
      <c r="R27" s="71" t="s">
        <v>9</v>
      </c>
      <c r="S27" s="71" t="s">
        <v>9</v>
      </c>
      <c r="T27" s="71" t="s">
        <v>9</v>
      </c>
      <c r="U27" s="71" t="s">
        <v>9</v>
      </c>
      <c r="V27" s="71" t="s">
        <v>9</v>
      </c>
      <c r="W27" s="71" t="s">
        <v>9</v>
      </c>
      <c r="X27" s="71">
        <v>3.5</v>
      </c>
      <c r="Y27" s="71">
        <v>4</v>
      </c>
      <c r="Z27" s="71">
        <v>3.9</v>
      </c>
      <c r="AA27" s="71">
        <v>4.2</v>
      </c>
      <c r="AB27" s="71">
        <v>3.5</v>
      </c>
      <c r="AC27" s="71">
        <v>4</v>
      </c>
      <c r="AD27" s="41"/>
      <c r="AE27" s="41"/>
      <c r="AF27" s="11">
        <f>COUNTIF(F27:AC27,$AJ$8)</f>
        <v>10</v>
      </c>
      <c r="AG27" s="11">
        <f>COUNTIF(G27:AD27,$AJ$7)</f>
        <v>0</v>
      </c>
      <c r="AH27" s="11">
        <f>COUNT(F27:AC27)</f>
        <v>11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</v>
      </c>
      <c r="H28" s="71">
        <v>2.9</v>
      </c>
      <c r="I28" s="71">
        <v>2.9</v>
      </c>
      <c r="J28" s="71">
        <v>2.8</v>
      </c>
      <c r="K28" s="71"/>
      <c r="L28" s="71"/>
      <c r="M28" s="71">
        <v>0.2</v>
      </c>
      <c r="N28" s="71">
        <v>1.6</v>
      </c>
      <c r="O28" s="219">
        <v>1.8</v>
      </c>
      <c r="P28" s="71">
        <v>2.2000000000000002</v>
      </c>
      <c r="Q28" s="71">
        <v>3.3</v>
      </c>
      <c r="R28" s="71">
        <v>1</v>
      </c>
      <c r="S28" s="71">
        <v>3.3</v>
      </c>
      <c r="T28" s="71">
        <v>3.7</v>
      </c>
      <c r="U28" s="71">
        <v>3.7</v>
      </c>
      <c r="V28" s="71">
        <v>3.7</v>
      </c>
      <c r="W28" s="71">
        <v>3.7</v>
      </c>
      <c r="X28" s="71">
        <v>3.5</v>
      </c>
      <c r="Y28" s="71">
        <v>4</v>
      </c>
      <c r="Z28" s="71">
        <v>3.9</v>
      </c>
      <c r="AA28" s="71">
        <v>4.2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6</v>
      </c>
      <c r="G30" s="19">
        <f t="shared" si="4"/>
        <v>6</v>
      </c>
      <c r="H30" s="19">
        <f t="shared" si="4"/>
        <v>5.8</v>
      </c>
      <c r="I30" s="19">
        <f t="shared" si="4"/>
        <v>5.8</v>
      </c>
      <c r="J30" s="19">
        <f t="shared" si="4"/>
        <v>5.6</v>
      </c>
      <c r="K30" s="19">
        <f t="shared" si="4"/>
        <v>0</v>
      </c>
      <c r="L30" s="19">
        <f t="shared" si="4"/>
        <v>0</v>
      </c>
      <c r="M30" s="19">
        <f t="shared" si="4"/>
        <v>0.2</v>
      </c>
      <c r="N30" s="19">
        <f t="shared" si="4"/>
        <v>1.6</v>
      </c>
      <c r="O30" s="19">
        <f t="shared" si="4"/>
        <v>1.8</v>
      </c>
      <c r="P30" s="19">
        <f t="shared" si="4"/>
        <v>2.2000000000000002</v>
      </c>
      <c r="Q30" s="19">
        <f t="shared" si="4"/>
        <v>3.3</v>
      </c>
      <c r="R30" s="19">
        <f t="shared" si="4"/>
        <v>1</v>
      </c>
      <c r="S30" s="19">
        <f t="shared" si="4"/>
        <v>3.3</v>
      </c>
      <c r="T30" s="19">
        <f t="shared" si="4"/>
        <v>3.7</v>
      </c>
      <c r="U30" s="19">
        <f t="shared" si="4"/>
        <v>3.7</v>
      </c>
      <c r="V30" s="19">
        <f t="shared" si="4"/>
        <v>3.7</v>
      </c>
      <c r="W30" s="19">
        <f t="shared" si="4"/>
        <v>3.7</v>
      </c>
      <c r="X30" s="19">
        <f t="shared" si="4"/>
        <v>7</v>
      </c>
      <c r="Y30" s="19">
        <f t="shared" si="4"/>
        <v>8</v>
      </c>
      <c r="Z30" s="19">
        <f t="shared" si="4"/>
        <v>7.8</v>
      </c>
      <c r="AA30" s="19">
        <f t="shared" si="4"/>
        <v>8.4</v>
      </c>
      <c r="AB30" s="19">
        <f t="shared" si="4"/>
        <v>7</v>
      </c>
      <c r="AC30" s="19">
        <f t="shared" si="4"/>
        <v>8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71.209999999999923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>
        <v>0.8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>
        <v>0</v>
      </c>
      <c r="AD38" s="41"/>
      <c r="AE38" s="41"/>
      <c r="AF38" s="11">
        <f t="shared" si="7"/>
        <v>22</v>
      </c>
      <c r="AG38" s="11">
        <f t="shared" si="8"/>
        <v>0</v>
      </c>
      <c r="AH38" s="11">
        <f t="shared" si="9"/>
        <v>2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>
        <v>1</v>
      </c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>
        <v>0.95</v>
      </c>
      <c r="I40" s="71">
        <v>0.95</v>
      </c>
      <c r="J40" s="71">
        <v>0.95</v>
      </c>
      <c r="K40" s="71"/>
      <c r="L40" s="71"/>
      <c r="M40" s="71"/>
      <c r="N40" s="71">
        <v>0.8</v>
      </c>
      <c r="O40" s="71"/>
      <c r="P40" s="71"/>
      <c r="Q40" s="71">
        <f>2.7/3</f>
        <v>0.9</v>
      </c>
      <c r="R40" s="71">
        <f>6.1/7</f>
        <v>0.87142857142857133</v>
      </c>
      <c r="S40" s="71">
        <v>1</v>
      </c>
      <c r="T40" s="71">
        <v>1</v>
      </c>
      <c r="U40" s="71">
        <v>1</v>
      </c>
      <c r="V40" s="71">
        <f>2.5/3</f>
        <v>0.83333333333333337</v>
      </c>
      <c r="W40" s="71">
        <f>2.7/3</f>
        <v>0.9</v>
      </c>
      <c r="X40" s="71">
        <v>0</v>
      </c>
      <c r="Y40" s="71">
        <v>0</v>
      </c>
      <c r="Z40" s="71">
        <v>0</v>
      </c>
      <c r="AA40" s="71">
        <v>0</v>
      </c>
      <c r="AB40" s="71">
        <v>0</v>
      </c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16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>
        <v>0.95</v>
      </c>
      <c r="I41" s="71">
        <v>0.95</v>
      </c>
      <c r="J41" s="71">
        <v>0.95</v>
      </c>
      <c r="K41" s="71">
        <v>0.9</v>
      </c>
      <c r="L41" s="71">
        <v>1</v>
      </c>
      <c r="M41" s="71"/>
      <c r="N41" s="71"/>
      <c r="O41" s="71">
        <v>0.8</v>
      </c>
      <c r="P41" s="71"/>
      <c r="Q41" s="71"/>
      <c r="R41" s="71">
        <f>6.1/7</f>
        <v>0.87142857142857133</v>
      </c>
      <c r="S41" s="71">
        <v>1</v>
      </c>
      <c r="T41" s="71">
        <v>1</v>
      </c>
      <c r="U41" s="71">
        <v>1</v>
      </c>
      <c r="V41" s="71">
        <f>2.5/3</f>
        <v>0.83333333333333337</v>
      </c>
      <c r="W41" s="71">
        <f>2.7/3</f>
        <v>0.9</v>
      </c>
      <c r="X41" s="71">
        <v>0.84</v>
      </c>
      <c r="Y41" s="71">
        <f>1.88/2</f>
        <v>0.94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18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>
        <v>1</v>
      </c>
      <c r="I43" s="71">
        <v>1</v>
      </c>
      <c r="J43" s="71">
        <v>1</v>
      </c>
      <c r="K43" s="71">
        <v>1</v>
      </c>
      <c r="L43" s="71">
        <v>1</v>
      </c>
      <c r="M43" s="71"/>
      <c r="N43" s="71">
        <v>0.8</v>
      </c>
      <c r="O43" s="71"/>
      <c r="P43" s="71"/>
      <c r="Q43" s="71"/>
      <c r="R43" s="71">
        <f>6.1/7</f>
        <v>0.87142857142857133</v>
      </c>
      <c r="S43" s="71">
        <v>0.9</v>
      </c>
      <c r="T43" s="71">
        <v>1</v>
      </c>
      <c r="U43" s="71">
        <v>1</v>
      </c>
      <c r="V43" s="71">
        <f>2.5/3</f>
        <v>0.83333333333333337</v>
      </c>
      <c r="W43" s="71">
        <f>2.7/3</f>
        <v>0.9</v>
      </c>
      <c r="X43" s="71">
        <v>0</v>
      </c>
      <c r="Y43" s="71">
        <f>1.88/2</f>
        <v>0.94</v>
      </c>
      <c r="Z43" s="71">
        <v>0</v>
      </c>
      <c r="AA43" s="71">
        <v>0</v>
      </c>
      <c r="AB43" s="71">
        <v>0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17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>
        <f>2.39/3</f>
        <v>0.79666666666666675</v>
      </c>
      <c r="Q44" s="71">
        <f>2.7/3</f>
        <v>0.9</v>
      </c>
      <c r="R44" s="71">
        <f>6.1/7</f>
        <v>0.87142857142857133</v>
      </c>
      <c r="S44" s="71"/>
      <c r="T44" s="71">
        <f>10.4/13</f>
        <v>0.8</v>
      </c>
      <c r="U44" s="71">
        <v>1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13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>
        <f>2.39/3</f>
        <v>0.79666666666666675</v>
      </c>
      <c r="Q46" s="71">
        <f>2.7/3</f>
        <v>0.9</v>
      </c>
      <c r="R46" s="71">
        <f>6.1/7</f>
        <v>0.87142857142857133</v>
      </c>
      <c r="S46" s="71">
        <f>10.4/13</f>
        <v>0.8</v>
      </c>
      <c r="T46" s="71">
        <v>0.8</v>
      </c>
      <c r="U46" s="71">
        <f>4.6/6</f>
        <v>0.76666666666666661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>
        <v>0.8</v>
      </c>
      <c r="M47" s="71"/>
      <c r="N47" s="71"/>
      <c r="O47" s="71"/>
      <c r="P47" s="71"/>
      <c r="Q47" s="71"/>
      <c r="R47" s="71">
        <f>6.1/7</f>
        <v>0.87142857142857133</v>
      </c>
      <c r="S47" s="71">
        <f>10.4/13</f>
        <v>0.8</v>
      </c>
      <c r="T47" s="71">
        <f>10.4/13</f>
        <v>0.8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13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0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/>
      <c r="G49" s="71"/>
      <c r="H49" s="71">
        <v>0.8</v>
      </c>
      <c r="I49" s="71"/>
      <c r="J49" s="71"/>
      <c r="K49" s="71"/>
      <c r="L49" s="71"/>
      <c r="M49" s="71"/>
      <c r="N49" s="71"/>
      <c r="O49" s="71"/>
      <c r="P49" s="71">
        <f>2.39/3</f>
        <v>0.79666666666666675</v>
      </c>
      <c r="Q49" s="71" t="s">
        <v>9</v>
      </c>
      <c r="R49" s="71" t="s">
        <v>9</v>
      </c>
      <c r="S49" s="71">
        <f>10.4/13</f>
        <v>0.8</v>
      </c>
      <c r="T49" s="71">
        <f>10.4/13</f>
        <v>0.8</v>
      </c>
      <c r="U49" s="71">
        <v>0</v>
      </c>
      <c r="V49" s="71">
        <v>0.8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41"/>
      <c r="AE49" s="41"/>
      <c r="AF49" s="11">
        <f t="shared" si="7"/>
        <v>2</v>
      </c>
      <c r="AG49" s="11">
        <f t="shared" si="8"/>
        <v>0</v>
      </c>
      <c r="AH49" s="11">
        <f t="shared" si="9"/>
        <v>13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>
        <f t="shared" ref="U52:U53" si="10">4.6/6</f>
        <v>0.76666666666666661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9</v>
      </c>
    </row>
    <row r="53" spans="1:124" ht="18.75" customHeight="1" x14ac:dyDescent="0.25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/>
      <c r="N53" s="71"/>
      <c r="O53" s="219"/>
      <c r="P53" s="71"/>
      <c r="Q53" s="71"/>
      <c r="R53" s="71"/>
      <c r="S53" s="71">
        <f t="shared" ref="S53:T58" si="11">10.4/13</f>
        <v>0.8</v>
      </c>
      <c r="T53" s="71">
        <f t="shared" si="11"/>
        <v>0.8</v>
      </c>
      <c r="U53" s="71">
        <f t="shared" si="10"/>
        <v>0.76666666666666661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12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>
        <f t="shared" si="11"/>
        <v>0.8</v>
      </c>
      <c r="T54" s="71">
        <f t="shared" si="11"/>
        <v>0.8</v>
      </c>
      <c r="U54" s="71">
        <v>0</v>
      </c>
      <c r="V54" s="71">
        <v>0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11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0</v>
      </c>
      <c r="O55" s="71"/>
      <c r="P55" s="71"/>
      <c r="Q55" s="71"/>
      <c r="R55" s="71">
        <f>6.1/7</f>
        <v>0.87142857142857133</v>
      </c>
      <c r="S55" s="71">
        <f t="shared" si="11"/>
        <v>0.8</v>
      </c>
      <c r="T55" s="71">
        <f t="shared" si="11"/>
        <v>0.8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21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/>
      <c r="Q56" s="71"/>
      <c r="R56" s="71"/>
      <c r="S56" s="71">
        <f t="shared" si="11"/>
        <v>0.8</v>
      </c>
      <c r="T56" s="71">
        <f t="shared" si="11"/>
        <v>0.8</v>
      </c>
      <c r="U56" s="71">
        <f t="shared" ref="U56:U58" si="12">4.6/6</f>
        <v>0.76666666666666661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11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/>
      <c r="N57" s="71"/>
      <c r="O57" s="219"/>
      <c r="P57" s="219"/>
      <c r="Q57" s="71"/>
      <c r="R57" s="71"/>
      <c r="S57" s="71">
        <f t="shared" si="11"/>
        <v>0.8</v>
      </c>
      <c r="T57" s="71">
        <f t="shared" si="11"/>
        <v>0.8</v>
      </c>
      <c r="U57" s="71">
        <f t="shared" si="12"/>
        <v>0.76666666666666661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>
        <v>0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12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>
        <v>0.8</v>
      </c>
      <c r="N58" s="71"/>
      <c r="O58" s="219"/>
      <c r="P58" s="219"/>
      <c r="Q58" s="71"/>
      <c r="R58" s="71"/>
      <c r="S58" s="71">
        <f t="shared" si="11"/>
        <v>0.8</v>
      </c>
      <c r="T58" s="71">
        <f t="shared" si="11"/>
        <v>0.8</v>
      </c>
      <c r="U58" s="71">
        <f t="shared" si="12"/>
        <v>0.76666666666666661</v>
      </c>
      <c r="V58" s="71">
        <v>0</v>
      </c>
      <c r="W58" s="71">
        <v>0</v>
      </c>
      <c r="X58" s="71">
        <v>0</v>
      </c>
      <c r="Y58" s="71">
        <v>0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12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0</v>
      </c>
      <c r="G59" s="19">
        <f t="shared" si="13"/>
        <v>0</v>
      </c>
      <c r="H59" s="19">
        <f t="shared" si="13"/>
        <v>3.7</v>
      </c>
      <c r="I59" s="19">
        <f t="shared" si="13"/>
        <v>2.9</v>
      </c>
      <c r="J59" s="19">
        <f t="shared" si="13"/>
        <v>2.9</v>
      </c>
      <c r="K59" s="19">
        <f t="shared" si="13"/>
        <v>1.9</v>
      </c>
      <c r="L59" s="19">
        <f t="shared" si="13"/>
        <v>4.3999999999999995</v>
      </c>
      <c r="M59" s="19">
        <f t="shared" si="13"/>
        <v>0.8</v>
      </c>
      <c r="N59" s="19">
        <f t="shared" si="13"/>
        <v>2.4000000000000004</v>
      </c>
      <c r="O59" s="19">
        <f t="shared" si="13"/>
        <v>0.8</v>
      </c>
      <c r="P59" s="19">
        <f t="shared" si="13"/>
        <v>2.39</v>
      </c>
      <c r="Q59" s="19">
        <f t="shared" si="13"/>
        <v>2.7</v>
      </c>
      <c r="R59" s="19">
        <f t="shared" si="13"/>
        <v>6.0999999999999988</v>
      </c>
      <c r="S59" s="19">
        <f t="shared" si="13"/>
        <v>10.100000000000001</v>
      </c>
      <c r="T59" s="19">
        <f t="shared" si="13"/>
        <v>12.000000000000002</v>
      </c>
      <c r="U59" s="19">
        <f t="shared" si="13"/>
        <v>8.6</v>
      </c>
      <c r="V59" s="19">
        <f t="shared" si="13"/>
        <v>3.3</v>
      </c>
      <c r="W59" s="19">
        <f>SUM(W35:W58)</f>
        <v>2.7</v>
      </c>
      <c r="X59" s="19">
        <f t="shared" si="13"/>
        <v>0.84</v>
      </c>
      <c r="Y59" s="19">
        <f>SUM(Y35:Y58)</f>
        <v>1.88</v>
      </c>
      <c r="Z59" s="19">
        <f t="shared" si="13"/>
        <v>0</v>
      </c>
      <c r="AA59" s="19">
        <f t="shared" si="13"/>
        <v>0</v>
      </c>
      <c r="AB59" s="19">
        <f t="shared" si="13"/>
        <v>0</v>
      </c>
      <c r="AC59" s="19">
        <f t="shared" si="13"/>
        <v>0.8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20.080000000000002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0.43</v>
      </c>
      <c r="M61" s="71">
        <f>0.93/2</f>
        <v>0.46500000000000002</v>
      </c>
      <c r="N61" s="71">
        <f>0.91/2</f>
        <v>0.45500000000000002</v>
      </c>
      <c r="O61" s="71">
        <f>0.97/2</f>
        <v>0.48499999999999999</v>
      </c>
      <c r="P61" s="71">
        <f>0.99/2</f>
        <v>0.495</v>
      </c>
      <c r="Q61" s="71">
        <f>1/2</f>
        <v>0.5</v>
      </c>
      <c r="R61" s="71">
        <f>0.77/2</f>
        <v>0.38500000000000001</v>
      </c>
      <c r="S61" s="71">
        <f>0.67/2</f>
        <v>0.33500000000000002</v>
      </c>
      <c r="T61" s="71">
        <f>0.75/2</f>
        <v>0.375</v>
      </c>
      <c r="U61" s="71">
        <f>0.86/2</f>
        <v>0.43</v>
      </c>
      <c r="V61" s="71">
        <f>0.91/2</f>
        <v>0.45500000000000002</v>
      </c>
      <c r="W61" s="71">
        <f>0.95/2</f>
        <v>0.47499999999999998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380">
        <v>0.34</v>
      </c>
      <c r="G62" s="71">
        <v>0.64</v>
      </c>
      <c r="H62" s="380">
        <v>0.63</v>
      </c>
      <c r="I62" s="71">
        <v>0.63</v>
      </c>
      <c r="J62" s="71">
        <v>0.63</v>
      </c>
      <c r="K62" s="71">
        <v>0.7</v>
      </c>
      <c r="L62" s="71">
        <v>0.43</v>
      </c>
      <c r="M62" s="71">
        <f>0.93/2</f>
        <v>0.46500000000000002</v>
      </c>
      <c r="N62" s="71">
        <f>0.91/2</f>
        <v>0.45500000000000002</v>
      </c>
      <c r="O62" s="71">
        <f>0.97/2</f>
        <v>0.48499999999999999</v>
      </c>
      <c r="P62" s="71">
        <f>0.99/2</f>
        <v>0.495</v>
      </c>
      <c r="Q62" s="71">
        <f>1/2</f>
        <v>0.5</v>
      </c>
      <c r="R62" s="71"/>
      <c r="S62" s="71"/>
      <c r="T62" s="71"/>
      <c r="U62" s="71"/>
      <c r="V62" s="71"/>
      <c r="W62" s="71"/>
      <c r="X62" s="71">
        <f>1/2</f>
        <v>0.5</v>
      </c>
      <c r="Y62" s="71">
        <f>1.13/2</f>
        <v>0.56499999999999995</v>
      </c>
      <c r="Z62" s="71">
        <f>1/2</f>
        <v>0.5</v>
      </c>
      <c r="AA62" s="71">
        <f>0.92/2</f>
        <v>0.46</v>
      </c>
      <c r="AB62" s="71">
        <f>0.79/2</f>
        <v>0.39500000000000002</v>
      </c>
      <c r="AC62" s="380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>
        <v>0.34</v>
      </c>
      <c r="G63" s="71"/>
      <c r="H63" s="380"/>
      <c r="I63" s="71"/>
      <c r="J63" s="71"/>
      <c r="K63" s="71"/>
      <c r="L63" s="71"/>
      <c r="M63" s="71"/>
      <c r="N63" s="71"/>
      <c r="O63" s="71"/>
      <c r="P63" s="71"/>
      <c r="Q63" s="71"/>
      <c r="R63" s="71">
        <f>0.77/2</f>
        <v>0.38500000000000001</v>
      </c>
      <c r="S63" s="71">
        <f>0.67/2</f>
        <v>0.33500000000000002</v>
      </c>
      <c r="T63" s="71">
        <f>0.75/2</f>
        <v>0.375</v>
      </c>
      <c r="U63" s="71">
        <f>0.86/2</f>
        <v>0.43</v>
      </c>
      <c r="V63" s="71">
        <f>0.91/2</f>
        <v>0.45500000000000002</v>
      </c>
      <c r="W63" s="71">
        <f>0.95/2</f>
        <v>0.47499999999999998</v>
      </c>
      <c r="X63" s="71">
        <f>1/2</f>
        <v>0.5</v>
      </c>
      <c r="Y63" s="71">
        <f>1.13/2</f>
        <v>0.56499999999999995</v>
      </c>
      <c r="Z63" s="71">
        <f>1/2</f>
        <v>0.5</v>
      </c>
      <c r="AA63" s="71">
        <f>0.92/2</f>
        <v>0.46</v>
      </c>
      <c r="AB63" s="71">
        <f>0.79/2</f>
        <v>0.39500000000000002</v>
      </c>
      <c r="AC63" s="380">
        <v>0.76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0.68</v>
      </c>
      <c r="G64" s="19">
        <f>SUM(G61:G63)</f>
        <v>0.64</v>
      </c>
      <c r="H64" s="19">
        <f>SUM(H61:H63)</f>
        <v>0.63</v>
      </c>
      <c r="I64" s="19">
        <f>SUM(I61:I63)</f>
        <v>0.63</v>
      </c>
      <c r="J64" s="19">
        <f t="shared" ref="J64:AC64" si="15">SUM(J61:J63)</f>
        <v>0.63</v>
      </c>
      <c r="K64" s="19">
        <f>SUM(K61:K63)</f>
        <v>0.7</v>
      </c>
      <c r="L64" s="19">
        <f t="shared" si="15"/>
        <v>0.86</v>
      </c>
      <c r="M64" s="19">
        <f t="shared" si="15"/>
        <v>0.93</v>
      </c>
      <c r="N64" s="19">
        <f t="shared" si="15"/>
        <v>0.91</v>
      </c>
      <c r="O64" s="19">
        <f t="shared" si="15"/>
        <v>0.97</v>
      </c>
      <c r="P64" s="19">
        <f t="shared" si="15"/>
        <v>0.99</v>
      </c>
      <c r="Q64" s="19">
        <f t="shared" si="15"/>
        <v>1</v>
      </c>
      <c r="R64" s="19">
        <f t="shared" si="15"/>
        <v>0.77</v>
      </c>
      <c r="S64" s="19">
        <f t="shared" si="15"/>
        <v>0.67</v>
      </c>
      <c r="T64" s="19">
        <f t="shared" si="15"/>
        <v>0.75</v>
      </c>
      <c r="U64" s="19">
        <f>SUM(U61:U63)</f>
        <v>0.86</v>
      </c>
      <c r="V64" s="19">
        <f t="shared" si="15"/>
        <v>0.91</v>
      </c>
      <c r="W64" s="19">
        <f t="shared" si="15"/>
        <v>0.95</v>
      </c>
      <c r="X64" s="19">
        <f t="shared" si="15"/>
        <v>1</v>
      </c>
      <c r="Y64" s="19">
        <f t="shared" si="15"/>
        <v>1.1299999999999999</v>
      </c>
      <c r="Z64" s="19">
        <f t="shared" si="15"/>
        <v>1</v>
      </c>
      <c r="AA64" s="19">
        <f t="shared" si="15"/>
        <v>0.92</v>
      </c>
      <c r="AB64" s="19">
        <f t="shared" si="15"/>
        <v>0.79</v>
      </c>
      <c r="AC64" s="19">
        <f t="shared" si="15"/>
        <v>0.76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45.150000000000013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>
        <f>2.47/4</f>
        <v>0.61750000000000005</v>
      </c>
      <c r="V66" s="71">
        <f>2.53/4</f>
        <v>0.63249999999999995</v>
      </c>
      <c r="W66" s="71">
        <f>3.44/5</f>
        <v>0.68799999999999994</v>
      </c>
      <c r="X66" s="71">
        <f>3.25/5</f>
        <v>0.65</v>
      </c>
      <c r="Y66" s="71">
        <v>0</v>
      </c>
      <c r="Z66" s="71">
        <v>0</v>
      </c>
      <c r="AA66" s="71">
        <v>0</v>
      </c>
      <c r="AB66" s="71">
        <v>0</v>
      </c>
      <c r="AC66" s="71">
        <v>0</v>
      </c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9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>
        <f>3.61/5</f>
        <v>0.72199999999999998</v>
      </c>
      <c r="O67" s="71">
        <f>3.44/5</f>
        <v>0.68799999999999994</v>
      </c>
      <c r="P67" s="71">
        <f>3.55/6</f>
        <v>0.59166666666666667</v>
      </c>
      <c r="Q67" s="71"/>
      <c r="R67" s="71"/>
      <c r="S67" s="71"/>
      <c r="T67" s="71">
        <f>3/4</f>
        <v>0.75</v>
      </c>
      <c r="U67" s="71">
        <f>2.47/4</f>
        <v>0.61750000000000005</v>
      </c>
      <c r="V67" s="71">
        <f>2.53/4</f>
        <v>0.63249999999999995</v>
      </c>
      <c r="W67" s="71">
        <f t="shared" ref="W67:W68" si="19">3.44/5</f>
        <v>0.68799999999999994</v>
      </c>
      <c r="X67" s="71">
        <f t="shared" ref="X67:X68" si="20">3.25/5</f>
        <v>0.65</v>
      </c>
      <c r="Y67" s="71">
        <f>4.13/5</f>
        <v>0.82599999999999996</v>
      </c>
      <c r="Z67" s="71">
        <f>3.84/5</f>
        <v>0.76800000000000002</v>
      </c>
      <c r="AA67" s="71">
        <f>3.62/5</f>
        <v>0.72399999999999998</v>
      </c>
      <c r="AB67" s="71">
        <v>0.8</v>
      </c>
      <c r="AC67" s="71">
        <f>2.9/4</f>
        <v>0.72499999999999998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13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>
        <f t="shared" ref="P68:P71" si="21">3.55/6</f>
        <v>0.59166666666666667</v>
      </c>
      <c r="Q68" s="71"/>
      <c r="R68" s="71"/>
      <c r="S68" s="71"/>
      <c r="T68" s="71"/>
      <c r="U68" s="71"/>
      <c r="V68" s="71">
        <v>0</v>
      </c>
      <c r="W68" s="71">
        <f t="shared" si="19"/>
        <v>0.68799999999999994</v>
      </c>
      <c r="X68" s="71">
        <f t="shared" si="20"/>
        <v>0.65</v>
      </c>
      <c r="Y68" s="71">
        <f>4.13/5</f>
        <v>0.82599999999999996</v>
      </c>
      <c r="Z68" s="71">
        <f>3.84/5</f>
        <v>0.76800000000000002</v>
      </c>
      <c r="AA68" s="71">
        <f>3.62/5</f>
        <v>0.72399999999999998</v>
      </c>
      <c r="AB68" s="71">
        <v>0</v>
      </c>
      <c r="AC68" s="71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9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>
        <f>3.61/5</f>
        <v>0.72199999999999998</v>
      </c>
      <c r="O69" s="71">
        <f>3.44/5</f>
        <v>0.68799999999999994</v>
      </c>
      <c r="P69" s="71">
        <f t="shared" si="21"/>
        <v>0.59166666666666667</v>
      </c>
      <c r="Q69" s="71"/>
      <c r="R69" s="71"/>
      <c r="S69" s="71"/>
      <c r="T69" s="71"/>
      <c r="U69" s="71"/>
      <c r="V69" s="71" t="s">
        <v>9</v>
      </c>
      <c r="W69" s="71" t="s">
        <v>9</v>
      </c>
      <c r="X69" s="71" t="s">
        <v>9</v>
      </c>
      <c r="Y69" s="71" t="s">
        <v>9</v>
      </c>
      <c r="Z69" s="71" t="s">
        <v>9</v>
      </c>
      <c r="AA69" s="71" t="s">
        <v>9</v>
      </c>
      <c r="AB69" s="71" t="s">
        <v>9</v>
      </c>
      <c r="AC69" s="71" t="s">
        <v>9</v>
      </c>
      <c r="AD69" s="35"/>
      <c r="AE69" s="35"/>
      <c r="AF69" s="11">
        <f t="shared" si="16"/>
        <v>8</v>
      </c>
      <c r="AG69" s="11">
        <f t="shared" si="17"/>
        <v>0</v>
      </c>
      <c r="AH69" s="11">
        <f t="shared" si="18"/>
        <v>3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>
        <f>2.27/3</f>
        <v>0.75666666666666671</v>
      </c>
      <c r="N70" s="71">
        <f>3.61/5</f>
        <v>0.72199999999999998</v>
      </c>
      <c r="O70" s="71">
        <f>3.44/5</f>
        <v>0.68799999999999994</v>
      </c>
      <c r="P70" s="71">
        <f t="shared" si="21"/>
        <v>0.59166666666666667</v>
      </c>
      <c r="Q70" s="71"/>
      <c r="R70" s="71"/>
      <c r="S70" s="71"/>
      <c r="T70" s="71">
        <f>3/4</f>
        <v>0.75</v>
      </c>
      <c r="U70" s="71">
        <f>2.47/4</f>
        <v>0.61750000000000005</v>
      </c>
      <c r="V70" s="71">
        <f>2.53/4</f>
        <v>0.63249999999999995</v>
      </c>
      <c r="W70" s="71">
        <f>3.44/5</f>
        <v>0.68799999999999994</v>
      </c>
      <c r="X70" s="71">
        <f t="shared" ref="X70:X71" si="22">3.25/5</f>
        <v>0.65</v>
      </c>
      <c r="Y70" s="71">
        <f t="shared" ref="Y70:Y71" si="23">4.13/5</f>
        <v>0.82599999999999996</v>
      </c>
      <c r="Z70" s="71">
        <f t="shared" ref="Z70:Z71" si="24">3.84/5</f>
        <v>0.76800000000000002</v>
      </c>
      <c r="AA70" s="71">
        <f t="shared" ref="AA70:AA71" si="25">3.62/5</f>
        <v>0.72399999999999998</v>
      </c>
      <c r="AB70" s="71">
        <v>0.8</v>
      </c>
      <c r="AC70" s="71">
        <f t="shared" ref="AC70:AC71" si="26">2.9/4</f>
        <v>0.72499999999999998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14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>
        <f>2.27/3</f>
        <v>0.75666666666666671</v>
      </c>
      <c r="N71" s="71">
        <f>3.61/5</f>
        <v>0.72199999999999998</v>
      </c>
      <c r="O71" s="71">
        <f>3.44/5</f>
        <v>0.68799999999999994</v>
      </c>
      <c r="P71" s="71">
        <f t="shared" si="21"/>
        <v>0.59166666666666667</v>
      </c>
      <c r="Q71" s="71"/>
      <c r="R71" s="71"/>
      <c r="S71" s="71"/>
      <c r="T71" s="71">
        <f>3/4</f>
        <v>0.75</v>
      </c>
      <c r="U71" s="71"/>
      <c r="V71" s="71" t="s">
        <v>9</v>
      </c>
      <c r="W71" s="71" t="s">
        <v>9</v>
      </c>
      <c r="X71" s="71">
        <f t="shared" si="22"/>
        <v>0.65</v>
      </c>
      <c r="Y71" s="71">
        <f t="shared" si="23"/>
        <v>0.82599999999999996</v>
      </c>
      <c r="Z71" s="71">
        <f t="shared" si="24"/>
        <v>0.76800000000000002</v>
      </c>
      <c r="AA71" s="71">
        <f t="shared" si="25"/>
        <v>0.72399999999999998</v>
      </c>
      <c r="AB71" s="71">
        <v>0.75</v>
      </c>
      <c r="AC71" s="71">
        <f t="shared" si="26"/>
        <v>0.72499999999999998</v>
      </c>
      <c r="AD71" s="35"/>
      <c r="AE71" s="35"/>
      <c r="AF71" s="11">
        <f t="shared" si="16"/>
        <v>2</v>
      </c>
      <c r="AG71" s="11">
        <f t="shared" si="17"/>
        <v>0</v>
      </c>
      <c r="AH71" s="11">
        <f t="shared" si="18"/>
        <v>11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/>
      <c r="J74" s="71"/>
      <c r="K74" s="71"/>
      <c r="L74" s="71"/>
      <c r="M74" s="71">
        <f>2.27/3</f>
        <v>0.75666666666666671</v>
      </c>
      <c r="N74" s="71">
        <f>3.61/5</f>
        <v>0.72199999999999998</v>
      </c>
      <c r="O74" s="71">
        <f>3.44/5</f>
        <v>0.68799999999999994</v>
      </c>
      <c r="P74" s="71">
        <f>3.55/6</f>
        <v>0.59166666666666667</v>
      </c>
      <c r="Q74" s="71"/>
      <c r="R74" s="71"/>
      <c r="S74" s="71"/>
      <c r="T74" s="71">
        <f>3/4</f>
        <v>0.75</v>
      </c>
      <c r="U74" s="71">
        <f>2.47/4</f>
        <v>0.61750000000000005</v>
      </c>
      <c r="V74" s="71">
        <f>2.53/4</f>
        <v>0.63249999999999995</v>
      </c>
      <c r="W74" s="71">
        <f>3.44/5</f>
        <v>0.68799999999999994</v>
      </c>
      <c r="X74" s="71">
        <v>0</v>
      </c>
      <c r="Y74" s="71">
        <f>4.13/5</f>
        <v>0.82599999999999996</v>
      </c>
      <c r="Z74" s="71">
        <f>3.84/5</f>
        <v>0.76800000000000002</v>
      </c>
      <c r="AA74" s="71">
        <f>3.62/5</f>
        <v>0.72399999999999998</v>
      </c>
      <c r="AB74" s="71">
        <v>0.75</v>
      </c>
      <c r="AC74" s="71">
        <f>2.9/4</f>
        <v>0.72499999999999998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14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7">SUM(F66:F74)</f>
        <v>0</v>
      </c>
      <c r="G75" s="19">
        <f t="shared" si="27"/>
        <v>0</v>
      </c>
      <c r="H75" s="19">
        <f t="shared" si="27"/>
        <v>0</v>
      </c>
      <c r="I75" s="19">
        <f t="shared" si="27"/>
        <v>0</v>
      </c>
      <c r="J75" s="19">
        <f t="shared" si="27"/>
        <v>0</v>
      </c>
      <c r="K75" s="19">
        <f t="shared" si="27"/>
        <v>0</v>
      </c>
      <c r="L75" s="19">
        <f>SUM(L66:L74)</f>
        <v>0</v>
      </c>
      <c r="M75" s="19">
        <f t="shared" si="27"/>
        <v>2.27</v>
      </c>
      <c r="N75" s="19">
        <f t="shared" si="27"/>
        <v>3.61</v>
      </c>
      <c r="O75" s="19">
        <f t="shared" si="27"/>
        <v>3.4399999999999995</v>
      </c>
      <c r="P75" s="19">
        <f t="shared" si="27"/>
        <v>3.5500000000000003</v>
      </c>
      <c r="Q75" s="19">
        <f t="shared" si="27"/>
        <v>0</v>
      </c>
      <c r="R75" s="19">
        <f t="shared" si="27"/>
        <v>0</v>
      </c>
      <c r="S75" s="19">
        <f t="shared" si="27"/>
        <v>0</v>
      </c>
      <c r="T75" s="19">
        <f t="shared" si="27"/>
        <v>3</v>
      </c>
      <c r="U75" s="19">
        <f t="shared" si="27"/>
        <v>2.4700000000000002</v>
      </c>
      <c r="V75" s="19">
        <f t="shared" si="27"/>
        <v>2.5299999999999998</v>
      </c>
      <c r="W75" s="19">
        <f t="shared" si="27"/>
        <v>3.4399999999999995</v>
      </c>
      <c r="X75" s="19">
        <f t="shared" si="27"/>
        <v>3.25</v>
      </c>
      <c r="Y75" s="19">
        <f t="shared" si="27"/>
        <v>4.13</v>
      </c>
      <c r="Z75" s="19">
        <f t="shared" si="27"/>
        <v>3.84</v>
      </c>
      <c r="AA75" s="19">
        <f t="shared" si="27"/>
        <v>3.62</v>
      </c>
      <c r="AB75" s="19">
        <f t="shared" si="27"/>
        <v>3.1</v>
      </c>
      <c r="AC75" s="19">
        <f t="shared" si="27"/>
        <v>2.9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17.399999999999995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</v>
      </c>
      <c r="N77" s="71">
        <v>0.68</v>
      </c>
      <c r="O77" s="71">
        <v>0.68</v>
      </c>
      <c r="P77" s="71">
        <v>0.7</v>
      </c>
      <c r="Q77" s="71">
        <v>0.69</v>
      </c>
      <c r="R77" s="71">
        <v>0.68</v>
      </c>
      <c r="S77" s="71">
        <v>0.69</v>
      </c>
      <c r="T77" s="71">
        <v>0.7</v>
      </c>
      <c r="U77" s="71">
        <v>0.66</v>
      </c>
      <c r="V77" s="71">
        <v>0.71</v>
      </c>
      <c r="W77" s="71">
        <v>0.72</v>
      </c>
      <c r="X77" s="71">
        <v>0.74</v>
      </c>
      <c r="Y77" s="71">
        <v>0.78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17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0.78</v>
      </c>
      <c r="G78" s="71">
        <v>0.77</v>
      </c>
      <c r="H78" s="71">
        <v>0.76</v>
      </c>
      <c r="I78" s="71">
        <v>0.7</v>
      </c>
      <c r="J78" s="380">
        <v>0.68</v>
      </c>
      <c r="K78" s="71">
        <v>0.68</v>
      </c>
      <c r="L78" s="71">
        <v>0.68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>
        <v>0.87</v>
      </c>
      <c r="AA78" s="71">
        <v>0.83</v>
      </c>
      <c r="AB78" s="71">
        <v>0.77</v>
      </c>
      <c r="AC78" s="71">
        <v>0.75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8">SUM(F77:F78)</f>
        <v>0.78</v>
      </c>
      <c r="G79" s="19">
        <f>SUM(G77:G78)</f>
        <v>0.77</v>
      </c>
      <c r="H79" s="19">
        <f>SUM(H77:H78)</f>
        <v>0.76</v>
      </c>
      <c r="I79" s="19">
        <f>SUM(I77:I78)</f>
        <v>0.7</v>
      </c>
      <c r="J79" s="19">
        <f t="shared" ref="J79:AC79" si="29">SUM(J77:J78)</f>
        <v>0.68</v>
      </c>
      <c r="K79" s="19">
        <f t="shared" si="29"/>
        <v>0.68</v>
      </c>
      <c r="L79" s="19">
        <f>SUM(L77:L78)</f>
        <v>0.68</v>
      </c>
      <c r="M79" s="19">
        <f t="shared" si="29"/>
        <v>0.7</v>
      </c>
      <c r="N79" s="19">
        <f t="shared" si="29"/>
        <v>0.68</v>
      </c>
      <c r="O79" s="19">
        <f>SUM(O77:O78)</f>
        <v>0.68</v>
      </c>
      <c r="P79" s="19">
        <f t="shared" si="29"/>
        <v>0.7</v>
      </c>
      <c r="Q79" s="19">
        <f t="shared" si="29"/>
        <v>0.69</v>
      </c>
      <c r="R79" s="19">
        <f t="shared" si="29"/>
        <v>0.68</v>
      </c>
      <c r="S79" s="19">
        <f t="shared" si="29"/>
        <v>0.69</v>
      </c>
      <c r="T79" s="19">
        <f t="shared" si="29"/>
        <v>0.7</v>
      </c>
      <c r="U79" s="19">
        <f t="shared" si="29"/>
        <v>0.66</v>
      </c>
      <c r="V79" s="19">
        <f t="shared" si="29"/>
        <v>0.71</v>
      </c>
      <c r="W79" s="19">
        <f t="shared" si="29"/>
        <v>0.72</v>
      </c>
      <c r="X79" s="19">
        <f t="shared" si="29"/>
        <v>0.74</v>
      </c>
      <c r="Y79" s="19">
        <f t="shared" si="29"/>
        <v>0.78</v>
      </c>
      <c r="Z79" s="19">
        <f t="shared" si="29"/>
        <v>0.87</v>
      </c>
      <c r="AA79" s="19">
        <f t="shared" si="29"/>
        <v>0.83</v>
      </c>
      <c r="AB79" s="19">
        <f t="shared" si="29"/>
        <v>0.77</v>
      </c>
      <c r="AC79" s="19">
        <f t="shared" si="29"/>
        <v>0.75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30">SUM(F17,F22,F25,F30,F33,F59,F64,F75,F79,F81)</f>
        <v>29.56</v>
      </c>
      <c r="G82" s="28">
        <f t="shared" si="30"/>
        <v>28.41</v>
      </c>
      <c r="H82" s="28">
        <f t="shared" si="30"/>
        <v>27.39</v>
      </c>
      <c r="I82" s="28">
        <f t="shared" si="30"/>
        <v>26.929999999999996</v>
      </c>
      <c r="J82" s="28">
        <f t="shared" si="30"/>
        <v>26.31</v>
      </c>
      <c r="K82" s="28">
        <f t="shared" si="30"/>
        <v>19.579999999999998</v>
      </c>
      <c r="L82" s="28">
        <f t="shared" si="30"/>
        <v>23.54</v>
      </c>
      <c r="M82" s="28">
        <f t="shared" si="30"/>
        <v>27.7</v>
      </c>
      <c r="N82" s="28">
        <f t="shared" si="30"/>
        <v>34.500000000000007</v>
      </c>
      <c r="O82" s="28">
        <f t="shared" si="30"/>
        <v>36.89</v>
      </c>
      <c r="P82" s="28">
        <f t="shared" si="30"/>
        <v>41.230000000000004</v>
      </c>
      <c r="Q82" s="28">
        <f t="shared" si="30"/>
        <v>29.39</v>
      </c>
      <c r="R82" s="28">
        <f t="shared" si="30"/>
        <v>30.15</v>
      </c>
      <c r="S82" s="28">
        <f t="shared" si="30"/>
        <v>35.56</v>
      </c>
      <c r="T82" s="28">
        <f t="shared" si="30"/>
        <v>43.45</v>
      </c>
      <c r="U82" s="28">
        <f t="shared" si="30"/>
        <v>42.789999999999992</v>
      </c>
      <c r="V82" s="28">
        <f t="shared" si="30"/>
        <v>40.049999999999997</v>
      </c>
      <c r="W82" s="28">
        <f t="shared" si="30"/>
        <v>39.31</v>
      </c>
      <c r="X82" s="28">
        <f t="shared" si="30"/>
        <v>42.930000000000007</v>
      </c>
      <c r="Y82" s="28">
        <f t="shared" si="30"/>
        <v>45.220000000000006</v>
      </c>
      <c r="Z82" s="28">
        <f t="shared" si="30"/>
        <v>42.410000000000004</v>
      </c>
      <c r="AA82" s="28">
        <f t="shared" si="30"/>
        <v>39.769999999999996</v>
      </c>
      <c r="AB82" s="28">
        <f t="shared" si="30"/>
        <v>35.06</v>
      </c>
      <c r="AC82" s="28">
        <f t="shared" si="30"/>
        <v>30.71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1">SUM(F22,F25)</f>
        <v>3.2</v>
      </c>
      <c r="G88" s="64">
        <f t="shared" si="31"/>
        <v>3</v>
      </c>
      <c r="H88" s="64">
        <f t="shared" si="31"/>
        <v>3.3</v>
      </c>
      <c r="I88" s="64">
        <f t="shared" si="31"/>
        <v>3.3</v>
      </c>
      <c r="J88" s="64">
        <f t="shared" si="31"/>
        <v>3.3</v>
      </c>
      <c r="K88" s="64">
        <f t="shared" si="31"/>
        <v>3.3</v>
      </c>
      <c r="L88" s="64">
        <f t="shared" si="31"/>
        <v>3.3</v>
      </c>
      <c r="M88" s="64">
        <f t="shared" si="31"/>
        <v>3.3</v>
      </c>
      <c r="N88" s="64">
        <f t="shared" si="31"/>
        <v>5.1999999999999993</v>
      </c>
      <c r="O88" s="64">
        <f t="shared" si="31"/>
        <v>6</v>
      </c>
      <c r="P88" s="64">
        <f t="shared" si="31"/>
        <v>5.4</v>
      </c>
      <c r="Q88" s="64">
        <f t="shared" si="31"/>
        <v>2.8</v>
      </c>
      <c r="R88" s="64">
        <f t="shared" si="31"/>
        <v>3</v>
      </c>
      <c r="S88" s="64">
        <f t="shared" si="31"/>
        <v>2.8</v>
      </c>
      <c r="T88" s="64">
        <f t="shared" si="31"/>
        <v>3.3</v>
      </c>
      <c r="U88" s="64">
        <f t="shared" si="31"/>
        <v>3.3</v>
      </c>
      <c r="V88" s="64">
        <f t="shared" si="31"/>
        <v>3.3</v>
      </c>
      <c r="W88" s="64">
        <f t="shared" si="31"/>
        <v>3</v>
      </c>
      <c r="X88" s="64">
        <f t="shared" si="31"/>
        <v>3.3</v>
      </c>
      <c r="Y88" s="64">
        <f t="shared" si="31"/>
        <v>3.3</v>
      </c>
      <c r="Z88" s="64">
        <f t="shared" si="31"/>
        <v>3.3</v>
      </c>
      <c r="AA88" s="64">
        <f t="shared" si="31"/>
        <v>3.3</v>
      </c>
      <c r="AB88" s="64">
        <f t="shared" si="31"/>
        <v>3.8</v>
      </c>
      <c r="AC88" s="64">
        <f t="shared" si="31"/>
        <v>4.5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</v>
      </c>
      <c r="G89" s="68">
        <v>0</v>
      </c>
      <c r="H89" s="68">
        <v>0</v>
      </c>
      <c r="I89" s="68">
        <v>0</v>
      </c>
      <c r="J89" s="68">
        <v>0</v>
      </c>
      <c r="K89" s="68"/>
      <c r="L89" s="68"/>
      <c r="M89" s="68"/>
      <c r="N89" s="68">
        <v>0.17899999999999999</v>
      </c>
      <c r="O89" s="68">
        <v>0.22700000000000001</v>
      </c>
      <c r="P89" s="68">
        <v>0.23200000000000001</v>
      </c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>
        <v>0.23200000000000001</v>
      </c>
      <c r="AC89" s="68">
        <v>0.22800000000000001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2">F17</f>
        <v>18.899999999999999</v>
      </c>
      <c r="G90" s="64">
        <f t="shared" si="32"/>
        <v>18</v>
      </c>
      <c r="H90" s="64">
        <f t="shared" si="32"/>
        <v>13.2</v>
      </c>
      <c r="I90" s="64">
        <f t="shared" si="32"/>
        <v>13.6</v>
      </c>
      <c r="J90" s="64">
        <f t="shared" si="32"/>
        <v>13.2</v>
      </c>
      <c r="K90" s="64">
        <f t="shared" si="32"/>
        <v>13</v>
      </c>
      <c r="L90" s="64">
        <f t="shared" si="32"/>
        <v>14.3</v>
      </c>
      <c r="M90" s="64">
        <f t="shared" si="32"/>
        <v>19.5</v>
      </c>
      <c r="N90" s="64">
        <f t="shared" si="32"/>
        <v>20.100000000000001</v>
      </c>
      <c r="O90" s="64">
        <f t="shared" si="32"/>
        <v>23.2</v>
      </c>
      <c r="P90" s="64">
        <f t="shared" si="32"/>
        <v>26</v>
      </c>
      <c r="Q90" s="64">
        <f t="shared" si="32"/>
        <v>18.899999999999999</v>
      </c>
      <c r="R90" s="64">
        <f t="shared" si="32"/>
        <v>18.600000000000001</v>
      </c>
      <c r="S90" s="64">
        <f t="shared" si="32"/>
        <v>18</v>
      </c>
      <c r="T90" s="64">
        <f t="shared" si="32"/>
        <v>20</v>
      </c>
      <c r="U90" s="64">
        <f t="shared" si="32"/>
        <v>23.2</v>
      </c>
      <c r="V90" s="64">
        <f t="shared" si="32"/>
        <v>25.6</v>
      </c>
      <c r="W90" s="64">
        <f t="shared" si="32"/>
        <v>24.8</v>
      </c>
      <c r="X90" s="64">
        <f t="shared" si="32"/>
        <v>26.8</v>
      </c>
      <c r="Y90" s="64">
        <f t="shared" si="32"/>
        <v>26</v>
      </c>
      <c r="Z90" s="64">
        <f t="shared" si="32"/>
        <v>25.6</v>
      </c>
      <c r="AA90" s="64">
        <f t="shared" si="32"/>
        <v>22.7</v>
      </c>
      <c r="AB90" s="64">
        <f t="shared" si="32"/>
        <v>19.600000000000001</v>
      </c>
      <c r="AC90" s="64">
        <f t="shared" si="32"/>
        <v>13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0.62</v>
      </c>
      <c r="G91" s="68">
        <v>0.61899999999999999</v>
      </c>
      <c r="H91" s="68">
        <v>0.54300000000000004</v>
      </c>
      <c r="I91" s="68">
        <v>0.56799999999999995</v>
      </c>
      <c r="J91" s="68">
        <v>0.55100000000000005</v>
      </c>
      <c r="K91" s="68">
        <v>0.65800000000000003</v>
      </c>
      <c r="L91" s="68">
        <v>0.746</v>
      </c>
      <c r="M91" s="68">
        <v>0.78800000000000003</v>
      </c>
      <c r="N91" s="68">
        <v>0.88800000000000001</v>
      </c>
      <c r="O91" s="68">
        <v>0.93400000000000005</v>
      </c>
      <c r="P91" s="68">
        <v>0.90300000000000002</v>
      </c>
      <c r="Q91" s="68">
        <v>0.85599999999999998</v>
      </c>
      <c r="R91" s="68">
        <v>0.84</v>
      </c>
      <c r="S91" s="68">
        <v>0.85799999999999998</v>
      </c>
      <c r="T91" s="68">
        <v>0.89200000000000002</v>
      </c>
      <c r="U91" s="68">
        <v>0.89800000000000002</v>
      </c>
      <c r="V91" s="68">
        <v>0.70699999999999996</v>
      </c>
      <c r="W91" s="68">
        <v>0.93700000000000006</v>
      </c>
      <c r="X91" s="68">
        <v>0.82499999999999996</v>
      </c>
      <c r="Y91" s="68">
        <v>0.877</v>
      </c>
      <c r="Z91" s="68">
        <v>0.93700000000000006</v>
      </c>
      <c r="AA91" s="68">
        <v>0.88700000000000001</v>
      </c>
      <c r="AB91" s="68">
        <v>0.93600000000000005</v>
      </c>
      <c r="AC91" s="68">
        <v>0.80800000000000005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33">F30</f>
        <v>6</v>
      </c>
      <c r="G92" s="65">
        <f t="shared" si="33"/>
        <v>6</v>
      </c>
      <c r="H92" s="65">
        <f t="shared" si="33"/>
        <v>5.8</v>
      </c>
      <c r="I92" s="65">
        <f t="shared" si="33"/>
        <v>5.8</v>
      </c>
      <c r="J92" s="65">
        <f t="shared" si="33"/>
        <v>5.6</v>
      </c>
      <c r="K92" s="65">
        <f t="shared" si="33"/>
        <v>0</v>
      </c>
      <c r="L92" s="65">
        <f t="shared" si="33"/>
        <v>0</v>
      </c>
      <c r="M92" s="65">
        <f t="shared" si="33"/>
        <v>0.2</v>
      </c>
      <c r="N92" s="65">
        <f t="shared" si="33"/>
        <v>1.6</v>
      </c>
      <c r="O92" s="65">
        <f t="shared" si="33"/>
        <v>1.8</v>
      </c>
      <c r="P92" s="65">
        <f t="shared" si="33"/>
        <v>2.2000000000000002</v>
      </c>
      <c r="Q92" s="65">
        <f t="shared" si="33"/>
        <v>3.3</v>
      </c>
      <c r="R92" s="65">
        <f t="shared" si="33"/>
        <v>1</v>
      </c>
      <c r="S92" s="65">
        <f t="shared" si="33"/>
        <v>3.3</v>
      </c>
      <c r="T92" s="65">
        <f t="shared" si="33"/>
        <v>3.7</v>
      </c>
      <c r="U92" s="65">
        <f t="shared" si="33"/>
        <v>3.7</v>
      </c>
      <c r="V92" s="65">
        <f t="shared" si="33"/>
        <v>3.7</v>
      </c>
      <c r="W92" s="65">
        <f t="shared" si="33"/>
        <v>3.7</v>
      </c>
      <c r="X92" s="65">
        <f t="shared" si="33"/>
        <v>7</v>
      </c>
      <c r="Y92" s="65">
        <f t="shared" si="33"/>
        <v>8</v>
      </c>
      <c r="Z92" s="65">
        <f t="shared" si="33"/>
        <v>7.8</v>
      </c>
      <c r="AA92" s="65">
        <f t="shared" si="33"/>
        <v>8.4</v>
      </c>
      <c r="AB92" s="65">
        <f t="shared" si="33"/>
        <v>7</v>
      </c>
      <c r="AC92" s="65">
        <f t="shared" si="33"/>
        <v>8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0.26300000000000001</v>
      </c>
      <c r="G93" s="68">
        <v>0.27200000000000002</v>
      </c>
      <c r="H93" s="68">
        <v>0.27</v>
      </c>
      <c r="I93" s="68">
        <v>0.26900000000000002</v>
      </c>
      <c r="J93" s="68">
        <v>0.25900000000000001</v>
      </c>
      <c r="K93" s="68"/>
      <c r="L93" s="68"/>
      <c r="M93" s="68">
        <v>0.25900000000000001</v>
      </c>
      <c r="N93" s="68">
        <v>0.29799999999999999</v>
      </c>
      <c r="O93" s="68">
        <v>0.22900000000000001</v>
      </c>
      <c r="P93" s="68">
        <v>0.23200000000000001</v>
      </c>
      <c r="Q93" s="68">
        <v>0.252</v>
      </c>
      <c r="R93" s="68">
        <v>0.215</v>
      </c>
      <c r="S93" s="68">
        <v>0.23100000000000001</v>
      </c>
      <c r="T93" s="68">
        <v>0.245</v>
      </c>
      <c r="U93" s="68">
        <v>0.27200000000000002</v>
      </c>
      <c r="V93" s="68">
        <v>0.22900000000000001</v>
      </c>
      <c r="W93" s="68">
        <v>0.22600000000000001</v>
      </c>
      <c r="X93" s="68">
        <v>0.24299999999999999</v>
      </c>
      <c r="Y93" s="68">
        <v>0.26300000000000001</v>
      </c>
      <c r="Z93" s="68">
        <v>0.27100000000000002</v>
      </c>
      <c r="AA93" s="68">
        <v>0.28399999999999997</v>
      </c>
      <c r="AB93" s="68">
        <v>0.28699999999999998</v>
      </c>
      <c r="AC93" s="68">
        <v>0.28399999999999997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34">F33</f>
        <v>0</v>
      </c>
      <c r="G94" s="65">
        <f t="shared" si="34"/>
        <v>0</v>
      </c>
      <c r="H94" s="65">
        <f t="shared" si="34"/>
        <v>0</v>
      </c>
      <c r="I94" s="65">
        <f t="shared" si="34"/>
        <v>0</v>
      </c>
      <c r="J94" s="65">
        <f t="shared" si="34"/>
        <v>0</v>
      </c>
      <c r="K94" s="65">
        <f t="shared" si="34"/>
        <v>0</v>
      </c>
      <c r="L94" s="65">
        <f t="shared" si="34"/>
        <v>0</v>
      </c>
      <c r="M94" s="65">
        <f t="shared" si="34"/>
        <v>0</v>
      </c>
      <c r="N94" s="65">
        <f t="shared" si="34"/>
        <v>0</v>
      </c>
      <c r="O94" s="65">
        <f t="shared" si="34"/>
        <v>0</v>
      </c>
      <c r="P94" s="65">
        <f t="shared" si="34"/>
        <v>0</v>
      </c>
      <c r="Q94" s="65">
        <f t="shared" si="34"/>
        <v>0</v>
      </c>
      <c r="R94" s="65">
        <f t="shared" si="34"/>
        <v>0</v>
      </c>
      <c r="S94" s="65">
        <f t="shared" si="34"/>
        <v>0</v>
      </c>
      <c r="T94" s="65">
        <f t="shared" si="34"/>
        <v>0</v>
      </c>
      <c r="U94" s="65">
        <f t="shared" si="34"/>
        <v>0</v>
      </c>
      <c r="V94" s="65">
        <f t="shared" si="34"/>
        <v>0</v>
      </c>
      <c r="W94" s="65">
        <f t="shared" si="34"/>
        <v>0</v>
      </c>
      <c r="X94" s="65">
        <f t="shared" si="34"/>
        <v>0</v>
      </c>
      <c r="Y94" s="65">
        <f t="shared" si="34"/>
        <v>0</v>
      </c>
      <c r="Z94" s="65">
        <f t="shared" si="34"/>
        <v>0</v>
      </c>
      <c r="AA94" s="65">
        <f t="shared" si="34"/>
        <v>0</v>
      </c>
      <c r="AB94" s="65">
        <f t="shared" si="34"/>
        <v>0</v>
      </c>
      <c r="AC94" s="65">
        <f t="shared" si="34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0.6</v>
      </c>
      <c r="AB95" s="68">
        <v>0.3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35">F59</f>
        <v>0</v>
      </c>
      <c r="G96" s="64">
        <f t="shared" si="35"/>
        <v>0</v>
      </c>
      <c r="H96" s="64">
        <f t="shared" si="35"/>
        <v>3.7</v>
      </c>
      <c r="I96" s="64">
        <f t="shared" si="35"/>
        <v>2.9</v>
      </c>
      <c r="J96" s="64">
        <f t="shared" si="35"/>
        <v>2.9</v>
      </c>
      <c r="K96" s="64">
        <f t="shared" si="35"/>
        <v>1.9</v>
      </c>
      <c r="L96" s="64">
        <f t="shared" si="35"/>
        <v>4.3999999999999995</v>
      </c>
      <c r="M96" s="64">
        <f t="shared" si="35"/>
        <v>0.8</v>
      </c>
      <c r="N96" s="64">
        <f t="shared" si="35"/>
        <v>2.4000000000000004</v>
      </c>
      <c r="O96" s="64">
        <f t="shared" si="35"/>
        <v>0.8</v>
      </c>
      <c r="P96" s="64">
        <f t="shared" si="35"/>
        <v>2.39</v>
      </c>
      <c r="Q96" s="64">
        <f t="shared" si="35"/>
        <v>2.7</v>
      </c>
      <c r="R96" s="64">
        <f t="shared" si="35"/>
        <v>6.0999999999999988</v>
      </c>
      <c r="S96" s="64">
        <f t="shared" si="35"/>
        <v>10.100000000000001</v>
      </c>
      <c r="T96" s="64">
        <f t="shared" si="35"/>
        <v>12.000000000000002</v>
      </c>
      <c r="U96" s="64">
        <f t="shared" si="35"/>
        <v>8.6</v>
      </c>
      <c r="V96" s="64">
        <f t="shared" si="35"/>
        <v>3.3</v>
      </c>
      <c r="W96" s="64">
        <f t="shared" si="35"/>
        <v>2.7</v>
      </c>
      <c r="X96" s="64">
        <f t="shared" si="35"/>
        <v>0.84</v>
      </c>
      <c r="Y96" s="64">
        <f t="shared" si="35"/>
        <v>1.88</v>
      </c>
      <c r="Z96" s="64">
        <f t="shared" si="35"/>
        <v>0</v>
      </c>
      <c r="AA96" s="64">
        <f t="shared" si="35"/>
        <v>0</v>
      </c>
      <c r="AB96" s="64">
        <f t="shared" si="35"/>
        <v>0</v>
      </c>
      <c r="AC96" s="64">
        <f t="shared" si="35"/>
        <v>0.8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36">F64</f>
        <v>0.68</v>
      </c>
      <c r="G97" s="64">
        <f t="shared" si="36"/>
        <v>0.64</v>
      </c>
      <c r="H97" s="64">
        <f t="shared" si="36"/>
        <v>0.63</v>
      </c>
      <c r="I97" s="64">
        <f t="shared" si="36"/>
        <v>0.63</v>
      </c>
      <c r="J97" s="64">
        <f t="shared" si="36"/>
        <v>0.63</v>
      </c>
      <c r="K97" s="64">
        <f t="shared" si="36"/>
        <v>0.7</v>
      </c>
      <c r="L97" s="64">
        <f t="shared" si="36"/>
        <v>0.86</v>
      </c>
      <c r="M97" s="64">
        <f t="shared" si="36"/>
        <v>0.93</v>
      </c>
      <c r="N97" s="64">
        <f t="shared" si="36"/>
        <v>0.91</v>
      </c>
      <c r="O97" s="64">
        <f t="shared" si="36"/>
        <v>0.97</v>
      </c>
      <c r="P97" s="64">
        <f t="shared" si="36"/>
        <v>0.99</v>
      </c>
      <c r="Q97" s="64">
        <f t="shared" si="36"/>
        <v>1</v>
      </c>
      <c r="R97" s="64">
        <f t="shared" si="36"/>
        <v>0.77</v>
      </c>
      <c r="S97" s="64">
        <f t="shared" si="36"/>
        <v>0.67</v>
      </c>
      <c r="T97" s="64">
        <f t="shared" si="36"/>
        <v>0.75</v>
      </c>
      <c r="U97" s="64">
        <f t="shared" si="36"/>
        <v>0.86</v>
      </c>
      <c r="V97" s="64">
        <f t="shared" si="36"/>
        <v>0.91</v>
      </c>
      <c r="W97" s="64">
        <f t="shared" si="36"/>
        <v>0.95</v>
      </c>
      <c r="X97" s="64">
        <f t="shared" si="36"/>
        <v>1</v>
      </c>
      <c r="Y97" s="64">
        <f t="shared" si="36"/>
        <v>1.1299999999999999</v>
      </c>
      <c r="Z97" s="64">
        <f t="shared" si="36"/>
        <v>1</v>
      </c>
      <c r="AA97" s="64">
        <f t="shared" si="36"/>
        <v>0.92</v>
      </c>
      <c r="AB97" s="64">
        <f t="shared" si="36"/>
        <v>0.79</v>
      </c>
      <c r="AC97" s="64">
        <f t="shared" si="36"/>
        <v>0.76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37">F75</f>
        <v>0</v>
      </c>
      <c r="G98" s="64">
        <f t="shared" si="37"/>
        <v>0</v>
      </c>
      <c r="H98" s="64">
        <f t="shared" si="37"/>
        <v>0</v>
      </c>
      <c r="I98" s="64">
        <f t="shared" si="37"/>
        <v>0</v>
      </c>
      <c r="J98" s="64">
        <f t="shared" si="37"/>
        <v>0</v>
      </c>
      <c r="K98" s="64">
        <f t="shared" si="37"/>
        <v>0</v>
      </c>
      <c r="L98" s="64">
        <f t="shared" si="37"/>
        <v>0</v>
      </c>
      <c r="M98" s="64">
        <f t="shared" si="37"/>
        <v>2.27</v>
      </c>
      <c r="N98" s="64">
        <f t="shared" si="37"/>
        <v>3.61</v>
      </c>
      <c r="O98" s="64">
        <f t="shared" si="37"/>
        <v>3.4399999999999995</v>
      </c>
      <c r="P98" s="64">
        <f t="shared" si="37"/>
        <v>3.5500000000000003</v>
      </c>
      <c r="Q98" s="64">
        <f t="shared" si="37"/>
        <v>0</v>
      </c>
      <c r="R98" s="64">
        <f t="shared" si="37"/>
        <v>0</v>
      </c>
      <c r="S98" s="64">
        <f t="shared" si="37"/>
        <v>0</v>
      </c>
      <c r="T98" s="64">
        <f t="shared" si="37"/>
        <v>3</v>
      </c>
      <c r="U98" s="64">
        <f t="shared" si="37"/>
        <v>2.4700000000000002</v>
      </c>
      <c r="V98" s="64">
        <f t="shared" si="37"/>
        <v>2.5299999999999998</v>
      </c>
      <c r="W98" s="64">
        <f t="shared" si="37"/>
        <v>3.4399999999999995</v>
      </c>
      <c r="X98" s="64">
        <f t="shared" si="37"/>
        <v>3.25</v>
      </c>
      <c r="Y98" s="64">
        <f t="shared" si="37"/>
        <v>4.13</v>
      </c>
      <c r="Z98" s="64">
        <f t="shared" si="37"/>
        <v>3.84</v>
      </c>
      <c r="AA98" s="64">
        <f t="shared" si="37"/>
        <v>3.62</v>
      </c>
      <c r="AB98" s="64">
        <f t="shared" si="37"/>
        <v>3.1</v>
      </c>
      <c r="AC98" s="64">
        <f t="shared" si="37"/>
        <v>2.9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38">F79</f>
        <v>0.78</v>
      </c>
      <c r="G99" s="64">
        <f t="shared" si="38"/>
        <v>0.77</v>
      </c>
      <c r="H99" s="64">
        <f t="shared" si="38"/>
        <v>0.76</v>
      </c>
      <c r="I99" s="64">
        <f t="shared" si="38"/>
        <v>0.7</v>
      </c>
      <c r="J99" s="64">
        <f t="shared" si="38"/>
        <v>0.68</v>
      </c>
      <c r="K99" s="64">
        <f t="shared" si="38"/>
        <v>0.68</v>
      </c>
      <c r="L99" s="64">
        <f t="shared" si="38"/>
        <v>0.68</v>
      </c>
      <c r="M99" s="64">
        <f t="shared" si="38"/>
        <v>0.7</v>
      </c>
      <c r="N99" s="64">
        <f t="shared" si="38"/>
        <v>0.68</v>
      </c>
      <c r="O99" s="64">
        <f t="shared" si="38"/>
        <v>0.68</v>
      </c>
      <c r="P99" s="64">
        <f t="shared" si="38"/>
        <v>0.7</v>
      </c>
      <c r="Q99" s="64">
        <f t="shared" si="38"/>
        <v>0.69</v>
      </c>
      <c r="R99" s="64">
        <f t="shared" si="38"/>
        <v>0.68</v>
      </c>
      <c r="S99" s="64">
        <f t="shared" si="38"/>
        <v>0.69</v>
      </c>
      <c r="T99" s="64">
        <f t="shared" si="38"/>
        <v>0.7</v>
      </c>
      <c r="U99" s="64">
        <f t="shared" si="38"/>
        <v>0.66</v>
      </c>
      <c r="V99" s="64">
        <f t="shared" si="38"/>
        <v>0.71</v>
      </c>
      <c r="W99" s="64">
        <f t="shared" si="38"/>
        <v>0.72</v>
      </c>
      <c r="X99" s="64">
        <f t="shared" si="38"/>
        <v>0.74</v>
      </c>
      <c r="Y99" s="64">
        <f t="shared" si="38"/>
        <v>0.78</v>
      </c>
      <c r="Z99" s="64">
        <f t="shared" si="38"/>
        <v>0.87</v>
      </c>
      <c r="AA99" s="64">
        <f t="shared" si="38"/>
        <v>0.83</v>
      </c>
      <c r="AB99" s="64">
        <f t="shared" si="38"/>
        <v>0.77</v>
      </c>
      <c r="AC99" s="64">
        <f t="shared" si="38"/>
        <v>0.75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39">F81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40">SUM(F88,F90,F92,F94,F96:F100,F80)</f>
        <v>29.56</v>
      </c>
      <c r="G101" s="61">
        <f t="shared" si="40"/>
        <v>28.41</v>
      </c>
      <c r="H101" s="61">
        <f t="shared" si="40"/>
        <v>27.39</v>
      </c>
      <c r="I101" s="61">
        <f t="shared" si="40"/>
        <v>26.929999999999996</v>
      </c>
      <c r="J101" s="61">
        <f t="shared" si="40"/>
        <v>26.31</v>
      </c>
      <c r="K101" s="61">
        <f t="shared" si="40"/>
        <v>19.579999999999998</v>
      </c>
      <c r="L101" s="61">
        <f t="shared" si="40"/>
        <v>23.54</v>
      </c>
      <c r="M101" s="61">
        <f t="shared" si="40"/>
        <v>27.7</v>
      </c>
      <c r="N101" s="61">
        <f t="shared" si="40"/>
        <v>34.500000000000007</v>
      </c>
      <c r="O101" s="61">
        <f t="shared" si="40"/>
        <v>36.89</v>
      </c>
      <c r="P101" s="61">
        <f t="shared" si="40"/>
        <v>41.230000000000004</v>
      </c>
      <c r="Q101" s="61">
        <f t="shared" si="40"/>
        <v>29.39</v>
      </c>
      <c r="R101" s="61">
        <f t="shared" si="40"/>
        <v>30.15</v>
      </c>
      <c r="S101" s="61">
        <f t="shared" si="40"/>
        <v>35.56</v>
      </c>
      <c r="T101" s="61">
        <f t="shared" si="40"/>
        <v>43.45</v>
      </c>
      <c r="U101" s="61">
        <f t="shared" si="40"/>
        <v>42.789999999999992</v>
      </c>
      <c r="V101" s="61">
        <f t="shared" si="40"/>
        <v>40.049999999999997</v>
      </c>
      <c r="W101" s="61">
        <f t="shared" si="40"/>
        <v>39.31</v>
      </c>
      <c r="X101" s="61">
        <f t="shared" si="40"/>
        <v>42.930000000000007</v>
      </c>
      <c r="Y101" s="61">
        <f t="shared" si="40"/>
        <v>45.220000000000006</v>
      </c>
      <c r="Z101" s="61">
        <f t="shared" si="40"/>
        <v>42.410000000000004</v>
      </c>
      <c r="AA101" s="61">
        <f t="shared" si="40"/>
        <v>39.769999999999996</v>
      </c>
      <c r="AB101" s="61">
        <f t="shared" si="40"/>
        <v>35.06</v>
      </c>
      <c r="AC101" s="61">
        <f t="shared" si="40"/>
        <v>30.71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>
        <f>0.86+0.69+1.18+2.5</f>
        <v>5.2299999999999995</v>
      </c>
      <c r="G104" s="77">
        <f t="shared" ref="G104:I104" si="41">0.86+0.69+1.18+2.5</f>
        <v>5.2299999999999995</v>
      </c>
      <c r="H104" s="77">
        <f t="shared" si="41"/>
        <v>5.2299999999999995</v>
      </c>
      <c r="I104" s="77">
        <f t="shared" si="41"/>
        <v>5.2299999999999995</v>
      </c>
      <c r="J104" s="77">
        <f>5.3</f>
        <v>5.3</v>
      </c>
      <c r="K104" s="77">
        <f>1.18+2.5+1+1+0.6+1.86+1.97+0.51</f>
        <v>10.62</v>
      </c>
      <c r="L104" s="77">
        <f>1.18+2.5+0.6+1.86+1.97+0.51</f>
        <v>8.6199999999999992</v>
      </c>
      <c r="M104" s="77">
        <f>0.86+0.69+1.18+2.5+2.5</f>
        <v>7.7299999999999995</v>
      </c>
      <c r="N104" s="77">
        <f>0.86+1.18+2</f>
        <v>4.04</v>
      </c>
      <c r="O104" s="77">
        <v>1</v>
      </c>
      <c r="P104" s="77">
        <v>1</v>
      </c>
      <c r="Q104" s="77">
        <f>1+0.7+0.9+1.5+3+2+2.5+2</f>
        <v>13.6</v>
      </c>
      <c r="R104" s="77">
        <f>1+0.7+0.9+1.5+3+2+2.5+2</f>
        <v>13.6</v>
      </c>
      <c r="S104" s="77">
        <f>1+0.7+0.9+1.5+3+2.5</f>
        <v>9.6</v>
      </c>
      <c r="T104" s="77">
        <f>1+0.7+0.4</f>
        <v>2.1</v>
      </c>
      <c r="U104" s="382">
        <f>2+0.7+0.4</f>
        <v>3.1</v>
      </c>
      <c r="V104" s="77">
        <f>1+0.4</f>
        <v>1.4</v>
      </c>
      <c r="W104" s="77">
        <f>1+0.4+1.25+0.5</f>
        <v>3.15</v>
      </c>
      <c r="X104" s="77">
        <f>0.4</f>
        <v>0.4</v>
      </c>
      <c r="Y104" s="77">
        <f>0.4</f>
        <v>0.4</v>
      </c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42">SUM(F102:F104)</f>
        <v>5.2299999999999995</v>
      </c>
      <c r="G105" s="61">
        <f t="shared" si="42"/>
        <v>5.2299999999999995</v>
      </c>
      <c r="H105" s="61">
        <f t="shared" si="42"/>
        <v>5.2299999999999995</v>
      </c>
      <c r="I105" s="61">
        <f t="shared" si="42"/>
        <v>5.2299999999999995</v>
      </c>
      <c r="J105" s="61">
        <f t="shared" si="42"/>
        <v>5.3</v>
      </c>
      <c r="K105" s="61">
        <f t="shared" si="42"/>
        <v>10.62</v>
      </c>
      <c r="L105" s="61">
        <f t="shared" si="42"/>
        <v>8.6199999999999992</v>
      </c>
      <c r="M105" s="61">
        <f t="shared" si="42"/>
        <v>7.7299999999999995</v>
      </c>
      <c r="N105" s="61">
        <f t="shared" si="42"/>
        <v>4.04</v>
      </c>
      <c r="O105" s="61">
        <f t="shared" si="42"/>
        <v>1</v>
      </c>
      <c r="P105" s="61">
        <f t="shared" si="42"/>
        <v>1</v>
      </c>
      <c r="Q105" s="61">
        <f t="shared" si="42"/>
        <v>13.6</v>
      </c>
      <c r="R105" s="61">
        <f t="shared" si="42"/>
        <v>13.6</v>
      </c>
      <c r="S105" s="61">
        <f t="shared" si="42"/>
        <v>9.6</v>
      </c>
      <c r="T105" s="61">
        <f t="shared" si="42"/>
        <v>2.1</v>
      </c>
      <c r="U105" s="61">
        <f t="shared" si="42"/>
        <v>3.1</v>
      </c>
      <c r="V105" s="61">
        <f t="shared" si="42"/>
        <v>1.4</v>
      </c>
      <c r="W105" s="61">
        <f t="shared" si="42"/>
        <v>3.15</v>
      </c>
      <c r="X105" s="61">
        <f t="shared" si="42"/>
        <v>0.4</v>
      </c>
      <c r="Y105" s="61">
        <f t="shared" si="42"/>
        <v>0.4</v>
      </c>
      <c r="Z105" s="61">
        <f t="shared" si="42"/>
        <v>0</v>
      </c>
      <c r="AA105" s="61">
        <f t="shared" si="42"/>
        <v>0</v>
      </c>
      <c r="AB105" s="61">
        <f t="shared" si="42"/>
        <v>0</v>
      </c>
      <c r="AC105" s="61">
        <f t="shared" si="4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43">F101+F105</f>
        <v>34.79</v>
      </c>
      <c r="G106" s="62">
        <f t="shared" si="43"/>
        <v>33.64</v>
      </c>
      <c r="H106" s="62">
        <f t="shared" si="43"/>
        <v>32.619999999999997</v>
      </c>
      <c r="I106" s="62">
        <f t="shared" si="43"/>
        <v>32.159999999999997</v>
      </c>
      <c r="J106" s="62">
        <f t="shared" si="43"/>
        <v>31.61</v>
      </c>
      <c r="K106" s="62">
        <f t="shared" si="43"/>
        <v>30.199999999999996</v>
      </c>
      <c r="L106" s="62">
        <f t="shared" si="43"/>
        <v>32.159999999999997</v>
      </c>
      <c r="M106" s="62">
        <f t="shared" si="43"/>
        <v>35.43</v>
      </c>
      <c r="N106" s="62">
        <f t="shared" si="43"/>
        <v>38.540000000000006</v>
      </c>
      <c r="O106" s="62">
        <f t="shared" si="43"/>
        <v>37.89</v>
      </c>
      <c r="P106" s="62">
        <f t="shared" si="43"/>
        <v>42.230000000000004</v>
      </c>
      <c r="Q106" s="62">
        <f t="shared" si="43"/>
        <v>42.99</v>
      </c>
      <c r="R106" s="62">
        <f t="shared" si="43"/>
        <v>43.75</v>
      </c>
      <c r="S106" s="62">
        <f t="shared" si="43"/>
        <v>45.160000000000004</v>
      </c>
      <c r="T106" s="62">
        <f t="shared" si="43"/>
        <v>45.550000000000004</v>
      </c>
      <c r="U106" s="62">
        <f t="shared" si="43"/>
        <v>45.889999999999993</v>
      </c>
      <c r="V106" s="62">
        <f t="shared" si="43"/>
        <v>41.449999999999996</v>
      </c>
      <c r="W106" s="62">
        <f t="shared" si="43"/>
        <v>42.46</v>
      </c>
      <c r="X106" s="62">
        <f t="shared" si="43"/>
        <v>43.330000000000005</v>
      </c>
      <c r="Y106" s="62">
        <f t="shared" si="43"/>
        <v>45.620000000000005</v>
      </c>
      <c r="Z106" s="62">
        <f t="shared" si="43"/>
        <v>42.410000000000004</v>
      </c>
      <c r="AA106" s="62">
        <f t="shared" si="43"/>
        <v>39.769999999999996</v>
      </c>
      <c r="AB106" s="62">
        <f t="shared" si="43"/>
        <v>35.06</v>
      </c>
      <c r="AC106" s="62">
        <f t="shared" si="43"/>
        <v>30.71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44">(COUNT(F13:F16))*7.2+(COUNT(F27:F28)*4.9)+(COUNT(F19:F21)*4.5)-F90-F92</f>
        <v>11.000000000000007</v>
      </c>
      <c r="G107" s="63">
        <f t="shared" si="44"/>
        <v>11.900000000000006</v>
      </c>
      <c r="H107" s="63">
        <f t="shared" si="44"/>
        <v>9.7000000000000028</v>
      </c>
      <c r="I107" s="63">
        <f t="shared" si="44"/>
        <v>9.3000000000000043</v>
      </c>
      <c r="J107" s="63">
        <f t="shared" si="44"/>
        <v>9.9000000000000039</v>
      </c>
      <c r="K107" s="63">
        <f t="shared" si="44"/>
        <v>5.8999999999999986</v>
      </c>
      <c r="L107" s="63">
        <f t="shared" si="44"/>
        <v>11.8</v>
      </c>
      <c r="M107" s="63">
        <f t="shared" si="44"/>
        <v>11.3</v>
      </c>
      <c r="N107" s="63">
        <f t="shared" si="44"/>
        <v>9.2999999999999989</v>
      </c>
      <c r="O107" s="63">
        <f t="shared" si="44"/>
        <v>13.200000000000003</v>
      </c>
      <c r="P107" s="63">
        <f t="shared" si="44"/>
        <v>10.000000000000004</v>
      </c>
      <c r="Q107" s="63">
        <f t="shared" si="44"/>
        <v>8.8000000000000007</v>
      </c>
      <c r="R107" s="63">
        <f t="shared" si="44"/>
        <v>11.399999999999999</v>
      </c>
      <c r="S107" s="63">
        <f t="shared" si="44"/>
        <v>9.6999999999999993</v>
      </c>
      <c r="T107" s="63">
        <f t="shared" si="44"/>
        <v>14.500000000000004</v>
      </c>
      <c r="U107" s="63">
        <f t="shared" si="44"/>
        <v>11.300000000000004</v>
      </c>
      <c r="V107" s="63">
        <f t="shared" si="44"/>
        <v>8.9000000000000021</v>
      </c>
      <c r="W107" s="63">
        <f t="shared" si="44"/>
        <v>9.7000000000000028</v>
      </c>
      <c r="X107" s="63">
        <f t="shared" si="44"/>
        <v>9.3000000000000007</v>
      </c>
      <c r="Y107" s="63">
        <f t="shared" si="44"/>
        <v>9.1000000000000014</v>
      </c>
      <c r="Z107" s="63">
        <f t="shared" si="44"/>
        <v>9.6999999999999993</v>
      </c>
      <c r="AA107" s="63">
        <f t="shared" si="44"/>
        <v>12.000000000000002</v>
      </c>
      <c r="AB107" s="63">
        <f t="shared" si="44"/>
        <v>16.5</v>
      </c>
      <c r="AC107" s="63">
        <f t="shared" si="44"/>
        <v>22.1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6.400000000000003</v>
      </c>
      <c r="G108" s="206">
        <f t="shared" si="45"/>
        <v>7.5000000000000018</v>
      </c>
      <c r="H108" s="206">
        <f t="shared" si="45"/>
        <v>5.0000000000000009</v>
      </c>
      <c r="I108" s="206">
        <f t="shared" si="45"/>
        <v>4.6000000000000014</v>
      </c>
      <c r="J108" s="206">
        <f t="shared" si="45"/>
        <v>5.200000000000002</v>
      </c>
      <c r="K108" s="206">
        <f t="shared" si="45"/>
        <v>2.6000000000000005</v>
      </c>
      <c r="L108" s="206">
        <f t="shared" si="45"/>
        <v>8.5</v>
      </c>
      <c r="M108" s="206">
        <f t="shared" si="45"/>
        <v>6.6000000000000023</v>
      </c>
      <c r="N108" s="206">
        <f t="shared" si="45"/>
        <v>7.2</v>
      </c>
      <c r="O108" s="206">
        <f t="shared" si="45"/>
        <v>10.3</v>
      </c>
      <c r="P108" s="206">
        <f t="shared" si="45"/>
        <v>7.700000000000002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6.0000000000000044</v>
      </c>
      <c r="R108" s="206">
        <f t="shared" ref="R108:AC108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8</v>
      </c>
      <c r="S108" s="206">
        <f t="shared" si="46"/>
        <v>6.5000000000000009</v>
      </c>
      <c r="T108" s="206">
        <f t="shared" si="46"/>
        <v>10.8</v>
      </c>
      <c r="U108" s="206">
        <f t="shared" si="46"/>
        <v>7.6000000000000023</v>
      </c>
      <c r="V108" s="206">
        <f t="shared" si="46"/>
        <v>5.2</v>
      </c>
      <c r="W108" s="206">
        <f t="shared" si="46"/>
        <v>6.3000000000000007</v>
      </c>
      <c r="X108" s="206">
        <f t="shared" si="46"/>
        <v>5.2</v>
      </c>
      <c r="Y108" s="206">
        <f t="shared" si="46"/>
        <v>5.0000000000000009</v>
      </c>
      <c r="Z108" s="206">
        <f t="shared" si="46"/>
        <v>5.5999999999999988</v>
      </c>
      <c r="AA108" s="206">
        <f t="shared" si="46"/>
        <v>7.9000000000000012</v>
      </c>
      <c r="AB108" s="206">
        <f t="shared" si="46"/>
        <v>9.1999999999999993</v>
      </c>
      <c r="AC108" s="206">
        <f t="shared" si="46"/>
        <v>6.9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60.25</v>
      </c>
      <c r="G109" s="75">
        <v>60.29</v>
      </c>
      <c r="H109" s="75">
        <v>60.12</v>
      </c>
      <c r="I109" s="75">
        <v>60.09</v>
      </c>
      <c r="J109" s="75">
        <v>60.09</v>
      </c>
      <c r="K109" s="75">
        <v>60.16</v>
      </c>
      <c r="L109" s="75">
        <v>60.08</v>
      </c>
      <c r="M109" s="75">
        <v>60.19</v>
      </c>
      <c r="N109" s="75">
        <v>60.17</v>
      </c>
      <c r="O109" s="75">
        <v>60.29</v>
      </c>
      <c r="P109" s="84">
        <v>60.16</v>
      </c>
      <c r="Q109" s="84">
        <v>60.41</v>
      </c>
      <c r="R109" s="84">
        <v>60.34</v>
      </c>
      <c r="S109" s="84">
        <v>60.45</v>
      </c>
      <c r="T109" s="84">
        <v>60.14</v>
      </c>
      <c r="U109" s="75">
        <v>60.24</v>
      </c>
      <c r="V109" s="75">
        <v>60.17</v>
      </c>
      <c r="W109" s="75">
        <v>60.27</v>
      </c>
      <c r="X109" s="75">
        <v>60.09</v>
      </c>
      <c r="Y109" s="75">
        <v>60.2</v>
      </c>
      <c r="Z109" s="75">
        <v>60.21</v>
      </c>
      <c r="AA109" s="75">
        <v>60.12</v>
      </c>
      <c r="AB109" s="75">
        <v>60.13</v>
      </c>
      <c r="AC109" s="75">
        <v>60.11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47">SUM(G117:G124)</f>
        <v>0</v>
      </c>
      <c r="H125" s="44">
        <f t="shared" si="47"/>
        <v>0</v>
      </c>
      <c r="I125" s="44">
        <f t="shared" si="47"/>
        <v>0</v>
      </c>
      <c r="J125" s="44">
        <f t="shared" si="47"/>
        <v>0</v>
      </c>
      <c r="K125" s="44">
        <f t="shared" si="47"/>
        <v>0</v>
      </c>
      <c r="L125" s="44">
        <f t="shared" si="47"/>
        <v>0</v>
      </c>
      <c r="M125" s="44">
        <f t="shared" si="47"/>
        <v>0</v>
      </c>
      <c r="N125" s="44">
        <f t="shared" si="47"/>
        <v>0</v>
      </c>
      <c r="O125" s="44">
        <f t="shared" si="47"/>
        <v>0</v>
      </c>
      <c r="P125" s="44">
        <f t="shared" si="47"/>
        <v>0</v>
      </c>
      <c r="Q125" s="44">
        <f t="shared" si="47"/>
        <v>0</v>
      </c>
      <c r="R125" s="44">
        <f t="shared" si="47"/>
        <v>0</v>
      </c>
      <c r="S125" s="44">
        <f t="shared" si="47"/>
        <v>0</v>
      </c>
      <c r="T125" s="44">
        <f t="shared" si="47"/>
        <v>0</v>
      </c>
      <c r="U125" s="44">
        <f t="shared" si="47"/>
        <v>0</v>
      </c>
      <c r="V125" s="44">
        <f t="shared" si="47"/>
        <v>0</v>
      </c>
      <c r="W125" s="44">
        <f t="shared" si="47"/>
        <v>0</v>
      </c>
      <c r="X125" s="44">
        <f t="shared" si="47"/>
        <v>0</v>
      </c>
      <c r="Y125" s="44">
        <f t="shared" si="47"/>
        <v>0</v>
      </c>
      <c r="Z125" s="44">
        <f t="shared" si="47"/>
        <v>0</v>
      </c>
      <c r="AA125" s="44">
        <f t="shared" si="47"/>
        <v>0</v>
      </c>
      <c r="AB125" s="44">
        <f t="shared" si="47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5304" priority="1383" operator="greaterThan">
      <formula>60.3</formula>
    </cfRule>
  </conditionalFormatting>
  <conditionalFormatting sqref="G53:G55 I20:AC21 J56:L56 I13:K14 I57:L58 I66:AC66 K15 I15:J16 I53:I56 K16:Q16 L13:Q15 I40:I50 I67:J72 I74:J74 N51:O52 K61:AC61 J53:O55 M56:O58 I77:AC78 I27:AC28 J35:O50 R13:AC16 J24:AC24 L62:AC63 P35:AC58 K67:AC74">
    <cfRule type="cellIs" dxfId="25303" priority="1375" operator="equal">
      <formula>"PMS"</formula>
    </cfRule>
    <cfRule type="containsText" dxfId="25302" priority="1376" operator="containsText" text="CMS">
      <formula>NOT(ISERROR(SEARCH("CMS",G13)))</formula>
    </cfRule>
    <cfRule type="cellIs" dxfId="25301" priority="1377" operator="equal">
      <formula>0</formula>
    </cfRule>
    <cfRule type="cellIs" dxfId="25300" priority="1378" operator="greaterThan">
      <formula>0</formula>
    </cfRule>
    <cfRule type="cellIs" dxfId="25299" priority="1379" operator="equal">
      <formula>"PMS"</formula>
    </cfRule>
    <cfRule type="containsText" dxfId="25298" priority="1380" operator="containsText" text="CMS">
      <formula>NOT(ISERROR(SEARCH("CMS",G13)))</formula>
    </cfRule>
    <cfRule type="cellIs" dxfId="25297" priority="1381" operator="equal">
      <formula>0</formula>
    </cfRule>
    <cfRule type="cellIs" dxfId="25296" priority="1382" operator="greaterThan">
      <formula>0</formula>
    </cfRule>
  </conditionalFormatting>
  <conditionalFormatting sqref="O77:AC78 O61:AC63 O66:AC74">
    <cfRule type="cellIs" dxfId="25295" priority="1371" operator="equal">
      <formula>"PMS"</formula>
    </cfRule>
    <cfRule type="containsText" dxfId="25294" priority="1372" operator="containsText" text="CMS">
      <formula>NOT(ISERROR(SEARCH("CMS",O61)))</formula>
    </cfRule>
    <cfRule type="cellIs" dxfId="25293" priority="1373" operator="equal">
      <formula>0</formula>
    </cfRule>
    <cfRule type="cellIs" dxfId="25292" priority="1374" operator="greaterThan">
      <formula>0</formula>
    </cfRule>
  </conditionalFormatting>
  <conditionalFormatting sqref="P66:AC74">
    <cfRule type="cellIs" dxfId="25291" priority="1367" operator="equal">
      <formula>"PMS"</formula>
    </cfRule>
    <cfRule type="containsText" dxfId="25290" priority="1368" operator="containsText" text="CMS">
      <formula>NOT(ISERROR(SEARCH("CMS",P66)))</formula>
    </cfRule>
    <cfRule type="cellIs" dxfId="25289" priority="1369" operator="equal">
      <formula>0</formula>
    </cfRule>
    <cfRule type="cellIs" dxfId="25288" priority="1370" operator="greaterThan">
      <formula>0</formula>
    </cfRule>
  </conditionalFormatting>
  <conditionalFormatting sqref="O13:AC16">
    <cfRule type="cellIs" dxfId="25287" priority="1363" operator="equal">
      <formula>"PMS"</formula>
    </cfRule>
    <cfRule type="containsText" dxfId="25286" priority="1364" operator="containsText" text="CMS">
      <formula>NOT(ISERROR(SEARCH("CMS",O13)))</formula>
    </cfRule>
    <cfRule type="cellIs" dxfId="25285" priority="1365" operator="equal">
      <formula>0</formula>
    </cfRule>
    <cfRule type="cellIs" dxfId="25284" priority="1366" operator="greaterThan">
      <formula>0</formula>
    </cfRule>
  </conditionalFormatting>
  <conditionalFormatting sqref="P13:AC16">
    <cfRule type="cellIs" dxfId="25283" priority="1359" operator="equal">
      <formula>"PMS"</formula>
    </cfRule>
    <cfRule type="containsText" dxfId="25282" priority="1360" operator="containsText" text="CMS">
      <formula>NOT(ISERROR(SEARCH("CMS",P13)))</formula>
    </cfRule>
    <cfRule type="cellIs" dxfId="25281" priority="1361" operator="equal">
      <formula>0</formula>
    </cfRule>
    <cfRule type="cellIs" dxfId="25280" priority="1362" operator="greaterThan">
      <formula>0</formula>
    </cfRule>
  </conditionalFormatting>
  <conditionalFormatting sqref="O20:AC21">
    <cfRule type="cellIs" dxfId="25279" priority="1355" operator="equal">
      <formula>"PMS"</formula>
    </cfRule>
    <cfRule type="containsText" dxfId="25278" priority="1356" operator="containsText" text="CMS">
      <formula>NOT(ISERROR(SEARCH("CMS",O20)))</formula>
    </cfRule>
    <cfRule type="cellIs" dxfId="25277" priority="1357" operator="equal">
      <formula>0</formula>
    </cfRule>
    <cfRule type="cellIs" dxfId="25276" priority="1358" operator="greaterThan">
      <formula>0</formula>
    </cfRule>
  </conditionalFormatting>
  <conditionalFormatting sqref="P20:AC21">
    <cfRule type="cellIs" dxfId="25275" priority="1351" operator="equal">
      <formula>"PMS"</formula>
    </cfRule>
    <cfRule type="containsText" dxfId="25274" priority="1352" operator="containsText" text="CMS">
      <formula>NOT(ISERROR(SEARCH("CMS",P20)))</formula>
    </cfRule>
    <cfRule type="cellIs" dxfId="25273" priority="1353" operator="equal">
      <formula>0</formula>
    </cfRule>
    <cfRule type="cellIs" dxfId="25272" priority="1354" operator="greaterThan">
      <formula>0</formula>
    </cfRule>
  </conditionalFormatting>
  <conditionalFormatting sqref="O24:AC24">
    <cfRule type="cellIs" dxfId="25271" priority="1347" operator="equal">
      <formula>"PMS"</formula>
    </cfRule>
    <cfRule type="containsText" dxfId="25270" priority="1348" operator="containsText" text="CMS">
      <formula>NOT(ISERROR(SEARCH("CMS",O24)))</formula>
    </cfRule>
    <cfRule type="cellIs" dxfId="25269" priority="1349" operator="equal">
      <formula>0</formula>
    </cfRule>
    <cfRule type="cellIs" dxfId="25268" priority="1350" operator="greaterThan">
      <formula>0</formula>
    </cfRule>
  </conditionalFormatting>
  <conditionalFormatting sqref="P24:AC24">
    <cfRule type="cellIs" dxfId="25267" priority="1343" operator="equal">
      <formula>"PMS"</formula>
    </cfRule>
    <cfRule type="containsText" dxfId="25266" priority="1344" operator="containsText" text="CMS">
      <formula>NOT(ISERROR(SEARCH("CMS",P24)))</formula>
    </cfRule>
    <cfRule type="cellIs" dxfId="25265" priority="1345" operator="equal">
      <formula>0</formula>
    </cfRule>
    <cfRule type="cellIs" dxfId="25264" priority="1346" operator="greaterThan">
      <formula>0</formula>
    </cfRule>
  </conditionalFormatting>
  <conditionalFormatting sqref="O27:AC28">
    <cfRule type="cellIs" dxfId="25263" priority="1339" operator="equal">
      <formula>"PMS"</formula>
    </cfRule>
    <cfRule type="containsText" dxfId="25262" priority="1340" operator="containsText" text="CMS">
      <formula>NOT(ISERROR(SEARCH("CMS",O27)))</formula>
    </cfRule>
    <cfRule type="cellIs" dxfId="25261" priority="1341" operator="equal">
      <formula>0</formula>
    </cfRule>
    <cfRule type="cellIs" dxfId="25260" priority="1342" operator="greaterThan">
      <formula>0</formula>
    </cfRule>
  </conditionalFormatting>
  <conditionalFormatting sqref="P27:AC28">
    <cfRule type="cellIs" dxfId="25259" priority="1335" operator="equal">
      <formula>"PMS"</formula>
    </cfRule>
    <cfRule type="containsText" dxfId="25258" priority="1336" operator="containsText" text="CMS">
      <formula>NOT(ISERROR(SEARCH("CMS",P27)))</formula>
    </cfRule>
    <cfRule type="cellIs" dxfId="25257" priority="1337" operator="equal">
      <formula>0</formula>
    </cfRule>
    <cfRule type="cellIs" dxfId="25256" priority="1338" operator="greaterThan">
      <formula>0</formula>
    </cfRule>
  </conditionalFormatting>
  <conditionalFormatting sqref="O53:Q58 O35:AC49 R50:AC58">
    <cfRule type="cellIs" dxfId="25255" priority="1331" operator="equal">
      <formula>"PMS"</formula>
    </cfRule>
    <cfRule type="containsText" dxfId="25254" priority="1332" operator="containsText" text="CMS">
      <formula>NOT(ISERROR(SEARCH("CMS",O35)))</formula>
    </cfRule>
    <cfRule type="cellIs" dxfId="25253" priority="1333" operator="equal">
      <formula>0</formula>
    </cfRule>
    <cfRule type="cellIs" dxfId="25252" priority="1334" operator="greaterThan">
      <formula>0</formula>
    </cfRule>
  </conditionalFormatting>
  <conditionalFormatting sqref="O53:Q58 O38:O49 P35:AC49 R50:AC58">
    <cfRule type="cellIs" dxfId="25251" priority="1327" operator="equal">
      <formula>"PMS"</formula>
    </cfRule>
    <cfRule type="containsText" dxfId="25250" priority="1328" operator="containsText" text="CMS">
      <formula>NOT(ISERROR(SEARCH("CMS",O35)))</formula>
    </cfRule>
    <cfRule type="cellIs" dxfId="25249" priority="1329" operator="equal">
      <formula>0</formula>
    </cfRule>
    <cfRule type="cellIs" dxfId="25248" priority="1330" operator="greaterThan">
      <formula>0</formula>
    </cfRule>
  </conditionalFormatting>
  <conditionalFormatting sqref="V14:X16 V13:AC13 Z14:AB16">
    <cfRule type="cellIs" dxfId="25247" priority="1323" operator="equal">
      <formula>"PMS"</formula>
    </cfRule>
    <cfRule type="containsText" dxfId="25246" priority="1324" operator="containsText" text="CMS">
      <formula>NOT(ISERROR(SEARCH("CMS",V13)))</formula>
    </cfRule>
    <cfRule type="cellIs" dxfId="25245" priority="1325" operator="equal">
      <formula>0</formula>
    </cfRule>
    <cfRule type="cellIs" dxfId="25244" priority="1326" operator="greaterThan">
      <formula>0</formula>
    </cfRule>
  </conditionalFormatting>
  <conditionalFormatting sqref="V14:X16 V13:AC13 Z14:AB16">
    <cfRule type="cellIs" dxfId="25243" priority="1319" operator="equal">
      <formula>"PMS"</formula>
    </cfRule>
    <cfRule type="containsText" dxfId="25242" priority="1320" operator="containsText" text="CMS">
      <formula>NOT(ISERROR(SEARCH("CMS",V13)))</formula>
    </cfRule>
    <cfRule type="cellIs" dxfId="25241" priority="1321" operator="equal">
      <formula>0</formula>
    </cfRule>
    <cfRule type="cellIs" dxfId="25240" priority="1322" operator="greaterThan">
      <formula>0</formula>
    </cfRule>
  </conditionalFormatting>
  <conditionalFormatting sqref="X57:AC57">
    <cfRule type="cellIs" dxfId="25239" priority="1315" operator="equal">
      <formula>"PMS"</formula>
    </cfRule>
    <cfRule type="containsText" dxfId="25238" priority="1316" operator="containsText" text="CMS">
      <formula>NOT(ISERROR(SEARCH("CMS",X57)))</formula>
    </cfRule>
    <cfRule type="cellIs" dxfId="25237" priority="1317" operator="equal">
      <formula>0</formula>
    </cfRule>
    <cfRule type="cellIs" dxfId="25236" priority="1318" operator="greaterThan">
      <formula>0</formula>
    </cfRule>
  </conditionalFormatting>
  <conditionalFormatting sqref="X57:AC57">
    <cfRule type="cellIs" dxfId="25235" priority="1311" operator="equal">
      <formula>"PMS"</formula>
    </cfRule>
    <cfRule type="containsText" dxfId="25234" priority="1312" operator="containsText" text="CMS">
      <formula>NOT(ISERROR(SEARCH("CMS",X57)))</formula>
    </cfRule>
    <cfRule type="cellIs" dxfId="25233" priority="1313" operator="equal">
      <formula>0</formula>
    </cfRule>
    <cfRule type="cellIs" dxfId="25232" priority="1314" operator="greaterThan">
      <formula>0</formula>
    </cfRule>
  </conditionalFormatting>
  <conditionalFormatting sqref="X57:AC57">
    <cfRule type="cellIs" dxfId="25231" priority="1307" operator="equal">
      <formula>"PMS"</formula>
    </cfRule>
    <cfRule type="containsText" dxfId="25230" priority="1308" operator="containsText" text="CMS">
      <formula>NOT(ISERROR(SEARCH("CMS",X57)))</formula>
    </cfRule>
    <cfRule type="cellIs" dxfId="25229" priority="1309" operator="equal">
      <formula>0</formula>
    </cfRule>
    <cfRule type="cellIs" dxfId="25228" priority="1310" operator="greaterThan">
      <formula>0</formula>
    </cfRule>
  </conditionalFormatting>
  <conditionalFormatting sqref="X57:AC57">
    <cfRule type="cellIs" dxfId="25227" priority="1303" operator="equal">
      <formula>"PMS"</formula>
    </cfRule>
    <cfRule type="containsText" dxfId="25226" priority="1304" operator="containsText" text="CMS">
      <formula>NOT(ISERROR(SEARCH("CMS",X57)))</formula>
    </cfRule>
    <cfRule type="cellIs" dxfId="25225" priority="1305" operator="equal">
      <formula>0</formula>
    </cfRule>
    <cfRule type="cellIs" dxfId="25224" priority="1306" operator="greaterThan">
      <formula>0</formula>
    </cfRule>
  </conditionalFormatting>
  <conditionalFormatting sqref="AB58:AC58">
    <cfRule type="cellIs" dxfId="25223" priority="1299" operator="equal">
      <formula>"PMS"</formula>
    </cfRule>
    <cfRule type="containsText" dxfId="25222" priority="1300" operator="containsText" text="CMS">
      <formula>NOT(ISERROR(SEARCH("CMS",AB58)))</formula>
    </cfRule>
    <cfRule type="cellIs" dxfId="25221" priority="1301" operator="equal">
      <formula>0</formula>
    </cfRule>
    <cfRule type="cellIs" dxfId="25220" priority="1302" operator="greaterThan">
      <formula>0</formula>
    </cfRule>
  </conditionalFormatting>
  <conditionalFormatting sqref="AB58:AC58">
    <cfRule type="cellIs" dxfId="25219" priority="1295" operator="equal">
      <formula>"PMS"</formula>
    </cfRule>
    <cfRule type="containsText" dxfId="25218" priority="1296" operator="containsText" text="CMS">
      <formula>NOT(ISERROR(SEARCH("CMS",AB58)))</formula>
    </cfRule>
    <cfRule type="cellIs" dxfId="25217" priority="1297" operator="equal">
      <formula>0</formula>
    </cfRule>
    <cfRule type="cellIs" dxfId="25216" priority="1298" operator="greaterThan">
      <formula>0</formula>
    </cfRule>
  </conditionalFormatting>
  <conditionalFormatting sqref="AB58:AC58">
    <cfRule type="cellIs" dxfId="25215" priority="1291" operator="equal">
      <formula>"PMS"</formula>
    </cfRule>
    <cfRule type="containsText" dxfId="25214" priority="1292" operator="containsText" text="CMS">
      <formula>NOT(ISERROR(SEARCH("CMS",AB58)))</formula>
    </cfRule>
    <cfRule type="cellIs" dxfId="25213" priority="1293" operator="equal">
      <formula>0</formula>
    </cfRule>
    <cfRule type="cellIs" dxfId="25212" priority="1294" operator="greaterThan">
      <formula>0</formula>
    </cfRule>
  </conditionalFormatting>
  <conditionalFormatting sqref="AB58:AC58">
    <cfRule type="cellIs" dxfId="25211" priority="1287" operator="equal">
      <formula>"PMS"</formula>
    </cfRule>
    <cfRule type="containsText" dxfId="25210" priority="1288" operator="containsText" text="CMS">
      <formula>NOT(ISERROR(SEARCH("CMS",AB58)))</formula>
    </cfRule>
    <cfRule type="cellIs" dxfId="25209" priority="1289" operator="equal">
      <formula>0</formula>
    </cfRule>
    <cfRule type="cellIs" dxfId="25208" priority="1290" operator="greaterThan">
      <formula>0</formula>
    </cfRule>
  </conditionalFormatting>
  <conditionalFormatting sqref="AB78">
    <cfRule type="cellIs" dxfId="25207" priority="1283" operator="equal">
      <formula>"PMS"</formula>
    </cfRule>
    <cfRule type="containsText" dxfId="25206" priority="1284" operator="containsText" text="CMS">
      <formula>NOT(ISERROR(SEARCH("CMS",AB78)))</formula>
    </cfRule>
    <cfRule type="cellIs" dxfId="25205" priority="1285" operator="equal">
      <formula>0</formula>
    </cfRule>
    <cfRule type="cellIs" dxfId="25204" priority="1286" operator="greaterThan">
      <formula>0</formula>
    </cfRule>
  </conditionalFormatting>
  <conditionalFormatting sqref="AB78">
    <cfRule type="cellIs" dxfId="25203" priority="1279" operator="equal">
      <formula>"PMS"</formula>
    </cfRule>
    <cfRule type="containsText" dxfId="25202" priority="1280" operator="containsText" text="CMS">
      <formula>NOT(ISERROR(SEARCH("CMS",AB78)))</formula>
    </cfRule>
    <cfRule type="cellIs" dxfId="25201" priority="1281" operator="equal">
      <formula>0</formula>
    </cfRule>
    <cfRule type="cellIs" dxfId="25200" priority="1282" operator="greaterThan">
      <formula>0</formula>
    </cfRule>
  </conditionalFormatting>
  <conditionalFormatting sqref="O44:O49">
    <cfRule type="cellIs" dxfId="25199" priority="1275" operator="equal">
      <formula>"PMS"</formula>
    </cfRule>
    <cfRule type="containsText" dxfId="25198" priority="1276" operator="containsText" text="CMS">
      <formula>NOT(ISERROR(SEARCH("CMS",O44)))</formula>
    </cfRule>
    <cfRule type="cellIs" dxfId="25197" priority="1277" operator="equal">
      <formula>0</formula>
    </cfRule>
    <cfRule type="cellIs" dxfId="25196" priority="1278" operator="greaterThan">
      <formula>0</formula>
    </cfRule>
  </conditionalFormatting>
  <conditionalFormatting sqref="O55:O56 P56">
    <cfRule type="cellIs" dxfId="25195" priority="1271" operator="equal">
      <formula>"PMS"</formula>
    </cfRule>
    <cfRule type="containsText" dxfId="25194" priority="1272" operator="containsText" text="CMS">
      <formula>NOT(ISERROR(SEARCH("CMS",O55)))</formula>
    </cfRule>
    <cfRule type="cellIs" dxfId="25193" priority="1273" operator="equal">
      <formula>0</formula>
    </cfRule>
    <cfRule type="cellIs" dxfId="25192" priority="1274" operator="greaterThan">
      <formula>0</formula>
    </cfRule>
  </conditionalFormatting>
  <conditionalFormatting sqref="O49">
    <cfRule type="cellIs" dxfId="25191" priority="1267" operator="equal">
      <formula>"PMS"</formula>
    </cfRule>
    <cfRule type="containsText" dxfId="25190" priority="1268" operator="containsText" text="CMS">
      <formula>NOT(ISERROR(SEARCH("CMS",O49)))</formula>
    </cfRule>
    <cfRule type="cellIs" dxfId="25189" priority="1269" operator="equal">
      <formula>0</formula>
    </cfRule>
    <cfRule type="cellIs" dxfId="25188" priority="1270" operator="greaterThan">
      <formula>0</formula>
    </cfRule>
  </conditionalFormatting>
  <conditionalFormatting sqref="O55:O57 P56">
    <cfRule type="cellIs" dxfId="25187" priority="1263" operator="equal">
      <formula>"PMS"</formula>
    </cfRule>
    <cfRule type="containsText" dxfId="25186" priority="1264" operator="containsText" text="CMS">
      <formula>NOT(ISERROR(SEARCH("CMS",O55)))</formula>
    </cfRule>
    <cfRule type="cellIs" dxfId="25185" priority="1265" operator="equal">
      <formula>0</formula>
    </cfRule>
    <cfRule type="cellIs" dxfId="25184" priority="1266" operator="greaterThan">
      <formula>0</formula>
    </cfRule>
  </conditionalFormatting>
  <conditionalFormatting sqref="Q24:V24">
    <cfRule type="cellIs" dxfId="25183" priority="1259" operator="equal">
      <formula>"PMS"</formula>
    </cfRule>
    <cfRule type="containsText" dxfId="25182" priority="1260" operator="containsText" text="CMS">
      <formula>NOT(ISERROR(SEARCH("CMS",Q24)))</formula>
    </cfRule>
    <cfRule type="cellIs" dxfId="25181" priority="1261" operator="equal">
      <formula>0</formula>
    </cfRule>
    <cfRule type="cellIs" dxfId="25180" priority="1262" operator="greaterThan">
      <formula>0</formula>
    </cfRule>
  </conditionalFormatting>
  <conditionalFormatting sqref="Q24:V24">
    <cfRule type="cellIs" dxfId="25179" priority="1255" operator="equal">
      <formula>"PMS"</formula>
    </cfRule>
    <cfRule type="containsText" dxfId="25178" priority="1256" operator="containsText" text="CMS">
      <formula>NOT(ISERROR(SEARCH("CMS",Q24)))</formula>
    </cfRule>
    <cfRule type="cellIs" dxfId="25177" priority="1257" operator="equal">
      <formula>0</formula>
    </cfRule>
    <cfRule type="cellIs" dxfId="25176" priority="1258" operator="greaterThan">
      <formula>0</formula>
    </cfRule>
  </conditionalFormatting>
  <conditionalFormatting sqref="Q27:V28">
    <cfRule type="cellIs" dxfId="25175" priority="1251" operator="equal">
      <formula>"PMS"</formula>
    </cfRule>
    <cfRule type="containsText" dxfId="25174" priority="1252" operator="containsText" text="CMS">
      <formula>NOT(ISERROR(SEARCH("CMS",Q27)))</formula>
    </cfRule>
    <cfRule type="cellIs" dxfId="25173" priority="1253" operator="equal">
      <formula>0</formula>
    </cfRule>
    <cfRule type="cellIs" dxfId="25172" priority="1254" operator="greaterThan">
      <formula>0</formula>
    </cfRule>
  </conditionalFormatting>
  <conditionalFormatting sqref="Q27:V28">
    <cfRule type="cellIs" dxfId="25171" priority="1247" operator="equal">
      <formula>"PMS"</formula>
    </cfRule>
    <cfRule type="containsText" dxfId="25170" priority="1248" operator="containsText" text="CMS">
      <formula>NOT(ISERROR(SEARCH("CMS",Q27)))</formula>
    </cfRule>
    <cfRule type="cellIs" dxfId="25169" priority="1249" operator="equal">
      <formula>0</formula>
    </cfRule>
    <cfRule type="cellIs" dxfId="25168" priority="1250" operator="greaterThan">
      <formula>0</formula>
    </cfRule>
  </conditionalFormatting>
  <conditionalFormatting sqref="R27:V28">
    <cfRule type="cellIs" dxfId="25167" priority="1243" operator="equal">
      <formula>"PMS"</formula>
    </cfRule>
    <cfRule type="containsText" dxfId="25166" priority="1244" operator="containsText" text="CMS">
      <formula>NOT(ISERROR(SEARCH("CMS",R27)))</formula>
    </cfRule>
    <cfRule type="cellIs" dxfId="25165" priority="1245" operator="equal">
      <formula>0</formula>
    </cfRule>
    <cfRule type="cellIs" dxfId="25164" priority="1246" operator="greaterThan">
      <formula>0</formula>
    </cfRule>
  </conditionalFormatting>
  <conditionalFormatting sqref="R27:V28">
    <cfRule type="cellIs" dxfId="25163" priority="1239" operator="equal">
      <formula>"PMS"</formula>
    </cfRule>
    <cfRule type="containsText" dxfId="25162" priority="1240" operator="containsText" text="CMS">
      <formula>NOT(ISERROR(SEARCH("CMS",R27)))</formula>
    </cfRule>
    <cfRule type="cellIs" dxfId="25161" priority="1241" operator="equal">
      <formula>0</formula>
    </cfRule>
    <cfRule type="cellIs" dxfId="25160" priority="1242" operator="greaterThan">
      <formula>0</formula>
    </cfRule>
  </conditionalFormatting>
  <conditionalFormatting sqref="O55:O56 P56">
    <cfRule type="cellIs" dxfId="25159" priority="1235" operator="equal">
      <formula>"PMS"</formula>
    </cfRule>
    <cfRule type="containsText" dxfId="25158" priority="1236" operator="containsText" text="CMS">
      <formula>NOT(ISERROR(SEARCH("CMS",O55)))</formula>
    </cfRule>
    <cfRule type="cellIs" dxfId="25157" priority="1237" operator="equal">
      <formula>0</formula>
    </cfRule>
    <cfRule type="cellIs" dxfId="25156" priority="1238" operator="greaterThan">
      <formula>0</formula>
    </cfRule>
  </conditionalFormatting>
  <conditionalFormatting sqref="O44:O45">
    <cfRule type="cellIs" dxfId="25155" priority="1231" operator="equal">
      <formula>"PMS"</formula>
    </cfRule>
    <cfRule type="containsText" dxfId="25154" priority="1232" operator="containsText" text="CMS">
      <formula>NOT(ISERROR(SEARCH("CMS",O44)))</formula>
    </cfRule>
    <cfRule type="cellIs" dxfId="25153" priority="1233" operator="equal">
      <formula>0</formula>
    </cfRule>
    <cfRule type="cellIs" dxfId="25152" priority="1234" operator="greaterThan">
      <formula>0</formula>
    </cfRule>
  </conditionalFormatting>
  <conditionalFormatting sqref="O44:O45">
    <cfRule type="cellIs" dxfId="25151" priority="1227" operator="equal">
      <formula>"PMS"</formula>
    </cfRule>
    <cfRule type="containsText" dxfId="25150" priority="1228" operator="containsText" text="CMS">
      <formula>NOT(ISERROR(SEARCH("CMS",O44)))</formula>
    </cfRule>
    <cfRule type="cellIs" dxfId="25149" priority="1229" operator="equal">
      <formula>0</formula>
    </cfRule>
    <cfRule type="cellIs" dxfId="25148" priority="1230" operator="greaterThan">
      <formula>0</formula>
    </cfRule>
  </conditionalFormatting>
  <conditionalFormatting sqref="O44:O45">
    <cfRule type="cellIs" dxfId="25147" priority="1223" operator="equal">
      <formula>"PMS"</formula>
    </cfRule>
    <cfRule type="containsText" dxfId="25146" priority="1224" operator="containsText" text="CMS">
      <formula>NOT(ISERROR(SEARCH("CMS",O44)))</formula>
    </cfRule>
    <cfRule type="cellIs" dxfId="25145" priority="1225" operator="equal">
      <formula>0</formula>
    </cfRule>
    <cfRule type="cellIs" dxfId="25144" priority="1226" operator="greaterThan">
      <formula>0</formula>
    </cfRule>
  </conditionalFormatting>
  <conditionalFormatting sqref="O46">
    <cfRule type="cellIs" dxfId="25143" priority="1219" operator="equal">
      <formula>"PMS"</formula>
    </cfRule>
    <cfRule type="containsText" dxfId="25142" priority="1220" operator="containsText" text="CMS">
      <formula>NOT(ISERROR(SEARCH("CMS",O46)))</formula>
    </cfRule>
    <cfRule type="cellIs" dxfId="25141" priority="1221" operator="equal">
      <formula>0</formula>
    </cfRule>
    <cfRule type="cellIs" dxfId="25140" priority="1222" operator="greaterThan">
      <formula>0</formula>
    </cfRule>
  </conditionalFormatting>
  <conditionalFormatting sqref="O46">
    <cfRule type="cellIs" dxfId="25139" priority="1215" operator="equal">
      <formula>"PMS"</formula>
    </cfRule>
    <cfRule type="containsText" dxfId="25138" priority="1216" operator="containsText" text="CMS">
      <formula>NOT(ISERROR(SEARCH("CMS",O46)))</formula>
    </cfRule>
    <cfRule type="cellIs" dxfId="25137" priority="1217" operator="equal">
      <formula>0</formula>
    </cfRule>
    <cfRule type="cellIs" dxfId="25136" priority="1218" operator="greaterThan">
      <formula>0</formula>
    </cfRule>
  </conditionalFormatting>
  <conditionalFormatting sqref="O46">
    <cfRule type="cellIs" dxfId="25135" priority="1211" operator="equal">
      <formula>"PMS"</formula>
    </cfRule>
    <cfRule type="containsText" dxfId="25134" priority="1212" operator="containsText" text="CMS">
      <formula>NOT(ISERROR(SEARCH("CMS",O46)))</formula>
    </cfRule>
    <cfRule type="cellIs" dxfId="25133" priority="1213" operator="equal">
      <formula>0</formula>
    </cfRule>
    <cfRule type="cellIs" dxfId="25132" priority="1214" operator="greaterThan">
      <formula>0</formula>
    </cfRule>
  </conditionalFormatting>
  <conditionalFormatting sqref="J19:AC19">
    <cfRule type="cellIs" dxfId="25131" priority="1207" operator="equal">
      <formula>"CMS"</formula>
    </cfRule>
    <cfRule type="cellIs" dxfId="25130" priority="1208" operator="equal">
      <formula>"PMS"</formula>
    </cfRule>
    <cfRule type="cellIs" dxfId="25129" priority="1209" operator="greaterThan">
      <formula>0</formula>
    </cfRule>
    <cfRule type="cellIs" dxfId="25128" priority="1210" operator="equal">
      <formula>0</formula>
    </cfRule>
  </conditionalFormatting>
  <conditionalFormatting sqref="G61:G63">
    <cfRule type="cellIs" dxfId="25127" priority="1203" operator="equal">
      <formula>"CMS"</formula>
    </cfRule>
    <cfRule type="cellIs" dxfId="25126" priority="1204" operator="equal">
      <formula>"PMS"</formula>
    </cfRule>
    <cfRule type="cellIs" dxfId="25125" priority="1205" operator="greaterThan">
      <formula>0</formula>
    </cfRule>
    <cfRule type="cellIs" dxfId="25124" priority="1206" operator="equal">
      <formula>0</formula>
    </cfRule>
  </conditionalFormatting>
  <conditionalFormatting sqref="G77:G78">
    <cfRule type="cellIs" dxfId="25123" priority="1198" operator="equal">
      <formula>"EOC"</formula>
    </cfRule>
    <cfRule type="cellIs" dxfId="25122" priority="1199" operator="equal">
      <formula>"CMS"</formula>
    </cfRule>
    <cfRule type="cellIs" dxfId="25121" priority="1200" operator="equal">
      <formula>"PMS"</formula>
    </cfRule>
    <cfRule type="cellIs" dxfId="25120" priority="1201" operator="greaterThan">
      <formula>0</formula>
    </cfRule>
    <cfRule type="cellIs" dxfId="25119" priority="1202" operator="equal">
      <formula>0</formula>
    </cfRule>
  </conditionalFormatting>
  <conditionalFormatting sqref="F109">
    <cfRule type="cellIs" dxfId="25118" priority="1197" operator="greaterThan">
      <formula>60.3</formula>
    </cfRule>
  </conditionalFormatting>
  <conditionalFormatting sqref="G36:G44 G50 G47">
    <cfRule type="cellIs" dxfId="25117" priority="1189" operator="equal">
      <formula>"PMS"</formula>
    </cfRule>
    <cfRule type="containsText" dxfId="25116" priority="1190" operator="containsText" text="CMS">
      <formula>NOT(ISERROR(SEARCH("CMS",G36)))</formula>
    </cfRule>
    <cfRule type="cellIs" dxfId="25115" priority="1191" operator="equal">
      <formula>0</formula>
    </cfRule>
    <cfRule type="cellIs" dxfId="25114" priority="1192" operator="greaterThan">
      <formula>0</formula>
    </cfRule>
    <cfRule type="cellIs" dxfId="25113" priority="1193" operator="equal">
      <formula>"PMS"</formula>
    </cfRule>
    <cfRule type="containsText" dxfId="25112" priority="1194" operator="containsText" text="CMS">
      <formula>NOT(ISERROR(SEARCH("CMS",G36)))</formula>
    </cfRule>
    <cfRule type="cellIs" dxfId="25111" priority="1195" operator="equal">
      <formula>0</formula>
    </cfRule>
    <cfRule type="cellIs" dxfId="25110" priority="1196" operator="greaterThan">
      <formula>0</formula>
    </cfRule>
  </conditionalFormatting>
  <conditionalFormatting sqref="G36:G44 G50 G47">
    <cfRule type="cellIs" dxfId="25109" priority="1185" operator="equal">
      <formula>"PMS"</formula>
    </cfRule>
    <cfRule type="containsText" dxfId="25108" priority="1186" operator="containsText" text="CMS">
      <formula>NOT(ISERROR(SEARCH("CMS",G36)))</formula>
    </cfRule>
    <cfRule type="cellIs" dxfId="25107" priority="1187" operator="equal">
      <formula>0</formula>
    </cfRule>
    <cfRule type="cellIs" dxfId="25106" priority="1188" operator="greaterThan">
      <formula>0</formula>
    </cfRule>
  </conditionalFormatting>
  <conditionalFormatting sqref="G36:G44 G50 G47">
    <cfRule type="cellIs" dxfId="25105" priority="1181" operator="equal">
      <formula>"PMS"</formula>
    </cfRule>
    <cfRule type="containsText" dxfId="25104" priority="1182" operator="containsText" text="CMS">
      <formula>NOT(ISERROR(SEARCH("CMS",G36)))</formula>
    </cfRule>
    <cfRule type="cellIs" dxfId="25103" priority="1183" operator="equal">
      <formula>0</formula>
    </cfRule>
    <cfRule type="cellIs" dxfId="25102" priority="1184" operator="greaterThan">
      <formula>0</formula>
    </cfRule>
  </conditionalFormatting>
  <conditionalFormatting sqref="I36:I39">
    <cfRule type="cellIs" dxfId="25101" priority="1173" operator="equal">
      <formula>"PMS"</formula>
    </cfRule>
    <cfRule type="containsText" dxfId="25100" priority="1174" operator="containsText" text="CMS">
      <formula>NOT(ISERROR(SEARCH("CMS",I36)))</formula>
    </cfRule>
    <cfRule type="cellIs" dxfId="25099" priority="1175" operator="equal">
      <formula>0</formula>
    </cfRule>
    <cfRule type="cellIs" dxfId="25098" priority="1176" operator="greaterThan">
      <formula>0</formula>
    </cfRule>
    <cfRule type="cellIs" dxfId="25097" priority="1177" operator="equal">
      <formula>"PMS"</formula>
    </cfRule>
    <cfRule type="containsText" dxfId="25096" priority="1178" operator="containsText" text="CMS">
      <formula>NOT(ISERROR(SEARCH("CMS",I36)))</formula>
    </cfRule>
    <cfRule type="cellIs" dxfId="25095" priority="1179" operator="equal">
      <formula>0</formula>
    </cfRule>
    <cfRule type="cellIs" dxfId="25094" priority="1180" operator="greaterThan">
      <formula>0</formula>
    </cfRule>
  </conditionalFormatting>
  <conditionalFormatting sqref="I36:I39">
    <cfRule type="cellIs" dxfId="25093" priority="1169" operator="equal">
      <formula>"PMS"</formula>
    </cfRule>
    <cfRule type="containsText" dxfId="25092" priority="1170" operator="containsText" text="CMS">
      <formula>NOT(ISERROR(SEARCH("CMS",I36)))</formula>
    </cfRule>
    <cfRule type="cellIs" dxfId="25091" priority="1171" operator="equal">
      <formula>0</formula>
    </cfRule>
    <cfRule type="cellIs" dxfId="25090" priority="1172" operator="greaterThan">
      <formula>0</formula>
    </cfRule>
  </conditionalFormatting>
  <conditionalFormatting sqref="I36:I39">
    <cfRule type="cellIs" dxfId="25089" priority="1165" operator="equal">
      <formula>"PMS"</formula>
    </cfRule>
    <cfRule type="containsText" dxfId="25088" priority="1166" operator="containsText" text="CMS">
      <formula>NOT(ISERROR(SEARCH("CMS",I36)))</formula>
    </cfRule>
    <cfRule type="cellIs" dxfId="25087" priority="1167" operator="equal">
      <formula>0</formula>
    </cfRule>
    <cfRule type="cellIs" dxfId="25086" priority="1168" operator="greaterThan">
      <formula>0</formula>
    </cfRule>
  </conditionalFormatting>
  <conditionalFormatting sqref="O49">
    <cfRule type="cellIs" dxfId="25085" priority="1161" operator="equal">
      <formula>"PMS"</formula>
    </cfRule>
    <cfRule type="containsText" dxfId="25084" priority="1162" operator="containsText" text="CMS">
      <formula>NOT(ISERROR(SEARCH("CMS",O49)))</formula>
    </cfRule>
    <cfRule type="cellIs" dxfId="25083" priority="1163" operator="equal">
      <formula>0</formula>
    </cfRule>
    <cfRule type="cellIs" dxfId="25082" priority="1164" operator="greaterThan">
      <formula>0</formula>
    </cfRule>
  </conditionalFormatting>
  <conditionalFormatting sqref="O55:O56 P56">
    <cfRule type="cellIs" dxfId="25081" priority="1157" operator="equal">
      <formula>"PMS"</formula>
    </cfRule>
    <cfRule type="containsText" dxfId="25080" priority="1158" operator="containsText" text="CMS">
      <formula>NOT(ISERROR(SEARCH("CMS",O55)))</formula>
    </cfRule>
    <cfRule type="cellIs" dxfId="25079" priority="1159" operator="equal">
      <formula>0</formula>
    </cfRule>
    <cfRule type="cellIs" dxfId="25078" priority="1160" operator="greaterThan">
      <formula>0</formula>
    </cfRule>
  </conditionalFormatting>
  <conditionalFormatting sqref="O57:P57">
    <cfRule type="cellIs" dxfId="25077" priority="1153" operator="equal">
      <formula>"PMS"</formula>
    </cfRule>
    <cfRule type="containsText" dxfId="25076" priority="1154" operator="containsText" text="CMS">
      <formula>NOT(ISERROR(SEARCH("CMS",O57)))</formula>
    </cfRule>
    <cfRule type="cellIs" dxfId="25075" priority="1155" operator="equal">
      <formula>0</formula>
    </cfRule>
    <cfRule type="cellIs" dxfId="25074" priority="1156" operator="greaterThan">
      <formula>0</formula>
    </cfRule>
  </conditionalFormatting>
  <conditionalFormatting sqref="O49">
    <cfRule type="cellIs" dxfId="25073" priority="1149" operator="equal">
      <formula>"PMS"</formula>
    </cfRule>
    <cfRule type="containsText" dxfId="25072" priority="1150" operator="containsText" text="CMS">
      <formula>NOT(ISERROR(SEARCH("CMS",O49)))</formula>
    </cfRule>
    <cfRule type="cellIs" dxfId="25071" priority="1151" operator="equal">
      <formula>0</formula>
    </cfRule>
    <cfRule type="cellIs" dxfId="25070" priority="1152" operator="greaterThan">
      <formula>0</formula>
    </cfRule>
  </conditionalFormatting>
  <conditionalFormatting sqref="O55:O57 P56">
    <cfRule type="cellIs" dxfId="25069" priority="1145" operator="equal">
      <formula>"PMS"</formula>
    </cfRule>
    <cfRule type="containsText" dxfId="25068" priority="1146" operator="containsText" text="CMS">
      <formula>NOT(ISERROR(SEARCH("CMS",O55)))</formula>
    </cfRule>
    <cfRule type="cellIs" dxfId="25067" priority="1147" operator="equal">
      <formula>0</formula>
    </cfRule>
    <cfRule type="cellIs" dxfId="25066" priority="1148" operator="greaterThan">
      <formula>0</formula>
    </cfRule>
  </conditionalFormatting>
  <conditionalFormatting sqref="O49">
    <cfRule type="cellIs" dxfId="25065" priority="1141" operator="equal">
      <formula>"PMS"</formula>
    </cfRule>
    <cfRule type="containsText" dxfId="25064" priority="1142" operator="containsText" text="CMS">
      <formula>NOT(ISERROR(SEARCH("CMS",O49)))</formula>
    </cfRule>
    <cfRule type="cellIs" dxfId="25063" priority="1143" operator="equal">
      <formula>0</formula>
    </cfRule>
    <cfRule type="cellIs" dxfId="25062" priority="1144" operator="greaterThan">
      <formula>0</formula>
    </cfRule>
  </conditionalFormatting>
  <conditionalFormatting sqref="O55:O57 P56">
    <cfRule type="cellIs" dxfId="25061" priority="1137" operator="equal">
      <formula>"PMS"</formula>
    </cfRule>
    <cfRule type="containsText" dxfId="25060" priority="1138" operator="containsText" text="CMS">
      <formula>NOT(ISERROR(SEARCH("CMS",O55)))</formula>
    </cfRule>
    <cfRule type="cellIs" dxfId="25059" priority="1139" operator="equal">
      <formula>0</formula>
    </cfRule>
    <cfRule type="cellIs" dxfId="25058" priority="1140" operator="greaterThan">
      <formula>0</formula>
    </cfRule>
  </conditionalFormatting>
  <conditionalFormatting sqref="V14:V16">
    <cfRule type="cellIs" dxfId="25057" priority="1133" operator="equal">
      <formula>"PMS"</formula>
    </cfRule>
    <cfRule type="containsText" dxfId="25056" priority="1134" operator="containsText" text="CMS">
      <formula>NOT(ISERROR(SEARCH("CMS",V14)))</formula>
    </cfRule>
    <cfRule type="cellIs" dxfId="25055" priority="1135" operator="equal">
      <formula>0</formula>
    </cfRule>
    <cfRule type="cellIs" dxfId="25054" priority="1136" operator="greaterThan">
      <formula>0</formula>
    </cfRule>
  </conditionalFormatting>
  <conditionalFormatting sqref="V14:V16">
    <cfRule type="cellIs" dxfId="25053" priority="1129" operator="equal">
      <formula>"PMS"</formula>
    </cfRule>
    <cfRule type="containsText" dxfId="25052" priority="1130" operator="containsText" text="CMS">
      <formula>NOT(ISERROR(SEARCH("CMS",V14)))</formula>
    </cfRule>
    <cfRule type="cellIs" dxfId="25051" priority="1131" operator="equal">
      <formula>0</formula>
    </cfRule>
    <cfRule type="cellIs" dxfId="25050" priority="1132" operator="greaterThan">
      <formula>0</formula>
    </cfRule>
  </conditionalFormatting>
  <conditionalFormatting sqref="W14:W16">
    <cfRule type="cellIs" dxfId="25049" priority="1125" operator="equal">
      <formula>"PMS"</formula>
    </cfRule>
    <cfRule type="containsText" dxfId="25048" priority="1126" operator="containsText" text="CMS">
      <formula>NOT(ISERROR(SEARCH("CMS",W14)))</formula>
    </cfRule>
    <cfRule type="cellIs" dxfId="25047" priority="1127" operator="equal">
      <formula>0</formula>
    </cfRule>
    <cfRule type="cellIs" dxfId="25046" priority="1128" operator="greaterThan">
      <formula>0</formula>
    </cfRule>
  </conditionalFormatting>
  <conditionalFormatting sqref="W14:W16">
    <cfRule type="cellIs" dxfId="25045" priority="1121" operator="equal">
      <formula>"PMS"</formula>
    </cfRule>
    <cfRule type="containsText" dxfId="25044" priority="1122" operator="containsText" text="CMS">
      <formula>NOT(ISERROR(SEARCH("CMS",W14)))</formula>
    </cfRule>
    <cfRule type="cellIs" dxfId="25043" priority="1123" operator="equal">
      <formula>0</formula>
    </cfRule>
    <cfRule type="cellIs" dxfId="25042" priority="1124" operator="greaterThan">
      <formula>0</formula>
    </cfRule>
  </conditionalFormatting>
  <conditionalFormatting sqref="X16">
    <cfRule type="cellIs" dxfId="25041" priority="1117" operator="equal">
      <formula>"PMS"</formula>
    </cfRule>
    <cfRule type="containsText" dxfId="25040" priority="1118" operator="containsText" text="CMS">
      <formula>NOT(ISERROR(SEARCH("CMS",X16)))</formula>
    </cfRule>
    <cfRule type="cellIs" dxfId="25039" priority="1119" operator="equal">
      <formula>0</formula>
    </cfRule>
    <cfRule type="cellIs" dxfId="25038" priority="1120" operator="greaterThan">
      <formula>0</formula>
    </cfRule>
  </conditionalFormatting>
  <conditionalFormatting sqref="X16">
    <cfRule type="cellIs" dxfId="25037" priority="1113" operator="equal">
      <formula>"PMS"</formula>
    </cfRule>
    <cfRule type="containsText" dxfId="25036" priority="1114" operator="containsText" text="CMS">
      <formula>NOT(ISERROR(SEARCH("CMS",X16)))</formula>
    </cfRule>
    <cfRule type="cellIs" dxfId="25035" priority="1115" operator="equal">
      <formula>0</formula>
    </cfRule>
    <cfRule type="cellIs" dxfId="25034" priority="1116" operator="greaterThan">
      <formula>0</formula>
    </cfRule>
  </conditionalFormatting>
  <conditionalFormatting sqref="O49">
    <cfRule type="cellIs" dxfId="25033" priority="1109" operator="equal">
      <formula>"PMS"</formula>
    </cfRule>
    <cfRule type="containsText" dxfId="25032" priority="1110" operator="containsText" text="CMS">
      <formula>NOT(ISERROR(SEARCH("CMS",O49)))</formula>
    </cfRule>
    <cfRule type="cellIs" dxfId="25031" priority="1111" operator="equal">
      <formula>0</formula>
    </cfRule>
    <cfRule type="cellIs" dxfId="25030" priority="1112" operator="greaterThan">
      <formula>0</formula>
    </cfRule>
  </conditionalFormatting>
  <conditionalFormatting sqref="O56:P56">
    <cfRule type="cellIs" dxfId="25029" priority="1105" operator="equal">
      <formula>"PMS"</formula>
    </cfRule>
    <cfRule type="containsText" dxfId="25028" priority="1106" operator="containsText" text="CMS">
      <formula>NOT(ISERROR(SEARCH("CMS",O56)))</formula>
    </cfRule>
    <cfRule type="cellIs" dxfId="25027" priority="1107" operator="equal">
      <formula>0</formula>
    </cfRule>
    <cfRule type="cellIs" dxfId="25026" priority="1108" operator="greaterThan">
      <formula>0</formula>
    </cfRule>
  </conditionalFormatting>
  <conditionalFormatting sqref="Z14">
    <cfRule type="cellIs" dxfId="25025" priority="1101" operator="equal">
      <formula>"PMS"</formula>
    </cfRule>
    <cfRule type="containsText" dxfId="25024" priority="1102" operator="containsText" text="CMS">
      <formula>NOT(ISERROR(SEARCH("CMS",Z14)))</formula>
    </cfRule>
    <cfRule type="cellIs" dxfId="25023" priority="1103" operator="equal">
      <formula>0</formula>
    </cfRule>
    <cfRule type="cellIs" dxfId="25022" priority="1104" operator="greaterThan">
      <formula>0</formula>
    </cfRule>
  </conditionalFormatting>
  <conditionalFormatting sqref="Z14">
    <cfRule type="cellIs" dxfId="25021" priority="1097" operator="equal">
      <formula>"PMS"</formula>
    </cfRule>
    <cfRule type="containsText" dxfId="25020" priority="1098" operator="containsText" text="CMS">
      <formula>NOT(ISERROR(SEARCH("CMS",Z14)))</formula>
    </cfRule>
    <cfRule type="cellIs" dxfId="25019" priority="1099" operator="equal">
      <formula>0</formula>
    </cfRule>
    <cfRule type="cellIs" dxfId="25018" priority="1100" operator="greaterThan">
      <formula>0</formula>
    </cfRule>
  </conditionalFormatting>
  <conditionalFormatting sqref="Z15">
    <cfRule type="cellIs" dxfId="25017" priority="1093" operator="equal">
      <formula>"PMS"</formula>
    </cfRule>
    <cfRule type="containsText" dxfId="25016" priority="1094" operator="containsText" text="CMS">
      <formula>NOT(ISERROR(SEARCH("CMS",Z15)))</formula>
    </cfRule>
    <cfRule type="cellIs" dxfId="25015" priority="1095" operator="equal">
      <formula>0</formula>
    </cfRule>
    <cfRule type="cellIs" dxfId="25014" priority="1096" operator="greaterThan">
      <formula>0</formula>
    </cfRule>
  </conditionalFormatting>
  <conditionalFormatting sqref="Z15">
    <cfRule type="cellIs" dxfId="25013" priority="1089" operator="equal">
      <formula>"PMS"</formula>
    </cfRule>
    <cfRule type="containsText" dxfId="25012" priority="1090" operator="containsText" text="CMS">
      <formula>NOT(ISERROR(SEARCH("CMS",Z15)))</formula>
    </cfRule>
    <cfRule type="cellIs" dxfId="25011" priority="1091" operator="equal">
      <formula>0</formula>
    </cfRule>
    <cfRule type="cellIs" dxfId="25010" priority="1092" operator="greaterThan">
      <formula>0</formula>
    </cfRule>
  </conditionalFormatting>
  <conditionalFormatting sqref="Z16">
    <cfRule type="cellIs" dxfId="25009" priority="1085" operator="equal">
      <formula>"PMS"</formula>
    </cfRule>
    <cfRule type="containsText" dxfId="25008" priority="1086" operator="containsText" text="CMS">
      <formula>NOT(ISERROR(SEARCH("CMS",Z16)))</formula>
    </cfRule>
    <cfRule type="cellIs" dxfId="25007" priority="1087" operator="equal">
      <formula>0</formula>
    </cfRule>
    <cfRule type="cellIs" dxfId="25006" priority="1088" operator="greaterThan">
      <formula>0</formula>
    </cfRule>
  </conditionalFormatting>
  <conditionalFormatting sqref="Z16">
    <cfRule type="cellIs" dxfId="25005" priority="1081" operator="equal">
      <formula>"PMS"</formula>
    </cfRule>
    <cfRule type="containsText" dxfId="25004" priority="1082" operator="containsText" text="CMS">
      <formula>NOT(ISERROR(SEARCH("CMS",Z16)))</formula>
    </cfRule>
    <cfRule type="cellIs" dxfId="25003" priority="1083" operator="equal">
      <formula>0</formula>
    </cfRule>
    <cfRule type="cellIs" dxfId="25002" priority="1084" operator="greaterThan">
      <formula>0</formula>
    </cfRule>
  </conditionalFormatting>
  <conditionalFormatting sqref="AA13:AA16">
    <cfRule type="cellIs" dxfId="25001" priority="1077" operator="equal">
      <formula>"PMS"</formula>
    </cfRule>
    <cfRule type="containsText" dxfId="25000" priority="1078" operator="containsText" text="CMS">
      <formula>NOT(ISERROR(SEARCH("CMS",AA13)))</formula>
    </cfRule>
    <cfRule type="cellIs" dxfId="24999" priority="1079" operator="equal">
      <formula>0</formula>
    </cfRule>
    <cfRule type="cellIs" dxfId="24998" priority="1080" operator="greaterThan">
      <formula>0</formula>
    </cfRule>
  </conditionalFormatting>
  <conditionalFormatting sqref="AA13:AA16">
    <cfRule type="cellIs" dxfId="24997" priority="1073" operator="equal">
      <formula>"PMS"</formula>
    </cfRule>
    <cfRule type="containsText" dxfId="24996" priority="1074" operator="containsText" text="CMS">
      <formula>NOT(ISERROR(SEARCH("CMS",AA13)))</formula>
    </cfRule>
    <cfRule type="cellIs" dxfId="24995" priority="1075" operator="equal">
      <formula>0</formula>
    </cfRule>
    <cfRule type="cellIs" dxfId="24994" priority="1076" operator="greaterThan">
      <formula>0</formula>
    </cfRule>
  </conditionalFormatting>
  <conditionalFormatting sqref="AA15">
    <cfRule type="cellIs" dxfId="24993" priority="1069" operator="equal">
      <formula>"PMS"</formula>
    </cfRule>
    <cfRule type="containsText" dxfId="24992" priority="1070" operator="containsText" text="CMS">
      <formula>NOT(ISERROR(SEARCH("CMS",AA15)))</formula>
    </cfRule>
    <cfRule type="cellIs" dxfId="24991" priority="1071" operator="equal">
      <formula>0</formula>
    </cfRule>
    <cfRule type="cellIs" dxfId="24990" priority="1072" operator="greaterThan">
      <formula>0</formula>
    </cfRule>
  </conditionalFormatting>
  <conditionalFormatting sqref="AA15">
    <cfRule type="cellIs" dxfId="24989" priority="1065" operator="equal">
      <formula>"PMS"</formula>
    </cfRule>
    <cfRule type="containsText" dxfId="24988" priority="1066" operator="containsText" text="CMS">
      <formula>NOT(ISERROR(SEARCH("CMS",AA15)))</formula>
    </cfRule>
    <cfRule type="cellIs" dxfId="24987" priority="1067" operator="equal">
      <formula>0</formula>
    </cfRule>
    <cfRule type="cellIs" dxfId="24986" priority="1068" operator="greaterThan">
      <formula>0</formula>
    </cfRule>
  </conditionalFormatting>
  <conditionalFormatting sqref="AA16">
    <cfRule type="cellIs" dxfId="24985" priority="1061" operator="equal">
      <formula>"PMS"</formula>
    </cfRule>
    <cfRule type="containsText" dxfId="24984" priority="1062" operator="containsText" text="CMS">
      <formula>NOT(ISERROR(SEARCH("CMS",AA16)))</formula>
    </cfRule>
    <cfRule type="cellIs" dxfId="24983" priority="1063" operator="equal">
      <formula>0</formula>
    </cfRule>
    <cfRule type="cellIs" dxfId="24982" priority="1064" operator="greaterThan">
      <formula>0</formula>
    </cfRule>
  </conditionalFormatting>
  <conditionalFormatting sqref="AA16">
    <cfRule type="cellIs" dxfId="24981" priority="1057" operator="equal">
      <formula>"PMS"</formula>
    </cfRule>
    <cfRule type="containsText" dxfId="24980" priority="1058" operator="containsText" text="CMS">
      <formula>NOT(ISERROR(SEARCH("CMS",AA16)))</formula>
    </cfRule>
    <cfRule type="cellIs" dxfId="24979" priority="1059" operator="equal">
      <formula>0</formula>
    </cfRule>
    <cfRule type="cellIs" dxfId="24978" priority="1060" operator="greaterThan">
      <formula>0</formula>
    </cfRule>
  </conditionalFormatting>
  <conditionalFormatting sqref="AA27">
    <cfRule type="cellIs" dxfId="24977" priority="1053" operator="equal">
      <formula>"PMS"</formula>
    </cfRule>
    <cfRule type="containsText" dxfId="24976" priority="1054" operator="containsText" text="CMS">
      <formula>NOT(ISERROR(SEARCH("CMS",AA27)))</formula>
    </cfRule>
    <cfRule type="cellIs" dxfId="24975" priority="1055" operator="equal">
      <formula>0</formula>
    </cfRule>
    <cfRule type="cellIs" dxfId="24974" priority="1056" operator="greaterThan">
      <formula>0</formula>
    </cfRule>
  </conditionalFormatting>
  <conditionalFormatting sqref="AA27">
    <cfRule type="cellIs" dxfId="24973" priority="1049" operator="equal">
      <formula>"PMS"</formula>
    </cfRule>
    <cfRule type="containsText" dxfId="24972" priority="1050" operator="containsText" text="CMS">
      <formula>NOT(ISERROR(SEARCH("CMS",AA27)))</formula>
    </cfRule>
    <cfRule type="cellIs" dxfId="24971" priority="1051" operator="equal">
      <formula>0</formula>
    </cfRule>
    <cfRule type="cellIs" dxfId="24970" priority="1052" operator="greaterThan">
      <formula>0</formula>
    </cfRule>
  </conditionalFormatting>
  <conditionalFormatting sqref="AA28">
    <cfRule type="cellIs" dxfId="24969" priority="1045" operator="equal">
      <formula>"PMS"</formula>
    </cfRule>
    <cfRule type="containsText" dxfId="24968" priority="1046" operator="containsText" text="CMS">
      <formula>NOT(ISERROR(SEARCH("CMS",AA28)))</formula>
    </cfRule>
    <cfRule type="cellIs" dxfId="24967" priority="1047" operator="equal">
      <formula>0</formula>
    </cfRule>
    <cfRule type="cellIs" dxfId="24966" priority="1048" operator="greaterThan">
      <formula>0</formula>
    </cfRule>
  </conditionalFormatting>
  <conditionalFormatting sqref="AA28">
    <cfRule type="cellIs" dxfId="24965" priority="1041" operator="equal">
      <formula>"PMS"</formula>
    </cfRule>
    <cfRule type="containsText" dxfId="24964" priority="1042" operator="containsText" text="CMS">
      <formula>NOT(ISERROR(SEARCH("CMS",AA28)))</formula>
    </cfRule>
    <cfRule type="cellIs" dxfId="24963" priority="1043" operator="equal">
      <formula>0</formula>
    </cfRule>
    <cfRule type="cellIs" dxfId="24962" priority="1044" operator="greaterThan">
      <formula>0</formula>
    </cfRule>
  </conditionalFormatting>
  <conditionalFormatting sqref="AB14">
    <cfRule type="cellIs" dxfId="24961" priority="1037" operator="equal">
      <formula>"PMS"</formula>
    </cfRule>
    <cfRule type="containsText" dxfId="24960" priority="1038" operator="containsText" text="CMS">
      <formula>NOT(ISERROR(SEARCH("CMS",AB14)))</formula>
    </cfRule>
    <cfRule type="cellIs" dxfId="24959" priority="1039" operator="equal">
      <formula>0</formula>
    </cfRule>
    <cfRule type="cellIs" dxfId="24958" priority="1040" operator="greaterThan">
      <formula>0</formula>
    </cfRule>
  </conditionalFormatting>
  <conditionalFormatting sqref="AB14">
    <cfRule type="cellIs" dxfId="24957" priority="1033" operator="equal">
      <formula>"PMS"</formula>
    </cfRule>
    <cfRule type="containsText" dxfId="24956" priority="1034" operator="containsText" text="CMS">
      <formula>NOT(ISERROR(SEARCH("CMS",AB14)))</formula>
    </cfRule>
    <cfRule type="cellIs" dxfId="24955" priority="1035" operator="equal">
      <formula>0</formula>
    </cfRule>
    <cfRule type="cellIs" dxfId="24954" priority="1036" operator="greaterThan">
      <formula>0</formula>
    </cfRule>
  </conditionalFormatting>
  <conditionalFormatting sqref="AB15">
    <cfRule type="cellIs" dxfId="24953" priority="1029" operator="equal">
      <formula>"PMS"</formula>
    </cfRule>
    <cfRule type="containsText" dxfId="24952" priority="1030" operator="containsText" text="CMS">
      <formula>NOT(ISERROR(SEARCH("CMS",AB15)))</formula>
    </cfRule>
    <cfRule type="cellIs" dxfId="24951" priority="1031" operator="equal">
      <formula>0</formula>
    </cfRule>
    <cfRule type="cellIs" dxfId="24950" priority="1032" operator="greaterThan">
      <formula>0</formula>
    </cfRule>
  </conditionalFormatting>
  <conditionalFormatting sqref="AB15">
    <cfRule type="cellIs" dxfId="24949" priority="1025" operator="equal">
      <formula>"PMS"</formula>
    </cfRule>
    <cfRule type="containsText" dxfId="24948" priority="1026" operator="containsText" text="CMS">
      <formula>NOT(ISERROR(SEARCH("CMS",AB15)))</formula>
    </cfRule>
    <cfRule type="cellIs" dxfId="24947" priority="1027" operator="equal">
      <formula>0</formula>
    </cfRule>
    <cfRule type="cellIs" dxfId="24946" priority="1028" operator="greaterThan">
      <formula>0</formula>
    </cfRule>
  </conditionalFormatting>
  <conditionalFormatting sqref="AB16">
    <cfRule type="cellIs" dxfId="24945" priority="1021" operator="equal">
      <formula>"PMS"</formula>
    </cfRule>
    <cfRule type="containsText" dxfId="24944" priority="1022" operator="containsText" text="CMS">
      <formula>NOT(ISERROR(SEARCH("CMS",AB16)))</formula>
    </cfRule>
    <cfRule type="cellIs" dxfId="24943" priority="1023" operator="equal">
      <formula>0</formula>
    </cfRule>
    <cfRule type="cellIs" dxfId="24942" priority="1024" operator="greaterThan">
      <formula>0</formula>
    </cfRule>
  </conditionalFormatting>
  <conditionalFormatting sqref="AB16">
    <cfRule type="cellIs" dxfId="24941" priority="1017" operator="equal">
      <formula>"PMS"</formula>
    </cfRule>
    <cfRule type="containsText" dxfId="24940" priority="1018" operator="containsText" text="CMS">
      <formula>NOT(ISERROR(SEARCH("CMS",AB16)))</formula>
    </cfRule>
    <cfRule type="cellIs" dxfId="24939" priority="1019" operator="equal">
      <formula>0</formula>
    </cfRule>
    <cfRule type="cellIs" dxfId="24938" priority="1020" operator="greaterThan">
      <formula>0</formula>
    </cfRule>
  </conditionalFormatting>
  <conditionalFormatting sqref="J61:J63">
    <cfRule type="cellIs" dxfId="24937" priority="1009" operator="equal">
      <formula>"PMS"</formula>
    </cfRule>
    <cfRule type="containsText" dxfId="24936" priority="1010" operator="containsText" text="CMS">
      <formula>NOT(ISERROR(SEARCH("CMS",J61)))</formula>
    </cfRule>
    <cfRule type="cellIs" dxfId="24935" priority="1011" operator="equal">
      <formula>0</formula>
    </cfRule>
    <cfRule type="cellIs" dxfId="24934" priority="1012" operator="greaterThan">
      <formula>0</formula>
    </cfRule>
    <cfRule type="cellIs" dxfId="24933" priority="1013" operator="equal">
      <formula>"PMS"</formula>
    </cfRule>
    <cfRule type="containsText" dxfId="24932" priority="1014" operator="containsText" text="CMS">
      <formula>NOT(ISERROR(SEARCH("CMS",J61)))</formula>
    </cfRule>
    <cfRule type="cellIs" dxfId="24931" priority="1015" operator="equal">
      <formula>0</formula>
    </cfRule>
    <cfRule type="cellIs" dxfId="24930" priority="1016" operator="greaterThan">
      <formula>0</formula>
    </cfRule>
  </conditionalFormatting>
  <conditionalFormatting sqref="V14">
    <cfRule type="cellIs" dxfId="24929" priority="1005" operator="equal">
      <formula>"PMS"</formula>
    </cfRule>
    <cfRule type="containsText" dxfId="24928" priority="1006" operator="containsText" text="CMS">
      <formula>NOT(ISERROR(SEARCH("CMS",V14)))</formula>
    </cfRule>
    <cfRule type="cellIs" dxfId="24927" priority="1007" operator="equal">
      <formula>0</formula>
    </cfRule>
    <cfRule type="cellIs" dxfId="24926" priority="1008" operator="greaterThan">
      <formula>0</formula>
    </cfRule>
  </conditionalFormatting>
  <conditionalFormatting sqref="V14">
    <cfRule type="cellIs" dxfId="24925" priority="1001" operator="equal">
      <formula>"PMS"</formula>
    </cfRule>
    <cfRule type="containsText" dxfId="24924" priority="1002" operator="containsText" text="CMS">
      <formula>NOT(ISERROR(SEARCH("CMS",V14)))</formula>
    </cfRule>
    <cfRule type="cellIs" dxfId="24923" priority="1003" operator="equal">
      <formula>0</formula>
    </cfRule>
    <cfRule type="cellIs" dxfId="24922" priority="1004" operator="greaterThan">
      <formula>0</formula>
    </cfRule>
  </conditionalFormatting>
  <conditionalFormatting sqref="V15">
    <cfRule type="cellIs" dxfId="24921" priority="997" operator="equal">
      <formula>"PMS"</formula>
    </cfRule>
    <cfRule type="containsText" dxfId="24920" priority="998" operator="containsText" text="CMS">
      <formula>NOT(ISERROR(SEARCH("CMS",V15)))</formula>
    </cfRule>
    <cfRule type="cellIs" dxfId="24919" priority="999" operator="equal">
      <formula>0</formula>
    </cfRule>
    <cfRule type="cellIs" dxfId="24918" priority="1000" operator="greaterThan">
      <formula>0</formula>
    </cfRule>
  </conditionalFormatting>
  <conditionalFormatting sqref="V15">
    <cfRule type="cellIs" dxfId="24917" priority="993" operator="equal">
      <formula>"PMS"</formula>
    </cfRule>
    <cfRule type="containsText" dxfId="24916" priority="994" operator="containsText" text="CMS">
      <formula>NOT(ISERROR(SEARCH("CMS",V15)))</formula>
    </cfRule>
    <cfRule type="cellIs" dxfId="24915" priority="995" operator="equal">
      <formula>0</formula>
    </cfRule>
    <cfRule type="cellIs" dxfId="24914" priority="996" operator="greaterThan">
      <formula>0</formula>
    </cfRule>
  </conditionalFormatting>
  <conditionalFormatting sqref="V16">
    <cfRule type="cellIs" dxfId="24913" priority="989" operator="equal">
      <formula>"PMS"</formula>
    </cfRule>
    <cfRule type="containsText" dxfId="24912" priority="990" operator="containsText" text="CMS">
      <formula>NOT(ISERROR(SEARCH("CMS",V16)))</formula>
    </cfRule>
    <cfRule type="cellIs" dxfId="24911" priority="991" operator="equal">
      <formula>0</formula>
    </cfRule>
    <cfRule type="cellIs" dxfId="24910" priority="992" operator="greaterThan">
      <formula>0</formula>
    </cfRule>
  </conditionalFormatting>
  <conditionalFormatting sqref="V16">
    <cfRule type="cellIs" dxfId="24909" priority="985" operator="equal">
      <formula>"PMS"</formula>
    </cfRule>
    <cfRule type="containsText" dxfId="24908" priority="986" operator="containsText" text="CMS">
      <formula>NOT(ISERROR(SEARCH("CMS",V16)))</formula>
    </cfRule>
    <cfRule type="cellIs" dxfId="24907" priority="987" operator="equal">
      <formula>0</formula>
    </cfRule>
    <cfRule type="cellIs" dxfId="24906" priority="988" operator="greaterThan">
      <formula>0</formula>
    </cfRule>
  </conditionalFormatting>
  <conditionalFormatting sqref="W14">
    <cfRule type="cellIs" dxfId="24905" priority="981" operator="equal">
      <formula>"PMS"</formula>
    </cfRule>
    <cfRule type="containsText" dxfId="24904" priority="982" operator="containsText" text="CMS">
      <formula>NOT(ISERROR(SEARCH("CMS",W14)))</formula>
    </cfRule>
    <cfRule type="cellIs" dxfId="24903" priority="983" operator="equal">
      <formula>0</formula>
    </cfRule>
    <cfRule type="cellIs" dxfId="24902" priority="984" operator="greaterThan">
      <formula>0</formula>
    </cfRule>
  </conditionalFormatting>
  <conditionalFormatting sqref="W14">
    <cfRule type="cellIs" dxfId="24901" priority="977" operator="equal">
      <formula>"PMS"</formula>
    </cfRule>
    <cfRule type="containsText" dxfId="24900" priority="978" operator="containsText" text="CMS">
      <formula>NOT(ISERROR(SEARCH("CMS",W14)))</formula>
    </cfRule>
    <cfRule type="cellIs" dxfId="24899" priority="979" operator="equal">
      <formula>0</formula>
    </cfRule>
    <cfRule type="cellIs" dxfId="24898" priority="980" operator="greaterThan">
      <formula>0</formula>
    </cfRule>
  </conditionalFormatting>
  <conditionalFormatting sqref="W15">
    <cfRule type="cellIs" dxfId="24897" priority="973" operator="equal">
      <formula>"PMS"</formula>
    </cfRule>
    <cfRule type="containsText" dxfId="24896" priority="974" operator="containsText" text="CMS">
      <formula>NOT(ISERROR(SEARCH("CMS",W15)))</formula>
    </cfRule>
    <cfRule type="cellIs" dxfId="24895" priority="975" operator="equal">
      <formula>0</formula>
    </cfRule>
    <cfRule type="cellIs" dxfId="24894" priority="976" operator="greaterThan">
      <formula>0</formula>
    </cfRule>
  </conditionalFormatting>
  <conditionalFormatting sqref="W15">
    <cfRule type="cellIs" dxfId="24893" priority="969" operator="equal">
      <formula>"PMS"</formula>
    </cfRule>
    <cfRule type="containsText" dxfId="24892" priority="970" operator="containsText" text="CMS">
      <formula>NOT(ISERROR(SEARCH("CMS",W15)))</formula>
    </cfRule>
    <cfRule type="cellIs" dxfId="24891" priority="971" operator="equal">
      <formula>0</formula>
    </cfRule>
    <cfRule type="cellIs" dxfId="24890" priority="972" operator="greaterThan">
      <formula>0</formula>
    </cfRule>
  </conditionalFormatting>
  <conditionalFormatting sqref="W16">
    <cfRule type="cellIs" dxfId="24889" priority="965" operator="equal">
      <formula>"PMS"</formula>
    </cfRule>
    <cfRule type="containsText" dxfId="24888" priority="966" operator="containsText" text="CMS">
      <formula>NOT(ISERROR(SEARCH("CMS",W16)))</formula>
    </cfRule>
    <cfRule type="cellIs" dxfId="24887" priority="967" operator="equal">
      <formula>0</formula>
    </cfRule>
    <cfRule type="cellIs" dxfId="24886" priority="968" operator="greaterThan">
      <formula>0</formula>
    </cfRule>
  </conditionalFormatting>
  <conditionalFormatting sqref="W16">
    <cfRule type="cellIs" dxfId="24885" priority="961" operator="equal">
      <formula>"PMS"</formula>
    </cfRule>
    <cfRule type="containsText" dxfId="24884" priority="962" operator="containsText" text="CMS">
      <formula>NOT(ISERROR(SEARCH("CMS",W16)))</formula>
    </cfRule>
    <cfRule type="cellIs" dxfId="24883" priority="963" operator="equal">
      <formula>0</formula>
    </cfRule>
    <cfRule type="cellIs" dxfId="24882" priority="964" operator="greaterThan">
      <formula>0</formula>
    </cfRule>
  </conditionalFormatting>
  <conditionalFormatting sqref="G56">
    <cfRule type="cellIs" dxfId="24881" priority="953" operator="equal">
      <formula>"PMS"</formula>
    </cfRule>
    <cfRule type="containsText" dxfId="24880" priority="954" operator="containsText" text="CMS">
      <formula>NOT(ISERROR(SEARCH("CMS",G56)))</formula>
    </cfRule>
    <cfRule type="cellIs" dxfId="24879" priority="955" operator="equal">
      <formula>0</formula>
    </cfRule>
    <cfRule type="cellIs" dxfId="24878" priority="956" operator="greaterThan">
      <formula>0</formula>
    </cfRule>
    <cfRule type="cellIs" dxfId="24877" priority="957" operator="equal">
      <formula>"PMS"</formula>
    </cfRule>
    <cfRule type="containsText" dxfId="24876" priority="958" operator="containsText" text="CMS">
      <formula>NOT(ISERROR(SEARCH("CMS",G56)))</formula>
    </cfRule>
    <cfRule type="cellIs" dxfId="24875" priority="959" operator="equal">
      <formula>0</formula>
    </cfRule>
    <cfRule type="cellIs" dxfId="24874" priority="960" operator="greaterThan">
      <formula>0</formula>
    </cfRule>
  </conditionalFormatting>
  <conditionalFormatting sqref="G56">
    <cfRule type="cellIs" dxfId="24873" priority="949" operator="equal">
      <formula>"PMS"</formula>
    </cfRule>
    <cfRule type="containsText" dxfId="24872" priority="950" operator="containsText" text="CMS">
      <formula>NOT(ISERROR(SEARCH("CMS",G56)))</formula>
    </cfRule>
    <cfRule type="cellIs" dxfId="24871" priority="951" operator="equal">
      <formula>0</formula>
    </cfRule>
    <cfRule type="cellIs" dxfId="24870" priority="952" operator="greaterThan">
      <formula>0</formula>
    </cfRule>
  </conditionalFormatting>
  <conditionalFormatting sqref="G56">
    <cfRule type="cellIs" dxfId="24869" priority="945" operator="equal">
      <formula>"PMS"</formula>
    </cfRule>
    <cfRule type="containsText" dxfId="24868" priority="946" operator="containsText" text="CMS">
      <formula>NOT(ISERROR(SEARCH("CMS",G56)))</formula>
    </cfRule>
    <cfRule type="cellIs" dxfId="24867" priority="947" operator="equal">
      <formula>0</formula>
    </cfRule>
    <cfRule type="cellIs" dxfId="24866" priority="948" operator="greaterThan">
      <formula>0</formula>
    </cfRule>
  </conditionalFormatting>
  <conditionalFormatting sqref="G13:G16">
    <cfRule type="cellIs" dxfId="24865" priority="937" operator="equal">
      <formula>"PMS"</formula>
    </cfRule>
    <cfRule type="containsText" dxfId="24864" priority="938" operator="containsText" text="CMS">
      <formula>NOT(ISERROR(SEARCH("CMS",G13)))</formula>
    </cfRule>
    <cfRule type="cellIs" dxfId="24863" priority="939" operator="equal">
      <formula>0</formula>
    </cfRule>
    <cfRule type="cellIs" dxfId="24862" priority="940" operator="greaterThan">
      <formula>0</formula>
    </cfRule>
    <cfRule type="cellIs" dxfId="24861" priority="941" operator="equal">
      <formula>"PMS"</formula>
    </cfRule>
    <cfRule type="containsText" dxfId="24860" priority="942" operator="containsText" text="CMS">
      <formula>NOT(ISERROR(SEARCH("CMS",G13)))</formula>
    </cfRule>
    <cfRule type="cellIs" dxfId="24859" priority="943" operator="equal">
      <formula>0</formula>
    </cfRule>
    <cfRule type="cellIs" dxfId="24858" priority="944" operator="greaterThan">
      <formula>0</formula>
    </cfRule>
  </conditionalFormatting>
  <conditionalFormatting sqref="G13:G16">
    <cfRule type="cellIs" dxfId="24857" priority="933" operator="equal">
      <formula>"PMS"</formula>
    </cfRule>
    <cfRule type="containsText" dxfId="24856" priority="934" operator="containsText" text="CMS">
      <formula>NOT(ISERROR(SEARCH("CMS",G13)))</formula>
    </cfRule>
    <cfRule type="cellIs" dxfId="24855" priority="935" operator="equal">
      <formula>0</formula>
    </cfRule>
    <cfRule type="cellIs" dxfId="24854" priority="936" operator="greaterThan">
      <formula>0</formula>
    </cfRule>
  </conditionalFormatting>
  <conditionalFormatting sqref="G13:G16">
    <cfRule type="cellIs" dxfId="24853" priority="929" operator="equal">
      <formula>"PMS"</formula>
    </cfRule>
    <cfRule type="containsText" dxfId="24852" priority="930" operator="containsText" text="CMS">
      <formula>NOT(ISERROR(SEARCH("CMS",G13)))</formula>
    </cfRule>
    <cfRule type="cellIs" dxfId="24851" priority="931" operator="equal">
      <formula>0</formula>
    </cfRule>
    <cfRule type="cellIs" dxfId="24850" priority="932" operator="greaterThan">
      <formula>0</formula>
    </cfRule>
  </conditionalFormatting>
  <conditionalFormatting sqref="G13:G16">
    <cfRule type="cellIs" dxfId="24849" priority="925" operator="equal">
      <formula>"PMS"</formula>
    </cfRule>
    <cfRule type="containsText" dxfId="24848" priority="926" operator="containsText" text="CMS">
      <formula>NOT(ISERROR(SEARCH("CMS",G13)))</formula>
    </cfRule>
    <cfRule type="cellIs" dxfId="24847" priority="927" operator="equal">
      <formula>0</formula>
    </cfRule>
    <cfRule type="cellIs" dxfId="24846" priority="928" operator="greaterThan">
      <formula>0</formula>
    </cfRule>
  </conditionalFormatting>
  <conditionalFormatting sqref="G13:G16">
    <cfRule type="cellIs" dxfId="24845" priority="921" operator="equal">
      <formula>"PMS"</formula>
    </cfRule>
    <cfRule type="containsText" dxfId="24844" priority="922" operator="containsText" text="CMS">
      <formula>NOT(ISERROR(SEARCH("CMS",G13)))</formula>
    </cfRule>
    <cfRule type="cellIs" dxfId="24843" priority="923" operator="equal">
      <formula>0</formula>
    </cfRule>
    <cfRule type="cellIs" dxfId="24842" priority="924" operator="greaterThan">
      <formula>0</formula>
    </cfRule>
  </conditionalFormatting>
  <conditionalFormatting sqref="G20:G21">
    <cfRule type="cellIs" dxfId="24841" priority="913" operator="equal">
      <formula>"PMS"</formula>
    </cfRule>
    <cfRule type="containsText" dxfId="24840" priority="914" operator="containsText" text="CMS">
      <formula>NOT(ISERROR(SEARCH("CMS",G20)))</formula>
    </cfRule>
    <cfRule type="cellIs" dxfId="24839" priority="915" operator="equal">
      <formula>0</formula>
    </cfRule>
    <cfRule type="cellIs" dxfId="24838" priority="916" operator="greaterThan">
      <formula>0</formula>
    </cfRule>
    <cfRule type="cellIs" dxfId="24837" priority="917" operator="equal">
      <formula>"PMS"</formula>
    </cfRule>
    <cfRule type="containsText" dxfId="24836" priority="918" operator="containsText" text="CMS">
      <formula>NOT(ISERROR(SEARCH("CMS",G20)))</formula>
    </cfRule>
    <cfRule type="cellIs" dxfId="24835" priority="919" operator="equal">
      <formula>0</formula>
    </cfRule>
    <cfRule type="cellIs" dxfId="24834" priority="920" operator="greaterThan">
      <formula>0</formula>
    </cfRule>
  </conditionalFormatting>
  <conditionalFormatting sqref="G20:G21">
    <cfRule type="cellIs" dxfId="24833" priority="909" operator="equal">
      <formula>"PMS"</formula>
    </cfRule>
    <cfRule type="containsText" dxfId="24832" priority="910" operator="containsText" text="CMS">
      <formula>NOT(ISERROR(SEARCH("CMS",G20)))</formula>
    </cfRule>
    <cfRule type="cellIs" dxfId="24831" priority="911" operator="equal">
      <formula>0</formula>
    </cfRule>
    <cfRule type="cellIs" dxfId="24830" priority="912" operator="greaterThan">
      <formula>0</formula>
    </cfRule>
  </conditionalFormatting>
  <conditionalFormatting sqref="G20:G21">
    <cfRule type="cellIs" dxfId="24829" priority="905" operator="equal">
      <formula>"PMS"</formula>
    </cfRule>
    <cfRule type="containsText" dxfId="24828" priority="906" operator="containsText" text="CMS">
      <formula>NOT(ISERROR(SEARCH("CMS",G20)))</formula>
    </cfRule>
    <cfRule type="cellIs" dxfId="24827" priority="907" operator="equal">
      <formula>0</formula>
    </cfRule>
    <cfRule type="cellIs" dxfId="24826" priority="908" operator="greaterThan">
      <formula>0</formula>
    </cfRule>
  </conditionalFormatting>
  <conditionalFormatting sqref="G27:G29 J29 M29 P29 S29 V29 AB29">
    <cfRule type="cellIs" dxfId="24825" priority="897" operator="equal">
      <formula>"PMS"</formula>
    </cfRule>
    <cfRule type="containsText" dxfId="24824" priority="898" operator="containsText" text="CMS">
      <formula>NOT(ISERROR(SEARCH("CMS",G27)))</formula>
    </cfRule>
    <cfRule type="cellIs" dxfId="24823" priority="899" operator="equal">
      <formula>0</formula>
    </cfRule>
    <cfRule type="cellIs" dxfId="24822" priority="900" operator="greaterThan">
      <formula>0</formula>
    </cfRule>
    <cfRule type="cellIs" dxfId="24821" priority="901" operator="equal">
      <formula>"PMS"</formula>
    </cfRule>
    <cfRule type="containsText" dxfId="24820" priority="902" operator="containsText" text="CMS">
      <formula>NOT(ISERROR(SEARCH("CMS",G27)))</formula>
    </cfRule>
    <cfRule type="cellIs" dxfId="24819" priority="903" operator="equal">
      <formula>0</formula>
    </cfRule>
    <cfRule type="cellIs" dxfId="24818" priority="904" operator="greaterThan">
      <formula>0</formula>
    </cfRule>
  </conditionalFormatting>
  <conditionalFormatting sqref="G27:G29 J29 M29 P29 S29 V29 AB29">
    <cfRule type="cellIs" dxfId="24817" priority="893" operator="equal">
      <formula>"PMS"</formula>
    </cfRule>
    <cfRule type="containsText" dxfId="24816" priority="894" operator="containsText" text="CMS">
      <formula>NOT(ISERROR(SEARCH("CMS",G27)))</formula>
    </cfRule>
    <cfRule type="cellIs" dxfId="24815" priority="895" operator="equal">
      <formula>0</formula>
    </cfRule>
    <cfRule type="cellIs" dxfId="24814" priority="896" operator="greaterThan">
      <formula>0</formula>
    </cfRule>
  </conditionalFormatting>
  <conditionalFormatting sqref="G27:G29 J29 M29 P29 S29 V29 AB29">
    <cfRule type="cellIs" dxfId="24813" priority="889" operator="equal">
      <formula>"PMS"</formula>
    </cfRule>
    <cfRule type="containsText" dxfId="24812" priority="890" operator="containsText" text="CMS">
      <formula>NOT(ISERROR(SEARCH("CMS",G27)))</formula>
    </cfRule>
    <cfRule type="cellIs" dxfId="24811" priority="891" operator="equal">
      <formula>0</formula>
    </cfRule>
    <cfRule type="cellIs" dxfId="24810" priority="892" operator="greaterThan">
      <formula>0</formula>
    </cfRule>
  </conditionalFormatting>
  <conditionalFormatting sqref="G45:G46">
    <cfRule type="cellIs" dxfId="24809" priority="881" operator="equal">
      <formula>"PMS"</formula>
    </cfRule>
    <cfRule type="containsText" dxfId="24808" priority="882" operator="containsText" text="CMS">
      <formula>NOT(ISERROR(SEARCH("CMS",G45)))</formula>
    </cfRule>
    <cfRule type="cellIs" dxfId="24807" priority="883" operator="equal">
      <formula>0</formula>
    </cfRule>
    <cfRule type="cellIs" dxfId="24806" priority="884" operator="greaterThan">
      <formula>0</formula>
    </cfRule>
    <cfRule type="cellIs" dxfId="24805" priority="885" operator="equal">
      <formula>"PMS"</formula>
    </cfRule>
    <cfRule type="containsText" dxfId="24804" priority="886" operator="containsText" text="CMS">
      <formula>NOT(ISERROR(SEARCH("CMS",G45)))</formula>
    </cfRule>
    <cfRule type="cellIs" dxfId="24803" priority="887" operator="equal">
      <formula>0</formula>
    </cfRule>
    <cfRule type="cellIs" dxfId="24802" priority="888" operator="greaterThan">
      <formula>0</formula>
    </cfRule>
  </conditionalFormatting>
  <conditionalFormatting sqref="G45:G46">
    <cfRule type="cellIs" dxfId="24801" priority="877" operator="equal">
      <formula>"PMS"</formula>
    </cfRule>
    <cfRule type="containsText" dxfId="24800" priority="878" operator="containsText" text="CMS">
      <formula>NOT(ISERROR(SEARCH("CMS",G45)))</formula>
    </cfRule>
    <cfRule type="cellIs" dxfId="24799" priority="879" operator="equal">
      <formula>0</formula>
    </cfRule>
    <cfRule type="cellIs" dxfId="24798" priority="880" operator="greaterThan">
      <formula>0</formula>
    </cfRule>
  </conditionalFormatting>
  <conditionalFormatting sqref="G45:G46">
    <cfRule type="cellIs" dxfId="24797" priority="873" operator="equal">
      <formula>"PMS"</formula>
    </cfRule>
    <cfRule type="containsText" dxfId="24796" priority="874" operator="containsText" text="CMS">
      <formula>NOT(ISERROR(SEARCH("CMS",G45)))</formula>
    </cfRule>
    <cfRule type="cellIs" dxfId="24795" priority="875" operator="equal">
      <formula>0</formula>
    </cfRule>
    <cfRule type="cellIs" dxfId="24794" priority="876" operator="greaterThan">
      <formula>0</formula>
    </cfRule>
  </conditionalFormatting>
  <conditionalFormatting sqref="I61:I63">
    <cfRule type="cellIs" dxfId="24793" priority="865" operator="equal">
      <formula>"PMS"</formula>
    </cfRule>
    <cfRule type="containsText" dxfId="24792" priority="866" operator="containsText" text="CMS">
      <formula>NOT(ISERROR(SEARCH("CMS",I61)))</formula>
    </cfRule>
    <cfRule type="cellIs" dxfId="24791" priority="867" operator="equal">
      <formula>0</formula>
    </cfRule>
    <cfRule type="cellIs" dxfId="24790" priority="868" operator="greaterThan">
      <formula>0</formula>
    </cfRule>
    <cfRule type="cellIs" dxfId="24789" priority="869" operator="equal">
      <formula>"PMS"</formula>
    </cfRule>
    <cfRule type="containsText" dxfId="24788" priority="870" operator="containsText" text="CMS">
      <formula>NOT(ISERROR(SEARCH("CMS",I61)))</formula>
    </cfRule>
    <cfRule type="cellIs" dxfId="24787" priority="871" operator="equal">
      <formula>0</formula>
    </cfRule>
    <cfRule type="cellIs" dxfId="24786" priority="872" operator="greaterThan">
      <formula>0</formula>
    </cfRule>
  </conditionalFormatting>
  <conditionalFormatting sqref="O48">
    <cfRule type="cellIs" dxfId="24785" priority="861" operator="equal">
      <formula>"PMS"</formula>
    </cfRule>
    <cfRule type="containsText" dxfId="24784" priority="862" operator="containsText" text="CMS">
      <formula>NOT(ISERROR(SEARCH("CMS",O48)))</formula>
    </cfRule>
    <cfRule type="cellIs" dxfId="24783" priority="863" operator="equal">
      <formula>0</formula>
    </cfRule>
    <cfRule type="cellIs" dxfId="24782" priority="864" operator="greaterThan">
      <formula>0</formula>
    </cfRule>
  </conditionalFormatting>
  <conditionalFormatting sqref="O48">
    <cfRule type="cellIs" dxfId="24781" priority="857" operator="equal">
      <formula>"PMS"</formula>
    </cfRule>
    <cfRule type="containsText" dxfId="24780" priority="858" operator="containsText" text="CMS">
      <formula>NOT(ISERROR(SEARCH("CMS",O48)))</formula>
    </cfRule>
    <cfRule type="cellIs" dxfId="24779" priority="859" operator="equal">
      <formula>0</formula>
    </cfRule>
    <cfRule type="cellIs" dxfId="24778" priority="860" operator="greaterThan">
      <formula>0</formula>
    </cfRule>
  </conditionalFormatting>
  <conditionalFormatting sqref="O48">
    <cfRule type="cellIs" dxfId="24777" priority="853" operator="equal">
      <formula>"PMS"</formula>
    </cfRule>
    <cfRule type="containsText" dxfId="24776" priority="854" operator="containsText" text="CMS">
      <formula>NOT(ISERROR(SEARCH("CMS",O48)))</formula>
    </cfRule>
    <cfRule type="cellIs" dxfId="24775" priority="855" operator="equal">
      <formula>0</formula>
    </cfRule>
    <cfRule type="cellIs" dxfId="24774" priority="856" operator="greaterThan">
      <formula>0</formula>
    </cfRule>
  </conditionalFormatting>
  <conditionalFormatting sqref="O48">
    <cfRule type="cellIs" dxfId="24773" priority="849" operator="equal">
      <formula>"PMS"</formula>
    </cfRule>
    <cfRule type="containsText" dxfId="24772" priority="850" operator="containsText" text="CMS">
      <formula>NOT(ISERROR(SEARCH("CMS",O48)))</formula>
    </cfRule>
    <cfRule type="cellIs" dxfId="24771" priority="851" operator="equal">
      <formula>0</formula>
    </cfRule>
    <cfRule type="cellIs" dxfId="24770" priority="852" operator="greaterThan">
      <formula>0</formula>
    </cfRule>
  </conditionalFormatting>
  <conditionalFormatting sqref="O56:P56">
    <cfRule type="cellIs" dxfId="24769" priority="845" operator="equal">
      <formula>"PMS"</formula>
    </cfRule>
    <cfRule type="containsText" dxfId="24768" priority="846" operator="containsText" text="CMS">
      <formula>NOT(ISERROR(SEARCH("CMS",O56)))</formula>
    </cfRule>
    <cfRule type="cellIs" dxfId="24767" priority="847" operator="equal">
      <formula>0</formula>
    </cfRule>
    <cfRule type="cellIs" dxfId="24766" priority="848" operator="greaterThan">
      <formula>0</formula>
    </cfRule>
  </conditionalFormatting>
  <conditionalFormatting sqref="O56:P56">
    <cfRule type="cellIs" dxfId="24765" priority="841" operator="equal">
      <formula>"PMS"</formula>
    </cfRule>
    <cfRule type="containsText" dxfId="24764" priority="842" operator="containsText" text="CMS">
      <formula>NOT(ISERROR(SEARCH("CMS",O56)))</formula>
    </cfRule>
    <cfRule type="cellIs" dxfId="24763" priority="843" operator="equal">
      <formula>0</formula>
    </cfRule>
    <cfRule type="cellIs" dxfId="24762" priority="844" operator="greaterThan">
      <formula>0</formula>
    </cfRule>
  </conditionalFormatting>
  <conditionalFormatting sqref="O56:P56">
    <cfRule type="cellIs" dxfId="24761" priority="837" operator="equal">
      <formula>"PMS"</formula>
    </cfRule>
    <cfRule type="containsText" dxfId="24760" priority="838" operator="containsText" text="CMS">
      <formula>NOT(ISERROR(SEARCH("CMS",O56)))</formula>
    </cfRule>
    <cfRule type="cellIs" dxfId="24759" priority="839" operator="equal">
      <formula>0</formula>
    </cfRule>
    <cfRule type="cellIs" dxfId="24758" priority="840" operator="greaterThan">
      <formula>0</formula>
    </cfRule>
  </conditionalFormatting>
  <conditionalFormatting sqref="O56:P56">
    <cfRule type="cellIs" dxfId="24757" priority="833" operator="equal">
      <formula>"PMS"</formula>
    </cfRule>
    <cfRule type="containsText" dxfId="24756" priority="834" operator="containsText" text="CMS">
      <formula>NOT(ISERROR(SEARCH("CMS",O56)))</formula>
    </cfRule>
    <cfRule type="cellIs" dxfId="24755" priority="835" operator="equal">
      <formula>0</formula>
    </cfRule>
    <cfRule type="cellIs" dxfId="24754" priority="836" operator="greaterThan">
      <formula>0</formula>
    </cfRule>
  </conditionalFormatting>
  <conditionalFormatting sqref="O57:P57">
    <cfRule type="cellIs" dxfId="24753" priority="829" operator="equal">
      <formula>"PMS"</formula>
    </cfRule>
    <cfRule type="containsText" dxfId="24752" priority="830" operator="containsText" text="CMS">
      <formula>NOT(ISERROR(SEARCH("CMS",O57)))</formula>
    </cfRule>
    <cfRule type="cellIs" dxfId="24751" priority="831" operator="equal">
      <formula>0</formula>
    </cfRule>
    <cfRule type="cellIs" dxfId="24750" priority="832" operator="greaterThan">
      <formula>0</formula>
    </cfRule>
  </conditionalFormatting>
  <conditionalFormatting sqref="O57:P57">
    <cfRule type="cellIs" dxfId="24749" priority="825" operator="equal">
      <formula>"PMS"</formula>
    </cfRule>
    <cfRule type="containsText" dxfId="24748" priority="826" operator="containsText" text="CMS">
      <formula>NOT(ISERROR(SEARCH("CMS",O57)))</formula>
    </cfRule>
    <cfRule type="cellIs" dxfId="24747" priority="827" operator="equal">
      <formula>0</formula>
    </cfRule>
    <cfRule type="cellIs" dxfId="24746" priority="828" operator="greaterThan">
      <formula>0</formula>
    </cfRule>
  </conditionalFormatting>
  <conditionalFormatting sqref="O57:P57">
    <cfRule type="cellIs" dxfId="24745" priority="821" operator="equal">
      <formula>"PMS"</formula>
    </cfRule>
    <cfRule type="containsText" dxfId="24744" priority="822" operator="containsText" text="CMS">
      <formula>NOT(ISERROR(SEARCH("CMS",O57)))</formula>
    </cfRule>
    <cfRule type="cellIs" dxfId="24743" priority="823" operator="equal">
      <formula>0</formula>
    </cfRule>
    <cfRule type="cellIs" dxfId="24742" priority="824" operator="greaterThan">
      <formula>0</formula>
    </cfRule>
  </conditionalFormatting>
  <conditionalFormatting sqref="O57:P57">
    <cfRule type="cellIs" dxfId="24741" priority="817" operator="equal">
      <formula>"PMS"</formula>
    </cfRule>
    <cfRule type="containsText" dxfId="24740" priority="818" operator="containsText" text="CMS">
      <formula>NOT(ISERROR(SEARCH("CMS",O57)))</formula>
    </cfRule>
    <cfRule type="cellIs" dxfId="24739" priority="819" operator="equal">
      <formula>0</formula>
    </cfRule>
    <cfRule type="cellIs" dxfId="24738" priority="820" operator="greaterThan">
      <formula>0</formula>
    </cfRule>
  </conditionalFormatting>
  <conditionalFormatting sqref="G48:G49">
    <cfRule type="cellIs" dxfId="24737" priority="809" operator="equal">
      <formula>"PMS"</formula>
    </cfRule>
    <cfRule type="containsText" dxfId="24736" priority="810" operator="containsText" text="CMS">
      <formula>NOT(ISERROR(SEARCH("CMS",G48)))</formula>
    </cfRule>
    <cfRule type="cellIs" dxfId="24735" priority="811" operator="equal">
      <formula>0</formula>
    </cfRule>
    <cfRule type="cellIs" dxfId="24734" priority="812" operator="greaterThan">
      <formula>0</formula>
    </cfRule>
    <cfRule type="cellIs" dxfId="24733" priority="813" operator="equal">
      <formula>"PMS"</formula>
    </cfRule>
    <cfRule type="containsText" dxfId="24732" priority="814" operator="containsText" text="CMS">
      <formula>NOT(ISERROR(SEARCH("CMS",G48)))</formula>
    </cfRule>
    <cfRule type="cellIs" dxfId="24731" priority="815" operator="equal">
      <formula>0</formula>
    </cfRule>
    <cfRule type="cellIs" dxfId="24730" priority="816" operator="greaterThan">
      <formula>0</formula>
    </cfRule>
  </conditionalFormatting>
  <conditionalFormatting sqref="G48:G49">
    <cfRule type="cellIs" dxfId="24729" priority="805" operator="equal">
      <formula>"PMS"</formula>
    </cfRule>
    <cfRule type="containsText" dxfId="24728" priority="806" operator="containsText" text="CMS">
      <formula>NOT(ISERROR(SEARCH("CMS",G48)))</formula>
    </cfRule>
    <cfRule type="cellIs" dxfId="24727" priority="807" operator="equal">
      <formula>0</formula>
    </cfRule>
    <cfRule type="cellIs" dxfId="24726" priority="808" operator="greaterThan">
      <formula>0</formula>
    </cfRule>
  </conditionalFormatting>
  <conditionalFormatting sqref="G48:G49">
    <cfRule type="cellIs" dxfId="24725" priority="801" operator="equal">
      <formula>"PMS"</formula>
    </cfRule>
    <cfRule type="containsText" dxfId="24724" priority="802" operator="containsText" text="CMS">
      <formula>NOT(ISERROR(SEARCH("CMS",G48)))</formula>
    </cfRule>
    <cfRule type="cellIs" dxfId="24723" priority="803" operator="equal">
      <formula>0</formula>
    </cfRule>
    <cfRule type="cellIs" dxfId="24722" priority="804" operator="greaterThan">
      <formula>0</formula>
    </cfRule>
  </conditionalFormatting>
  <conditionalFormatting sqref="G66:G72 G74">
    <cfRule type="cellIs" dxfId="24721" priority="793" operator="equal">
      <formula>"PMS"</formula>
    </cfRule>
    <cfRule type="containsText" dxfId="24720" priority="794" operator="containsText" text="CMS">
      <formula>NOT(ISERROR(SEARCH("CMS",G66)))</formula>
    </cfRule>
    <cfRule type="cellIs" dxfId="24719" priority="795" operator="equal">
      <formula>0</formula>
    </cfRule>
    <cfRule type="cellIs" dxfId="24718" priority="796" operator="greaterThan">
      <formula>0</formula>
    </cfRule>
    <cfRule type="cellIs" dxfId="24717" priority="797" operator="equal">
      <formula>"PMS"</formula>
    </cfRule>
    <cfRule type="containsText" dxfId="24716" priority="798" operator="containsText" text="CMS">
      <formula>NOT(ISERROR(SEARCH("CMS",G66)))</formula>
    </cfRule>
    <cfRule type="cellIs" dxfId="24715" priority="799" operator="equal">
      <formula>0</formula>
    </cfRule>
    <cfRule type="cellIs" dxfId="24714" priority="800" operator="greaterThan">
      <formula>0</formula>
    </cfRule>
  </conditionalFormatting>
  <conditionalFormatting sqref="O53:O58 P56">
    <cfRule type="cellIs" dxfId="24713" priority="789" operator="equal">
      <formula>"PMS"</formula>
    </cfRule>
    <cfRule type="containsText" dxfId="24712" priority="790" operator="containsText" text="CMS">
      <formula>NOT(ISERROR(SEARCH("CMS",O53)))</formula>
    </cfRule>
    <cfRule type="cellIs" dxfId="24711" priority="791" operator="equal">
      <formula>0</formula>
    </cfRule>
    <cfRule type="cellIs" dxfId="24710" priority="792" operator="greaterThan">
      <formula>0</formula>
    </cfRule>
  </conditionalFormatting>
  <conditionalFormatting sqref="G24 G35 G73 I24 I35 I73:J73">
    <cfRule type="cellIs" dxfId="24709" priority="781" operator="equal">
      <formula>"PMS"</formula>
    </cfRule>
    <cfRule type="containsText" dxfId="24708" priority="782" operator="containsText" text="CMS">
      <formula>NOT(ISERROR(SEARCH("CMS",G24)))</formula>
    </cfRule>
    <cfRule type="cellIs" dxfId="24707" priority="783" operator="equal">
      <formula>0</formula>
    </cfRule>
    <cfRule type="cellIs" dxfId="24706" priority="784" operator="greaterThan">
      <formula>0</formula>
    </cfRule>
    <cfRule type="cellIs" dxfId="24705" priority="785" operator="equal">
      <formula>"PMS"</formula>
    </cfRule>
    <cfRule type="containsText" dxfId="24704" priority="786" operator="containsText" text="CMS">
      <formula>NOT(ISERROR(SEARCH("CMS",G24)))</formula>
    </cfRule>
    <cfRule type="cellIs" dxfId="24703" priority="787" operator="equal">
      <formula>0</formula>
    </cfRule>
    <cfRule type="cellIs" dxfId="24702" priority="788" operator="greaterThan">
      <formula>0</formula>
    </cfRule>
  </conditionalFormatting>
  <conditionalFormatting sqref="G73 I73:J73">
    <cfRule type="cellIs" dxfId="24701" priority="777" operator="equal">
      <formula>"PMS"</formula>
    </cfRule>
    <cfRule type="containsText" dxfId="24700" priority="778" operator="containsText" text="CMS">
      <formula>NOT(ISERROR(SEARCH("CMS",G73)))</formula>
    </cfRule>
    <cfRule type="cellIs" dxfId="24699" priority="779" operator="equal">
      <formula>0</formula>
    </cfRule>
    <cfRule type="cellIs" dxfId="24698" priority="780" operator="greaterThan">
      <formula>0</formula>
    </cfRule>
  </conditionalFormatting>
  <conditionalFormatting sqref="G73 I73:J73">
    <cfRule type="cellIs" dxfId="24697" priority="773" operator="equal">
      <formula>"PMS"</formula>
    </cfRule>
    <cfRule type="containsText" dxfId="24696" priority="774" operator="containsText" text="CMS">
      <formula>NOT(ISERROR(SEARCH("CMS",G73)))</formula>
    </cfRule>
    <cfRule type="cellIs" dxfId="24695" priority="775" operator="equal">
      <formula>0</formula>
    </cfRule>
    <cfRule type="cellIs" dxfId="24694" priority="776" operator="greaterThan">
      <formula>0</formula>
    </cfRule>
  </conditionalFormatting>
  <conditionalFormatting sqref="G24 I24">
    <cfRule type="cellIs" dxfId="24693" priority="769" operator="equal">
      <formula>"PMS"</formula>
    </cfRule>
    <cfRule type="containsText" dxfId="24692" priority="770" operator="containsText" text="CMS">
      <formula>NOT(ISERROR(SEARCH("CMS",G24)))</formula>
    </cfRule>
    <cfRule type="cellIs" dxfId="24691" priority="771" operator="equal">
      <formula>0</formula>
    </cfRule>
    <cfRule type="cellIs" dxfId="24690" priority="772" operator="greaterThan">
      <formula>0</formula>
    </cfRule>
  </conditionalFormatting>
  <conditionalFormatting sqref="G24 I24">
    <cfRule type="cellIs" dxfId="24689" priority="765" operator="equal">
      <formula>"PMS"</formula>
    </cfRule>
    <cfRule type="containsText" dxfId="24688" priority="766" operator="containsText" text="CMS">
      <formula>NOT(ISERROR(SEARCH("CMS",G24)))</formula>
    </cfRule>
    <cfRule type="cellIs" dxfId="24687" priority="767" operator="equal">
      <formula>0</formula>
    </cfRule>
    <cfRule type="cellIs" dxfId="24686" priority="768" operator="greaterThan">
      <formula>0</formula>
    </cfRule>
  </conditionalFormatting>
  <conditionalFormatting sqref="G35 I35">
    <cfRule type="cellIs" dxfId="24685" priority="761" operator="equal">
      <formula>"PMS"</formula>
    </cfRule>
    <cfRule type="containsText" dxfId="24684" priority="762" operator="containsText" text="CMS">
      <formula>NOT(ISERROR(SEARCH("CMS",G35)))</formula>
    </cfRule>
    <cfRule type="cellIs" dxfId="24683" priority="763" operator="equal">
      <formula>0</formula>
    </cfRule>
    <cfRule type="cellIs" dxfId="24682" priority="764" operator="greaterThan">
      <formula>0</formula>
    </cfRule>
  </conditionalFormatting>
  <conditionalFormatting sqref="G35 I35">
    <cfRule type="cellIs" dxfId="24681" priority="757" operator="equal">
      <formula>"PMS"</formula>
    </cfRule>
    <cfRule type="containsText" dxfId="24680" priority="758" operator="containsText" text="CMS">
      <formula>NOT(ISERROR(SEARCH("CMS",G35)))</formula>
    </cfRule>
    <cfRule type="cellIs" dxfId="24679" priority="759" operator="equal">
      <formula>0</formula>
    </cfRule>
    <cfRule type="cellIs" dxfId="24678" priority="760" operator="greaterThan">
      <formula>0</formula>
    </cfRule>
  </conditionalFormatting>
  <conditionalFormatting sqref="G19 I19">
    <cfRule type="cellIs" dxfId="24677" priority="749" operator="equal">
      <formula>"PMS"</formula>
    </cfRule>
    <cfRule type="containsText" dxfId="24676" priority="750" operator="containsText" text="CMS">
      <formula>NOT(ISERROR(SEARCH("CMS",G19)))</formula>
    </cfRule>
    <cfRule type="cellIs" dxfId="24675" priority="751" operator="equal">
      <formula>0</formula>
    </cfRule>
    <cfRule type="cellIs" dxfId="24674" priority="752" operator="greaterThan">
      <formula>0</formula>
    </cfRule>
    <cfRule type="cellIs" dxfId="24673" priority="753" operator="equal">
      <formula>"PMS"</formula>
    </cfRule>
    <cfRule type="containsText" dxfId="24672" priority="754" operator="containsText" text="CMS">
      <formula>NOT(ISERROR(SEARCH("CMS",G19)))</formula>
    </cfRule>
    <cfRule type="cellIs" dxfId="24671" priority="755" operator="equal">
      <formula>0</formula>
    </cfRule>
    <cfRule type="cellIs" dxfId="24670" priority="756" operator="greaterThan">
      <formula>0</formula>
    </cfRule>
  </conditionalFormatting>
  <conditionalFormatting sqref="G19 I19">
    <cfRule type="cellIs" dxfId="24669" priority="745" operator="equal">
      <formula>"PMS"</formula>
    </cfRule>
    <cfRule type="containsText" dxfId="24668" priority="746" operator="containsText" text="CMS">
      <formula>NOT(ISERROR(SEARCH("CMS",G19)))</formula>
    </cfRule>
    <cfRule type="cellIs" dxfId="24667" priority="747" operator="equal">
      <formula>0</formula>
    </cfRule>
    <cfRule type="cellIs" dxfId="24666" priority="748" operator="greaterThan">
      <formula>0</formula>
    </cfRule>
  </conditionalFormatting>
  <conditionalFormatting sqref="G19 I19">
    <cfRule type="cellIs" dxfId="24665" priority="741" operator="equal">
      <formula>"PMS"</formula>
    </cfRule>
    <cfRule type="containsText" dxfId="24664" priority="742" operator="containsText" text="CMS">
      <formula>NOT(ISERROR(SEARCH("CMS",G19)))</formula>
    </cfRule>
    <cfRule type="cellIs" dxfId="24663" priority="743" operator="equal">
      <formula>0</formula>
    </cfRule>
    <cfRule type="cellIs" dxfId="24662" priority="744" operator="greaterThan">
      <formula>0</formula>
    </cfRule>
  </conditionalFormatting>
  <conditionalFormatting sqref="O55">
    <cfRule type="cellIs" dxfId="24661" priority="737" operator="equal">
      <formula>"PMS"</formula>
    </cfRule>
    <cfRule type="containsText" dxfId="24660" priority="738" operator="containsText" text="CMS">
      <formula>NOT(ISERROR(SEARCH("CMS",O55)))</formula>
    </cfRule>
    <cfRule type="cellIs" dxfId="24659" priority="739" operator="equal">
      <formula>0</formula>
    </cfRule>
    <cfRule type="cellIs" dxfId="24658" priority="740" operator="greaterThan">
      <formula>0</formula>
    </cfRule>
  </conditionalFormatting>
  <conditionalFormatting sqref="K62:K63">
    <cfRule type="cellIs" dxfId="24657" priority="729" operator="equal">
      <formula>"PMS"</formula>
    </cfRule>
    <cfRule type="containsText" dxfId="24656" priority="730" operator="containsText" text="CMS">
      <formula>NOT(ISERROR(SEARCH("CMS",K62)))</formula>
    </cfRule>
    <cfRule type="cellIs" dxfId="24655" priority="731" operator="equal">
      <formula>0</formula>
    </cfRule>
    <cfRule type="cellIs" dxfId="24654" priority="732" operator="greaterThan">
      <formula>0</formula>
    </cfRule>
    <cfRule type="cellIs" dxfId="24653" priority="733" operator="equal">
      <formula>"PMS"</formula>
    </cfRule>
    <cfRule type="containsText" dxfId="24652" priority="734" operator="containsText" text="CMS">
      <formula>NOT(ISERROR(SEARCH("CMS",K62)))</formula>
    </cfRule>
    <cfRule type="cellIs" dxfId="24651" priority="735" operator="equal">
      <formula>0</formula>
    </cfRule>
    <cfRule type="cellIs" dxfId="24650" priority="736" operator="greaterThan">
      <formula>0</formula>
    </cfRule>
  </conditionalFormatting>
  <conditionalFormatting sqref="O47:P47">
    <cfRule type="cellIs" dxfId="24649" priority="725" operator="equal">
      <formula>"PMS"</formula>
    </cfRule>
    <cfRule type="containsText" dxfId="24648" priority="726" operator="containsText" text="CMS">
      <formula>NOT(ISERROR(SEARCH("CMS",O47)))</formula>
    </cfRule>
    <cfRule type="cellIs" dxfId="24647" priority="727" operator="equal">
      <formula>0</formula>
    </cfRule>
    <cfRule type="cellIs" dxfId="24646" priority="728" operator="greaterThan">
      <formula>0</formula>
    </cfRule>
  </conditionalFormatting>
  <conditionalFormatting sqref="O16:P16">
    <cfRule type="cellIs" dxfId="24645" priority="721" operator="equal">
      <formula>"PMS"</formula>
    </cfRule>
    <cfRule type="containsText" dxfId="24644" priority="722" operator="containsText" text="CMS">
      <formula>NOT(ISERROR(SEARCH("CMS",O16)))</formula>
    </cfRule>
    <cfRule type="cellIs" dxfId="24643" priority="723" operator="equal">
      <formula>0</formula>
    </cfRule>
    <cfRule type="cellIs" dxfId="24642" priority="724" operator="greaterThan">
      <formula>0</formula>
    </cfRule>
  </conditionalFormatting>
  <conditionalFormatting sqref="P57">
    <cfRule type="cellIs" dxfId="24641" priority="717" operator="equal">
      <formula>"PMS"</formula>
    </cfRule>
    <cfRule type="containsText" dxfId="24640" priority="718" operator="containsText" text="CMS">
      <formula>NOT(ISERROR(SEARCH("CMS",P57)))</formula>
    </cfRule>
    <cfRule type="cellIs" dxfId="24639" priority="719" operator="equal">
      <formula>0</formula>
    </cfRule>
    <cfRule type="cellIs" dxfId="24638" priority="720" operator="greaterThan">
      <formula>0</formula>
    </cfRule>
  </conditionalFormatting>
  <conditionalFormatting sqref="P57">
    <cfRule type="cellIs" dxfId="24637" priority="713" operator="equal">
      <formula>"PMS"</formula>
    </cfRule>
    <cfRule type="containsText" dxfId="24636" priority="714" operator="containsText" text="CMS">
      <formula>NOT(ISERROR(SEARCH("CMS",P57)))</formula>
    </cfRule>
    <cfRule type="cellIs" dxfId="24635" priority="715" operator="equal">
      <formula>0</formula>
    </cfRule>
    <cfRule type="cellIs" dxfId="24634" priority="716" operator="greaterThan">
      <formula>0</formula>
    </cfRule>
  </conditionalFormatting>
  <conditionalFormatting sqref="P57">
    <cfRule type="cellIs" dxfId="24633" priority="709" operator="equal">
      <formula>"PMS"</formula>
    </cfRule>
    <cfRule type="containsText" dxfId="24632" priority="710" operator="containsText" text="CMS">
      <formula>NOT(ISERROR(SEARCH("CMS",P57)))</formula>
    </cfRule>
    <cfRule type="cellIs" dxfId="24631" priority="711" operator="equal">
      <formula>0</formula>
    </cfRule>
    <cfRule type="cellIs" dxfId="24630" priority="712" operator="greaterThan">
      <formula>0</formula>
    </cfRule>
  </conditionalFormatting>
  <conditionalFormatting sqref="P57:P58">
    <cfRule type="cellIs" dxfId="24629" priority="705" operator="equal">
      <formula>"PMS"</formula>
    </cfRule>
    <cfRule type="containsText" dxfId="24628" priority="706" operator="containsText" text="CMS">
      <formula>NOT(ISERROR(SEARCH("CMS",P57)))</formula>
    </cfRule>
    <cfRule type="cellIs" dxfId="24627" priority="707" operator="equal">
      <formula>0</formula>
    </cfRule>
    <cfRule type="cellIs" dxfId="24626" priority="708" operator="greaterThan">
      <formula>0</formula>
    </cfRule>
  </conditionalFormatting>
  <conditionalFormatting sqref="AB24">
    <cfRule type="cellIs" dxfId="24625" priority="701" operator="equal">
      <formula>"PMS"</formula>
    </cfRule>
    <cfRule type="containsText" dxfId="24624" priority="702" operator="containsText" text="CMS">
      <formula>NOT(ISERROR(SEARCH("CMS",AB24)))</formula>
    </cfRule>
    <cfRule type="cellIs" dxfId="24623" priority="703" operator="equal">
      <formula>0</formula>
    </cfRule>
    <cfRule type="cellIs" dxfId="24622" priority="704" operator="greaterThan">
      <formula>0</formula>
    </cfRule>
  </conditionalFormatting>
  <conditionalFormatting sqref="AB24">
    <cfRule type="cellIs" dxfId="24621" priority="697" operator="equal">
      <formula>"PMS"</formula>
    </cfRule>
    <cfRule type="containsText" dxfId="24620" priority="698" operator="containsText" text="CMS">
      <formula>NOT(ISERROR(SEARCH("CMS",AB24)))</formula>
    </cfRule>
    <cfRule type="cellIs" dxfId="24619" priority="699" operator="equal">
      <formula>0</formula>
    </cfRule>
    <cfRule type="cellIs" dxfId="24618" priority="700" operator="greaterThan">
      <formula>0</formula>
    </cfRule>
  </conditionalFormatting>
  <conditionalFormatting sqref="I29 L29 O29 R29 U29 AA29 X29:Y29">
    <cfRule type="cellIs" dxfId="24617" priority="689" operator="equal">
      <formula>"PMS"</formula>
    </cfRule>
    <cfRule type="containsText" dxfId="24616" priority="690" operator="containsText" text="CMS">
      <formula>NOT(ISERROR(SEARCH("CMS",I29)))</formula>
    </cfRule>
    <cfRule type="cellIs" dxfId="24615" priority="691" operator="equal">
      <formula>0</formula>
    </cfRule>
    <cfRule type="cellIs" dxfId="24614" priority="692" operator="greaterThan">
      <formula>0</formula>
    </cfRule>
    <cfRule type="cellIs" dxfId="24613" priority="693" operator="equal">
      <formula>"PMS"</formula>
    </cfRule>
    <cfRule type="containsText" dxfId="24612" priority="694" operator="containsText" text="CMS">
      <formula>NOT(ISERROR(SEARCH("CMS",I29)))</formula>
    </cfRule>
    <cfRule type="cellIs" dxfId="24611" priority="695" operator="equal">
      <formula>0</formula>
    </cfRule>
    <cfRule type="cellIs" dxfId="24610" priority="696" operator="greaterThan">
      <formula>0</formula>
    </cfRule>
  </conditionalFormatting>
  <conditionalFormatting sqref="I29 L29 O29 R29 U29 AA29 X29:Y29">
    <cfRule type="cellIs" dxfId="24609" priority="685" operator="equal">
      <formula>"PMS"</formula>
    </cfRule>
    <cfRule type="containsText" dxfId="24608" priority="686" operator="containsText" text="CMS">
      <formula>NOT(ISERROR(SEARCH("CMS",I29)))</formula>
    </cfRule>
    <cfRule type="cellIs" dxfId="24607" priority="687" operator="equal">
      <formula>0</formula>
    </cfRule>
    <cfRule type="cellIs" dxfId="24606" priority="688" operator="greaterThan">
      <formula>0</formula>
    </cfRule>
  </conditionalFormatting>
  <conditionalFormatting sqref="I29 L29 O29 R29 U29 AA29 X29:Y29">
    <cfRule type="cellIs" dxfId="24605" priority="681" operator="equal">
      <formula>"PMS"</formula>
    </cfRule>
    <cfRule type="containsText" dxfId="24604" priority="682" operator="containsText" text="CMS">
      <formula>NOT(ISERROR(SEARCH("CMS",I29)))</formula>
    </cfRule>
    <cfRule type="cellIs" dxfId="24603" priority="683" operator="equal">
      <formula>0</formula>
    </cfRule>
    <cfRule type="cellIs" dxfId="24602" priority="684" operator="greaterThan">
      <formula>0</formula>
    </cfRule>
  </conditionalFormatting>
  <conditionalFormatting sqref="K29 N29 Q29 T29 W29 Z29 AC29">
    <cfRule type="cellIs" dxfId="24601" priority="673" operator="equal">
      <formula>"PMS"</formula>
    </cfRule>
    <cfRule type="containsText" dxfId="24600" priority="674" operator="containsText" text="CMS">
      <formula>NOT(ISERROR(SEARCH("CMS",K29)))</formula>
    </cfRule>
    <cfRule type="cellIs" dxfId="24599" priority="675" operator="equal">
      <formula>0</formula>
    </cfRule>
    <cfRule type="cellIs" dxfId="24598" priority="676" operator="greaterThan">
      <formula>0</formula>
    </cfRule>
    <cfRule type="cellIs" dxfId="24597" priority="677" operator="equal">
      <formula>"PMS"</formula>
    </cfRule>
    <cfRule type="containsText" dxfId="24596" priority="678" operator="containsText" text="CMS">
      <formula>NOT(ISERROR(SEARCH("CMS",K29)))</formula>
    </cfRule>
    <cfRule type="cellIs" dxfId="24595" priority="679" operator="equal">
      <formula>0</formula>
    </cfRule>
    <cfRule type="cellIs" dxfId="24594" priority="680" operator="greaterThan">
      <formula>0</formula>
    </cfRule>
  </conditionalFormatting>
  <conditionalFormatting sqref="G81:AC81">
    <cfRule type="cellIs" dxfId="24593" priority="665" operator="equal">
      <formula>"PMS"</formula>
    </cfRule>
    <cfRule type="containsText" dxfId="24592" priority="666" operator="containsText" text="CMS">
      <formula>NOT(ISERROR(SEARCH("CMS",G81)))</formula>
    </cfRule>
    <cfRule type="cellIs" dxfId="24591" priority="667" operator="equal">
      <formula>0</formula>
    </cfRule>
    <cfRule type="cellIs" dxfId="24590" priority="668" operator="greaterThan">
      <formula>0</formula>
    </cfRule>
    <cfRule type="cellIs" dxfId="24589" priority="669" operator="equal">
      <formula>"PMS"</formula>
    </cfRule>
    <cfRule type="containsText" dxfId="24588" priority="670" operator="containsText" text="CMS">
      <formula>NOT(ISERROR(SEARCH("CMS",G81)))</formula>
    </cfRule>
    <cfRule type="cellIs" dxfId="24587" priority="671" operator="equal">
      <formula>0</formula>
    </cfRule>
    <cfRule type="cellIs" dxfId="24586" priority="672" operator="greaterThan">
      <formula>0</formula>
    </cfRule>
  </conditionalFormatting>
  <conditionalFormatting sqref="G81:AC81">
    <cfRule type="cellIs" dxfId="24585" priority="661" operator="equal">
      <formula>"PMS"</formula>
    </cfRule>
    <cfRule type="containsText" dxfId="24584" priority="662" operator="containsText" text="CMS">
      <formula>NOT(ISERROR(SEARCH("CMS",G81)))</formula>
    </cfRule>
    <cfRule type="cellIs" dxfId="24583" priority="663" operator="equal">
      <formula>0</formula>
    </cfRule>
    <cfRule type="cellIs" dxfId="24582" priority="664" operator="greaterThan">
      <formula>0</formula>
    </cfRule>
  </conditionalFormatting>
  <conditionalFormatting sqref="G51:G52 I51:M52">
    <cfRule type="cellIs" dxfId="24581" priority="653" operator="equal">
      <formula>"PMS"</formula>
    </cfRule>
    <cfRule type="containsText" dxfId="24580" priority="654" operator="containsText" text="CMS">
      <formula>NOT(ISERROR(SEARCH("CMS",G51)))</formula>
    </cfRule>
    <cfRule type="cellIs" dxfId="24579" priority="655" operator="equal">
      <formula>0</formula>
    </cfRule>
    <cfRule type="cellIs" dxfId="24578" priority="656" operator="greaterThan">
      <formula>0</formula>
    </cfRule>
    <cfRule type="cellIs" dxfId="24577" priority="657" operator="equal">
      <formula>"PMS"</formula>
    </cfRule>
    <cfRule type="containsText" dxfId="24576" priority="658" operator="containsText" text="CMS">
      <formula>NOT(ISERROR(SEARCH("CMS",G51)))</formula>
    </cfRule>
    <cfRule type="cellIs" dxfId="24575" priority="659" operator="equal">
      <formula>0</formula>
    </cfRule>
    <cfRule type="cellIs" dxfId="24574" priority="660" operator="greaterThan">
      <formula>0</formula>
    </cfRule>
  </conditionalFormatting>
  <conditionalFormatting sqref="G51:G52 I51:M52">
    <cfRule type="cellIs" dxfId="24573" priority="649" operator="equal">
      <formula>"PMS"</formula>
    </cfRule>
    <cfRule type="containsText" dxfId="24572" priority="650" operator="containsText" text="CMS">
      <formula>NOT(ISERROR(SEARCH("CMS",G51)))</formula>
    </cfRule>
    <cfRule type="cellIs" dxfId="24571" priority="651" operator="equal">
      <formula>0</formula>
    </cfRule>
    <cfRule type="cellIs" dxfId="24570" priority="652" operator="greaterThan">
      <formula>0</formula>
    </cfRule>
  </conditionalFormatting>
  <conditionalFormatting sqref="G51:G52 I51:M52">
    <cfRule type="cellIs" dxfId="24569" priority="645" operator="equal">
      <formula>"PMS"</formula>
    </cfRule>
    <cfRule type="containsText" dxfId="24568" priority="646" operator="containsText" text="CMS">
      <formula>NOT(ISERROR(SEARCH("CMS",G51)))</formula>
    </cfRule>
    <cfRule type="cellIs" dxfId="24567" priority="647" operator="equal">
      <formula>0</formula>
    </cfRule>
    <cfRule type="cellIs" dxfId="24566" priority="648" operator="greaterThan">
      <formula>0</formula>
    </cfRule>
  </conditionalFormatting>
  <conditionalFormatting sqref="G57:G58">
    <cfRule type="cellIs" dxfId="24565" priority="637" operator="equal">
      <formula>"PMS"</formula>
    </cfRule>
    <cfRule type="containsText" dxfId="24564" priority="638" operator="containsText" text="CMS">
      <formula>NOT(ISERROR(SEARCH("CMS",G57)))</formula>
    </cfRule>
    <cfRule type="cellIs" dxfId="24563" priority="639" operator="equal">
      <formula>0</formula>
    </cfRule>
    <cfRule type="cellIs" dxfId="24562" priority="640" operator="greaterThan">
      <formula>0</formula>
    </cfRule>
    <cfRule type="cellIs" dxfId="24561" priority="641" operator="equal">
      <formula>"PMS"</formula>
    </cfRule>
    <cfRule type="containsText" dxfId="24560" priority="642" operator="containsText" text="CMS">
      <formula>NOT(ISERROR(SEARCH("CMS",G57)))</formula>
    </cfRule>
    <cfRule type="cellIs" dxfId="24559" priority="643" operator="equal">
      <formula>0</formula>
    </cfRule>
    <cfRule type="cellIs" dxfId="24558" priority="644" operator="greaterThan">
      <formula>0</formula>
    </cfRule>
  </conditionalFormatting>
  <conditionalFormatting sqref="G57:G58">
    <cfRule type="cellIs" dxfId="24557" priority="633" operator="equal">
      <formula>"PMS"</formula>
    </cfRule>
    <cfRule type="containsText" dxfId="24556" priority="634" operator="containsText" text="CMS">
      <formula>NOT(ISERROR(SEARCH("CMS",G57)))</formula>
    </cfRule>
    <cfRule type="cellIs" dxfId="24555" priority="635" operator="equal">
      <formula>0</formula>
    </cfRule>
    <cfRule type="cellIs" dxfId="24554" priority="636" operator="greaterThan">
      <formula>0</formula>
    </cfRule>
  </conditionalFormatting>
  <conditionalFormatting sqref="G57:G58">
    <cfRule type="cellIs" dxfId="24553" priority="629" operator="equal">
      <formula>"PMS"</formula>
    </cfRule>
    <cfRule type="containsText" dxfId="24552" priority="630" operator="containsText" text="CMS">
      <formula>NOT(ISERROR(SEARCH("CMS",G57)))</formula>
    </cfRule>
    <cfRule type="cellIs" dxfId="24551" priority="631" operator="equal">
      <formula>0</formula>
    </cfRule>
    <cfRule type="cellIs" dxfId="24550" priority="632" operator="greaterThan">
      <formula>0</formula>
    </cfRule>
  </conditionalFormatting>
  <conditionalFormatting sqref="G32 I32:AC32">
    <cfRule type="cellIs" dxfId="24549" priority="621" operator="equal">
      <formula>"PMS"</formula>
    </cfRule>
    <cfRule type="containsText" dxfId="24548" priority="622" operator="containsText" text="CMS">
      <formula>NOT(ISERROR(SEARCH("CMS",G32)))</formula>
    </cfRule>
    <cfRule type="cellIs" dxfId="24547" priority="623" operator="equal">
      <formula>0</formula>
    </cfRule>
    <cfRule type="cellIs" dxfId="24546" priority="624" operator="greaterThan">
      <formula>0</formula>
    </cfRule>
    <cfRule type="cellIs" dxfId="24545" priority="625" operator="equal">
      <formula>"PMS"</formula>
    </cfRule>
    <cfRule type="containsText" dxfId="24544" priority="626" operator="containsText" text="CMS">
      <formula>NOT(ISERROR(SEARCH("CMS",G32)))</formula>
    </cfRule>
    <cfRule type="cellIs" dxfId="24543" priority="627" operator="equal">
      <formula>0</formula>
    </cfRule>
    <cfRule type="cellIs" dxfId="24542" priority="628" operator="greaterThan">
      <formula>0</formula>
    </cfRule>
  </conditionalFormatting>
  <conditionalFormatting sqref="G32 I32:AC32">
    <cfRule type="cellIs" dxfId="24541" priority="617" operator="equal">
      <formula>"PMS"</formula>
    </cfRule>
    <cfRule type="containsText" dxfId="24540" priority="618" operator="containsText" text="CMS">
      <formula>NOT(ISERROR(SEARCH("CMS",G32)))</formula>
    </cfRule>
    <cfRule type="cellIs" dxfId="24539" priority="619" operator="equal">
      <formula>0</formula>
    </cfRule>
    <cfRule type="cellIs" dxfId="24538" priority="620" operator="greaterThan">
      <formula>0</formula>
    </cfRule>
  </conditionalFormatting>
  <conditionalFormatting sqref="G32 I32:AC32">
    <cfRule type="cellIs" dxfId="24537" priority="613" operator="equal">
      <formula>"PMS"</formula>
    </cfRule>
    <cfRule type="containsText" dxfId="24536" priority="614" operator="containsText" text="CMS">
      <formula>NOT(ISERROR(SEARCH("CMS",G32)))</formula>
    </cfRule>
    <cfRule type="cellIs" dxfId="24535" priority="615" operator="equal">
      <formula>0</formula>
    </cfRule>
    <cfRule type="cellIs" dxfId="24534" priority="616" operator="greaterThan">
      <formula>0</formula>
    </cfRule>
  </conditionalFormatting>
  <conditionalFormatting sqref="F81">
    <cfRule type="cellIs" dxfId="24533" priority="605" operator="equal">
      <formula>"PMS"</formula>
    </cfRule>
    <cfRule type="containsText" dxfId="24532" priority="606" operator="containsText" text="CMS">
      <formula>NOT(ISERROR(SEARCH("CMS",F81)))</formula>
    </cfRule>
    <cfRule type="cellIs" dxfId="24531" priority="607" operator="equal">
      <formula>0</formula>
    </cfRule>
    <cfRule type="cellIs" dxfId="24530" priority="608" operator="greaterThan">
      <formula>0</formula>
    </cfRule>
    <cfRule type="cellIs" dxfId="24529" priority="609" operator="equal">
      <formula>"PMS"</formula>
    </cfRule>
    <cfRule type="containsText" dxfId="24528" priority="610" operator="containsText" text="CMS">
      <formula>NOT(ISERROR(SEARCH("CMS",F81)))</formula>
    </cfRule>
    <cfRule type="cellIs" dxfId="24527" priority="611" operator="equal">
      <formula>0</formula>
    </cfRule>
    <cfRule type="cellIs" dxfId="24526" priority="612" operator="greaterThan">
      <formula>0</formula>
    </cfRule>
  </conditionalFormatting>
  <conditionalFormatting sqref="F81">
    <cfRule type="cellIs" dxfId="24525" priority="601" operator="equal">
      <formula>"PMS"</formula>
    </cfRule>
    <cfRule type="containsText" dxfId="24524" priority="602" operator="containsText" text="CMS">
      <formula>NOT(ISERROR(SEARCH("CMS",F81)))</formula>
    </cfRule>
    <cfRule type="cellIs" dxfId="24523" priority="603" operator="equal">
      <formula>0</formula>
    </cfRule>
    <cfRule type="cellIs" dxfId="24522" priority="604" operator="greaterThan">
      <formula>0</formula>
    </cfRule>
  </conditionalFormatting>
  <conditionalFormatting sqref="H13:H16">
    <cfRule type="cellIs" dxfId="24521" priority="593" operator="equal">
      <formula>"PMS"</formula>
    </cfRule>
    <cfRule type="containsText" dxfId="24520" priority="594" operator="containsText" text="CMS">
      <formula>NOT(ISERROR(SEARCH("CMS",H13)))</formula>
    </cfRule>
    <cfRule type="cellIs" dxfId="24519" priority="595" operator="equal">
      <formula>0</formula>
    </cfRule>
    <cfRule type="cellIs" dxfId="24518" priority="596" operator="greaterThan">
      <formula>0</formula>
    </cfRule>
    <cfRule type="cellIs" dxfId="24517" priority="597" operator="equal">
      <formula>"PMS"</formula>
    </cfRule>
    <cfRule type="containsText" dxfId="24516" priority="598" operator="containsText" text="CMS">
      <formula>NOT(ISERROR(SEARCH("CMS",H13)))</formula>
    </cfRule>
    <cfRule type="cellIs" dxfId="24515" priority="599" operator="equal">
      <formula>0</formula>
    </cfRule>
    <cfRule type="cellIs" dxfId="24514" priority="600" operator="greaterThan">
      <formula>0</formula>
    </cfRule>
  </conditionalFormatting>
  <conditionalFormatting sqref="H13:H16">
    <cfRule type="cellIs" dxfId="24513" priority="589" operator="equal">
      <formula>"PMS"</formula>
    </cfRule>
    <cfRule type="containsText" dxfId="24512" priority="590" operator="containsText" text="CMS">
      <formula>NOT(ISERROR(SEARCH("CMS",H13)))</formula>
    </cfRule>
    <cfRule type="cellIs" dxfId="24511" priority="591" operator="equal">
      <formula>0</formula>
    </cfRule>
    <cfRule type="cellIs" dxfId="24510" priority="592" operator="greaterThan">
      <formula>0</formula>
    </cfRule>
  </conditionalFormatting>
  <conditionalFormatting sqref="H13:H16">
    <cfRule type="cellIs" dxfId="24509" priority="585" operator="equal">
      <formula>"PMS"</formula>
    </cfRule>
    <cfRule type="containsText" dxfId="24508" priority="586" operator="containsText" text="CMS">
      <formula>NOT(ISERROR(SEARCH("CMS",H13)))</formula>
    </cfRule>
    <cfRule type="cellIs" dxfId="24507" priority="587" operator="equal">
      <formula>0</formula>
    </cfRule>
    <cfRule type="cellIs" dxfId="24506" priority="588" operator="greaterThan">
      <formula>0</formula>
    </cfRule>
  </conditionalFormatting>
  <conditionalFormatting sqref="H13">
    <cfRule type="cellIs" dxfId="24505" priority="581" operator="equal">
      <formula>"PMS"</formula>
    </cfRule>
    <cfRule type="containsText" dxfId="24504" priority="582" operator="containsText" text="CMS">
      <formula>NOT(ISERROR(SEARCH("CMS",H13)))</formula>
    </cfRule>
    <cfRule type="cellIs" dxfId="24503" priority="583" operator="equal">
      <formula>0</formula>
    </cfRule>
    <cfRule type="cellIs" dxfId="24502" priority="584" operator="greaterThan">
      <formula>0</formula>
    </cfRule>
  </conditionalFormatting>
  <conditionalFormatting sqref="H13">
    <cfRule type="cellIs" dxfId="24501" priority="577" operator="equal">
      <formula>"PMS"</formula>
    </cfRule>
    <cfRule type="containsText" dxfId="24500" priority="578" operator="containsText" text="CMS">
      <formula>NOT(ISERROR(SEARCH("CMS",H13)))</formula>
    </cfRule>
    <cfRule type="cellIs" dxfId="24499" priority="579" operator="equal">
      <formula>0</formula>
    </cfRule>
    <cfRule type="cellIs" dxfId="24498" priority="580" operator="greaterThan">
      <formula>0</formula>
    </cfRule>
  </conditionalFormatting>
  <conditionalFormatting sqref="H20:H21">
    <cfRule type="cellIs" dxfId="24497" priority="569" operator="equal">
      <formula>"PMS"</formula>
    </cfRule>
    <cfRule type="containsText" dxfId="24496" priority="570" operator="containsText" text="CMS">
      <formula>NOT(ISERROR(SEARCH("CMS",H20)))</formula>
    </cfRule>
    <cfRule type="cellIs" dxfId="24495" priority="571" operator="equal">
      <formula>0</formula>
    </cfRule>
    <cfRule type="cellIs" dxfId="24494" priority="572" operator="greaterThan">
      <formula>0</formula>
    </cfRule>
    <cfRule type="cellIs" dxfId="24493" priority="573" operator="equal">
      <formula>"PMS"</formula>
    </cfRule>
    <cfRule type="containsText" dxfId="24492" priority="574" operator="containsText" text="CMS">
      <formula>NOT(ISERROR(SEARCH("CMS",H20)))</formula>
    </cfRule>
    <cfRule type="cellIs" dxfId="24491" priority="575" operator="equal">
      <formula>0</formula>
    </cfRule>
    <cfRule type="cellIs" dxfId="24490" priority="576" operator="greaterThan">
      <formula>0</formula>
    </cfRule>
  </conditionalFormatting>
  <conditionalFormatting sqref="H20:H21">
    <cfRule type="cellIs" dxfId="24489" priority="565" operator="equal">
      <formula>"PMS"</formula>
    </cfRule>
    <cfRule type="containsText" dxfId="24488" priority="566" operator="containsText" text="CMS">
      <formula>NOT(ISERROR(SEARCH("CMS",H20)))</formula>
    </cfRule>
    <cfRule type="cellIs" dxfId="24487" priority="567" operator="equal">
      <formula>0</formula>
    </cfRule>
    <cfRule type="cellIs" dxfId="24486" priority="568" operator="greaterThan">
      <formula>0</formula>
    </cfRule>
  </conditionalFormatting>
  <conditionalFormatting sqref="H20:H21">
    <cfRule type="cellIs" dxfId="24485" priority="561" operator="equal">
      <formula>"PMS"</formula>
    </cfRule>
    <cfRule type="containsText" dxfId="24484" priority="562" operator="containsText" text="CMS">
      <formula>NOT(ISERROR(SEARCH("CMS",H20)))</formula>
    </cfRule>
    <cfRule type="cellIs" dxfId="24483" priority="563" operator="equal">
      <formula>0</formula>
    </cfRule>
    <cfRule type="cellIs" dxfId="24482" priority="564" operator="greaterThan">
      <formula>0</formula>
    </cfRule>
  </conditionalFormatting>
  <conditionalFormatting sqref="H19">
    <cfRule type="cellIs" dxfId="24481" priority="557" operator="equal">
      <formula>"CMS"</formula>
    </cfRule>
    <cfRule type="cellIs" dxfId="24480" priority="558" operator="equal">
      <formula>"PMS"</formula>
    </cfRule>
    <cfRule type="cellIs" dxfId="24479" priority="559" operator="greaterThan">
      <formula>0</formula>
    </cfRule>
    <cfRule type="cellIs" dxfId="24478" priority="560" operator="equal">
      <formula>0</formula>
    </cfRule>
  </conditionalFormatting>
  <conditionalFormatting sqref="H24">
    <cfRule type="cellIs" dxfId="24477" priority="549" operator="equal">
      <formula>"PMS"</formula>
    </cfRule>
    <cfRule type="containsText" dxfId="24476" priority="550" operator="containsText" text="CMS">
      <formula>NOT(ISERROR(SEARCH("CMS",H24)))</formula>
    </cfRule>
    <cfRule type="cellIs" dxfId="24475" priority="551" operator="equal">
      <formula>0</formula>
    </cfRule>
    <cfRule type="cellIs" dxfId="24474" priority="552" operator="greaterThan">
      <formula>0</formula>
    </cfRule>
    <cfRule type="cellIs" dxfId="24473" priority="553" operator="equal">
      <formula>"PMS"</formula>
    </cfRule>
    <cfRule type="containsText" dxfId="24472" priority="554" operator="containsText" text="CMS">
      <formula>NOT(ISERROR(SEARCH("CMS",H24)))</formula>
    </cfRule>
    <cfRule type="cellIs" dxfId="24471" priority="555" operator="equal">
      <formula>0</formula>
    </cfRule>
    <cfRule type="cellIs" dxfId="24470" priority="556" operator="greaterThan">
      <formula>0</formula>
    </cfRule>
  </conditionalFormatting>
  <conditionalFormatting sqref="H24">
    <cfRule type="cellIs" dxfId="24469" priority="545" operator="equal">
      <formula>"PMS"</formula>
    </cfRule>
    <cfRule type="containsText" dxfId="24468" priority="546" operator="containsText" text="CMS">
      <formula>NOT(ISERROR(SEARCH("CMS",H24)))</formula>
    </cfRule>
    <cfRule type="cellIs" dxfId="24467" priority="547" operator="equal">
      <formula>0</formula>
    </cfRule>
    <cfRule type="cellIs" dxfId="24466" priority="548" operator="greaterThan">
      <formula>0</formula>
    </cfRule>
  </conditionalFormatting>
  <conditionalFormatting sqref="H24">
    <cfRule type="cellIs" dxfId="24465" priority="541" operator="equal">
      <formula>"PMS"</formula>
    </cfRule>
    <cfRule type="containsText" dxfId="24464" priority="542" operator="containsText" text="CMS">
      <formula>NOT(ISERROR(SEARCH("CMS",H24)))</formula>
    </cfRule>
    <cfRule type="cellIs" dxfId="24463" priority="543" operator="equal">
      <formula>0</formula>
    </cfRule>
    <cfRule type="cellIs" dxfId="24462" priority="544" operator="greaterThan">
      <formula>0</formula>
    </cfRule>
  </conditionalFormatting>
  <conditionalFormatting sqref="H27:H28">
    <cfRule type="cellIs" dxfId="24461" priority="533" operator="equal">
      <formula>"PMS"</formula>
    </cfRule>
    <cfRule type="containsText" dxfId="24460" priority="534" operator="containsText" text="CMS">
      <formula>NOT(ISERROR(SEARCH("CMS",H27)))</formula>
    </cfRule>
    <cfRule type="cellIs" dxfId="24459" priority="535" operator="equal">
      <formula>0</formula>
    </cfRule>
    <cfRule type="cellIs" dxfId="24458" priority="536" operator="greaterThan">
      <formula>0</formula>
    </cfRule>
    <cfRule type="cellIs" dxfId="24457" priority="537" operator="equal">
      <formula>"PMS"</formula>
    </cfRule>
    <cfRule type="containsText" dxfId="24456" priority="538" operator="containsText" text="CMS">
      <formula>NOT(ISERROR(SEARCH("CMS",H27)))</formula>
    </cfRule>
    <cfRule type="cellIs" dxfId="24455" priority="539" operator="equal">
      <formula>0</formula>
    </cfRule>
    <cfRule type="cellIs" dxfId="24454" priority="540" operator="greaterThan">
      <formula>0</formula>
    </cfRule>
  </conditionalFormatting>
  <conditionalFormatting sqref="H27:H28">
    <cfRule type="cellIs" dxfId="24453" priority="529" operator="equal">
      <formula>"PMS"</formula>
    </cfRule>
    <cfRule type="containsText" dxfId="24452" priority="530" operator="containsText" text="CMS">
      <formula>NOT(ISERROR(SEARCH("CMS",H27)))</formula>
    </cfRule>
    <cfRule type="cellIs" dxfId="24451" priority="531" operator="equal">
      <formula>0</formula>
    </cfRule>
    <cfRule type="cellIs" dxfId="24450" priority="532" operator="greaterThan">
      <formula>0</formula>
    </cfRule>
  </conditionalFormatting>
  <conditionalFormatting sqref="H27:H28">
    <cfRule type="cellIs" dxfId="24449" priority="525" operator="equal">
      <formula>"PMS"</formula>
    </cfRule>
    <cfRule type="containsText" dxfId="24448" priority="526" operator="containsText" text="CMS">
      <formula>NOT(ISERROR(SEARCH("CMS",H27)))</formula>
    </cfRule>
    <cfRule type="cellIs" dxfId="24447" priority="527" operator="equal">
      <formula>0</formula>
    </cfRule>
    <cfRule type="cellIs" dxfId="24446" priority="528" operator="greaterThan">
      <formula>0</formula>
    </cfRule>
  </conditionalFormatting>
  <conditionalFormatting sqref="H29">
    <cfRule type="cellIs" dxfId="24445" priority="517" operator="equal">
      <formula>"PMS"</formula>
    </cfRule>
    <cfRule type="containsText" dxfId="24444" priority="518" operator="containsText" text="CMS">
      <formula>NOT(ISERROR(SEARCH("CMS",H29)))</formula>
    </cfRule>
    <cfRule type="cellIs" dxfId="24443" priority="519" operator="equal">
      <formula>0</formula>
    </cfRule>
    <cfRule type="cellIs" dxfId="24442" priority="520" operator="greaterThan">
      <formula>0</formula>
    </cfRule>
    <cfRule type="cellIs" dxfId="24441" priority="521" operator="equal">
      <formula>"PMS"</formula>
    </cfRule>
    <cfRule type="containsText" dxfId="24440" priority="522" operator="containsText" text="CMS">
      <formula>NOT(ISERROR(SEARCH("CMS",H29)))</formula>
    </cfRule>
    <cfRule type="cellIs" dxfId="24439" priority="523" operator="equal">
      <formula>0</formula>
    </cfRule>
    <cfRule type="cellIs" dxfId="24438" priority="524" operator="greaterThan">
      <formula>0</formula>
    </cfRule>
  </conditionalFormatting>
  <conditionalFormatting sqref="H32">
    <cfRule type="cellIs" dxfId="24437" priority="509" operator="equal">
      <formula>"PMS"</formula>
    </cfRule>
    <cfRule type="containsText" dxfId="24436" priority="510" operator="containsText" text="CMS">
      <formula>NOT(ISERROR(SEARCH("CMS",H32)))</formula>
    </cfRule>
    <cfRule type="cellIs" dxfId="24435" priority="511" operator="equal">
      <formula>0</formula>
    </cfRule>
    <cfRule type="cellIs" dxfId="24434" priority="512" operator="greaterThan">
      <formula>0</formula>
    </cfRule>
    <cfRule type="cellIs" dxfId="24433" priority="513" operator="equal">
      <formula>"PMS"</formula>
    </cfRule>
    <cfRule type="containsText" dxfId="24432" priority="514" operator="containsText" text="CMS">
      <formula>NOT(ISERROR(SEARCH("CMS",H32)))</formula>
    </cfRule>
    <cfRule type="cellIs" dxfId="24431" priority="515" operator="equal">
      <formula>0</formula>
    </cfRule>
    <cfRule type="cellIs" dxfId="24430" priority="516" operator="greaterThan">
      <formula>0</formula>
    </cfRule>
  </conditionalFormatting>
  <conditionalFormatting sqref="H32">
    <cfRule type="cellIs" dxfId="24429" priority="505" operator="equal">
      <formula>"PMS"</formula>
    </cfRule>
    <cfRule type="containsText" dxfId="24428" priority="506" operator="containsText" text="CMS">
      <formula>NOT(ISERROR(SEARCH("CMS",H32)))</formula>
    </cfRule>
    <cfRule type="cellIs" dxfId="24427" priority="507" operator="equal">
      <formula>0</formula>
    </cfRule>
    <cfRule type="cellIs" dxfId="24426" priority="508" operator="greaterThan">
      <formula>0</formula>
    </cfRule>
  </conditionalFormatting>
  <conditionalFormatting sqref="H32">
    <cfRule type="cellIs" dxfId="24425" priority="501" operator="equal">
      <formula>"PMS"</formula>
    </cfRule>
    <cfRule type="containsText" dxfId="24424" priority="502" operator="containsText" text="CMS">
      <formula>NOT(ISERROR(SEARCH("CMS",H32)))</formula>
    </cfRule>
    <cfRule type="cellIs" dxfId="24423" priority="503" operator="equal">
      <formula>0</formula>
    </cfRule>
    <cfRule type="cellIs" dxfId="24422" priority="504" operator="greaterThan">
      <formula>0</formula>
    </cfRule>
  </conditionalFormatting>
  <conditionalFormatting sqref="H35:H58">
    <cfRule type="cellIs" dxfId="24421" priority="493" operator="equal">
      <formula>"PMS"</formula>
    </cfRule>
    <cfRule type="containsText" dxfId="24420" priority="494" operator="containsText" text="CMS">
      <formula>NOT(ISERROR(SEARCH("CMS",H35)))</formula>
    </cfRule>
    <cfRule type="cellIs" dxfId="24419" priority="495" operator="equal">
      <formula>0</formula>
    </cfRule>
    <cfRule type="cellIs" dxfId="24418" priority="496" operator="greaterThan">
      <formula>0</formula>
    </cfRule>
    <cfRule type="cellIs" dxfId="24417" priority="497" operator="equal">
      <formula>"PMS"</formula>
    </cfRule>
    <cfRule type="containsText" dxfId="24416" priority="498" operator="containsText" text="CMS">
      <formula>NOT(ISERROR(SEARCH("CMS",H35)))</formula>
    </cfRule>
    <cfRule type="cellIs" dxfId="24415" priority="499" operator="equal">
      <formula>0</formula>
    </cfRule>
    <cfRule type="cellIs" dxfId="24414" priority="500" operator="greaterThan">
      <formula>0</formula>
    </cfRule>
  </conditionalFormatting>
  <conditionalFormatting sqref="H35:H58">
    <cfRule type="cellIs" dxfId="24413" priority="489" operator="equal">
      <formula>"PMS"</formula>
    </cfRule>
    <cfRule type="containsText" dxfId="24412" priority="490" operator="containsText" text="CMS">
      <formula>NOT(ISERROR(SEARCH("CMS",H35)))</formula>
    </cfRule>
    <cfRule type="cellIs" dxfId="24411" priority="491" operator="equal">
      <formula>0</formula>
    </cfRule>
    <cfRule type="cellIs" dxfId="24410" priority="492" operator="greaterThan">
      <formula>0</formula>
    </cfRule>
  </conditionalFormatting>
  <conditionalFormatting sqref="H35:H58">
    <cfRule type="cellIs" dxfId="24409" priority="485" operator="equal">
      <formula>"PMS"</formula>
    </cfRule>
    <cfRule type="containsText" dxfId="24408" priority="486" operator="containsText" text="CMS">
      <formula>NOT(ISERROR(SEARCH("CMS",H35)))</formula>
    </cfRule>
    <cfRule type="cellIs" dxfId="24407" priority="487" operator="equal">
      <formula>0</formula>
    </cfRule>
    <cfRule type="cellIs" dxfId="24406" priority="488" operator="greaterThan">
      <formula>0</formula>
    </cfRule>
  </conditionalFormatting>
  <conditionalFormatting sqref="H57">
    <cfRule type="cellIs" dxfId="24405" priority="481" operator="equal">
      <formula>"PMS"</formula>
    </cfRule>
    <cfRule type="containsText" dxfId="24404" priority="482" operator="containsText" text="CMS">
      <formula>NOT(ISERROR(SEARCH("CMS",H57)))</formula>
    </cfRule>
    <cfRule type="cellIs" dxfId="24403" priority="483" operator="equal">
      <formula>0</formula>
    </cfRule>
    <cfRule type="cellIs" dxfId="24402" priority="484" operator="greaterThan">
      <formula>0</formula>
    </cfRule>
  </conditionalFormatting>
  <conditionalFormatting sqref="H57">
    <cfRule type="cellIs" dxfId="24401" priority="477" operator="equal">
      <formula>"PMS"</formula>
    </cfRule>
    <cfRule type="containsText" dxfId="24400" priority="478" operator="containsText" text="CMS">
      <formula>NOT(ISERROR(SEARCH("CMS",H57)))</formula>
    </cfRule>
    <cfRule type="cellIs" dxfId="24399" priority="479" operator="equal">
      <formula>0</formula>
    </cfRule>
    <cfRule type="cellIs" dxfId="24398" priority="480" operator="greaterThan">
      <formula>0</formula>
    </cfRule>
  </conditionalFormatting>
  <conditionalFormatting sqref="H57">
    <cfRule type="cellIs" dxfId="24397" priority="473" operator="equal">
      <formula>"PMS"</formula>
    </cfRule>
    <cfRule type="containsText" dxfId="24396" priority="474" operator="containsText" text="CMS">
      <formula>NOT(ISERROR(SEARCH("CMS",H57)))</formula>
    </cfRule>
    <cfRule type="cellIs" dxfId="24395" priority="475" operator="equal">
      <formula>0</formula>
    </cfRule>
    <cfRule type="cellIs" dxfId="24394" priority="476" operator="greaterThan">
      <formula>0</formula>
    </cfRule>
  </conditionalFormatting>
  <conditionalFormatting sqref="H57">
    <cfRule type="cellIs" dxfId="24393" priority="469" operator="equal">
      <formula>"PMS"</formula>
    </cfRule>
    <cfRule type="containsText" dxfId="24392" priority="470" operator="containsText" text="CMS">
      <formula>NOT(ISERROR(SEARCH("CMS",H57)))</formula>
    </cfRule>
    <cfRule type="cellIs" dxfId="24391" priority="471" operator="equal">
      <formula>0</formula>
    </cfRule>
    <cfRule type="cellIs" dxfId="24390" priority="472" operator="greaterThan">
      <formula>0</formula>
    </cfRule>
  </conditionalFormatting>
  <conditionalFormatting sqref="H58">
    <cfRule type="cellIs" dxfId="24389" priority="465" operator="equal">
      <formula>"PMS"</formula>
    </cfRule>
    <cfRule type="containsText" dxfId="24388" priority="466" operator="containsText" text="CMS">
      <formula>NOT(ISERROR(SEARCH("CMS",H58)))</formula>
    </cfRule>
    <cfRule type="cellIs" dxfId="24387" priority="467" operator="equal">
      <formula>0</formula>
    </cfRule>
    <cfRule type="cellIs" dxfId="24386" priority="468" operator="greaterThan">
      <formula>0</formula>
    </cfRule>
  </conditionalFormatting>
  <conditionalFormatting sqref="H58">
    <cfRule type="cellIs" dxfId="24385" priority="461" operator="equal">
      <formula>"PMS"</formula>
    </cfRule>
    <cfRule type="containsText" dxfId="24384" priority="462" operator="containsText" text="CMS">
      <formula>NOT(ISERROR(SEARCH("CMS",H58)))</formula>
    </cfRule>
    <cfRule type="cellIs" dxfId="24383" priority="463" operator="equal">
      <formula>0</formula>
    </cfRule>
    <cfRule type="cellIs" dxfId="24382" priority="464" operator="greaterThan">
      <formula>0</formula>
    </cfRule>
  </conditionalFormatting>
  <conditionalFormatting sqref="H58">
    <cfRule type="cellIs" dxfId="24381" priority="457" operator="equal">
      <formula>"PMS"</formula>
    </cfRule>
    <cfRule type="containsText" dxfId="24380" priority="458" operator="containsText" text="CMS">
      <formula>NOT(ISERROR(SEARCH("CMS",H58)))</formula>
    </cfRule>
    <cfRule type="cellIs" dxfId="24379" priority="459" operator="equal">
      <formula>0</formula>
    </cfRule>
    <cfRule type="cellIs" dxfId="24378" priority="460" operator="greaterThan">
      <formula>0</formula>
    </cfRule>
  </conditionalFormatting>
  <conditionalFormatting sqref="H58">
    <cfRule type="cellIs" dxfId="24377" priority="453" operator="equal">
      <formula>"PMS"</formula>
    </cfRule>
    <cfRule type="containsText" dxfId="24376" priority="454" operator="containsText" text="CMS">
      <formula>NOT(ISERROR(SEARCH("CMS",H58)))</formula>
    </cfRule>
    <cfRule type="cellIs" dxfId="24375" priority="455" operator="equal">
      <formula>0</formula>
    </cfRule>
    <cfRule type="cellIs" dxfId="24374" priority="456" operator="greaterThan">
      <formula>0</formula>
    </cfRule>
  </conditionalFormatting>
  <conditionalFormatting sqref="H61:H63">
    <cfRule type="cellIs" dxfId="24373" priority="445" operator="equal">
      <formula>"PMS"</formula>
    </cfRule>
    <cfRule type="containsText" dxfId="24372" priority="446" operator="containsText" text="CMS">
      <formula>NOT(ISERROR(SEARCH("CMS",H61)))</formula>
    </cfRule>
    <cfRule type="cellIs" dxfId="24371" priority="447" operator="equal">
      <formula>0</formula>
    </cfRule>
    <cfRule type="cellIs" dxfId="24370" priority="448" operator="greaterThan">
      <formula>0</formula>
    </cfRule>
    <cfRule type="cellIs" dxfId="24369" priority="449" operator="equal">
      <formula>"PMS"</formula>
    </cfRule>
    <cfRule type="containsText" dxfId="24368" priority="450" operator="containsText" text="CMS">
      <formula>NOT(ISERROR(SEARCH("CMS",H61)))</formula>
    </cfRule>
    <cfRule type="cellIs" dxfId="24367" priority="451" operator="equal">
      <formula>0</formula>
    </cfRule>
    <cfRule type="cellIs" dxfId="24366" priority="452" operator="greaterThan">
      <formula>0</formula>
    </cfRule>
  </conditionalFormatting>
  <conditionalFormatting sqref="H61:H63">
    <cfRule type="cellIs" dxfId="24365" priority="441" operator="equal">
      <formula>"PMS"</formula>
    </cfRule>
    <cfRule type="containsText" dxfId="24364" priority="442" operator="containsText" text="CMS">
      <formula>NOT(ISERROR(SEARCH("CMS",H61)))</formula>
    </cfRule>
    <cfRule type="cellIs" dxfId="24363" priority="443" operator="equal">
      <formula>0</formula>
    </cfRule>
    <cfRule type="cellIs" dxfId="24362" priority="444" operator="greaterThan">
      <formula>0</formula>
    </cfRule>
  </conditionalFormatting>
  <conditionalFormatting sqref="H66:H74">
    <cfRule type="cellIs" dxfId="24361" priority="433" operator="equal">
      <formula>"PMS"</formula>
    </cfRule>
    <cfRule type="containsText" dxfId="24360" priority="434" operator="containsText" text="CMS">
      <formula>NOT(ISERROR(SEARCH("CMS",H66)))</formula>
    </cfRule>
    <cfRule type="cellIs" dxfId="24359" priority="435" operator="equal">
      <formula>0</formula>
    </cfRule>
    <cfRule type="cellIs" dxfId="24358" priority="436" operator="greaterThan">
      <formula>0</formula>
    </cfRule>
    <cfRule type="cellIs" dxfId="24357" priority="437" operator="equal">
      <formula>"PMS"</formula>
    </cfRule>
    <cfRule type="containsText" dxfId="24356" priority="438" operator="containsText" text="CMS">
      <formula>NOT(ISERROR(SEARCH("CMS",H66)))</formula>
    </cfRule>
    <cfRule type="cellIs" dxfId="24355" priority="439" operator="equal">
      <formula>0</formula>
    </cfRule>
    <cfRule type="cellIs" dxfId="24354" priority="440" operator="greaterThan">
      <formula>0</formula>
    </cfRule>
  </conditionalFormatting>
  <conditionalFormatting sqref="H66:H74">
    <cfRule type="cellIs" dxfId="24353" priority="429" operator="equal">
      <formula>"PMS"</formula>
    </cfRule>
    <cfRule type="containsText" dxfId="24352" priority="430" operator="containsText" text="CMS">
      <formula>NOT(ISERROR(SEARCH("CMS",H66)))</formula>
    </cfRule>
    <cfRule type="cellIs" dxfId="24351" priority="431" operator="equal">
      <formula>0</formula>
    </cfRule>
    <cfRule type="cellIs" dxfId="24350" priority="432" operator="greaterThan">
      <formula>0</formula>
    </cfRule>
  </conditionalFormatting>
  <conditionalFormatting sqref="H66:H74">
    <cfRule type="cellIs" dxfId="24349" priority="425" operator="equal">
      <formula>"PMS"</formula>
    </cfRule>
    <cfRule type="containsText" dxfId="24348" priority="426" operator="containsText" text="CMS">
      <formula>NOT(ISERROR(SEARCH("CMS",H66)))</formula>
    </cfRule>
    <cfRule type="cellIs" dxfId="24347" priority="427" operator="equal">
      <formula>0</formula>
    </cfRule>
    <cfRule type="cellIs" dxfId="24346" priority="428" operator="greaterThan">
      <formula>0</formula>
    </cfRule>
  </conditionalFormatting>
  <conditionalFormatting sqref="H77:H78">
    <cfRule type="cellIs" dxfId="24345" priority="417" operator="equal">
      <formula>"PMS"</formula>
    </cfRule>
    <cfRule type="containsText" dxfId="24344" priority="418" operator="containsText" text="CMS">
      <formula>NOT(ISERROR(SEARCH("CMS",H77)))</formula>
    </cfRule>
    <cfRule type="cellIs" dxfId="24343" priority="419" operator="equal">
      <formula>0</formula>
    </cfRule>
    <cfRule type="cellIs" dxfId="24342" priority="420" operator="greaterThan">
      <formula>0</formula>
    </cfRule>
    <cfRule type="cellIs" dxfId="24341" priority="421" operator="equal">
      <formula>"PMS"</formula>
    </cfRule>
    <cfRule type="containsText" dxfId="24340" priority="422" operator="containsText" text="CMS">
      <formula>NOT(ISERROR(SEARCH("CMS",H77)))</formula>
    </cfRule>
    <cfRule type="cellIs" dxfId="24339" priority="423" operator="equal">
      <formula>0</formula>
    </cfRule>
    <cfRule type="cellIs" dxfId="24338" priority="424" operator="greaterThan">
      <formula>0</formula>
    </cfRule>
  </conditionalFormatting>
  <conditionalFormatting sqref="H77:H78">
    <cfRule type="cellIs" dxfId="24337" priority="413" operator="equal">
      <formula>"PMS"</formula>
    </cfRule>
    <cfRule type="containsText" dxfId="24336" priority="414" operator="containsText" text="CMS">
      <formula>NOT(ISERROR(SEARCH("CMS",H77)))</formula>
    </cfRule>
    <cfRule type="cellIs" dxfId="24335" priority="415" operator="equal">
      <formula>0</formula>
    </cfRule>
    <cfRule type="cellIs" dxfId="24334" priority="416" operator="greaterThan">
      <formula>0</formula>
    </cfRule>
  </conditionalFormatting>
  <conditionalFormatting sqref="F24">
    <cfRule type="cellIs" dxfId="24333" priority="361" operator="equal">
      <formula>"PMS"</formula>
    </cfRule>
    <cfRule type="containsText" dxfId="24332" priority="362" operator="containsText" text="CMS">
      <formula>NOT(ISERROR(SEARCH("CMS",F24)))</formula>
    </cfRule>
    <cfRule type="cellIs" dxfId="24331" priority="363" operator="equal">
      <formula>0</formula>
    </cfRule>
    <cfRule type="cellIs" dxfId="24330" priority="364" operator="greaterThan">
      <formula>0</formula>
    </cfRule>
    <cfRule type="cellIs" dxfId="24329" priority="365" operator="equal">
      <formula>"PMS"</formula>
    </cfRule>
    <cfRule type="containsText" dxfId="24328" priority="366" operator="containsText" text="CMS">
      <formula>NOT(ISERROR(SEARCH("CMS",F24)))</formula>
    </cfRule>
    <cfRule type="cellIs" dxfId="24327" priority="367" operator="equal">
      <formula>0</formula>
    </cfRule>
    <cfRule type="cellIs" dxfId="24326" priority="368" operator="greaterThan">
      <formula>0</formula>
    </cfRule>
  </conditionalFormatting>
  <conditionalFormatting sqref="F24">
    <cfRule type="cellIs" dxfId="24325" priority="357" operator="equal">
      <formula>"PMS"</formula>
    </cfRule>
    <cfRule type="containsText" dxfId="24324" priority="358" operator="containsText" text="CMS">
      <formula>NOT(ISERROR(SEARCH("CMS",F24)))</formula>
    </cfRule>
    <cfRule type="cellIs" dxfId="24323" priority="359" operator="equal">
      <formula>0</formula>
    </cfRule>
    <cfRule type="cellIs" dxfId="24322" priority="360" operator="greaterThan">
      <formula>0</formula>
    </cfRule>
  </conditionalFormatting>
  <conditionalFormatting sqref="F24">
    <cfRule type="cellIs" dxfId="24321" priority="353" operator="equal">
      <formula>"PMS"</formula>
    </cfRule>
    <cfRule type="containsText" dxfId="24320" priority="354" operator="containsText" text="CMS">
      <formula>NOT(ISERROR(SEARCH("CMS",F24)))</formula>
    </cfRule>
    <cfRule type="cellIs" dxfId="24319" priority="355" operator="equal">
      <formula>0</formula>
    </cfRule>
    <cfRule type="cellIs" dxfId="24318" priority="356" operator="greaterThan">
      <formula>0</formula>
    </cfRule>
  </conditionalFormatting>
  <conditionalFormatting sqref="O57">
    <cfRule type="cellIs" dxfId="24317" priority="221" operator="equal">
      <formula>"PMS"</formula>
    </cfRule>
    <cfRule type="containsText" dxfId="24316" priority="222" operator="containsText" text="CMS">
      <formula>NOT(ISERROR(SEARCH("CMS",O57)))</formula>
    </cfRule>
    <cfRule type="cellIs" dxfId="24315" priority="223" operator="equal">
      <formula>0</formula>
    </cfRule>
    <cfRule type="cellIs" dxfId="24314" priority="224" operator="greaterThan">
      <formula>0</formula>
    </cfRule>
  </conditionalFormatting>
  <conditionalFormatting sqref="O57">
    <cfRule type="cellIs" dxfId="24313" priority="217" operator="equal">
      <formula>"PMS"</formula>
    </cfRule>
    <cfRule type="containsText" dxfId="24312" priority="218" operator="containsText" text="CMS">
      <formula>NOT(ISERROR(SEARCH("CMS",O57)))</formula>
    </cfRule>
    <cfRule type="cellIs" dxfId="24311" priority="219" operator="equal">
      <formula>0</formula>
    </cfRule>
    <cfRule type="cellIs" dxfId="24310" priority="220" operator="greaterThan">
      <formula>0</formula>
    </cfRule>
  </conditionalFormatting>
  <conditionalFormatting sqref="O57">
    <cfRule type="cellIs" dxfId="24309" priority="213" operator="equal">
      <formula>"PMS"</formula>
    </cfRule>
    <cfRule type="containsText" dxfId="24308" priority="214" operator="containsText" text="CMS">
      <formula>NOT(ISERROR(SEARCH("CMS",O57)))</formula>
    </cfRule>
    <cfRule type="cellIs" dxfId="24307" priority="215" operator="equal">
      <formula>0</formula>
    </cfRule>
    <cfRule type="cellIs" dxfId="24306" priority="216" operator="greaterThan">
      <formula>0</formula>
    </cfRule>
  </conditionalFormatting>
  <conditionalFormatting sqref="O57">
    <cfRule type="cellIs" dxfId="24305" priority="209" operator="equal">
      <formula>"PMS"</formula>
    </cfRule>
    <cfRule type="containsText" dxfId="24304" priority="210" operator="containsText" text="CMS">
      <formula>NOT(ISERROR(SEARCH("CMS",O57)))</formula>
    </cfRule>
    <cfRule type="cellIs" dxfId="24303" priority="211" operator="equal">
      <formula>0</formula>
    </cfRule>
    <cfRule type="cellIs" dxfId="24302" priority="212" operator="greaterThan">
      <formula>0</formula>
    </cfRule>
  </conditionalFormatting>
  <conditionalFormatting sqref="O57">
    <cfRule type="cellIs" dxfId="24301" priority="205" operator="equal">
      <formula>"PMS"</formula>
    </cfRule>
    <cfRule type="containsText" dxfId="24300" priority="206" operator="containsText" text="CMS">
      <formula>NOT(ISERROR(SEARCH("CMS",O57)))</formula>
    </cfRule>
    <cfRule type="cellIs" dxfId="24299" priority="207" operator="equal">
      <formula>0</formula>
    </cfRule>
    <cfRule type="cellIs" dxfId="24298" priority="208" operator="greaterThan">
      <formula>0</formula>
    </cfRule>
  </conditionalFormatting>
  <conditionalFormatting sqref="O57">
    <cfRule type="cellIs" dxfId="24297" priority="201" operator="equal">
      <formula>"PMS"</formula>
    </cfRule>
    <cfRule type="containsText" dxfId="24296" priority="202" operator="containsText" text="CMS">
      <formula>NOT(ISERROR(SEARCH("CMS",O57)))</formula>
    </cfRule>
    <cfRule type="cellIs" dxfId="24295" priority="203" operator="equal">
      <formula>0</formula>
    </cfRule>
    <cfRule type="cellIs" dxfId="24294" priority="204" operator="greaterThan">
      <formula>0</formula>
    </cfRule>
  </conditionalFormatting>
  <conditionalFormatting sqref="O57">
    <cfRule type="cellIs" dxfId="24293" priority="197" operator="equal">
      <formula>"PMS"</formula>
    </cfRule>
    <cfRule type="containsText" dxfId="24292" priority="198" operator="containsText" text="CMS">
      <formula>NOT(ISERROR(SEARCH("CMS",O57)))</formula>
    </cfRule>
    <cfRule type="cellIs" dxfId="24291" priority="199" operator="equal">
      <formula>0</formula>
    </cfRule>
    <cfRule type="cellIs" dxfId="24290" priority="200" operator="greaterThan">
      <formula>0</formula>
    </cfRule>
  </conditionalFormatting>
  <conditionalFormatting sqref="O57">
    <cfRule type="cellIs" dxfId="24289" priority="193" operator="equal">
      <formula>"PMS"</formula>
    </cfRule>
    <cfRule type="containsText" dxfId="24288" priority="194" operator="containsText" text="CMS">
      <formula>NOT(ISERROR(SEARCH("CMS",O57)))</formula>
    </cfRule>
    <cfRule type="cellIs" dxfId="24287" priority="195" operator="equal">
      <formula>0</formula>
    </cfRule>
    <cfRule type="cellIs" dxfId="24286" priority="196" operator="greaterThan">
      <formula>0</formula>
    </cfRule>
  </conditionalFormatting>
  <conditionalFormatting sqref="O57">
    <cfRule type="cellIs" dxfId="24285" priority="189" operator="equal">
      <formula>"PMS"</formula>
    </cfRule>
    <cfRule type="containsText" dxfId="24284" priority="190" operator="containsText" text="CMS">
      <formula>NOT(ISERROR(SEARCH("CMS",O57)))</formula>
    </cfRule>
    <cfRule type="cellIs" dxfId="24283" priority="191" operator="equal">
      <formula>0</formula>
    </cfRule>
    <cfRule type="cellIs" dxfId="24282" priority="192" operator="greaterThan">
      <formula>0</formula>
    </cfRule>
  </conditionalFormatting>
  <conditionalFormatting sqref="O57">
    <cfRule type="cellIs" dxfId="24281" priority="185" operator="equal">
      <formula>"PMS"</formula>
    </cfRule>
    <cfRule type="containsText" dxfId="24280" priority="186" operator="containsText" text="CMS">
      <formula>NOT(ISERROR(SEARCH("CMS",O57)))</formula>
    </cfRule>
    <cfRule type="cellIs" dxfId="24279" priority="187" operator="equal">
      <formula>0</formula>
    </cfRule>
    <cfRule type="cellIs" dxfId="24278" priority="188" operator="greaterThan">
      <formula>0</formula>
    </cfRule>
  </conditionalFormatting>
  <conditionalFormatting sqref="O57">
    <cfRule type="cellIs" dxfId="24277" priority="181" operator="equal">
      <formula>"PMS"</formula>
    </cfRule>
    <cfRule type="containsText" dxfId="24276" priority="182" operator="containsText" text="CMS">
      <formula>NOT(ISERROR(SEARCH("CMS",O57)))</formula>
    </cfRule>
    <cfRule type="cellIs" dxfId="24275" priority="183" operator="equal">
      <formula>0</formula>
    </cfRule>
    <cfRule type="cellIs" dxfId="24274" priority="184" operator="greaterThan">
      <formula>0</formula>
    </cfRule>
  </conditionalFormatting>
  <conditionalFormatting sqref="O57">
    <cfRule type="cellIs" dxfId="24273" priority="177" operator="equal">
      <formula>"PMS"</formula>
    </cfRule>
    <cfRule type="containsText" dxfId="24272" priority="178" operator="containsText" text="CMS">
      <formula>NOT(ISERROR(SEARCH("CMS",O57)))</formula>
    </cfRule>
    <cfRule type="cellIs" dxfId="24271" priority="179" operator="equal">
      <formula>0</formula>
    </cfRule>
    <cfRule type="cellIs" dxfId="24270" priority="180" operator="greaterThan">
      <formula>0</formula>
    </cfRule>
  </conditionalFormatting>
  <conditionalFormatting sqref="R77">
    <cfRule type="cellIs" dxfId="24269" priority="173" operator="equal">
      <formula>"PMS"</formula>
    </cfRule>
    <cfRule type="containsText" dxfId="24268" priority="174" operator="containsText" text="CMS">
      <formula>NOT(ISERROR(SEARCH("CMS",R77)))</formula>
    </cfRule>
    <cfRule type="cellIs" dxfId="24267" priority="175" operator="equal">
      <formula>0</formula>
    </cfRule>
    <cfRule type="cellIs" dxfId="24266" priority="176" operator="greaterThan">
      <formula>0</formula>
    </cfRule>
  </conditionalFormatting>
  <conditionalFormatting sqref="F13:F16">
    <cfRule type="cellIs" dxfId="24265" priority="165" operator="equal">
      <formula>"PMS"</formula>
    </cfRule>
    <cfRule type="containsText" dxfId="24264" priority="166" operator="containsText" text="CMS">
      <formula>NOT(ISERROR(SEARCH("CMS",F13)))</formula>
    </cfRule>
    <cfRule type="cellIs" dxfId="24263" priority="167" operator="equal">
      <formula>0</formula>
    </cfRule>
    <cfRule type="cellIs" dxfId="24262" priority="168" operator="greaterThan">
      <formula>0</formula>
    </cfRule>
    <cfRule type="cellIs" dxfId="24261" priority="169" operator="equal">
      <formula>"PMS"</formula>
    </cfRule>
    <cfRule type="containsText" dxfId="24260" priority="170" operator="containsText" text="CMS">
      <formula>NOT(ISERROR(SEARCH("CMS",F13)))</formula>
    </cfRule>
    <cfRule type="cellIs" dxfId="24259" priority="171" operator="equal">
      <formula>0</formula>
    </cfRule>
    <cfRule type="cellIs" dxfId="24258" priority="172" operator="greaterThan">
      <formula>0</formula>
    </cfRule>
  </conditionalFormatting>
  <conditionalFormatting sqref="F13:F16">
    <cfRule type="cellIs" dxfId="24257" priority="161" operator="equal">
      <formula>"PMS"</formula>
    </cfRule>
    <cfRule type="containsText" dxfId="24256" priority="162" operator="containsText" text="CMS">
      <formula>NOT(ISERROR(SEARCH("CMS",F13)))</formula>
    </cfRule>
    <cfRule type="cellIs" dxfId="24255" priority="163" operator="equal">
      <formula>0</formula>
    </cfRule>
    <cfRule type="cellIs" dxfId="24254" priority="164" operator="greaterThan">
      <formula>0</formula>
    </cfRule>
  </conditionalFormatting>
  <conditionalFormatting sqref="F13:F16">
    <cfRule type="cellIs" dxfId="24253" priority="157" operator="equal">
      <formula>"PMS"</formula>
    </cfRule>
    <cfRule type="containsText" dxfId="24252" priority="158" operator="containsText" text="CMS">
      <formula>NOT(ISERROR(SEARCH("CMS",F13)))</formula>
    </cfRule>
    <cfRule type="cellIs" dxfId="24251" priority="159" operator="equal">
      <formula>0</formula>
    </cfRule>
    <cfRule type="cellIs" dxfId="24250" priority="160" operator="greaterThan">
      <formula>0</formula>
    </cfRule>
  </conditionalFormatting>
  <conditionalFormatting sqref="F13">
    <cfRule type="cellIs" dxfId="24249" priority="153" operator="equal">
      <formula>"PMS"</formula>
    </cfRule>
    <cfRule type="containsText" dxfId="24248" priority="154" operator="containsText" text="CMS">
      <formula>NOT(ISERROR(SEARCH("CMS",F13)))</formula>
    </cfRule>
    <cfRule type="cellIs" dxfId="24247" priority="155" operator="equal">
      <formula>0</formula>
    </cfRule>
    <cfRule type="cellIs" dxfId="24246" priority="156" operator="greaterThan">
      <formula>0</formula>
    </cfRule>
  </conditionalFormatting>
  <conditionalFormatting sqref="F13">
    <cfRule type="cellIs" dxfId="24245" priority="149" operator="equal">
      <formula>"PMS"</formula>
    </cfRule>
    <cfRule type="containsText" dxfId="24244" priority="150" operator="containsText" text="CMS">
      <formula>NOT(ISERROR(SEARCH("CMS",F13)))</formula>
    </cfRule>
    <cfRule type="cellIs" dxfId="24243" priority="151" operator="equal">
      <formula>0</formula>
    </cfRule>
    <cfRule type="cellIs" dxfId="24242" priority="152" operator="greaterThan">
      <formula>0</formula>
    </cfRule>
  </conditionalFormatting>
  <conditionalFormatting sqref="F20:F21">
    <cfRule type="cellIs" dxfId="24241" priority="141" operator="equal">
      <formula>"PMS"</formula>
    </cfRule>
    <cfRule type="containsText" dxfId="24240" priority="142" operator="containsText" text="CMS">
      <formula>NOT(ISERROR(SEARCH("CMS",F20)))</formula>
    </cfRule>
    <cfRule type="cellIs" dxfId="24239" priority="143" operator="equal">
      <formula>0</formula>
    </cfRule>
    <cfRule type="cellIs" dxfId="24238" priority="144" operator="greaterThan">
      <formula>0</formula>
    </cfRule>
    <cfRule type="cellIs" dxfId="24237" priority="145" operator="equal">
      <formula>"PMS"</formula>
    </cfRule>
    <cfRule type="containsText" dxfId="24236" priority="146" operator="containsText" text="CMS">
      <formula>NOT(ISERROR(SEARCH("CMS",F20)))</formula>
    </cfRule>
    <cfRule type="cellIs" dxfId="24235" priority="147" operator="equal">
      <formula>0</formula>
    </cfRule>
    <cfRule type="cellIs" dxfId="24234" priority="148" operator="greaterThan">
      <formula>0</formula>
    </cfRule>
  </conditionalFormatting>
  <conditionalFormatting sqref="F20:F21">
    <cfRule type="cellIs" dxfId="24233" priority="137" operator="equal">
      <formula>"PMS"</formula>
    </cfRule>
    <cfRule type="containsText" dxfId="24232" priority="138" operator="containsText" text="CMS">
      <formula>NOT(ISERROR(SEARCH("CMS",F20)))</formula>
    </cfRule>
    <cfRule type="cellIs" dxfId="24231" priority="139" operator="equal">
      <formula>0</formula>
    </cfRule>
    <cfRule type="cellIs" dxfId="24230" priority="140" operator="greaterThan">
      <formula>0</formula>
    </cfRule>
  </conditionalFormatting>
  <conditionalFormatting sqref="F20:F21">
    <cfRule type="cellIs" dxfId="24229" priority="133" operator="equal">
      <formula>"PMS"</formula>
    </cfRule>
    <cfRule type="containsText" dxfId="24228" priority="134" operator="containsText" text="CMS">
      <formula>NOT(ISERROR(SEARCH("CMS",F20)))</formula>
    </cfRule>
    <cfRule type="cellIs" dxfId="24227" priority="135" operator="equal">
      <formula>0</formula>
    </cfRule>
    <cfRule type="cellIs" dxfId="24226" priority="136" operator="greaterThan">
      <formula>0</formula>
    </cfRule>
  </conditionalFormatting>
  <conditionalFormatting sqref="F19">
    <cfRule type="cellIs" dxfId="24225" priority="129" operator="equal">
      <formula>"CMS"</formula>
    </cfRule>
    <cfRule type="cellIs" dxfId="24224" priority="130" operator="equal">
      <formula>"PMS"</formula>
    </cfRule>
    <cfRule type="cellIs" dxfId="24223" priority="131" operator="greaterThan">
      <formula>0</formula>
    </cfRule>
    <cfRule type="cellIs" dxfId="24222" priority="132" operator="equal">
      <formula>0</formula>
    </cfRule>
  </conditionalFormatting>
  <conditionalFormatting sqref="F27:F28">
    <cfRule type="cellIs" dxfId="24221" priority="121" operator="equal">
      <formula>"PMS"</formula>
    </cfRule>
    <cfRule type="containsText" dxfId="24220" priority="122" operator="containsText" text="CMS">
      <formula>NOT(ISERROR(SEARCH("CMS",F27)))</formula>
    </cfRule>
    <cfRule type="cellIs" dxfId="24219" priority="123" operator="equal">
      <formula>0</formula>
    </cfRule>
    <cfRule type="cellIs" dxfId="24218" priority="124" operator="greaterThan">
      <formula>0</formula>
    </cfRule>
    <cfRule type="cellIs" dxfId="24217" priority="125" operator="equal">
      <formula>"PMS"</formula>
    </cfRule>
    <cfRule type="containsText" dxfId="24216" priority="126" operator="containsText" text="CMS">
      <formula>NOT(ISERROR(SEARCH("CMS",F27)))</formula>
    </cfRule>
    <cfRule type="cellIs" dxfId="24215" priority="127" operator="equal">
      <formula>0</formula>
    </cfRule>
    <cfRule type="cellIs" dxfId="24214" priority="128" operator="greaterThan">
      <formula>0</formula>
    </cfRule>
  </conditionalFormatting>
  <conditionalFormatting sqref="F27:F28">
    <cfRule type="cellIs" dxfId="24213" priority="117" operator="equal">
      <formula>"PMS"</formula>
    </cfRule>
    <cfRule type="containsText" dxfId="24212" priority="118" operator="containsText" text="CMS">
      <formula>NOT(ISERROR(SEARCH("CMS",F27)))</formula>
    </cfRule>
    <cfRule type="cellIs" dxfId="24211" priority="119" operator="equal">
      <formula>0</formula>
    </cfRule>
    <cfRule type="cellIs" dxfId="24210" priority="120" operator="greaterThan">
      <formula>0</formula>
    </cfRule>
  </conditionalFormatting>
  <conditionalFormatting sqref="F27:F28">
    <cfRule type="cellIs" dxfId="24209" priority="113" operator="equal">
      <formula>"PMS"</formula>
    </cfRule>
    <cfRule type="containsText" dxfId="24208" priority="114" operator="containsText" text="CMS">
      <formula>NOT(ISERROR(SEARCH("CMS",F27)))</formula>
    </cfRule>
    <cfRule type="cellIs" dxfId="24207" priority="115" operator="equal">
      <formula>0</formula>
    </cfRule>
    <cfRule type="cellIs" dxfId="24206" priority="116" operator="greaterThan">
      <formula>0</formula>
    </cfRule>
  </conditionalFormatting>
  <conditionalFormatting sqref="F29">
    <cfRule type="cellIs" dxfId="24205" priority="105" operator="equal">
      <formula>"PMS"</formula>
    </cfRule>
    <cfRule type="containsText" dxfId="24204" priority="106" operator="containsText" text="CMS">
      <formula>NOT(ISERROR(SEARCH("CMS",F29)))</formula>
    </cfRule>
    <cfRule type="cellIs" dxfId="24203" priority="107" operator="equal">
      <formula>0</formula>
    </cfRule>
    <cfRule type="cellIs" dxfId="24202" priority="108" operator="greaterThan">
      <formula>0</formula>
    </cfRule>
    <cfRule type="cellIs" dxfId="24201" priority="109" operator="equal">
      <formula>"PMS"</formula>
    </cfRule>
    <cfRule type="containsText" dxfId="24200" priority="110" operator="containsText" text="CMS">
      <formula>NOT(ISERROR(SEARCH("CMS",F29)))</formula>
    </cfRule>
    <cfRule type="cellIs" dxfId="24199" priority="111" operator="equal">
      <formula>0</formula>
    </cfRule>
    <cfRule type="cellIs" dxfId="24198" priority="112" operator="greaterThan">
      <formula>0</formula>
    </cfRule>
  </conditionalFormatting>
  <conditionalFormatting sqref="F32">
    <cfRule type="cellIs" dxfId="24197" priority="97" operator="equal">
      <formula>"PMS"</formula>
    </cfRule>
    <cfRule type="containsText" dxfId="24196" priority="98" operator="containsText" text="CMS">
      <formula>NOT(ISERROR(SEARCH("CMS",F32)))</formula>
    </cfRule>
    <cfRule type="cellIs" dxfId="24195" priority="99" operator="equal">
      <formula>0</formula>
    </cfRule>
    <cfRule type="cellIs" dxfId="24194" priority="100" operator="greaterThan">
      <formula>0</formula>
    </cfRule>
    <cfRule type="cellIs" dxfId="24193" priority="101" operator="equal">
      <formula>"PMS"</formula>
    </cfRule>
    <cfRule type="containsText" dxfId="24192" priority="102" operator="containsText" text="CMS">
      <formula>NOT(ISERROR(SEARCH("CMS",F32)))</formula>
    </cfRule>
    <cfRule type="cellIs" dxfId="24191" priority="103" operator="equal">
      <formula>0</formula>
    </cfRule>
    <cfRule type="cellIs" dxfId="24190" priority="104" operator="greaterThan">
      <formula>0</formula>
    </cfRule>
  </conditionalFormatting>
  <conditionalFormatting sqref="F32">
    <cfRule type="cellIs" dxfId="24189" priority="93" operator="equal">
      <formula>"PMS"</formula>
    </cfRule>
    <cfRule type="containsText" dxfId="24188" priority="94" operator="containsText" text="CMS">
      <formula>NOT(ISERROR(SEARCH("CMS",F32)))</formula>
    </cfRule>
    <cfRule type="cellIs" dxfId="24187" priority="95" operator="equal">
      <formula>0</formula>
    </cfRule>
    <cfRule type="cellIs" dxfId="24186" priority="96" operator="greaterThan">
      <formula>0</formula>
    </cfRule>
  </conditionalFormatting>
  <conditionalFormatting sqref="F32">
    <cfRule type="cellIs" dxfId="24185" priority="89" operator="equal">
      <formula>"PMS"</formula>
    </cfRule>
    <cfRule type="containsText" dxfId="24184" priority="90" operator="containsText" text="CMS">
      <formula>NOT(ISERROR(SEARCH("CMS",F32)))</formula>
    </cfRule>
    <cfRule type="cellIs" dxfId="24183" priority="91" operator="equal">
      <formula>0</formula>
    </cfRule>
    <cfRule type="cellIs" dxfId="24182" priority="92" operator="greaterThan">
      <formula>0</formula>
    </cfRule>
  </conditionalFormatting>
  <conditionalFormatting sqref="F35:F58">
    <cfRule type="cellIs" dxfId="24181" priority="81" operator="equal">
      <formula>"PMS"</formula>
    </cfRule>
    <cfRule type="containsText" dxfId="24180" priority="82" operator="containsText" text="CMS">
      <formula>NOT(ISERROR(SEARCH("CMS",F35)))</formula>
    </cfRule>
    <cfRule type="cellIs" dxfId="24179" priority="83" operator="equal">
      <formula>0</formula>
    </cfRule>
    <cfRule type="cellIs" dxfId="24178" priority="84" operator="greaterThan">
      <formula>0</formula>
    </cfRule>
    <cfRule type="cellIs" dxfId="24177" priority="85" operator="equal">
      <formula>"PMS"</formula>
    </cfRule>
    <cfRule type="containsText" dxfId="24176" priority="86" operator="containsText" text="CMS">
      <formula>NOT(ISERROR(SEARCH("CMS",F35)))</formula>
    </cfRule>
    <cfRule type="cellIs" dxfId="24175" priority="87" operator="equal">
      <formula>0</formula>
    </cfRule>
    <cfRule type="cellIs" dxfId="24174" priority="88" operator="greaterThan">
      <formula>0</formula>
    </cfRule>
  </conditionalFormatting>
  <conditionalFormatting sqref="F35:F58">
    <cfRule type="cellIs" dxfId="24173" priority="77" operator="equal">
      <formula>"PMS"</formula>
    </cfRule>
    <cfRule type="containsText" dxfId="24172" priority="78" operator="containsText" text="CMS">
      <formula>NOT(ISERROR(SEARCH("CMS",F35)))</formula>
    </cfRule>
    <cfRule type="cellIs" dxfId="24171" priority="79" operator="equal">
      <formula>0</formula>
    </cfRule>
    <cfRule type="cellIs" dxfId="24170" priority="80" operator="greaterThan">
      <formula>0</formula>
    </cfRule>
  </conditionalFormatting>
  <conditionalFormatting sqref="F35:F58">
    <cfRule type="cellIs" dxfId="24169" priority="73" operator="equal">
      <formula>"PMS"</formula>
    </cfRule>
    <cfRule type="containsText" dxfId="24168" priority="74" operator="containsText" text="CMS">
      <formula>NOT(ISERROR(SEARCH("CMS",F35)))</formula>
    </cfRule>
    <cfRule type="cellIs" dxfId="24167" priority="75" operator="equal">
      <formula>0</formula>
    </cfRule>
    <cfRule type="cellIs" dxfId="24166" priority="76" operator="greaterThan">
      <formula>0</formula>
    </cfRule>
  </conditionalFormatting>
  <conditionalFormatting sqref="F57">
    <cfRule type="cellIs" dxfId="24165" priority="69" operator="equal">
      <formula>"PMS"</formula>
    </cfRule>
    <cfRule type="containsText" dxfId="24164" priority="70" operator="containsText" text="CMS">
      <formula>NOT(ISERROR(SEARCH("CMS",F57)))</formula>
    </cfRule>
    <cfRule type="cellIs" dxfId="24163" priority="71" operator="equal">
      <formula>0</formula>
    </cfRule>
    <cfRule type="cellIs" dxfId="24162" priority="72" operator="greaterThan">
      <formula>0</formula>
    </cfRule>
  </conditionalFormatting>
  <conditionalFormatting sqref="F57">
    <cfRule type="cellIs" dxfId="24161" priority="65" operator="equal">
      <formula>"PMS"</formula>
    </cfRule>
    <cfRule type="containsText" dxfId="24160" priority="66" operator="containsText" text="CMS">
      <formula>NOT(ISERROR(SEARCH("CMS",F57)))</formula>
    </cfRule>
    <cfRule type="cellIs" dxfId="24159" priority="67" operator="equal">
      <formula>0</formula>
    </cfRule>
    <cfRule type="cellIs" dxfId="24158" priority="68" operator="greaterThan">
      <formula>0</formula>
    </cfRule>
  </conditionalFormatting>
  <conditionalFormatting sqref="F57">
    <cfRule type="cellIs" dxfId="24157" priority="61" operator="equal">
      <formula>"PMS"</formula>
    </cfRule>
    <cfRule type="containsText" dxfId="24156" priority="62" operator="containsText" text="CMS">
      <formula>NOT(ISERROR(SEARCH("CMS",F57)))</formula>
    </cfRule>
    <cfRule type="cellIs" dxfId="24155" priority="63" operator="equal">
      <formula>0</formula>
    </cfRule>
    <cfRule type="cellIs" dxfId="24154" priority="64" operator="greaterThan">
      <formula>0</formula>
    </cfRule>
  </conditionalFormatting>
  <conditionalFormatting sqref="F57">
    <cfRule type="cellIs" dxfId="24153" priority="57" operator="equal">
      <formula>"PMS"</formula>
    </cfRule>
    <cfRule type="containsText" dxfId="24152" priority="58" operator="containsText" text="CMS">
      <formula>NOT(ISERROR(SEARCH("CMS",F57)))</formula>
    </cfRule>
    <cfRule type="cellIs" dxfId="24151" priority="59" operator="equal">
      <formula>0</formula>
    </cfRule>
    <cfRule type="cellIs" dxfId="24150" priority="60" operator="greaterThan">
      <formula>0</formula>
    </cfRule>
  </conditionalFormatting>
  <conditionalFormatting sqref="F58">
    <cfRule type="cellIs" dxfId="24149" priority="53" operator="equal">
      <formula>"PMS"</formula>
    </cfRule>
    <cfRule type="containsText" dxfId="24148" priority="54" operator="containsText" text="CMS">
      <formula>NOT(ISERROR(SEARCH("CMS",F58)))</formula>
    </cfRule>
    <cfRule type="cellIs" dxfId="24147" priority="55" operator="equal">
      <formula>0</formula>
    </cfRule>
    <cfRule type="cellIs" dxfId="24146" priority="56" operator="greaterThan">
      <formula>0</formula>
    </cfRule>
  </conditionalFormatting>
  <conditionalFormatting sqref="F58">
    <cfRule type="cellIs" dxfId="24145" priority="49" operator="equal">
      <formula>"PMS"</formula>
    </cfRule>
    <cfRule type="containsText" dxfId="24144" priority="50" operator="containsText" text="CMS">
      <formula>NOT(ISERROR(SEARCH("CMS",F58)))</formula>
    </cfRule>
    <cfRule type="cellIs" dxfId="24143" priority="51" operator="equal">
      <formula>0</formula>
    </cfRule>
    <cfRule type="cellIs" dxfId="24142" priority="52" operator="greaterThan">
      <formula>0</formula>
    </cfRule>
  </conditionalFormatting>
  <conditionalFormatting sqref="F58">
    <cfRule type="cellIs" dxfId="24141" priority="45" operator="equal">
      <formula>"PMS"</formula>
    </cfRule>
    <cfRule type="containsText" dxfId="24140" priority="46" operator="containsText" text="CMS">
      <formula>NOT(ISERROR(SEARCH("CMS",F58)))</formula>
    </cfRule>
    <cfRule type="cellIs" dxfId="24139" priority="47" operator="equal">
      <formula>0</formula>
    </cfRule>
    <cfRule type="cellIs" dxfId="24138" priority="48" operator="greaterThan">
      <formula>0</formula>
    </cfRule>
  </conditionalFormatting>
  <conditionalFormatting sqref="F58">
    <cfRule type="cellIs" dxfId="24137" priority="41" operator="equal">
      <formula>"PMS"</formula>
    </cfRule>
    <cfRule type="containsText" dxfId="24136" priority="42" operator="containsText" text="CMS">
      <formula>NOT(ISERROR(SEARCH("CMS",F58)))</formula>
    </cfRule>
    <cfRule type="cellIs" dxfId="24135" priority="43" operator="equal">
      <formula>0</formula>
    </cfRule>
    <cfRule type="cellIs" dxfId="24134" priority="44" operator="greaterThan">
      <formula>0</formula>
    </cfRule>
  </conditionalFormatting>
  <conditionalFormatting sqref="F61:F63">
    <cfRule type="cellIs" dxfId="24133" priority="33" operator="equal">
      <formula>"PMS"</formula>
    </cfRule>
    <cfRule type="containsText" dxfId="24132" priority="34" operator="containsText" text="CMS">
      <formula>NOT(ISERROR(SEARCH("CMS",F61)))</formula>
    </cfRule>
    <cfRule type="cellIs" dxfId="24131" priority="35" operator="equal">
      <formula>0</formula>
    </cfRule>
    <cfRule type="cellIs" dxfId="24130" priority="36" operator="greaterThan">
      <formula>0</formula>
    </cfRule>
    <cfRule type="cellIs" dxfId="24129" priority="37" operator="equal">
      <formula>"PMS"</formula>
    </cfRule>
    <cfRule type="containsText" dxfId="24128" priority="38" operator="containsText" text="CMS">
      <formula>NOT(ISERROR(SEARCH("CMS",F61)))</formula>
    </cfRule>
    <cfRule type="cellIs" dxfId="24127" priority="39" operator="equal">
      <formula>0</formula>
    </cfRule>
    <cfRule type="cellIs" dxfId="24126" priority="40" operator="greaterThan">
      <formula>0</formula>
    </cfRule>
  </conditionalFormatting>
  <conditionalFormatting sqref="F61:F63">
    <cfRule type="cellIs" dxfId="24125" priority="29" operator="equal">
      <formula>"PMS"</formula>
    </cfRule>
    <cfRule type="containsText" dxfId="24124" priority="30" operator="containsText" text="CMS">
      <formula>NOT(ISERROR(SEARCH("CMS",F61)))</formula>
    </cfRule>
    <cfRule type="cellIs" dxfId="24123" priority="31" operator="equal">
      <formula>0</formula>
    </cfRule>
    <cfRule type="cellIs" dxfId="24122" priority="32" operator="greaterThan">
      <formula>0</formula>
    </cfRule>
  </conditionalFormatting>
  <conditionalFormatting sqref="F66:F74">
    <cfRule type="cellIs" dxfId="24121" priority="21" operator="equal">
      <formula>"PMS"</formula>
    </cfRule>
    <cfRule type="containsText" dxfId="24120" priority="22" operator="containsText" text="CMS">
      <formula>NOT(ISERROR(SEARCH("CMS",F66)))</formula>
    </cfRule>
    <cfRule type="cellIs" dxfId="24119" priority="23" operator="equal">
      <formula>0</formula>
    </cfRule>
    <cfRule type="cellIs" dxfId="24118" priority="24" operator="greaterThan">
      <formula>0</formula>
    </cfRule>
    <cfRule type="cellIs" dxfId="24117" priority="25" operator="equal">
      <formula>"PMS"</formula>
    </cfRule>
    <cfRule type="containsText" dxfId="24116" priority="26" operator="containsText" text="CMS">
      <formula>NOT(ISERROR(SEARCH("CMS",F66)))</formula>
    </cfRule>
    <cfRule type="cellIs" dxfId="24115" priority="27" operator="equal">
      <formula>0</formula>
    </cfRule>
    <cfRule type="cellIs" dxfId="24114" priority="28" operator="greaterThan">
      <formula>0</formula>
    </cfRule>
  </conditionalFormatting>
  <conditionalFormatting sqref="F66:F74">
    <cfRule type="cellIs" dxfId="24113" priority="17" operator="equal">
      <formula>"PMS"</formula>
    </cfRule>
    <cfRule type="containsText" dxfId="24112" priority="18" operator="containsText" text="CMS">
      <formula>NOT(ISERROR(SEARCH("CMS",F66)))</formula>
    </cfRule>
    <cfRule type="cellIs" dxfId="24111" priority="19" operator="equal">
      <formula>0</formula>
    </cfRule>
    <cfRule type="cellIs" dxfId="24110" priority="20" operator="greaterThan">
      <formula>0</formula>
    </cfRule>
  </conditionalFormatting>
  <conditionalFormatting sqref="F66:F74">
    <cfRule type="cellIs" dxfId="24109" priority="13" operator="equal">
      <formula>"PMS"</formula>
    </cfRule>
    <cfRule type="containsText" dxfId="24108" priority="14" operator="containsText" text="CMS">
      <formula>NOT(ISERROR(SEARCH("CMS",F66)))</formula>
    </cfRule>
    <cfRule type="cellIs" dxfId="24107" priority="15" operator="equal">
      <formula>0</formula>
    </cfRule>
    <cfRule type="cellIs" dxfId="24106" priority="16" operator="greaterThan">
      <formula>0</formula>
    </cfRule>
  </conditionalFormatting>
  <conditionalFormatting sqref="F77:F78">
    <cfRule type="cellIs" dxfId="24105" priority="5" operator="equal">
      <formula>"PMS"</formula>
    </cfRule>
    <cfRule type="containsText" dxfId="24104" priority="6" operator="containsText" text="CMS">
      <formula>NOT(ISERROR(SEARCH("CMS",F77)))</formula>
    </cfRule>
    <cfRule type="cellIs" dxfId="24103" priority="7" operator="equal">
      <formula>0</formula>
    </cfRule>
    <cfRule type="cellIs" dxfId="24102" priority="8" operator="greaterThan">
      <formula>0</formula>
    </cfRule>
    <cfRule type="cellIs" dxfId="24101" priority="9" operator="equal">
      <formula>"PMS"</formula>
    </cfRule>
    <cfRule type="containsText" dxfId="24100" priority="10" operator="containsText" text="CMS">
      <formula>NOT(ISERROR(SEARCH("CMS",F77)))</formula>
    </cfRule>
    <cfRule type="cellIs" dxfId="24099" priority="11" operator="equal">
      <formula>0</formula>
    </cfRule>
    <cfRule type="cellIs" dxfId="24098" priority="12" operator="greaterThan">
      <formula>0</formula>
    </cfRule>
  </conditionalFormatting>
  <conditionalFormatting sqref="F77:F78">
    <cfRule type="cellIs" dxfId="24097" priority="1" operator="equal">
      <formula>"PMS"</formula>
    </cfRule>
    <cfRule type="containsText" dxfId="24096" priority="2" operator="containsText" text="CMS">
      <formula>NOT(ISERROR(SEARCH("CMS",F77)))</formula>
    </cfRule>
    <cfRule type="cellIs" dxfId="24095" priority="3" operator="equal">
      <formula>0</formula>
    </cfRule>
    <cfRule type="cellIs" dxfId="2409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21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3A12E-BA47-4B44-A187-355A080F7BC7}">
  <sheetPr codeName="Sheet109"/>
  <dimension ref="A2:DT137"/>
  <sheetViews>
    <sheetView zoomScale="80" zoomScaleNormal="80" zoomScaleSheetLayoutView="51" zoomScalePageLayoutView="55" workbookViewId="0">
      <pane xSplit="5" ySplit="11" topLeftCell="G62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R82" sqref="R8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11,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483.60000000000014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>
        <v>7.2</v>
      </c>
      <c r="O13" s="219">
        <v>6.5</v>
      </c>
      <c r="P13" s="219">
        <v>6.6</v>
      </c>
      <c r="Q13" s="71">
        <v>6.6</v>
      </c>
      <c r="R13" s="71">
        <v>6.6</v>
      </c>
      <c r="S13" s="71">
        <v>6.7</v>
      </c>
      <c r="T13" s="71">
        <v>6.4</v>
      </c>
      <c r="U13" s="71">
        <v>6.6</v>
      </c>
      <c r="V13" s="71">
        <v>6.6</v>
      </c>
      <c r="W13" s="71">
        <v>6.6</v>
      </c>
      <c r="X13" s="71">
        <v>6.6</v>
      </c>
      <c r="Y13" s="71">
        <v>6.5</v>
      </c>
      <c r="Z13" s="71">
        <v>6.6</v>
      </c>
      <c r="AA13" s="71">
        <v>6.5</v>
      </c>
      <c r="AB13" s="71">
        <v>6.7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>
        <v>1.5</v>
      </c>
      <c r="P14" s="219">
        <v>6.6</v>
      </c>
      <c r="Q14" s="71">
        <v>6.6</v>
      </c>
      <c r="R14" s="71">
        <v>6.6</v>
      </c>
      <c r="S14" s="71">
        <v>6.7</v>
      </c>
      <c r="T14" s="71">
        <v>6.4</v>
      </c>
      <c r="U14" s="71">
        <v>6.6</v>
      </c>
      <c r="V14" s="71">
        <v>6.6</v>
      </c>
      <c r="W14" s="71">
        <v>6.6</v>
      </c>
      <c r="X14" s="71">
        <v>6.6</v>
      </c>
      <c r="Y14" s="71">
        <v>6.5</v>
      </c>
      <c r="Z14" s="71">
        <v>6.6</v>
      </c>
      <c r="AA14" s="71">
        <v>6.5</v>
      </c>
      <c r="AB14" s="71">
        <v>6.7</v>
      </c>
      <c r="AC14" s="71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6.6</v>
      </c>
      <c r="I15" s="71">
        <v>6.4</v>
      </c>
      <c r="J15" s="71">
        <v>6.7</v>
      </c>
      <c r="K15" s="71">
        <v>6.6</v>
      </c>
      <c r="L15" s="71">
        <v>6.7</v>
      </c>
      <c r="M15" s="71">
        <v>6.3</v>
      </c>
      <c r="N15" s="71">
        <v>4.2</v>
      </c>
      <c r="O15" s="219">
        <v>6.5</v>
      </c>
      <c r="P15" s="219">
        <v>6.6</v>
      </c>
      <c r="Q15" s="71">
        <v>6.6</v>
      </c>
      <c r="R15" s="71">
        <v>6.6</v>
      </c>
      <c r="S15" s="71">
        <v>6.7</v>
      </c>
      <c r="T15" s="71">
        <v>6.4</v>
      </c>
      <c r="U15" s="71">
        <v>6.6</v>
      </c>
      <c r="V15" s="71">
        <v>6.6</v>
      </c>
      <c r="W15" s="71">
        <v>6.6</v>
      </c>
      <c r="X15" s="71">
        <v>6.6</v>
      </c>
      <c r="Y15" s="71">
        <v>6.5</v>
      </c>
      <c r="Z15" s="71">
        <v>6.6</v>
      </c>
      <c r="AA15" s="71">
        <v>6.5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6.5</v>
      </c>
      <c r="I16" s="71">
        <v>6.4</v>
      </c>
      <c r="J16" s="71">
        <v>6.7</v>
      </c>
      <c r="K16" s="71">
        <v>6.6</v>
      </c>
      <c r="L16" s="71">
        <v>6.7</v>
      </c>
      <c r="M16" s="71">
        <v>6.1</v>
      </c>
      <c r="N16" s="71">
        <v>4.2</v>
      </c>
      <c r="O16" s="71">
        <v>6.5</v>
      </c>
      <c r="P16" s="219">
        <v>6.6</v>
      </c>
      <c r="Q16" s="71">
        <v>6.6</v>
      </c>
      <c r="R16" s="71">
        <v>6.6</v>
      </c>
      <c r="S16" s="71">
        <v>6.7</v>
      </c>
      <c r="T16" s="71">
        <v>6.4</v>
      </c>
      <c r="U16" s="71">
        <v>6.6</v>
      </c>
      <c r="V16" s="71">
        <v>6.6</v>
      </c>
      <c r="W16" s="71">
        <v>6.6</v>
      </c>
      <c r="X16" s="71">
        <v>6.6</v>
      </c>
      <c r="Y16" s="71">
        <v>6.5</v>
      </c>
      <c r="Z16" s="71" t="s">
        <v>7</v>
      </c>
      <c r="AA16" s="71" t="s">
        <v>7</v>
      </c>
      <c r="AB16" s="71" t="s">
        <v>7</v>
      </c>
      <c r="AC16" s="71" t="s">
        <v>7</v>
      </c>
      <c r="AD16" s="41"/>
      <c r="AE16" s="41"/>
      <c r="AF16" s="11">
        <f>COUNTIF(F16:AC16,$AJ$8)</f>
        <v>0</v>
      </c>
      <c r="AG16" s="11">
        <f>COUNTIF(G16:AD16,$AJ$7)</f>
        <v>4</v>
      </c>
      <c r="AH16" s="11">
        <f>COUNT(F16:AC16)</f>
        <v>20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13.1</v>
      </c>
      <c r="I17" s="19">
        <f t="shared" si="0"/>
        <v>12.8</v>
      </c>
      <c r="J17" s="19">
        <f t="shared" si="0"/>
        <v>13.4</v>
      </c>
      <c r="K17" s="19">
        <f t="shared" si="0"/>
        <v>13.2</v>
      </c>
      <c r="L17" s="19">
        <f t="shared" si="0"/>
        <v>13.4</v>
      </c>
      <c r="M17" s="19">
        <f t="shared" si="0"/>
        <v>12.399999999999999</v>
      </c>
      <c r="N17" s="19">
        <f t="shared" si="0"/>
        <v>15.600000000000001</v>
      </c>
      <c r="O17" s="19">
        <f t="shared" si="0"/>
        <v>21</v>
      </c>
      <c r="P17" s="19">
        <f t="shared" si="0"/>
        <v>26.4</v>
      </c>
      <c r="Q17" s="19">
        <f t="shared" si="0"/>
        <v>26.4</v>
      </c>
      <c r="R17" s="19">
        <f t="shared" si="0"/>
        <v>26.4</v>
      </c>
      <c r="S17" s="19">
        <f t="shared" si="0"/>
        <v>26.8</v>
      </c>
      <c r="T17" s="19">
        <f t="shared" si="0"/>
        <v>25.6</v>
      </c>
      <c r="U17" s="19">
        <f t="shared" si="0"/>
        <v>26.4</v>
      </c>
      <c r="V17" s="19">
        <f t="shared" si="0"/>
        <v>26.4</v>
      </c>
      <c r="W17" s="19">
        <f t="shared" si="0"/>
        <v>26.4</v>
      </c>
      <c r="X17" s="19">
        <f t="shared" si="0"/>
        <v>26.4</v>
      </c>
      <c r="Y17" s="19">
        <f t="shared" si="0"/>
        <v>26</v>
      </c>
      <c r="Z17" s="19">
        <f t="shared" si="0"/>
        <v>19.799999999999997</v>
      </c>
      <c r="AA17" s="19">
        <f t="shared" si="0"/>
        <v>19.5</v>
      </c>
      <c r="AB17" s="19">
        <f t="shared" si="0"/>
        <v>20.100000000000001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77.899999999999963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3.4</v>
      </c>
      <c r="L21" s="71">
        <v>3.3</v>
      </c>
      <c r="M21" s="71">
        <v>3.2</v>
      </c>
      <c r="N21" s="71">
        <v>3.3</v>
      </c>
      <c r="O21" s="219">
        <v>2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3.3</v>
      </c>
      <c r="I22" s="19">
        <f t="shared" si="1"/>
        <v>3.3</v>
      </c>
      <c r="J22" s="19">
        <f t="shared" si="1"/>
        <v>3.3</v>
      </c>
      <c r="K22" s="19">
        <f t="shared" si="1"/>
        <v>3.4</v>
      </c>
      <c r="L22" s="19">
        <f t="shared" si="1"/>
        <v>3.3</v>
      </c>
      <c r="M22" s="19">
        <f t="shared" si="1"/>
        <v>3.2</v>
      </c>
      <c r="N22" s="19">
        <f t="shared" si="1"/>
        <v>3.3</v>
      </c>
      <c r="O22" s="19">
        <f t="shared" si="1"/>
        <v>2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54.699999999999989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>
        <v>1.5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9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1.5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179.80000000000007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3.9</v>
      </c>
      <c r="G27" s="71">
        <v>3.8</v>
      </c>
      <c r="H27" s="71">
        <v>3.5</v>
      </c>
      <c r="I27" s="71">
        <v>3.4</v>
      </c>
      <c r="J27" s="71">
        <v>3</v>
      </c>
      <c r="K27" s="71">
        <v>3.9</v>
      </c>
      <c r="L27" s="71">
        <v>3.7</v>
      </c>
      <c r="M27" s="71">
        <v>3.6</v>
      </c>
      <c r="N27" s="71">
        <v>3.7</v>
      </c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3.8</v>
      </c>
      <c r="Z27" s="71">
        <v>4</v>
      </c>
      <c r="AA27" s="71">
        <v>4.0999999999999996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3.9</v>
      </c>
      <c r="G28" s="71">
        <v>3.8</v>
      </c>
      <c r="H28" s="71">
        <v>3.5</v>
      </c>
      <c r="I28" s="71">
        <v>3.4</v>
      </c>
      <c r="J28" s="71">
        <v>3</v>
      </c>
      <c r="K28" s="71">
        <v>3.9</v>
      </c>
      <c r="L28" s="71">
        <v>3.7</v>
      </c>
      <c r="M28" s="71">
        <v>3.6</v>
      </c>
      <c r="N28" s="71">
        <v>3.7</v>
      </c>
      <c r="O28" s="219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3.8</v>
      </c>
      <c r="Z28" s="71">
        <v>4</v>
      </c>
      <c r="AA28" s="71">
        <v>4.0999999999999996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7.8</v>
      </c>
      <c r="G30" s="19">
        <f t="shared" si="4"/>
        <v>7.6</v>
      </c>
      <c r="H30" s="19">
        <f t="shared" si="4"/>
        <v>7</v>
      </c>
      <c r="I30" s="19">
        <f t="shared" si="4"/>
        <v>6.8</v>
      </c>
      <c r="J30" s="19">
        <f t="shared" si="4"/>
        <v>6</v>
      </c>
      <c r="K30" s="19">
        <f t="shared" si="4"/>
        <v>7.8</v>
      </c>
      <c r="L30" s="19">
        <f t="shared" si="4"/>
        <v>7.4</v>
      </c>
      <c r="M30" s="19">
        <f t="shared" si="4"/>
        <v>7.2</v>
      </c>
      <c r="N30" s="19">
        <f t="shared" si="4"/>
        <v>7.4</v>
      </c>
      <c r="O30" s="19">
        <f t="shared" si="4"/>
        <v>7.6</v>
      </c>
      <c r="P30" s="19">
        <f t="shared" si="4"/>
        <v>7.6</v>
      </c>
      <c r="Q30" s="19">
        <f t="shared" si="4"/>
        <v>7.6</v>
      </c>
      <c r="R30" s="19">
        <f t="shared" si="4"/>
        <v>7.6</v>
      </c>
      <c r="S30" s="19">
        <f t="shared" si="4"/>
        <v>7.6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7.6</v>
      </c>
      <c r="X30" s="19">
        <f t="shared" si="4"/>
        <v>7.6</v>
      </c>
      <c r="Y30" s="19">
        <f t="shared" si="4"/>
        <v>7.6</v>
      </c>
      <c r="Z30" s="19">
        <f t="shared" si="4"/>
        <v>8</v>
      </c>
      <c r="AA30" s="19">
        <f t="shared" si="4"/>
        <v>8.1999999999999993</v>
      </c>
      <c r="AB30" s="19">
        <f t="shared" si="4"/>
        <v>7.6</v>
      </c>
      <c r="AC30" s="19">
        <f t="shared" si="4"/>
        <v>7.4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60.399999999999949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0.8</v>
      </c>
      <c r="O38" s="71">
        <v>1</v>
      </c>
      <c r="P38" s="71"/>
      <c r="Q38" s="71"/>
      <c r="R38" s="71"/>
      <c r="S38" s="71"/>
      <c r="T38" s="71">
        <v>1</v>
      </c>
      <c r="U38" s="71"/>
      <c r="V38" s="71"/>
      <c r="W38" s="71"/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7"/>
        <v>6</v>
      </c>
      <c r="AG38" s="11">
        <f t="shared" si="8"/>
        <v>0</v>
      </c>
      <c r="AH38" s="11">
        <f t="shared" si="9"/>
        <v>11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5">
      <c r="A40" s="70">
        <v>36</v>
      </c>
      <c r="B40" s="15"/>
      <c r="C40" s="15"/>
      <c r="D40" s="15"/>
      <c r="E40" s="15"/>
      <c r="F40" s="71">
        <v>0.85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1</v>
      </c>
      <c r="M40" s="71">
        <v>0.9</v>
      </c>
      <c r="N40" s="71">
        <v>0.9</v>
      </c>
      <c r="O40" s="71">
        <v>0.9</v>
      </c>
      <c r="P40" s="71"/>
      <c r="Q40" s="71">
        <v>0.9</v>
      </c>
      <c r="R40" s="71">
        <v>0.9</v>
      </c>
      <c r="S40" s="71">
        <v>1</v>
      </c>
      <c r="T40" s="71">
        <v>0.9</v>
      </c>
      <c r="U40" s="71"/>
      <c r="V40" s="71"/>
      <c r="W40" s="71">
        <v>0.9</v>
      </c>
      <c r="X40" s="71">
        <v>0.95</v>
      </c>
      <c r="Y40" s="71">
        <v>0.95</v>
      </c>
      <c r="Z40" s="71">
        <v>0.95</v>
      </c>
      <c r="AA40" s="71">
        <v>0.95</v>
      </c>
      <c r="AB40" s="71">
        <f>1.8/2</f>
        <v>0.9</v>
      </c>
      <c r="AC40" s="71">
        <v>0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21</v>
      </c>
    </row>
    <row r="41" spans="1:35" x14ac:dyDescent="0.2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0.9</v>
      </c>
      <c r="M41" s="71">
        <v>0.9</v>
      </c>
      <c r="N41" s="71">
        <v>0.9</v>
      </c>
      <c r="O41" s="71">
        <v>0.9</v>
      </c>
      <c r="P41" s="71">
        <v>0.9</v>
      </c>
      <c r="Q41" s="71">
        <v>0.9</v>
      </c>
      <c r="R41" s="71"/>
      <c r="S41" s="71">
        <v>0.9</v>
      </c>
      <c r="T41" s="71">
        <v>0.8</v>
      </c>
      <c r="U41" s="71">
        <v>0.8</v>
      </c>
      <c r="V41" s="71">
        <v>0.9</v>
      </c>
      <c r="W41" s="71">
        <v>0.9</v>
      </c>
      <c r="X41" s="71">
        <v>0.95</v>
      </c>
      <c r="Y41" s="71">
        <v>0.95</v>
      </c>
      <c r="Z41" s="71">
        <v>0.95</v>
      </c>
      <c r="AA41" s="71">
        <v>0.95</v>
      </c>
      <c r="AB41" s="71">
        <f>1.8/2</f>
        <v>0.9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23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>
        <v>0.85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0.9</v>
      </c>
      <c r="M43" s="71">
        <v>0.9</v>
      </c>
      <c r="N43" s="71">
        <v>0.9</v>
      </c>
      <c r="O43" s="71">
        <v>0.9</v>
      </c>
      <c r="P43" s="71"/>
      <c r="Q43" s="71">
        <v>1</v>
      </c>
      <c r="R43" s="71"/>
      <c r="S43" s="71"/>
      <c r="T43" s="71">
        <v>0.8</v>
      </c>
      <c r="U43" s="71"/>
      <c r="V43" s="71">
        <v>0.9</v>
      </c>
      <c r="W43" s="71"/>
      <c r="X43" s="71">
        <v>0.9</v>
      </c>
      <c r="Y43" s="71">
        <v>0.95</v>
      </c>
      <c r="Z43" s="71">
        <v>0.95</v>
      </c>
      <c r="AA43" s="71">
        <v>0.95</v>
      </c>
      <c r="AB43" s="71">
        <v>0</v>
      </c>
      <c r="AC43" s="71">
        <v>0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19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19">
        <v>0.8</v>
      </c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>
        <f>5.65/7</f>
        <v>0.80714285714285716</v>
      </c>
      <c r="AA44" s="71">
        <f>2.35/3</f>
        <v>0.78333333333333333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14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0.8</v>
      </c>
      <c r="N46" s="71"/>
      <c r="O46" s="219"/>
      <c r="P46" s="71"/>
      <c r="Q46" s="71"/>
      <c r="R46" s="71"/>
      <c r="S46" s="71"/>
      <c r="T46" s="71">
        <v>0.8</v>
      </c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9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0.8</v>
      </c>
      <c r="N47" s="71">
        <v>0.8</v>
      </c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>
        <v>0.82499999999999996</v>
      </c>
      <c r="Z47" s="71">
        <f>5.65/7</f>
        <v>0.80714285714285716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14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0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>
        <v>0</v>
      </c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>
        <v>0</v>
      </c>
      <c r="N49" s="71">
        <v>0</v>
      </c>
      <c r="O49" s="71">
        <v>0</v>
      </c>
      <c r="P49" s="71">
        <v>0</v>
      </c>
      <c r="Q49" s="71">
        <v>0</v>
      </c>
      <c r="R49" s="71">
        <v>0</v>
      </c>
      <c r="S49" s="71">
        <v>0</v>
      </c>
      <c r="T49" s="71">
        <v>0</v>
      </c>
      <c r="U49" s="71">
        <v>0</v>
      </c>
      <c r="V49" s="71">
        <v>0</v>
      </c>
      <c r="W49" s="71">
        <v>0</v>
      </c>
      <c r="X49" s="71">
        <v>0.8</v>
      </c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19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>
        <v>0</v>
      </c>
      <c r="O52" s="71">
        <v>0</v>
      </c>
      <c r="P52" s="71">
        <v>0</v>
      </c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24</v>
      </c>
    </row>
    <row r="53" spans="1:124" ht="18.75" customHeight="1" x14ac:dyDescent="0.25">
      <c r="A53" s="70" t="s">
        <v>44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</v>
      </c>
      <c r="N53" s="71">
        <v>0.8</v>
      </c>
      <c r="O53" s="219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>
        <f t="shared" ref="Z53:Z55" si="10">5.65/7</f>
        <v>0.80714285714285716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13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>
        <v>0</v>
      </c>
      <c r="N54" s="71">
        <v>0.8</v>
      </c>
      <c r="O54" s="219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>
        <f t="shared" si="10"/>
        <v>0.80714285714285716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0.8</v>
      </c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>
        <v>0.82499999999999996</v>
      </c>
      <c r="Z55" s="71">
        <f t="shared" si="10"/>
        <v>0.80714285714285716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13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/>
      <c r="M56" s="71"/>
      <c r="N56" s="71"/>
      <c r="O56" s="219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19">
        <v>0.8</v>
      </c>
      <c r="P57" s="219"/>
      <c r="Q57" s="71"/>
      <c r="R57" s="71"/>
      <c r="S57" s="71"/>
      <c r="T57" s="71"/>
      <c r="U57" s="71"/>
      <c r="V57" s="71"/>
      <c r="W57" s="71"/>
      <c r="X57" s="71"/>
      <c r="Y57" s="71"/>
      <c r="Z57" s="71">
        <f t="shared" ref="Z57:Z58" si="11">5.65/7</f>
        <v>0.80714285714285716</v>
      </c>
      <c r="AA57" s="71">
        <f t="shared" ref="AA57:AA58" si="12">2.35/3</f>
        <v>0.78333333333333333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14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>
        <v>0</v>
      </c>
      <c r="O58" s="219">
        <v>0.8</v>
      </c>
      <c r="P58" s="219"/>
      <c r="Q58" s="71"/>
      <c r="R58" s="71"/>
      <c r="S58" s="71"/>
      <c r="T58" s="71"/>
      <c r="U58" s="71"/>
      <c r="V58" s="71"/>
      <c r="W58" s="71"/>
      <c r="X58" s="71"/>
      <c r="Y58" s="71"/>
      <c r="Z58" s="71">
        <f t="shared" si="11"/>
        <v>0.80714285714285716</v>
      </c>
      <c r="AA58" s="71">
        <f t="shared" si="12"/>
        <v>0.78333333333333333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14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1.7</v>
      </c>
      <c r="G59" s="19">
        <f t="shared" si="13"/>
        <v>0</v>
      </c>
      <c r="H59" s="19">
        <f t="shared" si="13"/>
        <v>0</v>
      </c>
      <c r="I59" s="19">
        <f t="shared" si="13"/>
        <v>0</v>
      </c>
      <c r="J59" s="19">
        <f t="shared" si="13"/>
        <v>0</v>
      </c>
      <c r="K59" s="19">
        <f t="shared" si="13"/>
        <v>0</v>
      </c>
      <c r="L59" s="19">
        <f t="shared" si="13"/>
        <v>2.8</v>
      </c>
      <c r="M59" s="19">
        <f t="shared" si="13"/>
        <v>5.0999999999999996</v>
      </c>
      <c r="N59" s="19">
        <f t="shared" si="13"/>
        <v>5.8999999999999995</v>
      </c>
      <c r="O59" s="19">
        <f t="shared" si="13"/>
        <v>6.1</v>
      </c>
      <c r="P59" s="19">
        <f t="shared" si="13"/>
        <v>0.9</v>
      </c>
      <c r="Q59" s="19">
        <f t="shared" si="13"/>
        <v>2.8</v>
      </c>
      <c r="R59" s="19">
        <f t="shared" si="13"/>
        <v>0.9</v>
      </c>
      <c r="S59" s="19">
        <f t="shared" si="13"/>
        <v>1.9</v>
      </c>
      <c r="T59" s="19">
        <f t="shared" si="13"/>
        <v>4.3</v>
      </c>
      <c r="U59" s="19">
        <f t="shared" si="13"/>
        <v>0.8</v>
      </c>
      <c r="V59" s="19">
        <f t="shared" si="13"/>
        <v>1.8</v>
      </c>
      <c r="W59" s="19">
        <f>SUM(W35:W58)</f>
        <v>1.8</v>
      </c>
      <c r="X59" s="19">
        <f t="shared" si="13"/>
        <v>3.5999999999999996</v>
      </c>
      <c r="Y59" s="19">
        <f>SUM(Y35:Y58)</f>
        <v>4.5</v>
      </c>
      <c r="Z59" s="19">
        <f t="shared" si="13"/>
        <v>8.4999999999999982</v>
      </c>
      <c r="AA59" s="19">
        <f t="shared" si="13"/>
        <v>5.1999999999999993</v>
      </c>
      <c r="AB59" s="19">
        <f t="shared" si="13"/>
        <v>1.8</v>
      </c>
      <c r="AC59" s="19">
        <f t="shared" si="13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23.71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v>0.76</v>
      </c>
      <c r="G61" s="71">
        <v>0.56999999999999995</v>
      </c>
      <c r="H61" s="71">
        <v>0.65</v>
      </c>
      <c r="I61" s="71">
        <v>0.64</v>
      </c>
      <c r="J61" s="71">
        <v>0.62</v>
      </c>
      <c r="K61" s="71">
        <v>0.65</v>
      </c>
      <c r="L61" s="71">
        <v>0.78</v>
      </c>
      <c r="M61" s="71">
        <f>0.99/2</f>
        <v>0.495</v>
      </c>
      <c r="N61" s="71">
        <f>1.11/2</f>
        <v>0.55500000000000005</v>
      </c>
      <c r="O61" s="71">
        <f>1.25/2</f>
        <v>0.625</v>
      </c>
      <c r="P61" s="71">
        <v>0.63500000000000001</v>
      </c>
      <c r="Q61" s="71">
        <f>1.09/2</f>
        <v>0.54500000000000004</v>
      </c>
      <c r="R61" s="71"/>
      <c r="S61" s="71"/>
      <c r="T61" s="71"/>
      <c r="U61" s="71"/>
      <c r="V61" s="71"/>
      <c r="W61" s="71"/>
      <c r="X61" s="71">
        <v>0.54</v>
      </c>
      <c r="Y61" s="71">
        <v>0.66</v>
      </c>
      <c r="Z61" s="71">
        <f>1.25/2</f>
        <v>0.625</v>
      </c>
      <c r="AA61" s="71">
        <f>1.15/2</f>
        <v>0.57499999999999996</v>
      </c>
      <c r="AB61" s="71">
        <f>1/2</f>
        <v>0.5</v>
      </c>
      <c r="AC61" s="71">
        <f>0.89/2</f>
        <v>0.44500000000000001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380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1.16/2</f>
        <v>0.57999999999999996</v>
      </c>
      <c r="S62" s="71">
        <f>0.95/2</f>
        <v>0.47499999999999998</v>
      </c>
      <c r="T62" s="71">
        <f>1.14/2</f>
        <v>0.56999999999999995</v>
      </c>
      <c r="U62" s="71">
        <v>0.57499999999999996</v>
      </c>
      <c r="V62" s="71">
        <v>0.54</v>
      </c>
      <c r="W62" s="71">
        <v>0.57999999999999996</v>
      </c>
      <c r="X62" s="71">
        <v>0.54</v>
      </c>
      <c r="Y62" s="71">
        <v>0.66</v>
      </c>
      <c r="Z62" s="71">
        <f>1.25/2</f>
        <v>0.625</v>
      </c>
      <c r="AA62" s="71">
        <f>1.15/2</f>
        <v>0.57499999999999996</v>
      </c>
      <c r="AB62" s="71">
        <f>1/2</f>
        <v>0.5</v>
      </c>
      <c r="AC62" s="71">
        <f>0.89/2</f>
        <v>0.44500000000000001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/>
      <c r="G63" s="380"/>
      <c r="H63" s="380"/>
      <c r="I63" s="380"/>
      <c r="J63" s="380"/>
      <c r="K63" s="380"/>
      <c r="L63" s="380"/>
      <c r="M63" s="71">
        <f>0.99/2</f>
        <v>0.495</v>
      </c>
      <c r="N63" s="71">
        <f>1.11/2</f>
        <v>0.55500000000000005</v>
      </c>
      <c r="O63" s="71">
        <f>1.25/2</f>
        <v>0.625</v>
      </c>
      <c r="P63" s="71">
        <v>0.63500000000000001</v>
      </c>
      <c r="Q63" s="71">
        <f>1.09/2</f>
        <v>0.54500000000000004</v>
      </c>
      <c r="R63" s="71">
        <f>1.16/2</f>
        <v>0.57999999999999996</v>
      </c>
      <c r="S63" s="71">
        <f>0.95/2</f>
        <v>0.47499999999999998</v>
      </c>
      <c r="T63" s="71">
        <f>1.14/2</f>
        <v>0.56999999999999995</v>
      </c>
      <c r="U63" s="71">
        <v>0.57499999999999996</v>
      </c>
      <c r="V63" s="71">
        <v>0.54</v>
      </c>
      <c r="W63" s="71">
        <v>0.57999999999999996</v>
      </c>
      <c r="X63" s="71"/>
      <c r="Y63" s="71"/>
      <c r="Z63" s="71"/>
      <c r="AA63" s="71"/>
      <c r="AB63" s="380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11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0.76</v>
      </c>
      <c r="G64" s="19">
        <f>SUM(G61:G63)</f>
        <v>0.56999999999999995</v>
      </c>
      <c r="H64" s="19">
        <f>SUM(H61:H63)</f>
        <v>0.65</v>
      </c>
      <c r="I64" s="19">
        <f>SUM(I61:I63)</f>
        <v>0.64</v>
      </c>
      <c r="J64" s="19">
        <f t="shared" ref="J64:AC64" si="15">SUM(J61:J63)</f>
        <v>0.62</v>
      </c>
      <c r="K64" s="19">
        <f>SUM(K61:K63)</f>
        <v>0.65</v>
      </c>
      <c r="L64" s="19">
        <f t="shared" si="15"/>
        <v>0.78</v>
      </c>
      <c r="M64" s="19">
        <f t="shared" si="15"/>
        <v>0.99</v>
      </c>
      <c r="N64" s="19">
        <f t="shared" si="15"/>
        <v>1.1100000000000001</v>
      </c>
      <c r="O64" s="19">
        <f t="shared" si="15"/>
        <v>1.25</v>
      </c>
      <c r="P64" s="19">
        <f t="shared" si="15"/>
        <v>1.27</v>
      </c>
      <c r="Q64" s="19">
        <f t="shared" si="15"/>
        <v>1.0900000000000001</v>
      </c>
      <c r="R64" s="19">
        <f t="shared" si="15"/>
        <v>1.1599999999999999</v>
      </c>
      <c r="S64" s="19">
        <f t="shared" si="15"/>
        <v>0.95</v>
      </c>
      <c r="T64" s="19">
        <f t="shared" si="15"/>
        <v>1.1399999999999999</v>
      </c>
      <c r="U64" s="19">
        <f>SUM(U61:U63)</f>
        <v>1.1499999999999999</v>
      </c>
      <c r="V64" s="19">
        <f t="shared" si="15"/>
        <v>1.08</v>
      </c>
      <c r="W64" s="19">
        <f t="shared" si="15"/>
        <v>1.1599999999999999</v>
      </c>
      <c r="X64" s="19">
        <f t="shared" si="15"/>
        <v>1.08</v>
      </c>
      <c r="Y64" s="19">
        <f t="shared" si="15"/>
        <v>1.32</v>
      </c>
      <c r="Z64" s="19">
        <f t="shared" si="15"/>
        <v>1.25</v>
      </c>
      <c r="AA64" s="19">
        <f t="shared" si="15"/>
        <v>1.1499999999999999</v>
      </c>
      <c r="AB64" s="19">
        <f t="shared" si="15"/>
        <v>1</v>
      </c>
      <c r="AC64" s="19">
        <f t="shared" si="15"/>
        <v>0.89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85.125000000000028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>
        <v>0.60333333333333339</v>
      </c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1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2.67/4</f>
        <v>0.66749999999999998</v>
      </c>
      <c r="G67" s="71">
        <f>2.59/4</f>
        <v>0.64749999999999996</v>
      </c>
      <c r="H67" s="71">
        <f>2.48/4</f>
        <v>0.62</v>
      </c>
      <c r="I67" s="71">
        <f>2.46/4</f>
        <v>0.61499999999999999</v>
      </c>
      <c r="J67" s="71">
        <f>2.46/4</f>
        <v>0.61499999999999999</v>
      </c>
      <c r="K67" s="71">
        <v>0.65</v>
      </c>
      <c r="L67" s="71">
        <f>2.8/4</f>
        <v>0.7</v>
      </c>
      <c r="M67" s="71">
        <f>3.19/4</f>
        <v>0.79749999999999999</v>
      </c>
      <c r="N67" s="71">
        <f>3.41/5</f>
        <v>0.68200000000000005</v>
      </c>
      <c r="O67" s="71">
        <f>3.88/5</f>
        <v>0.77600000000000002</v>
      </c>
      <c r="P67" s="71">
        <f>4.2/6</f>
        <v>0.70000000000000007</v>
      </c>
      <c r="Q67" s="71">
        <f>4.1/6</f>
        <v>0.68333333333333324</v>
      </c>
      <c r="R67" s="71">
        <f>4/5</f>
        <v>0.8</v>
      </c>
      <c r="S67" s="71">
        <f>3.92/5</f>
        <v>0.78400000000000003</v>
      </c>
      <c r="T67" s="71">
        <f>3.41/5</f>
        <v>0.68200000000000005</v>
      </c>
      <c r="U67" s="71">
        <v>0.84000000000000008</v>
      </c>
      <c r="V67" s="71">
        <v>0.71</v>
      </c>
      <c r="W67" s="71">
        <v>0.60333333333333339</v>
      </c>
      <c r="X67" s="71">
        <v>0.79800000000000004</v>
      </c>
      <c r="Y67" s="71">
        <v>0.73333333333333339</v>
      </c>
      <c r="Z67" s="71">
        <f>4.74/6</f>
        <v>0.79</v>
      </c>
      <c r="AA67" s="71">
        <f>4.41/6</f>
        <v>0.73499999999999999</v>
      </c>
      <c r="AB67" s="71">
        <f>4/6</f>
        <v>0.66666666666666663</v>
      </c>
      <c r="AC67" s="71">
        <f>3.46/5</f>
        <v>0.69199999999999995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v>0</v>
      </c>
      <c r="G68" s="71">
        <v>0</v>
      </c>
      <c r="H68" s="71">
        <v>0</v>
      </c>
      <c r="I68" s="71">
        <v>0</v>
      </c>
      <c r="J68" s="71">
        <v>0</v>
      </c>
      <c r="K68" s="71">
        <v>0</v>
      </c>
      <c r="L68" s="71">
        <f>2.8/4</f>
        <v>0.7</v>
      </c>
      <c r="M68" s="71">
        <f>3.19/4</f>
        <v>0.79749999999999999</v>
      </c>
      <c r="N68" s="71">
        <f>3.41/5</f>
        <v>0.68200000000000005</v>
      </c>
      <c r="O68" s="71">
        <f>3.88/5</f>
        <v>0.77600000000000002</v>
      </c>
      <c r="P68" s="71">
        <f>4.2/6</f>
        <v>0.70000000000000007</v>
      </c>
      <c r="Q68" s="71">
        <f>4.1/6</f>
        <v>0.68333333333333324</v>
      </c>
      <c r="R68" s="71">
        <f>4/5</f>
        <v>0.8</v>
      </c>
      <c r="S68" s="71">
        <f>3.92/5</f>
        <v>0.78400000000000003</v>
      </c>
      <c r="T68" s="71">
        <f>3.41/5</f>
        <v>0.68200000000000005</v>
      </c>
      <c r="U68" s="71">
        <v>0.84000000000000008</v>
      </c>
      <c r="V68" s="71">
        <v>0.71</v>
      </c>
      <c r="W68" s="71">
        <v>0.60333333333333339</v>
      </c>
      <c r="X68" s="71">
        <v>0.79800000000000004</v>
      </c>
      <c r="Y68" s="71">
        <v>0.73333333333333339</v>
      </c>
      <c r="Z68" s="71">
        <f t="shared" ref="Z68:Z71" si="19">4.74/6</f>
        <v>0.79</v>
      </c>
      <c r="AA68" s="71">
        <f t="shared" ref="AA68:AA71" si="20">4.41/6</f>
        <v>0.73499999999999999</v>
      </c>
      <c r="AB68" s="71">
        <f t="shared" ref="AB68:AB71" si="21">4/6</f>
        <v>0.66666666666666663</v>
      </c>
      <c r="AC68" s="71">
        <f>3.46/5</f>
        <v>0.69199999999999995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 t="s">
        <v>9</v>
      </c>
      <c r="G69" s="71" t="s">
        <v>9</v>
      </c>
      <c r="H69" s="71" t="s">
        <v>9</v>
      </c>
      <c r="I69" s="71" t="s">
        <v>9</v>
      </c>
      <c r="J69" s="71" t="s">
        <v>9</v>
      </c>
      <c r="K69" s="71" t="s">
        <v>9</v>
      </c>
      <c r="L69" s="71" t="s">
        <v>9</v>
      </c>
      <c r="M69" s="71" t="s">
        <v>9</v>
      </c>
      <c r="N69" s="71" t="s">
        <v>9</v>
      </c>
      <c r="O69" s="71" t="s">
        <v>9</v>
      </c>
      <c r="P69" s="71">
        <f>4.2/6</f>
        <v>0.70000000000000007</v>
      </c>
      <c r="Q69" s="71">
        <f>4.1/6</f>
        <v>0.68333333333333324</v>
      </c>
      <c r="R69" s="71"/>
      <c r="S69" s="71"/>
      <c r="T69" s="71"/>
      <c r="U69" s="71"/>
      <c r="V69" s="71">
        <v>0.71</v>
      </c>
      <c r="W69" s="71">
        <v>0.60333333333333339</v>
      </c>
      <c r="X69" s="71">
        <v>0.79800000000000004</v>
      </c>
      <c r="Y69" s="71">
        <v>0.73333333333333339</v>
      </c>
      <c r="Z69" s="71">
        <f t="shared" si="19"/>
        <v>0.79</v>
      </c>
      <c r="AA69" s="71">
        <f t="shared" si="20"/>
        <v>0.73499999999999999</v>
      </c>
      <c r="AB69" s="71">
        <f t="shared" si="21"/>
        <v>0.66666666666666663</v>
      </c>
      <c r="AC69" s="71">
        <v>0</v>
      </c>
      <c r="AD69" s="35"/>
      <c r="AE69" s="35"/>
      <c r="AF69" s="11">
        <f t="shared" si="16"/>
        <v>10</v>
      </c>
      <c r="AG69" s="11">
        <f t="shared" si="17"/>
        <v>0</v>
      </c>
      <c r="AH69" s="11">
        <f t="shared" si="18"/>
        <v>10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ref="F70:F71" si="22">2.67/4</f>
        <v>0.66749999999999998</v>
      </c>
      <c r="G70" s="71">
        <f t="shared" ref="G70:G71" si="23">2.59/4</f>
        <v>0.64749999999999996</v>
      </c>
      <c r="H70" s="71">
        <f t="shared" ref="H70:H71" si="24">2.48/4</f>
        <v>0.62</v>
      </c>
      <c r="I70" s="71">
        <f>2.46/4</f>
        <v>0.61499999999999999</v>
      </c>
      <c r="J70" s="71">
        <f>2.46/4</f>
        <v>0.61499999999999999</v>
      </c>
      <c r="K70" s="71">
        <f>2.46/4</f>
        <v>0.61499999999999999</v>
      </c>
      <c r="L70" s="71">
        <f>2.8/4</f>
        <v>0.7</v>
      </c>
      <c r="M70" s="71">
        <f>3.19/4</f>
        <v>0.79749999999999999</v>
      </c>
      <c r="N70" s="71">
        <f>3.41/5</f>
        <v>0.68200000000000005</v>
      </c>
      <c r="O70" s="71">
        <f>3.88/5</f>
        <v>0.77600000000000002</v>
      </c>
      <c r="P70" s="71">
        <f>4.2/6</f>
        <v>0.70000000000000007</v>
      </c>
      <c r="Q70" s="71">
        <f>4.1/6</f>
        <v>0.68333333333333324</v>
      </c>
      <c r="R70" s="71">
        <f>4/5</f>
        <v>0.8</v>
      </c>
      <c r="S70" s="71">
        <f>3.92/5</f>
        <v>0.78400000000000003</v>
      </c>
      <c r="T70" s="71">
        <f>3.41/5</f>
        <v>0.68200000000000005</v>
      </c>
      <c r="U70" s="71">
        <v>0.84000000000000008</v>
      </c>
      <c r="V70" s="71">
        <v>0.71</v>
      </c>
      <c r="W70" s="71">
        <v>0.60333333333333339</v>
      </c>
      <c r="X70" s="71">
        <v>0.79800000000000004</v>
      </c>
      <c r="Y70" s="71">
        <v>0.73333333333333339</v>
      </c>
      <c r="Z70" s="71">
        <f t="shared" si="19"/>
        <v>0.79</v>
      </c>
      <c r="AA70" s="71">
        <f t="shared" si="20"/>
        <v>0.73499999999999999</v>
      </c>
      <c r="AB70" s="71">
        <f t="shared" si="21"/>
        <v>0.66666666666666663</v>
      </c>
      <c r="AC70" s="71">
        <f t="shared" ref="AC70:AC71" si="25">3.46/5</f>
        <v>0.69199999999999995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2"/>
        <v>0.66749999999999998</v>
      </c>
      <c r="G71" s="71">
        <f t="shared" si="23"/>
        <v>0.64749999999999996</v>
      </c>
      <c r="H71" s="71">
        <f t="shared" si="24"/>
        <v>0.62</v>
      </c>
      <c r="I71" s="71">
        <f>2.46/4</f>
        <v>0.61499999999999999</v>
      </c>
      <c r="J71" s="71">
        <v>0.61</v>
      </c>
      <c r="K71" s="71">
        <v>0.61</v>
      </c>
      <c r="L71" s="71"/>
      <c r="M71" s="71"/>
      <c r="N71" s="71">
        <f>3.41/5</f>
        <v>0.68200000000000005</v>
      </c>
      <c r="O71" s="71">
        <f>3.88/5</f>
        <v>0.77600000000000002</v>
      </c>
      <c r="P71" s="71">
        <f>4.2/6</f>
        <v>0.70000000000000007</v>
      </c>
      <c r="Q71" s="71">
        <f>4.1/6</f>
        <v>0.68333333333333324</v>
      </c>
      <c r="R71" s="71">
        <f>4/5</f>
        <v>0.8</v>
      </c>
      <c r="S71" s="71">
        <f>3.92/5</f>
        <v>0.78400000000000003</v>
      </c>
      <c r="T71" s="71">
        <f>3.41/5</f>
        <v>0.68200000000000005</v>
      </c>
      <c r="U71" s="71">
        <v>0.84000000000000008</v>
      </c>
      <c r="V71" s="71">
        <v>0.71</v>
      </c>
      <c r="W71" s="71" t="s">
        <v>9</v>
      </c>
      <c r="X71" s="71" t="s">
        <v>9</v>
      </c>
      <c r="Y71" s="71">
        <v>0.73333333333333339</v>
      </c>
      <c r="Z71" s="71">
        <f t="shared" si="19"/>
        <v>0.79</v>
      </c>
      <c r="AA71" s="71">
        <f t="shared" si="20"/>
        <v>0.73499999999999999</v>
      </c>
      <c r="AB71" s="71">
        <f t="shared" si="21"/>
        <v>0.66666666666666663</v>
      </c>
      <c r="AC71" s="71">
        <f t="shared" si="25"/>
        <v>0.69199999999999995</v>
      </c>
      <c r="AD71" s="35"/>
      <c r="AE71" s="35"/>
      <c r="AF71" s="11">
        <f t="shared" si="16"/>
        <v>2</v>
      </c>
      <c r="AG71" s="11">
        <f t="shared" si="17"/>
        <v>0</v>
      </c>
      <c r="AH71" s="11">
        <f t="shared" si="18"/>
        <v>20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f>2.67/4</f>
        <v>0.66749999999999998</v>
      </c>
      <c r="G74" s="71">
        <f>2.59/4</f>
        <v>0.64749999999999996</v>
      </c>
      <c r="H74" s="71">
        <f>2.48/4</f>
        <v>0.62</v>
      </c>
      <c r="I74" s="71">
        <f>2.46/4</f>
        <v>0.61499999999999999</v>
      </c>
      <c r="J74" s="71">
        <v>0.61</v>
      </c>
      <c r="K74" s="71">
        <v>0.61</v>
      </c>
      <c r="L74" s="71">
        <f>2.8/4</f>
        <v>0.7</v>
      </c>
      <c r="M74" s="71">
        <f>3.19/4</f>
        <v>0.79749999999999999</v>
      </c>
      <c r="N74" s="71">
        <f>3.41/5</f>
        <v>0.68200000000000005</v>
      </c>
      <c r="O74" s="71">
        <f>3.88/5</f>
        <v>0.77600000000000002</v>
      </c>
      <c r="P74" s="71">
        <f>4.2/6</f>
        <v>0.70000000000000007</v>
      </c>
      <c r="Q74" s="71">
        <f>4.1/6</f>
        <v>0.68333333333333324</v>
      </c>
      <c r="R74" s="71">
        <f>4/5</f>
        <v>0.8</v>
      </c>
      <c r="S74" s="71">
        <f>3.92/5</f>
        <v>0.78400000000000003</v>
      </c>
      <c r="T74" s="71">
        <f>3.41/5</f>
        <v>0.68200000000000005</v>
      </c>
      <c r="U74" s="71">
        <v>0.84000000000000008</v>
      </c>
      <c r="V74" s="71">
        <v>0.71</v>
      </c>
      <c r="W74" s="71">
        <v>0.60333333333333339</v>
      </c>
      <c r="X74" s="71">
        <v>0.79800000000000004</v>
      </c>
      <c r="Y74" s="71">
        <v>0.73333333333333339</v>
      </c>
      <c r="Z74" s="71">
        <f>4.74/6</f>
        <v>0.79</v>
      </c>
      <c r="AA74" s="71">
        <f>4.41/6</f>
        <v>0.73499999999999999</v>
      </c>
      <c r="AB74" s="71">
        <f t="shared" ref="AB74" si="26">4/6</f>
        <v>0.66666666666666663</v>
      </c>
      <c r="AC74" s="71">
        <f>3.46/5</f>
        <v>0.69199999999999995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7">SUM(F66:F74)</f>
        <v>2.67</v>
      </c>
      <c r="G75" s="19">
        <f t="shared" si="27"/>
        <v>2.59</v>
      </c>
      <c r="H75" s="19">
        <f t="shared" si="27"/>
        <v>2.48</v>
      </c>
      <c r="I75" s="19">
        <f t="shared" si="27"/>
        <v>2.46</v>
      </c>
      <c r="J75" s="19">
        <f t="shared" si="27"/>
        <v>2.4499999999999997</v>
      </c>
      <c r="K75" s="19">
        <f t="shared" si="27"/>
        <v>2.4849999999999999</v>
      </c>
      <c r="L75" s="19">
        <f>SUM(L66:L74)</f>
        <v>2.8</v>
      </c>
      <c r="M75" s="19">
        <f t="shared" si="27"/>
        <v>3.19</v>
      </c>
      <c r="N75" s="19">
        <f t="shared" si="27"/>
        <v>3.41</v>
      </c>
      <c r="O75" s="19">
        <f t="shared" si="27"/>
        <v>3.88</v>
      </c>
      <c r="P75" s="19">
        <f t="shared" si="27"/>
        <v>4.2</v>
      </c>
      <c r="Q75" s="19">
        <f t="shared" si="27"/>
        <v>4.0999999999999996</v>
      </c>
      <c r="R75" s="19">
        <f t="shared" si="27"/>
        <v>4</v>
      </c>
      <c r="S75" s="19">
        <f t="shared" si="27"/>
        <v>3.92</v>
      </c>
      <c r="T75" s="19">
        <f t="shared" si="27"/>
        <v>3.41</v>
      </c>
      <c r="U75" s="19">
        <f t="shared" si="27"/>
        <v>4.2</v>
      </c>
      <c r="V75" s="19">
        <f t="shared" si="27"/>
        <v>4.26</v>
      </c>
      <c r="W75" s="19">
        <f t="shared" si="27"/>
        <v>3.6200000000000006</v>
      </c>
      <c r="X75" s="19">
        <f t="shared" si="27"/>
        <v>3.99</v>
      </c>
      <c r="Y75" s="19">
        <f t="shared" si="27"/>
        <v>4.4000000000000004</v>
      </c>
      <c r="Z75" s="19">
        <f t="shared" si="27"/>
        <v>4.74</v>
      </c>
      <c r="AA75" s="19">
        <f t="shared" si="27"/>
        <v>4.41</v>
      </c>
      <c r="AB75" s="19">
        <f t="shared" si="27"/>
        <v>3.9999999999999996</v>
      </c>
      <c r="AC75" s="19">
        <f t="shared" si="27"/>
        <v>3.46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17.739999999999998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0.73</v>
      </c>
      <c r="N77" s="71">
        <v>0.73</v>
      </c>
      <c r="O77" s="71">
        <v>0.74</v>
      </c>
      <c r="P77" s="71">
        <v>0.77</v>
      </c>
      <c r="Q77" s="71">
        <v>0.78</v>
      </c>
      <c r="R77" s="71">
        <v>0.71</v>
      </c>
      <c r="S77" s="71">
        <v>0.73</v>
      </c>
      <c r="T77" s="71">
        <v>0.71</v>
      </c>
      <c r="U77" s="71">
        <v>0.72</v>
      </c>
      <c r="V77" s="71">
        <v>0.76</v>
      </c>
      <c r="W77" s="71">
        <v>0.77</v>
      </c>
      <c r="X77" s="71">
        <v>0.76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0.69</v>
      </c>
      <c r="G78" s="71">
        <v>0.67</v>
      </c>
      <c r="H78" s="71">
        <v>0.64</v>
      </c>
      <c r="I78" s="71">
        <v>0.63</v>
      </c>
      <c r="J78" s="380">
        <v>0.63</v>
      </c>
      <c r="K78" s="71">
        <v>0.66</v>
      </c>
      <c r="L78" s="71">
        <v>0.73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0.85</v>
      </c>
      <c r="Z78" s="71">
        <v>0.86</v>
      </c>
      <c r="AA78" s="71">
        <v>0.82</v>
      </c>
      <c r="AB78" s="71">
        <v>0.82</v>
      </c>
      <c r="AC78" s="71">
        <v>0.83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8">SUM(F77:F78)</f>
        <v>0.69</v>
      </c>
      <c r="G79" s="19">
        <f>SUM(G77:G78)</f>
        <v>0.67</v>
      </c>
      <c r="H79" s="19">
        <f>SUM(H77:H78)</f>
        <v>0.64</v>
      </c>
      <c r="I79" s="19">
        <f>SUM(I77:I78)</f>
        <v>0.63</v>
      </c>
      <c r="J79" s="19">
        <f t="shared" ref="J79:AC79" si="29">SUM(J77:J78)</f>
        <v>0.63</v>
      </c>
      <c r="K79" s="19">
        <f t="shared" si="29"/>
        <v>0.66</v>
      </c>
      <c r="L79" s="19">
        <f>SUM(L77:L78)</f>
        <v>0.73</v>
      </c>
      <c r="M79" s="19">
        <f t="shared" si="29"/>
        <v>0.73</v>
      </c>
      <c r="N79" s="19">
        <f t="shared" si="29"/>
        <v>0.73</v>
      </c>
      <c r="O79" s="19">
        <f>SUM(O77:O78)</f>
        <v>0.74</v>
      </c>
      <c r="P79" s="19">
        <f t="shared" si="29"/>
        <v>0.77</v>
      </c>
      <c r="Q79" s="19">
        <f t="shared" si="29"/>
        <v>0.78</v>
      </c>
      <c r="R79" s="19">
        <f t="shared" si="29"/>
        <v>0.71</v>
      </c>
      <c r="S79" s="19">
        <f t="shared" si="29"/>
        <v>0.73</v>
      </c>
      <c r="T79" s="19">
        <f t="shared" si="29"/>
        <v>0.71</v>
      </c>
      <c r="U79" s="19">
        <f t="shared" si="29"/>
        <v>0.72</v>
      </c>
      <c r="V79" s="19">
        <f t="shared" si="29"/>
        <v>0.76</v>
      </c>
      <c r="W79" s="19">
        <f t="shared" si="29"/>
        <v>0.77</v>
      </c>
      <c r="X79" s="19">
        <f t="shared" si="29"/>
        <v>0.76</v>
      </c>
      <c r="Y79" s="19">
        <f t="shared" si="29"/>
        <v>0.85</v>
      </c>
      <c r="Z79" s="19">
        <f t="shared" si="29"/>
        <v>0.86</v>
      </c>
      <c r="AA79" s="19">
        <f t="shared" si="29"/>
        <v>0.82</v>
      </c>
      <c r="AB79" s="19">
        <f t="shared" si="29"/>
        <v>0.82</v>
      </c>
      <c r="AC79" s="19">
        <f t="shared" si="29"/>
        <v>0.83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30">SUM(F17,F22,F25,F30,F33,F59,F64,F75,F79,F81)</f>
        <v>29.920000000000005</v>
      </c>
      <c r="G82" s="28">
        <f t="shared" si="30"/>
        <v>27.73</v>
      </c>
      <c r="H82" s="28">
        <f t="shared" si="30"/>
        <v>27.169999999999998</v>
      </c>
      <c r="I82" s="28">
        <f t="shared" si="30"/>
        <v>26.630000000000003</v>
      </c>
      <c r="J82" s="28">
        <f t="shared" si="30"/>
        <v>26.4</v>
      </c>
      <c r="K82" s="28">
        <f t="shared" si="30"/>
        <v>28.194999999999997</v>
      </c>
      <c r="L82" s="28">
        <f t="shared" si="30"/>
        <v>31.210000000000004</v>
      </c>
      <c r="M82" s="28">
        <f t="shared" si="30"/>
        <v>32.809999999999995</v>
      </c>
      <c r="N82" s="28">
        <f t="shared" si="30"/>
        <v>37.449999999999996</v>
      </c>
      <c r="O82" s="28">
        <f t="shared" si="30"/>
        <v>44.070000000000007</v>
      </c>
      <c r="P82" s="28">
        <f t="shared" si="30"/>
        <v>48.240000000000009</v>
      </c>
      <c r="Q82" s="28">
        <f t="shared" si="30"/>
        <v>49.870000000000005</v>
      </c>
      <c r="R82" s="28">
        <f t="shared" si="30"/>
        <v>47.87</v>
      </c>
      <c r="S82" s="28">
        <f t="shared" si="30"/>
        <v>49</v>
      </c>
      <c r="T82" s="28">
        <f t="shared" si="30"/>
        <v>49.860000000000007</v>
      </c>
      <c r="U82" s="28">
        <f t="shared" si="30"/>
        <v>47.97</v>
      </c>
      <c r="V82" s="28">
        <f t="shared" si="30"/>
        <v>48.999999999999993</v>
      </c>
      <c r="W82" s="28">
        <f t="shared" si="30"/>
        <v>48.449999999999996</v>
      </c>
      <c r="X82" s="28">
        <f t="shared" si="30"/>
        <v>50.53</v>
      </c>
      <c r="Y82" s="28">
        <f t="shared" si="30"/>
        <v>51.77</v>
      </c>
      <c r="Z82" s="28">
        <f t="shared" si="30"/>
        <v>50.25</v>
      </c>
      <c r="AA82" s="28">
        <f t="shared" si="30"/>
        <v>46.38</v>
      </c>
      <c r="AB82" s="28">
        <f t="shared" si="30"/>
        <v>42.42</v>
      </c>
      <c r="AC82" s="28">
        <f t="shared" si="30"/>
        <v>39.78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1">SUM(F22,F25)</f>
        <v>3.3</v>
      </c>
      <c r="G88" s="64">
        <f t="shared" si="31"/>
        <v>3.3</v>
      </c>
      <c r="H88" s="64">
        <f t="shared" si="31"/>
        <v>3.3</v>
      </c>
      <c r="I88" s="64">
        <f t="shared" si="31"/>
        <v>3.3</v>
      </c>
      <c r="J88" s="64">
        <f t="shared" si="31"/>
        <v>3.3</v>
      </c>
      <c r="K88" s="64">
        <f t="shared" si="31"/>
        <v>3.4</v>
      </c>
      <c r="L88" s="64">
        <f t="shared" si="31"/>
        <v>3.3</v>
      </c>
      <c r="M88" s="64">
        <f t="shared" si="31"/>
        <v>3.2</v>
      </c>
      <c r="N88" s="64">
        <f t="shared" si="31"/>
        <v>3.3</v>
      </c>
      <c r="O88" s="64">
        <f t="shared" si="31"/>
        <v>3.5</v>
      </c>
      <c r="P88" s="64">
        <f t="shared" si="31"/>
        <v>7.1</v>
      </c>
      <c r="Q88" s="64">
        <f t="shared" si="31"/>
        <v>7.1</v>
      </c>
      <c r="R88" s="64">
        <f t="shared" si="31"/>
        <v>7.1</v>
      </c>
      <c r="S88" s="64">
        <f t="shared" si="31"/>
        <v>7.1</v>
      </c>
      <c r="T88" s="64">
        <f t="shared" si="31"/>
        <v>7.1</v>
      </c>
      <c r="U88" s="64">
        <f t="shared" si="31"/>
        <v>7.1</v>
      </c>
      <c r="V88" s="64">
        <f t="shared" si="31"/>
        <v>7.1</v>
      </c>
      <c r="W88" s="64">
        <f t="shared" si="31"/>
        <v>7.1</v>
      </c>
      <c r="X88" s="64">
        <f t="shared" si="31"/>
        <v>7.1</v>
      </c>
      <c r="Y88" s="64">
        <f t="shared" si="31"/>
        <v>7.1</v>
      </c>
      <c r="Z88" s="64">
        <f t="shared" si="31"/>
        <v>7.1</v>
      </c>
      <c r="AA88" s="64">
        <f t="shared" si="31"/>
        <v>7.1</v>
      </c>
      <c r="AB88" s="64">
        <f t="shared" si="31"/>
        <v>7.1</v>
      </c>
      <c r="AC88" s="64">
        <f t="shared" si="31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</v>
      </c>
      <c r="G89" s="68">
        <v>0</v>
      </c>
      <c r="H89" s="68">
        <v>0</v>
      </c>
      <c r="I89" s="68">
        <v>0</v>
      </c>
      <c r="J89" s="68">
        <v>0</v>
      </c>
      <c r="K89" s="68">
        <v>0</v>
      </c>
      <c r="L89" s="68">
        <v>0</v>
      </c>
      <c r="M89" s="68">
        <v>0</v>
      </c>
      <c r="N89" s="68">
        <v>0</v>
      </c>
      <c r="O89" s="68">
        <v>0.20200000000000001</v>
      </c>
      <c r="P89" s="68">
        <v>0.20499999999999999</v>
      </c>
      <c r="Q89" s="68">
        <v>0.21199999999999999</v>
      </c>
      <c r="R89" s="68">
        <v>0.253</v>
      </c>
      <c r="S89" s="68">
        <v>0.22500000000000001</v>
      </c>
      <c r="T89" s="68">
        <v>0.25</v>
      </c>
      <c r="U89" s="68">
        <v>0.23699999999999999</v>
      </c>
      <c r="V89" s="68">
        <v>0.27700000000000002</v>
      </c>
      <c r="W89" s="68">
        <v>0.217</v>
      </c>
      <c r="X89" s="68">
        <v>0.20699999999999999</v>
      </c>
      <c r="Y89" s="68">
        <v>0.27600000000000002</v>
      </c>
      <c r="Z89" s="68">
        <v>0.253</v>
      </c>
      <c r="AA89" s="68">
        <v>0.19700000000000001</v>
      </c>
      <c r="AB89" s="68">
        <v>0.186</v>
      </c>
      <c r="AC89" s="68">
        <v>0.28599999999999998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2">F17</f>
        <v>13</v>
      </c>
      <c r="G90" s="64">
        <f t="shared" si="32"/>
        <v>13</v>
      </c>
      <c r="H90" s="64">
        <f t="shared" si="32"/>
        <v>13.1</v>
      </c>
      <c r="I90" s="64">
        <f t="shared" si="32"/>
        <v>12.8</v>
      </c>
      <c r="J90" s="64">
        <f t="shared" si="32"/>
        <v>13.4</v>
      </c>
      <c r="K90" s="64">
        <f t="shared" si="32"/>
        <v>13.2</v>
      </c>
      <c r="L90" s="64">
        <f t="shared" si="32"/>
        <v>13.4</v>
      </c>
      <c r="M90" s="64">
        <f t="shared" si="32"/>
        <v>12.399999999999999</v>
      </c>
      <c r="N90" s="64">
        <f t="shared" si="32"/>
        <v>15.600000000000001</v>
      </c>
      <c r="O90" s="64">
        <f t="shared" si="32"/>
        <v>21</v>
      </c>
      <c r="P90" s="64">
        <f t="shared" si="32"/>
        <v>26.4</v>
      </c>
      <c r="Q90" s="64">
        <f t="shared" si="32"/>
        <v>26.4</v>
      </c>
      <c r="R90" s="64">
        <f t="shared" si="32"/>
        <v>26.4</v>
      </c>
      <c r="S90" s="64">
        <f t="shared" si="32"/>
        <v>26.8</v>
      </c>
      <c r="T90" s="64">
        <f t="shared" si="32"/>
        <v>25.6</v>
      </c>
      <c r="U90" s="64">
        <f t="shared" si="32"/>
        <v>26.4</v>
      </c>
      <c r="V90" s="64">
        <f t="shared" si="32"/>
        <v>26.4</v>
      </c>
      <c r="W90" s="64">
        <f t="shared" si="32"/>
        <v>26.4</v>
      </c>
      <c r="X90" s="64">
        <f t="shared" si="32"/>
        <v>26.4</v>
      </c>
      <c r="Y90" s="64">
        <f t="shared" si="32"/>
        <v>26</v>
      </c>
      <c r="Z90" s="64">
        <f t="shared" si="32"/>
        <v>19.799999999999997</v>
      </c>
      <c r="AA90" s="64">
        <f t="shared" si="32"/>
        <v>19.5</v>
      </c>
      <c r="AB90" s="64">
        <f t="shared" si="32"/>
        <v>20.100000000000001</v>
      </c>
      <c r="AC90" s="64">
        <f t="shared" si="32"/>
        <v>20.100000000000001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0.69899999999999995</v>
      </c>
      <c r="G91" s="68">
        <v>0.59399999999999997</v>
      </c>
      <c r="H91" s="68">
        <v>0.57699999999999996</v>
      </c>
      <c r="I91" s="68">
        <v>0.57199999999999995</v>
      </c>
      <c r="J91" s="68">
        <v>0.67500000000000004</v>
      </c>
      <c r="K91" s="68">
        <v>0.79200000000000004</v>
      </c>
      <c r="L91" s="68">
        <v>0.81100000000000005</v>
      </c>
      <c r="M91" s="68">
        <v>0.83699999999999997</v>
      </c>
      <c r="N91" s="68">
        <v>0.90200000000000002</v>
      </c>
      <c r="O91" s="68">
        <v>0.90200000000000002</v>
      </c>
      <c r="P91" s="68">
        <v>0.98299999999999998</v>
      </c>
      <c r="Q91" s="68">
        <v>0.93</v>
      </c>
      <c r="R91" s="68">
        <v>0.76500000000000001</v>
      </c>
      <c r="S91" s="68">
        <v>0.70499999999999996</v>
      </c>
      <c r="T91" s="68">
        <v>0.96399999999999997</v>
      </c>
      <c r="U91" s="68">
        <v>0.998</v>
      </c>
      <c r="V91" s="68">
        <v>0.96799999999999997</v>
      </c>
      <c r="W91" s="68">
        <v>0.97699999999999998</v>
      </c>
      <c r="X91" s="68">
        <v>0.95599999999999996</v>
      </c>
      <c r="Y91" s="68">
        <v>0.94399999999999995</v>
      </c>
      <c r="Z91" s="68">
        <v>0.80700000000000005</v>
      </c>
      <c r="AA91" s="68">
        <v>0.84899999999999998</v>
      </c>
      <c r="AB91" s="68">
        <v>0.64700000000000002</v>
      </c>
      <c r="AC91" s="68">
        <v>0.78600000000000003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33">F30</f>
        <v>7.8</v>
      </c>
      <c r="G92" s="65">
        <f t="shared" si="33"/>
        <v>7.6</v>
      </c>
      <c r="H92" s="65">
        <f t="shared" si="33"/>
        <v>7</v>
      </c>
      <c r="I92" s="65">
        <f t="shared" si="33"/>
        <v>6.8</v>
      </c>
      <c r="J92" s="65">
        <f t="shared" si="33"/>
        <v>6</v>
      </c>
      <c r="K92" s="65">
        <f t="shared" si="33"/>
        <v>7.8</v>
      </c>
      <c r="L92" s="65">
        <f t="shared" si="33"/>
        <v>7.4</v>
      </c>
      <c r="M92" s="65">
        <f t="shared" si="33"/>
        <v>7.2</v>
      </c>
      <c r="N92" s="65">
        <f t="shared" si="33"/>
        <v>7.4</v>
      </c>
      <c r="O92" s="65">
        <f t="shared" si="33"/>
        <v>7.6</v>
      </c>
      <c r="P92" s="65">
        <f t="shared" si="33"/>
        <v>7.6</v>
      </c>
      <c r="Q92" s="65">
        <f t="shared" si="33"/>
        <v>7.6</v>
      </c>
      <c r="R92" s="65">
        <f t="shared" si="33"/>
        <v>7.6</v>
      </c>
      <c r="S92" s="65">
        <f t="shared" si="33"/>
        <v>7.6</v>
      </c>
      <c r="T92" s="65">
        <f t="shared" si="33"/>
        <v>7.6</v>
      </c>
      <c r="U92" s="65">
        <f t="shared" si="33"/>
        <v>7.6</v>
      </c>
      <c r="V92" s="65">
        <f t="shared" si="33"/>
        <v>7.6</v>
      </c>
      <c r="W92" s="65">
        <f t="shared" si="33"/>
        <v>7.6</v>
      </c>
      <c r="X92" s="65">
        <f t="shared" si="33"/>
        <v>7.6</v>
      </c>
      <c r="Y92" s="65">
        <f t="shared" si="33"/>
        <v>7.6</v>
      </c>
      <c r="Z92" s="65">
        <f t="shared" si="33"/>
        <v>8</v>
      </c>
      <c r="AA92" s="65">
        <f t="shared" si="33"/>
        <v>8.1999999999999993</v>
      </c>
      <c r="AB92" s="65">
        <f t="shared" si="33"/>
        <v>7.6</v>
      </c>
      <c r="AC92" s="65">
        <f t="shared" si="33"/>
        <v>7.4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0.28299999999999997</v>
      </c>
      <c r="G93" s="68">
        <v>0.26900000000000002</v>
      </c>
      <c r="H93" s="68">
        <v>0.28599999999999998</v>
      </c>
      <c r="I93" s="68">
        <v>0.27</v>
      </c>
      <c r="J93" s="68">
        <v>0.27900000000000003</v>
      </c>
      <c r="K93" s="68">
        <v>0.26100000000000001</v>
      </c>
      <c r="L93" s="68">
        <v>0.28499999999999998</v>
      </c>
      <c r="M93" s="68">
        <v>0.26300000000000001</v>
      </c>
      <c r="N93" s="68">
        <v>0.28999999999999998</v>
      </c>
      <c r="O93" s="68">
        <v>0.27800000000000002</v>
      </c>
      <c r="P93" s="68">
        <v>0.30599999999999999</v>
      </c>
      <c r="Q93" s="68">
        <v>0.30599999999999999</v>
      </c>
      <c r="R93" s="68">
        <v>0.30199999999999999</v>
      </c>
      <c r="S93" s="68">
        <v>0.28000000000000003</v>
      </c>
      <c r="T93" s="68">
        <v>0.28599999999999998</v>
      </c>
      <c r="U93" s="68">
        <v>0.28000000000000003</v>
      </c>
      <c r="V93" s="68">
        <v>0.26</v>
      </c>
      <c r="W93" s="68">
        <v>0.25</v>
      </c>
      <c r="X93" s="68">
        <v>0.25600000000000001</v>
      </c>
      <c r="Y93" s="68">
        <v>0.28599999999999998</v>
      </c>
      <c r="Z93" s="68">
        <v>0.26600000000000001</v>
      </c>
      <c r="AA93" s="68">
        <v>0.26400000000000001</v>
      </c>
      <c r="AB93" s="68">
        <v>0.27300000000000002</v>
      </c>
      <c r="AC93" s="68">
        <v>0.27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34">F33</f>
        <v>0</v>
      </c>
      <c r="G94" s="65">
        <f t="shared" si="34"/>
        <v>0</v>
      </c>
      <c r="H94" s="65">
        <f t="shared" si="34"/>
        <v>0</v>
      </c>
      <c r="I94" s="65">
        <f t="shared" si="34"/>
        <v>0</v>
      </c>
      <c r="J94" s="65">
        <f t="shared" si="34"/>
        <v>0</v>
      </c>
      <c r="K94" s="65">
        <f t="shared" si="34"/>
        <v>0</v>
      </c>
      <c r="L94" s="65">
        <f t="shared" si="34"/>
        <v>0</v>
      </c>
      <c r="M94" s="65">
        <f t="shared" si="34"/>
        <v>0</v>
      </c>
      <c r="N94" s="65">
        <f t="shared" si="34"/>
        <v>0</v>
      </c>
      <c r="O94" s="65">
        <f t="shared" si="34"/>
        <v>0</v>
      </c>
      <c r="P94" s="65">
        <f t="shared" si="34"/>
        <v>0</v>
      </c>
      <c r="Q94" s="65">
        <f t="shared" si="34"/>
        <v>0</v>
      </c>
      <c r="R94" s="65">
        <f t="shared" si="34"/>
        <v>0</v>
      </c>
      <c r="S94" s="65">
        <f t="shared" si="34"/>
        <v>0</v>
      </c>
      <c r="T94" s="65">
        <f t="shared" si="34"/>
        <v>0</v>
      </c>
      <c r="U94" s="65">
        <f t="shared" si="34"/>
        <v>0</v>
      </c>
      <c r="V94" s="65">
        <f t="shared" si="34"/>
        <v>0</v>
      </c>
      <c r="W94" s="65">
        <f t="shared" si="34"/>
        <v>0</v>
      </c>
      <c r="X94" s="65">
        <f t="shared" si="34"/>
        <v>0</v>
      </c>
      <c r="Y94" s="65">
        <f t="shared" si="34"/>
        <v>0</v>
      </c>
      <c r="Z94" s="65">
        <f t="shared" si="34"/>
        <v>0</v>
      </c>
      <c r="AA94" s="65">
        <f t="shared" si="34"/>
        <v>0</v>
      </c>
      <c r="AB94" s="65">
        <f t="shared" si="34"/>
        <v>0</v>
      </c>
      <c r="AC94" s="65">
        <f t="shared" si="34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f>0.09/1000</f>
        <v>8.9999999999999992E-5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35">F59</f>
        <v>1.7</v>
      </c>
      <c r="G96" s="64">
        <f t="shared" si="35"/>
        <v>0</v>
      </c>
      <c r="H96" s="64">
        <f t="shared" si="35"/>
        <v>0</v>
      </c>
      <c r="I96" s="64">
        <f t="shared" si="35"/>
        <v>0</v>
      </c>
      <c r="J96" s="64">
        <f t="shared" si="35"/>
        <v>0</v>
      </c>
      <c r="K96" s="64">
        <f t="shared" si="35"/>
        <v>0</v>
      </c>
      <c r="L96" s="64">
        <f t="shared" si="35"/>
        <v>2.8</v>
      </c>
      <c r="M96" s="64">
        <f t="shared" si="35"/>
        <v>5.0999999999999996</v>
      </c>
      <c r="N96" s="64">
        <f t="shared" si="35"/>
        <v>5.8999999999999995</v>
      </c>
      <c r="O96" s="64">
        <f t="shared" si="35"/>
        <v>6.1</v>
      </c>
      <c r="P96" s="64">
        <f t="shared" si="35"/>
        <v>0.9</v>
      </c>
      <c r="Q96" s="64">
        <f t="shared" si="35"/>
        <v>2.8</v>
      </c>
      <c r="R96" s="64">
        <f t="shared" si="35"/>
        <v>0.9</v>
      </c>
      <c r="S96" s="64">
        <f t="shared" si="35"/>
        <v>1.9</v>
      </c>
      <c r="T96" s="64">
        <f t="shared" si="35"/>
        <v>4.3</v>
      </c>
      <c r="U96" s="64">
        <f t="shared" si="35"/>
        <v>0.8</v>
      </c>
      <c r="V96" s="64">
        <f t="shared" si="35"/>
        <v>1.8</v>
      </c>
      <c r="W96" s="64">
        <f t="shared" si="35"/>
        <v>1.8</v>
      </c>
      <c r="X96" s="64">
        <f t="shared" si="35"/>
        <v>3.5999999999999996</v>
      </c>
      <c r="Y96" s="64">
        <f t="shared" si="35"/>
        <v>4.5</v>
      </c>
      <c r="Z96" s="64">
        <f t="shared" si="35"/>
        <v>8.4999999999999982</v>
      </c>
      <c r="AA96" s="64">
        <f t="shared" si="35"/>
        <v>5.1999999999999993</v>
      </c>
      <c r="AB96" s="64">
        <f t="shared" si="35"/>
        <v>1.8</v>
      </c>
      <c r="AC96" s="64">
        <f t="shared" si="35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36">F64</f>
        <v>0.76</v>
      </c>
      <c r="G97" s="64">
        <f t="shared" si="36"/>
        <v>0.56999999999999995</v>
      </c>
      <c r="H97" s="64">
        <f t="shared" si="36"/>
        <v>0.65</v>
      </c>
      <c r="I97" s="64">
        <f t="shared" si="36"/>
        <v>0.64</v>
      </c>
      <c r="J97" s="64">
        <f t="shared" si="36"/>
        <v>0.62</v>
      </c>
      <c r="K97" s="64">
        <f t="shared" si="36"/>
        <v>0.65</v>
      </c>
      <c r="L97" s="64">
        <f t="shared" si="36"/>
        <v>0.78</v>
      </c>
      <c r="M97" s="64">
        <f t="shared" si="36"/>
        <v>0.99</v>
      </c>
      <c r="N97" s="64">
        <f t="shared" si="36"/>
        <v>1.1100000000000001</v>
      </c>
      <c r="O97" s="64">
        <f t="shared" si="36"/>
        <v>1.25</v>
      </c>
      <c r="P97" s="64">
        <f t="shared" si="36"/>
        <v>1.27</v>
      </c>
      <c r="Q97" s="64">
        <f t="shared" si="36"/>
        <v>1.0900000000000001</v>
      </c>
      <c r="R97" s="64">
        <f t="shared" si="36"/>
        <v>1.1599999999999999</v>
      </c>
      <c r="S97" s="64">
        <f t="shared" si="36"/>
        <v>0.95</v>
      </c>
      <c r="T97" s="64">
        <f t="shared" si="36"/>
        <v>1.1399999999999999</v>
      </c>
      <c r="U97" s="64">
        <f t="shared" si="36"/>
        <v>1.1499999999999999</v>
      </c>
      <c r="V97" s="64">
        <f t="shared" si="36"/>
        <v>1.08</v>
      </c>
      <c r="W97" s="64">
        <f t="shared" si="36"/>
        <v>1.1599999999999999</v>
      </c>
      <c r="X97" s="64">
        <f t="shared" si="36"/>
        <v>1.08</v>
      </c>
      <c r="Y97" s="64">
        <f t="shared" si="36"/>
        <v>1.32</v>
      </c>
      <c r="Z97" s="64">
        <f t="shared" si="36"/>
        <v>1.25</v>
      </c>
      <c r="AA97" s="64">
        <f t="shared" si="36"/>
        <v>1.1499999999999999</v>
      </c>
      <c r="AB97" s="64">
        <f t="shared" si="36"/>
        <v>1</v>
      </c>
      <c r="AC97" s="64">
        <f t="shared" si="36"/>
        <v>0.89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37">F75</f>
        <v>2.67</v>
      </c>
      <c r="G98" s="64">
        <f t="shared" si="37"/>
        <v>2.59</v>
      </c>
      <c r="H98" s="64">
        <f t="shared" si="37"/>
        <v>2.48</v>
      </c>
      <c r="I98" s="64">
        <f t="shared" si="37"/>
        <v>2.46</v>
      </c>
      <c r="J98" s="64">
        <f t="shared" si="37"/>
        <v>2.4499999999999997</v>
      </c>
      <c r="K98" s="64">
        <f t="shared" si="37"/>
        <v>2.4849999999999999</v>
      </c>
      <c r="L98" s="64">
        <f t="shared" si="37"/>
        <v>2.8</v>
      </c>
      <c r="M98" s="64">
        <f t="shared" si="37"/>
        <v>3.19</v>
      </c>
      <c r="N98" s="64">
        <f t="shared" si="37"/>
        <v>3.41</v>
      </c>
      <c r="O98" s="64">
        <f t="shared" si="37"/>
        <v>3.88</v>
      </c>
      <c r="P98" s="64">
        <f t="shared" si="37"/>
        <v>4.2</v>
      </c>
      <c r="Q98" s="64">
        <f t="shared" si="37"/>
        <v>4.0999999999999996</v>
      </c>
      <c r="R98" s="64">
        <f t="shared" si="37"/>
        <v>4</v>
      </c>
      <c r="S98" s="64">
        <f t="shared" si="37"/>
        <v>3.92</v>
      </c>
      <c r="T98" s="64">
        <f t="shared" si="37"/>
        <v>3.41</v>
      </c>
      <c r="U98" s="64">
        <f t="shared" si="37"/>
        <v>4.2</v>
      </c>
      <c r="V98" s="64">
        <f t="shared" si="37"/>
        <v>4.26</v>
      </c>
      <c r="W98" s="64">
        <f t="shared" si="37"/>
        <v>3.6200000000000006</v>
      </c>
      <c r="X98" s="64">
        <f t="shared" si="37"/>
        <v>3.99</v>
      </c>
      <c r="Y98" s="64">
        <f t="shared" si="37"/>
        <v>4.4000000000000004</v>
      </c>
      <c r="Z98" s="64">
        <f t="shared" si="37"/>
        <v>4.74</v>
      </c>
      <c r="AA98" s="64">
        <f t="shared" si="37"/>
        <v>4.41</v>
      </c>
      <c r="AB98" s="64">
        <f t="shared" si="37"/>
        <v>3.9999999999999996</v>
      </c>
      <c r="AC98" s="64">
        <f t="shared" si="37"/>
        <v>3.46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38">F79</f>
        <v>0.69</v>
      </c>
      <c r="G99" s="64">
        <f t="shared" si="38"/>
        <v>0.67</v>
      </c>
      <c r="H99" s="64">
        <f t="shared" si="38"/>
        <v>0.64</v>
      </c>
      <c r="I99" s="64">
        <f t="shared" si="38"/>
        <v>0.63</v>
      </c>
      <c r="J99" s="64">
        <f t="shared" si="38"/>
        <v>0.63</v>
      </c>
      <c r="K99" s="64">
        <f t="shared" si="38"/>
        <v>0.66</v>
      </c>
      <c r="L99" s="64">
        <f t="shared" si="38"/>
        <v>0.73</v>
      </c>
      <c r="M99" s="64">
        <f t="shared" si="38"/>
        <v>0.73</v>
      </c>
      <c r="N99" s="64">
        <f t="shared" si="38"/>
        <v>0.73</v>
      </c>
      <c r="O99" s="64">
        <f t="shared" si="38"/>
        <v>0.74</v>
      </c>
      <c r="P99" s="64">
        <f t="shared" si="38"/>
        <v>0.77</v>
      </c>
      <c r="Q99" s="64">
        <f t="shared" si="38"/>
        <v>0.78</v>
      </c>
      <c r="R99" s="64">
        <f t="shared" si="38"/>
        <v>0.71</v>
      </c>
      <c r="S99" s="64">
        <f t="shared" si="38"/>
        <v>0.73</v>
      </c>
      <c r="T99" s="64">
        <f t="shared" si="38"/>
        <v>0.71</v>
      </c>
      <c r="U99" s="64">
        <f t="shared" si="38"/>
        <v>0.72</v>
      </c>
      <c r="V99" s="64">
        <f t="shared" si="38"/>
        <v>0.76</v>
      </c>
      <c r="W99" s="64">
        <f t="shared" si="38"/>
        <v>0.77</v>
      </c>
      <c r="X99" s="64">
        <f t="shared" si="38"/>
        <v>0.76</v>
      </c>
      <c r="Y99" s="64">
        <f t="shared" si="38"/>
        <v>0.85</v>
      </c>
      <c r="Z99" s="64">
        <f t="shared" si="38"/>
        <v>0.86</v>
      </c>
      <c r="AA99" s="64">
        <f t="shared" si="38"/>
        <v>0.82</v>
      </c>
      <c r="AB99" s="64">
        <f t="shared" si="38"/>
        <v>0.82</v>
      </c>
      <c r="AC99" s="64">
        <f t="shared" si="38"/>
        <v>0.83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39">F81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40">SUM(F88,F90,F92,F94,F96:F100,F80)</f>
        <v>29.920000000000005</v>
      </c>
      <c r="G101" s="61">
        <f t="shared" si="40"/>
        <v>27.73</v>
      </c>
      <c r="H101" s="61">
        <f t="shared" si="40"/>
        <v>27.169999999999998</v>
      </c>
      <c r="I101" s="61">
        <f t="shared" si="40"/>
        <v>26.630000000000003</v>
      </c>
      <c r="J101" s="61">
        <f t="shared" si="40"/>
        <v>26.4</v>
      </c>
      <c r="K101" s="61">
        <f t="shared" si="40"/>
        <v>28.194999999999997</v>
      </c>
      <c r="L101" s="61">
        <f t="shared" si="40"/>
        <v>31.210000000000004</v>
      </c>
      <c r="M101" s="61">
        <f t="shared" si="40"/>
        <v>32.809999999999995</v>
      </c>
      <c r="N101" s="61">
        <f t="shared" si="40"/>
        <v>37.449999999999996</v>
      </c>
      <c r="O101" s="61">
        <f t="shared" si="40"/>
        <v>44.070000000000007</v>
      </c>
      <c r="P101" s="61">
        <f t="shared" si="40"/>
        <v>48.240000000000009</v>
      </c>
      <c r="Q101" s="61">
        <f t="shared" si="40"/>
        <v>49.870000000000005</v>
      </c>
      <c r="R101" s="61">
        <f t="shared" si="40"/>
        <v>47.87</v>
      </c>
      <c r="S101" s="61">
        <f t="shared" si="40"/>
        <v>49</v>
      </c>
      <c r="T101" s="61">
        <f t="shared" si="40"/>
        <v>49.860000000000007</v>
      </c>
      <c r="U101" s="61">
        <f t="shared" si="40"/>
        <v>47.97</v>
      </c>
      <c r="V101" s="61">
        <f t="shared" si="40"/>
        <v>48.999999999999993</v>
      </c>
      <c r="W101" s="61">
        <f t="shared" si="40"/>
        <v>48.449999999999996</v>
      </c>
      <c r="X101" s="61">
        <f t="shared" si="40"/>
        <v>50.53</v>
      </c>
      <c r="Y101" s="61">
        <f t="shared" si="40"/>
        <v>51.77</v>
      </c>
      <c r="Z101" s="61">
        <f t="shared" si="40"/>
        <v>50.25</v>
      </c>
      <c r="AA101" s="61">
        <f t="shared" si="40"/>
        <v>46.38</v>
      </c>
      <c r="AB101" s="61">
        <f t="shared" si="40"/>
        <v>42.42</v>
      </c>
      <c r="AC101" s="61">
        <f t="shared" si="40"/>
        <v>39.78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>
        <v>0.65</v>
      </c>
      <c r="O104" s="77"/>
      <c r="P104" s="77"/>
      <c r="Q104" s="77"/>
      <c r="R104" s="77">
        <v>1.44</v>
      </c>
      <c r="S104" s="77"/>
      <c r="T104" s="77">
        <v>0.63</v>
      </c>
      <c r="U104" s="382">
        <v>0.96299999999999997</v>
      </c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41">SUM(F102:F104)</f>
        <v>0</v>
      </c>
      <c r="G105" s="61">
        <f t="shared" si="41"/>
        <v>0</v>
      </c>
      <c r="H105" s="61">
        <f t="shared" si="41"/>
        <v>0</v>
      </c>
      <c r="I105" s="61">
        <f t="shared" si="41"/>
        <v>0</v>
      </c>
      <c r="J105" s="61">
        <f t="shared" si="41"/>
        <v>0</v>
      </c>
      <c r="K105" s="61">
        <f t="shared" si="41"/>
        <v>0</v>
      </c>
      <c r="L105" s="61">
        <f t="shared" si="41"/>
        <v>0</v>
      </c>
      <c r="M105" s="61">
        <f t="shared" si="41"/>
        <v>0</v>
      </c>
      <c r="N105" s="61">
        <f t="shared" si="41"/>
        <v>0.65</v>
      </c>
      <c r="O105" s="61">
        <f t="shared" si="41"/>
        <v>0</v>
      </c>
      <c r="P105" s="61">
        <f t="shared" si="41"/>
        <v>0</v>
      </c>
      <c r="Q105" s="61">
        <f t="shared" si="41"/>
        <v>0</v>
      </c>
      <c r="R105" s="61">
        <f t="shared" si="41"/>
        <v>1.44</v>
      </c>
      <c r="S105" s="61">
        <f t="shared" si="41"/>
        <v>0</v>
      </c>
      <c r="T105" s="61">
        <f t="shared" si="41"/>
        <v>0.63</v>
      </c>
      <c r="U105" s="61">
        <f t="shared" si="41"/>
        <v>0.96299999999999997</v>
      </c>
      <c r="V105" s="61">
        <f t="shared" si="41"/>
        <v>0</v>
      </c>
      <c r="W105" s="61">
        <f t="shared" si="41"/>
        <v>0</v>
      </c>
      <c r="X105" s="61">
        <f t="shared" si="41"/>
        <v>0</v>
      </c>
      <c r="Y105" s="61">
        <f t="shared" si="41"/>
        <v>0</v>
      </c>
      <c r="Z105" s="61">
        <f t="shared" si="41"/>
        <v>0</v>
      </c>
      <c r="AA105" s="61">
        <f t="shared" si="41"/>
        <v>0</v>
      </c>
      <c r="AB105" s="61">
        <f t="shared" si="41"/>
        <v>0</v>
      </c>
      <c r="AC105" s="61">
        <f t="shared" si="41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42">F101+F105</f>
        <v>29.920000000000005</v>
      </c>
      <c r="G106" s="62">
        <f t="shared" si="42"/>
        <v>27.73</v>
      </c>
      <c r="H106" s="62">
        <f t="shared" si="42"/>
        <v>27.169999999999998</v>
      </c>
      <c r="I106" s="62">
        <f t="shared" si="42"/>
        <v>26.630000000000003</v>
      </c>
      <c r="J106" s="62">
        <f t="shared" si="42"/>
        <v>26.4</v>
      </c>
      <c r="K106" s="62">
        <f t="shared" si="42"/>
        <v>28.194999999999997</v>
      </c>
      <c r="L106" s="62">
        <f t="shared" si="42"/>
        <v>31.210000000000004</v>
      </c>
      <c r="M106" s="62">
        <f t="shared" si="42"/>
        <v>32.809999999999995</v>
      </c>
      <c r="N106" s="62">
        <f t="shared" si="42"/>
        <v>38.099999999999994</v>
      </c>
      <c r="O106" s="62">
        <f t="shared" si="42"/>
        <v>44.070000000000007</v>
      </c>
      <c r="P106" s="62">
        <f t="shared" si="42"/>
        <v>48.240000000000009</v>
      </c>
      <c r="Q106" s="62">
        <f t="shared" si="42"/>
        <v>49.870000000000005</v>
      </c>
      <c r="R106" s="62">
        <f t="shared" si="42"/>
        <v>49.309999999999995</v>
      </c>
      <c r="S106" s="62">
        <f t="shared" si="42"/>
        <v>49</v>
      </c>
      <c r="T106" s="62">
        <f t="shared" si="42"/>
        <v>50.490000000000009</v>
      </c>
      <c r="U106" s="62">
        <f t="shared" si="42"/>
        <v>48.933</v>
      </c>
      <c r="V106" s="62">
        <f t="shared" si="42"/>
        <v>48.999999999999993</v>
      </c>
      <c r="W106" s="62">
        <f t="shared" si="42"/>
        <v>48.449999999999996</v>
      </c>
      <c r="X106" s="62">
        <f t="shared" si="42"/>
        <v>50.53</v>
      </c>
      <c r="Y106" s="62">
        <f t="shared" si="42"/>
        <v>51.77</v>
      </c>
      <c r="Z106" s="62">
        <f t="shared" si="42"/>
        <v>50.25</v>
      </c>
      <c r="AA106" s="62">
        <f t="shared" si="42"/>
        <v>46.38</v>
      </c>
      <c r="AB106" s="62">
        <f t="shared" si="42"/>
        <v>42.42</v>
      </c>
      <c r="AC106" s="62">
        <f t="shared" si="42"/>
        <v>39.78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43">(COUNT(F13:F16))*7.2+(COUNT(F27:F28)*4.9)+(COUNT(F19:F21)*4.5)-F90-F92</f>
        <v>7.900000000000003</v>
      </c>
      <c r="G107" s="63">
        <f t="shared" si="43"/>
        <v>8.1000000000000032</v>
      </c>
      <c r="H107" s="63">
        <f t="shared" si="43"/>
        <v>8.6000000000000032</v>
      </c>
      <c r="I107" s="63">
        <f t="shared" si="43"/>
        <v>9.1000000000000014</v>
      </c>
      <c r="J107" s="63">
        <f t="shared" si="43"/>
        <v>9.3000000000000025</v>
      </c>
      <c r="K107" s="63">
        <f t="shared" si="43"/>
        <v>7.7000000000000037</v>
      </c>
      <c r="L107" s="63">
        <f t="shared" si="43"/>
        <v>7.9000000000000021</v>
      </c>
      <c r="M107" s="63">
        <f t="shared" si="43"/>
        <v>9.100000000000005</v>
      </c>
      <c r="N107" s="63">
        <f t="shared" si="43"/>
        <v>12.900000000000004</v>
      </c>
      <c r="O107" s="63">
        <f t="shared" si="43"/>
        <v>14.500000000000002</v>
      </c>
      <c r="P107" s="63">
        <f t="shared" si="43"/>
        <v>9.1000000000000032</v>
      </c>
      <c r="Q107" s="63">
        <f t="shared" si="43"/>
        <v>9.1000000000000032</v>
      </c>
      <c r="R107" s="63">
        <f t="shared" si="43"/>
        <v>9.1000000000000032</v>
      </c>
      <c r="S107" s="63">
        <f t="shared" si="43"/>
        <v>8.7000000000000011</v>
      </c>
      <c r="T107" s="63">
        <f t="shared" si="43"/>
        <v>9.9</v>
      </c>
      <c r="U107" s="63">
        <f t="shared" si="43"/>
        <v>9.1000000000000032</v>
      </c>
      <c r="V107" s="63">
        <f t="shared" si="43"/>
        <v>9.1000000000000032</v>
      </c>
      <c r="W107" s="63">
        <f t="shared" si="43"/>
        <v>9.1000000000000032</v>
      </c>
      <c r="X107" s="63">
        <f t="shared" si="43"/>
        <v>9.1000000000000032</v>
      </c>
      <c r="Y107" s="63">
        <f t="shared" si="43"/>
        <v>9.5000000000000018</v>
      </c>
      <c r="Z107" s="63">
        <f t="shared" si="43"/>
        <v>8.1000000000000085</v>
      </c>
      <c r="AA107" s="63">
        <f t="shared" si="43"/>
        <v>8.2000000000000064</v>
      </c>
      <c r="AB107" s="63">
        <f t="shared" si="43"/>
        <v>8.2000000000000046</v>
      </c>
      <c r="AC107" s="63">
        <f t="shared" si="43"/>
        <v>8.4000000000000039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3.2000000000000011</v>
      </c>
      <c r="G108" s="206">
        <f t="shared" si="44"/>
        <v>3.4000000000000012</v>
      </c>
      <c r="H108" s="206">
        <f t="shared" si="44"/>
        <v>3.9000000000000012</v>
      </c>
      <c r="I108" s="206">
        <f t="shared" si="44"/>
        <v>4.4000000000000004</v>
      </c>
      <c r="J108" s="206">
        <f t="shared" si="44"/>
        <v>4.6000000000000005</v>
      </c>
      <c r="K108" s="206">
        <f t="shared" si="44"/>
        <v>2.9000000000000017</v>
      </c>
      <c r="L108" s="206">
        <f t="shared" si="44"/>
        <v>3.2</v>
      </c>
      <c r="M108" s="206">
        <f t="shared" si="44"/>
        <v>4.5000000000000018</v>
      </c>
      <c r="N108" s="206">
        <f t="shared" si="44"/>
        <v>8.1999999999999993</v>
      </c>
      <c r="O108" s="206">
        <f t="shared" si="44"/>
        <v>14.100000000000001</v>
      </c>
      <c r="P108" s="206">
        <f t="shared" si="44"/>
        <v>5.1000000000000023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6.5000000000000044</v>
      </c>
      <c r="R108" s="206">
        <f t="shared" ref="R108:AC108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5.7000000000000037</v>
      </c>
      <c r="S108" s="206">
        <f t="shared" si="45"/>
        <v>5.3000000000000016</v>
      </c>
      <c r="T108" s="206">
        <f t="shared" si="45"/>
        <v>6.5000000000000009</v>
      </c>
      <c r="U108" s="206">
        <f t="shared" si="45"/>
        <v>5.7000000000000037</v>
      </c>
      <c r="V108" s="206">
        <f t="shared" si="45"/>
        <v>5.7000000000000037</v>
      </c>
      <c r="W108" s="206">
        <f t="shared" si="45"/>
        <v>5.7000000000000037</v>
      </c>
      <c r="X108" s="206">
        <f t="shared" si="45"/>
        <v>5.7000000000000037</v>
      </c>
      <c r="Y108" s="206">
        <f t="shared" si="45"/>
        <v>6.1000000000000023</v>
      </c>
      <c r="Z108" s="206">
        <f t="shared" si="45"/>
        <v>11.900000000000002</v>
      </c>
      <c r="AA108" s="206">
        <f t="shared" si="45"/>
        <v>12</v>
      </c>
      <c r="AB108" s="206">
        <f t="shared" si="45"/>
        <v>12</v>
      </c>
      <c r="AC108" s="206">
        <f t="shared" si="45"/>
        <v>12.2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60.08</v>
      </c>
      <c r="G109" s="75">
        <v>60.14</v>
      </c>
      <c r="H109" s="75">
        <v>60.05</v>
      </c>
      <c r="I109" s="75">
        <v>60.13</v>
      </c>
      <c r="J109" s="75">
        <v>60.02</v>
      </c>
      <c r="K109" s="75">
        <v>60.09</v>
      </c>
      <c r="L109" s="75">
        <v>60.22</v>
      </c>
      <c r="M109" s="75">
        <v>60.29</v>
      </c>
      <c r="N109" s="75">
        <v>60.18</v>
      </c>
      <c r="O109" s="75">
        <v>60.17</v>
      </c>
      <c r="P109" s="84">
        <v>60.12</v>
      </c>
      <c r="Q109" s="84">
        <v>60.11</v>
      </c>
      <c r="R109" s="84">
        <v>60.12</v>
      </c>
      <c r="S109" s="84">
        <v>60.02</v>
      </c>
      <c r="T109" s="84">
        <v>60.13</v>
      </c>
      <c r="U109" s="75">
        <v>60.12</v>
      </c>
      <c r="V109" s="75">
        <v>60.09</v>
      </c>
      <c r="W109" s="75">
        <v>60.08</v>
      </c>
      <c r="X109" s="75">
        <v>60.09</v>
      </c>
      <c r="Y109" s="75">
        <v>60.13</v>
      </c>
      <c r="Z109" s="75">
        <v>60.18</v>
      </c>
      <c r="AA109" s="75">
        <v>60.13</v>
      </c>
      <c r="AB109" s="75">
        <v>60.11</v>
      </c>
      <c r="AC109" s="75">
        <v>60.11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46">SUM(G117:G124)</f>
        <v>0</v>
      </c>
      <c r="H125" s="44">
        <f t="shared" si="46"/>
        <v>0</v>
      </c>
      <c r="I125" s="44">
        <f t="shared" si="46"/>
        <v>0</v>
      </c>
      <c r="J125" s="44">
        <f t="shared" si="46"/>
        <v>0</v>
      </c>
      <c r="K125" s="44">
        <f t="shared" si="46"/>
        <v>0</v>
      </c>
      <c r="L125" s="44">
        <f t="shared" si="46"/>
        <v>0</v>
      </c>
      <c r="M125" s="44">
        <f t="shared" si="46"/>
        <v>0</v>
      </c>
      <c r="N125" s="44">
        <f t="shared" si="46"/>
        <v>0</v>
      </c>
      <c r="O125" s="44">
        <f t="shared" si="46"/>
        <v>0</v>
      </c>
      <c r="P125" s="44">
        <f t="shared" si="46"/>
        <v>0</v>
      </c>
      <c r="Q125" s="44">
        <f t="shared" si="46"/>
        <v>0</v>
      </c>
      <c r="R125" s="44">
        <f t="shared" si="46"/>
        <v>0</v>
      </c>
      <c r="S125" s="44">
        <f t="shared" si="46"/>
        <v>0</v>
      </c>
      <c r="T125" s="44">
        <f t="shared" si="46"/>
        <v>0</v>
      </c>
      <c r="U125" s="44">
        <f t="shared" si="46"/>
        <v>0</v>
      </c>
      <c r="V125" s="44">
        <f t="shared" si="46"/>
        <v>0</v>
      </c>
      <c r="W125" s="44">
        <f t="shared" si="46"/>
        <v>0</v>
      </c>
      <c r="X125" s="44">
        <f t="shared" si="46"/>
        <v>0</v>
      </c>
      <c r="Y125" s="44">
        <f t="shared" si="46"/>
        <v>0</v>
      </c>
      <c r="Z125" s="44">
        <f t="shared" si="46"/>
        <v>0</v>
      </c>
      <c r="AA125" s="44">
        <f t="shared" si="46"/>
        <v>0</v>
      </c>
      <c r="AB125" s="44">
        <f t="shared" si="46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4093" priority="1227" operator="greaterThan">
      <formula>60.3</formula>
    </cfRule>
  </conditionalFormatting>
  <conditionalFormatting sqref="G53:G55 I20:AC21 J56:L56 I13:K14 I57:L58 I66:AC66 K15 I15:J16 I53:I56 K16:Q16 L13:Q15 I40:I50 N51:O52 J53:O55 M56:O58 I27:AC28 J35:O50 J24:AC24 I67:J72 I74:J74 N63:AC63 N61:AC61 I77:AC78 P35:AC58 L62:AC62 R13:AC16 K67:AC74">
    <cfRule type="cellIs" dxfId="24092" priority="1219" operator="equal">
      <formula>"PMS"</formula>
    </cfRule>
    <cfRule type="containsText" dxfId="24091" priority="1220" operator="containsText" text="CMS">
      <formula>NOT(ISERROR(SEARCH("CMS",G13)))</formula>
    </cfRule>
    <cfRule type="cellIs" dxfId="24090" priority="1221" operator="equal">
      <formula>0</formula>
    </cfRule>
    <cfRule type="cellIs" dxfId="24089" priority="1222" operator="greaterThan">
      <formula>0</formula>
    </cfRule>
    <cfRule type="cellIs" dxfId="24088" priority="1223" operator="equal">
      <formula>"PMS"</formula>
    </cfRule>
    <cfRule type="containsText" dxfId="24087" priority="1224" operator="containsText" text="CMS">
      <formula>NOT(ISERROR(SEARCH("CMS",G13)))</formula>
    </cfRule>
    <cfRule type="cellIs" dxfId="24086" priority="1225" operator="equal">
      <formula>0</formula>
    </cfRule>
    <cfRule type="cellIs" dxfId="24085" priority="1226" operator="greaterThan">
      <formula>0</formula>
    </cfRule>
  </conditionalFormatting>
  <conditionalFormatting sqref="O77:AC78 O61:AC63 O66:AC74">
    <cfRule type="cellIs" dxfId="24084" priority="1215" operator="equal">
      <formula>"PMS"</formula>
    </cfRule>
    <cfRule type="containsText" dxfId="24083" priority="1216" operator="containsText" text="CMS">
      <formula>NOT(ISERROR(SEARCH("CMS",O61)))</formula>
    </cfRule>
    <cfRule type="cellIs" dxfId="24082" priority="1217" operator="equal">
      <formula>0</formula>
    </cfRule>
    <cfRule type="cellIs" dxfId="24081" priority="1218" operator="greaterThan">
      <formula>0</formula>
    </cfRule>
  </conditionalFormatting>
  <conditionalFormatting sqref="P66:AC74">
    <cfRule type="cellIs" dxfId="24080" priority="1211" operator="equal">
      <formula>"PMS"</formula>
    </cfRule>
    <cfRule type="containsText" dxfId="24079" priority="1212" operator="containsText" text="CMS">
      <formula>NOT(ISERROR(SEARCH("CMS",P66)))</formula>
    </cfRule>
    <cfRule type="cellIs" dxfId="24078" priority="1213" operator="equal">
      <formula>0</formula>
    </cfRule>
    <cfRule type="cellIs" dxfId="24077" priority="1214" operator="greaterThan">
      <formula>0</formula>
    </cfRule>
  </conditionalFormatting>
  <conditionalFormatting sqref="O13:AC16">
    <cfRule type="cellIs" dxfId="24076" priority="1207" operator="equal">
      <formula>"PMS"</formula>
    </cfRule>
    <cfRule type="containsText" dxfId="24075" priority="1208" operator="containsText" text="CMS">
      <formula>NOT(ISERROR(SEARCH("CMS",O13)))</formula>
    </cfRule>
    <cfRule type="cellIs" dxfId="24074" priority="1209" operator="equal">
      <formula>0</formula>
    </cfRule>
    <cfRule type="cellIs" dxfId="24073" priority="1210" operator="greaterThan">
      <formula>0</formula>
    </cfRule>
  </conditionalFormatting>
  <conditionalFormatting sqref="P13:AC16">
    <cfRule type="cellIs" dxfId="24072" priority="1203" operator="equal">
      <formula>"PMS"</formula>
    </cfRule>
    <cfRule type="containsText" dxfId="24071" priority="1204" operator="containsText" text="CMS">
      <formula>NOT(ISERROR(SEARCH("CMS",P13)))</formula>
    </cfRule>
    <cfRule type="cellIs" dxfId="24070" priority="1205" operator="equal">
      <formula>0</formula>
    </cfRule>
    <cfRule type="cellIs" dxfId="24069" priority="1206" operator="greaterThan">
      <formula>0</formula>
    </cfRule>
  </conditionalFormatting>
  <conditionalFormatting sqref="O20:AC21">
    <cfRule type="cellIs" dxfId="24068" priority="1199" operator="equal">
      <formula>"PMS"</formula>
    </cfRule>
    <cfRule type="containsText" dxfId="24067" priority="1200" operator="containsText" text="CMS">
      <formula>NOT(ISERROR(SEARCH("CMS",O20)))</formula>
    </cfRule>
    <cfRule type="cellIs" dxfId="24066" priority="1201" operator="equal">
      <formula>0</formula>
    </cfRule>
    <cfRule type="cellIs" dxfId="24065" priority="1202" operator="greaterThan">
      <formula>0</formula>
    </cfRule>
  </conditionalFormatting>
  <conditionalFormatting sqref="P20:AC21">
    <cfRule type="cellIs" dxfId="24064" priority="1195" operator="equal">
      <formula>"PMS"</formula>
    </cfRule>
    <cfRule type="containsText" dxfId="24063" priority="1196" operator="containsText" text="CMS">
      <formula>NOT(ISERROR(SEARCH("CMS",P20)))</formula>
    </cfRule>
    <cfRule type="cellIs" dxfId="24062" priority="1197" operator="equal">
      <formula>0</formula>
    </cfRule>
    <cfRule type="cellIs" dxfId="24061" priority="1198" operator="greaterThan">
      <formula>0</formula>
    </cfRule>
  </conditionalFormatting>
  <conditionalFormatting sqref="O24:AC24">
    <cfRule type="cellIs" dxfId="24060" priority="1191" operator="equal">
      <formula>"PMS"</formula>
    </cfRule>
    <cfRule type="containsText" dxfId="24059" priority="1192" operator="containsText" text="CMS">
      <formula>NOT(ISERROR(SEARCH("CMS",O24)))</formula>
    </cfRule>
    <cfRule type="cellIs" dxfId="24058" priority="1193" operator="equal">
      <formula>0</formula>
    </cfRule>
    <cfRule type="cellIs" dxfId="24057" priority="1194" operator="greaterThan">
      <formula>0</formula>
    </cfRule>
  </conditionalFormatting>
  <conditionalFormatting sqref="P24:AC24">
    <cfRule type="cellIs" dxfId="24056" priority="1187" operator="equal">
      <formula>"PMS"</formula>
    </cfRule>
    <cfRule type="containsText" dxfId="24055" priority="1188" operator="containsText" text="CMS">
      <formula>NOT(ISERROR(SEARCH("CMS",P24)))</formula>
    </cfRule>
    <cfRule type="cellIs" dxfId="24054" priority="1189" operator="equal">
      <formula>0</formula>
    </cfRule>
    <cfRule type="cellIs" dxfId="24053" priority="1190" operator="greaterThan">
      <formula>0</formula>
    </cfRule>
  </conditionalFormatting>
  <conditionalFormatting sqref="O27:AC28">
    <cfRule type="cellIs" dxfId="24052" priority="1183" operator="equal">
      <formula>"PMS"</formula>
    </cfRule>
    <cfRule type="containsText" dxfId="24051" priority="1184" operator="containsText" text="CMS">
      <formula>NOT(ISERROR(SEARCH("CMS",O27)))</formula>
    </cfRule>
    <cfRule type="cellIs" dxfId="24050" priority="1185" operator="equal">
      <formula>0</formula>
    </cfRule>
    <cfRule type="cellIs" dxfId="24049" priority="1186" operator="greaterThan">
      <formula>0</formula>
    </cfRule>
  </conditionalFormatting>
  <conditionalFormatting sqref="P27:AC28">
    <cfRule type="cellIs" dxfId="24048" priority="1179" operator="equal">
      <formula>"PMS"</formula>
    </cfRule>
    <cfRule type="containsText" dxfId="24047" priority="1180" operator="containsText" text="CMS">
      <formula>NOT(ISERROR(SEARCH("CMS",P27)))</formula>
    </cfRule>
    <cfRule type="cellIs" dxfId="24046" priority="1181" operator="equal">
      <formula>0</formula>
    </cfRule>
    <cfRule type="cellIs" dxfId="24045" priority="1182" operator="greaterThan">
      <formula>0</formula>
    </cfRule>
  </conditionalFormatting>
  <conditionalFormatting sqref="O53:Q58 R50:AC58 O35:AC49">
    <cfRule type="cellIs" dxfId="24044" priority="1175" operator="equal">
      <formula>"PMS"</formula>
    </cfRule>
    <cfRule type="containsText" dxfId="24043" priority="1176" operator="containsText" text="CMS">
      <formula>NOT(ISERROR(SEARCH("CMS",O35)))</formula>
    </cfRule>
    <cfRule type="cellIs" dxfId="24042" priority="1177" operator="equal">
      <formula>0</formula>
    </cfRule>
    <cfRule type="cellIs" dxfId="24041" priority="1178" operator="greaterThan">
      <formula>0</formula>
    </cfRule>
  </conditionalFormatting>
  <conditionalFormatting sqref="O53:Q58 O38:O49 R50:AC58 P35:AC49">
    <cfRule type="cellIs" dxfId="24040" priority="1171" operator="equal">
      <formula>"PMS"</formula>
    </cfRule>
    <cfRule type="containsText" dxfId="24039" priority="1172" operator="containsText" text="CMS">
      <formula>NOT(ISERROR(SEARCH("CMS",O35)))</formula>
    </cfRule>
    <cfRule type="cellIs" dxfId="24038" priority="1173" operator="equal">
      <formula>0</formula>
    </cfRule>
    <cfRule type="cellIs" dxfId="24037" priority="1174" operator="greaterThan">
      <formula>0</formula>
    </cfRule>
  </conditionalFormatting>
  <conditionalFormatting sqref="V14:X16 V13:AC13 Z14:AB16 AC14:AC15 AA16:AC16">
    <cfRule type="cellIs" dxfId="24036" priority="1167" operator="equal">
      <formula>"PMS"</formula>
    </cfRule>
    <cfRule type="containsText" dxfId="24035" priority="1168" operator="containsText" text="CMS">
      <formula>NOT(ISERROR(SEARCH("CMS",V13)))</formula>
    </cfRule>
    <cfRule type="cellIs" dxfId="24034" priority="1169" operator="equal">
      <formula>0</formula>
    </cfRule>
    <cfRule type="cellIs" dxfId="24033" priority="1170" operator="greaterThan">
      <formula>0</formula>
    </cfRule>
  </conditionalFormatting>
  <conditionalFormatting sqref="V14:X16 V13:AC13 Z14:AB16 AC14:AC15 AA16:AC16">
    <cfRule type="cellIs" dxfId="24032" priority="1163" operator="equal">
      <formula>"PMS"</formula>
    </cfRule>
    <cfRule type="containsText" dxfId="24031" priority="1164" operator="containsText" text="CMS">
      <formula>NOT(ISERROR(SEARCH("CMS",V13)))</formula>
    </cfRule>
    <cfRule type="cellIs" dxfId="24030" priority="1165" operator="equal">
      <formula>0</formula>
    </cfRule>
    <cfRule type="cellIs" dxfId="24029" priority="1166" operator="greaterThan">
      <formula>0</formula>
    </cfRule>
  </conditionalFormatting>
  <conditionalFormatting sqref="X57:AC57">
    <cfRule type="cellIs" dxfId="24028" priority="1159" operator="equal">
      <formula>"PMS"</formula>
    </cfRule>
    <cfRule type="containsText" dxfId="24027" priority="1160" operator="containsText" text="CMS">
      <formula>NOT(ISERROR(SEARCH("CMS",X57)))</formula>
    </cfRule>
    <cfRule type="cellIs" dxfId="24026" priority="1161" operator="equal">
      <formula>0</formula>
    </cfRule>
    <cfRule type="cellIs" dxfId="24025" priority="1162" operator="greaterThan">
      <formula>0</formula>
    </cfRule>
  </conditionalFormatting>
  <conditionalFormatting sqref="X57:AC57">
    <cfRule type="cellIs" dxfId="24024" priority="1155" operator="equal">
      <formula>"PMS"</formula>
    </cfRule>
    <cfRule type="containsText" dxfId="24023" priority="1156" operator="containsText" text="CMS">
      <formula>NOT(ISERROR(SEARCH("CMS",X57)))</formula>
    </cfRule>
    <cfRule type="cellIs" dxfId="24022" priority="1157" operator="equal">
      <formula>0</formula>
    </cfRule>
    <cfRule type="cellIs" dxfId="24021" priority="1158" operator="greaterThan">
      <formula>0</formula>
    </cfRule>
  </conditionalFormatting>
  <conditionalFormatting sqref="X57:AC57">
    <cfRule type="cellIs" dxfId="24020" priority="1151" operator="equal">
      <formula>"PMS"</formula>
    </cfRule>
    <cfRule type="containsText" dxfId="24019" priority="1152" operator="containsText" text="CMS">
      <formula>NOT(ISERROR(SEARCH("CMS",X57)))</formula>
    </cfRule>
    <cfRule type="cellIs" dxfId="24018" priority="1153" operator="equal">
      <formula>0</formula>
    </cfRule>
    <cfRule type="cellIs" dxfId="24017" priority="1154" operator="greaterThan">
      <formula>0</formula>
    </cfRule>
  </conditionalFormatting>
  <conditionalFormatting sqref="X57:AC57">
    <cfRule type="cellIs" dxfId="24016" priority="1147" operator="equal">
      <formula>"PMS"</formula>
    </cfRule>
    <cfRule type="containsText" dxfId="24015" priority="1148" operator="containsText" text="CMS">
      <formula>NOT(ISERROR(SEARCH("CMS",X57)))</formula>
    </cfRule>
    <cfRule type="cellIs" dxfId="24014" priority="1149" operator="equal">
      <formula>0</formula>
    </cfRule>
    <cfRule type="cellIs" dxfId="24013" priority="1150" operator="greaterThan">
      <formula>0</formula>
    </cfRule>
  </conditionalFormatting>
  <conditionalFormatting sqref="AB58:AC58">
    <cfRule type="cellIs" dxfId="24012" priority="1143" operator="equal">
      <formula>"PMS"</formula>
    </cfRule>
    <cfRule type="containsText" dxfId="24011" priority="1144" operator="containsText" text="CMS">
      <formula>NOT(ISERROR(SEARCH("CMS",AB58)))</formula>
    </cfRule>
    <cfRule type="cellIs" dxfId="24010" priority="1145" operator="equal">
      <formula>0</formula>
    </cfRule>
    <cfRule type="cellIs" dxfId="24009" priority="1146" operator="greaterThan">
      <formula>0</formula>
    </cfRule>
  </conditionalFormatting>
  <conditionalFormatting sqref="AB58:AC58">
    <cfRule type="cellIs" dxfId="24008" priority="1139" operator="equal">
      <formula>"PMS"</formula>
    </cfRule>
    <cfRule type="containsText" dxfId="24007" priority="1140" operator="containsText" text="CMS">
      <formula>NOT(ISERROR(SEARCH("CMS",AB58)))</formula>
    </cfRule>
    <cfRule type="cellIs" dxfId="24006" priority="1141" operator="equal">
      <formula>0</formula>
    </cfRule>
    <cfRule type="cellIs" dxfId="24005" priority="1142" operator="greaterThan">
      <formula>0</formula>
    </cfRule>
  </conditionalFormatting>
  <conditionalFormatting sqref="AB58:AC58">
    <cfRule type="cellIs" dxfId="24004" priority="1135" operator="equal">
      <formula>"PMS"</formula>
    </cfRule>
    <cfRule type="containsText" dxfId="24003" priority="1136" operator="containsText" text="CMS">
      <formula>NOT(ISERROR(SEARCH("CMS",AB58)))</formula>
    </cfRule>
    <cfRule type="cellIs" dxfId="24002" priority="1137" operator="equal">
      <formula>0</formula>
    </cfRule>
    <cfRule type="cellIs" dxfId="24001" priority="1138" operator="greaterThan">
      <formula>0</formula>
    </cfRule>
  </conditionalFormatting>
  <conditionalFormatting sqref="AB58:AC58">
    <cfRule type="cellIs" dxfId="24000" priority="1131" operator="equal">
      <formula>"PMS"</formula>
    </cfRule>
    <cfRule type="containsText" dxfId="23999" priority="1132" operator="containsText" text="CMS">
      <formula>NOT(ISERROR(SEARCH("CMS",AB58)))</formula>
    </cfRule>
    <cfRule type="cellIs" dxfId="23998" priority="1133" operator="equal">
      <formula>0</formula>
    </cfRule>
    <cfRule type="cellIs" dxfId="23997" priority="1134" operator="greaterThan">
      <formula>0</formula>
    </cfRule>
  </conditionalFormatting>
  <conditionalFormatting sqref="AB78">
    <cfRule type="cellIs" dxfId="23996" priority="1127" operator="equal">
      <formula>"PMS"</formula>
    </cfRule>
    <cfRule type="containsText" dxfId="23995" priority="1128" operator="containsText" text="CMS">
      <formula>NOT(ISERROR(SEARCH("CMS",AB78)))</formula>
    </cfRule>
    <cfRule type="cellIs" dxfId="23994" priority="1129" operator="equal">
      <formula>0</formula>
    </cfRule>
    <cfRule type="cellIs" dxfId="23993" priority="1130" operator="greaterThan">
      <formula>0</formula>
    </cfRule>
  </conditionalFormatting>
  <conditionalFormatting sqref="AB78">
    <cfRule type="cellIs" dxfId="23992" priority="1123" operator="equal">
      <formula>"PMS"</formula>
    </cfRule>
    <cfRule type="containsText" dxfId="23991" priority="1124" operator="containsText" text="CMS">
      <formula>NOT(ISERROR(SEARCH("CMS",AB78)))</formula>
    </cfRule>
    <cfRule type="cellIs" dxfId="23990" priority="1125" operator="equal">
      <formula>0</formula>
    </cfRule>
    <cfRule type="cellIs" dxfId="23989" priority="1126" operator="greaterThan">
      <formula>0</formula>
    </cfRule>
  </conditionalFormatting>
  <conditionalFormatting sqref="O44:O49">
    <cfRule type="cellIs" dxfId="23988" priority="1119" operator="equal">
      <formula>"PMS"</formula>
    </cfRule>
    <cfRule type="containsText" dxfId="23987" priority="1120" operator="containsText" text="CMS">
      <formula>NOT(ISERROR(SEARCH("CMS",O44)))</formula>
    </cfRule>
    <cfRule type="cellIs" dxfId="23986" priority="1121" operator="equal">
      <formula>0</formula>
    </cfRule>
    <cfRule type="cellIs" dxfId="23985" priority="1122" operator="greaterThan">
      <formula>0</formula>
    </cfRule>
  </conditionalFormatting>
  <conditionalFormatting sqref="O55:O56 P56">
    <cfRule type="cellIs" dxfId="23984" priority="1115" operator="equal">
      <formula>"PMS"</formula>
    </cfRule>
    <cfRule type="containsText" dxfId="23983" priority="1116" operator="containsText" text="CMS">
      <formula>NOT(ISERROR(SEARCH("CMS",O55)))</formula>
    </cfRule>
    <cfRule type="cellIs" dxfId="23982" priority="1117" operator="equal">
      <formula>0</formula>
    </cfRule>
    <cfRule type="cellIs" dxfId="23981" priority="1118" operator="greaterThan">
      <formula>0</formula>
    </cfRule>
  </conditionalFormatting>
  <conditionalFormatting sqref="O49">
    <cfRule type="cellIs" dxfId="23980" priority="1111" operator="equal">
      <formula>"PMS"</formula>
    </cfRule>
    <cfRule type="containsText" dxfId="23979" priority="1112" operator="containsText" text="CMS">
      <formula>NOT(ISERROR(SEARCH("CMS",O49)))</formula>
    </cfRule>
    <cfRule type="cellIs" dxfId="23978" priority="1113" operator="equal">
      <formula>0</formula>
    </cfRule>
    <cfRule type="cellIs" dxfId="23977" priority="1114" operator="greaterThan">
      <formula>0</formula>
    </cfRule>
  </conditionalFormatting>
  <conditionalFormatting sqref="O55:O57 P56">
    <cfRule type="cellIs" dxfId="23976" priority="1107" operator="equal">
      <formula>"PMS"</formula>
    </cfRule>
    <cfRule type="containsText" dxfId="23975" priority="1108" operator="containsText" text="CMS">
      <formula>NOT(ISERROR(SEARCH("CMS",O55)))</formula>
    </cfRule>
    <cfRule type="cellIs" dxfId="23974" priority="1109" operator="equal">
      <formula>0</formula>
    </cfRule>
    <cfRule type="cellIs" dxfId="23973" priority="1110" operator="greaterThan">
      <formula>0</formula>
    </cfRule>
  </conditionalFormatting>
  <conditionalFormatting sqref="Q24:V24">
    <cfRule type="cellIs" dxfId="23972" priority="1103" operator="equal">
      <formula>"PMS"</formula>
    </cfRule>
    <cfRule type="containsText" dxfId="23971" priority="1104" operator="containsText" text="CMS">
      <formula>NOT(ISERROR(SEARCH("CMS",Q24)))</formula>
    </cfRule>
    <cfRule type="cellIs" dxfId="23970" priority="1105" operator="equal">
      <formula>0</formula>
    </cfRule>
    <cfRule type="cellIs" dxfId="23969" priority="1106" operator="greaterThan">
      <formula>0</formula>
    </cfRule>
  </conditionalFormatting>
  <conditionalFormatting sqref="Q24:V24">
    <cfRule type="cellIs" dxfId="23968" priority="1099" operator="equal">
      <formula>"PMS"</formula>
    </cfRule>
    <cfRule type="containsText" dxfId="23967" priority="1100" operator="containsText" text="CMS">
      <formula>NOT(ISERROR(SEARCH("CMS",Q24)))</formula>
    </cfRule>
    <cfRule type="cellIs" dxfId="23966" priority="1101" operator="equal">
      <formula>0</formula>
    </cfRule>
    <cfRule type="cellIs" dxfId="23965" priority="1102" operator="greaterThan">
      <formula>0</formula>
    </cfRule>
  </conditionalFormatting>
  <conditionalFormatting sqref="Q27:V28">
    <cfRule type="cellIs" dxfId="23964" priority="1095" operator="equal">
      <formula>"PMS"</formula>
    </cfRule>
    <cfRule type="containsText" dxfId="23963" priority="1096" operator="containsText" text="CMS">
      <formula>NOT(ISERROR(SEARCH("CMS",Q27)))</formula>
    </cfRule>
    <cfRule type="cellIs" dxfId="23962" priority="1097" operator="equal">
      <formula>0</formula>
    </cfRule>
    <cfRule type="cellIs" dxfId="23961" priority="1098" operator="greaterThan">
      <formula>0</formula>
    </cfRule>
  </conditionalFormatting>
  <conditionalFormatting sqref="Q27:V28">
    <cfRule type="cellIs" dxfId="23960" priority="1091" operator="equal">
      <formula>"PMS"</formula>
    </cfRule>
    <cfRule type="containsText" dxfId="23959" priority="1092" operator="containsText" text="CMS">
      <formula>NOT(ISERROR(SEARCH("CMS",Q27)))</formula>
    </cfRule>
    <cfRule type="cellIs" dxfId="23958" priority="1093" operator="equal">
      <formula>0</formula>
    </cfRule>
    <cfRule type="cellIs" dxfId="23957" priority="1094" operator="greaterThan">
      <formula>0</formula>
    </cfRule>
  </conditionalFormatting>
  <conditionalFormatting sqref="R27:V28">
    <cfRule type="cellIs" dxfId="23956" priority="1087" operator="equal">
      <formula>"PMS"</formula>
    </cfRule>
    <cfRule type="containsText" dxfId="23955" priority="1088" operator="containsText" text="CMS">
      <formula>NOT(ISERROR(SEARCH("CMS",R27)))</formula>
    </cfRule>
    <cfRule type="cellIs" dxfId="23954" priority="1089" operator="equal">
      <formula>0</formula>
    </cfRule>
    <cfRule type="cellIs" dxfId="23953" priority="1090" operator="greaterThan">
      <formula>0</formula>
    </cfRule>
  </conditionalFormatting>
  <conditionalFormatting sqref="R27:V28">
    <cfRule type="cellIs" dxfId="23952" priority="1083" operator="equal">
      <formula>"PMS"</formula>
    </cfRule>
    <cfRule type="containsText" dxfId="23951" priority="1084" operator="containsText" text="CMS">
      <formula>NOT(ISERROR(SEARCH("CMS",R27)))</formula>
    </cfRule>
    <cfRule type="cellIs" dxfId="23950" priority="1085" operator="equal">
      <formula>0</formula>
    </cfRule>
    <cfRule type="cellIs" dxfId="23949" priority="1086" operator="greaterThan">
      <formula>0</formula>
    </cfRule>
  </conditionalFormatting>
  <conditionalFormatting sqref="O55:O56 P56">
    <cfRule type="cellIs" dxfId="23948" priority="1079" operator="equal">
      <formula>"PMS"</formula>
    </cfRule>
    <cfRule type="containsText" dxfId="23947" priority="1080" operator="containsText" text="CMS">
      <formula>NOT(ISERROR(SEARCH("CMS",O55)))</formula>
    </cfRule>
    <cfRule type="cellIs" dxfId="23946" priority="1081" operator="equal">
      <formula>0</formula>
    </cfRule>
    <cfRule type="cellIs" dxfId="23945" priority="1082" operator="greaterThan">
      <formula>0</formula>
    </cfRule>
  </conditionalFormatting>
  <conditionalFormatting sqref="O44:O45">
    <cfRule type="cellIs" dxfId="23944" priority="1075" operator="equal">
      <formula>"PMS"</formula>
    </cfRule>
    <cfRule type="containsText" dxfId="23943" priority="1076" operator="containsText" text="CMS">
      <formula>NOT(ISERROR(SEARCH("CMS",O44)))</formula>
    </cfRule>
    <cfRule type="cellIs" dxfId="23942" priority="1077" operator="equal">
      <formula>0</formula>
    </cfRule>
    <cfRule type="cellIs" dxfId="23941" priority="1078" operator="greaterThan">
      <formula>0</formula>
    </cfRule>
  </conditionalFormatting>
  <conditionalFormatting sqref="O44:O45">
    <cfRule type="cellIs" dxfId="23940" priority="1071" operator="equal">
      <formula>"PMS"</formula>
    </cfRule>
    <cfRule type="containsText" dxfId="23939" priority="1072" operator="containsText" text="CMS">
      <formula>NOT(ISERROR(SEARCH("CMS",O44)))</formula>
    </cfRule>
    <cfRule type="cellIs" dxfId="23938" priority="1073" operator="equal">
      <formula>0</formula>
    </cfRule>
    <cfRule type="cellIs" dxfId="23937" priority="1074" operator="greaterThan">
      <formula>0</formula>
    </cfRule>
  </conditionalFormatting>
  <conditionalFormatting sqref="O44:O45">
    <cfRule type="cellIs" dxfId="23936" priority="1067" operator="equal">
      <formula>"PMS"</formula>
    </cfRule>
    <cfRule type="containsText" dxfId="23935" priority="1068" operator="containsText" text="CMS">
      <formula>NOT(ISERROR(SEARCH("CMS",O44)))</formula>
    </cfRule>
    <cfRule type="cellIs" dxfId="23934" priority="1069" operator="equal">
      <formula>0</formula>
    </cfRule>
    <cfRule type="cellIs" dxfId="23933" priority="1070" operator="greaterThan">
      <formula>0</formula>
    </cfRule>
  </conditionalFormatting>
  <conditionalFormatting sqref="O46">
    <cfRule type="cellIs" dxfId="23932" priority="1063" operator="equal">
      <formula>"PMS"</formula>
    </cfRule>
    <cfRule type="containsText" dxfId="23931" priority="1064" operator="containsText" text="CMS">
      <formula>NOT(ISERROR(SEARCH("CMS",O46)))</formula>
    </cfRule>
    <cfRule type="cellIs" dxfId="23930" priority="1065" operator="equal">
      <formula>0</formula>
    </cfRule>
    <cfRule type="cellIs" dxfId="23929" priority="1066" operator="greaterThan">
      <formula>0</formula>
    </cfRule>
  </conditionalFormatting>
  <conditionalFormatting sqref="O46">
    <cfRule type="cellIs" dxfId="23928" priority="1059" operator="equal">
      <formula>"PMS"</formula>
    </cfRule>
    <cfRule type="containsText" dxfId="23927" priority="1060" operator="containsText" text="CMS">
      <formula>NOT(ISERROR(SEARCH("CMS",O46)))</formula>
    </cfRule>
    <cfRule type="cellIs" dxfId="23926" priority="1061" operator="equal">
      <formula>0</formula>
    </cfRule>
    <cfRule type="cellIs" dxfId="23925" priority="1062" operator="greaterThan">
      <formula>0</formula>
    </cfRule>
  </conditionalFormatting>
  <conditionalFormatting sqref="O46">
    <cfRule type="cellIs" dxfId="23924" priority="1055" operator="equal">
      <formula>"PMS"</formula>
    </cfRule>
    <cfRule type="containsText" dxfId="23923" priority="1056" operator="containsText" text="CMS">
      <formula>NOT(ISERROR(SEARCH("CMS",O46)))</formula>
    </cfRule>
    <cfRule type="cellIs" dxfId="23922" priority="1057" operator="equal">
      <formula>0</formula>
    </cfRule>
    <cfRule type="cellIs" dxfId="23921" priority="1058" operator="greaterThan">
      <formula>0</formula>
    </cfRule>
  </conditionalFormatting>
  <conditionalFormatting sqref="J19:AC19">
    <cfRule type="cellIs" dxfId="23920" priority="1051" operator="equal">
      <formula>"CMS"</formula>
    </cfRule>
    <cfRule type="cellIs" dxfId="23919" priority="1052" operator="equal">
      <formula>"PMS"</formula>
    </cfRule>
    <cfRule type="cellIs" dxfId="23918" priority="1053" operator="greaterThan">
      <formula>0</formula>
    </cfRule>
    <cfRule type="cellIs" dxfId="23917" priority="1054" operator="equal">
      <formula>0</formula>
    </cfRule>
  </conditionalFormatting>
  <conditionalFormatting sqref="G62">
    <cfRule type="cellIs" dxfId="23916" priority="1047" operator="equal">
      <formula>"CMS"</formula>
    </cfRule>
    <cfRule type="cellIs" dxfId="23915" priority="1048" operator="equal">
      <formula>"PMS"</formula>
    </cfRule>
    <cfRule type="cellIs" dxfId="23914" priority="1049" operator="greaterThan">
      <formula>0</formula>
    </cfRule>
    <cfRule type="cellIs" dxfId="23913" priority="1050" operator="equal">
      <formula>0</formula>
    </cfRule>
  </conditionalFormatting>
  <conditionalFormatting sqref="G77">
    <cfRule type="cellIs" dxfId="23912" priority="1042" operator="equal">
      <formula>"EOC"</formula>
    </cfRule>
    <cfRule type="cellIs" dxfId="23911" priority="1043" operator="equal">
      <formula>"CMS"</formula>
    </cfRule>
    <cfRule type="cellIs" dxfId="23910" priority="1044" operator="equal">
      <formula>"PMS"</formula>
    </cfRule>
    <cfRule type="cellIs" dxfId="23909" priority="1045" operator="greaterThan">
      <formula>0</formula>
    </cfRule>
    <cfRule type="cellIs" dxfId="23908" priority="1046" operator="equal">
      <formula>0</formula>
    </cfRule>
  </conditionalFormatting>
  <conditionalFormatting sqref="F109">
    <cfRule type="cellIs" dxfId="23907" priority="1041" operator="greaterThan">
      <formula>60.3</formula>
    </cfRule>
  </conditionalFormatting>
  <conditionalFormatting sqref="G36:G44 G50 G47">
    <cfRule type="cellIs" dxfId="23906" priority="1033" operator="equal">
      <formula>"PMS"</formula>
    </cfRule>
    <cfRule type="containsText" dxfId="23905" priority="1034" operator="containsText" text="CMS">
      <formula>NOT(ISERROR(SEARCH("CMS",G36)))</formula>
    </cfRule>
    <cfRule type="cellIs" dxfId="23904" priority="1035" operator="equal">
      <formula>0</formula>
    </cfRule>
    <cfRule type="cellIs" dxfId="23903" priority="1036" operator="greaterThan">
      <formula>0</formula>
    </cfRule>
    <cfRule type="cellIs" dxfId="23902" priority="1037" operator="equal">
      <formula>"PMS"</formula>
    </cfRule>
    <cfRule type="containsText" dxfId="23901" priority="1038" operator="containsText" text="CMS">
      <formula>NOT(ISERROR(SEARCH("CMS",G36)))</formula>
    </cfRule>
    <cfRule type="cellIs" dxfId="23900" priority="1039" operator="equal">
      <formula>0</formula>
    </cfRule>
    <cfRule type="cellIs" dxfId="23899" priority="1040" operator="greaterThan">
      <formula>0</formula>
    </cfRule>
  </conditionalFormatting>
  <conditionalFormatting sqref="G36:G44 G50 G47">
    <cfRule type="cellIs" dxfId="23898" priority="1029" operator="equal">
      <formula>"PMS"</formula>
    </cfRule>
    <cfRule type="containsText" dxfId="23897" priority="1030" operator="containsText" text="CMS">
      <formula>NOT(ISERROR(SEARCH("CMS",G36)))</formula>
    </cfRule>
    <cfRule type="cellIs" dxfId="23896" priority="1031" operator="equal">
      <formula>0</formula>
    </cfRule>
    <cfRule type="cellIs" dxfId="23895" priority="1032" operator="greaterThan">
      <formula>0</formula>
    </cfRule>
  </conditionalFormatting>
  <conditionalFormatting sqref="G36:G44 G50 G47">
    <cfRule type="cellIs" dxfId="23894" priority="1025" operator="equal">
      <formula>"PMS"</formula>
    </cfRule>
    <cfRule type="containsText" dxfId="23893" priority="1026" operator="containsText" text="CMS">
      <formula>NOT(ISERROR(SEARCH("CMS",G36)))</formula>
    </cfRule>
    <cfRule type="cellIs" dxfId="23892" priority="1027" operator="equal">
      <formula>0</formula>
    </cfRule>
    <cfRule type="cellIs" dxfId="23891" priority="1028" operator="greaterThan">
      <formula>0</formula>
    </cfRule>
  </conditionalFormatting>
  <conditionalFormatting sqref="I36:I39">
    <cfRule type="cellIs" dxfId="23890" priority="1017" operator="equal">
      <formula>"PMS"</formula>
    </cfRule>
    <cfRule type="containsText" dxfId="23889" priority="1018" operator="containsText" text="CMS">
      <formula>NOT(ISERROR(SEARCH("CMS",I36)))</formula>
    </cfRule>
    <cfRule type="cellIs" dxfId="23888" priority="1019" operator="equal">
      <formula>0</formula>
    </cfRule>
    <cfRule type="cellIs" dxfId="23887" priority="1020" operator="greaterThan">
      <formula>0</formula>
    </cfRule>
    <cfRule type="cellIs" dxfId="23886" priority="1021" operator="equal">
      <formula>"PMS"</formula>
    </cfRule>
    <cfRule type="containsText" dxfId="23885" priority="1022" operator="containsText" text="CMS">
      <formula>NOT(ISERROR(SEARCH("CMS",I36)))</formula>
    </cfRule>
    <cfRule type="cellIs" dxfId="23884" priority="1023" operator="equal">
      <formula>0</formula>
    </cfRule>
    <cfRule type="cellIs" dxfId="23883" priority="1024" operator="greaterThan">
      <formula>0</formula>
    </cfRule>
  </conditionalFormatting>
  <conditionalFormatting sqref="I36:I39">
    <cfRule type="cellIs" dxfId="23882" priority="1013" operator="equal">
      <formula>"PMS"</formula>
    </cfRule>
    <cfRule type="containsText" dxfId="23881" priority="1014" operator="containsText" text="CMS">
      <formula>NOT(ISERROR(SEARCH("CMS",I36)))</formula>
    </cfRule>
    <cfRule type="cellIs" dxfId="23880" priority="1015" operator="equal">
      <formula>0</formula>
    </cfRule>
    <cfRule type="cellIs" dxfId="23879" priority="1016" operator="greaterThan">
      <formula>0</formula>
    </cfRule>
  </conditionalFormatting>
  <conditionalFormatting sqref="I36:I39">
    <cfRule type="cellIs" dxfId="23878" priority="1009" operator="equal">
      <formula>"PMS"</formula>
    </cfRule>
    <cfRule type="containsText" dxfId="23877" priority="1010" operator="containsText" text="CMS">
      <formula>NOT(ISERROR(SEARCH("CMS",I36)))</formula>
    </cfRule>
    <cfRule type="cellIs" dxfId="23876" priority="1011" operator="equal">
      <formula>0</formula>
    </cfRule>
    <cfRule type="cellIs" dxfId="23875" priority="1012" operator="greaterThan">
      <formula>0</formula>
    </cfRule>
  </conditionalFormatting>
  <conditionalFormatting sqref="O49">
    <cfRule type="cellIs" dxfId="23874" priority="1005" operator="equal">
      <formula>"PMS"</formula>
    </cfRule>
    <cfRule type="containsText" dxfId="23873" priority="1006" operator="containsText" text="CMS">
      <formula>NOT(ISERROR(SEARCH("CMS",O49)))</formula>
    </cfRule>
    <cfRule type="cellIs" dxfId="23872" priority="1007" operator="equal">
      <formula>0</formula>
    </cfRule>
    <cfRule type="cellIs" dxfId="23871" priority="1008" operator="greaterThan">
      <formula>0</formula>
    </cfRule>
  </conditionalFormatting>
  <conditionalFormatting sqref="O55:O56 P56">
    <cfRule type="cellIs" dxfId="23870" priority="1001" operator="equal">
      <formula>"PMS"</formula>
    </cfRule>
    <cfRule type="containsText" dxfId="23869" priority="1002" operator="containsText" text="CMS">
      <formula>NOT(ISERROR(SEARCH("CMS",O55)))</formula>
    </cfRule>
    <cfRule type="cellIs" dxfId="23868" priority="1003" operator="equal">
      <formula>0</formula>
    </cfRule>
    <cfRule type="cellIs" dxfId="23867" priority="1004" operator="greaterThan">
      <formula>0</formula>
    </cfRule>
  </conditionalFormatting>
  <conditionalFormatting sqref="O57:P57">
    <cfRule type="cellIs" dxfId="23866" priority="997" operator="equal">
      <formula>"PMS"</formula>
    </cfRule>
    <cfRule type="containsText" dxfId="23865" priority="998" operator="containsText" text="CMS">
      <formula>NOT(ISERROR(SEARCH("CMS",O57)))</formula>
    </cfRule>
    <cfRule type="cellIs" dxfId="23864" priority="999" operator="equal">
      <formula>0</formula>
    </cfRule>
    <cfRule type="cellIs" dxfId="23863" priority="1000" operator="greaterThan">
      <formula>0</formula>
    </cfRule>
  </conditionalFormatting>
  <conditionalFormatting sqref="O49">
    <cfRule type="cellIs" dxfId="23862" priority="993" operator="equal">
      <formula>"PMS"</formula>
    </cfRule>
    <cfRule type="containsText" dxfId="23861" priority="994" operator="containsText" text="CMS">
      <formula>NOT(ISERROR(SEARCH("CMS",O49)))</formula>
    </cfRule>
    <cfRule type="cellIs" dxfId="23860" priority="995" operator="equal">
      <formula>0</formula>
    </cfRule>
    <cfRule type="cellIs" dxfId="23859" priority="996" operator="greaterThan">
      <formula>0</formula>
    </cfRule>
  </conditionalFormatting>
  <conditionalFormatting sqref="O55:O57 P56">
    <cfRule type="cellIs" dxfId="23858" priority="989" operator="equal">
      <formula>"PMS"</formula>
    </cfRule>
    <cfRule type="containsText" dxfId="23857" priority="990" operator="containsText" text="CMS">
      <formula>NOT(ISERROR(SEARCH("CMS",O55)))</formula>
    </cfRule>
    <cfRule type="cellIs" dxfId="23856" priority="991" operator="equal">
      <formula>0</formula>
    </cfRule>
    <cfRule type="cellIs" dxfId="23855" priority="992" operator="greaterThan">
      <formula>0</formula>
    </cfRule>
  </conditionalFormatting>
  <conditionalFormatting sqref="O49">
    <cfRule type="cellIs" dxfId="23854" priority="985" operator="equal">
      <formula>"PMS"</formula>
    </cfRule>
    <cfRule type="containsText" dxfId="23853" priority="986" operator="containsText" text="CMS">
      <formula>NOT(ISERROR(SEARCH("CMS",O49)))</formula>
    </cfRule>
    <cfRule type="cellIs" dxfId="23852" priority="987" operator="equal">
      <formula>0</formula>
    </cfRule>
    <cfRule type="cellIs" dxfId="23851" priority="988" operator="greaterThan">
      <formula>0</formula>
    </cfRule>
  </conditionalFormatting>
  <conditionalFormatting sqref="O55:O57 P56">
    <cfRule type="cellIs" dxfId="23850" priority="981" operator="equal">
      <formula>"PMS"</formula>
    </cfRule>
    <cfRule type="containsText" dxfId="23849" priority="982" operator="containsText" text="CMS">
      <formula>NOT(ISERROR(SEARCH("CMS",O55)))</formula>
    </cfRule>
    <cfRule type="cellIs" dxfId="23848" priority="983" operator="equal">
      <formula>0</formula>
    </cfRule>
    <cfRule type="cellIs" dxfId="23847" priority="984" operator="greaterThan">
      <formula>0</formula>
    </cfRule>
  </conditionalFormatting>
  <conditionalFormatting sqref="V14:V16">
    <cfRule type="cellIs" dxfId="23846" priority="977" operator="equal">
      <formula>"PMS"</formula>
    </cfRule>
    <cfRule type="containsText" dxfId="23845" priority="978" operator="containsText" text="CMS">
      <formula>NOT(ISERROR(SEARCH("CMS",V14)))</formula>
    </cfRule>
    <cfRule type="cellIs" dxfId="23844" priority="979" operator="equal">
      <formula>0</formula>
    </cfRule>
    <cfRule type="cellIs" dxfId="23843" priority="980" operator="greaterThan">
      <formula>0</formula>
    </cfRule>
  </conditionalFormatting>
  <conditionalFormatting sqref="V14:V16">
    <cfRule type="cellIs" dxfId="23842" priority="973" operator="equal">
      <formula>"PMS"</formula>
    </cfRule>
    <cfRule type="containsText" dxfId="23841" priority="974" operator="containsText" text="CMS">
      <formula>NOT(ISERROR(SEARCH("CMS",V14)))</formula>
    </cfRule>
    <cfRule type="cellIs" dxfId="23840" priority="975" operator="equal">
      <formula>0</formula>
    </cfRule>
    <cfRule type="cellIs" dxfId="23839" priority="976" operator="greaterThan">
      <formula>0</formula>
    </cfRule>
  </conditionalFormatting>
  <conditionalFormatting sqref="W14:W16">
    <cfRule type="cellIs" dxfId="23838" priority="969" operator="equal">
      <formula>"PMS"</formula>
    </cfRule>
    <cfRule type="containsText" dxfId="23837" priority="970" operator="containsText" text="CMS">
      <formula>NOT(ISERROR(SEARCH("CMS",W14)))</formula>
    </cfRule>
    <cfRule type="cellIs" dxfId="23836" priority="971" operator="equal">
      <formula>0</formula>
    </cfRule>
    <cfRule type="cellIs" dxfId="23835" priority="972" operator="greaterThan">
      <formula>0</formula>
    </cfRule>
  </conditionalFormatting>
  <conditionalFormatting sqref="W14:W16">
    <cfRule type="cellIs" dxfId="23834" priority="965" operator="equal">
      <formula>"PMS"</formula>
    </cfRule>
    <cfRule type="containsText" dxfId="23833" priority="966" operator="containsText" text="CMS">
      <formula>NOT(ISERROR(SEARCH("CMS",W14)))</formula>
    </cfRule>
    <cfRule type="cellIs" dxfId="23832" priority="967" operator="equal">
      <formula>0</formula>
    </cfRule>
    <cfRule type="cellIs" dxfId="23831" priority="968" operator="greaterThan">
      <formula>0</formula>
    </cfRule>
  </conditionalFormatting>
  <conditionalFormatting sqref="X16">
    <cfRule type="cellIs" dxfId="23830" priority="961" operator="equal">
      <formula>"PMS"</formula>
    </cfRule>
    <cfRule type="containsText" dxfId="23829" priority="962" operator="containsText" text="CMS">
      <formula>NOT(ISERROR(SEARCH("CMS",X16)))</formula>
    </cfRule>
    <cfRule type="cellIs" dxfId="23828" priority="963" operator="equal">
      <formula>0</formula>
    </cfRule>
    <cfRule type="cellIs" dxfId="23827" priority="964" operator="greaterThan">
      <formula>0</formula>
    </cfRule>
  </conditionalFormatting>
  <conditionalFormatting sqref="X16">
    <cfRule type="cellIs" dxfId="23826" priority="957" operator="equal">
      <formula>"PMS"</formula>
    </cfRule>
    <cfRule type="containsText" dxfId="23825" priority="958" operator="containsText" text="CMS">
      <formula>NOT(ISERROR(SEARCH("CMS",X16)))</formula>
    </cfRule>
    <cfRule type="cellIs" dxfId="23824" priority="959" operator="equal">
      <formula>0</formula>
    </cfRule>
    <cfRule type="cellIs" dxfId="23823" priority="960" operator="greaterThan">
      <formula>0</formula>
    </cfRule>
  </conditionalFormatting>
  <conditionalFormatting sqref="O49">
    <cfRule type="cellIs" dxfId="23822" priority="953" operator="equal">
      <formula>"PMS"</formula>
    </cfRule>
    <cfRule type="containsText" dxfId="23821" priority="954" operator="containsText" text="CMS">
      <formula>NOT(ISERROR(SEARCH("CMS",O49)))</formula>
    </cfRule>
    <cfRule type="cellIs" dxfId="23820" priority="955" operator="equal">
      <formula>0</formula>
    </cfRule>
    <cfRule type="cellIs" dxfId="23819" priority="956" operator="greaterThan">
      <formula>0</formula>
    </cfRule>
  </conditionalFormatting>
  <conditionalFormatting sqref="O56:P56">
    <cfRule type="cellIs" dxfId="23818" priority="949" operator="equal">
      <formula>"PMS"</formula>
    </cfRule>
    <cfRule type="containsText" dxfId="23817" priority="950" operator="containsText" text="CMS">
      <formula>NOT(ISERROR(SEARCH("CMS",O56)))</formula>
    </cfRule>
    <cfRule type="cellIs" dxfId="23816" priority="951" operator="equal">
      <formula>0</formula>
    </cfRule>
    <cfRule type="cellIs" dxfId="23815" priority="952" operator="greaterThan">
      <formula>0</formula>
    </cfRule>
  </conditionalFormatting>
  <conditionalFormatting sqref="Z14">
    <cfRule type="cellIs" dxfId="23814" priority="945" operator="equal">
      <formula>"PMS"</formula>
    </cfRule>
    <cfRule type="containsText" dxfId="23813" priority="946" operator="containsText" text="CMS">
      <formula>NOT(ISERROR(SEARCH("CMS",Z14)))</formula>
    </cfRule>
    <cfRule type="cellIs" dxfId="23812" priority="947" operator="equal">
      <formula>0</formula>
    </cfRule>
    <cfRule type="cellIs" dxfId="23811" priority="948" operator="greaterThan">
      <formula>0</formula>
    </cfRule>
  </conditionalFormatting>
  <conditionalFormatting sqref="Z14">
    <cfRule type="cellIs" dxfId="23810" priority="941" operator="equal">
      <formula>"PMS"</formula>
    </cfRule>
    <cfRule type="containsText" dxfId="23809" priority="942" operator="containsText" text="CMS">
      <formula>NOT(ISERROR(SEARCH("CMS",Z14)))</formula>
    </cfRule>
    <cfRule type="cellIs" dxfId="23808" priority="943" operator="equal">
      <formula>0</formula>
    </cfRule>
    <cfRule type="cellIs" dxfId="23807" priority="944" operator="greaterThan">
      <formula>0</formula>
    </cfRule>
  </conditionalFormatting>
  <conditionalFormatting sqref="Z15">
    <cfRule type="cellIs" dxfId="23806" priority="937" operator="equal">
      <formula>"PMS"</formula>
    </cfRule>
    <cfRule type="containsText" dxfId="23805" priority="938" operator="containsText" text="CMS">
      <formula>NOT(ISERROR(SEARCH("CMS",Z15)))</formula>
    </cfRule>
    <cfRule type="cellIs" dxfId="23804" priority="939" operator="equal">
      <formula>0</formula>
    </cfRule>
    <cfRule type="cellIs" dxfId="23803" priority="940" operator="greaterThan">
      <formula>0</formula>
    </cfRule>
  </conditionalFormatting>
  <conditionalFormatting sqref="Z15">
    <cfRule type="cellIs" dxfId="23802" priority="933" operator="equal">
      <formula>"PMS"</formula>
    </cfRule>
    <cfRule type="containsText" dxfId="23801" priority="934" operator="containsText" text="CMS">
      <formula>NOT(ISERROR(SEARCH("CMS",Z15)))</formula>
    </cfRule>
    <cfRule type="cellIs" dxfId="23800" priority="935" operator="equal">
      <formula>0</formula>
    </cfRule>
    <cfRule type="cellIs" dxfId="23799" priority="936" operator="greaterThan">
      <formula>0</formula>
    </cfRule>
  </conditionalFormatting>
  <conditionalFormatting sqref="Z16:AC16">
    <cfRule type="cellIs" dxfId="23798" priority="929" operator="equal">
      <formula>"PMS"</formula>
    </cfRule>
    <cfRule type="containsText" dxfId="23797" priority="930" operator="containsText" text="CMS">
      <formula>NOT(ISERROR(SEARCH("CMS",Z16)))</formula>
    </cfRule>
    <cfRule type="cellIs" dxfId="23796" priority="931" operator="equal">
      <formula>0</formula>
    </cfRule>
    <cfRule type="cellIs" dxfId="23795" priority="932" operator="greaterThan">
      <formula>0</formula>
    </cfRule>
  </conditionalFormatting>
  <conditionalFormatting sqref="Z16:AC16">
    <cfRule type="cellIs" dxfId="23794" priority="925" operator="equal">
      <formula>"PMS"</formula>
    </cfRule>
    <cfRule type="containsText" dxfId="23793" priority="926" operator="containsText" text="CMS">
      <formula>NOT(ISERROR(SEARCH("CMS",Z16)))</formula>
    </cfRule>
    <cfRule type="cellIs" dxfId="23792" priority="927" operator="equal">
      <formula>0</formula>
    </cfRule>
    <cfRule type="cellIs" dxfId="23791" priority="928" operator="greaterThan">
      <formula>0</formula>
    </cfRule>
  </conditionalFormatting>
  <conditionalFormatting sqref="AA13:AA16">
    <cfRule type="cellIs" dxfId="23790" priority="921" operator="equal">
      <formula>"PMS"</formula>
    </cfRule>
    <cfRule type="containsText" dxfId="23789" priority="922" operator="containsText" text="CMS">
      <formula>NOT(ISERROR(SEARCH("CMS",AA13)))</formula>
    </cfRule>
    <cfRule type="cellIs" dxfId="23788" priority="923" operator="equal">
      <formula>0</formula>
    </cfRule>
    <cfRule type="cellIs" dxfId="23787" priority="924" operator="greaterThan">
      <formula>0</formula>
    </cfRule>
  </conditionalFormatting>
  <conditionalFormatting sqref="AA13:AA16">
    <cfRule type="cellIs" dxfId="23786" priority="917" operator="equal">
      <formula>"PMS"</formula>
    </cfRule>
    <cfRule type="containsText" dxfId="23785" priority="918" operator="containsText" text="CMS">
      <formula>NOT(ISERROR(SEARCH("CMS",AA13)))</formula>
    </cfRule>
    <cfRule type="cellIs" dxfId="23784" priority="919" operator="equal">
      <formula>0</formula>
    </cfRule>
    <cfRule type="cellIs" dxfId="23783" priority="920" operator="greaterThan">
      <formula>0</formula>
    </cfRule>
  </conditionalFormatting>
  <conditionalFormatting sqref="AA15">
    <cfRule type="cellIs" dxfId="23782" priority="913" operator="equal">
      <formula>"PMS"</formula>
    </cfRule>
    <cfRule type="containsText" dxfId="23781" priority="914" operator="containsText" text="CMS">
      <formula>NOT(ISERROR(SEARCH("CMS",AA15)))</formula>
    </cfRule>
    <cfRule type="cellIs" dxfId="23780" priority="915" operator="equal">
      <formula>0</formula>
    </cfRule>
    <cfRule type="cellIs" dxfId="23779" priority="916" operator="greaterThan">
      <formula>0</formula>
    </cfRule>
  </conditionalFormatting>
  <conditionalFormatting sqref="AA15">
    <cfRule type="cellIs" dxfId="23778" priority="909" operator="equal">
      <formula>"PMS"</formula>
    </cfRule>
    <cfRule type="containsText" dxfId="23777" priority="910" operator="containsText" text="CMS">
      <formula>NOT(ISERROR(SEARCH("CMS",AA15)))</formula>
    </cfRule>
    <cfRule type="cellIs" dxfId="23776" priority="911" operator="equal">
      <formula>0</formula>
    </cfRule>
    <cfRule type="cellIs" dxfId="23775" priority="912" operator="greaterThan">
      <formula>0</formula>
    </cfRule>
  </conditionalFormatting>
  <conditionalFormatting sqref="AA16">
    <cfRule type="cellIs" dxfId="23774" priority="905" operator="equal">
      <formula>"PMS"</formula>
    </cfRule>
    <cfRule type="containsText" dxfId="23773" priority="906" operator="containsText" text="CMS">
      <formula>NOT(ISERROR(SEARCH("CMS",AA16)))</formula>
    </cfRule>
    <cfRule type="cellIs" dxfId="23772" priority="907" operator="equal">
      <formula>0</formula>
    </cfRule>
    <cfRule type="cellIs" dxfId="23771" priority="908" operator="greaterThan">
      <formula>0</formula>
    </cfRule>
  </conditionalFormatting>
  <conditionalFormatting sqref="AA16">
    <cfRule type="cellIs" dxfId="23770" priority="901" operator="equal">
      <formula>"PMS"</formula>
    </cfRule>
    <cfRule type="containsText" dxfId="23769" priority="902" operator="containsText" text="CMS">
      <formula>NOT(ISERROR(SEARCH("CMS",AA16)))</formula>
    </cfRule>
    <cfRule type="cellIs" dxfId="23768" priority="903" operator="equal">
      <formula>0</formula>
    </cfRule>
    <cfRule type="cellIs" dxfId="23767" priority="904" operator="greaterThan">
      <formula>0</formula>
    </cfRule>
  </conditionalFormatting>
  <conditionalFormatting sqref="AA27">
    <cfRule type="cellIs" dxfId="23766" priority="897" operator="equal">
      <formula>"PMS"</formula>
    </cfRule>
    <cfRule type="containsText" dxfId="23765" priority="898" operator="containsText" text="CMS">
      <formula>NOT(ISERROR(SEARCH("CMS",AA27)))</formula>
    </cfRule>
    <cfRule type="cellIs" dxfId="23764" priority="899" operator="equal">
      <formula>0</formula>
    </cfRule>
    <cfRule type="cellIs" dxfId="23763" priority="900" operator="greaterThan">
      <formula>0</formula>
    </cfRule>
  </conditionalFormatting>
  <conditionalFormatting sqref="AA27">
    <cfRule type="cellIs" dxfId="23762" priority="893" operator="equal">
      <formula>"PMS"</formula>
    </cfRule>
    <cfRule type="containsText" dxfId="23761" priority="894" operator="containsText" text="CMS">
      <formula>NOT(ISERROR(SEARCH("CMS",AA27)))</formula>
    </cfRule>
    <cfRule type="cellIs" dxfId="23760" priority="895" operator="equal">
      <formula>0</formula>
    </cfRule>
    <cfRule type="cellIs" dxfId="23759" priority="896" operator="greaterThan">
      <formula>0</formula>
    </cfRule>
  </conditionalFormatting>
  <conditionalFormatting sqref="AA28">
    <cfRule type="cellIs" dxfId="23758" priority="889" operator="equal">
      <formula>"PMS"</formula>
    </cfRule>
    <cfRule type="containsText" dxfId="23757" priority="890" operator="containsText" text="CMS">
      <formula>NOT(ISERROR(SEARCH("CMS",AA28)))</formula>
    </cfRule>
    <cfRule type="cellIs" dxfId="23756" priority="891" operator="equal">
      <formula>0</formula>
    </cfRule>
    <cfRule type="cellIs" dxfId="23755" priority="892" operator="greaterThan">
      <formula>0</formula>
    </cfRule>
  </conditionalFormatting>
  <conditionalFormatting sqref="AA28">
    <cfRule type="cellIs" dxfId="23754" priority="885" operator="equal">
      <formula>"PMS"</formula>
    </cfRule>
    <cfRule type="containsText" dxfId="23753" priority="886" operator="containsText" text="CMS">
      <formula>NOT(ISERROR(SEARCH("CMS",AA28)))</formula>
    </cfRule>
    <cfRule type="cellIs" dxfId="23752" priority="887" operator="equal">
      <formula>0</formula>
    </cfRule>
    <cfRule type="cellIs" dxfId="23751" priority="888" operator="greaterThan">
      <formula>0</formula>
    </cfRule>
  </conditionalFormatting>
  <conditionalFormatting sqref="AB14">
    <cfRule type="cellIs" dxfId="23750" priority="881" operator="equal">
      <formula>"PMS"</formula>
    </cfRule>
    <cfRule type="containsText" dxfId="23749" priority="882" operator="containsText" text="CMS">
      <formula>NOT(ISERROR(SEARCH("CMS",AB14)))</formula>
    </cfRule>
    <cfRule type="cellIs" dxfId="23748" priority="883" operator="equal">
      <formula>0</formula>
    </cfRule>
    <cfRule type="cellIs" dxfId="23747" priority="884" operator="greaterThan">
      <formula>0</formula>
    </cfRule>
  </conditionalFormatting>
  <conditionalFormatting sqref="AB14">
    <cfRule type="cellIs" dxfId="23746" priority="877" operator="equal">
      <formula>"PMS"</formula>
    </cfRule>
    <cfRule type="containsText" dxfId="23745" priority="878" operator="containsText" text="CMS">
      <formula>NOT(ISERROR(SEARCH("CMS",AB14)))</formula>
    </cfRule>
    <cfRule type="cellIs" dxfId="23744" priority="879" operator="equal">
      <formula>0</formula>
    </cfRule>
    <cfRule type="cellIs" dxfId="23743" priority="880" operator="greaterThan">
      <formula>0</formula>
    </cfRule>
  </conditionalFormatting>
  <conditionalFormatting sqref="AB15">
    <cfRule type="cellIs" dxfId="23742" priority="873" operator="equal">
      <formula>"PMS"</formula>
    </cfRule>
    <cfRule type="containsText" dxfId="23741" priority="874" operator="containsText" text="CMS">
      <formula>NOT(ISERROR(SEARCH("CMS",AB15)))</formula>
    </cfRule>
    <cfRule type="cellIs" dxfId="23740" priority="875" operator="equal">
      <formula>0</formula>
    </cfRule>
    <cfRule type="cellIs" dxfId="23739" priority="876" operator="greaterThan">
      <formula>0</formula>
    </cfRule>
  </conditionalFormatting>
  <conditionalFormatting sqref="AB15">
    <cfRule type="cellIs" dxfId="23738" priority="869" operator="equal">
      <formula>"PMS"</formula>
    </cfRule>
    <cfRule type="containsText" dxfId="23737" priority="870" operator="containsText" text="CMS">
      <formula>NOT(ISERROR(SEARCH("CMS",AB15)))</formula>
    </cfRule>
    <cfRule type="cellIs" dxfId="23736" priority="871" operator="equal">
      <formula>0</formula>
    </cfRule>
    <cfRule type="cellIs" dxfId="23735" priority="872" operator="greaterThan">
      <formula>0</formula>
    </cfRule>
  </conditionalFormatting>
  <conditionalFormatting sqref="AB16">
    <cfRule type="cellIs" dxfId="23734" priority="865" operator="equal">
      <formula>"PMS"</formula>
    </cfRule>
    <cfRule type="containsText" dxfId="23733" priority="866" operator="containsText" text="CMS">
      <formula>NOT(ISERROR(SEARCH("CMS",AB16)))</formula>
    </cfRule>
    <cfRule type="cellIs" dxfId="23732" priority="867" operator="equal">
      <formula>0</formula>
    </cfRule>
    <cfRule type="cellIs" dxfId="23731" priority="868" operator="greaterThan">
      <formula>0</formula>
    </cfRule>
  </conditionalFormatting>
  <conditionalFormatting sqref="AB16">
    <cfRule type="cellIs" dxfId="23730" priority="861" operator="equal">
      <formula>"PMS"</formula>
    </cfRule>
    <cfRule type="containsText" dxfId="23729" priority="862" operator="containsText" text="CMS">
      <formula>NOT(ISERROR(SEARCH("CMS",AB16)))</formula>
    </cfRule>
    <cfRule type="cellIs" dxfId="23728" priority="863" operator="equal">
      <formula>0</formula>
    </cfRule>
    <cfRule type="cellIs" dxfId="23727" priority="864" operator="greaterThan">
      <formula>0</formula>
    </cfRule>
  </conditionalFormatting>
  <conditionalFormatting sqref="J62">
    <cfRule type="cellIs" dxfId="23726" priority="853" operator="equal">
      <formula>"PMS"</formula>
    </cfRule>
    <cfRule type="containsText" dxfId="23725" priority="854" operator="containsText" text="CMS">
      <formula>NOT(ISERROR(SEARCH("CMS",J62)))</formula>
    </cfRule>
    <cfRule type="cellIs" dxfId="23724" priority="855" operator="equal">
      <formula>0</formula>
    </cfRule>
    <cfRule type="cellIs" dxfId="23723" priority="856" operator="greaterThan">
      <formula>0</formula>
    </cfRule>
    <cfRule type="cellIs" dxfId="23722" priority="857" operator="equal">
      <formula>"PMS"</formula>
    </cfRule>
    <cfRule type="containsText" dxfId="23721" priority="858" operator="containsText" text="CMS">
      <formula>NOT(ISERROR(SEARCH("CMS",J62)))</formula>
    </cfRule>
    <cfRule type="cellIs" dxfId="23720" priority="859" operator="equal">
      <formula>0</formula>
    </cfRule>
    <cfRule type="cellIs" dxfId="23719" priority="860" operator="greaterThan">
      <formula>0</formula>
    </cfRule>
  </conditionalFormatting>
  <conditionalFormatting sqref="V14">
    <cfRule type="cellIs" dxfId="23718" priority="849" operator="equal">
      <formula>"PMS"</formula>
    </cfRule>
    <cfRule type="containsText" dxfId="23717" priority="850" operator="containsText" text="CMS">
      <formula>NOT(ISERROR(SEARCH("CMS",V14)))</formula>
    </cfRule>
    <cfRule type="cellIs" dxfId="23716" priority="851" operator="equal">
      <formula>0</formula>
    </cfRule>
    <cfRule type="cellIs" dxfId="23715" priority="852" operator="greaterThan">
      <formula>0</formula>
    </cfRule>
  </conditionalFormatting>
  <conditionalFormatting sqref="V14">
    <cfRule type="cellIs" dxfId="23714" priority="845" operator="equal">
      <formula>"PMS"</formula>
    </cfRule>
    <cfRule type="containsText" dxfId="23713" priority="846" operator="containsText" text="CMS">
      <formula>NOT(ISERROR(SEARCH("CMS",V14)))</formula>
    </cfRule>
    <cfRule type="cellIs" dxfId="23712" priority="847" operator="equal">
      <formula>0</formula>
    </cfRule>
    <cfRule type="cellIs" dxfId="23711" priority="848" operator="greaterThan">
      <formula>0</formula>
    </cfRule>
  </conditionalFormatting>
  <conditionalFormatting sqref="V15">
    <cfRule type="cellIs" dxfId="23710" priority="841" operator="equal">
      <formula>"PMS"</formula>
    </cfRule>
    <cfRule type="containsText" dxfId="23709" priority="842" operator="containsText" text="CMS">
      <formula>NOT(ISERROR(SEARCH("CMS",V15)))</formula>
    </cfRule>
    <cfRule type="cellIs" dxfId="23708" priority="843" operator="equal">
      <formula>0</formula>
    </cfRule>
    <cfRule type="cellIs" dxfId="23707" priority="844" operator="greaterThan">
      <formula>0</formula>
    </cfRule>
  </conditionalFormatting>
  <conditionalFormatting sqref="V15">
    <cfRule type="cellIs" dxfId="23706" priority="837" operator="equal">
      <formula>"PMS"</formula>
    </cfRule>
    <cfRule type="containsText" dxfId="23705" priority="838" operator="containsText" text="CMS">
      <formula>NOT(ISERROR(SEARCH("CMS",V15)))</formula>
    </cfRule>
    <cfRule type="cellIs" dxfId="23704" priority="839" operator="equal">
      <formula>0</formula>
    </cfRule>
    <cfRule type="cellIs" dxfId="23703" priority="840" operator="greaterThan">
      <formula>0</formula>
    </cfRule>
  </conditionalFormatting>
  <conditionalFormatting sqref="V16">
    <cfRule type="cellIs" dxfId="23702" priority="833" operator="equal">
      <formula>"PMS"</formula>
    </cfRule>
    <cfRule type="containsText" dxfId="23701" priority="834" operator="containsText" text="CMS">
      <formula>NOT(ISERROR(SEARCH("CMS",V16)))</formula>
    </cfRule>
    <cfRule type="cellIs" dxfId="23700" priority="835" operator="equal">
      <formula>0</formula>
    </cfRule>
    <cfRule type="cellIs" dxfId="23699" priority="836" operator="greaterThan">
      <formula>0</formula>
    </cfRule>
  </conditionalFormatting>
  <conditionalFormatting sqref="V16">
    <cfRule type="cellIs" dxfId="23698" priority="829" operator="equal">
      <formula>"PMS"</formula>
    </cfRule>
    <cfRule type="containsText" dxfId="23697" priority="830" operator="containsText" text="CMS">
      <formula>NOT(ISERROR(SEARCH("CMS",V16)))</formula>
    </cfRule>
    <cfRule type="cellIs" dxfId="23696" priority="831" operator="equal">
      <formula>0</formula>
    </cfRule>
    <cfRule type="cellIs" dxfId="23695" priority="832" operator="greaterThan">
      <formula>0</formula>
    </cfRule>
  </conditionalFormatting>
  <conditionalFormatting sqref="W14">
    <cfRule type="cellIs" dxfId="23694" priority="825" operator="equal">
      <formula>"PMS"</formula>
    </cfRule>
    <cfRule type="containsText" dxfId="23693" priority="826" operator="containsText" text="CMS">
      <formula>NOT(ISERROR(SEARCH("CMS",W14)))</formula>
    </cfRule>
    <cfRule type="cellIs" dxfId="23692" priority="827" operator="equal">
      <formula>0</formula>
    </cfRule>
    <cfRule type="cellIs" dxfId="23691" priority="828" operator="greaterThan">
      <formula>0</formula>
    </cfRule>
  </conditionalFormatting>
  <conditionalFormatting sqref="W14">
    <cfRule type="cellIs" dxfId="23690" priority="821" operator="equal">
      <formula>"PMS"</formula>
    </cfRule>
    <cfRule type="containsText" dxfId="23689" priority="822" operator="containsText" text="CMS">
      <formula>NOT(ISERROR(SEARCH("CMS",W14)))</formula>
    </cfRule>
    <cfRule type="cellIs" dxfId="23688" priority="823" operator="equal">
      <formula>0</formula>
    </cfRule>
    <cfRule type="cellIs" dxfId="23687" priority="824" operator="greaterThan">
      <formula>0</formula>
    </cfRule>
  </conditionalFormatting>
  <conditionalFormatting sqref="W15">
    <cfRule type="cellIs" dxfId="23686" priority="817" operator="equal">
      <formula>"PMS"</formula>
    </cfRule>
    <cfRule type="containsText" dxfId="23685" priority="818" operator="containsText" text="CMS">
      <formula>NOT(ISERROR(SEARCH("CMS",W15)))</formula>
    </cfRule>
    <cfRule type="cellIs" dxfId="23684" priority="819" operator="equal">
      <formula>0</formula>
    </cfRule>
    <cfRule type="cellIs" dxfId="23683" priority="820" operator="greaterThan">
      <formula>0</formula>
    </cfRule>
  </conditionalFormatting>
  <conditionalFormatting sqref="W15">
    <cfRule type="cellIs" dxfId="23682" priority="813" operator="equal">
      <formula>"PMS"</formula>
    </cfRule>
    <cfRule type="containsText" dxfId="23681" priority="814" operator="containsText" text="CMS">
      <formula>NOT(ISERROR(SEARCH("CMS",W15)))</formula>
    </cfRule>
    <cfRule type="cellIs" dxfId="23680" priority="815" operator="equal">
      <formula>0</formula>
    </cfRule>
    <cfRule type="cellIs" dxfId="23679" priority="816" operator="greaterThan">
      <formula>0</formula>
    </cfRule>
  </conditionalFormatting>
  <conditionalFormatting sqref="W16">
    <cfRule type="cellIs" dxfId="23678" priority="809" operator="equal">
      <formula>"PMS"</formula>
    </cfRule>
    <cfRule type="containsText" dxfId="23677" priority="810" operator="containsText" text="CMS">
      <formula>NOT(ISERROR(SEARCH("CMS",W16)))</formula>
    </cfRule>
    <cfRule type="cellIs" dxfId="23676" priority="811" operator="equal">
      <formula>0</formula>
    </cfRule>
    <cfRule type="cellIs" dxfId="23675" priority="812" operator="greaterThan">
      <formula>0</formula>
    </cfRule>
  </conditionalFormatting>
  <conditionalFormatting sqref="W16">
    <cfRule type="cellIs" dxfId="23674" priority="805" operator="equal">
      <formula>"PMS"</formula>
    </cfRule>
    <cfRule type="containsText" dxfId="23673" priority="806" operator="containsText" text="CMS">
      <formula>NOT(ISERROR(SEARCH("CMS",W16)))</formula>
    </cfRule>
    <cfRule type="cellIs" dxfId="23672" priority="807" operator="equal">
      <formula>0</formula>
    </cfRule>
    <cfRule type="cellIs" dxfId="23671" priority="808" operator="greaterThan">
      <formula>0</formula>
    </cfRule>
  </conditionalFormatting>
  <conditionalFormatting sqref="G56">
    <cfRule type="cellIs" dxfId="23670" priority="797" operator="equal">
      <formula>"PMS"</formula>
    </cfRule>
    <cfRule type="containsText" dxfId="23669" priority="798" operator="containsText" text="CMS">
      <formula>NOT(ISERROR(SEARCH("CMS",G56)))</formula>
    </cfRule>
    <cfRule type="cellIs" dxfId="23668" priority="799" operator="equal">
      <formula>0</formula>
    </cfRule>
    <cfRule type="cellIs" dxfId="23667" priority="800" operator="greaterThan">
      <formula>0</formula>
    </cfRule>
    <cfRule type="cellIs" dxfId="23666" priority="801" operator="equal">
      <formula>"PMS"</formula>
    </cfRule>
    <cfRule type="containsText" dxfId="23665" priority="802" operator="containsText" text="CMS">
      <formula>NOT(ISERROR(SEARCH("CMS",G56)))</formula>
    </cfRule>
    <cfRule type="cellIs" dxfId="23664" priority="803" operator="equal">
      <formula>0</formula>
    </cfRule>
    <cfRule type="cellIs" dxfId="23663" priority="804" operator="greaterThan">
      <formula>0</formula>
    </cfRule>
  </conditionalFormatting>
  <conditionalFormatting sqref="G56">
    <cfRule type="cellIs" dxfId="23662" priority="793" operator="equal">
      <formula>"PMS"</formula>
    </cfRule>
    <cfRule type="containsText" dxfId="23661" priority="794" operator="containsText" text="CMS">
      <formula>NOT(ISERROR(SEARCH("CMS",G56)))</formula>
    </cfRule>
    <cfRule type="cellIs" dxfId="23660" priority="795" operator="equal">
      <formula>0</formula>
    </cfRule>
    <cfRule type="cellIs" dxfId="23659" priority="796" operator="greaterThan">
      <formula>0</formula>
    </cfRule>
  </conditionalFormatting>
  <conditionalFormatting sqref="G56">
    <cfRule type="cellIs" dxfId="23658" priority="789" operator="equal">
      <formula>"PMS"</formula>
    </cfRule>
    <cfRule type="containsText" dxfId="23657" priority="790" operator="containsText" text="CMS">
      <formula>NOT(ISERROR(SEARCH("CMS",G56)))</formula>
    </cfRule>
    <cfRule type="cellIs" dxfId="23656" priority="791" operator="equal">
      <formula>0</formula>
    </cfRule>
    <cfRule type="cellIs" dxfId="23655" priority="792" operator="greaterThan">
      <formula>0</formula>
    </cfRule>
  </conditionalFormatting>
  <conditionalFormatting sqref="G13:G14">
    <cfRule type="cellIs" dxfId="23654" priority="781" operator="equal">
      <formula>"PMS"</formula>
    </cfRule>
    <cfRule type="containsText" dxfId="23653" priority="782" operator="containsText" text="CMS">
      <formula>NOT(ISERROR(SEARCH("CMS",G13)))</formula>
    </cfRule>
    <cfRule type="cellIs" dxfId="23652" priority="783" operator="equal">
      <formula>0</formula>
    </cfRule>
    <cfRule type="cellIs" dxfId="23651" priority="784" operator="greaterThan">
      <formula>0</formula>
    </cfRule>
    <cfRule type="cellIs" dxfId="23650" priority="785" operator="equal">
      <formula>"PMS"</formula>
    </cfRule>
    <cfRule type="containsText" dxfId="23649" priority="786" operator="containsText" text="CMS">
      <formula>NOT(ISERROR(SEARCH("CMS",G13)))</formula>
    </cfRule>
    <cfRule type="cellIs" dxfId="23648" priority="787" operator="equal">
      <formula>0</formula>
    </cfRule>
    <cfRule type="cellIs" dxfId="23647" priority="788" operator="greaterThan">
      <formula>0</formula>
    </cfRule>
  </conditionalFormatting>
  <conditionalFormatting sqref="G13:G14">
    <cfRule type="cellIs" dxfId="23646" priority="777" operator="equal">
      <formula>"PMS"</formula>
    </cfRule>
    <cfRule type="containsText" dxfId="23645" priority="778" operator="containsText" text="CMS">
      <formula>NOT(ISERROR(SEARCH("CMS",G13)))</formula>
    </cfRule>
    <cfRule type="cellIs" dxfId="23644" priority="779" operator="equal">
      <formula>0</formula>
    </cfRule>
    <cfRule type="cellIs" dxfId="23643" priority="780" operator="greaterThan">
      <formula>0</formula>
    </cfRule>
  </conditionalFormatting>
  <conditionalFormatting sqref="G13:G14">
    <cfRule type="cellIs" dxfId="23642" priority="773" operator="equal">
      <formula>"PMS"</formula>
    </cfRule>
    <cfRule type="containsText" dxfId="23641" priority="774" operator="containsText" text="CMS">
      <formula>NOT(ISERROR(SEARCH("CMS",G13)))</formula>
    </cfRule>
    <cfRule type="cellIs" dxfId="23640" priority="775" operator="equal">
      <formula>0</formula>
    </cfRule>
    <cfRule type="cellIs" dxfId="23639" priority="776" operator="greaterThan">
      <formula>0</formula>
    </cfRule>
  </conditionalFormatting>
  <conditionalFormatting sqref="G13:G14">
    <cfRule type="cellIs" dxfId="23638" priority="769" operator="equal">
      <formula>"PMS"</formula>
    </cfRule>
    <cfRule type="containsText" dxfId="23637" priority="770" operator="containsText" text="CMS">
      <formula>NOT(ISERROR(SEARCH("CMS",G13)))</formula>
    </cfRule>
    <cfRule type="cellIs" dxfId="23636" priority="771" operator="equal">
      <formula>0</formula>
    </cfRule>
    <cfRule type="cellIs" dxfId="23635" priority="772" operator="greaterThan">
      <formula>0</formula>
    </cfRule>
  </conditionalFormatting>
  <conditionalFormatting sqref="G13:G14">
    <cfRule type="cellIs" dxfId="23634" priority="765" operator="equal">
      <formula>"PMS"</formula>
    </cfRule>
    <cfRule type="containsText" dxfId="23633" priority="766" operator="containsText" text="CMS">
      <formula>NOT(ISERROR(SEARCH("CMS",G13)))</formula>
    </cfRule>
    <cfRule type="cellIs" dxfId="23632" priority="767" operator="equal">
      <formula>0</formula>
    </cfRule>
    <cfRule type="cellIs" dxfId="23631" priority="768" operator="greaterThan">
      <formula>0</formula>
    </cfRule>
  </conditionalFormatting>
  <conditionalFormatting sqref="G20">
    <cfRule type="cellIs" dxfId="23630" priority="757" operator="equal">
      <formula>"PMS"</formula>
    </cfRule>
    <cfRule type="containsText" dxfId="23629" priority="758" operator="containsText" text="CMS">
      <formula>NOT(ISERROR(SEARCH("CMS",G20)))</formula>
    </cfRule>
    <cfRule type="cellIs" dxfId="23628" priority="759" operator="equal">
      <formula>0</formula>
    </cfRule>
    <cfRule type="cellIs" dxfId="23627" priority="760" operator="greaterThan">
      <formula>0</formula>
    </cfRule>
    <cfRule type="cellIs" dxfId="23626" priority="761" operator="equal">
      <formula>"PMS"</formula>
    </cfRule>
    <cfRule type="containsText" dxfId="23625" priority="762" operator="containsText" text="CMS">
      <formula>NOT(ISERROR(SEARCH("CMS",G20)))</formula>
    </cfRule>
    <cfRule type="cellIs" dxfId="23624" priority="763" operator="equal">
      <formula>0</formula>
    </cfRule>
    <cfRule type="cellIs" dxfId="23623" priority="764" operator="greaterThan">
      <formula>0</formula>
    </cfRule>
  </conditionalFormatting>
  <conditionalFormatting sqref="G20">
    <cfRule type="cellIs" dxfId="23622" priority="753" operator="equal">
      <formula>"PMS"</formula>
    </cfRule>
    <cfRule type="containsText" dxfId="23621" priority="754" operator="containsText" text="CMS">
      <formula>NOT(ISERROR(SEARCH("CMS",G20)))</formula>
    </cfRule>
    <cfRule type="cellIs" dxfId="23620" priority="755" operator="equal">
      <formula>0</formula>
    </cfRule>
    <cfRule type="cellIs" dxfId="23619" priority="756" operator="greaterThan">
      <formula>0</formula>
    </cfRule>
  </conditionalFormatting>
  <conditionalFormatting sqref="G20">
    <cfRule type="cellIs" dxfId="23618" priority="749" operator="equal">
      <formula>"PMS"</formula>
    </cfRule>
    <cfRule type="containsText" dxfId="23617" priority="750" operator="containsText" text="CMS">
      <formula>NOT(ISERROR(SEARCH("CMS",G20)))</formula>
    </cfRule>
    <cfRule type="cellIs" dxfId="23616" priority="751" operator="equal">
      <formula>0</formula>
    </cfRule>
    <cfRule type="cellIs" dxfId="23615" priority="752" operator="greaterThan">
      <formula>0</formula>
    </cfRule>
  </conditionalFormatting>
  <conditionalFormatting sqref="G27:G29 J29 M29 P29 S29 V29 AB29">
    <cfRule type="cellIs" dxfId="23614" priority="741" operator="equal">
      <formula>"PMS"</formula>
    </cfRule>
    <cfRule type="containsText" dxfId="23613" priority="742" operator="containsText" text="CMS">
      <formula>NOT(ISERROR(SEARCH("CMS",G27)))</formula>
    </cfRule>
    <cfRule type="cellIs" dxfId="23612" priority="743" operator="equal">
      <formula>0</formula>
    </cfRule>
    <cfRule type="cellIs" dxfId="23611" priority="744" operator="greaterThan">
      <formula>0</formula>
    </cfRule>
    <cfRule type="cellIs" dxfId="23610" priority="745" operator="equal">
      <formula>"PMS"</formula>
    </cfRule>
    <cfRule type="containsText" dxfId="23609" priority="746" operator="containsText" text="CMS">
      <formula>NOT(ISERROR(SEARCH("CMS",G27)))</formula>
    </cfRule>
    <cfRule type="cellIs" dxfId="23608" priority="747" operator="equal">
      <formula>0</formula>
    </cfRule>
    <cfRule type="cellIs" dxfId="23607" priority="748" operator="greaterThan">
      <formula>0</formula>
    </cfRule>
  </conditionalFormatting>
  <conditionalFormatting sqref="G27:G29 J29 M29 P29 S29 V29 AB29">
    <cfRule type="cellIs" dxfId="23606" priority="737" operator="equal">
      <formula>"PMS"</formula>
    </cfRule>
    <cfRule type="containsText" dxfId="23605" priority="738" operator="containsText" text="CMS">
      <formula>NOT(ISERROR(SEARCH("CMS",G27)))</formula>
    </cfRule>
    <cfRule type="cellIs" dxfId="23604" priority="739" operator="equal">
      <formula>0</formula>
    </cfRule>
    <cfRule type="cellIs" dxfId="23603" priority="740" operator="greaterThan">
      <formula>0</formula>
    </cfRule>
  </conditionalFormatting>
  <conditionalFormatting sqref="G27:G29 J29 M29 P29 S29 V29 AB29">
    <cfRule type="cellIs" dxfId="23602" priority="733" operator="equal">
      <formula>"PMS"</formula>
    </cfRule>
    <cfRule type="containsText" dxfId="23601" priority="734" operator="containsText" text="CMS">
      <formula>NOT(ISERROR(SEARCH("CMS",G27)))</formula>
    </cfRule>
    <cfRule type="cellIs" dxfId="23600" priority="735" operator="equal">
      <formula>0</formula>
    </cfRule>
    <cfRule type="cellIs" dxfId="23599" priority="736" operator="greaterThan">
      <formula>0</formula>
    </cfRule>
  </conditionalFormatting>
  <conditionalFormatting sqref="G45:G46">
    <cfRule type="cellIs" dxfId="23598" priority="725" operator="equal">
      <formula>"PMS"</formula>
    </cfRule>
    <cfRule type="containsText" dxfId="23597" priority="726" operator="containsText" text="CMS">
      <formula>NOT(ISERROR(SEARCH("CMS",G45)))</formula>
    </cfRule>
    <cfRule type="cellIs" dxfId="23596" priority="727" operator="equal">
      <formula>0</formula>
    </cfRule>
    <cfRule type="cellIs" dxfId="23595" priority="728" operator="greaterThan">
      <formula>0</formula>
    </cfRule>
    <cfRule type="cellIs" dxfId="23594" priority="729" operator="equal">
      <formula>"PMS"</formula>
    </cfRule>
    <cfRule type="containsText" dxfId="23593" priority="730" operator="containsText" text="CMS">
      <formula>NOT(ISERROR(SEARCH("CMS",G45)))</formula>
    </cfRule>
    <cfRule type="cellIs" dxfId="23592" priority="731" operator="equal">
      <formula>0</formula>
    </cfRule>
    <cfRule type="cellIs" dxfId="23591" priority="732" operator="greaterThan">
      <formula>0</formula>
    </cfRule>
  </conditionalFormatting>
  <conditionalFormatting sqref="G45:G46">
    <cfRule type="cellIs" dxfId="23590" priority="721" operator="equal">
      <formula>"PMS"</formula>
    </cfRule>
    <cfRule type="containsText" dxfId="23589" priority="722" operator="containsText" text="CMS">
      <formula>NOT(ISERROR(SEARCH("CMS",G45)))</formula>
    </cfRule>
    <cfRule type="cellIs" dxfId="23588" priority="723" operator="equal">
      <formula>0</formula>
    </cfRule>
    <cfRule type="cellIs" dxfId="23587" priority="724" operator="greaterThan">
      <formula>0</formula>
    </cfRule>
  </conditionalFormatting>
  <conditionalFormatting sqref="G45:G46">
    <cfRule type="cellIs" dxfId="23586" priority="717" operator="equal">
      <formula>"PMS"</formula>
    </cfRule>
    <cfRule type="containsText" dxfId="23585" priority="718" operator="containsText" text="CMS">
      <formula>NOT(ISERROR(SEARCH("CMS",G45)))</formula>
    </cfRule>
    <cfRule type="cellIs" dxfId="23584" priority="719" operator="equal">
      <formula>0</formula>
    </cfRule>
    <cfRule type="cellIs" dxfId="23583" priority="720" operator="greaterThan">
      <formula>0</formula>
    </cfRule>
  </conditionalFormatting>
  <conditionalFormatting sqref="I62">
    <cfRule type="cellIs" dxfId="23582" priority="709" operator="equal">
      <formula>"PMS"</formula>
    </cfRule>
    <cfRule type="containsText" dxfId="23581" priority="710" operator="containsText" text="CMS">
      <formula>NOT(ISERROR(SEARCH("CMS",I62)))</formula>
    </cfRule>
    <cfRule type="cellIs" dxfId="23580" priority="711" operator="equal">
      <formula>0</formula>
    </cfRule>
    <cfRule type="cellIs" dxfId="23579" priority="712" operator="greaterThan">
      <formula>0</formula>
    </cfRule>
    <cfRule type="cellIs" dxfId="23578" priority="713" operator="equal">
      <formula>"PMS"</formula>
    </cfRule>
    <cfRule type="containsText" dxfId="23577" priority="714" operator="containsText" text="CMS">
      <formula>NOT(ISERROR(SEARCH("CMS",I62)))</formula>
    </cfRule>
    <cfRule type="cellIs" dxfId="23576" priority="715" operator="equal">
      <formula>0</formula>
    </cfRule>
    <cfRule type="cellIs" dxfId="23575" priority="716" operator="greaterThan">
      <formula>0</formula>
    </cfRule>
  </conditionalFormatting>
  <conditionalFormatting sqref="O48">
    <cfRule type="cellIs" dxfId="23574" priority="705" operator="equal">
      <formula>"PMS"</formula>
    </cfRule>
    <cfRule type="containsText" dxfId="23573" priority="706" operator="containsText" text="CMS">
      <formula>NOT(ISERROR(SEARCH("CMS",O48)))</formula>
    </cfRule>
    <cfRule type="cellIs" dxfId="23572" priority="707" operator="equal">
      <formula>0</formula>
    </cfRule>
    <cfRule type="cellIs" dxfId="23571" priority="708" operator="greaterThan">
      <formula>0</formula>
    </cfRule>
  </conditionalFormatting>
  <conditionalFormatting sqref="O48">
    <cfRule type="cellIs" dxfId="23570" priority="701" operator="equal">
      <formula>"PMS"</formula>
    </cfRule>
    <cfRule type="containsText" dxfId="23569" priority="702" operator="containsText" text="CMS">
      <formula>NOT(ISERROR(SEARCH("CMS",O48)))</formula>
    </cfRule>
    <cfRule type="cellIs" dxfId="23568" priority="703" operator="equal">
      <formula>0</formula>
    </cfRule>
    <cfRule type="cellIs" dxfId="23567" priority="704" operator="greaterThan">
      <formula>0</formula>
    </cfRule>
  </conditionalFormatting>
  <conditionalFormatting sqref="O48">
    <cfRule type="cellIs" dxfId="23566" priority="697" operator="equal">
      <formula>"PMS"</formula>
    </cfRule>
    <cfRule type="containsText" dxfId="23565" priority="698" operator="containsText" text="CMS">
      <formula>NOT(ISERROR(SEARCH("CMS",O48)))</formula>
    </cfRule>
    <cfRule type="cellIs" dxfId="23564" priority="699" operator="equal">
      <formula>0</formula>
    </cfRule>
    <cfRule type="cellIs" dxfId="23563" priority="700" operator="greaterThan">
      <formula>0</formula>
    </cfRule>
  </conditionalFormatting>
  <conditionalFormatting sqref="O48">
    <cfRule type="cellIs" dxfId="23562" priority="693" operator="equal">
      <formula>"PMS"</formula>
    </cfRule>
    <cfRule type="containsText" dxfId="23561" priority="694" operator="containsText" text="CMS">
      <formula>NOT(ISERROR(SEARCH("CMS",O48)))</formula>
    </cfRule>
    <cfRule type="cellIs" dxfId="23560" priority="695" operator="equal">
      <formula>0</formula>
    </cfRule>
    <cfRule type="cellIs" dxfId="23559" priority="696" operator="greaterThan">
      <formula>0</formula>
    </cfRule>
  </conditionalFormatting>
  <conditionalFormatting sqref="O56:P56">
    <cfRule type="cellIs" dxfId="23558" priority="689" operator="equal">
      <formula>"PMS"</formula>
    </cfRule>
    <cfRule type="containsText" dxfId="23557" priority="690" operator="containsText" text="CMS">
      <formula>NOT(ISERROR(SEARCH("CMS",O56)))</formula>
    </cfRule>
    <cfRule type="cellIs" dxfId="23556" priority="691" operator="equal">
      <formula>0</formula>
    </cfRule>
    <cfRule type="cellIs" dxfId="23555" priority="692" operator="greaterThan">
      <formula>0</formula>
    </cfRule>
  </conditionalFormatting>
  <conditionalFormatting sqref="O56:P56">
    <cfRule type="cellIs" dxfId="23554" priority="685" operator="equal">
      <formula>"PMS"</formula>
    </cfRule>
    <cfRule type="containsText" dxfId="23553" priority="686" operator="containsText" text="CMS">
      <formula>NOT(ISERROR(SEARCH("CMS",O56)))</formula>
    </cfRule>
    <cfRule type="cellIs" dxfId="23552" priority="687" operator="equal">
      <formula>0</formula>
    </cfRule>
    <cfRule type="cellIs" dxfId="23551" priority="688" operator="greaterThan">
      <formula>0</formula>
    </cfRule>
  </conditionalFormatting>
  <conditionalFormatting sqref="O56:P56">
    <cfRule type="cellIs" dxfId="23550" priority="681" operator="equal">
      <formula>"PMS"</formula>
    </cfRule>
    <cfRule type="containsText" dxfId="23549" priority="682" operator="containsText" text="CMS">
      <formula>NOT(ISERROR(SEARCH("CMS",O56)))</formula>
    </cfRule>
    <cfRule type="cellIs" dxfId="23548" priority="683" operator="equal">
      <formula>0</formula>
    </cfRule>
    <cfRule type="cellIs" dxfId="23547" priority="684" operator="greaterThan">
      <formula>0</formula>
    </cfRule>
  </conditionalFormatting>
  <conditionalFormatting sqref="O56:P56">
    <cfRule type="cellIs" dxfId="23546" priority="677" operator="equal">
      <formula>"PMS"</formula>
    </cfRule>
    <cfRule type="containsText" dxfId="23545" priority="678" operator="containsText" text="CMS">
      <formula>NOT(ISERROR(SEARCH("CMS",O56)))</formula>
    </cfRule>
    <cfRule type="cellIs" dxfId="23544" priority="679" operator="equal">
      <formula>0</formula>
    </cfRule>
    <cfRule type="cellIs" dxfId="23543" priority="680" operator="greaterThan">
      <formula>0</formula>
    </cfRule>
  </conditionalFormatting>
  <conditionalFormatting sqref="O57:P57">
    <cfRule type="cellIs" dxfId="23542" priority="673" operator="equal">
      <formula>"PMS"</formula>
    </cfRule>
    <cfRule type="containsText" dxfId="23541" priority="674" operator="containsText" text="CMS">
      <formula>NOT(ISERROR(SEARCH("CMS",O57)))</formula>
    </cfRule>
    <cfRule type="cellIs" dxfId="23540" priority="675" operator="equal">
      <formula>0</formula>
    </cfRule>
    <cfRule type="cellIs" dxfId="23539" priority="676" operator="greaterThan">
      <formula>0</formula>
    </cfRule>
  </conditionalFormatting>
  <conditionalFormatting sqref="O57:P57">
    <cfRule type="cellIs" dxfId="23538" priority="669" operator="equal">
      <formula>"PMS"</formula>
    </cfRule>
    <cfRule type="containsText" dxfId="23537" priority="670" operator="containsText" text="CMS">
      <formula>NOT(ISERROR(SEARCH("CMS",O57)))</formula>
    </cfRule>
    <cfRule type="cellIs" dxfId="23536" priority="671" operator="equal">
      <formula>0</formula>
    </cfRule>
    <cfRule type="cellIs" dxfId="23535" priority="672" operator="greaterThan">
      <formula>0</formula>
    </cfRule>
  </conditionalFormatting>
  <conditionalFormatting sqref="O57:P57">
    <cfRule type="cellIs" dxfId="23534" priority="665" operator="equal">
      <formula>"PMS"</formula>
    </cfRule>
    <cfRule type="containsText" dxfId="23533" priority="666" operator="containsText" text="CMS">
      <formula>NOT(ISERROR(SEARCH("CMS",O57)))</formula>
    </cfRule>
    <cfRule type="cellIs" dxfId="23532" priority="667" operator="equal">
      <formula>0</formula>
    </cfRule>
    <cfRule type="cellIs" dxfId="23531" priority="668" operator="greaterThan">
      <formula>0</formula>
    </cfRule>
  </conditionalFormatting>
  <conditionalFormatting sqref="O57:P57">
    <cfRule type="cellIs" dxfId="23530" priority="661" operator="equal">
      <formula>"PMS"</formula>
    </cfRule>
    <cfRule type="containsText" dxfId="23529" priority="662" operator="containsText" text="CMS">
      <formula>NOT(ISERROR(SEARCH("CMS",O57)))</formula>
    </cfRule>
    <cfRule type="cellIs" dxfId="23528" priority="663" operator="equal">
      <formula>0</formula>
    </cfRule>
    <cfRule type="cellIs" dxfId="23527" priority="664" operator="greaterThan">
      <formula>0</formula>
    </cfRule>
  </conditionalFormatting>
  <conditionalFormatting sqref="G48:G49">
    <cfRule type="cellIs" dxfId="23526" priority="653" operator="equal">
      <formula>"PMS"</formula>
    </cfRule>
    <cfRule type="containsText" dxfId="23525" priority="654" operator="containsText" text="CMS">
      <formula>NOT(ISERROR(SEARCH("CMS",G48)))</formula>
    </cfRule>
    <cfRule type="cellIs" dxfId="23524" priority="655" operator="equal">
      <formula>0</formula>
    </cfRule>
    <cfRule type="cellIs" dxfId="23523" priority="656" operator="greaterThan">
      <formula>0</formula>
    </cfRule>
    <cfRule type="cellIs" dxfId="23522" priority="657" operator="equal">
      <formula>"PMS"</formula>
    </cfRule>
    <cfRule type="containsText" dxfId="23521" priority="658" operator="containsText" text="CMS">
      <formula>NOT(ISERROR(SEARCH("CMS",G48)))</formula>
    </cfRule>
    <cfRule type="cellIs" dxfId="23520" priority="659" operator="equal">
      <formula>0</formula>
    </cfRule>
    <cfRule type="cellIs" dxfId="23519" priority="660" operator="greaterThan">
      <formula>0</formula>
    </cfRule>
  </conditionalFormatting>
  <conditionalFormatting sqref="G48:G49">
    <cfRule type="cellIs" dxfId="23518" priority="649" operator="equal">
      <formula>"PMS"</formula>
    </cfRule>
    <cfRule type="containsText" dxfId="23517" priority="650" operator="containsText" text="CMS">
      <formula>NOT(ISERROR(SEARCH("CMS",G48)))</formula>
    </cfRule>
    <cfRule type="cellIs" dxfId="23516" priority="651" operator="equal">
      <formula>0</formula>
    </cfRule>
    <cfRule type="cellIs" dxfId="23515" priority="652" operator="greaterThan">
      <formula>0</formula>
    </cfRule>
  </conditionalFormatting>
  <conditionalFormatting sqref="G48:G49">
    <cfRule type="cellIs" dxfId="23514" priority="645" operator="equal">
      <formula>"PMS"</formula>
    </cfRule>
    <cfRule type="containsText" dxfId="23513" priority="646" operator="containsText" text="CMS">
      <formula>NOT(ISERROR(SEARCH("CMS",G48)))</formula>
    </cfRule>
    <cfRule type="cellIs" dxfId="23512" priority="647" operator="equal">
      <formula>0</formula>
    </cfRule>
    <cfRule type="cellIs" dxfId="23511" priority="648" operator="greaterThan">
      <formula>0</formula>
    </cfRule>
  </conditionalFormatting>
  <conditionalFormatting sqref="G66:G72 G74">
    <cfRule type="cellIs" dxfId="23510" priority="637" operator="equal">
      <formula>"PMS"</formula>
    </cfRule>
    <cfRule type="containsText" dxfId="23509" priority="638" operator="containsText" text="CMS">
      <formula>NOT(ISERROR(SEARCH("CMS",G66)))</formula>
    </cfRule>
    <cfRule type="cellIs" dxfId="23508" priority="639" operator="equal">
      <formula>0</formula>
    </cfRule>
    <cfRule type="cellIs" dxfId="23507" priority="640" operator="greaterThan">
      <formula>0</formula>
    </cfRule>
    <cfRule type="cellIs" dxfId="23506" priority="641" operator="equal">
      <formula>"PMS"</formula>
    </cfRule>
    <cfRule type="containsText" dxfId="23505" priority="642" operator="containsText" text="CMS">
      <formula>NOT(ISERROR(SEARCH("CMS",G66)))</formula>
    </cfRule>
    <cfRule type="cellIs" dxfId="23504" priority="643" operator="equal">
      <formula>0</formula>
    </cfRule>
    <cfRule type="cellIs" dxfId="23503" priority="644" operator="greaterThan">
      <formula>0</formula>
    </cfRule>
  </conditionalFormatting>
  <conditionalFormatting sqref="O53:O58 P56">
    <cfRule type="cellIs" dxfId="23502" priority="633" operator="equal">
      <formula>"PMS"</formula>
    </cfRule>
    <cfRule type="containsText" dxfId="23501" priority="634" operator="containsText" text="CMS">
      <formula>NOT(ISERROR(SEARCH("CMS",O53)))</formula>
    </cfRule>
    <cfRule type="cellIs" dxfId="23500" priority="635" operator="equal">
      <formula>0</formula>
    </cfRule>
    <cfRule type="cellIs" dxfId="23499" priority="636" operator="greaterThan">
      <formula>0</formula>
    </cfRule>
  </conditionalFormatting>
  <conditionalFormatting sqref="G35 G73 I24 I35 I73:J73">
    <cfRule type="cellIs" dxfId="23498" priority="625" operator="equal">
      <formula>"PMS"</formula>
    </cfRule>
    <cfRule type="containsText" dxfId="23497" priority="626" operator="containsText" text="CMS">
      <formula>NOT(ISERROR(SEARCH("CMS",G24)))</formula>
    </cfRule>
    <cfRule type="cellIs" dxfId="23496" priority="627" operator="equal">
      <formula>0</formula>
    </cfRule>
    <cfRule type="cellIs" dxfId="23495" priority="628" operator="greaterThan">
      <formula>0</formula>
    </cfRule>
    <cfRule type="cellIs" dxfId="23494" priority="629" operator="equal">
      <formula>"PMS"</formula>
    </cfRule>
    <cfRule type="containsText" dxfId="23493" priority="630" operator="containsText" text="CMS">
      <formula>NOT(ISERROR(SEARCH("CMS",G24)))</formula>
    </cfRule>
    <cfRule type="cellIs" dxfId="23492" priority="631" operator="equal">
      <formula>0</formula>
    </cfRule>
    <cfRule type="cellIs" dxfId="23491" priority="632" operator="greaterThan">
      <formula>0</formula>
    </cfRule>
  </conditionalFormatting>
  <conditionalFormatting sqref="G73 I73:J73">
    <cfRule type="cellIs" dxfId="23490" priority="621" operator="equal">
      <formula>"PMS"</formula>
    </cfRule>
    <cfRule type="containsText" dxfId="23489" priority="622" operator="containsText" text="CMS">
      <formula>NOT(ISERROR(SEARCH("CMS",G73)))</formula>
    </cfRule>
    <cfRule type="cellIs" dxfId="23488" priority="623" operator="equal">
      <formula>0</formula>
    </cfRule>
    <cfRule type="cellIs" dxfId="23487" priority="624" operator="greaterThan">
      <formula>0</formula>
    </cfRule>
  </conditionalFormatting>
  <conditionalFormatting sqref="G73 I73:J73">
    <cfRule type="cellIs" dxfId="23486" priority="617" operator="equal">
      <formula>"PMS"</formula>
    </cfRule>
    <cfRule type="containsText" dxfId="23485" priority="618" operator="containsText" text="CMS">
      <formula>NOT(ISERROR(SEARCH("CMS",G73)))</formula>
    </cfRule>
    <cfRule type="cellIs" dxfId="23484" priority="619" operator="equal">
      <formula>0</formula>
    </cfRule>
    <cfRule type="cellIs" dxfId="23483" priority="620" operator="greaterThan">
      <formula>0</formula>
    </cfRule>
  </conditionalFormatting>
  <conditionalFormatting sqref="I24">
    <cfRule type="cellIs" dxfId="23482" priority="613" operator="equal">
      <formula>"PMS"</formula>
    </cfRule>
    <cfRule type="containsText" dxfId="23481" priority="614" operator="containsText" text="CMS">
      <formula>NOT(ISERROR(SEARCH("CMS",I24)))</formula>
    </cfRule>
    <cfRule type="cellIs" dxfId="23480" priority="615" operator="equal">
      <formula>0</formula>
    </cfRule>
    <cfRule type="cellIs" dxfId="23479" priority="616" operator="greaterThan">
      <formula>0</formula>
    </cfRule>
  </conditionalFormatting>
  <conditionalFormatting sqref="I24">
    <cfRule type="cellIs" dxfId="23478" priority="609" operator="equal">
      <formula>"PMS"</formula>
    </cfRule>
    <cfRule type="containsText" dxfId="23477" priority="610" operator="containsText" text="CMS">
      <formula>NOT(ISERROR(SEARCH("CMS",I24)))</formula>
    </cfRule>
    <cfRule type="cellIs" dxfId="23476" priority="611" operator="equal">
      <formula>0</formula>
    </cfRule>
    <cfRule type="cellIs" dxfId="23475" priority="612" operator="greaterThan">
      <formula>0</formula>
    </cfRule>
  </conditionalFormatting>
  <conditionalFormatting sqref="G35 I35">
    <cfRule type="cellIs" dxfId="23474" priority="605" operator="equal">
      <formula>"PMS"</formula>
    </cfRule>
    <cfRule type="containsText" dxfId="23473" priority="606" operator="containsText" text="CMS">
      <formula>NOT(ISERROR(SEARCH("CMS",G35)))</formula>
    </cfRule>
    <cfRule type="cellIs" dxfId="23472" priority="607" operator="equal">
      <formula>0</formula>
    </cfRule>
    <cfRule type="cellIs" dxfId="23471" priority="608" operator="greaterThan">
      <formula>0</formula>
    </cfRule>
  </conditionalFormatting>
  <conditionalFormatting sqref="G35 I35">
    <cfRule type="cellIs" dxfId="23470" priority="601" operator="equal">
      <formula>"PMS"</formula>
    </cfRule>
    <cfRule type="containsText" dxfId="23469" priority="602" operator="containsText" text="CMS">
      <formula>NOT(ISERROR(SEARCH("CMS",G35)))</formula>
    </cfRule>
    <cfRule type="cellIs" dxfId="23468" priority="603" operator="equal">
      <formula>0</formula>
    </cfRule>
    <cfRule type="cellIs" dxfId="23467" priority="604" operator="greaterThan">
      <formula>0</formula>
    </cfRule>
  </conditionalFormatting>
  <conditionalFormatting sqref="G19 I19">
    <cfRule type="cellIs" dxfId="23466" priority="593" operator="equal">
      <formula>"PMS"</formula>
    </cfRule>
    <cfRule type="containsText" dxfId="23465" priority="594" operator="containsText" text="CMS">
      <formula>NOT(ISERROR(SEARCH("CMS",G19)))</formula>
    </cfRule>
    <cfRule type="cellIs" dxfId="23464" priority="595" operator="equal">
      <formula>0</formula>
    </cfRule>
    <cfRule type="cellIs" dxfId="23463" priority="596" operator="greaterThan">
      <formula>0</formula>
    </cfRule>
    <cfRule type="cellIs" dxfId="23462" priority="597" operator="equal">
      <formula>"PMS"</formula>
    </cfRule>
    <cfRule type="containsText" dxfId="23461" priority="598" operator="containsText" text="CMS">
      <formula>NOT(ISERROR(SEARCH("CMS",G19)))</formula>
    </cfRule>
    <cfRule type="cellIs" dxfId="23460" priority="599" operator="equal">
      <formula>0</formula>
    </cfRule>
    <cfRule type="cellIs" dxfId="23459" priority="600" operator="greaterThan">
      <formula>0</formula>
    </cfRule>
  </conditionalFormatting>
  <conditionalFormatting sqref="G19 I19">
    <cfRule type="cellIs" dxfId="23458" priority="589" operator="equal">
      <formula>"PMS"</formula>
    </cfRule>
    <cfRule type="containsText" dxfId="23457" priority="590" operator="containsText" text="CMS">
      <formula>NOT(ISERROR(SEARCH("CMS",G19)))</formula>
    </cfRule>
    <cfRule type="cellIs" dxfId="23456" priority="591" operator="equal">
      <formula>0</formula>
    </cfRule>
    <cfRule type="cellIs" dxfId="23455" priority="592" operator="greaterThan">
      <formula>0</formula>
    </cfRule>
  </conditionalFormatting>
  <conditionalFormatting sqref="G19 I19">
    <cfRule type="cellIs" dxfId="23454" priority="585" operator="equal">
      <formula>"PMS"</formula>
    </cfRule>
    <cfRule type="containsText" dxfId="23453" priority="586" operator="containsText" text="CMS">
      <formula>NOT(ISERROR(SEARCH("CMS",G19)))</formula>
    </cfRule>
    <cfRule type="cellIs" dxfId="23452" priority="587" operator="equal">
      <formula>0</formula>
    </cfRule>
    <cfRule type="cellIs" dxfId="23451" priority="588" operator="greaterThan">
      <formula>0</formula>
    </cfRule>
  </conditionalFormatting>
  <conditionalFormatting sqref="O55">
    <cfRule type="cellIs" dxfId="23450" priority="581" operator="equal">
      <formula>"PMS"</formula>
    </cfRule>
    <cfRule type="containsText" dxfId="23449" priority="582" operator="containsText" text="CMS">
      <formula>NOT(ISERROR(SEARCH("CMS",O55)))</formula>
    </cfRule>
    <cfRule type="cellIs" dxfId="23448" priority="583" operator="equal">
      <formula>0</formula>
    </cfRule>
    <cfRule type="cellIs" dxfId="23447" priority="584" operator="greaterThan">
      <formula>0</formula>
    </cfRule>
  </conditionalFormatting>
  <conditionalFormatting sqref="K62">
    <cfRule type="cellIs" dxfId="23446" priority="573" operator="equal">
      <formula>"PMS"</formula>
    </cfRule>
    <cfRule type="containsText" dxfId="23445" priority="574" operator="containsText" text="CMS">
      <formula>NOT(ISERROR(SEARCH("CMS",K62)))</formula>
    </cfRule>
    <cfRule type="cellIs" dxfId="23444" priority="575" operator="equal">
      <formula>0</formula>
    </cfRule>
    <cfRule type="cellIs" dxfId="23443" priority="576" operator="greaterThan">
      <formula>0</formula>
    </cfRule>
    <cfRule type="cellIs" dxfId="23442" priority="577" operator="equal">
      <formula>"PMS"</formula>
    </cfRule>
    <cfRule type="containsText" dxfId="23441" priority="578" operator="containsText" text="CMS">
      <formula>NOT(ISERROR(SEARCH("CMS",K62)))</formula>
    </cfRule>
    <cfRule type="cellIs" dxfId="23440" priority="579" operator="equal">
      <formula>0</formula>
    </cfRule>
    <cfRule type="cellIs" dxfId="23439" priority="580" operator="greaterThan">
      <formula>0</formula>
    </cfRule>
  </conditionalFormatting>
  <conditionalFormatting sqref="O47:P47">
    <cfRule type="cellIs" dxfId="23438" priority="569" operator="equal">
      <formula>"PMS"</formula>
    </cfRule>
    <cfRule type="containsText" dxfId="23437" priority="570" operator="containsText" text="CMS">
      <formula>NOT(ISERROR(SEARCH("CMS",O47)))</formula>
    </cfRule>
    <cfRule type="cellIs" dxfId="23436" priority="571" operator="equal">
      <formula>0</formula>
    </cfRule>
    <cfRule type="cellIs" dxfId="23435" priority="572" operator="greaterThan">
      <formula>0</formula>
    </cfRule>
  </conditionalFormatting>
  <conditionalFormatting sqref="O16:P16">
    <cfRule type="cellIs" dxfId="23434" priority="565" operator="equal">
      <formula>"PMS"</formula>
    </cfRule>
    <cfRule type="containsText" dxfId="23433" priority="566" operator="containsText" text="CMS">
      <formula>NOT(ISERROR(SEARCH("CMS",O16)))</formula>
    </cfRule>
    <cfRule type="cellIs" dxfId="23432" priority="567" operator="equal">
      <formula>0</formula>
    </cfRule>
    <cfRule type="cellIs" dxfId="23431" priority="568" operator="greaterThan">
      <formula>0</formula>
    </cfRule>
  </conditionalFormatting>
  <conditionalFormatting sqref="P57">
    <cfRule type="cellIs" dxfId="23430" priority="561" operator="equal">
      <formula>"PMS"</formula>
    </cfRule>
    <cfRule type="containsText" dxfId="23429" priority="562" operator="containsText" text="CMS">
      <formula>NOT(ISERROR(SEARCH("CMS",P57)))</formula>
    </cfRule>
    <cfRule type="cellIs" dxfId="23428" priority="563" operator="equal">
      <formula>0</formula>
    </cfRule>
    <cfRule type="cellIs" dxfId="23427" priority="564" operator="greaterThan">
      <formula>0</formula>
    </cfRule>
  </conditionalFormatting>
  <conditionalFormatting sqref="P57">
    <cfRule type="cellIs" dxfId="23426" priority="557" operator="equal">
      <formula>"PMS"</formula>
    </cfRule>
    <cfRule type="containsText" dxfId="23425" priority="558" operator="containsText" text="CMS">
      <formula>NOT(ISERROR(SEARCH("CMS",P57)))</formula>
    </cfRule>
    <cfRule type="cellIs" dxfId="23424" priority="559" operator="equal">
      <formula>0</formula>
    </cfRule>
    <cfRule type="cellIs" dxfId="23423" priority="560" operator="greaterThan">
      <formula>0</formula>
    </cfRule>
  </conditionalFormatting>
  <conditionalFormatting sqref="P57">
    <cfRule type="cellIs" dxfId="23422" priority="553" operator="equal">
      <formula>"PMS"</formula>
    </cfRule>
    <cfRule type="containsText" dxfId="23421" priority="554" operator="containsText" text="CMS">
      <formula>NOT(ISERROR(SEARCH("CMS",P57)))</formula>
    </cfRule>
    <cfRule type="cellIs" dxfId="23420" priority="555" operator="equal">
      <formula>0</formula>
    </cfRule>
    <cfRule type="cellIs" dxfId="23419" priority="556" operator="greaterThan">
      <formula>0</formula>
    </cfRule>
  </conditionalFormatting>
  <conditionalFormatting sqref="P57:P58">
    <cfRule type="cellIs" dxfId="23418" priority="549" operator="equal">
      <formula>"PMS"</formula>
    </cfRule>
    <cfRule type="containsText" dxfId="23417" priority="550" operator="containsText" text="CMS">
      <formula>NOT(ISERROR(SEARCH("CMS",P57)))</formula>
    </cfRule>
    <cfRule type="cellIs" dxfId="23416" priority="551" operator="equal">
      <formula>0</formula>
    </cfRule>
    <cfRule type="cellIs" dxfId="23415" priority="552" operator="greaterThan">
      <formula>0</formula>
    </cfRule>
  </conditionalFormatting>
  <conditionalFormatting sqref="AB24">
    <cfRule type="cellIs" dxfId="23414" priority="545" operator="equal">
      <formula>"PMS"</formula>
    </cfRule>
    <cfRule type="containsText" dxfId="23413" priority="546" operator="containsText" text="CMS">
      <formula>NOT(ISERROR(SEARCH("CMS",AB24)))</formula>
    </cfRule>
    <cfRule type="cellIs" dxfId="23412" priority="547" operator="equal">
      <formula>0</formula>
    </cfRule>
    <cfRule type="cellIs" dxfId="23411" priority="548" operator="greaterThan">
      <formula>0</formula>
    </cfRule>
  </conditionalFormatting>
  <conditionalFormatting sqref="AB24">
    <cfRule type="cellIs" dxfId="23410" priority="541" operator="equal">
      <formula>"PMS"</formula>
    </cfRule>
    <cfRule type="containsText" dxfId="23409" priority="542" operator="containsText" text="CMS">
      <formula>NOT(ISERROR(SEARCH("CMS",AB24)))</formula>
    </cfRule>
    <cfRule type="cellIs" dxfId="23408" priority="543" operator="equal">
      <formula>0</formula>
    </cfRule>
    <cfRule type="cellIs" dxfId="23407" priority="544" operator="greaterThan">
      <formula>0</formula>
    </cfRule>
  </conditionalFormatting>
  <conditionalFormatting sqref="I29 L29 O29 R29 U29 AA29 X29:Y29">
    <cfRule type="cellIs" dxfId="23406" priority="533" operator="equal">
      <formula>"PMS"</formula>
    </cfRule>
    <cfRule type="containsText" dxfId="23405" priority="534" operator="containsText" text="CMS">
      <formula>NOT(ISERROR(SEARCH("CMS",I29)))</formula>
    </cfRule>
    <cfRule type="cellIs" dxfId="23404" priority="535" operator="equal">
      <formula>0</formula>
    </cfRule>
    <cfRule type="cellIs" dxfId="23403" priority="536" operator="greaterThan">
      <formula>0</formula>
    </cfRule>
    <cfRule type="cellIs" dxfId="23402" priority="537" operator="equal">
      <formula>"PMS"</formula>
    </cfRule>
    <cfRule type="containsText" dxfId="23401" priority="538" operator="containsText" text="CMS">
      <formula>NOT(ISERROR(SEARCH("CMS",I29)))</formula>
    </cfRule>
    <cfRule type="cellIs" dxfId="23400" priority="539" operator="equal">
      <formula>0</formula>
    </cfRule>
    <cfRule type="cellIs" dxfId="23399" priority="540" operator="greaterThan">
      <formula>0</formula>
    </cfRule>
  </conditionalFormatting>
  <conditionalFormatting sqref="I29 L29 O29 R29 U29 AA29 X29:Y29">
    <cfRule type="cellIs" dxfId="23398" priority="529" operator="equal">
      <formula>"PMS"</formula>
    </cfRule>
    <cfRule type="containsText" dxfId="23397" priority="530" operator="containsText" text="CMS">
      <formula>NOT(ISERROR(SEARCH("CMS",I29)))</formula>
    </cfRule>
    <cfRule type="cellIs" dxfId="23396" priority="531" operator="equal">
      <formula>0</formula>
    </cfRule>
    <cfRule type="cellIs" dxfId="23395" priority="532" operator="greaterThan">
      <formula>0</formula>
    </cfRule>
  </conditionalFormatting>
  <conditionalFormatting sqref="I29 L29 O29 R29 U29 AA29 X29:Y29">
    <cfRule type="cellIs" dxfId="23394" priority="525" operator="equal">
      <formula>"PMS"</formula>
    </cfRule>
    <cfRule type="containsText" dxfId="23393" priority="526" operator="containsText" text="CMS">
      <formula>NOT(ISERROR(SEARCH("CMS",I29)))</formula>
    </cfRule>
    <cfRule type="cellIs" dxfId="23392" priority="527" operator="equal">
      <formula>0</formula>
    </cfRule>
    <cfRule type="cellIs" dxfId="23391" priority="528" operator="greaterThan">
      <formula>0</formula>
    </cfRule>
  </conditionalFormatting>
  <conditionalFormatting sqref="K29 N29 Q29 T29 W29 Z29 AC29">
    <cfRule type="cellIs" dxfId="23390" priority="517" operator="equal">
      <formula>"PMS"</formula>
    </cfRule>
    <cfRule type="containsText" dxfId="23389" priority="518" operator="containsText" text="CMS">
      <formula>NOT(ISERROR(SEARCH("CMS",K29)))</formula>
    </cfRule>
    <cfRule type="cellIs" dxfId="23388" priority="519" operator="equal">
      <formula>0</formula>
    </cfRule>
    <cfRule type="cellIs" dxfId="23387" priority="520" operator="greaterThan">
      <formula>0</formula>
    </cfRule>
    <cfRule type="cellIs" dxfId="23386" priority="521" operator="equal">
      <formula>"PMS"</formula>
    </cfRule>
    <cfRule type="containsText" dxfId="23385" priority="522" operator="containsText" text="CMS">
      <formula>NOT(ISERROR(SEARCH("CMS",K29)))</formula>
    </cfRule>
    <cfRule type="cellIs" dxfId="23384" priority="523" operator="equal">
      <formula>0</formula>
    </cfRule>
    <cfRule type="cellIs" dxfId="23383" priority="524" operator="greaterThan">
      <formula>0</formula>
    </cfRule>
  </conditionalFormatting>
  <conditionalFormatting sqref="G81:AC81">
    <cfRule type="cellIs" dxfId="23382" priority="509" operator="equal">
      <formula>"PMS"</formula>
    </cfRule>
    <cfRule type="containsText" dxfId="23381" priority="510" operator="containsText" text="CMS">
      <formula>NOT(ISERROR(SEARCH("CMS",G81)))</formula>
    </cfRule>
    <cfRule type="cellIs" dxfId="23380" priority="511" operator="equal">
      <formula>0</formula>
    </cfRule>
    <cfRule type="cellIs" dxfId="23379" priority="512" operator="greaterThan">
      <formula>0</formula>
    </cfRule>
    <cfRule type="cellIs" dxfId="23378" priority="513" operator="equal">
      <formula>"PMS"</formula>
    </cfRule>
    <cfRule type="containsText" dxfId="23377" priority="514" operator="containsText" text="CMS">
      <formula>NOT(ISERROR(SEARCH("CMS",G81)))</formula>
    </cfRule>
    <cfRule type="cellIs" dxfId="23376" priority="515" operator="equal">
      <formula>0</formula>
    </cfRule>
    <cfRule type="cellIs" dxfId="23375" priority="516" operator="greaterThan">
      <formula>0</formula>
    </cfRule>
  </conditionalFormatting>
  <conditionalFormatting sqref="G81:AC81">
    <cfRule type="cellIs" dxfId="23374" priority="505" operator="equal">
      <formula>"PMS"</formula>
    </cfRule>
    <cfRule type="containsText" dxfId="23373" priority="506" operator="containsText" text="CMS">
      <formula>NOT(ISERROR(SEARCH("CMS",G81)))</formula>
    </cfRule>
    <cfRule type="cellIs" dxfId="23372" priority="507" operator="equal">
      <formula>0</formula>
    </cfRule>
    <cfRule type="cellIs" dxfId="23371" priority="508" operator="greaterThan">
      <formula>0</formula>
    </cfRule>
  </conditionalFormatting>
  <conditionalFormatting sqref="G51:G52 I51:M52">
    <cfRule type="cellIs" dxfId="23370" priority="497" operator="equal">
      <formula>"PMS"</formula>
    </cfRule>
    <cfRule type="containsText" dxfId="23369" priority="498" operator="containsText" text="CMS">
      <formula>NOT(ISERROR(SEARCH("CMS",G51)))</formula>
    </cfRule>
    <cfRule type="cellIs" dxfId="23368" priority="499" operator="equal">
      <formula>0</formula>
    </cfRule>
    <cfRule type="cellIs" dxfId="23367" priority="500" operator="greaterThan">
      <formula>0</formula>
    </cfRule>
    <cfRule type="cellIs" dxfId="23366" priority="501" operator="equal">
      <formula>"PMS"</formula>
    </cfRule>
    <cfRule type="containsText" dxfId="23365" priority="502" operator="containsText" text="CMS">
      <formula>NOT(ISERROR(SEARCH("CMS",G51)))</formula>
    </cfRule>
    <cfRule type="cellIs" dxfId="23364" priority="503" operator="equal">
      <formula>0</formula>
    </cfRule>
    <cfRule type="cellIs" dxfId="23363" priority="504" operator="greaterThan">
      <formula>0</formula>
    </cfRule>
  </conditionalFormatting>
  <conditionalFormatting sqref="G51:G52 I51:M52">
    <cfRule type="cellIs" dxfId="23362" priority="493" operator="equal">
      <formula>"PMS"</formula>
    </cfRule>
    <cfRule type="containsText" dxfId="23361" priority="494" operator="containsText" text="CMS">
      <formula>NOT(ISERROR(SEARCH("CMS",G51)))</formula>
    </cfRule>
    <cfRule type="cellIs" dxfId="23360" priority="495" operator="equal">
      <formula>0</formula>
    </cfRule>
    <cfRule type="cellIs" dxfId="23359" priority="496" operator="greaterThan">
      <formula>0</formula>
    </cfRule>
  </conditionalFormatting>
  <conditionalFormatting sqref="G51:G52 I51:M52">
    <cfRule type="cellIs" dxfId="23358" priority="489" operator="equal">
      <formula>"PMS"</formula>
    </cfRule>
    <cfRule type="containsText" dxfId="23357" priority="490" operator="containsText" text="CMS">
      <formula>NOT(ISERROR(SEARCH("CMS",G51)))</formula>
    </cfRule>
    <cfRule type="cellIs" dxfId="23356" priority="491" operator="equal">
      <formula>0</formula>
    </cfRule>
    <cfRule type="cellIs" dxfId="23355" priority="492" operator="greaterThan">
      <formula>0</formula>
    </cfRule>
  </conditionalFormatting>
  <conditionalFormatting sqref="G57:G58">
    <cfRule type="cellIs" dxfId="23354" priority="481" operator="equal">
      <formula>"PMS"</formula>
    </cfRule>
    <cfRule type="containsText" dxfId="23353" priority="482" operator="containsText" text="CMS">
      <formula>NOT(ISERROR(SEARCH("CMS",G57)))</formula>
    </cfRule>
    <cfRule type="cellIs" dxfId="23352" priority="483" operator="equal">
      <formula>0</formula>
    </cfRule>
    <cfRule type="cellIs" dxfId="23351" priority="484" operator="greaterThan">
      <formula>0</formula>
    </cfRule>
    <cfRule type="cellIs" dxfId="23350" priority="485" operator="equal">
      <formula>"PMS"</formula>
    </cfRule>
    <cfRule type="containsText" dxfId="23349" priority="486" operator="containsText" text="CMS">
      <formula>NOT(ISERROR(SEARCH("CMS",G57)))</formula>
    </cfRule>
    <cfRule type="cellIs" dxfId="23348" priority="487" operator="equal">
      <formula>0</formula>
    </cfRule>
    <cfRule type="cellIs" dxfId="23347" priority="488" operator="greaterThan">
      <formula>0</formula>
    </cfRule>
  </conditionalFormatting>
  <conditionalFormatting sqref="G57:G58">
    <cfRule type="cellIs" dxfId="23346" priority="477" operator="equal">
      <formula>"PMS"</formula>
    </cfRule>
    <cfRule type="containsText" dxfId="23345" priority="478" operator="containsText" text="CMS">
      <formula>NOT(ISERROR(SEARCH("CMS",G57)))</formula>
    </cfRule>
    <cfRule type="cellIs" dxfId="23344" priority="479" operator="equal">
      <formula>0</formula>
    </cfRule>
    <cfRule type="cellIs" dxfId="23343" priority="480" operator="greaterThan">
      <formula>0</formula>
    </cfRule>
  </conditionalFormatting>
  <conditionalFormatting sqref="G57:G58">
    <cfRule type="cellIs" dxfId="23342" priority="473" operator="equal">
      <formula>"PMS"</formula>
    </cfRule>
    <cfRule type="containsText" dxfId="23341" priority="474" operator="containsText" text="CMS">
      <formula>NOT(ISERROR(SEARCH("CMS",G57)))</formula>
    </cfRule>
    <cfRule type="cellIs" dxfId="23340" priority="475" operator="equal">
      <formula>0</formula>
    </cfRule>
    <cfRule type="cellIs" dxfId="23339" priority="476" operator="greaterThan">
      <formula>0</formula>
    </cfRule>
  </conditionalFormatting>
  <conditionalFormatting sqref="G32 I32:AC32">
    <cfRule type="cellIs" dxfId="23338" priority="465" operator="equal">
      <formula>"PMS"</formula>
    </cfRule>
    <cfRule type="containsText" dxfId="23337" priority="466" operator="containsText" text="CMS">
      <formula>NOT(ISERROR(SEARCH("CMS",G32)))</formula>
    </cfRule>
    <cfRule type="cellIs" dxfId="23336" priority="467" operator="equal">
      <formula>0</formula>
    </cfRule>
    <cfRule type="cellIs" dxfId="23335" priority="468" operator="greaterThan">
      <formula>0</formula>
    </cfRule>
    <cfRule type="cellIs" dxfId="23334" priority="469" operator="equal">
      <formula>"PMS"</formula>
    </cfRule>
    <cfRule type="containsText" dxfId="23333" priority="470" operator="containsText" text="CMS">
      <formula>NOT(ISERROR(SEARCH("CMS",G32)))</formula>
    </cfRule>
    <cfRule type="cellIs" dxfId="23332" priority="471" operator="equal">
      <formula>0</formula>
    </cfRule>
    <cfRule type="cellIs" dxfId="23331" priority="472" operator="greaterThan">
      <formula>0</formula>
    </cfRule>
  </conditionalFormatting>
  <conditionalFormatting sqref="G32 I32:AC32">
    <cfRule type="cellIs" dxfId="23330" priority="461" operator="equal">
      <formula>"PMS"</formula>
    </cfRule>
    <cfRule type="containsText" dxfId="23329" priority="462" operator="containsText" text="CMS">
      <formula>NOT(ISERROR(SEARCH("CMS",G32)))</formula>
    </cfRule>
    <cfRule type="cellIs" dxfId="23328" priority="463" operator="equal">
      <formula>0</formula>
    </cfRule>
    <cfRule type="cellIs" dxfId="23327" priority="464" operator="greaterThan">
      <formula>0</formula>
    </cfRule>
  </conditionalFormatting>
  <conditionalFormatting sqref="G32 I32:AC32">
    <cfRule type="cellIs" dxfId="23326" priority="457" operator="equal">
      <formula>"PMS"</formula>
    </cfRule>
    <cfRule type="containsText" dxfId="23325" priority="458" operator="containsText" text="CMS">
      <formula>NOT(ISERROR(SEARCH("CMS",G32)))</formula>
    </cfRule>
    <cfRule type="cellIs" dxfId="23324" priority="459" operator="equal">
      <formula>0</formula>
    </cfRule>
    <cfRule type="cellIs" dxfId="23323" priority="460" operator="greaterThan">
      <formula>0</formula>
    </cfRule>
  </conditionalFormatting>
  <conditionalFormatting sqref="F81">
    <cfRule type="cellIs" dxfId="23322" priority="449" operator="equal">
      <formula>"PMS"</formula>
    </cfRule>
    <cfRule type="containsText" dxfId="23321" priority="450" operator="containsText" text="CMS">
      <formula>NOT(ISERROR(SEARCH("CMS",F81)))</formula>
    </cfRule>
    <cfRule type="cellIs" dxfId="23320" priority="451" operator="equal">
      <formula>0</formula>
    </cfRule>
    <cfRule type="cellIs" dxfId="23319" priority="452" operator="greaterThan">
      <formula>0</formula>
    </cfRule>
    <cfRule type="cellIs" dxfId="23318" priority="453" operator="equal">
      <formula>"PMS"</formula>
    </cfRule>
    <cfRule type="containsText" dxfId="23317" priority="454" operator="containsText" text="CMS">
      <formula>NOT(ISERROR(SEARCH("CMS",F81)))</formula>
    </cfRule>
    <cfRule type="cellIs" dxfId="23316" priority="455" operator="equal">
      <formula>0</formula>
    </cfRule>
    <cfRule type="cellIs" dxfId="23315" priority="456" operator="greaterThan">
      <formula>0</formula>
    </cfRule>
  </conditionalFormatting>
  <conditionalFormatting sqref="F81">
    <cfRule type="cellIs" dxfId="23314" priority="445" operator="equal">
      <formula>"PMS"</formula>
    </cfRule>
    <cfRule type="containsText" dxfId="23313" priority="446" operator="containsText" text="CMS">
      <formula>NOT(ISERROR(SEARCH("CMS",F81)))</formula>
    </cfRule>
    <cfRule type="cellIs" dxfId="23312" priority="447" operator="equal">
      <formula>0</formula>
    </cfRule>
    <cfRule type="cellIs" dxfId="23311" priority="448" operator="greaterThan">
      <formula>0</formula>
    </cfRule>
  </conditionalFormatting>
  <conditionalFormatting sqref="H13:H16">
    <cfRule type="cellIs" dxfId="23310" priority="437" operator="equal">
      <formula>"PMS"</formula>
    </cfRule>
    <cfRule type="containsText" dxfId="23309" priority="438" operator="containsText" text="CMS">
      <formula>NOT(ISERROR(SEARCH("CMS",H13)))</formula>
    </cfRule>
    <cfRule type="cellIs" dxfId="23308" priority="439" operator="equal">
      <formula>0</formula>
    </cfRule>
    <cfRule type="cellIs" dxfId="23307" priority="440" operator="greaterThan">
      <formula>0</formula>
    </cfRule>
    <cfRule type="cellIs" dxfId="23306" priority="441" operator="equal">
      <formula>"PMS"</formula>
    </cfRule>
    <cfRule type="containsText" dxfId="23305" priority="442" operator="containsText" text="CMS">
      <formula>NOT(ISERROR(SEARCH("CMS",H13)))</formula>
    </cfRule>
    <cfRule type="cellIs" dxfId="23304" priority="443" operator="equal">
      <formula>0</formula>
    </cfRule>
    <cfRule type="cellIs" dxfId="23303" priority="444" operator="greaterThan">
      <formula>0</formula>
    </cfRule>
  </conditionalFormatting>
  <conditionalFormatting sqref="H13:H16">
    <cfRule type="cellIs" dxfId="23302" priority="433" operator="equal">
      <formula>"PMS"</formula>
    </cfRule>
    <cfRule type="containsText" dxfId="23301" priority="434" operator="containsText" text="CMS">
      <formula>NOT(ISERROR(SEARCH("CMS",H13)))</formula>
    </cfRule>
    <cfRule type="cellIs" dxfId="23300" priority="435" operator="equal">
      <formula>0</formula>
    </cfRule>
    <cfRule type="cellIs" dxfId="23299" priority="436" operator="greaterThan">
      <formula>0</formula>
    </cfRule>
  </conditionalFormatting>
  <conditionalFormatting sqref="H13:H16">
    <cfRule type="cellIs" dxfId="23298" priority="429" operator="equal">
      <formula>"PMS"</formula>
    </cfRule>
    <cfRule type="containsText" dxfId="23297" priority="430" operator="containsText" text="CMS">
      <formula>NOT(ISERROR(SEARCH("CMS",H13)))</formula>
    </cfRule>
    <cfRule type="cellIs" dxfId="23296" priority="431" operator="equal">
      <formula>0</formula>
    </cfRule>
    <cfRule type="cellIs" dxfId="23295" priority="432" operator="greaterThan">
      <formula>0</formula>
    </cfRule>
  </conditionalFormatting>
  <conditionalFormatting sqref="H13">
    <cfRule type="cellIs" dxfId="23294" priority="425" operator="equal">
      <formula>"PMS"</formula>
    </cfRule>
    <cfRule type="containsText" dxfId="23293" priority="426" operator="containsText" text="CMS">
      <formula>NOT(ISERROR(SEARCH("CMS",H13)))</formula>
    </cfRule>
    <cfRule type="cellIs" dxfId="23292" priority="427" operator="equal">
      <formula>0</formula>
    </cfRule>
    <cfRule type="cellIs" dxfId="23291" priority="428" operator="greaterThan">
      <formula>0</formula>
    </cfRule>
  </conditionalFormatting>
  <conditionalFormatting sqref="H13">
    <cfRule type="cellIs" dxfId="23290" priority="421" operator="equal">
      <formula>"PMS"</formula>
    </cfRule>
    <cfRule type="containsText" dxfId="23289" priority="422" operator="containsText" text="CMS">
      <formula>NOT(ISERROR(SEARCH("CMS",H13)))</formula>
    </cfRule>
    <cfRule type="cellIs" dxfId="23288" priority="423" operator="equal">
      <formula>0</formula>
    </cfRule>
    <cfRule type="cellIs" dxfId="23287" priority="424" operator="greaterThan">
      <formula>0</formula>
    </cfRule>
  </conditionalFormatting>
  <conditionalFormatting sqref="H20:H21">
    <cfRule type="cellIs" dxfId="23286" priority="413" operator="equal">
      <formula>"PMS"</formula>
    </cfRule>
    <cfRule type="containsText" dxfId="23285" priority="414" operator="containsText" text="CMS">
      <formula>NOT(ISERROR(SEARCH("CMS",H20)))</formula>
    </cfRule>
    <cfRule type="cellIs" dxfId="23284" priority="415" operator="equal">
      <formula>0</formula>
    </cfRule>
    <cfRule type="cellIs" dxfId="23283" priority="416" operator="greaterThan">
      <formula>0</formula>
    </cfRule>
    <cfRule type="cellIs" dxfId="23282" priority="417" operator="equal">
      <formula>"PMS"</formula>
    </cfRule>
    <cfRule type="containsText" dxfId="23281" priority="418" operator="containsText" text="CMS">
      <formula>NOT(ISERROR(SEARCH("CMS",H20)))</formula>
    </cfRule>
    <cfRule type="cellIs" dxfId="23280" priority="419" operator="equal">
      <formula>0</formula>
    </cfRule>
    <cfRule type="cellIs" dxfId="23279" priority="420" operator="greaterThan">
      <formula>0</formula>
    </cfRule>
  </conditionalFormatting>
  <conditionalFormatting sqref="H20:H21">
    <cfRule type="cellIs" dxfId="23278" priority="409" operator="equal">
      <formula>"PMS"</formula>
    </cfRule>
    <cfRule type="containsText" dxfId="23277" priority="410" operator="containsText" text="CMS">
      <formula>NOT(ISERROR(SEARCH("CMS",H20)))</formula>
    </cfRule>
    <cfRule type="cellIs" dxfId="23276" priority="411" operator="equal">
      <formula>0</formula>
    </cfRule>
    <cfRule type="cellIs" dxfId="23275" priority="412" operator="greaterThan">
      <formula>0</formula>
    </cfRule>
  </conditionalFormatting>
  <conditionalFormatting sqref="H20:H21">
    <cfRule type="cellIs" dxfId="23274" priority="405" operator="equal">
      <formula>"PMS"</formula>
    </cfRule>
    <cfRule type="containsText" dxfId="23273" priority="406" operator="containsText" text="CMS">
      <formula>NOT(ISERROR(SEARCH("CMS",H20)))</formula>
    </cfRule>
    <cfRule type="cellIs" dxfId="23272" priority="407" operator="equal">
      <formula>0</formula>
    </cfRule>
    <cfRule type="cellIs" dxfId="23271" priority="408" operator="greaterThan">
      <formula>0</formula>
    </cfRule>
  </conditionalFormatting>
  <conditionalFormatting sqref="H19">
    <cfRule type="cellIs" dxfId="23270" priority="401" operator="equal">
      <formula>"CMS"</formula>
    </cfRule>
    <cfRule type="cellIs" dxfId="23269" priority="402" operator="equal">
      <formula>"PMS"</formula>
    </cfRule>
    <cfRule type="cellIs" dxfId="23268" priority="403" operator="greaterThan">
      <formula>0</formula>
    </cfRule>
    <cfRule type="cellIs" dxfId="23267" priority="404" operator="equal">
      <formula>0</formula>
    </cfRule>
  </conditionalFormatting>
  <conditionalFormatting sqref="H24">
    <cfRule type="cellIs" dxfId="23266" priority="393" operator="equal">
      <formula>"PMS"</formula>
    </cfRule>
    <cfRule type="containsText" dxfId="23265" priority="394" operator="containsText" text="CMS">
      <formula>NOT(ISERROR(SEARCH("CMS",H24)))</formula>
    </cfRule>
    <cfRule type="cellIs" dxfId="23264" priority="395" operator="equal">
      <formula>0</formula>
    </cfRule>
    <cfRule type="cellIs" dxfId="23263" priority="396" operator="greaterThan">
      <formula>0</formula>
    </cfRule>
    <cfRule type="cellIs" dxfId="23262" priority="397" operator="equal">
      <formula>"PMS"</formula>
    </cfRule>
    <cfRule type="containsText" dxfId="23261" priority="398" operator="containsText" text="CMS">
      <formula>NOT(ISERROR(SEARCH("CMS",H24)))</formula>
    </cfRule>
    <cfRule type="cellIs" dxfId="23260" priority="399" operator="equal">
      <formula>0</formula>
    </cfRule>
    <cfRule type="cellIs" dxfId="23259" priority="400" operator="greaterThan">
      <formula>0</formula>
    </cfRule>
  </conditionalFormatting>
  <conditionalFormatting sqref="H24">
    <cfRule type="cellIs" dxfId="23258" priority="389" operator="equal">
      <formula>"PMS"</formula>
    </cfRule>
    <cfRule type="containsText" dxfId="23257" priority="390" operator="containsText" text="CMS">
      <formula>NOT(ISERROR(SEARCH("CMS",H24)))</formula>
    </cfRule>
    <cfRule type="cellIs" dxfId="23256" priority="391" operator="equal">
      <formula>0</formula>
    </cfRule>
    <cfRule type="cellIs" dxfId="23255" priority="392" operator="greaterThan">
      <formula>0</formula>
    </cfRule>
  </conditionalFormatting>
  <conditionalFormatting sqref="H24">
    <cfRule type="cellIs" dxfId="23254" priority="385" operator="equal">
      <formula>"PMS"</formula>
    </cfRule>
    <cfRule type="containsText" dxfId="23253" priority="386" operator="containsText" text="CMS">
      <formula>NOT(ISERROR(SEARCH("CMS",H24)))</formula>
    </cfRule>
    <cfRule type="cellIs" dxfId="23252" priority="387" operator="equal">
      <formula>0</formula>
    </cfRule>
    <cfRule type="cellIs" dxfId="23251" priority="388" operator="greaterThan">
      <formula>0</formula>
    </cfRule>
  </conditionalFormatting>
  <conditionalFormatting sqref="H27:H28">
    <cfRule type="cellIs" dxfId="23250" priority="377" operator="equal">
      <formula>"PMS"</formula>
    </cfRule>
    <cfRule type="containsText" dxfId="23249" priority="378" operator="containsText" text="CMS">
      <formula>NOT(ISERROR(SEARCH("CMS",H27)))</formula>
    </cfRule>
    <cfRule type="cellIs" dxfId="23248" priority="379" operator="equal">
      <formula>0</formula>
    </cfRule>
    <cfRule type="cellIs" dxfId="23247" priority="380" operator="greaterThan">
      <formula>0</formula>
    </cfRule>
    <cfRule type="cellIs" dxfId="23246" priority="381" operator="equal">
      <formula>"PMS"</formula>
    </cfRule>
    <cfRule type="containsText" dxfId="23245" priority="382" operator="containsText" text="CMS">
      <formula>NOT(ISERROR(SEARCH("CMS",H27)))</formula>
    </cfRule>
    <cfRule type="cellIs" dxfId="23244" priority="383" operator="equal">
      <formula>0</formula>
    </cfRule>
    <cfRule type="cellIs" dxfId="23243" priority="384" operator="greaterThan">
      <formula>0</formula>
    </cfRule>
  </conditionalFormatting>
  <conditionalFormatting sqref="H27:H28">
    <cfRule type="cellIs" dxfId="23242" priority="373" operator="equal">
      <formula>"PMS"</formula>
    </cfRule>
    <cfRule type="containsText" dxfId="23241" priority="374" operator="containsText" text="CMS">
      <formula>NOT(ISERROR(SEARCH("CMS",H27)))</formula>
    </cfRule>
    <cfRule type="cellIs" dxfId="23240" priority="375" operator="equal">
      <formula>0</formula>
    </cfRule>
    <cfRule type="cellIs" dxfId="23239" priority="376" operator="greaterThan">
      <formula>0</formula>
    </cfRule>
  </conditionalFormatting>
  <conditionalFormatting sqref="H27:H28">
    <cfRule type="cellIs" dxfId="23238" priority="369" operator="equal">
      <formula>"PMS"</formula>
    </cfRule>
    <cfRule type="containsText" dxfId="23237" priority="370" operator="containsText" text="CMS">
      <formula>NOT(ISERROR(SEARCH("CMS",H27)))</formula>
    </cfRule>
    <cfRule type="cellIs" dxfId="23236" priority="371" operator="equal">
      <formula>0</formula>
    </cfRule>
    <cfRule type="cellIs" dxfId="23235" priority="372" operator="greaterThan">
      <formula>0</formula>
    </cfRule>
  </conditionalFormatting>
  <conditionalFormatting sqref="H29">
    <cfRule type="cellIs" dxfId="23234" priority="361" operator="equal">
      <formula>"PMS"</formula>
    </cfRule>
    <cfRule type="containsText" dxfId="23233" priority="362" operator="containsText" text="CMS">
      <formula>NOT(ISERROR(SEARCH("CMS",H29)))</formula>
    </cfRule>
    <cfRule type="cellIs" dxfId="23232" priority="363" operator="equal">
      <formula>0</formula>
    </cfRule>
    <cfRule type="cellIs" dxfId="23231" priority="364" operator="greaterThan">
      <formula>0</formula>
    </cfRule>
    <cfRule type="cellIs" dxfId="23230" priority="365" operator="equal">
      <formula>"PMS"</formula>
    </cfRule>
    <cfRule type="containsText" dxfId="23229" priority="366" operator="containsText" text="CMS">
      <formula>NOT(ISERROR(SEARCH("CMS",H29)))</formula>
    </cfRule>
    <cfRule type="cellIs" dxfId="23228" priority="367" operator="equal">
      <formula>0</formula>
    </cfRule>
    <cfRule type="cellIs" dxfId="23227" priority="368" operator="greaterThan">
      <formula>0</formula>
    </cfRule>
  </conditionalFormatting>
  <conditionalFormatting sqref="H32">
    <cfRule type="cellIs" dxfId="23226" priority="353" operator="equal">
      <formula>"PMS"</formula>
    </cfRule>
    <cfRule type="containsText" dxfId="23225" priority="354" operator="containsText" text="CMS">
      <formula>NOT(ISERROR(SEARCH("CMS",H32)))</formula>
    </cfRule>
    <cfRule type="cellIs" dxfId="23224" priority="355" operator="equal">
      <formula>0</formula>
    </cfRule>
    <cfRule type="cellIs" dxfId="23223" priority="356" operator="greaterThan">
      <formula>0</formula>
    </cfRule>
    <cfRule type="cellIs" dxfId="23222" priority="357" operator="equal">
      <formula>"PMS"</formula>
    </cfRule>
    <cfRule type="containsText" dxfId="23221" priority="358" operator="containsText" text="CMS">
      <formula>NOT(ISERROR(SEARCH("CMS",H32)))</formula>
    </cfRule>
    <cfRule type="cellIs" dxfId="23220" priority="359" operator="equal">
      <formula>0</formula>
    </cfRule>
    <cfRule type="cellIs" dxfId="23219" priority="360" operator="greaterThan">
      <formula>0</formula>
    </cfRule>
  </conditionalFormatting>
  <conditionalFormatting sqref="H32">
    <cfRule type="cellIs" dxfId="23218" priority="349" operator="equal">
      <formula>"PMS"</formula>
    </cfRule>
    <cfRule type="containsText" dxfId="23217" priority="350" operator="containsText" text="CMS">
      <formula>NOT(ISERROR(SEARCH("CMS",H32)))</formula>
    </cfRule>
    <cfRule type="cellIs" dxfId="23216" priority="351" operator="equal">
      <formula>0</formula>
    </cfRule>
    <cfRule type="cellIs" dxfId="23215" priority="352" operator="greaterThan">
      <formula>0</formula>
    </cfRule>
  </conditionalFormatting>
  <conditionalFormatting sqref="H32">
    <cfRule type="cellIs" dxfId="23214" priority="345" operator="equal">
      <formula>"PMS"</formula>
    </cfRule>
    <cfRule type="containsText" dxfId="23213" priority="346" operator="containsText" text="CMS">
      <formula>NOT(ISERROR(SEARCH("CMS",H32)))</formula>
    </cfRule>
    <cfRule type="cellIs" dxfId="23212" priority="347" operator="equal">
      <formula>0</formula>
    </cfRule>
    <cfRule type="cellIs" dxfId="23211" priority="348" operator="greaterThan">
      <formula>0</formula>
    </cfRule>
  </conditionalFormatting>
  <conditionalFormatting sqref="H35:H58">
    <cfRule type="cellIs" dxfId="23210" priority="337" operator="equal">
      <formula>"PMS"</formula>
    </cfRule>
    <cfRule type="containsText" dxfId="23209" priority="338" operator="containsText" text="CMS">
      <formula>NOT(ISERROR(SEARCH("CMS",H35)))</formula>
    </cfRule>
    <cfRule type="cellIs" dxfId="23208" priority="339" operator="equal">
      <formula>0</formula>
    </cfRule>
    <cfRule type="cellIs" dxfId="23207" priority="340" operator="greaterThan">
      <formula>0</formula>
    </cfRule>
    <cfRule type="cellIs" dxfId="23206" priority="341" operator="equal">
      <formula>"PMS"</formula>
    </cfRule>
    <cfRule type="containsText" dxfId="23205" priority="342" operator="containsText" text="CMS">
      <formula>NOT(ISERROR(SEARCH("CMS",H35)))</formula>
    </cfRule>
    <cfRule type="cellIs" dxfId="23204" priority="343" operator="equal">
      <formula>0</formula>
    </cfRule>
    <cfRule type="cellIs" dxfId="23203" priority="344" operator="greaterThan">
      <formula>0</formula>
    </cfRule>
  </conditionalFormatting>
  <conditionalFormatting sqref="H35:H58">
    <cfRule type="cellIs" dxfId="23202" priority="333" operator="equal">
      <formula>"PMS"</formula>
    </cfRule>
    <cfRule type="containsText" dxfId="23201" priority="334" operator="containsText" text="CMS">
      <formula>NOT(ISERROR(SEARCH("CMS",H35)))</formula>
    </cfRule>
    <cfRule type="cellIs" dxfId="23200" priority="335" operator="equal">
      <formula>0</formula>
    </cfRule>
    <cfRule type="cellIs" dxfId="23199" priority="336" operator="greaterThan">
      <formula>0</formula>
    </cfRule>
  </conditionalFormatting>
  <conditionalFormatting sqref="H35:H58">
    <cfRule type="cellIs" dxfId="23198" priority="329" operator="equal">
      <formula>"PMS"</formula>
    </cfRule>
    <cfRule type="containsText" dxfId="23197" priority="330" operator="containsText" text="CMS">
      <formula>NOT(ISERROR(SEARCH("CMS",H35)))</formula>
    </cfRule>
    <cfRule type="cellIs" dxfId="23196" priority="331" operator="equal">
      <formula>0</formula>
    </cfRule>
    <cfRule type="cellIs" dxfId="23195" priority="332" operator="greaterThan">
      <formula>0</formula>
    </cfRule>
  </conditionalFormatting>
  <conditionalFormatting sqref="H57">
    <cfRule type="cellIs" dxfId="23194" priority="325" operator="equal">
      <formula>"PMS"</formula>
    </cfRule>
    <cfRule type="containsText" dxfId="23193" priority="326" operator="containsText" text="CMS">
      <formula>NOT(ISERROR(SEARCH("CMS",H57)))</formula>
    </cfRule>
    <cfRule type="cellIs" dxfId="23192" priority="327" operator="equal">
      <formula>0</formula>
    </cfRule>
    <cfRule type="cellIs" dxfId="23191" priority="328" operator="greaterThan">
      <formula>0</formula>
    </cfRule>
  </conditionalFormatting>
  <conditionalFormatting sqref="H57">
    <cfRule type="cellIs" dxfId="23190" priority="321" operator="equal">
      <formula>"PMS"</formula>
    </cfRule>
    <cfRule type="containsText" dxfId="23189" priority="322" operator="containsText" text="CMS">
      <formula>NOT(ISERROR(SEARCH("CMS",H57)))</formula>
    </cfRule>
    <cfRule type="cellIs" dxfId="23188" priority="323" operator="equal">
      <formula>0</formula>
    </cfRule>
    <cfRule type="cellIs" dxfId="23187" priority="324" operator="greaterThan">
      <formula>0</formula>
    </cfRule>
  </conditionalFormatting>
  <conditionalFormatting sqref="H57">
    <cfRule type="cellIs" dxfId="23186" priority="317" operator="equal">
      <formula>"PMS"</formula>
    </cfRule>
    <cfRule type="containsText" dxfId="23185" priority="318" operator="containsText" text="CMS">
      <formula>NOT(ISERROR(SEARCH("CMS",H57)))</formula>
    </cfRule>
    <cfRule type="cellIs" dxfId="23184" priority="319" operator="equal">
      <formula>0</formula>
    </cfRule>
    <cfRule type="cellIs" dxfId="23183" priority="320" operator="greaterThan">
      <formula>0</formula>
    </cfRule>
  </conditionalFormatting>
  <conditionalFormatting sqref="H57">
    <cfRule type="cellIs" dxfId="23182" priority="313" operator="equal">
      <formula>"PMS"</formula>
    </cfRule>
    <cfRule type="containsText" dxfId="23181" priority="314" operator="containsText" text="CMS">
      <formula>NOT(ISERROR(SEARCH("CMS",H57)))</formula>
    </cfRule>
    <cfRule type="cellIs" dxfId="23180" priority="315" operator="equal">
      <formula>0</formula>
    </cfRule>
    <cfRule type="cellIs" dxfId="23179" priority="316" operator="greaterThan">
      <formula>0</formula>
    </cfRule>
  </conditionalFormatting>
  <conditionalFormatting sqref="H58">
    <cfRule type="cellIs" dxfId="23178" priority="309" operator="equal">
      <formula>"PMS"</formula>
    </cfRule>
    <cfRule type="containsText" dxfId="23177" priority="310" operator="containsText" text="CMS">
      <formula>NOT(ISERROR(SEARCH("CMS",H58)))</formula>
    </cfRule>
    <cfRule type="cellIs" dxfId="23176" priority="311" operator="equal">
      <formula>0</formula>
    </cfRule>
    <cfRule type="cellIs" dxfId="23175" priority="312" operator="greaterThan">
      <formula>0</formula>
    </cfRule>
  </conditionalFormatting>
  <conditionalFormatting sqref="H58">
    <cfRule type="cellIs" dxfId="23174" priority="305" operator="equal">
      <formula>"PMS"</formula>
    </cfRule>
    <cfRule type="containsText" dxfId="23173" priority="306" operator="containsText" text="CMS">
      <formula>NOT(ISERROR(SEARCH("CMS",H58)))</formula>
    </cfRule>
    <cfRule type="cellIs" dxfId="23172" priority="307" operator="equal">
      <formula>0</formula>
    </cfRule>
    <cfRule type="cellIs" dxfId="23171" priority="308" operator="greaterThan">
      <formula>0</formula>
    </cfRule>
  </conditionalFormatting>
  <conditionalFormatting sqref="H58">
    <cfRule type="cellIs" dxfId="23170" priority="301" operator="equal">
      <formula>"PMS"</formula>
    </cfRule>
    <cfRule type="containsText" dxfId="23169" priority="302" operator="containsText" text="CMS">
      <formula>NOT(ISERROR(SEARCH("CMS",H58)))</formula>
    </cfRule>
    <cfRule type="cellIs" dxfId="23168" priority="303" operator="equal">
      <formula>0</formula>
    </cfRule>
    <cfRule type="cellIs" dxfId="23167" priority="304" operator="greaterThan">
      <formula>0</formula>
    </cfRule>
  </conditionalFormatting>
  <conditionalFormatting sqref="H58">
    <cfRule type="cellIs" dxfId="23166" priority="297" operator="equal">
      <formula>"PMS"</formula>
    </cfRule>
    <cfRule type="containsText" dxfId="23165" priority="298" operator="containsText" text="CMS">
      <formula>NOT(ISERROR(SEARCH("CMS",H58)))</formula>
    </cfRule>
    <cfRule type="cellIs" dxfId="23164" priority="299" operator="equal">
      <formula>0</formula>
    </cfRule>
    <cfRule type="cellIs" dxfId="23163" priority="300" operator="greaterThan">
      <formula>0</formula>
    </cfRule>
  </conditionalFormatting>
  <conditionalFormatting sqref="H62">
    <cfRule type="cellIs" dxfId="23162" priority="289" operator="equal">
      <formula>"PMS"</formula>
    </cfRule>
    <cfRule type="containsText" dxfId="23161" priority="290" operator="containsText" text="CMS">
      <formula>NOT(ISERROR(SEARCH("CMS",H62)))</formula>
    </cfRule>
    <cfRule type="cellIs" dxfId="23160" priority="291" operator="equal">
      <formula>0</formula>
    </cfRule>
    <cfRule type="cellIs" dxfId="23159" priority="292" operator="greaterThan">
      <formula>0</formula>
    </cfRule>
    <cfRule type="cellIs" dxfId="23158" priority="293" operator="equal">
      <formula>"PMS"</formula>
    </cfRule>
    <cfRule type="containsText" dxfId="23157" priority="294" operator="containsText" text="CMS">
      <formula>NOT(ISERROR(SEARCH("CMS",H62)))</formula>
    </cfRule>
    <cfRule type="cellIs" dxfId="23156" priority="295" operator="equal">
      <formula>0</formula>
    </cfRule>
    <cfRule type="cellIs" dxfId="23155" priority="296" operator="greaterThan">
      <formula>0</formula>
    </cfRule>
  </conditionalFormatting>
  <conditionalFormatting sqref="H62">
    <cfRule type="cellIs" dxfId="23154" priority="285" operator="equal">
      <formula>"PMS"</formula>
    </cfRule>
    <cfRule type="containsText" dxfId="23153" priority="286" operator="containsText" text="CMS">
      <formula>NOT(ISERROR(SEARCH("CMS",H62)))</formula>
    </cfRule>
    <cfRule type="cellIs" dxfId="23152" priority="287" operator="equal">
      <formula>0</formula>
    </cfRule>
    <cfRule type="cellIs" dxfId="23151" priority="288" operator="greaterThan">
      <formula>0</formula>
    </cfRule>
  </conditionalFormatting>
  <conditionalFormatting sqref="H66:H74">
    <cfRule type="cellIs" dxfId="23150" priority="277" operator="equal">
      <formula>"PMS"</formula>
    </cfRule>
    <cfRule type="containsText" dxfId="23149" priority="278" operator="containsText" text="CMS">
      <formula>NOT(ISERROR(SEARCH("CMS",H66)))</formula>
    </cfRule>
    <cfRule type="cellIs" dxfId="23148" priority="279" operator="equal">
      <formula>0</formula>
    </cfRule>
    <cfRule type="cellIs" dxfId="23147" priority="280" operator="greaterThan">
      <formula>0</formula>
    </cfRule>
    <cfRule type="cellIs" dxfId="23146" priority="281" operator="equal">
      <formula>"PMS"</formula>
    </cfRule>
    <cfRule type="containsText" dxfId="23145" priority="282" operator="containsText" text="CMS">
      <formula>NOT(ISERROR(SEARCH("CMS",H66)))</formula>
    </cfRule>
    <cfRule type="cellIs" dxfId="23144" priority="283" operator="equal">
      <formula>0</formula>
    </cfRule>
    <cfRule type="cellIs" dxfId="23143" priority="284" operator="greaterThan">
      <formula>0</formula>
    </cfRule>
  </conditionalFormatting>
  <conditionalFormatting sqref="H66:H74">
    <cfRule type="cellIs" dxfId="23142" priority="273" operator="equal">
      <formula>"PMS"</formula>
    </cfRule>
    <cfRule type="containsText" dxfId="23141" priority="274" operator="containsText" text="CMS">
      <formula>NOT(ISERROR(SEARCH("CMS",H66)))</formula>
    </cfRule>
    <cfRule type="cellIs" dxfId="23140" priority="275" operator="equal">
      <formula>0</formula>
    </cfRule>
    <cfRule type="cellIs" dxfId="23139" priority="276" operator="greaterThan">
      <formula>0</formula>
    </cfRule>
  </conditionalFormatting>
  <conditionalFormatting sqref="H66:H74">
    <cfRule type="cellIs" dxfId="23138" priority="269" operator="equal">
      <formula>"PMS"</formula>
    </cfRule>
    <cfRule type="containsText" dxfId="23137" priority="270" operator="containsText" text="CMS">
      <formula>NOT(ISERROR(SEARCH("CMS",H66)))</formula>
    </cfRule>
    <cfRule type="cellIs" dxfId="23136" priority="271" operator="equal">
      <formula>0</formula>
    </cfRule>
    <cfRule type="cellIs" dxfId="23135" priority="272" operator="greaterThan">
      <formula>0</formula>
    </cfRule>
  </conditionalFormatting>
  <conditionalFormatting sqref="H77:H78">
    <cfRule type="cellIs" dxfId="23134" priority="261" operator="equal">
      <formula>"PMS"</formula>
    </cfRule>
    <cfRule type="containsText" dxfId="23133" priority="262" operator="containsText" text="CMS">
      <formula>NOT(ISERROR(SEARCH("CMS",H77)))</formula>
    </cfRule>
    <cfRule type="cellIs" dxfId="23132" priority="263" operator="equal">
      <formula>0</formula>
    </cfRule>
    <cfRule type="cellIs" dxfId="23131" priority="264" operator="greaterThan">
      <formula>0</formula>
    </cfRule>
    <cfRule type="cellIs" dxfId="23130" priority="265" operator="equal">
      <formula>"PMS"</formula>
    </cfRule>
    <cfRule type="containsText" dxfId="23129" priority="266" operator="containsText" text="CMS">
      <formula>NOT(ISERROR(SEARCH("CMS",H77)))</formula>
    </cfRule>
    <cfRule type="cellIs" dxfId="23128" priority="267" operator="equal">
      <formula>0</formula>
    </cfRule>
    <cfRule type="cellIs" dxfId="23127" priority="268" operator="greaterThan">
      <formula>0</formula>
    </cfRule>
  </conditionalFormatting>
  <conditionalFormatting sqref="H77:H78">
    <cfRule type="cellIs" dxfId="23126" priority="257" operator="equal">
      <formula>"PMS"</formula>
    </cfRule>
    <cfRule type="containsText" dxfId="23125" priority="258" operator="containsText" text="CMS">
      <formula>NOT(ISERROR(SEARCH("CMS",H77)))</formula>
    </cfRule>
    <cfRule type="cellIs" dxfId="23124" priority="259" operator="equal">
      <formula>0</formula>
    </cfRule>
    <cfRule type="cellIs" dxfId="23123" priority="260" operator="greaterThan">
      <formula>0</formula>
    </cfRule>
  </conditionalFormatting>
  <conditionalFormatting sqref="O57">
    <cfRule type="cellIs" dxfId="23122" priority="253" operator="equal">
      <formula>"PMS"</formula>
    </cfRule>
    <cfRule type="containsText" dxfId="23121" priority="254" operator="containsText" text="CMS">
      <formula>NOT(ISERROR(SEARCH("CMS",O57)))</formula>
    </cfRule>
    <cfRule type="cellIs" dxfId="23120" priority="255" operator="equal">
      <formula>0</formula>
    </cfRule>
    <cfRule type="cellIs" dxfId="23119" priority="256" operator="greaterThan">
      <formula>0</formula>
    </cfRule>
  </conditionalFormatting>
  <conditionalFormatting sqref="O57">
    <cfRule type="cellIs" dxfId="23118" priority="249" operator="equal">
      <formula>"PMS"</formula>
    </cfRule>
    <cfRule type="containsText" dxfId="23117" priority="250" operator="containsText" text="CMS">
      <formula>NOT(ISERROR(SEARCH("CMS",O57)))</formula>
    </cfRule>
    <cfRule type="cellIs" dxfId="23116" priority="251" operator="equal">
      <formula>0</formula>
    </cfRule>
    <cfRule type="cellIs" dxfId="23115" priority="252" operator="greaterThan">
      <formula>0</formula>
    </cfRule>
  </conditionalFormatting>
  <conditionalFormatting sqref="O57">
    <cfRule type="cellIs" dxfId="23114" priority="245" operator="equal">
      <formula>"PMS"</formula>
    </cfRule>
    <cfRule type="containsText" dxfId="23113" priority="246" operator="containsText" text="CMS">
      <formula>NOT(ISERROR(SEARCH("CMS",O57)))</formula>
    </cfRule>
    <cfRule type="cellIs" dxfId="23112" priority="247" operator="equal">
      <formula>0</formula>
    </cfRule>
    <cfRule type="cellIs" dxfId="23111" priority="248" operator="greaterThan">
      <formula>0</formula>
    </cfRule>
  </conditionalFormatting>
  <conditionalFormatting sqref="O57">
    <cfRule type="cellIs" dxfId="23110" priority="241" operator="equal">
      <formula>"PMS"</formula>
    </cfRule>
    <cfRule type="containsText" dxfId="23109" priority="242" operator="containsText" text="CMS">
      <formula>NOT(ISERROR(SEARCH("CMS",O57)))</formula>
    </cfRule>
    <cfRule type="cellIs" dxfId="23108" priority="243" operator="equal">
      <formula>0</formula>
    </cfRule>
    <cfRule type="cellIs" dxfId="23107" priority="244" operator="greaterThan">
      <formula>0</formula>
    </cfRule>
  </conditionalFormatting>
  <conditionalFormatting sqref="O57">
    <cfRule type="cellIs" dxfId="23106" priority="237" operator="equal">
      <formula>"PMS"</formula>
    </cfRule>
    <cfRule type="containsText" dxfId="23105" priority="238" operator="containsText" text="CMS">
      <formula>NOT(ISERROR(SEARCH("CMS",O57)))</formula>
    </cfRule>
    <cfRule type="cellIs" dxfId="23104" priority="239" operator="equal">
      <formula>0</formula>
    </cfRule>
    <cfRule type="cellIs" dxfId="23103" priority="240" operator="greaterThan">
      <formula>0</formula>
    </cfRule>
  </conditionalFormatting>
  <conditionalFormatting sqref="O57">
    <cfRule type="cellIs" dxfId="23102" priority="233" operator="equal">
      <formula>"PMS"</formula>
    </cfRule>
    <cfRule type="containsText" dxfId="23101" priority="234" operator="containsText" text="CMS">
      <formula>NOT(ISERROR(SEARCH("CMS",O57)))</formula>
    </cfRule>
    <cfRule type="cellIs" dxfId="23100" priority="235" operator="equal">
      <formula>0</formula>
    </cfRule>
    <cfRule type="cellIs" dxfId="23099" priority="236" operator="greaterThan">
      <formula>0</formula>
    </cfRule>
  </conditionalFormatting>
  <conditionalFormatting sqref="O57">
    <cfRule type="cellIs" dxfId="23098" priority="229" operator="equal">
      <formula>"PMS"</formula>
    </cfRule>
    <cfRule type="containsText" dxfId="23097" priority="230" operator="containsText" text="CMS">
      <formula>NOT(ISERROR(SEARCH("CMS",O57)))</formula>
    </cfRule>
    <cfRule type="cellIs" dxfId="23096" priority="231" operator="equal">
      <formula>0</formula>
    </cfRule>
    <cfRule type="cellIs" dxfId="23095" priority="232" operator="greaterThan">
      <formula>0</formula>
    </cfRule>
  </conditionalFormatting>
  <conditionalFormatting sqref="O57">
    <cfRule type="cellIs" dxfId="23094" priority="225" operator="equal">
      <formula>"PMS"</formula>
    </cfRule>
    <cfRule type="containsText" dxfId="23093" priority="226" operator="containsText" text="CMS">
      <formula>NOT(ISERROR(SEARCH("CMS",O57)))</formula>
    </cfRule>
    <cfRule type="cellIs" dxfId="23092" priority="227" operator="equal">
      <formula>0</formula>
    </cfRule>
    <cfRule type="cellIs" dxfId="23091" priority="228" operator="greaterThan">
      <formula>0</formula>
    </cfRule>
  </conditionalFormatting>
  <conditionalFormatting sqref="O57">
    <cfRule type="cellIs" dxfId="23090" priority="221" operator="equal">
      <formula>"PMS"</formula>
    </cfRule>
    <cfRule type="containsText" dxfId="23089" priority="222" operator="containsText" text="CMS">
      <formula>NOT(ISERROR(SEARCH("CMS",O57)))</formula>
    </cfRule>
    <cfRule type="cellIs" dxfId="23088" priority="223" operator="equal">
      <formula>0</formula>
    </cfRule>
    <cfRule type="cellIs" dxfId="23087" priority="224" operator="greaterThan">
      <formula>0</formula>
    </cfRule>
  </conditionalFormatting>
  <conditionalFormatting sqref="O57">
    <cfRule type="cellIs" dxfId="23086" priority="217" operator="equal">
      <formula>"PMS"</formula>
    </cfRule>
    <cfRule type="containsText" dxfId="23085" priority="218" operator="containsText" text="CMS">
      <formula>NOT(ISERROR(SEARCH("CMS",O57)))</formula>
    </cfRule>
    <cfRule type="cellIs" dxfId="23084" priority="219" operator="equal">
      <formula>0</formula>
    </cfRule>
    <cfRule type="cellIs" dxfId="23083" priority="220" operator="greaterThan">
      <formula>0</formula>
    </cfRule>
  </conditionalFormatting>
  <conditionalFormatting sqref="O57">
    <cfRule type="cellIs" dxfId="23082" priority="213" operator="equal">
      <formula>"PMS"</formula>
    </cfRule>
    <cfRule type="containsText" dxfId="23081" priority="214" operator="containsText" text="CMS">
      <formula>NOT(ISERROR(SEARCH("CMS",O57)))</formula>
    </cfRule>
    <cfRule type="cellIs" dxfId="23080" priority="215" operator="equal">
      <formula>0</formula>
    </cfRule>
    <cfRule type="cellIs" dxfId="23079" priority="216" operator="greaterThan">
      <formula>0</formula>
    </cfRule>
  </conditionalFormatting>
  <conditionalFormatting sqref="O57">
    <cfRule type="cellIs" dxfId="23078" priority="209" operator="equal">
      <formula>"PMS"</formula>
    </cfRule>
    <cfRule type="containsText" dxfId="23077" priority="210" operator="containsText" text="CMS">
      <formula>NOT(ISERROR(SEARCH("CMS",O57)))</formula>
    </cfRule>
    <cfRule type="cellIs" dxfId="23076" priority="211" operator="equal">
      <formula>0</formula>
    </cfRule>
    <cfRule type="cellIs" dxfId="23075" priority="212" operator="greaterThan">
      <formula>0</formula>
    </cfRule>
  </conditionalFormatting>
  <conditionalFormatting sqref="R77">
    <cfRule type="cellIs" dxfId="23074" priority="205" operator="equal">
      <formula>"PMS"</formula>
    </cfRule>
    <cfRule type="containsText" dxfId="23073" priority="206" operator="containsText" text="CMS">
      <formula>NOT(ISERROR(SEARCH("CMS",R77)))</formula>
    </cfRule>
    <cfRule type="cellIs" dxfId="23072" priority="207" operator="equal">
      <formula>0</formula>
    </cfRule>
    <cfRule type="cellIs" dxfId="23071" priority="208" operator="greaterThan">
      <formula>0</formula>
    </cfRule>
  </conditionalFormatting>
  <conditionalFormatting sqref="F13:F16 G15:G16">
    <cfRule type="cellIs" dxfId="23070" priority="197" operator="equal">
      <formula>"PMS"</formula>
    </cfRule>
    <cfRule type="containsText" dxfId="23069" priority="198" operator="containsText" text="CMS">
      <formula>NOT(ISERROR(SEARCH("CMS",F13)))</formula>
    </cfRule>
    <cfRule type="cellIs" dxfId="23068" priority="199" operator="equal">
      <formula>0</formula>
    </cfRule>
    <cfRule type="cellIs" dxfId="23067" priority="200" operator="greaterThan">
      <formula>0</formula>
    </cfRule>
    <cfRule type="cellIs" dxfId="23066" priority="201" operator="equal">
      <formula>"PMS"</formula>
    </cfRule>
    <cfRule type="containsText" dxfId="23065" priority="202" operator="containsText" text="CMS">
      <formula>NOT(ISERROR(SEARCH("CMS",F13)))</formula>
    </cfRule>
    <cfRule type="cellIs" dxfId="23064" priority="203" operator="equal">
      <formula>0</formula>
    </cfRule>
    <cfRule type="cellIs" dxfId="23063" priority="204" operator="greaterThan">
      <formula>0</formula>
    </cfRule>
  </conditionalFormatting>
  <conditionalFormatting sqref="F13:F16 G15:G16">
    <cfRule type="cellIs" dxfId="23062" priority="193" operator="equal">
      <formula>"PMS"</formula>
    </cfRule>
    <cfRule type="containsText" dxfId="23061" priority="194" operator="containsText" text="CMS">
      <formula>NOT(ISERROR(SEARCH("CMS",F13)))</formula>
    </cfRule>
    <cfRule type="cellIs" dxfId="23060" priority="195" operator="equal">
      <formula>0</formula>
    </cfRule>
    <cfRule type="cellIs" dxfId="23059" priority="196" operator="greaterThan">
      <formula>0</formula>
    </cfRule>
  </conditionalFormatting>
  <conditionalFormatting sqref="F13:F16 G15:G16">
    <cfRule type="cellIs" dxfId="23058" priority="189" operator="equal">
      <formula>"PMS"</formula>
    </cfRule>
    <cfRule type="containsText" dxfId="23057" priority="190" operator="containsText" text="CMS">
      <formula>NOT(ISERROR(SEARCH("CMS",F13)))</formula>
    </cfRule>
    <cfRule type="cellIs" dxfId="23056" priority="191" operator="equal">
      <formula>0</formula>
    </cfRule>
    <cfRule type="cellIs" dxfId="23055" priority="192" operator="greaterThan">
      <formula>0</formula>
    </cfRule>
  </conditionalFormatting>
  <conditionalFormatting sqref="F13">
    <cfRule type="cellIs" dxfId="23054" priority="185" operator="equal">
      <formula>"PMS"</formula>
    </cfRule>
    <cfRule type="containsText" dxfId="23053" priority="186" operator="containsText" text="CMS">
      <formula>NOT(ISERROR(SEARCH("CMS",F13)))</formula>
    </cfRule>
    <cfRule type="cellIs" dxfId="23052" priority="187" operator="equal">
      <formula>0</formula>
    </cfRule>
    <cfRule type="cellIs" dxfId="23051" priority="188" operator="greaterThan">
      <formula>0</formula>
    </cfRule>
  </conditionalFormatting>
  <conditionalFormatting sqref="F13">
    <cfRule type="cellIs" dxfId="23050" priority="181" operator="equal">
      <formula>"PMS"</formula>
    </cfRule>
    <cfRule type="containsText" dxfId="23049" priority="182" operator="containsText" text="CMS">
      <formula>NOT(ISERROR(SEARCH("CMS",F13)))</formula>
    </cfRule>
    <cfRule type="cellIs" dxfId="23048" priority="183" operator="equal">
      <formula>0</formula>
    </cfRule>
    <cfRule type="cellIs" dxfId="23047" priority="184" operator="greaterThan">
      <formula>0</formula>
    </cfRule>
  </conditionalFormatting>
  <conditionalFormatting sqref="F20:F21 G21">
    <cfRule type="cellIs" dxfId="23046" priority="173" operator="equal">
      <formula>"PMS"</formula>
    </cfRule>
    <cfRule type="containsText" dxfId="23045" priority="174" operator="containsText" text="CMS">
      <formula>NOT(ISERROR(SEARCH("CMS",F20)))</formula>
    </cfRule>
    <cfRule type="cellIs" dxfId="23044" priority="175" operator="equal">
      <formula>0</formula>
    </cfRule>
    <cfRule type="cellIs" dxfId="23043" priority="176" operator="greaterThan">
      <formula>0</formula>
    </cfRule>
    <cfRule type="cellIs" dxfId="23042" priority="177" operator="equal">
      <formula>"PMS"</formula>
    </cfRule>
    <cfRule type="containsText" dxfId="23041" priority="178" operator="containsText" text="CMS">
      <formula>NOT(ISERROR(SEARCH("CMS",F20)))</formula>
    </cfRule>
    <cfRule type="cellIs" dxfId="23040" priority="179" operator="equal">
      <formula>0</formula>
    </cfRule>
    <cfRule type="cellIs" dxfId="23039" priority="180" operator="greaterThan">
      <formula>0</formula>
    </cfRule>
  </conditionalFormatting>
  <conditionalFormatting sqref="F20:F21 G21">
    <cfRule type="cellIs" dxfId="23038" priority="169" operator="equal">
      <formula>"PMS"</formula>
    </cfRule>
    <cfRule type="containsText" dxfId="23037" priority="170" operator="containsText" text="CMS">
      <formula>NOT(ISERROR(SEARCH("CMS",F20)))</formula>
    </cfRule>
    <cfRule type="cellIs" dxfId="23036" priority="171" operator="equal">
      <formula>0</formula>
    </cfRule>
    <cfRule type="cellIs" dxfId="23035" priority="172" operator="greaterThan">
      <formula>0</formula>
    </cfRule>
  </conditionalFormatting>
  <conditionalFormatting sqref="F20:F21 G21">
    <cfRule type="cellIs" dxfId="23034" priority="165" operator="equal">
      <formula>"PMS"</formula>
    </cfRule>
    <cfRule type="containsText" dxfId="23033" priority="166" operator="containsText" text="CMS">
      <formula>NOT(ISERROR(SEARCH("CMS",F20)))</formula>
    </cfRule>
    <cfRule type="cellIs" dxfId="23032" priority="167" operator="equal">
      <formula>0</formula>
    </cfRule>
    <cfRule type="cellIs" dxfId="23031" priority="168" operator="greaterThan">
      <formula>0</formula>
    </cfRule>
  </conditionalFormatting>
  <conditionalFormatting sqref="F19">
    <cfRule type="cellIs" dxfId="23030" priority="161" operator="equal">
      <formula>"CMS"</formula>
    </cfRule>
    <cfRule type="cellIs" dxfId="23029" priority="162" operator="equal">
      <formula>"PMS"</formula>
    </cfRule>
    <cfRule type="cellIs" dxfId="23028" priority="163" operator="greaterThan">
      <formula>0</formula>
    </cfRule>
    <cfRule type="cellIs" dxfId="23027" priority="164" operator="equal">
      <formula>0</formula>
    </cfRule>
  </conditionalFormatting>
  <conditionalFormatting sqref="F27:F28">
    <cfRule type="cellIs" dxfId="23026" priority="153" operator="equal">
      <formula>"PMS"</formula>
    </cfRule>
    <cfRule type="containsText" dxfId="23025" priority="154" operator="containsText" text="CMS">
      <formula>NOT(ISERROR(SEARCH("CMS",F27)))</formula>
    </cfRule>
    <cfRule type="cellIs" dxfId="23024" priority="155" operator="equal">
      <formula>0</formula>
    </cfRule>
    <cfRule type="cellIs" dxfId="23023" priority="156" operator="greaterThan">
      <formula>0</formula>
    </cfRule>
    <cfRule type="cellIs" dxfId="23022" priority="157" operator="equal">
      <formula>"PMS"</formula>
    </cfRule>
    <cfRule type="containsText" dxfId="23021" priority="158" operator="containsText" text="CMS">
      <formula>NOT(ISERROR(SEARCH("CMS",F27)))</formula>
    </cfRule>
    <cfRule type="cellIs" dxfId="23020" priority="159" operator="equal">
      <formula>0</formula>
    </cfRule>
    <cfRule type="cellIs" dxfId="23019" priority="160" operator="greaterThan">
      <formula>0</formula>
    </cfRule>
  </conditionalFormatting>
  <conditionalFormatting sqref="F27:F28">
    <cfRule type="cellIs" dxfId="23018" priority="149" operator="equal">
      <formula>"PMS"</formula>
    </cfRule>
    <cfRule type="containsText" dxfId="23017" priority="150" operator="containsText" text="CMS">
      <formula>NOT(ISERROR(SEARCH("CMS",F27)))</formula>
    </cfRule>
    <cfRule type="cellIs" dxfId="23016" priority="151" operator="equal">
      <formula>0</formula>
    </cfRule>
    <cfRule type="cellIs" dxfId="23015" priority="152" operator="greaterThan">
      <formula>0</formula>
    </cfRule>
  </conditionalFormatting>
  <conditionalFormatting sqref="F27:F28">
    <cfRule type="cellIs" dxfId="23014" priority="145" operator="equal">
      <formula>"PMS"</formula>
    </cfRule>
    <cfRule type="containsText" dxfId="23013" priority="146" operator="containsText" text="CMS">
      <formula>NOT(ISERROR(SEARCH("CMS",F27)))</formula>
    </cfRule>
    <cfRule type="cellIs" dxfId="23012" priority="147" operator="equal">
      <formula>0</formula>
    </cfRule>
    <cfRule type="cellIs" dxfId="23011" priority="148" operator="greaterThan">
      <formula>0</formula>
    </cfRule>
  </conditionalFormatting>
  <conditionalFormatting sqref="F29">
    <cfRule type="cellIs" dxfId="23010" priority="137" operator="equal">
      <formula>"PMS"</formula>
    </cfRule>
    <cfRule type="containsText" dxfId="23009" priority="138" operator="containsText" text="CMS">
      <formula>NOT(ISERROR(SEARCH("CMS",F29)))</formula>
    </cfRule>
    <cfRule type="cellIs" dxfId="23008" priority="139" operator="equal">
      <formula>0</formula>
    </cfRule>
    <cfRule type="cellIs" dxfId="23007" priority="140" operator="greaterThan">
      <formula>0</formula>
    </cfRule>
    <cfRule type="cellIs" dxfId="23006" priority="141" operator="equal">
      <formula>"PMS"</formula>
    </cfRule>
    <cfRule type="containsText" dxfId="23005" priority="142" operator="containsText" text="CMS">
      <formula>NOT(ISERROR(SEARCH("CMS",F29)))</formula>
    </cfRule>
    <cfRule type="cellIs" dxfId="23004" priority="143" operator="equal">
      <formula>0</formula>
    </cfRule>
    <cfRule type="cellIs" dxfId="23003" priority="144" operator="greaterThan">
      <formula>0</formula>
    </cfRule>
  </conditionalFormatting>
  <conditionalFormatting sqref="F32">
    <cfRule type="cellIs" dxfId="23002" priority="129" operator="equal">
      <formula>"PMS"</formula>
    </cfRule>
    <cfRule type="containsText" dxfId="23001" priority="130" operator="containsText" text="CMS">
      <formula>NOT(ISERROR(SEARCH("CMS",F32)))</formula>
    </cfRule>
    <cfRule type="cellIs" dxfId="23000" priority="131" operator="equal">
      <formula>0</formula>
    </cfRule>
    <cfRule type="cellIs" dxfId="22999" priority="132" operator="greaterThan">
      <formula>0</formula>
    </cfRule>
    <cfRule type="cellIs" dxfId="22998" priority="133" operator="equal">
      <formula>"PMS"</formula>
    </cfRule>
    <cfRule type="containsText" dxfId="22997" priority="134" operator="containsText" text="CMS">
      <formula>NOT(ISERROR(SEARCH("CMS",F32)))</formula>
    </cfRule>
    <cfRule type="cellIs" dxfId="22996" priority="135" operator="equal">
      <formula>0</formula>
    </cfRule>
    <cfRule type="cellIs" dxfId="22995" priority="136" operator="greaterThan">
      <formula>0</formula>
    </cfRule>
  </conditionalFormatting>
  <conditionalFormatting sqref="F32">
    <cfRule type="cellIs" dxfId="22994" priority="125" operator="equal">
      <formula>"PMS"</formula>
    </cfRule>
    <cfRule type="containsText" dxfId="22993" priority="126" operator="containsText" text="CMS">
      <formula>NOT(ISERROR(SEARCH("CMS",F32)))</formula>
    </cfRule>
    <cfRule type="cellIs" dxfId="22992" priority="127" operator="equal">
      <formula>0</formula>
    </cfRule>
    <cfRule type="cellIs" dxfId="22991" priority="128" operator="greaterThan">
      <formula>0</formula>
    </cfRule>
  </conditionalFormatting>
  <conditionalFormatting sqref="F32">
    <cfRule type="cellIs" dxfId="22990" priority="121" operator="equal">
      <formula>"PMS"</formula>
    </cfRule>
    <cfRule type="containsText" dxfId="22989" priority="122" operator="containsText" text="CMS">
      <formula>NOT(ISERROR(SEARCH("CMS",F32)))</formula>
    </cfRule>
    <cfRule type="cellIs" dxfId="22988" priority="123" operator="equal">
      <formula>0</formula>
    </cfRule>
    <cfRule type="cellIs" dxfId="22987" priority="124" operator="greaterThan">
      <formula>0</formula>
    </cfRule>
  </conditionalFormatting>
  <conditionalFormatting sqref="F61:F63 G61:M61 G63:M63">
    <cfRule type="cellIs" dxfId="22986" priority="113" operator="equal">
      <formula>"PMS"</formula>
    </cfRule>
    <cfRule type="containsText" dxfId="22985" priority="114" operator="containsText" text="CMS">
      <formula>NOT(ISERROR(SEARCH("CMS",F61)))</formula>
    </cfRule>
    <cfRule type="cellIs" dxfId="22984" priority="115" operator="equal">
      <formula>0</formula>
    </cfRule>
    <cfRule type="cellIs" dxfId="22983" priority="116" operator="greaterThan">
      <formula>0</formula>
    </cfRule>
    <cfRule type="cellIs" dxfId="22982" priority="117" operator="equal">
      <formula>"PMS"</formula>
    </cfRule>
    <cfRule type="containsText" dxfId="22981" priority="118" operator="containsText" text="CMS">
      <formula>NOT(ISERROR(SEARCH("CMS",F61)))</formula>
    </cfRule>
    <cfRule type="cellIs" dxfId="22980" priority="119" operator="equal">
      <formula>0</formula>
    </cfRule>
    <cfRule type="cellIs" dxfId="22979" priority="120" operator="greaterThan">
      <formula>0</formula>
    </cfRule>
  </conditionalFormatting>
  <conditionalFormatting sqref="F61:F63 G61:M61 G63:M63">
    <cfRule type="cellIs" dxfId="22978" priority="109" operator="equal">
      <formula>"PMS"</formula>
    </cfRule>
    <cfRule type="containsText" dxfId="22977" priority="110" operator="containsText" text="CMS">
      <formula>NOT(ISERROR(SEARCH("CMS",F61)))</formula>
    </cfRule>
    <cfRule type="cellIs" dxfId="22976" priority="111" operator="equal">
      <formula>0</formula>
    </cfRule>
    <cfRule type="cellIs" dxfId="22975" priority="112" operator="greaterThan">
      <formula>0</formula>
    </cfRule>
  </conditionalFormatting>
  <conditionalFormatting sqref="F66">
    <cfRule type="cellIs" dxfId="22974" priority="101" operator="equal">
      <formula>"PMS"</formula>
    </cfRule>
    <cfRule type="containsText" dxfId="22973" priority="102" operator="containsText" text="CMS">
      <formula>NOT(ISERROR(SEARCH("CMS",F66)))</formula>
    </cfRule>
    <cfRule type="cellIs" dxfId="22972" priority="103" operator="equal">
      <formula>0</formula>
    </cfRule>
    <cfRule type="cellIs" dxfId="22971" priority="104" operator="greaterThan">
      <formula>0</formula>
    </cfRule>
    <cfRule type="cellIs" dxfId="22970" priority="105" operator="equal">
      <formula>"PMS"</formula>
    </cfRule>
    <cfRule type="containsText" dxfId="22969" priority="106" operator="containsText" text="CMS">
      <formula>NOT(ISERROR(SEARCH("CMS",F66)))</formula>
    </cfRule>
    <cfRule type="cellIs" dxfId="22968" priority="107" operator="equal">
      <formula>0</formula>
    </cfRule>
    <cfRule type="cellIs" dxfId="22967" priority="108" operator="greaterThan">
      <formula>0</formula>
    </cfRule>
  </conditionalFormatting>
  <conditionalFormatting sqref="F66">
    <cfRule type="cellIs" dxfId="22966" priority="97" operator="equal">
      <formula>"PMS"</formula>
    </cfRule>
    <cfRule type="containsText" dxfId="22965" priority="98" operator="containsText" text="CMS">
      <formula>NOT(ISERROR(SEARCH("CMS",F66)))</formula>
    </cfRule>
    <cfRule type="cellIs" dxfId="22964" priority="99" operator="equal">
      <formula>0</formula>
    </cfRule>
    <cfRule type="cellIs" dxfId="22963" priority="100" operator="greaterThan">
      <formula>0</formula>
    </cfRule>
  </conditionalFormatting>
  <conditionalFormatting sqref="F66">
    <cfRule type="cellIs" dxfId="22962" priority="93" operator="equal">
      <formula>"PMS"</formula>
    </cfRule>
    <cfRule type="containsText" dxfId="22961" priority="94" operator="containsText" text="CMS">
      <formula>NOT(ISERROR(SEARCH("CMS",F66)))</formula>
    </cfRule>
    <cfRule type="cellIs" dxfId="22960" priority="95" operator="equal">
      <formula>0</formula>
    </cfRule>
    <cfRule type="cellIs" dxfId="22959" priority="96" operator="greaterThan">
      <formula>0</formula>
    </cfRule>
  </conditionalFormatting>
  <conditionalFormatting sqref="F77:F78 G78">
    <cfRule type="cellIs" dxfId="22958" priority="85" operator="equal">
      <formula>"PMS"</formula>
    </cfRule>
    <cfRule type="containsText" dxfId="22957" priority="86" operator="containsText" text="CMS">
      <formula>NOT(ISERROR(SEARCH("CMS",F77)))</formula>
    </cfRule>
    <cfRule type="cellIs" dxfId="22956" priority="87" operator="equal">
      <formula>0</formula>
    </cfRule>
    <cfRule type="cellIs" dxfId="22955" priority="88" operator="greaterThan">
      <formula>0</formula>
    </cfRule>
    <cfRule type="cellIs" dxfId="22954" priority="89" operator="equal">
      <formula>"PMS"</formula>
    </cfRule>
    <cfRule type="containsText" dxfId="22953" priority="90" operator="containsText" text="CMS">
      <formula>NOT(ISERROR(SEARCH("CMS",F77)))</formula>
    </cfRule>
    <cfRule type="cellIs" dxfId="22952" priority="91" operator="equal">
      <formula>0</formula>
    </cfRule>
    <cfRule type="cellIs" dxfId="22951" priority="92" operator="greaterThan">
      <formula>0</formula>
    </cfRule>
  </conditionalFormatting>
  <conditionalFormatting sqref="F77:F78 G78">
    <cfRule type="cellIs" dxfId="22950" priority="81" operator="equal">
      <formula>"PMS"</formula>
    </cfRule>
    <cfRule type="containsText" dxfId="22949" priority="82" operator="containsText" text="CMS">
      <formula>NOT(ISERROR(SEARCH("CMS",F77)))</formula>
    </cfRule>
    <cfRule type="cellIs" dxfId="22948" priority="83" operator="equal">
      <formula>0</formula>
    </cfRule>
    <cfRule type="cellIs" dxfId="22947" priority="84" operator="greaterThan">
      <formula>0</formula>
    </cfRule>
  </conditionalFormatting>
  <conditionalFormatting sqref="F24:G24">
    <cfRule type="cellIs" dxfId="22946" priority="73" operator="equal">
      <formula>"PMS"</formula>
    </cfRule>
    <cfRule type="containsText" dxfId="22945" priority="74" operator="containsText" text="CMS">
      <formula>NOT(ISERROR(SEARCH("CMS",F24)))</formula>
    </cfRule>
    <cfRule type="cellIs" dxfId="22944" priority="75" operator="equal">
      <formula>0</formula>
    </cfRule>
    <cfRule type="cellIs" dxfId="22943" priority="76" operator="greaterThan">
      <formula>0</formula>
    </cfRule>
    <cfRule type="cellIs" dxfId="22942" priority="77" operator="equal">
      <formula>"PMS"</formula>
    </cfRule>
    <cfRule type="containsText" dxfId="22941" priority="78" operator="containsText" text="CMS">
      <formula>NOT(ISERROR(SEARCH("CMS",F24)))</formula>
    </cfRule>
    <cfRule type="cellIs" dxfId="22940" priority="79" operator="equal">
      <formula>0</formula>
    </cfRule>
    <cfRule type="cellIs" dxfId="22939" priority="80" operator="greaterThan">
      <formula>0</formula>
    </cfRule>
  </conditionalFormatting>
  <conditionalFormatting sqref="F24:G24">
    <cfRule type="cellIs" dxfId="22938" priority="69" operator="equal">
      <formula>"PMS"</formula>
    </cfRule>
    <cfRule type="containsText" dxfId="22937" priority="70" operator="containsText" text="CMS">
      <formula>NOT(ISERROR(SEARCH("CMS",F24)))</formula>
    </cfRule>
    <cfRule type="cellIs" dxfId="22936" priority="71" operator="equal">
      <formula>0</formula>
    </cfRule>
    <cfRule type="cellIs" dxfId="22935" priority="72" operator="greaterThan">
      <formula>0</formula>
    </cfRule>
  </conditionalFormatting>
  <conditionalFormatting sqref="F24:G24">
    <cfRule type="cellIs" dxfId="22934" priority="65" operator="equal">
      <formula>"PMS"</formula>
    </cfRule>
    <cfRule type="containsText" dxfId="22933" priority="66" operator="containsText" text="CMS">
      <formula>NOT(ISERROR(SEARCH("CMS",F24)))</formula>
    </cfRule>
    <cfRule type="cellIs" dxfId="22932" priority="67" operator="equal">
      <formula>0</formula>
    </cfRule>
    <cfRule type="cellIs" dxfId="22931" priority="68" operator="greaterThan">
      <formula>0</formula>
    </cfRule>
  </conditionalFormatting>
  <conditionalFormatting sqref="F35:F58">
    <cfRule type="cellIs" dxfId="22930" priority="57" operator="equal">
      <formula>"PMS"</formula>
    </cfRule>
    <cfRule type="containsText" dxfId="22929" priority="58" operator="containsText" text="CMS">
      <formula>NOT(ISERROR(SEARCH("CMS",F35)))</formula>
    </cfRule>
    <cfRule type="cellIs" dxfId="22928" priority="59" operator="equal">
      <formula>0</formula>
    </cfRule>
    <cfRule type="cellIs" dxfId="22927" priority="60" operator="greaterThan">
      <formula>0</formula>
    </cfRule>
    <cfRule type="cellIs" dxfId="22926" priority="61" operator="equal">
      <formula>"PMS"</formula>
    </cfRule>
    <cfRule type="containsText" dxfId="22925" priority="62" operator="containsText" text="CMS">
      <formula>NOT(ISERROR(SEARCH("CMS",F35)))</formula>
    </cfRule>
    <cfRule type="cellIs" dxfId="22924" priority="63" operator="equal">
      <formula>0</formula>
    </cfRule>
    <cfRule type="cellIs" dxfId="22923" priority="64" operator="greaterThan">
      <formula>0</formula>
    </cfRule>
  </conditionalFormatting>
  <conditionalFormatting sqref="F35:F58">
    <cfRule type="cellIs" dxfId="22922" priority="53" operator="equal">
      <formula>"PMS"</formula>
    </cfRule>
    <cfRule type="containsText" dxfId="22921" priority="54" operator="containsText" text="CMS">
      <formula>NOT(ISERROR(SEARCH("CMS",F35)))</formula>
    </cfRule>
    <cfRule type="cellIs" dxfId="22920" priority="55" operator="equal">
      <formula>0</formula>
    </cfRule>
    <cfRule type="cellIs" dxfId="22919" priority="56" operator="greaterThan">
      <formula>0</formula>
    </cfRule>
  </conditionalFormatting>
  <conditionalFormatting sqref="F35:F58">
    <cfRule type="cellIs" dxfId="22918" priority="49" operator="equal">
      <formula>"PMS"</formula>
    </cfRule>
    <cfRule type="containsText" dxfId="22917" priority="50" operator="containsText" text="CMS">
      <formula>NOT(ISERROR(SEARCH("CMS",F35)))</formula>
    </cfRule>
    <cfRule type="cellIs" dxfId="22916" priority="51" operator="equal">
      <formula>0</formula>
    </cfRule>
    <cfRule type="cellIs" dxfId="22915" priority="52" operator="greaterThan">
      <formula>0</formula>
    </cfRule>
  </conditionalFormatting>
  <conditionalFormatting sqref="F57">
    <cfRule type="cellIs" dxfId="22914" priority="45" operator="equal">
      <formula>"PMS"</formula>
    </cfRule>
    <cfRule type="containsText" dxfId="22913" priority="46" operator="containsText" text="CMS">
      <formula>NOT(ISERROR(SEARCH("CMS",F57)))</formula>
    </cfRule>
    <cfRule type="cellIs" dxfId="22912" priority="47" operator="equal">
      <formula>0</formula>
    </cfRule>
    <cfRule type="cellIs" dxfId="22911" priority="48" operator="greaterThan">
      <formula>0</formula>
    </cfRule>
  </conditionalFormatting>
  <conditionalFormatting sqref="F57">
    <cfRule type="cellIs" dxfId="22910" priority="41" operator="equal">
      <formula>"PMS"</formula>
    </cfRule>
    <cfRule type="containsText" dxfId="22909" priority="42" operator="containsText" text="CMS">
      <formula>NOT(ISERROR(SEARCH("CMS",F57)))</formula>
    </cfRule>
    <cfRule type="cellIs" dxfId="22908" priority="43" operator="equal">
      <formula>0</formula>
    </cfRule>
    <cfRule type="cellIs" dxfId="22907" priority="44" operator="greaterThan">
      <formula>0</formula>
    </cfRule>
  </conditionalFormatting>
  <conditionalFormatting sqref="F57">
    <cfRule type="cellIs" dxfId="22906" priority="37" operator="equal">
      <formula>"PMS"</formula>
    </cfRule>
    <cfRule type="containsText" dxfId="22905" priority="38" operator="containsText" text="CMS">
      <formula>NOT(ISERROR(SEARCH("CMS",F57)))</formula>
    </cfRule>
    <cfRule type="cellIs" dxfId="22904" priority="39" operator="equal">
      <formula>0</formula>
    </cfRule>
    <cfRule type="cellIs" dxfId="22903" priority="40" operator="greaterThan">
      <formula>0</formula>
    </cfRule>
  </conditionalFormatting>
  <conditionalFormatting sqref="F57">
    <cfRule type="cellIs" dxfId="22902" priority="33" operator="equal">
      <formula>"PMS"</formula>
    </cfRule>
    <cfRule type="containsText" dxfId="22901" priority="34" operator="containsText" text="CMS">
      <formula>NOT(ISERROR(SEARCH("CMS",F57)))</formula>
    </cfRule>
    <cfRule type="cellIs" dxfId="22900" priority="35" operator="equal">
      <formula>0</formula>
    </cfRule>
    <cfRule type="cellIs" dxfId="22899" priority="36" operator="greaterThan">
      <formula>0</formula>
    </cfRule>
  </conditionalFormatting>
  <conditionalFormatting sqref="F58">
    <cfRule type="cellIs" dxfId="22898" priority="29" operator="equal">
      <formula>"PMS"</formula>
    </cfRule>
    <cfRule type="containsText" dxfId="22897" priority="30" operator="containsText" text="CMS">
      <formula>NOT(ISERROR(SEARCH("CMS",F58)))</formula>
    </cfRule>
    <cfRule type="cellIs" dxfId="22896" priority="31" operator="equal">
      <formula>0</formula>
    </cfRule>
    <cfRule type="cellIs" dxfId="22895" priority="32" operator="greaterThan">
      <formula>0</formula>
    </cfRule>
  </conditionalFormatting>
  <conditionalFormatting sqref="F58">
    <cfRule type="cellIs" dxfId="22894" priority="25" operator="equal">
      <formula>"PMS"</formula>
    </cfRule>
    <cfRule type="containsText" dxfId="22893" priority="26" operator="containsText" text="CMS">
      <formula>NOT(ISERROR(SEARCH("CMS",F58)))</formula>
    </cfRule>
    <cfRule type="cellIs" dxfId="22892" priority="27" operator="equal">
      <formula>0</formula>
    </cfRule>
    <cfRule type="cellIs" dxfId="22891" priority="28" operator="greaterThan">
      <formula>0</formula>
    </cfRule>
  </conditionalFormatting>
  <conditionalFormatting sqref="F58">
    <cfRule type="cellIs" dxfId="22890" priority="21" operator="equal">
      <formula>"PMS"</formula>
    </cfRule>
    <cfRule type="containsText" dxfId="22889" priority="22" operator="containsText" text="CMS">
      <formula>NOT(ISERROR(SEARCH("CMS",F58)))</formula>
    </cfRule>
    <cfRule type="cellIs" dxfId="22888" priority="23" operator="equal">
      <formula>0</formula>
    </cfRule>
    <cfRule type="cellIs" dxfId="22887" priority="24" operator="greaterThan">
      <formula>0</formula>
    </cfRule>
  </conditionalFormatting>
  <conditionalFormatting sqref="F58">
    <cfRule type="cellIs" dxfId="22886" priority="17" operator="equal">
      <formula>"PMS"</formula>
    </cfRule>
    <cfRule type="containsText" dxfId="22885" priority="18" operator="containsText" text="CMS">
      <formula>NOT(ISERROR(SEARCH("CMS",F58)))</formula>
    </cfRule>
    <cfRule type="cellIs" dxfId="22884" priority="19" operator="equal">
      <formula>0</formula>
    </cfRule>
    <cfRule type="cellIs" dxfId="22883" priority="20" operator="greaterThan">
      <formula>0</formula>
    </cfRule>
  </conditionalFormatting>
  <conditionalFormatting sqref="F67:F74">
    <cfRule type="cellIs" dxfId="22882" priority="9" operator="equal">
      <formula>"PMS"</formula>
    </cfRule>
    <cfRule type="containsText" dxfId="22881" priority="10" operator="containsText" text="CMS">
      <formula>NOT(ISERROR(SEARCH("CMS",F67)))</formula>
    </cfRule>
    <cfRule type="cellIs" dxfId="22880" priority="11" operator="equal">
      <formula>0</formula>
    </cfRule>
    <cfRule type="cellIs" dxfId="22879" priority="12" operator="greaterThan">
      <formula>0</formula>
    </cfRule>
    <cfRule type="cellIs" dxfId="22878" priority="13" operator="equal">
      <formula>"PMS"</formula>
    </cfRule>
    <cfRule type="containsText" dxfId="22877" priority="14" operator="containsText" text="CMS">
      <formula>NOT(ISERROR(SEARCH("CMS",F67)))</formula>
    </cfRule>
    <cfRule type="cellIs" dxfId="22876" priority="15" operator="equal">
      <formula>0</formula>
    </cfRule>
    <cfRule type="cellIs" dxfId="22875" priority="16" operator="greaterThan">
      <formula>0</formula>
    </cfRule>
  </conditionalFormatting>
  <conditionalFormatting sqref="F67:F74">
    <cfRule type="cellIs" dxfId="22874" priority="5" operator="equal">
      <formula>"PMS"</formula>
    </cfRule>
    <cfRule type="containsText" dxfId="22873" priority="6" operator="containsText" text="CMS">
      <formula>NOT(ISERROR(SEARCH("CMS",F67)))</formula>
    </cfRule>
    <cfRule type="cellIs" dxfId="22872" priority="7" operator="equal">
      <formula>0</formula>
    </cfRule>
    <cfRule type="cellIs" dxfId="22871" priority="8" operator="greaterThan">
      <formula>0</formula>
    </cfRule>
  </conditionalFormatting>
  <conditionalFormatting sqref="F67:F74">
    <cfRule type="cellIs" dxfId="22870" priority="1" operator="equal">
      <formula>"PMS"</formula>
    </cfRule>
    <cfRule type="containsText" dxfId="22869" priority="2" operator="containsText" text="CMS">
      <formula>NOT(ISERROR(SEARCH("CMS",F67)))</formula>
    </cfRule>
    <cfRule type="cellIs" dxfId="22868" priority="3" operator="equal">
      <formula>0</formula>
    </cfRule>
    <cfRule type="cellIs" dxfId="2286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4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223D-9932-4B68-8D2D-A7F3A0B4AB3A}">
  <sheetPr codeName="Sheet110"/>
  <dimension ref="A2:DT137"/>
  <sheetViews>
    <sheetView zoomScale="70" zoomScaleNormal="70" zoomScaleSheetLayoutView="51" zoomScalePageLayoutView="55" workbookViewId="0">
      <pane xSplit="5" ySplit="11" topLeftCell="F35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Q69" sqref="Q6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12,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492.60000000000019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</v>
      </c>
      <c r="G13" s="71">
        <v>6.7</v>
      </c>
      <c r="H13" s="71">
        <v>6.7</v>
      </c>
      <c r="I13" s="71">
        <v>6.6</v>
      </c>
      <c r="J13" s="71">
        <v>6.6</v>
      </c>
      <c r="K13" s="71">
        <v>6.8</v>
      </c>
      <c r="L13" s="71">
        <v>6.7</v>
      </c>
      <c r="M13" s="71">
        <v>6.5</v>
      </c>
      <c r="N13" s="71">
        <v>6.8</v>
      </c>
      <c r="O13" s="219">
        <v>6.7</v>
      </c>
      <c r="P13" s="219">
        <v>6.9</v>
      </c>
      <c r="Q13" s="71">
        <v>6.6</v>
      </c>
      <c r="R13" s="71">
        <v>5.4</v>
      </c>
      <c r="S13" s="71">
        <v>6.7</v>
      </c>
      <c r="T13" s="71">
        <v>6.9</v>
      </c>
      <c r="U13" s="71">
        <v>6.6</v>
      </c>
      <c r="V13" s="71">
        <v>6.2</v>
      </c>
      <c r="W13" s="71">
        <v>6.5</v>
      </c>
      <c r="X13" s="71">
        <v>6.9</v>
      </c>
      <c r="Y13" s="71">
        <v>6.5</v>
      </c>
      <c r="Z13" s="71">
        <v>6.8</v>
      </c>
      <c r="AA13" s="71">
        <v>6.5</v>
      </c>
      <c r="AB13" s="71">
        <v>6.6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7.2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6.8</v>
      </c>
      <c r="O14" s="219">
        <v>6.8</v>
      </c>
      <c r="P14" s="219">
        <v>7</v>
      </c>
      <c r="Q14" s="71">
        <v>6.8</v>
      </c>
      <c r="R14" s="71">
        <v>5</v>
      </c>
      <c r="S14" s="71">
        <v>6.7</v>
      </c>
      <c r="T14" s="71">
        <v>6.9</v>
      </c>
      <c r="U14" s="71">
        <v>6.6</v>
      </c>
      <c r="V14" s="71">
        <v>6.2</v>
      </c>
      <c r="W14" s="71">
        <v>6.5</v>
      </c>
      <c r="X14" s="71">
        <v>6.8</v>
      </c>
      <c r="Y14" s="71">
        <v>6.5</v>
      </c>
      <c r="Z14" s="71">
        <v>6.8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</v>
      </c>
      <c r="G15" s="71">
        <v>6.7</v>
      </c>
      <c r="H15" s="71">
        <v>6.7</v>
      </c>
      <c r="I15" s="71">
        <v>6.6</v>
      </c>
      <c r="J15" s="71">
        <v>6.6</v>
      </c>
      <c r="K15" s="71">
        <v>6.8</v>
      </c>
      <c r="L15" s="71">
        <v>6.7</v>
      </c>
      <c r="M15" s="71">
        <v>6.5</v>
      </c>
      <c r="N15" s="71">
        <v>6.8</v>
      </c>
      <c r="O15" s="219">
        <v>6.7</v>
      </c>
      <c r="P15" s="219">
        <v>6.8</v>
      </c>
      <c r="Q15" s="71">
        <v>6.6</v>
      </c>
      <c r="R15" s="71">
        <v>4.2</v>
      </c>
      <c r="S15" s="71">
        <v>6.8</v>
      </c>
      <c r="T15" s="71">
        <v>6.9</v>
      </c>
      <c r="U15" s="71">
        <v>6.6</v>
      </c>
      <c r="V15" s="71">
        <v>6.2</v>
      </c>
      <c r="W15" s="71">
        <v>6.5</v>
      </c>
      <c r="X15" s="71">
        <v>6.8</v>
      </c>
      <c r="Y15" s="71">
        <v>6.5</v>
      </c>
      <c r="Z15" s="71">
        <v>6.8</v>
      </c>
      <c r="AA15" s="71">
        <v>6.5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 t="s">
        <v>7</v>
      </c>
      <c r="G16" s="71" t="s">
        <v>7</v>
      </c>
      <c r="H16" s="71" t="s">
        <v>7</v>
      </c>
      <c r="I16" s="71" t="s">
        <v>7</v>
      </c>
      <c r="J16" s="71" t="s">
        <v>7</v>
      </c>
      <c r="K16" s="71" t="s">
        <v>7</v>
      </c>
      <c r="L16" s="71" t="s">
        <v>7</v>
      </c>
      <c r="M16" s="71" t="s">
        <v>7</v>
      </c>
      <c r="N16" s="71" t="s">
        <v>7</v>
      </c>
      <c r="O16" s="71" t="s">
        <v>7</v>
      </c>
      <c r="P16" s="219" t="s">
        <v>7</v>
      </c>
      <c r="Q16" s="71" t="s">
        <v>7</v>
      </c>
      <c r="R16" s="71">
        <v>6</v>
      </c>
      <c r="S16" s="71">
        <v>6.8</v>
      </c>
      <c r="T16" s="71">
        <v>6.9</v>
      </c>
      <c r="U16" s="71">
        <v>6.6</v>
      </c>
      <c r="V16" s="71">
        <v>6.2</v>
      </c>
      <c r="W16" s="71">
        <v>6.9</v>
      </c>
      <c r="X16" s="71">
        <v>6.8</v>
      </c>
      <c r="Y16" s="71">
        <v>6.5</v>
      </c>
      <c r="Z16" s="71">
        <v>6.8</v>
      </c>
      <c r="AA16" s="71">
        <v>6.5</v>
      </c>
      <c r="AB16" s="71">
        <v>0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11</v>
      </c>
      <c r="AH16" s="11">
        <f>COUNT(F16:AC16)</f>
        <v>12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19.2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13.6</v>
      </c>
      <c r="L17" s="19">
        <f t="shared" si="0"/>
        <v>13.4</v>
      </c>
      <c r="M17" s="19">
        <f t="shared" si="0"/>
        <v>13</v>
      </c>
      <c r="N17" s="19">
        <f t="shared" si="0"/>
        <v>20.399999999999999</v>
      </c>
      <c r="O17" s="19">
        <f t="shared" si="0"/>
        <v>20.2</v>
      </c>
      <c r="P17" s="19">
        <f t="shared" si="0"/>
        <v>20.7</v>
      </c>
      <c r="Q17" s="19">
        <f t="shared" si="0"/>
        <v>20</v>
      </c>
      <c r="R17" s="19">
        <f t="shared" si="0"/>
        <v>20.6</v>
      </c>
      <c r="S17" s="19">
        <f t="shared" si="0"/>
        <v>27</v>
      </c>
      <c r="T17" s="19">
        <f t="shared" si="0"/>
        <v>27.6</v>
      </c>
      <c r="U17" s="19">
        <f t="shared" si="0"/>
        <v>26.4</v>
      </c>
      <c r="V17" s="19">
        <f t="shared" ref="V17" si="1">SUM(V13:V16)</f>
        <v>24.8</v>
      </c>
      <c r="W17" s="19">
        <f t="shared" si="0"/>
        <v>26.4</v>
      </c>
      <c r="X17" s="19">
        <f t="shared" si="0"/>
        <v>27.3</v>
      </c>
      <c r="Y17" s="19">
        <f t="shared" si="0"/>
        <v>26</v>
      </c>
      <c r="Z17" s="19">
        <f t="shared" si="0"/>
        <v>27.2</v>
      </c>
      <c r="AA17" s="19">
        <f t="shared" si="0"/>
        <v>26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79.099999999999966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3.2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3.3</v>
      </c>
      <c r="G22" s="19">
        <f t="shared" si="2"/>
        <v>3.3</v>
      </c>
      <c r="H22" s="19">
        <f t="shared" si="2"/>
        <v>3.3</v>
      </c>
      <c r="I22" s="19">
        <f t="shared" si="2"/>
        <v>3.3</v>
      </c>
      <c r="J22" s="19">
        <f t="shared" si="2"/>
        <v>3.3</v>
      </c>
      <c r="K22" s="19">
        <f t="shared" si="2"/>
        <v>3.3</v>
      </c>
      <c r="L22" s="19">
        <f t="shared" si="2"/>
        <v>3.3</v>
      </c>
      <c r="M22" s="19">
        <f t="shared" si="2"/>
        <v>3.3</v>
      </c>
      <c r="N22" s="19">
        <f t="shared" si="2"/>
        <v>3.3</v>
      </c>
      <c r="O22" s="19">
        <f t="shared" si="2"/>
        <v>3.3</v>
      </c>
      <c r="P22" s="19">
        <f t="shared" si="2"/>
        <v>3.3</v>
      </c>
      <c r="Q22" s="19">
        <f t="shared" si="2"/>
        <v>3.3</v>
      </c>
      <c r="R22" s="19">
        <f t="shared" si="2"/>
        <v>3.3</v>
      </c>
      <c r="S22" s="19">
        <f>SUM(S19:S21)</f>
        <v>3.3</v>
      </c>
      <c r="T22" s="19">
        <f>SUM(T19:T21)</f>
        <v>3.3</v>
      </c>
      <c r="U22" s="19">
        <f t="shared" si="2"/>
        <v>3.3</v>
      </c>
      <c r="V22" s="19">
        <f t="shared" si="2"/>
        <v>3.2</v>
      </c>
      <c r="W22" s="19">
        <f t="shared" si="2"/>
        <v>3.3</v>
      </c>
      <c r="X22" s="19">
        <f t="shared" si="2"/>
        <v>3.3</v>
      </c>
      <c r="Y22" s="19">
        <f t="shared" si="2"/>
        <v>3.3</v>
      </c>
      <c r="Z22" s="19">
        <f t="shared" si="2"/>
        <v>3.3</v>
      </c>
      <c r="AA22" s="19">
        <f t="shared" si="2"/>
        <v>3.3</v>
      </c>
      <c r="AB22" s="19">
        <f t="shared" si="2"/>
        <v>3.3</v>
      </c>
      <c r="AC22" s="19">
        <f t="shared" si="2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78.699999999999974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/>
      <c r="U24" s="71"/>
      <c r="V24" s="71"/>
      <c r="W24" s="71">
        <v>3.5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3</v>
      </c>
      <c r="G25" s="19">
        <f t="shared" ref="G25:AC25" si="4">SUM(G24)</f>
        <v>3.8</v>
      </c>
      <c r="H25" s="19">
        <f t="shared" si="4"/>
        <v>3.8</v>
      </c>
      <c r="I25" s="19">
        <f t="shared" si="4"/>
        <v>3.8</v>
      </c>
      <c r="J25" s="19">
        <f t="shared" si="4"/>
        <v>3.8</v>
      </c>
      <c r="K25" s="19">
        <f t="shared" si="4"/>
        <v>3.8</v>
      </c>
      <c r="L25" s="19">
        <f t="shared" si="4"/>
        <v>3.8</v>
      </c>
      <c r="M25" s="19">
        <f t="shared" si="4"/>
        <v>3.8</v>
      </c>
      <c r="N25" s="19">
        <f t="shared" si="4"/>
        <v>3.8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3.5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156.1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</v>
      </c>
      <c r="I27" s="71">
        <v>4</v>
      </c>
      <c r="J27" s="71">
        <v>3.9</v>
      </c>
      <c r="K27" s="71">
        <v>4.0999999999999996</v>
      </c>
      <c r="L27" s="71">
        <v>4</v>
      </c>
      <c r="M27" s="71">
        <v>3.9</v>
      </c>
      <c r="N27" s="71">
        <v>4</v>
      </c>
      <c r="O27" s="71">
        <v>4</v>
      </c>
      <c r="P27" s="71">
        <v>4</v>
      </c>
      <c r="Q27" s="71">
        <v>4.3</v>
      </c>
      <c r="R27" s="71">
        <v>3.8</v>
      </c>
      <c r="S27" s="71">
        <v>4</v>
      </c>
      <c r="T27" s="71"/>
      <c r="U27" s="71"/>
      <c r="V27" s="71"/>
      <c r="W27" s="71"/>
      <c r="X27" s="71"/>
      <c r="Y27" s="71">
        <v>3.5</v>
      </c>
      <c r="Z27" s="71">
        <v>3.5</v>
      </c>
      <c r="AA27" s="71">
        <v>3.3</v>
      </c>
      <c r="AB27" s="71">
        <v>4.2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19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</v>
      </c>
      <c r="I28" s="71">
        <v>4</v>
      </c>
      <c r="J28" s="71">
        <v>3.9</v>
      </c>
      <c r="K28" s="71">
        <v>4.0999999999999996</v>
      </c>
      <c r="L28" s="71">
        <v>4</v>
      </c>
      <c r="M28" s="71">
        <v>3.9</v>
      </c>
      <c r="N28" s="71">
        <v>4</v>
      </c>
      <c r="O28" s="219">
        <v>4</v>
      </c>
      <c r="P28" s="71">
        <v>4</v>
      </c>
      <c r="Q28" s="71">
        <v>4.3</v>
      </c>
      <c r="R28" s="71">
        <v>3.8</v>
      </c>
      <c r="S28" s="71">
        <v>4</v>
      </c>
      <c r="T28" s="71"/>
      <c r="U28" s="71"/>
      <c r="V28" s="71">
        <v>2.1</v>
      </c>
      <c r="W28" s="71">
        <v>3</v>
      </c>
      <c r="X28" s="71">
        <v>3.8</v>
      </c>
      <c r="Y28" s="71">
        <v>3.5</v>
      </c>
      <c r="Z28" s="71">
        <v>3.5</v>
      </c>
      <c r="AA28" s="71">
        <v>3.3</v>
      </c>
      <c r="AB28" s="71">
        <v>4.2</v>
      </c>
      <c r="AC28" s="71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6</v>
      </c>
      <c r="G30" s="19">
        <f t="shared" si="5"/>
        <v>8</v>
      </c>
      <c r="H30" s="19">
        <f t="shared" si="5"/>
        <v>8</v>
      </c>
      <c r="I30" s="19">
        <f t="shared" si="5"/>
        <v>8</v>
      </c>
      <c r="J30" s="19">
        <f t="shared" si="5"/>
        <v>7.8</v>
      </c>
      <c r="K30" s="19">
        <f t="shared" si="5"/>
        <v>8.1999999999999993</v>
      </c>
      <c r="L30" s="19">
        <f t="shared" si="5"/>
        <v>8</v>
      </c>
      <c r="M30" s="19">
        <f t="shared" si="5"/>
        <v>7.8</v>
      </c>
      <c r="N30" s="19">
        <f t="shared" si="5"/>
        <v>8</v>
      </c>
      <c r="O30" s="19">
        <f t="shared" si="5"/>
        <v>8</v>
      </c>
      <c r="P30" s="19">
        <f t="shared" si="5"/>
        <v>8</v>
      </c>
      <c r="Q30" s="19">
        <f t="shared" si="5"/>
        <v>8.6</v>
      </c>
      <c r="R30" s="19">
        <f t="shared" si="5"/>
        <v>7.6</v>
      </c>
      <c r="S30" s="19">
        <f t="shared" si="5"/>
        <v>8</v>
      </c>
      <c r="T30" s="19">
        <f t="shared" si="5"/>
        <v>0</v>
      </c>
      <c r="U30" s="19">
        <f t="shared" si="5"/>
        <v>0</v>
      </c>
      <c r="V30" s="19">
        <f t="shared" si="5"/>
        <v>2.1</v>
      </c>
      <c r="W30" s="19">
        <f t="shared" si="5"/>
        <v>3</v>
      </c>
      <c r="X30" s="19">
        <f t="shared" si="5"/>
        <v>3.8</v>
      </c>
      <c r="Y30" s="19">
        <f t="shared" si="5"/>
        <v>7</v>
      </c>
      <c r="Z30" s="19">
        <f t="shared" si="5"/>
        <v>7</v>
      </c>
      <c r="AA30" s="19">
        <f t="shared" si="5"/>
        <v>6.6</v>
      </c>
      <c r="AB30" s="19">
        <f t="shared" si="5"/>
        <v>8.4</v>
      </c>
      <c r="AC30" s="19">
        <f t="shared" si="5"/>
        <v>8.1999999999999993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0</v>
      </c>
      <c r="G33" s="19">
        <f t="shared" ref="G33:AC33" si="7">SUM(G32)</f>
        <v>0</v>
      </c>
      <c r="H33" s="19">
        <f t="shared" si="7"/>
        <v>0</v>
      </c>
      <c r="I33" s="19">
        <f t="shared" si="7"/>
        <v>0</v>
      </c>
      <c r="J33" s="19">
        <f t="shared" si="7"/>
        <v>0</v>
      </c>
      <c r="K33" s="19">
        <f t="shared" si="7"/>
        <v>0</v>
      </c>
      <c r="L33" s="19">
        <f t="shared" si="7"/>
        <v>0</v>
      </c>
      <c r="M33" s="19">
        <f t="shared" si="7"/>
        <v>0</v>
      </c>
      <c r="N33" s="19">
        <f t="shared" si="7"/>
        <v>0</v>
      </c>
      <c r="O33" s="19">
        <f t="shared" si="7"/>
        <v>0</v>
      </c>
      <c r="P33" s="19">
        <f t="shared" si="7"/>
        <v>0</v>
      </c>
      <c r="Q33" s="19">
        <f t="shared" si="7"/>
        <v>0</v>
      </c>
      <c r="R33" s="19">
        <f t="shared" si="7"/>
        <v>0</v>
      </c>
      <c r="S33" s="19">
        <f t="shared" si="7"/>
        <v>0</v>
      </c>
      <c r="T33" s="19">
        <f t="shared" si="7"/>
        <v>0</v>
      </c>
      <c r="U33" s="19">
        <f t="shared" si="7"/>
        <v>0</v>
      </c>
      <c r="V33" s="19">
        <f t="shared" si="7"/>
        <v>0</v>
      </c>
      <c r="W33" s="19">
        <f t="shared" si="7"/>
        <v>0</v>
      </c>
      <c r="X33" s="19">
        <f t="shared" si="7"/>
        <v>0</v>
      </c>
      <c r="Y33" s="19">
        <f t="shared" si="7"/>
        <v>0</v>
      </c>
      <c r="Z33" s="19">
        <f t="shared" si="7"/>
        <v>0</v>
      </c>
      <c r="AA33" s="19">
        <f t="shared" si="7"/>
        <v>0</v>
      </c>
      <c r="AB33" s="19">
        <f t="shared" si="7"/>
        <v>0</v>
      </c>
      <c r="AC33" s="19">
        <f t="shared" si="7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131.04999999999987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>
        <v>0.9</v>
      </c>
      <c r="N38" s="71"/>
      <c r="O38" s="71">
        <v>0.9</v>
      </c>
      <c r="P38" s="71">
        <v>0.95</v>
      </c>
      <c r="Q38" s="71">
        <v>0.9</v>
      </c>
      <c r="R38" s="71">
        <v>0.875</v>
      </c>
      <c r="S38" s="71">
        <v>0.875</v>
      </c>
      <c r="T38" s="71">
        <f>3.55/4</f>
        <v>0.88749999999999996</v>
      </c>
      <c r="U38" s="71">
        <v>0.95</v>
      </c>
      <c r="V38" s="71">
        <v>0.95</v>
      </c>
      <c r="W38" s="71">
        <v>0.9</v>
      </c>
      <c r="X38" s="71">
        <v>0.875</v>
      </c>
      <c r="Y38" s="71">
        <v>0.875</v>
      </c>
      <c r="Z38" s="71">
        <f>3.6/4</f>
        <v>0.9</v>
      </c>
      <c r="AA38" s="71">
        <v>0</v>
      </c>
      <c r="AB38" s="71">
        <v>0</v>
      </c>
      <c r="AC38" s="71">
        <v>0</v>
      </c>
      <c r="AD38" s="41"/>
      <c r="AE38" s="41"/>
      <c r="AF38" s="11">
        <f t="shared" si="8"/>
        <v>7</v>
      </c>
      <c r="AG38" s="11">
        <f t="shared" si="9"/>
        <v>0</v>
      </c>
      <c r="AH38" s="11">
        <f t="shared" si="10"/>
        <v>16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>
        <v>0.8</v>
      </c>
      <c r="R39" s="71">
        <v>0.8</v>
      </c>
      <c r="S39" s="71"/>
      <c r="T39" s="71"/>
      <c r="U39" s="71"/>
      <c r="V39" s="71">
        <v>0.77500000000000002</v>
      </c>
      <c r="W39" s="71">
        <v>0.8</v>
      </c>
      <c r="X39" s="71">
        <v>0.8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10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v>0.95</v>
      </c>
      <c r="M40" s="71">
        <v>0.9</v>
      </c>
      <c r="N40" s="71"/>
      <c r="O40" s="71">
        <v>0.9</v>
      </c>
      <c r="P40" s="71">
        <v>0.95</v>
      </c>
      <c r="Q40" s="71">
        <v>0.9</v>
      </c>
      <c r="R40" s="71">
        <v>0.875</v>
      </c>
      <c r="S40" s="71">
        <v>0.875</v>
      </c>
      <c r="T40" s="71">
        <f t="shared" ref="T40:T41" si="11">3.55/4</f>
        <v>0.88749999999999996</v>
      </c>
      <c r="U40" s="71">
        <v>0.95</v>
      </c>
      <c r="V40" s="71">
        <v>0.95</v>
      </c>
      <c r="W40" s="71">
        <v>0.9</v>
      </c>
      <c r="X40" s="71">
        <v>0.875</v>
      </c>
      <c r="Y40" s="71">
        <v>0.875</v>
      </c>
      <c r="Z40" s="71">
        <f t="shared" ref="Z40:Z41" si="12">3.6/4</f>
        <v>0.9</v>
      </c>
      <c r="AA40" s="71">
        <v>0</v>
      </c>
      <c r="AB40" s="71">
        <v>0</v>
      </c>
      <c r="AC40" s="71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17</v>
      </c>
    </row>
    <row r="41" spans="1:35" x14ac:dyDescent="0.2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0.95</v>
      </c>
      <c r="M41" s="71">
        <v>0.9</v>
      </c>
      <c r="N41" s="71"/>
      <c r="O41" s="71">
        <v>0.9</v>
      </c>
      <c r="P41" s="71">
        <v>0.95</v>
      </c>
      <c r="Q41" s="71">
        <v>0.9</v>
      </c>
      <c r="R41" s="71">
        <v>0.875</v>
      </c>
      <c r="S41" s="71">
        <v>0.875</v>
      </c>
      <c r="T41" s="71">
        <f t="shared" si="11"/>
        <v>0.88749999999999996</v>
      </c>
      <c r="U41" s="71">
        <v>0.95</v>
      </c>
      <c r="V41" s="71">
        <v>0.95</v>
      </c>
      <c r="W41" s="71">
        <v>0.9</v>
      </c>
      <c r="X41" s="71">
        <v>0.875</v>
      </c>
      <c r="Y41" s="71">
        <v>0.875</v>
      </c>
      <c r="Z41" s="71">
        <f t="shared" si="12"/>
        <v>0.9</v>
      </c>
      <c r="AA41" s="71">
        <v>1</v>
      </c>
      <c r="AB41" s="71">
        <v>0</v>
      </c>
      <c r="AC41" s="71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23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>
        <v>0.9</v>
      </c>
      <c r="N43" s="71">
        <v>0.9</v>
      </c>
      <c r="O43" s="71">
        <v>0.9</v>
      </c>
      <c r="P43" s="71">
        <v>0.95</v>
      </c>
      <c r="Q43" s="71">
        <v>0.9</v>
      </c>
      <c r="R43" s="71">
        <v>0.875</v>
      </c>
      <c r="S43" s="71">
        <v>0.875</v>
      </c>
      <c r="T43" s="71">
        <f>3.55/4</f>
        <v>0.88749999999999996</v>
      </c>
      <c r="U43" s="71">
        <v>0.95</v>
      </c>
      <c r="V43" s="71">
        <v>0.95</v>
      </c>
      <c r="W43" s="71">
        <v>0.9</v>
      </c>
      <c r="X43" s="71">
        <v>0.875</v>
      </c>
      <c r="Y43" s="71">
        <v>0.875</v>
      </c>
      <c r="Z43" s="71">
        <f>3.6/4</f>
        <v>0.9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17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/>
      <c r="O44" s="71">
        <v>0.8</v>
      </c>
      <c r="P44" s="71">
        <v>0.8</v>
      </c>
      <c r="Q44" s="71">
        <v>0.8</v>
      </c>
      <c r="R44" s="71">
        <v>0.8</v>
      </c>
      <c r="S44" s="71"/>
      <c r="T44" s="71"/>
      <c r="U44" s="71">
        <v>0.8</v>
      </c>
      <c r="V44" s="71">
        <v>0.77500000000000002</v>
      </c>
      <c r="W44" s="71">
        <v>0.8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15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8"/>
        <v>17</v>
      </c>
      <c r="AG45" s="11">
        <f t="shared" si="9"/>
        <v>0</v>
      </c>
      <c r="AH45" s="11">
        <f t="shared" si="10"/>
        <v>0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N46" s="71"/>
      <c r="O46" s="219"/>
      <c r="P46" s="71">
        <v>0.8</v>
      </c>
      <c r="Q46" s="71">
        <v>0.8</v>
      </c>
      <c r="R46" s="71">
        <v>0.8</v>
      </c>
      <c r="S46" s="71"/>
      <c r="T46" s="71"/>
      <c r="U46" s="71">
        <v>0.8</v>
      </c>
      <c r="V46" s="71">
        <v>0.77500000000000002</v>
      </c>
      <c r="W46" s="71">
        <v>0.8</v>
      </c>
      <c r="X46" s="71">
        <v>0.8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20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/>
      <c r="O47" s="71"/>
      <c r="P47" s="71">
        <v>0.8</v>
      </c>
      <c r="Q47" s="71">
        <v>0.8</v>
      </c>
      <c r="R47" s="71">
        <v>0.8</v>
      </c>
      <c r="S47" s="71">
        <v>0.8</v>
      </c>
      <c r="T47" s="71">
        <v>0.8</v>
      </c>
      <c r="U47" s="71">
        <v>0.8</v>
      </c>
      <c r="V47" s="71">
        <v>0.77500000000000002</v>
      </c>
      <c r="W47" s="71">
        <v>0.8</v>
      </c>
      <c r="X47" s="71">
        <v>0.8</v>
      </c>
      <c r="Y47" s="71">
        <f>4.8/6</f>
        <v>0.79999999999999993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22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 t="s">
        <v>9</v>
      </c>
      <c r="N48" s="71" t="s">
        <v>9</v>
      </c>
      <c r="O48" s="219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 t="s">
        <v>9</v>
      </c>
      <c r="U48" s="71" t="s">
        <v>9</v>
      </c>
      <c r="V48" s="71" t="s">
        <v>9</v>
      </c>
      <c r="W48" s="71" t="s">
        <v>9</v>
      </c>
      <c r="X48" s="71" t="s">
        <v>9</v>
      </c>
      <c r="Y48" s="71" t="s">
        <v>9</v>
      </c>
      <c r="Z48" s="71" t="s">
        <v>9</v>
      </c>
      <c r="AA48" s="71" t="s">
        <v>9</v>
      </c>
      <c r="AB48" s="71" t="s">
        <v>9</v>
      </c>
      <c r="AC48" s="71" t="s">
        <v>9</v>
      </c>
      <c r="AD48" s="41"/>
      <c r="AE48" s="41"/>
      <c r="AF48" s="11">
        <f t="shared" si="8"/>
        <v>17</v>
      </c>
      <c r="AG48" s="11">
        <f t="shared" si="9"/>
        <v>0</v>
      </c>
      <c r="AH48" s="11">
        <f t="shared" si="10"/>
        <v>0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>
        <v>0</v>
      </c>
      <c r="G49" s="71">
        <v>0.75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>
        <v>0</v>
      </c>
      <c r="N49" s="71"/>
      <c r="O49" s="71"/>
      <c r="P49" s="71">
        <v>0.8</v>
      </c>
      <c r="Q49" s="71">
        <v>0.8</v>
      </c>
      <c r="R49" s="71">
        <v>0.8</v>
      </c>
      <c r="S49" s="71"/>
      <c r="T49" s="71"/>
      <c r="U49" s="71">
        <v>0.8</v>
      </c>
      <c r="V49" s="71">
        <v>0.77500000000000002</v>
      </c>
      <c r="W49" s="71">
        <v>0.8</v>
      </c>
      <c r="X49" s="71">
        <v>0.8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20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/>
      <c r="O52" s="71"/>
      <c r="P52" s="71">
        <v>0.8</v>
      </c>
      <c r="Q52" s="71">
        <v>0.8</v>
      </c>
      <c r="R52" s="71">
        <v>0.8</v>
      </c>
      <c r="S52" s="71"/>
      <c r="T52" s="71"/>
      <c r="U52" s="71"/>
      <c r="V52" s="71">
        <v>0.77500000000000002</v>
      </c>
      <c r="W52" s="71">
        <v>0.8</v>
      </c>
      <c r="X52" s="71"/>
      <c r="Y52" s="71">
        <v>0.8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18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0.8</v>
      </c>
      <c r="N53" s="71"/>
      <c r="O53" s="219"/>
      <c r="P53" s="71">
        <v>0.8</v>
      </c>
      <c r="Q53" s="71">
        <v>0.8</v>
      </c>
      <c r="R53" s="71">
        <v>0.8</v>
      </c>
      <c r="S53" s="71">
        <v>0.8</v>
      </c>
      <c r="T53" s="71">
        <v>0.8</v>
      </c>
      <c r="U53" s="71">
        <v>0.8</v>
      </c>
      <c r="V53" s="71">
        <v>0.77500000000000002</v>
      </c>
      <c r="W53" s="71"/>
      <c r="X53" s="71"/>
      <c r="Y53" s="71">
        <v>0.8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20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0.8</v>
      </c>
      <c r="M54" s="71">
        <v>0.8</v>
      </c>
      <c r="N54" s="71"/>
      <c r="O54" s="219"/>
      <c r="P54" s="71">
        <v>0.8</v>
      </c>
      <c r="Q54" s="71">
        <v>0.8</v>
      </c>
      <c r="R54" s="71">
        <v>0.8</v>
      </c>
      <c r="S54" s="71">
        <v>0.8</v>
      </c>
      <c r="T54" s="71">
        <v>0.8</v>
      </c>
      <c r="U54" s="71">
        <v>0.8</v>
      </c>
      <c r="V54" s="71">
        <v>0.77500000000000002</v>
      </c>
      <c r="W54" s="71"/>
      <c r="X54" s="71"/>
      <c r="Y54" s="71">
        <v>0.8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20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>
        <v>0</v>
      </c>
      <c r="G55" s="71">
        <v>0.75</v>
      </c>
      <c r="H55" s="71">
        <v>0.8</v>
      </c>
      <c r="I55" s="71"/>
      <c r="J55" s="71"/>
      <c r="K55" s="71"/>
      <c r="L55" s="71"/>
      <c r="M55" s="71"/>
      <c r="N55" s="71"/>
      <c r="O55" s="71"/>
      <c r="P55" s="71">
        <v>0.8</v>
      </c>
      <c r="Q55" s="71">
        <v>0.8</v>
      </c>
      <c r="R55" s="71">
        <v>0.8</v>
      </c>
      <c r="S55" s="71">
        <v>0.8</v>
      </c>
      <c r="T55" s="71"/>
      <c r="U55" s="71">
        <v>0.8</v>
      </c>
      <c r="V55" s="71">
        <v>0.77500000000000002</v>
      </c>
      <c r="W55" s="71">
        <v>0.8</v>
      </c>
      <c r="X55" s="71">
        <v>0.8</v>
      </c>
      <c r="Y55" s="71">
        <v>0.8</v>
      </c>
      <c r="Z55" s="71">
        <v>0</v>
      </c>
      <c r="AA55" s="71">
        <v>0</v>
      </c>
      <c r="AB55" s="71">
        <f>2.3/3</f>
        <v>0.76666666666666661</v>
      </c>
      <c r="AC55" s="71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15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/>
      <c r="O56" s="71">
        <v>0.8</v>
      </c>
      <c r="P56" s="71">
        <v>0.8</v>
      </c>
      <c r="Q56" s="71">
        <v>0.8</v>
      </c>
      <c r="R56" s="71">
        <v>0.8</v>
      </c>
      <c r="S56" s="71"/>
      <c r="T56" s="71"/>
      <c r="U56" s="71">
        <v>0.8</v>
      </c>
      <c r="V56" s="71">
        <v>0.77500000000000002</v>
      </c>
      <c r="W56" s="71">
        <v>0.8</v>
      </c>
      <c r="X56" s="71">
        <v>0.8</v>
      </c>
      <c r="Y56" s="71">
        <v>0</v>
      </c>
      <c r="Z56" s="71">
        <v>0</v>
      </c>
      <c r="AA56" s="71">
        <v>0</v>
      </c>
      <c r="AB56" s="71">
        <f t="shared" ref="AB56:AB57" si="13">2.3/3</f>
        <v>0.76666666666666661</v>
      </c>
      <c r="AC56" s="71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20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/>
      <c r="O57" s="71">
        <v>0.8</v>
      </c>
      <c r="P57" s="219">
        <v>0.8</v>
      </c>
      <c r="Q57" s="71">
        <v>0.8</v>
      </c>
      <c r="R57" s="71">
        <v>0.8</v>
      </c>
      <c r="S57" s="71"/>
      <c r="T57" s="71">
        <v>0.8</v>
      </c>
      <c r="U57" s="71">
        <v>0.8</v>
      </c>
      <c r="V57" s="71">
        <v>0.77500000000000002</v>
      </c>
      <c r="W57" s="71">
        <v>0.8</v>
      </c>
      <c r="X57" s="71"/>
      <c r="Y57" s="71"/>
      <c r="Z57" s="71"/>
      <c r="AA57" s="71"/>
      <c r="AB57" s="71">
        <f t="shared" si="13"/>
        <v>0.76666666666666661</v>
      </c>
      <c r="AC57" s="71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17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/>
      <c r="O58" s="71">
        <v>0.8</v>
      </c>
      <c r="P58" s="71">
        <v>0.8</v>
      </c>
      <c r="Q58" s="71">
        <v>0.8</v>
      </c>
      <c r="R58" s="71">
        <v>0.8</v>
      </c>
      <c r="S58" s="71"/>
      <c r="T58" s="71">
        <v>0.8</v>
      </c>
      <c r="U58" s="71">
        <v>0.8</v>
      </c>
      <c r="V58" s="71">
        <v>0.77500000000000002</v>
      </c>
      <c r="W58" s="71">
        <v>0.8</v>
      </c>
      <c r="X58" s="71"/>
      <c r="Y58" s="71">
        <v>0.8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21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4">SUM(F35:F58)</f>
        <v>0</v>
      </c>
      <c r="G59" s="19">
        <f t="shared" si="14"/>
        <v>1.5</v>
      </c>
      <c r="H59" s="19">
        <f t="shared" si="14"/>
        <v>0.8</v>
      </c>
      <c r="I59" s="19">
        <f t="shared" si="14"/>
        <v>0</v>
      </c>
      <c r="J59" s="19">
        <f t="shared" si="14"/>
        <v>0</v>
      </c>
      <c r="K59" s="19">
        <f t="shared" si="14"/>
        <v>0</v>
      </c>
      <c r="L59" s="19">
        <f t="shared" si="14"/>
        <v>2.7</v>
      </c>
      <c r="M59" s="19">
        <f t="shared" si="14"/>
        <v>5.2</v>
      </c>
      <c r="N59" s="19">
        <f t="shared" si="14"/>
        <v>0.9</v>
      </c>
      <c r="O59" s="19">
        <f t="shared" si="14"/>
        <v>6.8</v>
      </c>
      <c r="P59" s="19">
        <f t="shared" si="14"/>
        <v>12.600000000000003</v>
      </c>
      <c r="Q59" s="19">
        <f t="shared" si="14"/>
        <v>13.200000000000005</v>
      </c>
      <c r="R59" s="19">
        <f t="shared" si="14"/>
        <v>13.100000000000003</v>
      </c>
      <c r="S59" s="19">
        <f t="shared" si="14"/>
        <v>6.6999999999999993</v>
      </c>
      <c r="T59" s="19">
        <f t="shared" si="14"/>
        <v>7.5499999999999989</v>
      </c>
      <c r="U59" s="19">
        <f t="shared" si="14"/>
        <v>11.800000000000002</v>
      </c>
      <c r="V59" s="19">
        <f t="shared" ref="V59" si="15">SUM(V35:V58)</f>
        <v>13.100000000000003</v>
      </c>
      <c r="W59" s="19">
        <f>SUM(W35:W58)</f>
        <v>11.600000000000003</v>
      </c>
      <c r="X59" s="19">
        <f t="shared" si="14"/>
        <v>8.2999999999999989</v>
      </c>
      <c r="Y59" s="19">
        <f>SUM(Y35:Y58)</f>
        <v>8.2999999999999989</v>
      </c>
      <c r="Z59" s="19">
        <f t="shared" si="14"/>
        <v>3.6</v>
      </c>
      <c r="AA59" s="19">
        <f t="shared" si="14"/>
        <v>1</v>
      </c>
      <c r="AB59" s="19">
        <f t="shared" si="14"/>
        <v>2.2999999999999998</v>
      </c>
      <c r="AC59" s="19">
        <f t="shared" si="14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26.639999999999997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0.81/2</f>
        <v>0.40500000000000003</v>
      </c>
      <c r="G61" s="71">
        <f>0.78/2</f>
        <v>0.39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/>
      <c r="O61" s="71"/>
      <c r="P61" s="71"/>
      <c r="Q61" s="71"/>
      <c r="R61" s="71">
        <v>0.64</v>
      </c>
      <c r="S61" s="71">
        <f>1.19/2</f>
        <v>0.59499999999999997</v>
      </c>
      <c r="T61" s="71">
        <f>1.21/2</f>
        <v>0.60499999999999998</v>
      </c>
      <c r="U61" s="71">
        <v>0.61</v>
      </c>
      <c r="V61" s="71">
        <v>0.60499999999999998</v>
      </c>
      <c r="W61" s="71">
        <v>0.62</v>
      </c>
      <c r="X61" s="71">
        <v>0.67</v>
      </c>
      <c r="Y61" s="71">
        <f>1.48/2</f>
        <v>0.74</v>
      </c>
      <c r="Z61" s="71">
        <f>1.35/2</f>
        <v>0.67500000000000004</v>
      </c>
      <c r="AA61" s="71">
        <f>1.22/2</f>
        <v>0.61</v>
      </c>
      <c r="AB61" s="71">
        <f>1.08/2</f>
        <v>0.54</v>
      </c>
      <c r="AC61" s="71">
        <v>0.48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20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0.48499999999999999</v>
      </c>
      <c r="M62" s="71">
        <v>0.62</v>
      </c>
      <c r="N62" s="71">
        <v>0.55000000000000004</v>
      </c>
      <c r="O62" s="71">
        <f>1.25/2</f>
        <v>0.625</v>
      </c>
      <c r="P62" s="71">
        <v>0.64</v>
      </c>
      <c r="Q62" s="71">
        <f>1.33/2</f>
        <v>0.66500000000000004</v>
      </c>
      <c r="R62" s="71">
        <v>0.64</v>
      </c>
      <c r="S62" s="71">
        <f>1.19/2</f>
        <v>0.59499999999999997</v>
      </c>
      <c r="T62" s="71">
        <f>1.21/2</f>
        <v>0.60499999999999998</v>
      </c>
      <c r="U62" s="71">
        <v>0.61</v>
      </c>
      <c r="V62" s="71">
        <v>0.60499999999999998</v>
      </c>
      <c r="W62" s="71">
        <v>0.62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>
        <f>0.81/2</f>
        <v>0.40500000000000003</v>
      </c>
      <c r="G63" s="71">
        <f>0.78/2</f>
        <v>0.39</v>
      </c>
      <c r="H63" s="380">
        <v>0.74</v>
      </c>
      <c r="I63" s="380">
        <v>0.73</v>
      </c>
      <c r="J63" s="380">
        <v>0.74</v>
      </c>
      <c r="K63" s="380">
        <v>0.89</v>
      </c>
      <c r="L63" s="380">
        <v>0.48499999999999999</v>
      </c>
      <c r="M63" s="71">
        <v>0.62</v>
      </c>
      <c r="N63" s="71">
        <v>0.55000000000000004</v>
      </c>
      <c r="O63" s="71">
        <f>1.25/2</f>
        <v>0.625</v>
      </c>
      <c r="P63" s="71">
        <v>0.64</v>
      </c>
      <c r="Q63" s="71">
        <f>1.33/2</f>
        <v>0.66500000000000004</v>
      </c>
      <c r="R63" s="71"/>
      <c r="S63" s="71"/>
      <c r="T63" s="71"/>
      <c r="U63" s="71"/>
      <c r="V63" s="71"/>
      <c r="W63" s="71"/>
      <c r="X63" s="71">
        <v>0.67</v>
      </c>
      <c r="Y63" s="71">
        <f>1.48/2</f>
        <v>0.74</v>
      </c>
      <c r="Z63" s="71">
        <f>1.35/2</f>
        <v>0.67500000000000004</v>
      </c>
      <c r="AA63" s="71">
        <f>1.22/2</f>
        <v>0.61</v>
      </c>
      <c r="AB63" s="71">
        <f>1.08/2</f>
        <v>0.54</v>
      </c>
      <c r="AC63" s="380">
        <v>0.48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0.81</v>
      </c>
      <c r="G64" s="19">
        <f>SUM(G61:G63)</f>
        <v>0.78</v>
      </c>
      <c r="H64" s="19">
        <f>SUM(H61:H63)</f>
        <v>0.74</v>
      </c>
      <c r="I64" s="19">
        <f>SUM(I61:I63)</f>
        <v>0.73</v>
      </c>
      <c r="J64" s="19">
        <f t="shared" ref="J64:AC64" si="17">SUM(J61:J63)</f>
        <v>0.74</v>
      </c>
      <c r="K64" s="19">
        <f>SUM(K61:K63)</f>
        <v>0.89</v>
      </c>
      <c r="L64" s="19">
        <f t="shared" si="17"/>
        <v>0.97</v>
      </c>
      <c r="M64" s="19">
        <f t="shared" si="17"/>
        <v>1.24</v>
      </c>
      <c r="N64" s="19">
        <f t="shared" si="17"/>
        <v>1.1000000000000001</v>
      </c>
      <c r="O64" s="19">
        <f t="shared" si="17"/>
        <v>1.25</v>
      </c>
      <c r="P64" s="19">
        <f t="shared" si="17"/>
        <v>1.28</v>
      </c>
      <c r="Q64" s="19">
        <f t="shared" si="17"/>
        <v>1.33</v>
      </c>
      <c r="R64" s="19">
        <f t="shared" si="17"/>
        <v>1.28</v>
      </c>
      <c r="S64" s="19">
        <f t="shared" si="17"/>
        <v>1.19</v>
      </c>
      <c r="T64" s="19">
        <f t="shared" si="17"/>
        <v>1.21</v>
      </c>
      <c r="U64" s="19">
        <f>SUM(U61:U63)</f>
        <v>1.22</v>
      </c>
      <c r="V64" s="19">
        <f>SUM(V61:V63)</f>
        <v>1.21</v>
      </c>
      <c r="W64" s="19">
        <f t="shared" si="17"/>
        <v>1.24</v>
      </c>
      <c r="X64" s="19">
        <f t="shared" si="17"/>
        <v>1.34</v>
      </c>
      <c r="Y64" s="19">
        <f t="shared" si="17"/>
        <v>1.48</v>
      </c>
      <c r="Z64" s="19">
        <f t="shared" si="17"/>
        <v>1.35</v>
      </c>
      <c r="AA64" s="19">
        <f t="shared" si="17"/>
        <v>1.22</v>
      </c>
      <c r="AB64" s="19">
        <f t="shared" si="17"/>
        <v>1.08</v>
      </c>
      <c r="AC64" s="19">
        <f t="shared" si="17"/>
        <v>0.96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90.190000000000012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>
        <f>2.7/4</f>
        <v>0.67500000000000004</v>
      </c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>
        <v>0</v>
      </c>
      <c r="AB66" s="71">
        <v>0</v>
      </c>
      <c r="AC66" s="71">
        <v>0</v>
      </c>
      <c r="AD66" s="35"/>
      <c r="AE66" s="35"/>
      <c r="AF66" s="11">
        <f t="shared" ref="AF66:AF74" si="18">COUNTIF(F66:AC66,$AF$11)</f>
        <v>0</v>
      </c>
      <c r="AG66" s="11">
        <f t="shared" ref="AG66:AG74" si="19">COUNTIF(G66:AC66,$AG$11)</f>
        <v>0</v>
      </c>
      <c r="AH66" s="11">
        <f t="shared" ref="AH66:AH74" si="20">COUNT(F66:AC66)</f>
        <v>4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/>
      <c r="O67" s="71">
        <f>2.7/4</f>
        <v>0.67500000000000004</v>
      </c>
      <c r="P67" s="71">
        <f>2.56/3</f>
        <v>0.85333333333333339</v>
      </c>
      <c r="Q67" s="71">
        <f>4.3/6</f>
        <v>0.71666666666666667</v>
      </c>
      <c r="R67" s="71">
        <f>4.44/6</f>
        <v>0.7400000000000001</v>
      </c>
      <c r="S67" s="71">
        <f>4.82/6</f>
        <v>0.80333333333333334</v>
      </c>
      <c r="T67" s="71">
        <f>4.84/6</f>
        <v>0.80666666666666664</v>
      </c>
      <c r="U67" s="71">
        <v>0.80500000000000005</v>
      </c>
      <c r="V67" s="71">
        <v>0.77999999999999992</v>
      </c>
      <c r="W67" s="71">
        <v>0.755</v>
      </c>
      <c r="X67" s="71">
        <v>0.68</v>
      </c>
      <c r="Y67" s="71">
        <f>5.07/6</f>
        <v>0.84500000000000008</v>
      </c>
      <c r="Z67" s="71">
        <f>4.79/6</f>
        <v>0.79833333333333334</v>
      </c>
      <c r="AA67" s="71">
        <f>4.11/5</f>
        <v>0.82200000000000006</v>
      </c>
      <c r="AB67" s="71">
        <f>3.69/5</f>
        <v>0.73799999999999999</v>
      </c>
      <c r="AC67" s="71">
        <f>3.1/5</f>
        <v>0.62</v>
      </c>
      <c r="AD67" s="35"/>
      <c r="AE67" s="35"/>
      <c r="AF67" s="11">
        <f t="shared" si="18"/>
        <v>0</v>
      </c>
      <c r="AG67" s="11">
        <f t="shared" si="19"/>
        <v>0</v>
      </c>
      <c r="AH67" s="11">
        <f t="shared" si="20"/>
        <v>23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3.25/4</f>
        <v>0.8125</v>
      </c>
      <c r="G68" s="71">
        <f>3/4</f>
        <v>0.75</v>
      </c>
      <c r="H68" s="71">
        <f>2.9/4</f>
        <v>0.72499999999999998</v>
      </c>
      <c r="I68" s="71">
        <f>2.9/4</f>
        <v>0.72499999999999998</v>
      </c>
      <c r="J68" s="71">
        <v>0.6</v>
      </c>
      <c r="K68" s="71">
        <v>0.6</v>
      </c>
      <c r="L68" s="71">
        <f>3.2/4</f>
        <v>0.8</v>
      </c>
      <c r="M68" s="71">
        <f>3.7/5</f>
        <v>0.74</v>
      </c>
      <c r="N68" s="71">
        <v>0.7</v>
      </c>
      <c r="O68" s="71"/>
      <c r="P68" s="71"/>
      <c r="Q68" s="71">
        <f t="shared" ref="Q68:Q71" si="21">4.3/6</f>
        <v>0.71666666666666667</v>
      </c>
      <c r="R68" s="71">
        <f>4.44/6</f>
        <v>0.7400000000000001</v>
      </c>
      <c r="S68" s="71">
        <f t="shared" ref="S68:S71" si="22">4.82/6</f>
        <v>0.80333333333333334</v>
      </c>
      <c r="T68" s="71">
        <f t="shared" ref="T68:T71" si="23">4.84/6</f>
        <v>0.80666666666666664</v>
      </c>
      <c r="U68" s="71">
        <v>0.80500000000000005</v>
      </c>
      <c r="V68" s="71">
        <v>0.77999999999999992</v>
      </c>
      <c r="W68" s="71">
        <v>0.755</v>
      </c>
      <c r="X68" s="71">
        <v>0.68</v>
      </c>
      <c r="Y68" s="71">
        <f t="shared" ref="Y68:Y71" si="24">5.07/6</f>
        <v>0.84500000000000008</v>
      </c>
      <c r="Z68" s="71">
        <f t="shared" ref="Z68:Z71" si="25">4.79/6</f>
        <v>0.79833333333333334</v>
      </c>
      <c r="AA68" s="71">
        <f t="shared" ref="AA68:AA70" si="26">4.11/5</f>
        <v>0.82200000000000006</v>
      </c>
      <c r="AB68" s="71">
        <f>3.69/5</f>
        <v>0.73799999999999999</v>
      </c>
      <c r="AC68" s="71">
        <f t="shared" ref="AC68:AC69" si="27">3.1/5</f>
        <v>0.62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0"/>
        <v>22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</v>
      </c>
      <c r="M69" s="71">
        <v>0.74</v>
      </c>
      <c r="N69" s="71">
        <v>0.7</v>
      </c>
      <c r="O69" s="71"/>
      <c r="P69" s="71"/>
      <c r="Q69" s="71">
        <f t="shared" si="21"/>
        <v>0.71666666666666667</v>
      </c>
      <c r="R69" s="71">
        <f>4.44/6</f>
        <v>0.7400000000000001</v>
      </c>
      <c r="S69" s="71">
        <f t="shared" si="22"/>
        <v>0.80333333333333334</v>
      </c>
      <c r="T69" s="71">
        <f t="shared" si="23"/>
        <v>0.80666666666666664</v>
      </c>
      <c r="U69" s="71">
        <v>0.80500000000000005</v>
      </c>
      <c r="V69" s="71">
        <v>0.77999999999999992</v>
      </c>
      <c r="W69" s="71">
        <v>0.755</v>
      </c>
      <c r="X69" s="71">
        <v>0.68</v>
      </c>
      <c r="Y69" s="71">
        <f t="shared" si="24"/>
        <v>0.84500000000000008</v>
      </c>
      <c r="Z69" s="71">
        <f t="shared" si="25"/>
        <v>0.79833333333333334</v>
      </c>
      <c r="AA69" s="71">
        <f t="shared" si="26"/>
        <v>0.82200000000000006</v>
      </c>
      <c r="AB69" s="71">
        <f>3.69/5</f>
        <v>0.73799999999999999</v>
      </c>
      <c r="AC69" s="71">
        <f t="shared" si="27"/>
        <v>0.62</v>
      </c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22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ref="F70:F71" si="28">3.25/4</f>
        <v>0.8125</v>
      </c>
      <c r="G70" s="71">
        <f t="shared" ref="G70:G71" si="29">3/4</f>
        <v>0.75</v>
      </c>
      <c r="H70" s="71">
        <f t="shared" ref="H70:H71" si="30">2.9/4</f>
        <v>0.72499999999999998</v>
      </c>
      <c r="I70" s="71">
        <f>2.9/4</f>
        <v>0.72499999999999998</v>
      </c>
      <c r="J70" s="71">
        <v>0.6</v>
      </c>
      <c r="K70" s="71">
        <v>0.6</v>
      </c>
      <c r="L70" s="71">
        <f t="shared" ref="L70:L71" si="31">3.2/4</f>
        <v>0.8</v>
      </c>
      <c r="M70" s="71">
        <f>3.7/5</f>
        <v>0.74</v>
      </c>
      <c r="N70" s="71">
        <v>0.7</v>
      </c>
      <c r="O70" s="71">
        <f>2.7/4</f>
        <v>0.67500000000000004</v>
      </c>
      <c r="P70" s="71">
        <f>2.56/3</f>
        <v>0.85333333333333339</v>
      </c>
      <c r="Q70" s="71">
        <f t="shared" si="21"/>
        <v>0.71666666666666667</v>
      </c>
      <c r="R70" s="71">
        <f>4.44/6</f>
        <v>0.7400000000000001</v>
      </c>
      <c r="S70" s="71">
        <f t="shared" si="22"/>
        <v>0.80333333333333334</v>
      </c>
      <c r="T70" s="71">
        <f t="shared" si="23"/>
        <v>0.80666666666666664</v>
      </c>
      <c r="U70" s="71">
        <v>0.80500000000000005</v>
      </c>
      <c r="V70" s="71">
        <v>0.77999999999999992</v>
      </c>
      <c r="W70" s="71">
        <v>0.755</v>
      </c>
      <c r="X70" s="71">
        <v>0.68</v>
      </c>
      <c r="Y70" s="71">
        <f t="shared" si="24"/>
        <v>0.84500000000000008</v>
      </c>
      <c r="Z70" s="71">
        <f t="shared" si="25"/>
        <v>0.79833333333333334</v>
      </c>
      <c r="AA70" s="71">
        <f t="shared" si="26"/>
        <v>0.82200000000000006</v>
      </c>
      <c r="AB70" s="71">
        <f>3.69/5</f>
        <v>0.73799999999999999</v>
      </c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23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8"/>
        <v>0.8125</v>
      </c>
      <c r="G71" s="71">
        <f t="shared" si="29"/>
        <v>0.75</v>
      </c>
      <c r="H71" s="71">
        <f t="shared" si="30"/>
        <v>0.72499999999999998</v>
      </c>
      <c r="I71" s="71">
        <f>2.9/4</f>
        <v>0.72499999999999998</v>
      </c>
      <c r="J71" s="71">
        <v>0.7</v>
      </c>
      <c r="K71" s="71">
        <v>0.7</v>
      </c>
      <c r="L71" s="71">
        <f t="shared" si="31"/>
        <v>0.8</v>
      </c>
      <c r="M71" s="71">
        <f>3.7/5</f>
        <v>0.74</v>
      </c>
      <c r="N71" s="71">
        <v>0.7</v>
      </c>
      <c r="O71" s="71"/>
      <c r="P71" s="71"/>
      <c r="Q71" s="71">
        <f t="shared" si="21"/>
        <v>0.71666666666666667</v>
      </c>
      <c r="R71" s="71">
        <f>4.44/6</f>
        <v>0.7400000000000001</v>
      </c>
      <c r="S71" s="71">
        <f t="shared" si="22"/>
        <v>0.80333333333333334</v>
      </c>
      <c r="T71" s="71">
        <f t="shared" si="23"/>
        <v>0.80666666666666664</v>
      </c>
      <c r="U71" s="71">
        <v>0.80500000000000005</v>
      </c>
      <c r="V71" s="71">
        <v>0.77999999999999992</v>
      </c>
      <c r="W71" s="71">
        <v>0.755</v>
      </c>
      <c r="X71" s="71">
        <v>0.68</v>
      </c>
      <c r="Y71" s="71">
        <f t="shared" si="24"/>
        <v>0.84500000000000008</v>
      </c>
      <c r="Z71" s="71">
        <f t="shared" si="25"/>
        <v>0.79833333333333334</v>
      </c>
      <c r="AA71" s="71">
        <v>0</v>
      </c>
      <c r="AB71" s="71">
        <v>0</v>
      </c>
      <c r="AC71" s="71">
        <f>3.1/5</f>
        <v>0.62</v>
      </c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22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8"/>
        <v>24</v>
      </c>
      <c r="AG73" s="11">
        <f t="shared" si="19"/>
        <v>0</v>
      </c>
      <c r="AH73" s="11">
        <f t="shared" si="20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f>3.25/4</f>
        <v>0.8125</v>
      </c>
      <c r="G74" s="71">
        <f>3/4</f>
        <v>0.75</v>
      </c>
      <c r="H74" s="71">
        <f>2.9/4</f>
        <v>0.72499999999999998</v>
      </c>
      <c r="I74" s="71">
        <f>2.9/4</f>
        <v>0.72499999999999998</v>
      </c>
      <c r="J74" s="71">
        <v>0.7</v>
      </c>
      <c r="K74" s="71">
        <v>0.7</v>
      </c>
      <c r="L74" s="71">
        <f>3.2/4</f>
        <v>0.8</v>
      </c>
      <c r="M74" s="71">
        <f>3.7/5</f>
        <v>0.74</v>
      </c>
      <c r="N74" s="71">
        <v>0.7</v>
      </c>
      <c r="O74" s="71">
        <f>2.7/4</f>
        <v>0.67500000000000004</v>
      </c>
      <c r="P74" s="71">
        <f>2.56/3</f>
        <v>0.85333333333333339</v>
      </c>
      <c r="Q74" s="71">
        <f>4.3/6</f>
        <v>0.71666666666666667</v>
      </c>
      <c r="R74" s="71">
        <f>4.44/6</f>
        <v>0.7400000000000001</v>
      </c>
      <c r="S74" s="71">
        <f>4.82/6</f>
        <v>0.80333333333333334</v>
      </c>
      <c r="T74" s="71">
        <f>4.84/6</f>
        <v>0.80666666666666664</v>
      </c>
      <c r="U74" s="71">
        <v>0.80500000000000005</v>
      </c>
      <c r="V74" s="71">
        <v>0.77999999999999992</v>
      </c>
      <c r="W74" s="71">
        <v>0.755</v>
      </c>
      <c r="X74" s="71">
        <v>0.68</v>
      </c>
      <c r="Y74" s="71">
        <f>5.07/6</f>
        <v>0.84500000000000008</v>
      </c>
      <c r="Z74" s="71">
        <f>4.79/6</f>
        <v>0.79833333333333334</v>
      </c>
      <c r="AA74" s="71">
        <f>4.11/5</f>
        <v>0.82200000000000006</v>
      </c>
      <c r="AB74" s="71">
        <f>3.69/5</f>
        <v>0.73799999999999999</v>
      </c>
      <c r="AC74" s="71">
        <f>3.1/5</f>
        <v>0.62</v>
      </c>
      <c r="AD74" s="31"/>
      <c r="AE74" s="31"/>
      <c r="AF74" s="11">
        <f t="shared" si="18"/>
        <v>0</v>
      </c>
      <c r="AG74" s="11">
        <f t="shared" si="19"/>
        <v>0</v>
      </c>
      <c r="AH74" s="11">
        <f t="shared" si="20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2">SUM(F66:F74)</f>
        <v>3.25</v>
      </c>
      <c r="G75" s="19">
        <f t="shared" si="32"/>
        <v>3</v>
      </c>
      <c r="H75" s="19">
        <f t="shared" si="32"/>
        <v>2.9</v>
      </c>
      <c r="I75" s="19">
        <f t="shared" si="32"/>
        <v>2.9</v>
      </c>
      <c r="J75" s="19">
        <f t="shared" si="32"/>
        <v>2.5999999999999996</v>
      </c>
      <c r="K75" s="19">
        <f t="shared" si="32"/>
        <v>2.5999999999999996</v>
      </c>
      <c r="L75" s="19">
        <f>SUM(L66:L74)</f>
        <v>3.2</v>
      </c>
      <c r="M75" s="19">
        <f t="shared" si="32"/>
        <v>3.7</v>
      </c>
      <c r="N75" s="19">
        <f t="shared" si="32"/>
        <v>3.5</v>
      </c>
      <c r="O75" s="19">
        <f t="shared" si="32"/>
        <v>2.7</v>
      </c>
      <c r="P75" s="19">
        <f t="shared" si="32"/>
        <v>2.56</v>
      </c>
      <c r="Q75" s="19">
        <f t="shared" si="32"/>
        <v>4.3</v>
      </c>
      <c r="R75" s="19">
        <f t="shared" si="32"/>
        <v>4.4400000000000004</v>
      </c>
      <c r="S75" s="19">
        <f t="shared" si="32"/>
        <v>4.82</v>
      </c>
      <c r="T75" s="19">
        <f t="shared" si="32"/>
        <v>4.84</v>
      </c>
      <c r="U75" s="19">
        <f t="shared" si="32"/>
        <v>4.83</v>
      </c>
      <c r="V75" s="19">
        <f t="shared" ref="V75" si="33">SUM(V66:V74)</f>
        <v>4.68</v>
      </c>
      <c r="W75" s="19">
        <f t="shared" si="32"/>
        <v>4.53</v>
      </c>
      <c r="X75" s="19">
        <f t="shared" si="32"/>
        <v>4.08</v>
      </c>
      <c r="Y75" s="19">
        <f t="shared" si="32"/>
        <v>5.07</v>
      </c>
      <c r="Z75" s="19">
        <f t="shared" si="32"/>
        <v>4.79</v>
      </c>
      <c r="AA75" s="19">
        <f t="shared" si="32"/>
        <v>4.1100000000000003</v>
      </c>
      <c r="AB75" s="19">
        <f t="shared" si="32"/>
        <v>3.69</v>
      </c>
      <c r="AC75" s="19">
        <f t="shared" si="32"/>
        <v>3.1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18.552999999999997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0.76</v>
      </c>
      <c r="N77" s="71">
        <v>0.7</v>
      </c>
      <c r="O77" s="71">
        <v>0.71</v>
      </c>
      <c r="P77" s="71">
        <v>0.76</v>
      </c>
      <c r="Q77" s="71">
        <v>0.78</v>
      </c>
      <c r="R77" s="71">
        <v>0.74</v>
      </c>
      <c r="S77" s="71">
        <v>0.73</v>
      </c>
      <c r="T77" s="71">
        <v>0.78</v>
      </c>
      <c r="U77" s="71">
        <v>0.78</v>
      </c>
      <c r="V77" s="71">
        <v>0.8</v>
      </c>
      <c r="W77" s="71">
        <v>0.81</v>
      </c>
      <c r="X77" s="71">
        <v>0.78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0.76</v>
      </c>
      <c r="G78" s="71">
        <v>0.73</v>
      </c>
      <c r="H78" s="71">
        <v>0.71</v>
      </c>
      <c r="I78" s="71">
        <v>0.69</v>
      </c>
      <c r="J78" s="380">
        <v>0.67</v>
      </c>
      <c r="K78" s="71">
        <v>0.66</v>
      </c>
      <c r="L78" s="71">
        <v>0.76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0.93300000000000005</v>
      </c>
      <c r="Z78" s="71">
        <v>0.93</v>
      </c>
      <c r="AA78" s="71">
        <v>0.91</v>
      </c>
      <c r="AB78" s="71">
        <v>0.85</v>
      </c>
      <c r="AC78" s="71">
        <v>0.82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4">SUM(F77:F78)</f>
        <v>0.76</v>
      </c>
      <c r="G79" s="19">
        <f>SUM(G77:G78)</f>
        <v>0.73</v>
      </c>
      <c r="H79" s="19">
        <f>SUM(H77:H78)</f>
        <v>0.71</v>
      </c>
      <c r="I79" s="19">
        <f>SUM(I77:I78)</f>
        <v>0.69</v>
      </c>
      <c r="J79" s="19">
        <f t="shared" ref="J79:AC79" si="35">SUM(J77:J78)</f>
        <v>0.67</v>
      </c>
      <c r="K79" s="19">
        <f t="shared" si="35"/>
        <v>0.66</v>
      </c>
      <c r="L79" s="19">
        <f>SUM(L77:L78)</f>
        <v>0.76</v>
      </c>
      <c r="M79" s="19">
        <f t="shared" si="35"/>
        <v>0.76</v>
      </c>
      <c r="N79" s="19">
        <f t="shared" si="35"/>
        <v>0.7</v>
      </c>
      <c r="O79" s="19">
        <f>SUM(O77:O78)</f>
        <v>0.71</v>
      </c>
      <c r="P79" s="19">
        <f t="shared" si="35"/>
        <v>0.76</v>
      </c>
      <c r="Q79" s="19">
        <f t="shared" si="35"/>
        <v>0.78</v>
      </c>
      <c r="R79" s="19">
        <f t="shared" si="35"/>
        <v>0.74</v>
      </c>
      <c r="S79" s="19">
        <f t="shared" si="35"/>
        <v>0.73</v>
      </c>
      <c r="T79" s="19">
        <f t="shared" si="35"/>
        <v>0.78</v>
      </c>
      <c r="U79" s="19">
        <f t="shared" si="35"/>
        <v>0.78</v>
      </c>
      <c r="V79" s="19">
        <f t="shared" si="35"/>
        <v>0.8</v>
      </c>
      <c r="W79" s="19">
        <f t="shared" si="35"/>
        <v>0.81</v>
      </c>
      <c r="X79" s="19">
        <f t="shared" si="35"/>
        <v>0.78</v>
      </c>
      <c r="Y79" s="19">
        <f t="shared" si="35"/>
        <v>0.93300000000000005</v>
      </c>
      <c r="Z79" s="19">
        <f t="shared" si="35"/>
        <v>0.93</v>
      </c>
      <c r="AA79" s="19">
        <f t="shared" si="35"/>
        <v>0.91</v>
      </c>
      <c r="AB79" s="19">
        <f t="shared" si="35"/>
        <v>0.85</v>
      </c>
      <c r="AC79" s="19">
        <f t="shared" si="35"/>
        <v>0.82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6">SUM(F17,F22,F25,F30,F33,F59,F64,F75,F79,F81)</f>
        <v>36.32</v>
      </c>
      <c r="G82" s="28">
        <f t="shared" si="36"/>
        <v>34.51</v>
      </c>
      <c r="H82" s="28">
        <f t="shared" si="36"/>
        <v>33.65</v>
      </c>
      <c r="I82" s="28">
        <f t="shared" si="36"/>
        <v>32.619999999999997</v>
      </c>
      <c r="J82" s="28">
        <f t="shared" si="36"/>
        <v>32.11</v>
      </c>
      <c r="K82" s="28">
        <f t="shared" si="36"/>
        <v>33.049999999999997</v>
      </c>
      <c r="L82" s="28">
        <f t="shared" si="36"/>
        <v>36.130000000000003</v>
      </c>
      <c r="M82" s="28">
        <f t="shared" si="36"/>
        <v>38.800000000000004</v>
      </c>
      <c r="N82" s="28">
        <f t="shared" si="36"/>
        <v>41.7</v>
      </c>
      <c r="O82" s="28">
        <f t="shared" si="36"/>
        <v>46.76</v>
      </c>
      <c r="P82" s="28">
        <f t="shared" si="36"/>
        <v>53</v>
      </c>
      <c r="Q82" s="28">
        <f t="shared" si="36"/>
        <v>55.31</v>
      </c>
      <c r="R82" s="28">
        <f t="shared" si="36"/>
        <v>54.860000000000007</v>
      </c>
      <c r="S82" s="28">
        <f t="shared" si="36"/>
        <v>55.539999999999992</v>
      </c>
      <c r="T82" s="28">
        <f t="shared" si="36"/>
        <v>45.28</v>
      </c>
      <c r="U82" s="28">
        <f t="shared" si="36"/>
        <v>48.33</v>
      </c>
      <c r="V82" s="28">
        <f t="shared" si="36"/>
        <v>49.89</v>
      </c>
      <c r="W82" s="28">
        <f t="shared" si="36"/>
        <v>54.38000000000001</v>
      </c>
      <c r="X82" s="28">
        <f t="shared" si="36"/>
        <v>52.699999999999996</v>
      </c>
      <c r="Y82" s="28">
        <f t="shared" si="36"/>
        <v>55.882999999999996</v>
      </c>
      <c r="Z82" s="28">
        <f t="shared" si="36"/>
        <v>51.97</v>
      </c>
      <c r="AA82" s="28">
        <f t="shared" si="36"/>
        <v>46.94</v>
      </c>
      <c r="AB82" s="28">
        <f t="shared" si="36"/>
        <v>43.219999999999992</v>
      </c>
      <c r="AC82" s="28">
        <f t="shared" si="36"/>
        <v>39.979999999999997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>
        <f t="shared" ref="F83:L83" si="37">SUM(F17,F22,F25,F30,F59)</f>
        <v>31.5</v>
      </c>
      <c r="G83" s="155">
        <f t="shared" si="37"/>
        <v>30</v>
      </c>
      <c r="H83" s="155">
        <f t="shared" si="37"/>
        <v>29.3</v>
      </c>
      <c r="I83" s="155">
        <f t="shared" si="37"/>
        <v>28.3</v>
      </c>
      <c r="J83" s="155">
        <f t="shared" si="37"/>
        <v>28.1</v>
      </c>
      <c r="K83" s="155">
        <f t="shared" si="37"/>
        <v>28.9</v>
      </c>
      <c r="L83" s="155">
        <f t="shared" si="37"/>
        <v>31.2</v>
      </c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8">SUM(F22,F25)</f>
        <v>6.3</v>
      </c>
      <c r="G88" s="64">
        <f t="shared" si="38"/>
        <v>7.1</v>
      </c>
      <c r="H88" s="64">
        <f t="shared" si="38"/>
        <v>7.1</v>
      </c>
      <c r="I88" s="64">
        <f t="shared" si="38"/>
        <v>7.1</v>
      </c>
      <c r="J88" s="64">
        <f t="shared" si="38"/>
        <v>7.1</v>
      </c>
      <c r="K88" s="64">
        <f t="shared" si="38"/>
        <v>7.1</v>
      </c>
      <c r="L88" s="64">
        <f t="shared" si="38"/>
        <v>7.1</v>
      </c>
      <c r="M88" s="64">
        <f t="shared" si="38"/>
        <v>7.1</v>
      </c>
      <c r="N88" s="64">
        <f t="shared" si="38"/>
        <v>7.1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3.3</v>
      </c>
      <c r="U88" s="64">
        <f t="shared" si="38"/>
        <v>3.3</v>
      </c>
      <c r="V88" s="64">
        <f t="shared" si="38"/>
        <v>3.2</v>
      </c>
      <c r="W88" s="64">
        <f t="shared" si="38"/>
        <v>6.8</v>
      </c>
      <c r="X88" s="64">
        <f t="shared" si="38"/>
        <v>7.1</v>
      </c>
      <c r="Y88" s="64">
        <f t="shared" si="38"/>
        <v>7.1</v>
      </c>
      <c r="Z88" s="64">
        <f t="shared" si="38"/>
        <v>7.1</v>
      </c>
      <c r="AA88" s="64">
        <f t="shared" si="38"/>
        <v>7.1</v>
      </c>
      <c r="AB88" s="64">
        <f t="shared" si="38"/>
        <v>7.1</v>
      </c>
      <c r="AC88" s="64">
        <f t="shared" si="38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0.23699999999999999</v>
      </c>
      <c r="G89" s="68">
        <v>0.2</v>
      </c>
      <c r="H89" s="68">
        <v>0.186</v>
      </c>
      <c r="I89" s="68">
        <v>0.23899999999999999</v>
      </c>
      <c r="J89" s="68">
        <v>0.153</v>
      </c>
      <c r="K89" s="68">
        <v>0.153</v>
      </c>
      <c r="L89" s="68">
        <v>0.186</v>
      </c>
      <c r="M89" s="68">
        <v>0.186</v>
      </c>
      <c r="N89" s="68">
        <v>0.24099999999999999</v>
      </c>
      <c r="O89" s="68">
        <v>0.25</v>
      </c>
      <c r="P89" s="68">
        <v>0.23799999999999999</v>
      </c>
      <c r="Q89" s="68">
        <v>0.23499999999999999</v>
      </c>
      <c r="R89" s="68">
        <v>0.21</v>
      </c>
      <c r="S89" s="68">
        <v>0.23599999999999999</v>
      </c>
      <c r="T89" s="68" t="s">
        <v>1</v>
      </c>
      <c r="U89" s="68" t="s">
        <v>1</v>
      </c>
      <c r="V89" s="68" t="s">
        <v>1</v>
      </c>
      <c r="W89" s="68">
        <v>0.20399999999999999</v>
      </c>
      <c r="X89" s="68">
        <v>0.23</v>
      </c>
      <c r="Y89" s="68">
        <v>0.23599999999999999</v>
      </c>
      <c r="Z89" s="68">
        <v>0.249</v>
      </c>
      <c r="AA89" s="68">
        <v>0.25</v>
      </c>
      <c r="AB89" s="68">
        <v>0.23799999999999999</v>
      </c>
      <c r="AC89" s="68">
        <v>0.216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9">F17</f>
        <v>19.2</v>
      </c>
      <c r="G90" s="64">
        <f t="shared" si="39"/>
        <v>13.4</v>
      </c>
      <c r="H90" s="64">
        <f t="shared" si="39"/>
        <v>13.4</v>
      </c>
      <c r="I90" s="64">
        <f t="shared" si="39"/>
        <v>13.2</v>
      </c>
      <c r="J90" s="64">
        <f t="shared" si="39"/>
        <v>13.2</v>
      </c>
      <c r="K90" s="64">
        <f t="shared" si="39"/>
        <v>13.6</v>
      </c>
      <c r="L90" s="64">
        <f t="shared" si="39"/>
        <v>13.4</v>
      </c>
      <c r="M90" s="64">
        <f t="shared" si="39"/>
        <v>13</v>
      </c>
      <c r="N90" s="64">
        <f t="shared" si="39"/>
        <v>20.399999999999999</v>
      </c>
      <c r="O90" s="64">
        <f t="shared" si="39"/>
        <v>20.2</v>
      </c>
      <c r="P90" s="64">
        <f t="shared" si="39"/>
        <v>20.7</v>
      </c>
      <c r="Q90" s="64">
        <f t="shared" si="39"/>
        <v>20</v>
      </c>
      <c r="R90" s="64">
        <f t="shared" si="39"/>
        <v>20.6</v>
      </c>
      <c r="S90" s="64">
        <f t="shared" si="39"/>
        <v>27</v>
      </c>
      <c r="T90" s="64">
        <f t="shared" si="39"/>
        <v>27.6</v>
      </c>
      <c r="U90" s="64">
        <f t="shared" si="39"/>
        <v>26.4</v>
      </c>
      <c r="V90" s="64">
        <f t="shared" si="39"/>
        <v>24.8</v>
      </c>
      <c r="W90" s="64">
        <f t="shared" si="39"/>
        <v>26.4</v>
      </c>
      <c r="X90" s="64">
        <f t="shared" si="39"/>
        <v>27.3</v>
      </c>
      <c r="Y90" s="64">
        <f t="shared" si="39"/>
        <v>26</v>
      </c>
      <c r="Z90" s="64">
        <f t="shared" si="39"/>
        <v>27.2</v>
      </c>
      <c r="AA90" s="64">
        <f t="shared" si="39"/>
        <v>26</v>
      </c>
      <c r="AB90" s="64">
        <f t="shared" si="39"/>
        <v>19.799999999999997</v>
      </c>
      <c r="AC90" s="64">
        <f t="shared" si="39"/>
        <v>19.799999999999997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0.65300000000000002</v>
      </c>
      <c r="G91" s="68">
        <v>0.59199999999999997</v>
      </c>
      <c r="H91" s="68">
        <v>0.69</v>
      </c>
      <c r="I91" s="68">
        <v>0.70299999999999996</v>
      </c>
      <c r="J91" s="68">
        <v>0.58099999999999996</v>
      </c>
      <c r="K91" s="68">
        <v>0.57199999999999995</v>
      </c>
      <c r="L91" s="68">
        <v>0.76900000000000002</v>
      </c>
      <c r="M91" s="68">
        <v>0.73499999999999999</v>
      </c>
      <c r="N91" s="68">
        <v>0.91400000000000003</v>
      </c>
      <c r="O91" s="68">
        <v>0.74099999999999999</v>
      </c>
      <c r="P91" s="68">
        <v>0.76300000000000001</v>
      </c>
      <c r="Q91" s="68">
        <v>0.94199999999999995</v>
      </c>
      <c r="R91" s="68">
        <v>0.94599999999999995</v>
      </c>
      <c r="S91" s="68">
        <v>0.84</v>
      </c>
      <c r="T91" s="68">
        <v>0.71799999999999997</v>
      </c>
      <c r="U91" s="68">
        <v>0.70099999999999996</v>
      </c>
      <c r="V91" s="68">
        <v>0.90700000000000003</v>
      </c>
      <c r="W91" s="68">
        <v>0.91600000000000004</v>
      </c>
      <c r="X91" s="68">
        <v>0.93700000000000006</v>
      </c>
      <c r="Y91" s="68">
        <v>0.96599999999999997</v>
      </c>
      <c r="Z91" s="68">
        <v>0.91200000000000003</v>
      </c>
      <c r="AA91" s="68">
        <v>0.91200000000000003</v>
      </c>
      <c r="AB91" s="68">
        <v>0.88100000000000001</v>
      </c>
      <c r="AC91" s="68">
        <v>0.82399999999999995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0">F30</f>
        <v>6</v>
      </c>
      <c r="G92" s="65">
        <f t="shared" si="40"/>
        <v>8</v>
      </c>
      <c r="H92" s="65">
        <f t="shared" si="40"/>
        <v>8</v>
      </c>
      <c r="I92" s="65">
        <f t="shared" si="40"/>
        <v>8</v>
      </c>
      <c r="J92" s="65">
        <f t="shared" si="40"/>
        <v>7.8</v>
      </c>
      <c r="K92" s="65">
        <f t="shared" si="40"/>
        <v>8.1999999999999993</v>
      </c>
      <c r="L92" s="65">
        <f t="shared" si="40"/>
        <v>8</v>
      </c>
      <c r="M92" s="65">
        <f t="shared" si="40"/>
        <v>7.8</v>
      </c>
      <c r="N92" s="65">
        <f t="shared" si="40"/>
        <v>8</v>
      </c>
      <c r="O92" s="65">
        <f t="shared" si="40"/>
        <v>8</v>
      </c>
      <c r="P92" s="65">
        <f t="shared" si="40"/>
        <v>8</v>
      </c>
      <c r="Q92" s="65">
        <f t="shared" si="40"/>
        <v>8.6</v>
      </c>
      <c r="R92" s="65">
        <f t="shared" si="40"/>
        <v>7.6</v>
      </c>
      <c r="S92" s="65">
        <f t="shared" si="40"/>
        <v>8</v>
      </c>
      <c r="T92" s="65">
        <f t="shared" si="40"/>
        <v>0</v>
      </c>
      <c r="U92" s="65">
        <f t="shared" si="40"/>
        <v>0</v>
      </c>
      <c r="V92" s="65">
        <f t="shared" si="40"/>
        <v>2.1</v>
      </c>
      <c r="W92" s="65">
        <f t="shared" si="40"/>
        <v>3</v>
      </c>
      <c r="X92" s="65">
        <f t="shared" si="40"/>
        <v>3.8</v>
      </c>
      <c r="Y92" s="65">
        <f t="shared" si="40"/>
        <v>7</v>
      </c>
      <c r="Z92" s="65">
        <f t="shared" si="40"/>
        <v>7</v>
      </c>
      <c r="AA92" s="65">
        <f t="shared" si="40"/>
        <v>6.6</v>
      </c>
      <c r="AB92" s="65">
        <f t="shared" si="40"/>
        <v>8.4</v>
      </c>
      <c r="AC92" s="65">
        <f t="shared" si="40"/>
        <v>8.1999999999999993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0.27100000000000002</v>
      </c>
      <c r="G93" s="68">
        <v>0.25800000000000001</v>
      </c>
      <c r="H93" s="68">
        <v>0.26500000000000001</v>
      </c>
      <c r="I93" s="68">
        <v>0.27700000000000002</v>
      </c>
      <c r="J93" s="68">
        <v>0.27300000000000002</v>
      </c>
      <c r="K93" s="68">
        <v>0.27600000000000002</v>
      </c>
      <c r="L93" s="68">
        <v>0.30299999999999999</v>
      </c>
      <c r="M93" s="68">
        <v>0.28499999999999998</v>
      </c>
      <c r="N93" s="68">
        <v>0.28699999999999998</v>
      </c>
      <c r="O93" s="68">
        <v>0.29099999999999998</v>
      </c>
      <c r="P93" s="68">
        <v>0.308</v>
      </c>
      <c r="Q93" s="68">
        <v>0.26600000000000001</v>
      </c>
      <c r="R93" s="68">
        <v>0.27800000000000002</v>
      </c>
      <c r="S93" s="68">
        <v>0.28599999999999998</v>
      </c>
      <c r="T93" s="68" t="s">
        <v>1</v>
      </c>
      <c r="U93" s="68" t="s">
        <v>1</v>
      </c>
      <c r="V93" s="68">
        <v>0.30399999999999999</v>
      </c>
      <c r="W93" s="68">
        <v>0.22800000000000001</v>
      </c>
      <c r="X93" s="68">
        <v>0.22800000000000001</v>
      </c>
      <c r="Y93" s="68">
        <v>0.26800000000000002</v>
      </c>
      <c r="Z93" s="68">
        <v>0.26500000000000001</v>
      </c>
      <c r="AA93" s="68">
        <v>0.28599999999999998</v>
      </c>
      <c r="AB93" s="68">
        <v>0.28999999999999998</v>
      </c>
      <c r="AC93" s="68">
        <v>0.29499999999999998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1">F33</f>
        <v>0</v>
      </c>
      <c r="G94" s="65">
        <f t="shared" si="41"/>
        <v>0</v>
      </c>
      <c r="H94" s="65">
        <f t="shared" si="41"/>
        <v>0</v>
      </c>
      <c r="I94" s="65">
        <f t="shared" si="41"/>
        <v>0</v>
      </c>
      <c r="J94" s="65">
        <f t="shared" si="41"/>
        <v>0</v>
      </c>
      <c r="K94" s="65">
        <f t="shared" si="41"/>
        <v>0</v>
      </c>
      <c r="L94" s="65">
        <f t="shared" si="41"/>
        <v>0</v>
      </c>
      <c r="M94" s="65">
        <f t="shared" si="41"/>
        <v>0</v>
      </c>
      <c r="N94" s="65">
        <f t="shared" si="41"/>
        <v>0</v>
      </c>
      <c r="O94" s="65">
        <f t="shared" si="41"/>
        <v>0</v>
      </c>
      <c r="P94" s="65">
        <f t="shared" si="41"/>
        <v>0</v>
      </c>
      <c r="Q94" s="65">
        <f t="shared" si="41"/>
        <v>0</v>
      </c>
      <c r="R94" s="65">
        <f t="shared" si="41"/>
        <v>0</v>
      </c>
      <c r="S94" s="65">
        <f t="shared" si="41"/>
        <v>0</v>
      </c>
      <c r="T94" s="65">
        <f t="shared" si="41"/>
        <v>0</v>
      </c>
      <c r="U94" s="65">
        <f t="shared" si="41"/>
        <v>0</v>
      </c>
      <c r="V94" s="65">
        <f t="shared" si="41"/>
        <v>0</v>
      </c>
      <c r="W94" s="65">
        <f t="shared" si="41"/>
        <v>0</v>
      </c>
      <c r="X94" s="65">
        <f t="shared" si="41"/>
        <v>0</v>
      </c>
      <c r="Y94" s="65">
        <f t="shared" si="41"/>
        <v>0</v>
      </c>
      <c r="Z94" s="65">
        <f t="shared" si="41"/>
        <v>0</v>
      </c>
      <c r="AA94" s="65">
        <f t="shared" si="41"/>
        <v>0</v>
      </c>
      <c r="AB94" s="65">
        <f t="shared" si="41"/>
        <v>0</v>
      </c>
      <c r="AC94" s="65">
        <f t="shared" si="4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f>0.09/1000</f>
        <v>8.9999999999999992E-5</v>
      </c>
      <c r="G95" s="68">
        <f>0.09/1000</f>
        <v>8.9999999999999992E-5</v>
      </c>
      <c r="H95" s="68">
        <f>0.09/1000</f>
        <v>8.9999999999999992E-5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0.4</v>
      </c>
      <c r="AA95" s="68">
        <v>0.4</v>
      </c>
      <c r="AB95" s="68">
        <v>0.4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2">F59</f>
        <v>0</v>
      </c>
      <c r="G96" s="64">
        <f t="shared" si="42"/>
        <v>1.5</v>
      </c>
      <c r="H96" s="64">
        <f t="shared" si="42"/>
        <v>0.8</v>
      </c>
      <c r="I96" s="64">
        <f t="shared" si="42"/>
        <v>0</v>
      </c>
      <c r="J96" s="64">
        <f t="shared" si="42"/>
        <v>0</v>
      </c>
      <c r="K96" s="64">
        <f t="shared" si="42"/>
        <v>0</v>
      </c>
      <c r="L96" s="64">
        <f t="shared" si="42"/>
        <v>2.7</v>
      </c>
      <c r="M96" s="64">
        <f t="shared" si="42"/>
        <v>5.2</v>
      </c>
      <c r="N96" s="64">
        <f t="shared" si="42"/>
        <v>0.9</v>
      </c>
      <c r="O96" s="64">
        <f t="shared" si="42"/>
        <v>6.8</v>
      </c>
      <c r="P96" s="64">
        <f t="shared" si="42"/>
        <v>12.600000000000003</v>
      </c>
      <c r="Q96" s="64">
        <f t="shared" si="42"/>
        <v>13.200000000000005</v>
      </c>
      <c r="R96" s="64">
        <f t="shared" si="42"/>
        <v>13.100000000000003</v>
      </c>
      <c r="S96" s="64">
        <f t="shared" si="42"/>
        <v>6.6999999999999993</v>
      </c>
      <c r="T96" s="64">
        <f t="shared" si="42"/>
        <v>7.5499999999999989</v>
      </c>
      <c r="U96" s="64">
        <f t="shared" si="42"/>
        <v>11.800000000000002</v>
      </c>
      <c r="V96" s="64">
        <f t="shared" si="42"/>
        <v>13.100000000000003</v>
      </c>
      <c r="W96" s="64">
        <f t="shared" si="42"/>
        <v>11.600000000000003</v>
      </c>
      <c r="X96" s="64">
        <f t="shared" si="42"/>
        <v>8.2999999999999989</v>
      </c>
      <c r="Y96" s="64">
        <f t="shared" si="42"/>
        <v>8.2999999999999989</v>
      </c>
      <c r="Z96" s="64">
        <f t="shared" si="42"/>
        <v>3.6</v>
      </c>
      <c r="AA96" s="64">
        <f t="shared" si="42"/>
        <v>1</v>
      </c>
      <c r="AB96" s="64">
        <f t="shared" si="42"/>
        <v>2.2999999999999998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3">F64</f>
        <v>0.81</v>
      </c>
      <c r="G97" s="64">
        <f t="shared" si="43"/>
        <v>0.78</v>
      </c>
      <c r="H97" s="64">
        <f t="shared" si="43"/>
        <v>0.74</v>
      </c>
      <c r="I97" s="64">
        <f t="shared" si="43"/>
        <v>0.73</v>
      </c>
      <c r="J97" s="64">
        <f t="shared" si="43"/>
        <v>0.74</v>
      </c>
      <c r="K97" s="64">
        <f t="shared" si="43"/>
        <v>0.89</v>
      </c>
      <c r="L97" s="64">
        <f t="shared" si="43"/>
        <v>0.97</v>
      </c>
      <c r="M97" s="64">
        <f t="shared" si="43"/>
        <v>1.24</v>
      </c>
      <c r="N97" s="64">
        <f t="shared" si="43"/>
        <v>1.1000000000000001</v>
      </c>
      <c r="O97" s="64">
        <f t="shared" si="43"/>
        <v>1.25</v>
      </c>
      <c r="P97" s="64">
        <f t="shared" si="43"/>
        <v>1.28</v>
      </c>
      <c r="Q97" s="64">
        <f t="shared" si="43"/>
        <v>1.33</v>
      </c>
      <c r="R97" s="64">
        <f t="shared" si="43"/>
        <v>1.28</v>
      </c>
      <c r="S97" s="64">
        <f t="shared" si="43"/>
        <v>1.19</v>
      </c>
      <c r="T97" s="64">
        <f t="shared" si="43"/>
        <v>1.21</v>
      </c>
      <c r="U97" s="64">
        <f t="shared" si="43"/>
        <v>1.22</v>
      </c>
      <c r="V97" s="64">
        <f t="shared" si="43"/>
        <v>1.21</v>
      </c>
      <c r="W97" s="64">
        <f t="shared" si="43"/>
        <v>1.24</v>
      </c>
      <c r="X97" s="64">
        <f t="shared" si="43"/>
        <v>1.34</v>
      </c>
      <c r="Y97" s="64">
        <f t="shared" si="43"/>
        <v>1.48</v>
      </c>
      <c r="Z97" s="64">
        <f t="shared" si="43"/>
        <v>1.35</v>
      </c>
      <c r="AA97" s="64">
        <f t="shared" si="43"/>
        <v>1.22</v>
      </c>
      <c r="AB97" s="64">
        <f t="shared" si="43"/>
        <v>1.08</v>
      </c>
      <c r="AC97" s="64">
        <f t="shared" si="43"/>
        <v>0.96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4">F75</f>
        <v>3.25</v>
      </c>
      <c r="G98" s="64">
        <f t="shared" si="44"/>
        <v>3</v>
      </c>
      <c r="H98" s="64">
        <f t="shared" si="44"/>
        <v>2.9</v>
      </c>
      <c r="I98" s="64">
        <f t="shared" si="44"/>
        <v>2.9</v>
      </c>
      <c r="J98" s="64">
        <f t="shared" si="44"/>
        <v>2.5999999999999996</v>
      </c>
      <c r="K98" s="64">
        <f t="shared" si="44"/>
        <v>2.5999999999999996</v>
      </c>
      <c r="L98" s="64">
        <f t="shared" si="44"/>
        <v>3.2</v>
      </c>
      <c r="M98" s="64">
        <f t="shared" si="44"/>
        <v>3.7</v>
      </c>
      <c r="N98" s="64">
        <f t="shared" si="44"/>
        <v>3.5</v>
      </c>
      <c r="O98" s="64">
        <f t="shared" si="44"/>
        <v>2.7</v>
      </c>
      <c r="P98" s="64">
        <f t="shared" si="44"/>
        <v>2.56</v>
      </c>
      <c r="Q98" s="64">
        <f t="shared" si="44"/>
        <v>4.3</v>
      </c>
      <c r="R98" s="64">
        <f t="shared" si="44"/>
        <v>4.4400000000000004</v>
      </c>
      <c r="S98" s="64">
        <f t="shared" si="44"/>
        <v>4.82</v>
      </c>
      <c r="T98" s="64">
        <f t="shared" si="44"/>
        <v>4.84</v>
      </c>
      <c r="U98" s="64">
        <f t="shared" si="44"/>
        <v>4.83</v>
      </c>
      <c r="V98" s="64">
        <f t="shared" si="44"/>
        <v>4.68</v>
      </c>
      <c r="W98" s="64">
        <f t="shared" si="44"/>
        <v>4.53</v>
      </c>
      <c r="X98" s="64">
        <f t="shared" si="44"/>
        <v>4.08</v>
      </c>
      <c r="Y98" s="64">
        <f t="shared" si="44"/>
        <v>5.07</v>
      </c>
      <c r="Z98" s="64">
        <f t="shared" si="44"/>
        <v>4.79</v>
      </c>
      <c r="AA98" s="64">
        <f t="shared" si="44"/>
        <v>4.1100000000000003</v>
      </c>
      <c r="AB98" s="64">
        <f t="shared" si="44"/>
        <v>3.69</v>
      </c>
      <c r="AC98" s="64">
        <f t="shared" si="44"/>
        <v>3.1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45">F79</f>
        <v>0.76</v>
      </c>
      <c r="G99" s="64">
        <f t="shared" si="45"/>
        <v>0.73</v>
      </c>
      <c r="H99" s="64">
        <f t="shared" si="45"/>
        <v>0.71</v>
      </c>
      <c r="I99" s="64">
        <f t="shared" si="45"/>
        <v>0.69</v>
      </c>
      <c r="J99" s="64">
        <f t="shared" si="45"/>
        <v>0.67</v>
      </c>
      <c r="K99" s="64">
        <f t="shared" si="45"/>
        <v>0.66</v>
      </c>
      <c r="L99" s="64">
        <f t="shared" si="45"/>
        <v>0.76</v>
      </c>
      <c r="M99" s="64">
        <f t="shared" si="45"/>
        <v>0.76</v>
      </c>
      <c r="N99" s="64">
        <f t="shared" si="45"/>
        <v>0.7</v>
      </c>
      <c r="O99" s="64">
        <f t="shared" si="45"/>
        <v>0.71</v>
      </c>
      <c r="P99" s="64">
        <f t="shared" si="45"/>
        <v>0.76</v>
      </c>
      <c r="Q99" s="64">
        <f t="shared" si="45"/>
        <v>0.78</v>
      </c>
      <c r="R99" s="64">
        <f t="shared" si="45"/>
        <v>0.74</v>
      </c>
      <c r="S99" s="64">
        <f t="shared" si="45"/>
        <v>0.73</v>
      </c>
      <c r="T99" s="64">
        <f t="shared" si="45"/>
        <v>0.78</v>
      </c>
      <c r="U99" s="64">
        <f t="shared" si="45"/>
        <v>0.78</v>
      </c>
      <c r="V99" s="64">
        <f t="shared" si="45"/>
        <v>0.8</v>
      </c>
      <c r="W99" s="64">
        <f t="shared" si="45"/>
        <v>0.81</v>
      </c>
      <c r="X99" s="64">
        <f t="shared" si="45"/>
        <v>0.78</v>
      </c>
      <c r="Y99" s="64">
        <f t="shared" si="45"/>
        <v>0.93300000000000005</v>
      </c>
      <c r="Z99" s="64">
        <f t="shared" si="45"/>
        <v>0.93</v>
      </c>
      <c r="AA99" s="64">
        <f t="shared" si="45"/>
        <v>0.91</v>
      </c>
      <c r="AB99" s="64">
        <f t="shared" si="45"/>
        <v>0.85</v>
      </c>
      <c r="AC99" s="64">
        <f t="shared" si="45"/>
        <v>0.82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47">SUM(F88,F90,F92,F94,F96:F100,F80)</f>
        <v>36.32</v>
      </c>
      <c r="G101" s="61">
        <f t="shared" si="47"/>
        <v>34.51</v>
      </c>
      <c r="H101" s="61">
        <f t="shared" si="47"/>
        <v>33.65</v>
      </c>
      <c r="I101" s="61">
        <f t="shared" si="47"/>
        <v>32.619999999999997</v>
      </c>
      <c r="J101" s="61">
        <f t="shared" si="47"/>
        <v>32.11</v>
      </c>
      <c r="K101" s="61">
        <f t="shared" si="47"/>
        <v>33.049999999999997</v>
      </c>
      <c r="L101" s="61">
        <f t="shared" si="47"/>
        <v>36.130000000000003</v>
      </c>
      <c r="M101" s="61">
        <f t="shared" si="47"/>
        <v>38.800000000000004</v>
      </c>
      <c r="N101" s="61">
        <f t="shared" si="47"/>
        <v>41.7</v>
      </c>
      <c r="O101" s="61">
        <f t="shared" si="47"/>
        <v>46.76</v>
      </c>
      <c r="P101" s="61">
        <f t="shared" si="47"/>
        <v>53</v>
      </c>
      <c r="Q101" s="61">
        <f t="shared" si="47"/>
        <v>55.31</v>
      </c>
      <c r="R101" s="61">
        <f t="shared" si="47"/>
        <v>54.860000000000007</v>
      </c>
      <c r="S101" s="61">
        <f t="shared" si="47"/>
        <v>55.539999999999992</v>
      </c>
      <c r="T101" s="61">
        <f t="shared" si="47"/>
        <v>45.28</v>
      </c>
      <c r="U101" s="61">
        <f t="shared" si="47"/>
        <v>48.33</v>
      </c>
      <c r="V101" s="61">
        <f t="shared" si="47"/>
        <v>49.89</v>
      </c>
      <c r="W101" s="61">
        <f t="shared" si="47"/>
        <v>54.38</v>
      </c>
      <c r="X101" s="61">
        <f t="shared" si="47"/>
        <v>52.699999999999996</v>
      </c>
      <c r="Y101" s="61">
        <f t="shared" si="47"/>
        <v>55.882999999999996</v>
      </c>
      <c r="Z101" s="61">
        <f t="shared" si="47"/>
        <v>51.97</v>
      </c>
      <c r="AA101" s="61">
        <f t="shared" si="47"/>
        <v>46.94</v>
      </c>
      <c r="AB101" s="61">
        <f t="shared" si="47"/>
        <v>43.219999999999992</v>
      </c>
      <c r="AC101" s="61">
        <f t="shared" si="47"/>
        <v>39.979999999999997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0.8</v>
      </c>
      <c r="P104" s="77">
        <v>0.8</v>
      </c>
      <c r="Q104" s="77"/>
      <c r="R104" s="77"/>
      <c r="S104" s="77"/>
      <c r="T104" s="77">
        <f>3.96+1.14+4.82</f>
        <v>9.92</v>
      </c>
      <c r="U104" s="77">
        <f>3.96+1.14+4.82</f>
        <v>9.92</v>
      </c>
      <c r="V104" s="77">
        <v>4.04</v>
      </c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48">SUM(F102:F104)</f>
        <v>0</v>
      </c>
      <c r="G105" s="61">
        <f t="shared" si="48"/>
        <v>0</v>
      </c>
      <c r="H105" s="61">
        <f t="shared" si="48"/>
        <v>0</v>
      </c>
      <c r="I105" s="61">
        <f t="shared" si="48"/>
        <v>0</v>
      </c>
      <c r="J105" s="61">
        <f t="shared" si="48"/>
        <v>0</v>
      </c>
      <c r="K105" s="61">
        <f t="shared" si="48"/>
        <v>0</v>
      </c>
      <c r="L105" s="61">
        <f t="shared" si="48"/>
        <v>0</v>
      </c>
      <c r="M105" s="61">
        <f t="shared" si="48"/>
        <v>0</v>
      </c>
      <c r="N105" s="61">
        <f t="shared" si="48"/>
        <v>0</v>
      </c>
      <c r="O105" s="61">
        <f t="shared" si="48"/>
        <v>0.8</v>
      </c>
      <c r="P105" s="61">
        <f t="shared" si="48"/>
        <v>0.8</v>
      </c>
      <c r="Q105" s="61">
        <f t="shared" si="48"/>
        <v>0</v>
      </c>
      <c r="R105" s="61">
        <f t="shared" si="48"/>
        <v>0</v>
      </c>
      <c r="S105" s="61">
        <f t="shared" si="48"/>
        <v>0</v>
      </c>
      <c r="T105" s="61">
        <f t="shared" si="48"/>
        <v>9.92</v>
      </c>
      <c r="U105" s="61">
        <f t="shared" si="48"/>
        <v>9.92</v>
      </c>
      <c r="V105" s="61">
        <f t="shared" si="48"/>
        <v>4.04</v>
      </c>
      <c r="W105" s="61">
        <f t="shared" si="48"/>
        <v>0</v>
      </c>
      <c r="X105" s="61">
        <f t="shared" si="48"/>
        <v>0</v>
      </c>
      <c r="Y105" s="61">
        <f t="shared" si="48"/>
        <v>0</v>
      </c>
      <c r="Z105" s="61">
        <f t="shared" si="48"/>
        <v>0</v>
      </c>
      <c r="AA105" s="61">
        <f t="shared" si="48"/>
        <v>0</v>
      </c>
      <c r="AB105" s="61">
        <f t="shared" si="48"/>
        <v>0</v>
      </c>
      <c r="AC105" s="61">
        <f t="shared" si="48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49">F101+F105</f>
        <v>36.32</v>
      </c>
      <c r="G106" s="62">
        <f t="shared" si="49"/>
        <v>34.51</v>
      </c>
      <c r="H106" s="62">
        <f t="shared" si="49"/>
        <v>33.65</v>
      </c>
      <c r="I106" s="62">
        <f t="shared" si="49"/>
        <v>32.619999999999997</v>
      </c>
      <c r="J106" s="62">
        <f t="shared" si="49"/>
        <v>32.11</v>
      </c>
      <c r="K106" s="62">
        <f t="shared" si="49"/>
        <v>33.049999999999997</v>
      </c>
      <c r="L106" s="62">
        <f t="shared" si="49"/>
        <v>36.130000000000003</v>
      </c>
      <c r="M106" s="62">
        <f t="shared" si="49"/>
        <v>38.800000000000004</v>
      </c>
      <c r="N106" s="62">
        <f t="shared" si="49"/>
        <v>41.7</v>
      </c>
      <c r="O106" s="62">
        <f t="shared" si="49"/>
        <v>47.559999999999995</v>
      </c>
      <c r="P106" s="62">
        <f t="shared" si="49"/>
        <v>53.8</v>
      </c>
      <c r="Q106" s="62">
        <f t="shared" si="49"/>
        <v>55.31</v>
      </c>
      <c r="R106" s="62">
        <f t="shared" si="49"/>
        <v>54.860000000000007</v>
      </c>
      <c r="S106" s="62">
        <f t="shared" si="49"/>
        <v>55.539999999999992</v>
      </c>
      <c r="T106" s="62">
        <f t="shared" si="49"/>
        <v>55.2</v>
      </c>
      <c r="U106" s="62">
        <f t="shared" si="49"/>
        <v>58.25</v>
      </c>
      <c r="V106" s="62">
        <f t="shared" si="49"/>
        <v>53.93</v>
      </c>
      <c r="W106" s="62">
        <f t="shared" si="49"/>
        <v>54.38</v>
      </c>
      <c r="X106" s="62">
        <f t="shared" si="49"/>
        <v>52.699999999999996</v>
      </c>
      <c r="Y106" s="62">
        <f t="shared" si="49"/>
        <v>55.882999999999996</v>
      </c>
      <c r="Z106" s="62">
        <f t="shared" si="49"/>
        <v>51.97</v>
      </c>
      <c r="AA106" s="62">
        <f t="shared" si="49"/>
        <v>46.94</v>
      </c>
      <c r="AB106" s="62">
        <f t="shared" si="49"/>
        <v>43.219999999999992</v>
      </c>
      <c r="AC106" s="62">
        <f t="shared" si="49"/>
        <v>39.979999999999997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50">(COUNT(F13:F16))*7.2+(COUNT(F27:F28)*4.9)+(COUNT(F19:F21)*4.5)-F90-F92</f>
        <v>10.700000000000006</v>
      </c>
      <c r="G107" s="63">
        <f t="shared" si="50"/>
        <v>14.500000000000007</v>
      </c>
      <c r="H107" s="63">
        <f t="shared" si="50"/>
        <v>14.500000000000007</v>
      </c>
      <c r="I107" s="63">
        <f t="shared" si="50"/>
        <v>14.700000000000006</v>
      </c>
      <c r="J107" s="63">
        <f t="shared" si="50"/>
        <v>14.900000000000006</v>
      </c>
      <c r="K107" s="63">
        <f t="shared" si="50"/>
        <v>14.100000000000005</v>
      </c>
      <c r="L107" s="63">
        <f t="shared" si="50"/>
        <v>14.500000000000007</v>
      </c>
      <c r="M107" s="63">
        <f t="shared" si="50"/>
        <v>15.100000000000005</v>
      </c>
      <c r="N107" s="63">
        <f t="shared" si="50"/>
        <v>7.5000000000000071</v>
      </c>
      <c r="O107" s="63">
        <f t="shared" si="50"/>
        <v>7.7000000000000064</v>
      </c>
      <c r="P107" s="63">
        <f t="shared" si="50"/>
        <v>7.2000000000000064</v>
      </c>
      <c r="Q107" s="63">
        <f t="shared" si="50"/>
        <v>7.300000000000006</v>
      </c>
      <c r="R107" s="63">
        <f t="shared" si="50"/>
        <v>14.9</v>
      </c>
      <c r="S107" s="63">
        <f t="shared" si="50"/>
        <v>8.1000000000000014</v>
      </c>
      <c r="T107" s="63">
        <f t="shared" si="50"/>
        <v>5.6999999999999957</v>
      </c>
      <c r="U107" s="63">
        <f t="shared" si="50"/>
        <v>6.8999999999999986</v>
      </c>
      <c r="V107" s="63">
        <f t="shared" si="50"/>
        <v>11.300000000000002</v>
      </c>
      <c r="W107" s="63">
        <f t="shared" si="50"/>
        <v>8.8000000000000043</v>
      </c>
      <c r="X107" s="63">
        <f t="shared" si="50"/>
        <v>7.1000000000000023</v>
      </c>
      <c r="Y107" s="63">
        <f t="shared" si="50"/>
        <v>10.100000000000001</v>
      </c>
      <c r="Z107" s="63">
        <f t="shared" si="50"/>
        <v>8.9000000000000021</v>
      </c>
      <c r="AA107" s="63">
        <f t="shared" si="50"/>
        <v>10.500000000000002</v>
      </c>
      <c r="AB107" s="63">
        <f t="shared" si="50"/>
        <v>14.900000000000004</v>
      </c>
      <c r="AC107" s="63">
        <f t="shared" si="50"/>
        <v>15.100000000000005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5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14.7</v>
      </c>
      <c r="G108" s="206">
        <f t="shared" si="51"/>
        <v>10.5</v>
      </c>
      <c r="H108" s="206">
        <f t="shared" si="51"/>
        <v>10.5</v>
      </c>
      <c r="I108" s="206">
        <f t="shared" si="51"/>
        <v>10.700000000000003</v>
      </c>
      <c r="J108" s="206">
        <f t="shared" si="51"/>
        <v>10.900000000000002</v>
      </c>
      <c r="K108" s="206">
        <f t="shared" si="51"/>
        <v>10.100000000000001</v>
      </c>
      <c r="L108" s="206">
        <f t="shared" si="51"/>
        <v>10.5</v>
      </c>
      <c r="M108" s="206">
        <f t="shared" si="51"/>
        <v>11.099999999999998</v>
      </c>
      <c r="N108" s="206">
        <f t="shared" si="51"/>
        <v>10.700000000000003</v>
      </c>
      <c r="O108" s="206">
        <f t="shared" si="51"/>
        <v>10.899999999999999</v>
      </c>
      <c r="P108" s="206">
        <f t="shared" si="51"/>
        <v>10.399999999999999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11.900000000000002</v>
      </c>
      <c r="R108" s="206">
        <f t="shared" ref="R108:AC108" si="5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11.5</v>
      </c>
      <c r="S108" s="206">
        <f t="shared" si="52"/>
        <v>4.7</v>
      </c>
      <c r="T108" s="206">
        <f t="shared" si="52"/>
        <v>2.3999999999999995</v>
      </c>
      <c r="U108" s="206">
        <f t="shared" si="52"/>
        <v>3.6000000000000023</v>
      </c>
      <c r="V108" s="206">
        <f t="shared" si="52"/>
        <v>7.7</v>
      </c>
      <c r="W108" s="206">
        <f t="shared" si="52"/>
        <v>6.1000000000000023</v>
      </c>
      <c r="X108" s="206">
        <f t="shared" si="52"/>
        <v>4.1000000000000005</v>
      </c>
      <c r="Y108" s="206">
        <f t="shared" si="52"/>
        <v>6.7</v>
      </c>
      <c r="Z108" s="206">
        <f t="shared" si="52"/>
        <v>5.5000000000000009</v>
      </c>
      <c r="AA108" s="206">
        <f t="shared" si="52"/>
        <v>7.1000000000000023</v>
      </c>
      <c r="AB108" s="206">
        <f t="shared" si="52"/>
        <v>4.3000000000000043</v>
      </c>
      <c r="AC108" s="206">
        <f t="shared" si="52"/>
        <v>4.5000000000000053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60.2</v>
      </c>
      <c r="G109" s="75">
        <v>60.05</v>
      </c>
      <c r="H109" s="75">
        <v>60.09</v>
      </c>
      <c r="I109" s="75">
        <v>60.1</v>
      </c>
      <c r="J109" s="75">
        <v>60.15</v>
      </c>
      <c r="K109" s="75">
        <v>60.03</v>
      </c>
      <c r="L109" s="75">
        <v>60.14</v>
      </c>
      <c r="M109" s="75">
        <v>60.17</v>
      </c>
      <c r="N109" s="75">
        <v>60</v>
      </c>
      <c r="O109" s="75">
        <v>60.14</v>
      </c>
      <c r="P109" s="84">
        <v>59.99</v>
      </c>
      <c r="Q109" s="84">
        <v>60.17</v>
      </c>
      <c r="R109" s="84">
        <v>60.17</v>
      </c>
      <c r="S109" s="84">
        <v>60.1</v>
      </c>
      <c r="T109" s="84">
        <v>60.11</v>
      </c>
      <c r="U109" s="75">
        <v>60.16</v>
      </c>
      <c r="V109" s="75">
        <v>60.33</v>
      </c>
      <c r="W109" s="75">
        <v>60.26</v>
      </c>
      <c r="X109" s="75">
        <v>60.05</v>
      </c>
      <c r="Y109" s="75">
        <v>60.15</v>
      </c>
      <c r="Z109" s="75">
        <v>60.09</v>
      </c>
      <c r="AA109" s="75">
        <v>60.09</v>
      </c>
      <c r="AB109" s="75">
        <v>60.09</v>
      </c>
      <c r="AC109" s="75">
        <v>60.19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53">SUM(G117:G124)</f>
        <v>0</v>
      </c>
      <c r="H125" s="44">
        <f t="shared" si="53"/>
        <v>0</v>
      </c>
      <c r="I125" s="44">
        <f t="shared" si="53"/>
        <v>0</v>
      </c>
      <c r="J125" s="44">
        <f t="shared" si="53"/>
        <v>0</v>
      </c>
      <c r="K125" s="44">
        <f t="shared" si="53"/>
        <v>0</v>
      </c>
      <c r="L125" s="44">
        <f t="shared" si="53"/>
        <v>0</v>
      </c>
      <c r="M125" s="44">
        <f t="shared" si="53"/>
        <v>0</v>
      </c>
      <c r="N125" s="44">
        <f t="shared" si="53"/>
        <v>0</v>
      </c>
      <c r="O125" s="44">
        <f t="shared" si="53"/>
        <v>0</v>
      </c>
      <c r="P125" s="44">
        <f t="shared" si="53"/>
        <v>0</v>
      </c>
      <c r="Q125" s="44">
        <f t="shared" si="53"/>
        <v>0</v>
      </c>
      <c r="R125" s="44">
        <f t="shared" si="53"/>
        <v>0</v>
      </c>
      <c r="S125" s="44">
        <f t="shared" si="53"/>
        <v>0</v>
      </c>
      <c r="T125" s="44">
        <f t="shared" si="53"/>
        <v>0</v>
      </c>
      <c r="U125" s="44">
        <f t="shared" si="53"/>
        <v>0</v>
      </c>
      <c r="V125" s="44">
        <f t="shared" si="53"/>
        <v>0</v>
      </c>
      <c r="W125" s="44">
        <f t="shared" si="53"/>
        <v>0</v>
      </c>
      <c r="X125" s="44">
        <f t="shared" si="53"/>
        <v>0</v>
      </c>
      <c r="Y125" s="44">
        <f t="shared" si="53"/>
        <v>0</v>
      </c>
      <c r="Z125" s="44">
        <f t="shared" si="53"/>
        <v>0</v>
      </c>
      <c r="AA125" s="44">
        <f t="shared" si="53"/>
        <v>0</v>
      </c>
      <c r="AB125" s="44">
        <f t="shared" si="53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2866" priority="1383" operator="greaterThan">
      <formula>60.3</formula>
    </cfRule>
  </conditionalFormatting>
  <conditionalFormatting sqref="G53:G55 J56:L56 I13:K14 I57:L58 K15 I15:J16 I53:I56 K16:Q16 I40:I50 N51:O52 J53:O55 J24:AC24 I67:J72 I74:J74 L13:Q15 J35:O50 I66:U66 M56:O58 N63:U63 N61:U61 L62:U62 K67:U74 I27:AC28 I20:AC21 R13:AC16 I77:AC78 P35:AC58 V61:AC63 V66:AC74">
    <cfRule type="cellIs" dxfId="22865" priority="1375" operator="equal">
      <formula>"PMS"</formula>
    </cfRule>
    <cfRule type="containsText" dxfId="22864" priority="1376" operator="containsText" text="CMS">
      <formula>NOT(ISERROR(SEARCH("CMS",G13)))</formula>
    </cfRule>
    <cfRule type="cellIs" dxfId="22863" priority="1377" operator="equal">
      <formula>0</formula>
    </cfRule>
    <cfRule type="cellIs" dxfId="22862" priority="1378" operator="greaterThan">
      <formula>0</formula>
    </cfRule>
    <cfRule type="cellIs" dxfId="22861" priority="1379" operator="equal">
      <formula>"PMS"</formula>
    </cfRule>
    <cfRule type="containsText" dxfId="22860" priority="1380" operator="containsText" text="CMS">
      <formula>NOT(ISERROR(SEARCH("CMS",G13)))</formula>
    </cfRule>
    <cfRule type="cellIs" dxfId="22859" priority="1381" operator="equal">
      <formula>0</formula>
    </cfRule>
    <cfRule type="cellIs" dxfId="22858" priority="1382" operator="greaterThan">
      <formula>0</formula>
    </cfRule>
  </conditionalFormatting>
  <conditionalFormatting sqref="O77:AC78 O61:AC63 O66:AC74">
    <cfRule type="cellIs" dxfId="22857" priority="1371" operator="equal">
      <formula>"PMS"</formula>
    </cfRule>
    <cfRule type="containsText" dxfId="22856" priority="1372" operator="containsText" text="CMS">
      <formula>NOT(ISERROR(SEARCH("CMS",O61)))</formula>
    </cfRule>
    <cfRule type="cellIs" dxfId="22855" priority="1373" operator="equal">
      <formula>0</formula>
    </cfRule>
    <cfRule type="cellIs" dxfId="22854" priority="1374" operator="greaterThan">
      <formula>0</formula>
    </cfRule>
  </conditionalFormatting>
  <conditionalFormatting sqref="P66:AC74">
    <cfRule type="cellIs" dxfId="22853" priority="1367" operator="equal">
      <formula>"PMS"</formula>
    </cfRule>
    <cfRule type="containsText" dxfId="22852" priority="1368" operator="containsText" text="CMS">
      <formula>NOT(ISERROR(SEARCH("CMS",P66)))</formula>
    </cfRule>
    <cfRule type="cellIs" dxfId="22851" priority="1369" operator="equal">
      <formula>0</formula>
    </cfRule>
    <cfRule type="cellIs" dxfId="22850" priority="1370" operator="greaterThan">
      <formula>0</formula>
    </cfRule>
  </conditionalFormatting>
  <conditionalFormatting sqref="O13:AC16">
    <cfRule type="cellIs" dxfId="22849" priority="1363" operator="equal">
      <formula>"PMS"</formula>
    </cfRule>
    <cfRule type="containsText" dxfId="22848" priority="1364" operator="containsText" text="CMS">
      <formula>NOT(ISERROR(SEARCH("CMS",O13)))</formula>
    </cfRule>
    <cfRule type="cellIs" dxfId="22847" priority="1365" operator="equal">
      <formula>0</formula>
    </cfRule>
    <cfRule type="cellIs" dxfId="22846" priority="1366" operator="greaterThan">
      <formula>0</formula>
    </cfRule>
  </conditionalFormatting>
  <conditionalFormatting sqref="P13:AC16">
    <cfRule type="cellIs" dxfId="22845" priority="1359" operator="equal">
      <formula>"PMS"</formula>
    </cfRule>
    <cfRule type="containsText" dxfId="22844" priority="1360" operator="containsText" text="CMS">
      <formula>NOT(ISERROR(SEARCH("CMS",P13)))</formula>
    </cfRule>
    <cfRule type="cellIs" dxfId="22843" priority="1361" operator="equal">
      <formula>0</formula>
    </cfRule>
    <cfRule type="cellIs" dxfId="22842" priority="1362" operator="greaterThan">
      <formula>0</formula>
    </cfRule>
  </conditionalFormatting>
  <conditionalFormatting sqref="O20:AC21">
    <cfRule type="cellIs" dxfId="22841" priority="1355" operator="equal">
      <formula>"PMS"</formula>
    </cfRule>
    <cfRule type="containsText" dxfId="22840" priority="1356" operator="containsText" text="CMS">
      <formula>NOT(ISERROR(SEARCH("CMS",O20)))</formula>
    </cfRule>
    <cfRule type="cellIs" dxfId="22839" priority="1357" operator="equal">
      <formula>0</formula>
    </cfRule>
    <cfRule type="cellIs" dxfId="22838" priority="1358" operator="greaterThan">
      <formula>0</formula>
    </cfRule>
  </conditionalFormatting>
  <conditionalFormatting sqref="P20:AC21">
    <cfRule type="cellIs" dxfId="22837" priority="1351" operator="equal">
      <formula>"PMS"</formula>
    </cfRule>
    <cfRule type="containsText" dxfId="22836" priority="1352" operator="containsText" text="CMS">
      <formula>NOT(ISERROR(SEARCH("CMS",P20)))</formula>
    </cfRule>
    <cfRule type="cellIs" dxfId="22835" priority="1353" operator="equal">
      <formula>0</formula>
    </cfRule>
    <cfRule type="cellIs" dxfId="22834" priority="1354" operator="greaterThan">
      <formula>0</formula>
    </cfRule>
  </conditionalFormatting>
  <conditionalFormatting sqref="O24:AC24">
    <cfRule type="cellIs" dxfId="22833" priority="1347" operator="equal">
      <formula>"PMS"</formula>
    </cfRule>
    <cfRule type="containsText" dxfId="22832" priority="1348" operator="containsText" text="CMS">
      <formula>NOT(ISERROR(SEARCH("CMS",O24)))</formula>
    </cfRule>
    <cfRule type="cellIs" dxfId="22831" priority="1349" operator="equal">
      <formula>0</formula>
    </cfRule>
    <cfRule type="cellIs" dxfId="22830" priority="1350" operator="greaterThan">
      <formula>0</formula>
    </cfRule>
  </conditionalFormatting>
  <conditionalFormatting sqref="P24:AC24">
    <cfRule type="cellIs" dxfId="22829" priority="1343" operator="equal">
      <formula>"PMS"</formula>
    </cfRule>
    <cfRule type="containsText" dxfId="22828" priority="1344" operator="containsText" text="CMS">
      <formula>NOT(ISERROR(SEARCH("CMS",P24)))</formula>
    </cfRule>
    <cfRule type="cellIs" dxfId="22827" priority="1345" operator="equal">
      <formula>0</formula>
    </cfRule>
    <cfRule type="cellIs" dxfId="22826" priority="1346" operator="greaterThan">
      <formula>0</formula>
    </cfRule>
  </conditionalFormatting>
  <conditionalFormatting sqref="O27:AC28">
    <cfRule type="cellIs" dxfId="22825" priority="1339" operator="equal">
      <formula>"PMS"</formula>
    </cfRule>
    <cfRule type="containsText" dxfId="22824" priority="1340" operator="containsText" text="CMS">
      <formula>NOT(ISERROR(SEARCH("CMS",O27)))</formula>
    </cfRule>
    <cfRule type="cellIs" dxfId="22823" priority="1341" operator="equal">
      <formula>0</formula>
    </cfRule>
    <cfRule type="cellIs" dxfId="22822" priority="1342" operator="greaterThan">
      <formula>0</formula>
    </cfRule>
  </conditionalFormatting>
  <conditionalFormatting sqref="P27:AC28">
    <cfRule type="cellIs" dxfId="22821" priority="1335" operator="equal">
      <formula>"PMS"</formula>
    </cfRule>
    <cfRule type="containsText" dxfId="22820" priority="1336" operator="containsText" text="CMS">
      <formula>NOT(ISERROR(SEARCH("CMS",P27)))</formula>
    </cfRule>
    <cfRule type="cellIs" dxfId="22819" priority="1337" operator="equal">
      <formula>0</formula>
    </cfRule>
    <cfRule type="cellIs" dxfId="22818" priority="1338" operator="greaterThan">
      <formula>0</formula>
    </cfRule>
  </conditionalFormatting>
  <conditionalFormatting sqref="O53:Q58 R50:U58 O35:U49 V35:AC58">
    <cfRule type="cellIs" dxfId="22817" priority="1331" operator="equal">
      <formula>"PMS"</formula>
    </cfRule>
    <cfRule type="containsText" dxfId="22816" priority="1332" operator="containsText" text="CMS">
      <formula>NOT(ISERROR(SEARCH("CMS",O35)))</formula>
    </cfRule>
    <cfRule type="cellIs" dxfId="22815" priority="1333" operator="equal">
      <formula>0</formula>
    </cfRule>
    <cfRule type="cellIs" dxfId="22814" priority="1334" operator="greaterThan">
      <formula>0</formula>
    </cfRule>
  </conditionalFormatting>
  <conditionalFormatting sqref="O38:O49 O53:Q58 R50:U58 P35:U49 V35:AC58">
    <cfRule type="cellIs" dxfId="22813" priority="1327" operator="equal">
      <formula>"PMS"</formula>
    </cfRule>
    <cfRule type="containsText" dxfId="22812" priority="1328" operator="containsText" text="CMS">
      <formula>NOT(ISERROR(SEARCH("CMS",O35)))</formula>
    </cfRule>
    <cfRule type="cellIs" dxfId="22811" priority="1329" operator="equal">
      <formula>0</formula>
    </cfRule>
    <cfRule type="cellIs" dxfId="22810" priority="1330" operator="greaterThan">
      <formula>0</formula>
    </cfRule>
  </conditionalFormatting>
  <conditionalFormatting sqref="W14:X16 W13:AC13 Z14:AB16 AC14:AC15">
    <cfRule type="cellIs" dxfId="22809" priority="1323" operator="equal">
      <formula>"PMS"</formula>
    </cfRule>
    <cfRule type="containsText" dxfId="22808" priority="1324" operator="containsText" text="CMS">
      <formula>NOT(ISERROR(SEARCH("CMS",W13)))</formula>
    </cfRule>
    <cfRule type="cellIs" dxfId="22807" priority="1325" operator="equal">
      <formula>0</formula>
    </cfRule>
    <cfRule type="cellIs" dxfId="22806" priority="1326" operator="greaterThan">
      <formula>0</formula>
    </cfRule>
  </conditionalFormatting>
  <conditionalFormatting sqref="W14:X16 W13:AC13 Z14:AB16 AC14:AC15">
    <cfRule type="cellIs" dxfId="22805" priority="1319" operator="equal">
      <formula>"PMS"</formula>
    </cfRule>
    <cfRule type="containsText" dxfId="22804" priority="1320" operator="containsText" text="CMS">
      <formula>NOT(ISERROR(SEARCH("CMS",W13)))</formula>
    </cfRule>
    <cfRule type="cellIs" dxfId="22803" priority="1321" operator="equal">
      <formula>0</formula>
    </cfRule>
    <cfRule type="cellIs" dxfId="22802" priority="1322" operator="greaterThan">
      <formula>0</formula>
    </cfRule>
  </conditionalFormatting>
  <conditionalFormatting sqref="X57:AC57">
    <cfRule type="cellIs" dxfId="22801" priority="1315" operator="equal">
      <formula>"PMS"</formula>
    </cfRule>
    <cfRule type="containsText" dxfId="22800" priority="1316" operator="containsText" text="CMS">
      <formula>NOT(ISERROR(SEARCH("CMS",X57)))</formula>
    </cfRule>
    <cfRule type="cellIs" dxfId="22799" priority="1317" operator="equal">
      <formula>0</formula>
    </cfRule>
    <cfRule type="cellIs" dxfId="22798" priority="1318" operator="greaterThan">
      <formula>0</formula>
    </cfRule>
  </conditionalFormatting>
  <conditionalFormatting sqref="X57:AC57">
    <cfRule type="cellIs" dxfId="22797" priority="1311" operator="equal">
      <formula>"PMS"</formula>
    </cfRule>
    <cfRule type="containsText" dxfId="22796" priority="1312" operator="containsText" text="CMS">
      <formula>NOT(ISERROR(SEARCH("CMS",X57)))</formula>
    </cfRule>
    <cfRule type="cellIs" dxfId="22795" priority="1313" operator="equal">
      <formula>0</formula>
    </cfRule>
    <cfRule type="cellIs" dxfId="22794" priority="1314" operator="greaterThan">
      <formula>0</formula>
    </cfRule>
  </conditionalFormatting>
  <conditionalFormatting sqref="X57:AC57">
    <cfRule type="cellIs" dxfId="22793" priority="1307" operator="equal">
      <formula>"PMS"</formula>
    </cfRule>
    <cfRule type="containsText" dxfId="22792" priority="1308" operator="containsText" text="CMS">
      <formula>NOT(ISERROR(SEARCH("CMS",X57)))</formula>
    </cfRule>
    <cfRule type="cellIs" dxfId="22791" priority="1309" operator="equal">
      <formula>0</formula>
    </cfRule>
    <cfRule type="cellIs" dxfId="22790" priority="1310" operator="greaterThan">
      <formula>0</formula>
    </cfRule>
  </conditionalFormatting>
  <conditionalFormatting sqref="X57:AC57">
    <cfRule type="cellIs" dxfId="22789" priority="1303" operator="equal">
      <formula>"PMS"</formula>
    </cfRule>
    <cfRule type="containsText" dxfId="22788" priority="1304" operator="containsText" text="CMS">
      <formula>NOT(ISERROR(SEARCH("CMS",X57)))</formula>
    </cfRule>
    <cfRule type="cellIs" dxfId="22787" priority="1305" operator="equal">
      <formula>0</formula>
    </cfRule>
    <cfRule type="cellIs" dxfId="22786" priority="1306" operator="greaterThan">
      <formula>0</formula>
    </cfRule>
  </conditionalFormatting>
  <conditionalFormatting sqref="AB58:AC58">
    <cfRule type="cellIs" dxfId="22785" priority="1299" operator="equal">
      <formula>"PMS"</formula>
    </cfRule>
    <cfRule type="containsText" dxfId="22784" priority="1300" operator="containsText" text="CMS">
      <formula>NOT(ISERROR(SEARCH("CMS",AB58)))</formula>
    </cfRule>
    <cfRule type="cellIs" dxfId="22783" priority="1301" operator="equal">
      <formula>0</formula>
    </cfRule>
    <cfRule type="cellIs" dxfId="22782" priority="1302" operator="greaterThan">
      <formula>0</formula>
    </cfRule>
  </conditionalFormatting>
  <conditionalFormatting sqref="AB58:AC58">
    <cfRule type="cellIs" dxfId="22781" priority="1295" operator="equal">
      <formula>"PMS"</formula>
    </cfRule>
    <cfRule type="containsText" dxfId="22780" priority="1296" operator="containsText" text="CMS">
      <formula>NOT(ISERROR(SEARCH("CMS",AB58)))</formula>
    </cfRule>
    <cfRule type="cellIs" dxfId="22779" priority="1297" operator="equal">
      <formula>0</formula>
    </cfRule>
    <cfRule type="cellIs" dxfId="22778" priority="1298" operator="greaterThan">
      <formula>0</formula>
    </cfRule>
  </conditionalFormatting>
  <conditionalFormatting sqref="AB58:AC58">
    <cfRule type="cellIs" dxfId="22777" priority="1291" operator="equal">
      <formula>"PMS"</formula>
    </cfRule>
    <cfRule type="containsText" dxfId="22776" priority="1292" operator="containsText" text="CMS">
      <formula>NOT(ISERROR(SEARCH("CMS",AB58)))</formula>
    </cfRule>
    <cfRule type="cellIs" dxfId="22775" priority="1293" operator="equal">
      <formula>0</formula>
    </cfRule>
    <cfRule type="cellIs" dxfId="22774" priority="1294" operator="greaterThan">
      <formula>0</formula>
    </cfRule>
  </conditionalFormatting>
  <conditionalFormatting sqref="AB58:AC58">
    <cfRule type="cellIs" dxfId="22773" priority="1287" operator="equal">
      <formula>"PMS"</formula>
    </cfRule>
    <cfRule type="containsText" dxfId="22772" priority="1288" operator="containsText" text="CMS">
      <formula>NOT(ISERROR(SEARCH("CMS",AB58)))</formula>
    </cfRule>
    <cfRule type="cellIs" dxfId="22771" priority="1289" operator="equal">
      <formula>0</formula>
    </cfRule>
    <cfRule type="cellIs" dxfId="22770" priority="1290" operator="greaterThan">
      <formula>0</formula>
    </cfRule>
  </conditionalFormatting>
  <conditionalFormatting sqref="AB78">
    <cfRule type="cellIs" dxfId="22769" priority="1283" operator="equal">
      <formula>"PMS"</formula>
    </cfRule>
    <cfRule type="containsText" dxfId="22768" priority="1284" operator="containsText" text="CMS">
      <formula>NOT(ISERROR(SEARCH("CMS",AB78)))</formula>
    </cfRule>
    <cfRule type="cellIs" dxfId="22767" priority="1285" operator="equal">
      <formula>0</formula>
    </cfRule>
    <cfRule type="cellIs" dxfId="22766" priority="1286" operator="greaterThan">
      <formula>0</formula>
    </cfRule>
  </conditionalFormatting>
  <conditionalFormatting sqref="AB78">
    <cfRule type="cellIs" dxfId="22765" priority="1279" operator="equal">
      <formula>"PMS"</formula>
    </cfRule>
    <cfRule type="containsText" dxfId="22764" priority="1280" operator="containsText" text="CMS">
      <formula>NOT(ISERROR(SEARCH("CMS",AB78)))</formula>
    </cfRule>
    <cfRule type="cellIs" dxfId="22763" priority="1281" operator="equal">
      <formula>0</formula>
    </cfRule>
    <cfRule type="cellIs" dxfId="22762" priority="1282" operator="greaterThan">
      <formula>0</formula>
    </cfRule>
  </conditionalFormatting>
  <conditionalFormatting sqref="O44:O49">
    <cfRule type="cellIs" dxfId="22761" priority="1275" operator="equal">
      <formula>"PMS"</formula>
    </cfRule>
    <cfRule type="containsText" dxfId="22760" priority="1276" operator="containsText" text="CMS">
      <formula>NOT(ISERROR(SEARCH("CMS",O44)))</formula>
    </cfRule>
    <cfRule type="cellIs" dxfId="22759" priority="1277" operator="equal">
      <formula>0</formula>
    </cfRule>
    <cfRule type="cellIs" dxfId="22758" priority="1278" operator="greaterThan">
      <formula>0</formula>
    </cfRule>
  </conditionalFormatting>
  <conditionalFormatting sqref="O55:O56 P56">
    <cfRule type="cellIs" dxfId="22757" priority="1271" operator="equal">
      <formula>"PMS"</formula>
    </cfRule>
    <cfRule type="containsText" dxfId="22756" priority="1272" operator="containsText" text="CMS">
      <formula>NOT(ISERROR(SEARCH("CMS",O55)))</formula>
    </cfRule>
    <cfRule type="cellIs" dxfId="22755" priority="1273" operator="equal">
      <formula>0</formula>
    </cfRule>
    <cfRule type="cellIs" dxfId="22754" priority="1274" operator="greaterThan">
      <formula>0</formula>
    </cfRule>
  </conditionalFormatting>
  <conditionalFormatting sqref="O49">
    <cfRule type="cellIs" dxfId="22753" priority="1267" operator="equal">
      <formula>"PMS"</formula>
    </cfRule>
    <cfRule type="containsText" dxfId="22752" priority="1268" operator="containsText" text="CMS">
      <formula>NOT(ISERROR(SEARCH("CMS",O49)))</formula>
    </cfRule>
    <cfRule type="cellIs" dxfId="22751" priority="1269" operator="equal">
      <formula>0</formula>
    </cfRule>
    <cfRule type="cellIs" dxfId="22750" priority="1270" operator="greaterThan">
      <formula>0</formula>
    </cfRule>
  </conditionalFormatting>
  <conditionalFormatting sqref="O55:O57 O56:P56">
    <cfRule type="cellIs" dxfId="22749" priority="1263" operator="equal">
      <formula>"PMS"</formula>
    </cfRule>
    <cfRule type="containsText" dxfId="22748" priority="1264" operator="containsText" text="CMS">
      <formula>NOT(ISERROR(SEARCH("CMS",O55)))</formula>
    </cfRule>
    <cfRule type="cellIs" dxfId="22747" priority="1265" operator="equal">
      <formula>0</formula>
    </cfRule>
    <cfRule type="cellIs" dxfId="22746" priority="1266" operator="greaterThan">
      <formula>0</formula>
    </cfRule>
  </conditionalFormatting>
  <conditionalFormatting sqref="Q24:V24">
    <cfRule type="cellIs" dxfId="22745" priority="1259" operator="equal">
      <formula>"PMS"</formula>
    </cfRule>
    <cfRule type="containsText" dxfId="22744" priority="1260" operator="containsText" text="CMS">
      <formula>NOT(ISERROR(SEARCH("CMS",Q24)))</formula>
    </cfRule>
    <cfRule type="cellIs" dxfId="22743" priority="1261" operator="equal">
      <formula>0</formula>
    </cfRule>
    <cfRule type="cellIs" dxfId="22742" priority="1262" operator="greaterThan">
      <formula>0</formula>
    </cfRule>
  </conditionalFormatting>
  <conditionalFormatting sqref="Q24:V24">
    <cfRule type="cellIs" dxfId="22741" priority="1255" operator="equal">
      <formula>"PMS"</formula>
    </cfRule>
    <cfRule type="containsText" dxfId="22740" priority="1256" operator="containsText" text="CMS">
      <formula>NOT(ISERROR(SEARCH("CMS",Q24)))</formula>
    </cfRule>
    <cfRule type="cellIs" dxfId="22739" priority="1257" operator="equal">
      <formula>0</formula>
    </cfRule>
    <cfRule type="cellIs" dxfId="22738" priority="1258" operator="greaterThan">
      <formula>0</formula>
    </cfRule>
  </conditionalFormatting>
  <conditionalFormatting sqref="Q27:V28">
    <cfRule type="cellIs" dxfId="22737" priority="1251" operator="equal">
      <formula>"PMS"</formula>
    </cfRule>
    <cfRule type="containsText" dxfId="22736" priority="1252" operator="containsText" text="CMS">
      <formula>NOT(ISERROR(SEARCH("CMS",Q27)))</formula>
    </cfRule>
    <cfRule type="cellIs" dxfId="22735" priority="1253" operator="equal">
      <formula>0</formula>
    </cfRule>
    <cfRule type="cellIs" dxfId="22734" priority="1254" operator="greaterThan">
      <formula>0</formula>
    </cfRule>
  </conditionalFormatting>
  <conditionalFormatting sqref="Q27:V28">
    <cfRule type="cellIs" dxfId="22733" priority="1247" operator="equal">
      <formula>"PMS"</formula>
    </cfRule>
    <cfRule type="containsText" dxfId="22732" priority="1248" operator="containsText" text="CMS">
      <formula>NOT(ISERROR(SEARCH("CMS",Q27)))</formula>
    </cfRule>
    <cfRule type="cellIs" dxfId="22731" priority="1249" operator="equal">
      <formula>0</formula>
    </cfRule>
    <cfRule type="cellIs" dxfId="22730" priority="1250" operator="greaterThan">
      <formula>0</formula>
    </cfRule>
  </conditionalFormatting>
  <conditionalFormatting sqref="R27:V28">
    <cfRule type="cellIs" dxfId="22729" priority="1243" operator="equal">
      <formula>"PMS"</formula>
    </cfRule>
    <cfRule type="containsText" dxfId="22728" priority="1244" operator="containsText" text="CMS">
      <formula>NOT(ISERROR(SEARCH("CMS",R27)))</formula>
    </cfRule>
    <cfRule type="cellIs" dxfId="22727" priority="1245" operator="equal">
      <formula>0</formula>
    </cfRule>
    <cfRule type="cellIs" dxfId="22726" priority="1246" operator="greaterThan">
      <formula>0</formula>
    </cfRule>
  </conditionalFormatting>
  <conditionalFormatting sqref="R27:V28">
    <cfRule type="cellIs" dxfId="22725" priority="1239" operator="equal">
      <formula>"PMS"</formula>
    </cfRule>
    <cfRule type="containsText" dxfId="22724" priority="1240" operator="containsText" text="CMS">
      <formula>NOT(ISERROR(SEARCH("CMS",R27)))</formula>
    </cfRule>
    <cfRule type="cellIs" dxfId="22723" priority="1241" operator="equal">
      <formula>0</formula>
    </cfRule>
    <cfRule type="cellIs" dxfId="22722" priority="1242" operator="greaterThan">
      <formula>0</formula>
    </cfRule>
  </conditionalFormatting>
  <conditionalFormatting sqref="O55:O56 P56">
    <cfRule type="cellIs" dxfId="22721" priority="1235" operator="equal">
      <formula>"PMS"</formula>
    </cfRule>
    <cfRule type="containsText" dxfId="22720" priority="1236" operator="containsText" text="CMS">
      <formula>NOT(ISERROR(SEARCH("CMS",O55)))</formula>
    </cfRule>
    <cfRule type="cellIs" dxfId="22719" priority="1237" operator="equal">
      <formula>0</formula>
    </cfRule>
    <cfRule type="cellIs" dxfId="22718" priority="1238" operator="greaterThan">
      <formula>0</formula>
    </cfRule>
  </conditionalFormatting>
  <conditionalFormatting sqref="O44:O45">
    <cfRule type="cellIs" dxfId="22717" priority="1231" operator="equal">
      <formula>"PMS"</formula>
    </cfRule>
    <cfRule type="containsText" dxfId="22716" priority="1232" operator="containsText" text="CMS">
      <formula>NOT(ISERROR(SEARCH("CMS",O44)))</formula>
    </cfRule>
    <cfRule type="cellIs" dxfId="22715" priority="1233" operator="equal">
      <formula>0</formula>
    </cfRule>
    <cfRule type="cellIs" dxfId="22714" priority="1234" operator="greaterThan">
      <formula>0</formula>
    </cfRule>
  </conditionalFormatting>
  <conditionalFormatting sqref="O44:O45">
    <cfRule type="cellIs" dxfId="22713" priority="1227" operator="equal">
      <formula>"PMS"</formula>
    </cfRule>
    <cfRule type="containsText" dxfId="22712" priority="1228" operator="containsText" text="CMS">
      <formula>NOT(ISERROR(SEARCH("CMS",O44)))</formula>
    </cfRule>
    <cfRule type="cellIs" dxfId="22711" priority="1229" operator="equal">
      <formula>0</formula>
    </cfRule>
    <cfRule type="cellIs" dxfId="22710" priority="1230" operator="greaterThan">
      <formula>0</formula>
    </cfRule>
  </conditionalFormatting>
  <conditionalFormatting sqref="O44:O45">
    <cfRule type="cellIs" dxfId="22709" priority="1223" operator="equal">
      <formula>"PMS"</formula>
    </cfRule>
    <cfRule type="containsText" dxfId="22708" priority="1224" operator="containsText" text="CMS">
      <formula>NOT(ISERROR(SEARCH("CMS",O44)))</formula>
    </cfRule>
    <cfRule type="cellIs" dxfId="22707" priority="1225" operator="equal">
      <formula>0</formula>
    </cfRule>
    <cfRule type="cellIs" dxfId="22706" priority="1226" operator="greaterThan">
      <formula>0</formula>
    </cfRule>
  </conditionalFormatting>
  <conditionalFormatting sqref="O46">
    <cfRule type="cellIs" dxfId="22705" priority="1219" operator="equal">
      <formula>"PMS"</formula>
    </cfRule>
    <cfRule type="containsText" dxfId="22704" priority="1220" operator="containsText" text="CMS">
      <formula>NOT(ISERROR(SEARCH("CMS",O46)))</formula>
    </cfRule>
    <cfRule type="cellIs" dxfId="22703" priority="1221" operator="equal">
      <formula>0</formula>
    </cfRule>
    <cfRule type="cellIs" dxfId="22702" priority="1222" operator="greaterThan">
      <formula>0</formula>
    </cfRule>
  </conditionalFormatting>
  <conditionalFormatting sqref="O46">
    <cfRule type="cellIs" dxfId="22701" priority="1215" operator="equal">
      <formula>"PMS"</formula>
    </cfRule>
    <cfRule type="containsText" dxfId="22700" priority="1216" operator="containsText" text="CMS">
      <formula>NOT(ISERROR(SEARCH("CMS",O46)))</formula>
    </cfRule>
    <cfRule type="cellIs" dxfId="22699" priority="1217" operator="equal">
      <formula>0</formula>
    </cfRule>
    <cfRule type="cellIs" dxfId="22698" priority="1218" operator="greaterThan">
      <formula>0</formula>
    </cfRule>
  </conditionalFormatting>
  <conditionalFormatting sqref="O46">
    <cfRule type="cellIs" dxfId="22697" priority="1211" operator="equal">
      <formula>"PMS"</formula>
    </cfRule>
    <cfRule type="containsText" dxfId="22696" priority="1212" operator="containsText" text="CMS">
      <formula>NOT(ISERROR(SEARCH("CMS",O46)))</formula>
    </cfRule>
    <cfRule type="cellIs" dxfId="22695" priority="1213" operator="equal">
      <formula>0</formula>
    </cfRule>
    <cfRule type="cellIs" dxfId="22694" priority="1214" operator="greaterThan">
      <formula>0</formula>
    </cfRule>
  </conditionalFormatting>
  <conditionalFormatting sqref="J19:AC19">
    <cfRule type="cellIs" dxfId="22693" priority="1207" operator="equal">
      <formula>"CMS"</formula>
    </cfRule>
    <cfRule type="cellIs" dxfId="22692" priority="1208" operator="equal">
      <formula>"PMS"</formula>
    </cfRule>
    <cfRule type="cellIs" dxfId="22691" priority="1209" operator="greaterThan">
      <formula>0</formula>
    </cfRule>
    <cfRule type="cellIs" dxfId="22690" priority="1210" operator="equal">
      <formula>0</formula>
    </cfRule>
  </conditionalFormatting>
  <conditionalFormatting sqref="G62">
    <cfRule type="cellIs" dxfId="22689" priority="1203" operator="equal">
      <formula>"CMS"</formula>
    </cfRule>
    <cfRule type="cellIs" dxfId="22688" priority="1204" operator="equal">
      <formula>"PMS"</formula>
    </cfRule>
    <cfRule type="cellIs" dxfId="22687" priority="1205" operator="greaterThan">
      <formula>0</formula>
    </cfRule>
    <cfRule type="cellIs" dxfId="22686" priority="1206" operator="equal">
      <formula>0</formula>
    </cfRule>
  </conditionalFormatting>
  <conditionalFormatting sqref="G77">
    <cfRule type="cellIs" dxfId="22685" priority="1198" operator="equal">
      <formula>"EOC"</formula>
    </cfRule>
    <cfRule type="cellIs" dxfId="22684" priority="1199" operator="equal">
      <formula>"CMS"</formula>
    </cfRule>
    <cfRule type="cellIs" dxfId="22683" priority="1200" operator="equal">
      <formula>"PMS"</formula>
    </cfRule>
    <cfRule type="cellIs" dxfId="22682" priority="1201" operator="greaterThan">
      <formula>0</formula>
    </cfRule>
    <cfRule type="cellIs" dxfId="22681" priority="1202" operator="equal">
      <formula>0</formula>
    </cfRule>
  </conditionalFormatting>
  <conditionalFormatting sqref="F109">
    <cfRule type="cellIs" dxfId="22680" priority="1197" operator="greaterThan">
      <formula>60.3</formula>
    </cfRule>
  </conditionalFormatting>
  <conditionalFormatting sqref="G36:G44 G50 G47">
    <cfRule type="cellIs" dxfId="22679" priority="1189" operator="equal">
      <formula>"PMS"</formula>
    </cfRule>
    <cfRule type="containsText" dxfId="22678" priority="1190" operator="containsText" text="CMS">
      <formula>NOT(ISERROR(SEARCH("CMS",G36)))</formula>
    </cfRule>
    <cfRule type="cellIs" dxfId="22677" priority="1191" operator="equal">
      <formula>0</formula>
    </cfRule>
    <cfRule type="cellIs" dxfId="22676" priority="1192" operator="greaterThan">
      <formula>0</formula>
    </cfRule>
    <cfRule type="cellIs" dxfId="22675" priority="1193" operator="equal">
      <formula>"PMS"</formula>
    </cfRule>
    <cfRule type="containsText" dxfId="22674" priority="1194" operator="containsText" text="CMS">
      <formula>NOT(ISERROR(SEARCH("CMS",G36)))</formula>
    </cfRule>
    <cfRule type="cellIs" dxfId="22673" priority="1195" operator="equal">
      <formula>0</formula>
    </cfRule>
    <cfRule type="cellIs" dxfId="22672" priority="1196" operator="greaterThan">
      <formula>0</formula>
    </cfRule>
  </conditionalFormatting>
  <conditionalFormatting sqref="G36:G44 G50 G47">
    <cfRule type="cellIs" dxfId="22671" priority="1185" operator="equal">
      <formula>"PMS"</formula>
    </cfRule>
    <cfRule type="containsText" dxfId="22670" priority="1186" operator="containsText" text="CMS">
      <formula>NOT(ISERROR(SEARCH("CMS",G36)))</formula>
    </cfRule>
    <cfRule type="cellIs" dxfId="22669" priority="1187" operator="equal">
      <formula>0</formula>
    </cfRule>
    <cfRule type="cellIs" dxfId="22668" priority="1188" operator="greaterThan">
      <formula>0</formula>
    </cfRule>
  </conditionalFormatting>
  <conditionalFormatting sqref="G36:G44 G50 G47">
    <cfRule type="cellIs" dxfId="22667" priority="1181" operator="equal">
      <formula>"PMS"</formula>
    </cfRule>
    <cfRule type="containsText" dxfId="22666" priority="1182" operator="containsText" text="CMS">
      <formula>NOT(ISERROR(SEARCH("CMS",G36)))</formula>
    </cfRule>
    <cfRule type="cellIs" dxfId="22665" priority="1183" operator="equal">
      <formula>0</formula>
    </cfRule>
    <cfRule type="cellIs" dxfId="22664" priority="1184" operator="greaterThan">
      <formula>0</formula>
    </cfRule>
  </conditionalFormatting>
  <conditionalFormatting sqref="I36:I39">
    <cfRule type="cellIs" dxfId="22663" priority="1173" operator="equal">
      <formula>"PMS"</formula>
    </cfRule>
    <cfRule type="containsText" dxfId="22662" priority="1174" operator="containsText" text="CMS">
      <formula>NOT(ISERROR(SEARCH("CMS",I36)))</formula>
    </cfRule>
    <cfRule type="cellIs" dxfId="22661" priority="1175" operator="equal">
      <formula>0</formula>
    </cfRule>
    <cfRule type="cellIs" dxfId="22660" priority="1176" operator="greaterThan">
      <formula>0</formula>
    </cfRule>
    <cfRule type="cellIs" dxfId="22659" priority="1177" operator="equal">
      <formula>"PMS"</formula>
    </cfRule>
    <cfRule type="containsText" dxfId="22658" priority="1178" operator="containsText" text="CMS">
      <formula>NOT(ISERROR(SEARCH("CMS",I36)))</formula>
    </cfRule>
    <cfRule type="cellIs" dxfId="22657" priority="1179" operator="equal">
      <formula>0</formula>
    </cfRule>
    <cfRule type="cellIs" dxfId="22656" priority="1180" operator="greaterThan">
      <formula>0</formula>
    </cfRule>
  </conditionalFormatting>
  <conditionalFormatting sqref="I36:I39">
    <cfRule type="cellIs" dxfId="22655" priority="1169" operator="equal">
      <formula>"PMS"</formula>
    </cfRule>
    <cfRule type="containsText" dxfId="22654" priority="1170" operator="containsText" text="CMS">
      <formula>NOT(ISERROR(SEARCH("CMS",I36)))</formula>
    </cfRule>
    <cfRule type="cellIs" dxfId="22653" priority="1171" operator="equal">
      <formula>0</formula>
    </cfRule>
    <cfRule type="cellIs" dxfId="22652" priority="1172" operator="greaterThan">
      <formula>0</formula>
    </cfRule>
  </conditionalFormatting>
  <conditionalFormatting sqref="I36:I39">
    <cfRule type="cellIs" dxfId="22651" priority="1165" operator="equal">
      <formula>"PMS"</formula>
    </cfRule>
    <cfRule type="containsText" dxfId="22650" priority="1166" operator="containsText" text="CMS">
      <formula>NOT(ISERROR(SEARCH("CMS",I36)))</formula>
    </cfRule>
    <cfRule type="cellIs" dxfId="22649" priority="1167" operator="equal">
      <formula>0</formula>
    </cfRule>
    <cfRule type="cellIs" dxfId="22648" priority="1168" operator="greaterThan">
      <formula>0</formula>
    </cfRule>
  </conditionalFormatting>
  <conditionalFormatting sqref="O49">
    <cfRule type="cellIs" dxfId="22647" priority="1161" operator="equal">
      <formula>"PMS"</formula>
    </cfRule>
    <cfRule type="containsText" dxfId="22646" priority="1162" operator="containsText" text="CMS">
      <formula>NOT(ISERROR(SEARCH("CMS",O49)))</formula>
    </cfRule>
    <cfRule type="cellIs" dxfId="22645" priority="1163" operator="equal">
      <formula>0</formula>
    </cfRule>
    <cfRule type="cellIs" dxfId="22644" priority="1164" operator="greaterThan">
      <formula>0</formula>
    </cfRule>
  </conditionalFormatting>
  <conditionalFormatting sqref="O55:O56 P56">
    <cfRule type="cellIs" dxfId="22643" priority="1157" operator="equal">
      <formula>"PMS"</formula>
    </cfRule>
    <cfRule type="containsText" dxfId="22642" priority="1158" operator="containsText" text="CMS">
      <formula>NOT(ISERROR(SEARCH("CMS",O55)))</formula>
    </cfRule>
    <cfRule type="cellIs" dxfId="22641" priority="1159" operator="equal">
      <formula>0</formula>
    </cfRule>
    <cfRule type="cellIs" dxfId="22640" priority="1160" operator="greaterThan">
      <formula>0</formula>
    </cfRule>
  </conditionalFormatting>
  <conditionalFormatting sqref="O57:P57">
    <cfRule type="cellIs" dxfId="22639" priority="1153" operator="equal">
      <formula>"PMS"</formula>
    </cfRule>
    <cfRule type="containsText" dxfId="22638" priority="1154" operator="containsText" text="CMS">
      <formula>NOT(ISERROR(SEARCH("CMS",O57)))</formula>
    </cfRule>
    <cfRule type="cellIs" dxfId="22637" priority="1155" operator="equal">
      <formula>0</formula>
    </cfRule>
    <cfRule type="cellIs" dxfId="22636" priority="1156" operator="greaterThan">
      <formula>0</formula>
    </cfRule>
  </conditionalFormatting>
  <conditionalFormatting sqref="O49">
    <cfRule type="cellIs" dxfId="22635" priority="1149" operator="equal">
      <formula>"PMS"</formula>
    </cfRule>
    <cfRule type="containsText" dxfId="22634" priority="1150" operator="containsText" text="CMS">
      <formula>NOT(ISERROR(SEARCH("CMS",O49)))</formula>
    </cfRule>
    <cfRule type="cellIs" dxfId="22633" priority="1151" operator="equal">
      <formula>0</formula>
    </cfRule>
    <cfRule type="cellIs" dxfId="22632" priority="1152" operator="greaterThan">
      <formula>0</formula>
    </cfRule>
  </conditionalFormatting>
  <conditionalFormatting sqref="O55:O57 O56:P56">
    <cfRule type="cellIs" dxfId="22631" priority="1145" operator="equal">
      <formula>"PMS"</formula>
    </cfRule>
    <cfRule type="containsText" dxfId="22630" priority="1146" operator="containsText" text="CMS">
      <formula>NOT(ISERROR(SEARCH("CMS",O55)))</formula>
    </cfRule>
    <cfRule type="cellIs" dxfId="22629" priority="1147" operator="equal">
      <formula>0</formula>
    </cfRule>
    <cfRule type="cellIs" dxfId="22628" priority="1148" operator="greaterThan">
      <formula>0</formula>
    </cfRule>
  </conditionalFormatting>
  <conditionalFormatting sqref="O49">
    <cfRule type="cellIs" dxfId="22627" priority="1141" operator="equal">
      <formula>"PMS"</formula>
    </cfRule>
    <cfRule type="containsText" dxfId="22626" priority="1142" operator="containsText" text="CMS">
      <formula>NOT(ISERROR(SEARCH("CMS",O49)))</formula>
    </cfRule>
    <cfRule type="cellIs" dxfId="22625" priority="1143" operator="equal">
      <formula>0</formula>
    </cfRule>
    <cfRule type="cellIs" dxfId="22624" priority="1144" operator="greaterThan">
      <formula>0</formula>
    </cfRule>
  </conditionalFormatting>
  <conditionalFormatting sqref="O55:O57 O56:P56">
    <cfRule type="cellIs" dxfId="22623" priority="1137" operator="equal">
      <formula>"PMS"</formula>
    </cfRule>
    <cfRule type="containsText" dxfId="22622" priority="1138" operator="containsText" text="CMS">
      <formula>NOT(ISERROR(SEARCH("CMS",O55)))</formula>
    </cfRule>
    <cfRule type="cellIs" dxfId="22621" priority="1139" operator="equal">
      <formula>0</formula>
    </cfRule>
    <cfRule type="cellIs" dxfId="22620" priority="1140" operator="greaterThan">
      <formula>0</formula>
    </cfRule>
  </conditionalFormatting>
  <conditionalFormatting sqref="W14:W16">
    <cfRule type="cellIs" dxfId="22619" priority="1125" operator="equal">
      <formula>"PMS"</formula>
    </cfRule>
    <cfRule type="containsText" dxfId="22618" priority="1126" operator="containsText" text="CMS">
      <formula>NOT(ISERROR(SEARCH("CMS",W14)))</formula>
    </cfRule>
    <cfRule type="cellIs" dxfId="22617" priority="1127" operator="equal">
      <formula>0</formula>
    </cfRule>
    <cfRule type="cellIs" dxfId="22616" priority="1128" operator="greaterThan">
      <formula>0</formula>
    </cfRule>
  </conditionalFormatting>
  <conditionalFormatting sqref="W14:W16">
    <cfRule type="cellIs" dxfId="22615" priority="1121" operator="equal">
      <formula>"PMS"</formula>
    </cfRule>
    <cfRule type="containsText" dxfId="22614" priority="1122" operator="containsText" text="CMS">
      <formula>NOT(ISERROR(SEARCH("CMS",W14)))</formula>
    </cfRule>
    <cfRule type="cellIs" dxfId="22613" priority="1123" operator="equal">
      <formula>0</formula>
    </cfRule>
    <cfRule type="cellIs" dxfId="22612" priority="1124" operator="greaterThan">
      <formula>0</formula>
    </cfRule>
  </conditionalFormatting>
  <conditionalFormatting sqref="X16">
    <cfRule type="cellIs" dxfId="22611" priority="1117" operator="equal">
      <formula>"PMS"</formula>
    </cfRule>
    <cfRule type="containsText" dxfId="22610" priority="1118" operator="containsText" text="CMS">
      <formula>NOT(ISERROR(SEARCH("CMS",X16)))</formula>
    </cfRule>
    <cfRule type="cellIs" dxfId="22609" priority="1119" operator="equal">
      <formula>0</formula>
    </cfRule>
    <cfRule type="cellIs" dxfId="22608" priority="1120" operator="greaterThan">
      <formula>0</formula>
    </cfRule>
  </conditionalFormatting>
  <conditionalFormatting sqref="X16">
    <cfRule type="cellIs" dxfId="22607" priority="1113" operator="equal">
      <formula>"PMS"</formula>
    </cfRule>
    <cfRule type="containsText" dxfId="22606" priority="1114" operator="containsText" text="CMS">
      <formula>NOT(ISERROR(SEARCH("CMS",X16)))</formula>
    </cfRule>
    <cfRule type="cellIs" dxfId="22605" priority="1115" operator="equal">
      <formula>0</formula>
    </cfRule>
    <cfRule type="cellIs" dxfId="22604" priority="1116" operator="greaterThan">
      <formula>0</formula>
    </cfRule>
  </conditionalFormatting>
  <conditionalFormatting sqref="O49">
    <cfRule type="cellIs" dxfId="22603" priority="1109" operator="equal">
      <formula>"PMS"</formula>
    </cfRule>
    <cfRule type="containsText" dxfId="22602" priority="1110" operator="containsText" text="CMS">
      <formula>NOT(ISERROR(SEARCH("CMS",O49)))</formula>
    </cfRule>
    <cfRule type="cellIs" dxfId="22601" priority="1111" operator="equal">
      <formula>0</formula>
    </cfRule>
    <cfRule type="cellIs" dxfId="22600" priority="1112" operator="greaterThan">
      <formula>0</formula>
    </cfRule>
  </conditionalFormatting>
  <conditionalFormatting sqref="O56:P56">
    <cfRule type="cellIs" dxfId="22599" priority="1105" operator="equal">
      <formula>"PMS"</formula>
    </cfRule>
    <cfRule type="containsText" dxfId="22598" priority="1106" operator="containsText" text="CMS">
      <formula>NOT(ISERROR(SEARCH("CMS",O56)))</formula>
    </cfRule>
    <cfRule type="cellIs" dxfId="22597" priority="1107" operator="equal">
      <formula>0</formula>
    </cfRule>
    <cfRule type="cellIs" dxfId="22596" priority="1108" operator="greaterThan">
      <formula>0</formula>
    </cfRule>
  </conditionalFormatting>
  <conditionalFormatting sqref="Z14">
    <cfRule type="cellIs" dxfId="22595" priority="1101" operator="equal">
      <formula>"PMS"</formula>
    </cfRule>
    <cfRule type="containsText" dxfId="22594" priority="1102" operator="containsText" text="CMS">
      <formula>NOT(ISERROR(SEARCH("CMS",Z14)))</formula>
    </cfRule>
    <cfRule type="cellIs" dxfId="22593" priority="1103" operator="equal">
      <formula>0</formula>
    </cfRule>
    <cfRule type="cellIs" dxfId="22592" priority="1104" operator="greaterThan">
      <formula>0</formula>
    </cfRule>
  </conditionalFormatting>
  <conditionalFormatting sqref="Z14">
    <cfRule type="cellIs" dxfId="22591" priority="1097" operator="equal">
      <formula>"PMS"</formula>
    </cfRule>
    <cfRule type="containsText" dxfId="22590" priority="1098" operator="containsText" text="CMS">
      <formula>NOT(ISERROR(SEARCH("CMS",Z14)))</formula>
    </cfRule>
    <cfRule type="cellIs" dxfId="22589" priority="1099" operator="equal">
      <formula>0</formula>
    </cfRule>
    <cfRule type="cellIs" dxfId="22588" priority="1100" operator="greaterThan">
      <formula>0</formula>
    </cfRule>
  </conditionalFormatting>
  <conditionalFormatting sqref="Z15">
    <cfRule type="cellIs" dxfId="22587" priority="1093" operator="equal">
      <formula>"PMS"</formula>
    </cfRule>
    <cfRule type="containsText" dxfId="22586" priority="1094" operator="containsText" text="CMS">
      <formula>NOT(ISERROR(SEARCH("CMS",Z15)))</formula>
    </cfRule>
    <cfRule type="cellIs" dxfId="22585" priority="1095" operator="equal">
      <formula>0</formula>
    </cfRule>
    <cfRule type="cellIs" dxfId="22584" priority="1096" operator="greaterThan">
      <formula>0</formula>
    </cfRule>
  </conditionalFormatting>
  <conditionalFormatting sqref="Z15">
    <cfRule type="cellIs" dxfId="22583" priority="1089" operator="equal">
      <formula>"PMS"</formula>
    </cfRule>
    <cfRule type="containsText" dxfId="22582" priority="1090" operator="containsText" text="CMS">
      <formula>NOT(ISERROR(SEARCH("CMS",Z15)))</formula>
    </cfRule>
    <cfRule type="cellIs" dxfId="22581" priority="1091" operator="equal">
      <formula>0</formula>
    </cfRule>
    <cfRule type="cellIs" dxfId="22580" priority="1092" operator="greaterThan">
      <formula>0</formula>
    </cfRule>
  </conditionalFormatting>
  <conditionalFormatting sqref="Z16">
    <cfRule type="cellIs" dxfId="22579" priority="1085" operator="equal">
      <formula>"PMS"</formula>
    </cfRule>
    <cfRule type="containsText" dxfId="22578" priority="1086" operator="containsText" text="CMS">
      <formula>NOT(ISERROR(SEARCH("CMS",Z16)))</formula>
    </cfRule>
    <cfRule type="cellIs" dxfId="22577" priority="1087" operator="equal">
      <formula>0</formula>
    </cfRule>
    <cfRule type="cellIs" dxfId="22576" priority="1088" operator="greaterThan">
      <formula>0</formula>
    </cfRule>
  </conditionalFormatting>
  <conditionalFormatting sqref="Z16">
    <cfRule type="cellIs" dxfId="22575" priority="1081" operator="equal">
      <formula>"PMS"</formula>
    </cfRule>
    <cfRule type="containsText" dxfId="22574" priority="1082" operator="containsText" text="CMS">
      <formula>NOT(ISERROR(SEARCH("CMS",Z16)))</formula>
    </cfRule>
    <cfRule type="cellIs" dxfId="22573" priority="1083" operator="equal">
      <formula>0</formula>
    </cfRule>
    <cfRule type="cellIs" dxfId="22572" priority="1084" operator="greaterThan">
      <formula>0</formula>
    </cfRule>
  </conditionalFormatting>
  <conditionalFormatting sqref="AA13:AA16">
    <cfRule type="cellIs" dxfId="22571" priority="1077" operator="equal">
      <formula>"PMS"</formula>
    </cfRule>
    <cfRule type="containsText" dxfId="22570" priority="1078" operator="containsText" text="CMS">
      <formula>NOT(ISERROR(SEARCH("CMS",AA13)))</formula>
    </cfRule>
    <cfRule type="cellIs" dxfId="22569" priority="1079" operator="equal">
      <formula>0</formula>
    </cfRule>
    <cfRule type="cellIs" dxfId="22568" priority="1080" operator="greaterThan">
      <formula>0</formula>
    </cfRule>
  </conditionalFormatting>
  <conditionalFormatting sqref="AA13:AA16">
    <cfRule type="cellIs" dxfId="22567" priority="1073" operator="equal">
      <formula>"PMS"</formula>
    </cfRule>
    <cfRule type="containsText" dxfId="22566" priority="1074" operator="containsText" text="CMS">
      <formula>NOT(ISERROR(SEARCH("CMS",AA13)))</formula>
    </cfRule>
    <cfRule type="cellIs" dxfId="22565" priority="1075" operator="equal">
      <formula>0</formula>
    </cfRule>
    <cfRule type="cellIs" dxfId="22564" priority="1076" operator="greaterThan">
      <formula>0</formula>
    </cfRule>
  </conditionalFormatting>
  <conditionalFormatting sqref="AA15">
    <cfRule type="cellIs" dxfId="22563" priority="1069" operator="equal">
      <formula>"PMS"</formula>
    </cfRule>
    <cfRule type="containsText" dxfId="22562" priority="1070" operator="containsText" text="CMS">
      <formula>NOT(ISERROR(SEARCH("CMS",AA15)))</formula>
    </cfRule>
    <cfRule type="cellIs" dxfId="22561" priority="1071" operator="equal">
      <formula>0</formula>
    </cfRule>
    <cfRule type="cellIs" dxfId="22560" priority="1072" operator="greaterThan">
      <formula>0</formula>
    </cfRule>
  </conditionalFormatting>
  <conditionalFormatting sqref="AA15">
    <cfRule type="cellIs" dxfId="22559" priority="1065" operator="equal">
      <formula>"PMS"</formula>
    </cfRule>
    <cfRule type="containsText" dxfId="22558" priority="1066" operator="containsText" text="CMS">
      <formula>NOT(ISERROR(SEARCH("CMS",AA15)))</formula>
    </cfRule>
    <cfRule type="cellIs" dxfId="22557" priority="1067" operator="equal">
      <formula>0</formula>
    </cfRule>
    <cfRule type="cellIs" dxfId="22556" priority="1068" operator="greaterThan">
      <formula>0</formula>
    </cfRule>
  </conditionalFormatting>
  <conditionalFormatting sqref="AA16">
    <cfRule type="cellIs" dxfId="22555" priority="1061" operator="equal">
      <formula>"PMS"</formula>
    </cfRule>
    <cfRule type="containsText" dxfId="22554" priority="1062" operator="containsText" text="CMS">
      <formula>NOT(ISERROR(SEARCH("CMS",AA16)))</formula>
    </cfRule>
    <cfRule type="cellIs" dxfId="22553" priority="1063" operator="equal">
      <formula>0</formula>
    </cfRule>
    <cfRule type="cellIs" dxfId="22552" priority="1064" operator="greaterThan">
      <formula>0</formula>
    </cfRule>
  </conditionalFormatting>
  <conditionalFormatting sqref="AA16">
    <cfRule type="cellIs" dxfId="22551" priority="1057" operator="equal">
      <formula>"PMS"</formula>
    </cfRule>
    <cfRule type="containsText" dxfId="22550" priority="1058" operator="containsText" text="CMS">
      <formula>NOT(ISERROR(SEARCH("CMS",AA16)))</formula>
    </cfRule>
    <cfRule type="cellIs" dxfId="22549" priority="1059" operator="equal">
      <formula>0</formula>
    </cfRule>
    <cfRule type="cellIs" dxfId="22548" priority="1060" operator="greaterThan">
      <formula>0</formula>
    </cfRule>
  </conditionalFormatting>
  <conditionalFormatting sqref="AA27">
    <cfRule type="cellIs" dxfId="22547" priority="1053" operator="equal">
      <formula>"PMS"</formula>
    </cfRule>
    <cfRule type="containsText" dxfId="22546" priority="1054" operator="containsText" text="CMS">
      <formula>NOT(ISERROR(SEARCH("CMS",AA27)))</formula>
    </cfRule>
    <cfRule type="cellIs" dxfId="22545" priority="1055" operator="equal">
      <formula>0</formula>
    </cfRule>
    <cfRule type="cellIs" dxfId="22544" priority="1056" operator="greaterThan">
      <formula>0</formula>
    </cfRule>
  </conditionalFormatting>
  <conditionalFormatting sqref="AA27">
    <cfRule type="cellIs" dxfId="22543" priority="1049" operator="equal">
      <formula>"PMS"</formula>
    </cfRule>
    <cfRule type="containsText" dxfId="22542" priority="1050" operator="containsText" text="CMS">
      <formula>NOT(ISERROR(SEARCH("CMS",AA27)))</formula>
    </cfRule>
    <cfRule type="cellIs" dxfId="22541" priority="1051" operator="equal">
      <formula>0</formula>
    </cfRule>
    <cfRule type="cellIs" dxfId="22540" priority="1052" operator="greaterThan">
      <formula>0</formula>
    </cfRule>
  </conditionalFormatting>
  <conditionalFormatting sqref="AA28">
    <cfRule type="cellIs" dxfId="22539" priority="1045" operator="equal">
      <formula>"PMS"</formula>
    </cfRule>
    <cfRule type="containsText" dxfId="22538" priority="1046" operator="containsText" text="CMS">
      <formula>NOT(ISERROR(SEARCH("CMS",AA28)))</formula>
    </cfRule>
    <cfRule type="cellIs" dxfId="22537" priority="1047" operator="equal">
      <formula>0</formula>
    </cfRule>
    <cfRule type="cellIs" dxfId="22536" priority="1048" operator="greaterThan">
      <formula>0</formula>
    </cfRule>
  </conditionalFormatting>
  <conditionalFormatting sqref="AA28">
    <cfRule type="cellIs" dxfId="22535" priority="1041" operator="equal">
      <formula>"PMS"</formula>
    </cfRule>
    <cfRule type="containsText" dxfId="22534" priority="1042" operator="containsText" text="CMS">
      <formula>NOT(ISERROR(SEARCH("CMS",AA28)))</formula>
    </cfRule>
    <cfRule type="cellIs" dxfId="22533" priority="1043" operator="equal">
      <formula>0</formula>
    </cfRule>
    <cfRule type="cellIs" dxfId="22532" priority="1044" operator="greaterThan">
      <formula>0</formula>
    </cfRule>
  </conditionalFormatting>
  <conditionalFormatting sqref="AB14">
    <cfRule type="cellIs" dxfId="22531" priority="1037" operator="equal">
      <formula>"PMS"</formula>
    </cfRule>
    <cfRule type="containsText" dxfId="22530" priority="1038" operator="containsText" text="CMS">
      <formula>NOT(ISERROR(SEARCH("CMS",AB14)))</formula>
    </cfRule>
    <cfRule type="cellIs" dxfId="22529" priority="1039" operator="equal">
      <formula>0</formula>
    </cfRule>
    <cfRule type="cellIs" dxfId="22528" priority="1040" operator="greaterThan">
      <formula>0</formula>
    </cfRule>
  </conditionalFormatting>
  <conditionalFormatting sqref="AB14">
    <cfRule type="cellIs" dxfId="22527" priority="1033" operator="equal">
      <formula>"PMS"</formula>
    </cfRule>
    <cfRule type="containsText" dxfId="22526" priority="1034" operator="containsText" text="CMS">
      <formula>NOT(ISERROR(SEARCH("CMS",AB14)))</formula>
    </cfRule>
    <cfRule type="cellIs" dxfId="22525" priority="1035" operator="equal">
      <formula>0</formula>
    </cfRule>
    <cfRule type="cellIs" dxfId="22524" priority="1036" operator="greaterThan">
      <formula>0</formula>
    </cfRule>
  </conditionalFormatting>
  <conditionalFormatting sqref="AB15">
    <cfRule type="cellIs" dxfId="22523" priority="1029" operator="equal">
      <formula>"PMS"</formula>
    </cfRule>
    <cfRule type="containsText" dxfId="22522" priority="1030" operator="containsText" text="CMS">
      <formula>NOT(ISERROR(SEARCH("CMS",AB15)))</formula>
    </cfRule>
    <cfRule type="cellIs" dxfId="22521" priority="1031" operator="equal">
      <formula>0</formula>
    </cfRule>
    <cfRule type="cellIs" dxfId="22520" priority="1032" operator="greaterThan">
      <formula>0</formula>
    </cfRule>
  </conditionalFormatting>
  <conditionalFormatting sqref="AB15">
    <cfRule type="cellIs" dxfId="22519" priority="1025" operator="equal">
      <formula>"PMS"</formula>
    </cfRule>
    <cfRule type="containsText" dxfId="22518" priority="1026" operator="containsText" text="CMS">
      <formula>NOT(ISERROR(SEARCH("CMS",AB15)))</formula>
    </cfRule>
    <cfRule type="cellIs" dxfId="22517" priority="1027" operator="equal">
      <formula>0</formula>
    </cfRule>
    <cfRule type="cellIs" dxfId="22516" priority="1028" operator="greaterThan">
      <formula>0</formula>
    </cfRule>
  </conditionalFormatting>
  <conditionalFormatting sqref="AB16">
    <cfRule type="cellIs" dxfId="22515" priority="1021" operator="equal">
      <formula>"PMS"</formula>
    </cfRule>
    <cfRule type="containsText" dxfId="22514" priority="1022" operator="containsText" text="CMS">
      <formula>NOT(ISERROR(SEARCH("CMS",AB16)))</formula>
    </cfRule>
    <cfRule type="cellIs" dxfId="22513" priority="1023" operator="equal">
      <formula>0</formula>
    </cfRule>
    <cfRule type="cellIs" dxfId="22512" priority="1024" operator="greaterThan">
      <formula>0</formula>
    </cfRule>
  </conditionalFormatting>
  <conditionalFormatting sqref="AB16">
    <cfRule type="cellIs" dxfId="22511" priority="1017" operator="equal">
      <formula>"PMS"</formula>
    </cfRule>
    <cfRule type="containsText" dxfId="22510" priority="1018" operator="containsText" text="CMS">
      <formula>NOT(ISERROR(SEARCH("CMS",AB16)))</formula>
    </cfRule>
    <cfRule type="cellIs" dxfId="22509" priority="1019" operator="equal">
      <formula>0</formula>
    </cfRule>
    <cfRule type="cellIs" dxfId="22508" priority="1020" operator="greaterThan">
      <formula>0</formula>
    </cfRule>
  </conditionalFormatting>
  <conditionalFormatting sqref="J62">
    <cfRule type="cellIs" dxfId="22507" priority="1009" operator="equal">
      <formula>"PMS"</formula>
    </cfRule>
    <cfRule type="containsText" dxfId="22506" priority="1010" operator="containsText" text="CMS">
      <formula>NOT(ISERROR(SEARCH("CMS",J62)))</formula>
    </cfRule>
    <cfRule type="cellIs" dxfId="22505" priority="1011" operator="equal">
      <formula>0</formula>
    </cfRule>
    <cfRule type="cellIs" dxfId="22504" priority="1012" operator="greaterThan">
      <formula>0</formula>
    </cfRule>
    <cfRule type="cellIs" dxfId="22503" priority="1013" operator="equal">
      <formula>"PMS"</formula>
    </cfRule>
    <cfRule type="containsText" dxfId="22502" priority="1014" operator="containsText" text="CMS">
      <formula>NOT(ISERROR(SEARCH("CMS",J62)))</formula>
    </cfRule>
    <cfRule type="cellIs" dxfId="22501" priority="1015" operator="equal">
      <formula>0</formula>
    </cfRule>
    <cfRule type="cellIs" dxfId="22500" priority="1016" operator="greaterThan">
      <formula>0</formula>
    </cfRule>
  </conditionalFormatting>
  <conditionalFormatting sqref="W14">
    <cfRule type="cellIs" dxfId="22499" priority="981" operator="equal">
      <formula>"PMS"</formula>
    </cfRule>
    <cfRule type="containsText" dxfId="22498" priority="982" operator="containsText" text="CMS">
      <formula>NOT(ISERROR(SEARCH("CMS",W14)))</formula>
    </cfRule>
    <cfRule type="cellIs" dxfId="22497" priority="983" operator="equal">
      <formula>0</formula>
    </cfRule>
    <cfRule type="cellIs" dxfId="22496" priority="984" operator="greaterThan">
      <formula>0</formula>
    </cfRule>
  </conditionalFormatting>
  <conditionalFormatting sqref="W14">
    <cfRule type="cellIs" dxfId="22495" priority="977" operator="equal">
      <formula>"PMS"</formula>
    </cfRule>
    <cfRule type="containsText" dxfId="22494" priority="978" operator="containsText" text="CMS">
      <formula>NOT(ISERROR(SEARCH("CMS",W14)))</formula>
    </cfRule>
    <cfRule type="cellIs" dxfId="22493" priority="979" operator="equal">
      <formula>0</formula>
    </cfRule>
    <cfRule type="cellIs" dxfId="22492" priority="980" operator="greaterThan">
      <formula>0</formula>
    </cfRule>
  </conditionalFormatting>
  <conditionalFormatting sqref="W15">
    <cfRule type="cellIs" dxfId="22491" priority="973" operator="equal">
      <formula>"PMS"</formula>
    </cfRule>
    <cfRule type="containsText" dxfId="22490" priority="974" operator="containsText" text="CMS">
      <formula>NOT(ISERROR(SEARCH("CMS",W15)))</formula>
    </cfRule>
    <cfRule type="cellIs" dxfId="22489" priority="975" operator="equal">
      <formula>0</formula>
    </cfRule>
    <cfRule type="cellIs" dxfId="22488" priority="976" operator="greaterThan">
      <formula>0</formula>
    </cfRule>
  </conditionalFormatting>
  <conditionalFormatting sqref="W15">
    <cfRule type="cellIs" dxfId="22487" priority="969" operator="equal">
      <formula>"PMS"</formula>
    </cfRule>
    <cfRule type="containsText" dxfId="22486" priority="970" operator="containsText" text="CMS">
      <formula>NOT(ISERROR(SEARCH("CMS",W15)))</formula>
    </cfRule>
    <cfRule type="cellIs" dxfId="22485" priority="971" operator="equal">
      <formula>0</formula>
    </cfRule>
    <cfRule type="cellIs" dxfId="22484" priority="972" operator="greaterThan">
      <formula>0</formula>
    </cfRule>
  </conditionalFormatting>
  <conditionalFormatting sqref="W16">
    <cfRule type="cellIs" dxfId="22483" priority="965" operator="equal">
      <formula>"PMS"</formula>
    </cfRule>
    <cfRule type="containsText" dxfId="22482" priority="966" operator="containsText" text="CMS">
      <formula>NOT(ISERROR(SEARCH("CMS",W16)))</formula>
    </cfRule>
    <cfRule type="cellIs" dxfId="22481" priority="967" operator="equal">
      <formula>0</formula>
    </cfRule>
    <cfRule type="cellIs" dxfId="22480" priority="968" operator="greaterThan">
      <formula>0</formula>
    </cfRule>
  </conditionalFormatting>
  <conditionalFormatting sqref="W16">
    <cfRule type="cellIs" dxfId="22479" priority="961" operator="equal">
      <formula>"PMS"</formula>
    </cfRule>
    <cfRule type="containsText" dxfId="22478" priority="962" operator="containsText" text="CMS">
      <formula>NOT(ISERROR(SEARCH("CMS",W16)))</formula>
    </cfRule>
    <cfRule type="cellIs" dxfId="22477" priority="963" operator="equal">
      <formula>0</formula>
    </cfRule>
    <cfRule type="cellIs" dxfId="22476" priority="964" operator="greaterThan">
      <formula>0</formula>
    </cfRule>
  </conditionalFormatting>
  <conditionalFormatting sqref="G56">
    <cfRule type="cellIs" dxfId="22475" priority="953" operator="equal">
      <formula>"PMS"</formula>
    </cfRule>
    <cfRule type="containsText" dxfId="22474" priority="954" operator="containsText" text="CMS">
      <formula>NOT(ISERROR(SEARCH("CMS",G56)))</formula>
    </cfRule>
    <cfRule type="cellIs" dxfId="22473" priority="955" operator="equal">
      <formula>0</formula>
    </cfRule>
    <cfRule type="cellIs" dxfId="22472" priority="956" operator="greaterThan">
      <formula>0</formula>
    </cfRule>
    <cfRule type="cellIs" dxfId="22471" priority="957" operator="equal">
      <formula>"PMS"</formula>
    </cfRule>
    <cfRule type="containsText" dxfId="22470" priority="958" operator="containsText" text="CMS">
      <formula>NOT(ISERROR(SEARCH("CMS",G56)))</formula>
    </cfRule>
    <cfRule type="cellIs" dxfId="22469" priority="959" operator="equal">
      <formula>0</formula>
    </cfRule>
    <cfRule type="cellIs" dxfId="22468" priority="960" operator="greaterThan">
      <formula>0</formula>
    </cfRule>
  </conditionalFormatting>
  <conditionalFormatting sqref="G56">
    <cfRule type="cellIs" dxfId="22467" priority="949" operator="equal">
      <formula>"PMS"</formula>
    </cfRule>
    <cfRule type="containsText" dxfId="22466" priority="950" operator="containsText" text="CMS">
      <formula>NOT(ISERROR(SEARCH("CMS",G56)))</formula>
    </cfRule>
    <cfRule type="cellIs" dxfId="22465" priority="951" operator="equal">
      <formula>0</formula>
    </cfRule>
    <cfRule type="cellIs" dxfId="22464" priority="952" operator="greaterThan">
      <formula>0</formula>
    </cfRule>
  </conditionalFormatting>
  <conditionalFormatting sqref="G56">
    <cfRule type="cellIs" dxfId="22463" priority="945" operator="equal">
      <formula>"PMS"</formula>
    </cfRule>
    <cfRule type="containsText" dxfId="22462" priority="946" operator="containsText" text="CMS">
      <formula>NOT(ISERROR(SEARCH("CMS",G56)))</formula>
    </cfRule>
    <cfRule type="cellIs" dxfId="22461" priority="947" operator="equal">
      <formula>0</formula>
    </cfRule>
    <cfRule type="cellIs" dxfId="22460" priority="948" operator="greaterThan">
      <formula>0</formula>
    </cfRule>
  </conditionalFormatting>
  <conditionalFormatting sqref="F13:G14">
    <cfRule type="cellIs" dxfId="22459" priority="937" operator="equal">
      <formula>"PMS"</formula>
    </cfRule>
    <cfRule type="containsText" dxfId="22458" priority="938" operator="containsText" text="CMS">
      <formula>NOT(ISERROR(SEARCH("CMS",F13)))</formula>
    </cfRule>
    <cfRule type="cellIs" dxfId="22457" priority="939" operator="equal">
      <formula>0</formula>
    </cfRule>
    <cfRule type="cellIs" dxfId="22456" priority="940" operator="greaterThan">
      <formula>0</formula>
    </cfRule>
    <cfRule type="cellIs" dxfId="22455" priority="941" operator="equal">
      <formula>"PMS"</formula>
    </cfRule>
    <cfRule type="containsText" dxfId="22454" priority="942" operator="containsText" text="CMS">
      <formula>NOT(ISERROR(SEARCH("CMS",F13)))</formula>
    </cfRule>
    <cfRule type="cellIs" dxfId="22453" priority="943" operator="equal">
      <formula>0</formula>
    </cfRule>
    <cfRule type="cellIs" dxfId="22452" priority="944" operator="greaterThan">
      <formula>0</formula>
    </cfRule>
  </conditionalFormatting>
  <conditionalFormatting sqref="F13:G14">
    <cfRule type="cellIs" dxfId="22451" priority="933" operator="equal">
      <formula>"PMS"</formula>
    </cfRule>
    <cfRule type="containsText" dxfId="22450" priority="934" operator="containsText" text="CMS">
      <formula>NOT(ISERROR(SEARCH("CMS",F13)))</formula>
    </cfRule>
    <cfRule type="cellIs" dxfId="22449" priority="935" operator="equal">
      <formula>0</formula>
    </cfRule>
    <cfRule type="cellIs" dxfId="22448" priority="936" operator="greaterThan">
      <formula>0</formula>
    </cfRule>
  </conditionalFormatting>
  <conditionalFormatting sqref="F13:G14">
    <cfRule type="cellIs" dxfId="22447" priority="929" operator="equal">
      <formula>"PMS"</formula>
    </cfRule>
    <cfRule type="containsText" dxfId="22446" priority="930" operator="containsText" text="CMS">
      <formula>NOT(ISERROR(SEARCH("CMS",F13)))</formula>
    </cfRule>
    <cfRule type="cellIs" dxfId="22445" priority="931" operator="equal">
      <formula>0</formula>
    </cfRule>
    <cfRule type="cellIs" dxfId="22444" priority="932" operator="greaterThan">
      <formula>0</formula>
    </cfRule>
  </conditionalFormatting>
  <conditionalFormatting sqref="F13:G14">
    <cfRule type="cellIs" dxfId="22443" priority="925" operator="equal">
      <formula>"PMS"</formula>
    </cfRule>
    <cfRule type="containsText" dxfId="22442" priority="926" operator="containsText" text="CMS">
      <formula>NOT(ISERROR(SEARCH("CMS",F13)))</formula>
    </cfRule>
    <cfRule type="cellIs" dxfId="22441" priority="927" operator="equal">
      <formula>0</formula>
    </cfRule>
    <cfRule type="cellIs" dxfId="22440" priority="928" operator="greaterThan">
      <formula>0</formula>
    </cfRule>
  </conditionalFormatting>
  <conditionalFormatting sqref="F13:G14">
    <cfRule type="cellIs" dxfId="22439" priority="921" operator="equal">
      <formula>"PMS"</formula>
    </cfRule>
    <cfRule type="containsText" dxfId="22438" priority="922" operator="containsText" text="CMS">
      <formula>NOT(ISERROR(SEARCH("CMS",F13)))</formula>
    </cfRule>
    <cfRule type="cellIs" dxfId="22437" priority="923" operator="equal">
      <formula>0</formula>
    </cfRule>
    <cfRule type="cellIs" dxfId="22436" priority="924" operator="greaterThan">
      <formula>0</formula>
    </cfRule>
  </conditionalFormatting>
  <conditionalFormatting sqref="G20">
    <cfRule type="cellIs" dxfId="22435" priority="913" operator="equal">
      <formula>"PMS"</formula>
    </cfRule>
    <cfRule type="containsText" dxfId="22434" priority="914" operator="containsText" text="CMS">
      <formula>NOT(ISERROR(SEARCH("CMS",G20)))</formula>
    </cfRule>
    <cfRule type="cellIs" dxfId="22433" priority="915" operator="equal">
      <formula>0</formula>
    </cfRule>
    <cfRule type="cellIs" dxfId="22432" priority="916" operator="greaterThan">
      <formula>0</formula>
    </cfRule>
    <cfRule type="cellIs" dxfId="22431" priority="917" operator="equal">
      <formula>"PMS"</formula>
    </cfRule>
    <cfRule type="containsText" dxfId="22430" priority="918" operator="containsText" text="CMS">
      <formula>NOT(ISERROR(SEARCH("CMS",G20)))</formula>
    </cfRule>
    <cfRule type="cellIs" dxfId="22429" priority="919" operator="equal">
      <formula>0</formula>
    </cfRule>
    <cfRule type="cellIs" dxfId="22428" priority="920" operator="greaterThan">
      <formula>0</formula>
    </cfRule>
  </conditionalFormatting>
  <conditionalFormatting sqref="G20">
    <cfRule type="cellIs" dxfId="22427" priority="909" operator="equal">
      <formula>"PMS"</formula>
    </cfRule>
    <cfRule type="containsText" dxfId="22426" priority="910" operator="containsText" text="CMS">
      <formula>NOT(ISERROR(SEARCH("CMS",G20)))</formula>
    </cfRule>
    <cfRule type="cellIs" dxfId="22425" priority="911" operator="equal">
      <formula>0</formula>
    </cfRule>
    <cfRule type="cellIs" dxfId="22424" priority="912" operator="greaterThan">
      <formula>0</formula>
    </cfRule>
  </conditionalFormatting>
  <conditionalFormatting sqref="G20">
    <cfRule type="cellIs" dxfId="22423" priority="905" operator="equal">
      <formula>"PMS"</formula>
    </cfRule>
    <cfRule type="containsText" dxfId="22422" priority="906" operator="containsText" text="CMS">
      <formula>NOT(ISERROR(SEARCH("CMS",G20)))</formula>
    </cfRule>
    <cfRule type="cellIs" dxfId="22421" priority="907" operator="equal">
      <formula>0</formula>
    </cfRule>
    <cfRule type="cellIs" dxfId="22420" priority="908" operator="greaterThan">
      <formula>0</formula>
    </cfRule>
  </conditionalFormatting>
  <conditionalFormatting sqref="G27:G29 J29 M29 P29 S29 V29 AB29 F27:F28">
    <cfRule type="cellIs" dxfId="22419" priority="897" operator="equal">
      <formula>"PMS"</formula>
    </cfRule>
    <cfRule type="containsText" dxfId="22418" priority="898" operator="containsText" text="CMS">
      <formula>NOT(ISERROR(SEARCH("CMS",F27)))</formula>
    </cfRule>
    <cfRule type="cellIs" dxfId="22417" priority="899" operator="equal">
      <formula>0</formula>
    </cfRule>
    <cfRule type="cellIs" dxfId="22416" priority="900" operator="greaterThan">
      <formula>0</formula>
    </cfRule>
    <cfRule type="cellIs" dxfId="22415" priority="901" operator="equal">
      <formula>"PMS"</formula>
    </cfRule>
    <cfRule type="containsText" dxfId="22414" priority="902" operator="containsText" text="CMS">
      <formula>NOT(ISERROR(SEARCH("CMS",F27)))</formula>
    </cfRule>
    <cfRule type="cellIs" dxfId="22413" priority="903" operator="equal">
      <formula>0</formula>
    </cfRule>
    <cfRule type="cellIs" dxfId="22412" priority="904" operator="greaterThan">
      <formula>0</formula>
    </cfRule>
  </conditionalFormatting>
  <conditionalFormatting sqref="G27:G29 J29 M29 P29 S29 V29 AB29 F27:F28">
    <cfRule type="cellIs" dxfId="22411" priority="893" operator="equal">
      <formula>"PMS"</formula>
    </cfRule>
    <cfRule type="containsText" dxfId="22410" priority="894" operator="containsText" text="CMS">
      <formula>NOT(ISERROR(SEARCH("CMS",F27)))</formula>
    </cfRule>
    <cfRule type="cellIs" dxfId="22409" priority="895" operator="equal">
      <formula>0</formula>
    </cfRule>
    <cfRule type="cellIs" dxfId="22408" priority="896" operator="greaterThan">
      <formula>0</formula>
    </cfRule>
  </conditionalFormatting>
  <conditionalFormatting sqref="G27:G29 J29 M29 P29 S29 V29 AB29 F27:F28">
    <cfRule type="cellIs" dxfId="22407" priority="889" operator="equal">
      <formula>"PMS"</formula>
    </cfRule>
    <cfRule type="containsText" dxfId="22406" priority="890" operator="containsText" text="CMS">
      <formula>NOT(ISERROR(SEARCH("CMS",F27)))</formula>
    </cfRule>
    <cfRule type="cellIs" dxfId="22405" priority="891" operator="equal">
      <formula>0</formula>
    </cfRule>
    <cfRule type="cellIs" dxfId="22404" priority="892" operator="greaterThan">
      <formula>0</formula>
    </cfRule>
  </conditionalFormatting>
  <conditionalFormatting sqref="G45:G46">
    <cfRule type="cellIs" dxfId="22403" priority="881" operator="equal">
      <formula>"PMS"</formula>
    </cfRule>
    <cfRule type="containsText" dxfId="22402" priority="882" operator="containsText" text="CMS">
      <formula>NOT(ISERROR(SEARCH("CMS",G45)))</formula>
    </cfRule>
    <cfRule type="cellIs" dxfId="22401" priority="883" operator="equal">
      <formula>0</formula>
    </cfRule>
    <cfRule type="cellIs" dxfId="22400" priority="884" operator="greaterThan">
      <formula>0</formula>
    </cfRule>
    <cfRule type="cellIs" dxfId="22399" priority="885" operator="equal">
      <formula>"PMS"</formula>
    </cfRule>
    <cfRule type="containsText" dxfId="22398" priority="886" operator="containsText" text="CMS">
      <formula>NOT(ISERROR(SEARCH("CMS",G45)))</formula>
    </cfRule>
    <cfRule type="cellIs" dxfId="22397" priority="887" operator="equal">
      <formula>0</formula>
    </cfRule>
    <cfRule type="cellIs" dxfId="22396" priority="888" operator="greaterThan">
      <formula>0</formula>
    </cfRule>
  </conditionalFormatting>
  <conditionalFormatting sqref="G45:G46">
    <cfRule type="cellIs" dxfId="22395" priority="877" operator="equal">
      <formula>"PMS"</formula>
    </cfRule>
    <cfRule type="containsText" dxfId="22394" priority="878" operator="containsText" text="CMS">
      <formula>NOT(ISERROR(SEARCH("CMS",G45)))</formula>
    </cfRule>
    <cfRule type="cellIs" dxfId="22393" priority="879" operator="equal">
      <formula>0</formula>
    </cfRule>
    <cfRule type="cellIs" dxfId="22392" priority="880" operator="greaterThan">
      <formula>0</formula>
    </cfRule>
  </conditionalFormatting>
  <conditionalFormatting sqref="G45:G46">
    <cfRule type="cellIs" dxfId="22391" priority="873" operator="equal">
      <formula>"PMS"</formula>
    </cfRule>
    <cfRule type="containsText" dxfId="22390" priority="874" operator="containsText" text="CMS">
      <formula>NOT(ISERROR(SEARCH("CMS",G45)))</formula>
    </cfRule>
    <cfRule type="cellIs" dxfId="22389" priority="875" operator="equal">
      <formula>0</formula>
    </cfRule>
    <cfRule type="cellIs" dxfId="22388" priority="876" operator="greaterThan">
      <formula>0</formula>
    </cfRule>
  </conditionalFormatting>
  <conditionalFormatting sqref="I62">
    <cfRule type="cellIs" dxfId="22387" priority="865" operator="equal">
      <formula>"PMS"</formula>
    </cfRule>
    <cfRule type="containsText" dxfId="22386" priority="866" operator="containsText" text="CMS">
      <formula>NOT(ISERROR(SEARCH("CMS",I62)))</formula>
    </cfRule>
    <cfRule type="cellIs" dxfId="22385" priority="867" operator="equal">
      <formula>0</formula>
    </cfRule>
    <cfRule type="cellIs" dxfId="22384" priority="868" operator="greaterThan">
      <formula>0</formula>
    </cfRule>
    <cfRule type="cellIs" dxfId="22383" priority="869" operator="equal">
      <formula>"PMS"</formula>
    </cfRule>
    <cfRule type="containsText" dxfId="22382" priority="870" operator="containsText" text="CMS">
      <formula>NOT(ISERROR(SEARCH("CMS",I62)))</formula>
    </cfRule>
    <cfRule type="cellIs" dxfId="22381" priority="871" operator="equal">
      <formula>0</formula>
    </cfRule>
    <cfRule type="cellIs" dxfId="22380" priority="872" operator="greaterThan">
      <formula>0</formula>
    </cfRule>
  </conditionalFormatting>
  <conditionalFormatting sqref="O48">
    <cfRule type="cellIs" dxfId="22379" priority="861" operator="equal">
      <formula>"PMS"</formula>
    </cfRule>
    <cfRule type="containsText" dxfId="22378" priority="862" operator="containsText" text="CMS">
      <formula>NOT(ISERROR(SEARCH("CMS",O48)))</formula>
    </cfRule>
    <cfRule type="cellIs" dxfId="22377" priority="863" operator="equal">
      <formula>0</formula>
    </cfRule>
    <cfRule type="cellIs" dxfId="22376" priority="864" operator="greaterThan">
      <formula>0</formula>
    </cfRule>
  </conditionalFormatting>
  <conditionalFormatting sqref="O48">
    <cfRule type="cellIs" dxfId="22375" priority="857" operator="equal">
      <formula>"PMS"</formula>
    </cfRule>
    <cfRule type="containsText" dxfId="22374" priority="858" operator="containsText" text="CMS">
      <formula>NOT(ISERROR(SEARCH("CMS",O48)))</formula>
    </cfRule>
    <cfRule type="cellIs" dxfId="22373" priority="859" operator="equal">
      <formula>0</formula>
    </cfRule>
    <cfRule type="cellIs" dxfId="22372" priority="860" operator="greaterThan">
      <formula>0</formula>
    </cfRule>
  </conditionalFormatting>
  <conditionalFormatting sqref="O48">
    <cfRule type="cellIs" dxfId="22371" priority="853" operator="equal">
      <formula>"PMS"</formula>
    </cfRule>
    <cfRule type="containsText" dxfId="22370" priority="854" operator="containsText" text="CMS">
      <formula>NOT(ISERROR(SEARCH("CMS",O48)))</formula>
    </cfRule>
    <cfRule type="cellIs" dxfId="22369" priority="855" operator="equal">
      <formula>0</formula>
    </cfRule>
    <cfRule type="cellIs" dxfId="22368" priority="856" operator="greaterThan">
      <formula>0</formula>
    </cfRule>
  </conditionalFormatting>
  <conditionalFormatting sqref="O48">
    <cfRule type="cellIs" dxfId="22367" priority="849" operator="equal">
      <formula>"PMS"</formula>
    </cfRule>
    <cfRule type="containsText" dxfId="22366" priority="850" operator="containsText" text="CMS">
      <formula>NOT(ISERROR(SEARCH("CMS",O48)))</formula>
    </cfRule>
    <cfRule type="cellIs" dxfId="22365" priority="851" operator="equal">
      <formula>0</formula>
    </cfRule>
    <cfRule type="cellIs" dxfId="22364" priority="852" operator="greaterThan">
      <formula>0</formula>
    </cfRule>
  </conditionalFormatting>
  <conditionalFormatting sqref="O56:P56">
    <cfRule type="cellIs" dxfId="22363" priority="845" operator="equal">
      <formula>"PMS"</formula>
    </cfRule>
    <cfRule type="containsText" dxfId="22362" priority="846" operator="containsText" text="CMS">
      <formula>NOT(ISERROR(SEARCH("CMS",O56)))</formula>
    </cfRule>
    <cfRule type="cellIs" dxfId="22361" priority="847" operator="equal">
      <formula>0</formula>
    </cfRule>
    <cfRule type="cellIs" dxfId="22360" priority="848" operator="greaterThan">
      <formula>0</formula>
    </cfRule>
  </conditionalFormatting>
  <conditionalFormatting sqref="O56:P56">
    <cfRule type="cellIs" dxfId="22359" priority="841" operator="equal">
      <formula>"PMS"</formula>
    </cfRule>
    <cfRule type="containsText" dxfId="22358" priority="842" operator="containsText" text="CMS">
      <formula>NOT(ISERROR(SEARCH("CMS",O56)))</formula>
    </cfRule>
    <cfRule type="cellIs" dxfId="22357" priority="843" operator="equal">
      <formula>0</formula>
    </cfRule>
    <cfRule type="cellIs" dxfId="22356" priority="844" operator="greaterThan">
      <formula>0</formula>
    </cfRule>
  </conditionalFormatting>
  <conditionalFormatting sqref="O56:P56">
    <cfRule type="cellIs" dxfId="22355" priority="837" operator="equal">
      <formula>"PMS"</formula>
    </cfRule>
    <cfRule type="containsText" dxfId="22354" priority="838" operator="containsText" text="CMS">
      <formula>NOT(ISERROR(SEARCH("CMS",O56)))</formula>
    </cfRule>
    <cfRule type="cellIs" dxfId="22353" priority="839" operator="equal">
      <formula>0</formula>
    </cfRule>
    <cfRule type="cellIs" dxfId="22352" priority="840" operator="greaterThan">
      <formula>0</formula>
    </cfRule>
  </conditionalFormatting>
  <conditionalFormatting sqref="O56:P56">
    <cfRule type="cellIs" dxfId="22351" priority="833" operator="equal">
      <formula>"PMS"</formula>
    </cfRule>
    <cfRule type="containsText" dxfId="22350" priority="834" operator="containsText" text="CMS">
      <formula>NOT(ISERROR(SEARCH("CMS",O56)))</formula>
    </cfRule>
    <cfRule type="cellIs" dxfId="22349" priority="835" operator="equal">
      <formula>0</formula>
    </cfRule>
    <cfRule type="cellIs" dxfId="22348" priority="836" operator="greaterThan">
      <formula>0</formula>
    </cfRule>
  </conditionalFormatting>
  <conditionalFormatting sqref="O57:P57">
    <cfRule type="cellIs" dxfId="22347" priority="829" operator="equal">
      <formula>"PMS"</formula>
    </cfRule>
    <cfRule type="containsText" dxfId="22346" priority="830" operator="containsText" text="CMS">
      <formula>NOT(ISERROR(SEARCH("CMS",O57)))</formula>
    </cfRule>
    <cfRule type="cellIs" dxfId="22345" priority="831" operator="equal">
      <formula>0</formula>
    </cfRule>
    <cfRule type="cellIs" dxfId="22344" priority="832" operator="greaterThan">
      <formula>0</formula>
    </cfRule>
  </conditionalFormatting>
  <conditionalFormatting sqref="O57:P57">
    <cfRule type="cellIs" dxfId="22343" priority="825" operator="equal">
      <formula>"PMS"</formula>
    </cfRule>
    <cfRule type="containsText" dxfId="22342" priority="826" operator="containsText" text="CMS">
      <formula>NOT(ISERROR(SEARCH("CMS",O57)))</formula>
    </cfRule>
    <cfRule type="cellIs" dxfId="22341" priority="827" operator="equal">
      <formula>0</formula>
    </cfRule>
    <cfRule type="cellIs" dxfId="22340" priority="828" operator="greaterThan">
      <formula>0</formula>
    </cfRule>
  </conditionalFormatting>
  <conditionalFormatting sqref="O57:P57">
    <cfRule type="cellIs" dxfId="22339" priority="821" operator="equal">
      <formula>"PMS"</formula>
    </cfRule>
    <cfRule type="containsText" dxfId="22338" priority="822" operator="containsText" text="CMS">
      <formula>NOT(ISERROR(SEARCH("CMS",O57)))</formula>
    </cfRule>
    <cfRule type="cellIs" dxfId="22337" priority="823" operator="equal">
      <formula>0</formula>
    </cfRule>
    <cfRule type="cellIs" dxfId="22336" priority="824" operator="greaterThan">
      <formula>0</formula>
    </cfRule>
  </conditionalFormatting>
  <conditionalFormatting sqref="O57:P57">
    <cfRule type="cellIs" dxfId="22335" priority="817" operator="equal">
      <formula>"PMS"</formula>
    </cfRule>
    <cfRule type="containsText" dxfId="22334" priority="818" operator="containsText" text="CMS">
      <formula>NOT(ISERROR(SEARCH("CMS",O57)))</formula>
    </cfRule>
    <cfRule type="cellIs" dxfId="22333" priority="819" operator="equal">
      <formula>0</formula>
    </cfRule>
    <cfRule type="cellIs" dxfId="22332" priority="820" operator="greaterThan">
      <formula>0</formula>
    </cfRule>
  </conditionalFormatting>
  <conditionalFormatting sqref="G48:G49">
    <cfRule type="cellIs" dxfId="22331" priority="809" operator="equal">
      <formula>"PMS"</formula>
    </cfRule>
    <cfRule type="containsText" dxfId="22330" priority="810" operator="containsText" text="CMS">
      <formula>NOT(ISERROR(SEARCH("CMS",G48)))</formula>
    </cfRule>
    <cfRule type="cellIs" dxfId="22329" priority="811" operator="equal">
      <formula>0</formula>
    </cfRule>
    <cfRule type="cellIs" dxfId="22328" priority="812" operator="greaterThan">
      <formula>0</formula>
    </cfRule>
    <cfRule type="cellIs" dxfId="22327" priority="813" operator="equal">
      <formula>"PMS"</formula>
    </cfRule>
    <cfRule type="containsText" dxfId="22326" priority="814" operator="containsText" text="CMS">
      <formula>NOT(ISERROR(SEARCH("CMS",G48)))</formula>
    </cfRule>
    <cfRule type="cellIs" dxfId="22325" priority="815" operator="equal">
      <formula>0</formula>
    </cfRule>
    <cfRule type="cellIs" dxfId="22324" priority="816" operator="greaterThan">
      <formula>0</formula>
    </cfRule>
  </conditionalFormatting>
  <conditionalFormatting sqref="G48:G49">
    <cfRule type="cellIs" dxfId="22323" priority="805" operator="equal">
      <formula>"PMS"</formula>
    </cfRule>
    <cfRule type="containsText" dxfId="22322" priority="806" operator="containsText" text="CMS">
      <formula>NOT(ISERROR(SEARCH("CMS",G48)))</formula>
    </cfRule>
    <cfRule type="cellIs" dxfId="22321" priority="807" operator="equal">
      <formula>0</formula>
    </cfRule>
    <cfRule type="cellIs" dxfId="22320" priority="808" operator="greaterThan">
      <formula>0</formula>
    </cfRule>
  </conditionalFormatting>
  <conditionalFormatting sqref="G48:G49">
    <cfRule type="cellIs" dxfId="22319" priority="801" operator="equal">
      <formula>"PMS"</formula>
    </cfRule>
    <cfRule type="containsText" dxfId="22318" priority="802" operator="containsText" text="CMS">
      <formula>NOT(ISERROR(SEARCH("CMS",G48)))</formula>
    </cfRule>
    <cfRule type="cellIs" dxfId="22317" priority="803" operator="equal">
      <formula>0</formula>
    </cfRule>
    <cfRule type="cellIs" dxfId="22316" priority="804" operator="greaterThan">
      <formula>0</formula>
    </cfRule>
  </conditionalFormatting>
  <conditionalFormatting sqref="F68:F72 G66:G72 F74:G74">
    <cfRule type="cellIs" dxfId="22315" priority="793" operator="equal">
      <formula>"PMS"</formula>
    </cfRule>
    <cfRule type="containsText" dxfId="22314" priority="794" operator="containsText" text="CMS">
      <formula>NOT(ISERROR(SEARCH("CMS",F66)))</formula>
    </cfRule>
    <cfRule type="cellIs" dxfId="22313" priority="795" operator="equal">
      <formula>0</formula>
    </cfRule>
    <cfRule type="cellIs" dxfId="22312" priority="796" operator="greaterThan">
      <formula>0</formula>
    </cfRule>
    <cfRule type="cellIs" dxfId="22311" priority="797" operator="equal">
      <formula>"PMS"</formula>
    </cfRule>
    <cfRule type="containsText" dxfId="22310" priority="798" operator="containsText" text="CMS">
      <formula>NOT(ISERROR(SEARCH("CMS",F66)))</formula>
    </cfRule>
    <cfRule type="cellIs" dxfId="22309" priority="799" operator="equal">
      <formula>0</formula>
    </cfRule>
    <cfRule type="cellIs" dxfId="22308" priority="800" operator="greaterThan">
      <formula>0</formula>
    </cfRule>
  </conditionalFormatting>
  <conditionalFormatting sqref="O53:O58 O56:P56">
    <cfRule type="cellIs" dxfId="22307" priority="789" operator="equal">
      <formula>"PMS"</formula>
    </cfRule>
    <cfRule type="containsText" dxfId="22306" priority="790" operator="containsText" text="CMS">
      <formula>NOT(ISERROR(SEARCH("CMS",O53)))</formula>
    </cfRule>
    <cfRule type="cellIs" dxfId="22305" priority="791" operator="equal">
      <formula>0</formula>
    </cfRule>
    <cfRule type="cellIs" dxfId="22304" priority="792" operator="greaterThan">
      <formula>0</formula>
    </cfRule>
  </conditionalFormatting>
  <conditionalFormatting sqref="G35 I24 I35 I73:J73 F73:G73">
    <cfRule type="cellIs" dxfId="22303" priority="781" operator="equal">
      <formula>"PMS"</formula>
    </cfRule>
    <cfRule type="containsText" dxfId="22302" priority="782" operator="containsText" text="CMS">
      <formula>NOT(ISERROR(SEARCH("CMS",F24)))</formula>
    </cfRule>
    <cfRule type="cellIs" dxfId="22301" priority="783" operator="equal">
      <formula>0</formula>
    </cfRule>
    <cfRule type="cellIs" dxfId="22300" priority="784" operator="greaterThan">
      <formula>0</formula>
    </cfRule>
    <cfRule type="cellIs" dxfId="22299" priority="785" operator="equal">
      <formula>"PMS"</formula>
    </cfRule>
    <cfRule type="containsText" dxfId="22298" priority="786" operator="containsText" text="CMS">
      <formula>NOT(ISERROR(SEARCH("CMS",F24)))</formula>
    </cfRule>
    <cfRule type="cellIs" dxfId="22297" priority="787" operator="equal">
      <formula>0</formula>
    </cfRule>
    <cfRule type="cellIs" dxfId="22296" priority="788" operator="greaterThan">
      <formula>0</formula>
    </cfRule>
  </conditionalFormatting>
  <conditionalFormatting sqref="I73:J73 F73:G73">
    <cfRule type="cellIs" dxfId="22295" priority="777" operator="equal">
      <formula>"PMS"</formula>
    </cfRule>
    <cfRule type="containsText" dxfId="22294" priority="778" operator="containsText" text="CMS">
      <formula>NOT(ISERROR(SEARCH("CMS",F73)))</formula>
    </cfRule>
    <cfRule type="cellIs" dxfId="22293" priority="779" operator="equal">
      <formula>0</formula>
    </cfRule>
    <cfRule type="cellIs" dxfId="22292" priority="780" operator="greaterThan">
      <formula>0</formula>
    </cfRule>
  </conditionalFormatting>
  <conditionalFormatting sqref="I73:J73 F73:G73">
    <cfRule type="cellIs" dxfId="22291" priority="773" operator="equal">
      <formula>"PMS"</formula>
    </cfRule>
    <cfRule type="containsText" dxfId="22290" priority="774" operator="containsText" text="CMS">
      <formula>NOT(ISERROR(SEARCH("CMS",F73)))</formula>
    </cfRule>
    <cfRule type="cellIs" dxfId="22289" priority="775" operator="equal">
      <formula>0</formula>
    </cfRule>
    <cfRule type="cellIs" dxfId="22288" priority="776" operator="greaterThan">
      <formula>0</formula>
    </cfRule>
  </conditionalFormatting>
  <conditionalFormatting sqref="I24">
    <cfRule type="cellIs" dxfId="22287" priority="769" operator="equal">
      <formula>"PMS"</formula>
    </cfRule>
    <cfRule type="containsText" dxfId="22286" priority="770" operator="containsText" text="CMS">
      <formula>NOT(ISERROR(SEARCH("CMS",I24)))</formula>
    </cfRule>
    <cfRule type="cellIs" dxfId="22285" priority="771" operator="equal">
      <formula>0</formula>
    </cfRule>
    <cfRule type="cellIs" dxfId="22284" priority="772" operator="greaterThan">
      <formula>0</formula>
    </cfRule>
  </conditionalFormatting>
  <conditionalFormatting sqref="I24">
    <cfRule type="cellIs" dxfId="22283" priority="765" operator="equal">
      <formula>"PMS"</formula>
    </cfRule>
    <cfRule type="containsText" dxfId="22282" priority="766" operator="containsText" text="CMS">
      <formula>NOT(ISERROR(SEARCH("CMS",I24)))</formula>
    </cfRule>
    <cfRule type="cellIs" dxfId="22281" priority="767" operator="equal">
      <formula>0</formula>
    </cfRule>
    <cfRule type="cellIs" dxfId="22280" priority="768" operator="greaterThan">
      <formula>0</formula>
    </cfRule>
  </conditionalFormatting>
  <conditionalFormatting sqref="G35 I35">
    <cfRule type="cellIs" dxfId="22279" priority="761" operator="equal">
      <formula>"PMS"</formula>
    </cfRule>
    <cfRule type="containsText" dxfId="22278" priority="762" operator="containsText" text="CMS">
      <formula>NOT(ISERROR(SEARCH("CMS",G35)))</formula>
    </cfRule>
    <cfRule type="cellIs" dxfId="22277" priority="763" operator="equal">
      <formula>0</formula>
    </cfRule>
    <cfRule type="cellIs" dxfId="22276" priority="764" operator="greaterThan">
      <formula>0</formula>
    </cfRule>
  </conditionalFormatting>
  <conditionalFormatting sqref="G35 I35">
    <cfRule type="cellIs" dxfId="22275" priority="757" operator="equal">
      <formula>"PMS"</formula>
    </cfRule>
    <cfRule type="containsText" dxfId="22274" priority="758" operator="containsText" text="CMS">
      <formula>NOT(ISERROR(SEARCH("CMS",G35)))</formula>
    </cfRule>
    <cfRule type="cellIs" dxfId="22273" priority="759" operator="equal">
      <formula>0</formula>
    </cfRule>
    <cfRule type="cellIs" dxfId="22272" priority="760" operator="greaterThan">
      <formula>0</formula>
    </cfRule>
  </conditionalFormatting>
  <conditionalFormatting sqref="G19 I19">
    <cfRule type="cellIs" dxfId="22271" priority="749" operator="equal">
      <formula>"PMS"</formula>
    </cfRule>
    <cfRule type="containsText" dxfId="22270" priority="750" operator="containsText" text="CMS">
      <formula>NOT(ISERROR(SEARCH("CMS",G19)))</formula>
    </cfRule>
    <cfRule type="cellIs" dxfId="22269" priority="751" operator="equal">
      <formula>0</formula>
    </cfRule>
    <cfRule type="cellIs" dxfId="22268" priority="752" operator="greaterThan">
      <formula>0</formula>
    </cfRule>
    <cfRule type="cellIs" dxfId="22267" priority="753" operator="equal">
      <formula>"PMS"</formula>
    </cfRule>
    <cfRule type="containsText" dxfId="22266" priority="754" operator="containsText" text="CMS">
      <formula>NOT(ISERROR(SEARCH("CMS",G19)))</formula>
    </cfRule>
    <cfRule type="cellIs" dxfId="22265" priority="755" operator="equal">
      <formula>0</formula>
    </cfRule>
    <cfRule type="cellIs" dxfId="22264" priority="756" operator="greaterThan">
      <formula>0</formula>
    </cfRule>
  </conditionalFormatting>
  <conditionalFormatting sqref="G19 I19">
    <cfRule type="cellIs" dxfId="22263" priority="745" operator="equal">
      <formula>"PMS"</formula>
    </cfRule>
    <cfRule type="containsText" dxfId="22262" priority="746" operator="containsText" text="CMS">
      <formula>NOT(ISERROR(SEARCH("CMS",G19)))</formula>
    </cfRule>
    <cfRule type="cellIs" dxfId="22261" priority="747" operator="equal">
      <formula>0</formula>
    </cfRule>
    <cfRule type="cellIs" dxfId="22260" priority="748" operator="greaterThan">
      <formula>0</formula>
    </cfRule>
  </conditionalFormatting>
  <conditionalFormatting sqref="G19 I19">
    <cfRule type="cellIs" dxfId="22259" priority="741" operator="equal">
      <formula>"PMS"</formula>
    </cfRule>
    <cfRule type="containsText" dxfId="22258" priority="742" operator="containsText" text="CMS">
      <formula>NOT(ISERROR(SEARCH("CMS",G19)))</formula>
    </cfRule>
    <cfRule type="cellIs" dxfId="22257" priority="743" operator="equal">
      <formula>0</formula>
    </cfRule>
    <cfRule type="cellIs" dxfId="22256" priority="744" operator="greaterThan">
      <formula>0</formula>
    </cfRule>
  </conditionalFormatting>
  <conditionalFormatting sqref="O55">
    <cfRule type="cellIs" dxfId="22255" priority="737" operator="equal">
      <formula>"PMS"</formula>
    </cfRule>
    <cfRule type="containsText" dxfId="22254" priority="738" operator="containsText" text="CMS">
      <formula>NOT(ISERROR(SEARCH("CMS",O55)))</formula>
    </cfRule>
    <cfRule type="cellIs" dxfId="22253" priority="739" operator="equal">
      <formula>0</formula>
    </cfRule>
    <cfRule type="cellIs" dxfId="22252" priority="740" operator="greaterThan">
      <formula>0</formula>
    </cfRule>
  </conditionalFormatting>
  <conditionalFormatting sqref="K62">
    <cfRule type="cellIs" dxfId="22251" priority="729" operator="equal">
      <formula>"PMS"</formula>
    </cfRule>
    <cfRule type="containsText" dxfId="22250" priority="730" operator="containsText" text="CMS">
      <formula>NOT(ISERROR(SEARCH("CMS",K62)))</formula>
    </cfRule>
    <cfRule type="cellIs" dxfId="22249" priority="731" operator="equal">
      <formula>0</formula>
    </cfRule>
    <cfRule type="cellIs" dxfId="22248" priority="732" operator="greaterThan">
      <formula>0</formula>
    </cfRule>
    <cfRule type="cellIs" dxfId="22247" priority="733" operator="equal">
      <formula>"PMS"</formula>
    </cfRule>
    <cfRule type="containsText" dxfId="22246" priority="734" operator="containsText" text="CMS">
      <formula>NOT(ISERROR(SEARCH("CMS",K62)))</formula>
    </cfRule>
    <cfRule type="cellIs" dxfId="22245" priority="735" operator="equal">
      <formula>0</formula>
    </cfRule>
    <cfRule type="cellIs" dxfId="22244" priority="736" operator="greaterThan">
      <formula>0</formula>
    </cfRule>
  </conditionalFormatting>
  <conditionalFormatting sqref="O47:P47">
    <cfRule type="cellIs" dxfId="22243" priority="725" operator="equal">
      <formula>"PMS"</formula>
    </cfRule>
    <cfRule type="containsText" dxfId="22242" priority="726" operator="containsText" text="CMS">
      <formula>NOT(ISERROR(SEARCH("CMS",O47)))</formula>
    </cfRule>
    <cfRule type="cellIs" dxfId="22241" priority="727" operator="equal">
      <formula>0</formula>
    </cfRule>
    <cfRule type="cellIs" dxfId="22240" priority="728" operator="greaterThan">
      <formula>0</formula>
    </cfRule>
  </conditionalFormatting>
  <conditionalFormatting sqref="O16:P16">
    <cfRule type="cellIs" dxfId="22239" priority="721" operator="equal">
      <formula>"PMS"</formula>
    </cfRule>
    <cfRule type="containsText" dxfId="22238" priority="722" operator="containsText" text="CMS">
      <formula>NOT(ISERROR(SEARCH("CMS",O16)))</formula>
    </cfRule>
    <cfRule type="cellIs" dxfId="22237" priority="723" operator="equal">
      <formula>0</formula>
    </cfRule>
    <cfRule type="cellIs" dxfId="22236" priority="724" operator="greaterThan">
      <formula>0</formula>
    </cfRule>
  </conditionalFormatting>
  <conditionalFormatting sqref="P57">
    <cfRule type="cellIs" dxfId="22235" priority="717" operator="equal">
      <formula>"PMS"</formula>
    </cfRule>
    <cfRule type="containsText" dxfId="22234" priority="718" operator="containsText" text="CMS">
      <formula>NOT(ISERROR(SEARCH("CMS",P57)))</formula>
    </cfRule>
    <cfRule type="cellIs" dxfId="22233" priority="719" operator="equal">
      <formula>0</formula>
    </cfRule>
    <cfRule type="cellIs" dxfId="22232" priority="720" operator="greaterThan">
      <formula>0</formula>
    </cfRule>
  </conditionalFormatting>
  <conditionalFormatting sqref="P57">
    <cfRule type="cellIs" dxfId="22231" priority="713" operator="equal">
      <formula>"PMS"</formula>
    </cfRule>
    <cfRule type="containsText" dxfId="22230" priority="714" operator="containsText" text="CMS">
      <formula>NOT(ISERROR(SEARCH("CMS",P57)))</formula>
    </cfRule>
    <cfRule type="cellIs" dxfId="22229" priority="715" operator="equal">
      <formula>0</formula>
    </cfRule>
    <cfRule type="cellIs" dxfId="22228" priority="716" operator="greaterThan">
      <formula>0</formula>
    </cfRule>
  </conditionalFormatting>
  <conditionalFormatting sqref="P57">
    <cfRule type="cellIs" dxfId="22227" priority="709" operator="equal">
      <formula>"PMS"</formula>
    </cfRule>
    <cfRule type="containsText" dxfId="22226" priority="710" operator="containsText" text="CMS">
      <formula>NOT(ISERROR(SEARCH("CMS",P57)))</formula>
    </cfRule>
    <cfRule type="cellIs" dxfId="22225" priority="711" operator="equal">
      <formula>0</formula>
    </cfRule>
    <cfRule type="cellIs" dxfId="22224" priority="712" operator="greaterThan">
      <formula>0</formula>
    </cfRule>
  </conditionalFormatting>
  <conditionalFormatting sqref="P57:P58">
    <cfRule type="cellIs" dxfId="22223" priority="705" operator="equal">
      <formula>"PMS"</formula>
    </cfRule>
    <cfRule type="containsText" dxfId="22222" priority="706" operator="containsText" text="CMS">
      <formula>NOT(ISERROR(SEARCH("CMS",P57)))</formula>
    </cfRule>
    <cfRule type="cellIs" dxfId="22221" priority="707" operator="equal">
      <formula>0</formula>
    </cfRule>
    <cfRule type="cellIs" dxfId="22220" priority="708" operator="greaterThan">
      <formula>0</formula>
    </cfRule>
  </conditionalFormatting>
  <conditionalFormatting sqref="AB24">
    <cfRule type="cellIs" dxfId="22219" priority="701" operator="equal">
      <formula>"PMS"</formula>
    </cfRule>
    <cfRule type="containsText" dxfId="22218" priority="702" operator="containsText" text="CMS">
      <formula>NOT(ISERROR(SEARCH("CMS",AB24)))</formula>
    </cfRule>
    <cfRule type="cellIs" dxfId="22217" priority="703" operator="equal">
      <formula>0</formula>
    </cfRule>
    <cfRule type="cellIs" dxfId="22216" priority="704" operator="greaterThan">
      <formula>0</formula>
    </cfRule>
  </conditionalFormatting>
  <conditionalFormatting sqref="AB24">
    <cfRule type="cellIs" dxfId="22215" priority="697" operator="equal">
      <formula>"PMS"</formula>
    </cfRule>
    <cfRule type="containsText" dxfId="22214" priority="698" operator="containsText" text="CMS">
      <formula>NOT(ISERROR(SEARCH("CMS",AB24)))</formula>
    </cfRule>
    <cfRule type="cellIs" dxfId="22213" priority="699" operator="equal">
      <formula>0</formula>
    </cfRule>
    <cfRule type="cellIs" dxfId="22212" priority="700" operator="greaterThan">
      <formula>0</formula>
    </cfRule>
  </conditionalFormatting>
  <conditionalFormatting sqref="I29 L29 O29 R29 U29 AA29 X29:Y29">
    <cfRule type="cellIs" dxfId="22211" priority="689" operator="equal">
      <formula>"PMS"</formula>
    </cfRule>
    <cfRule type="containsText" dxfId="22210" priority="690" operator="containsText" text="CMS">
      <formula>NOT(ISERROR(SEARCH("CMS",I29)))</formula>
    </cfRule>
    <cfRule type="cellIs" dxfId="22209" priority="691" operator="equal">
      <formula>0</formula>
    </cfRule>
    <cfRule type="cellIs" dxfId="22208" priority="692" operator="greaterThan">
      <formula>0</formula>
    </cfRule>
    <cfRule type="cellIs" dxfId="22207" priority="693" operator="equal">
      <formula>"PMS"</formula>
    </cfRule>
    <cfRule type="containsText" dxfId="22206" priority="694" operator="containsText" text="CMS">
      <formula>NOT(ISERROR(SEARCH("CMS",I29)))</formula>
    </cfRule>
    <cfRule type="cellIs" dxfId="22205" priority="695" operator="equal">
      <formula>0</formula>
    </cfRule>
    <cfRule type="cellIs" dxfId="22204" priority="696" operator="greaterThan">
      <formula>0</formula>
    </cfRule>
  </conditionalFormatting>
  <conditionalFormatting sqref="I29 L29 O29 R29 U29 AA29 X29:Y29">
    <cfRule type="cellIs" dxfId="22203" priority="685" operator="equal">
      <formula>"PMS"</formula>
    </cfRule>
    <cfRule type="containsText" dxfId="22202" priority="686" operator="containsText" text="CMS">
      <formula>NOT(ISERROR(SEARCH("CMS",I29)))</formula>
    </cfRule>
    <cfRule type="cellIs" dxfId="22201" priority="687" operator="equal">
      <formula>0</formula>
    </cfRule>
    <cfRule type="cellIs" dxfId="22200" priority="688" operator="greaterThan">
      <formula>0</formula>
    </cfRule>
  </conditionalFormatting>
  <conditionalFormatting sqref="I29 L29 O29 R29 U29 AA29 X29:Y29">
    <cfRule type="cellIs" dxfId="22199" priority="681" operator="equal">
      <formula>"PMS"</formula>
    </cfRule>
    <cfRule type="containsText" dxfId="22198" priority="682" operator="containsText" text="CMS">
      <formula>NOT(ISERROR(SEARCH("CMS",I29)))</formula>
    </cfRule>
    <cfRule type="cellIs" dxfId="22197" priority="683" operator="equal">
      <formula>0</formula>
    </cfRule>
    <cfRule type="cellIs" dxfId="22196" priority="684" operator="greaterThan">
      <formula>0</formula>
    </cfRule>
  </conditionalFormatting>
  <conditionalFormatting sqref="K29 N29 Q29 T29 W29 Z29 AC29">
    <cfRule type="cellIs" dxfId="22195" priority="673" operator="equal">
      <formula>"PMS"</formula>
    </cfRule>
    <cfRule type="containsText" dxfId="22194" priority="674" operator="containsText" text="CMS">
      <formula>NOT(ISERROR(SEARCH("CMS",K29)))</formula>
    </cfRule>
    <cfRule type="cellIs" dxfId="22193" priority="675" operator="equal">
      <formula>0</formula>
    </cfRule>
    <cfRule type="cellIs" dxfId="22192" priority="676" operator="greaterThan">
      <formula>0</formula>
    </cfRule>
    <cfRule type="cellIs" dxfId="22191" priority="677" operator="equal">
      <formula>"PMS"</formula>
    </cfRule>
    <cfRule type="containsText" dxfId="22190" priority="678" operator="containsText" text="CMS">
      <formula>NOT(ISERROR(SEARCH("CMS",K29)))</formula>
    </cfRule>
    <cfRule type="cellIs" dxfId="22189" priority="679" operator="equal">
      <formula>0</formula>
    </cfRule>
    <cfRule type="cellIs" dxfId="22188" priority="680" operator="greaterThan">
      <formula>0</formula>
    </cfRule>
  </conditionalFormatting>
  <conditionalFormatting sqref="G81:AC81">
    <cfRule type="cellIs" dxfId="22187" priority="665" operator="equal">
      <formula>"PMS"</formula>
    </cfRule>
    <cfRule type="containsText" dxfId="22186" priority="666" operator="containsText" text="CMS">
      <formula>NOT(ISERROR(SEARCH("CMS",G81)))</formula>
    </cfRule>
    <cfRule type="cellIs" dxfId="22185" priority="667" operator="equal">
      <formula>0</formula>
    </cfRule>
    <cfRule type="cellIs" dxfId="22184" priority="668" operator="greaterThan">
      <formula>0</formula>
    </cfRule>
    <cfRule type="cellIs" dxfId="22183" priority="669" operator="equal">
      <formula>"PMS"</formula>
    </cfRule>
    <cfRule type="containsText" dxfId="22182" priority="670" operator="containsText" text="CMS">
      <formula>NOT(ISERROR(SEARCH("CMS",G81)))</formula>
    </cfRule>
    <cfRule type="cellIs" dxfId="22181" priority="671" operator="equal">
      <formula>0</formula>
    </cfRule>
    <cfRule type="cellIs" dxfId="22180" priority="672" operator="greaterThan">
      <formula>0</formula>
    </cfRule>
  </conditionalFormatting>
  <conditionalFormatting sqref="G81:AC81">
    <cfRule type="cellIs" dxfId="22179" priority="661" operator="equal">
      <formula>"PMS"</formula>
    </cfRule>
    <cfRule type="containsText" dxfId="22178" priority="662" operator="containsText" text="CMS">
      <formula>NOT(ISERROR(SEARCH("CMS",G81)))</formula>
    </cfRule>
    <cfRule type="cellIs" dxfId="22177" priority="663" operator="equal">
      <formula>0</formula>
    </cfRule>
    <cfRule type="cellIs" dxfId="22176" priority="664" operator="greaterThan">
      <formula>0</formula>
    </cfRule>
  </conditionalFormatting>
  <conditionalFormatting sqref="G51:G52 I51:M52">
    <cfRule type="cellIs" dxfId="22175" priority="653" operator="equal">
      <formula>"PMS"</formula>
    </cfRule>
    <cfRule type="containsText" dxfId="22174" priority="654" operator="containsText" text="CMS">
      <formula>NOT(ISERROR(SEARCH("CMS",G51)))</formula>
    </cfRule>
    <cfRule type="cellIs" dxfId="22173" priority="655" operator="equal">
      <formula>0</formula>
    </cfRule>
    <cfRule type="cellIs" dxfId="22172" priority="656" operator="greaterThan">
      <formula>0</formula>
    </cfRule>
    <cfRule type="cellIs" dxfId="22171" priority="657" operator="equal">
      <formula>"PMS"</formula>
    </cfRule>
    <cfRule type="containsText" dxfId="22170" priority="658" operator="containsText" text="CMS">
      <formula>NOT(ISERROR(SEARCH("CMS",G51)))</formula>
    </cfRule>
    <cfRule type="cellIs" dxfId="22169" priority="659" operator="equal">
      <formula>0</formula>
    </cfRule>
    <cfRule type="cellIs" dxfId="22168" priority="660" operator="greaterThan">
      <formula>0</formula>
    </cfRule>
  </conditionalFormatting>
  <conditionalFormatting sqref="G51:G52 I51:M52">
    <cfRule type="cellIs" dxfId="22167" priority="649" operator="equal">
      <formula>"PMS"</formula>
    </cfRule>
    <cfRule type="containsText" dxfId="22166" priority="650" operator="containsText" text="CMS">
      <formula>NOT(ISERROR(SEARCH("CMS",G51)))</formula>
    </cfRule>
    <cfRule type="cellIs" dxfId="22165" priority="651" operator="equal">
      <formula>0</formula>
    </cfRule>
    <cfRule type="cellIs" dxfId="22164" priority="652" operator="greaterThan">
      <formula>0</formula>
    </cfRule>
  </conditionalFormatting>
  <conditionalFormatting sqref="G51:G52 I51:M52">
    <cfRule type="cellIs" dxfId="22163" priority="645" operator="equal">
      <formula>"PMS"</formula>
    </cfRule>
    <cfRule type="containsText" dxfId="22162" priority="646" operator="containsText" text="CMS">
      <formula>NOT(ISERROR(SEARCH("CMS",G51)))</formula>
    </cfRule>
    <cfRule type="cellIs" dxfId="22161" priority="647" operator="equal">
      <formula>0</formula>
    </cfRule>
    <cfRule type="cellIs" dxfId="22160" priority="648" operator="greaterThan">
      <formula>0</formula>
    </cfRule>
  </conditionalFormatting>
  <conditionalFormatting sqref="G57:G58">
    <cfRule type="cellIs" dxfId="22159" priority="637" operator="equal">
      <formula>"PMS"</formula>
    </cfRule>
    <cfRule type="containsText" dxfId="22158" priority="638" operator="containsText" text="CMS">
      <formula>NOT(ISERROR(SEARCH("CMS",G57)))</formula>
    </cfRule>
    <cfRule type="cellIs" dxfId="22157" priority="639" operator="equal">
      <formula>0</formula>
    </cfRule>
    <cfRule type="cellIs" dxfId="22156" priority="640" operator="greaterThan">
      <formula>0</formula>
    </cfRule>
    <cfRule type="cellIs" dxfId="22155" priority="641" operator="equal">
      <formula>"PMS"</formula>
    </cfRule>
    <cfRule type="containsText" dxfId="22154" priority="642" operator="containsText" text="CMS">
      <formula>NOT(ISERROR(SEARCH("CMS",G57)))</formula>
    </cfRule>
    <cfRule type="cellIs" dxfId="22153" priority="643" operator="equal">
      <formula>0</formula>
    </cfRule>
    <cfRule type="cellIs" dxfId="22152" priority="644" operator="greaterThan">
      <formula>0</formula>
    </cfRule>
  </conditionalFormatting>
  <conditionalFormatting sqref="G57:G58">
    <cfRule type="cellIs" dxfId="22151" priority="633" operator="equal">
      <formula>"PMS"</formula>
    </cfRule>
    <cfRule type="containsText" dxfId="22150" priority="634" operator="containsText" text="CMS">
      <formula>NOT(ISERROR(SEARCH("CMS",G57)))</formula>
    </cfRule>
    <cfRule type="cellIs" dxfId="22149" priority="635" operator="equal">
      <formula>0</formula>
    </cfRule>
    <cfRule type="cellIs" dxfId="22148" priority="636" operator="greaterThan">
      <formula>0</formula>
    </cfRule>
  </conditionalFormatting>
  <conditionalFormatting sqref="G57:G58">
    <cfRule type="cellIs" dxfId="22147" priority="629" operator="equal">
      <formula>"PMS"</formula>
    </cfRule>
    <cfRule type="containsText" dxfId="22146" priority="630" operator="containsText" text="CMS">
      <formula>NOT(ISERROR(SEARCH("CMS",G57)))</formula>
    </cfRule>
    <cfRule type="cellIs" dxfId="22145" priority="631" operator="equal">
      <formula>0</formula>
    </cfRule>
    <cfRule type="cellIs" dxfId="22144" priority="632" operator="greaterThan">
      <formula>0</formula>
    </cfRule>
  </conditionalFormatting>
  <conditionalFormatting sqref="G32 I32:AC32">
    <cfRule type="cellIs" dxfId="22143" priority="621" operator="equal">
      <formula>"PMS"</formula>
    </cfRule>
    <cfRule type="containsText" dxfId="22142" priority="622" operator="containsText" text="CMS">
      <formula>NOT(ISERROR(SEARCH("CMS",G32)))</formula>
    </cfRule>
    <cfRule type="cellIs" dxfId="22141" priority="623" operator="equal">
      <formula>0</formula>
    </cfRule>
    <cfRule type="cellIs" dxfId="22140" priority="624" operator="greaterThan">
      <formula>0</formula>
    </cfRule>
    <cfRule type="cellIs" dxfId="22139" priority="625" operator="equal">
      <formula>"PMS"</formula>
    </cfRule>
    <cfRule type="containsText" dxfId="22138" priority="626" operator="containsText" text="CMS">
      <formula>NOT(ISERROR(SEARCH("CMS",G32)))</formula>
    </cfRule>
    <cfRule type="cellIs" dxfId="22137" priority="627" operator="equal">
      <formula>0</formula>
    </cfRule>
    <cfRule type="cellIs" dxfId="22136" priority="628" operator="greaterThan">
      <formula>0</formula>
    </cfRule>
  </conditionalFormatting>
  <conditionalFormatting sqref="G32 I32:AC32">
    <cfRule type="cellIs" dxfId="22135" priority="617" operator="equal">
      <formula>"PMS"</formula>
    </cfRule>
    <cfRule type="containsText" dxfId="22134" priority="618" operator="containsText" text="CMS">
      <formula>NOT(ISERROR(SEARCH("CMS",G32)))</formula>
    </cfRule>
    <cfRule type="cellIs" dxfId="22133" priority="619" operator="equal">
      <formula>0</formula>
    </cfRule>
    <cfRule type="cellIs" dxfId="22132" priority="620" operator="greaterThan">
      <formula>0</formula>
    </cfRule>
  </conditionalFormatting>
  <conditionalFormatting sqref="G32 I32:AC32">
    <cfRule type="cellIs" dxfId="22131" priority="613" operator="equal">
      <formula>"PMS"</formula>
    </cfRule>
    <cfRule type="containsText" dxfId="22130" priority="614" operator="containsText" text="CMS">
      <formula>NOT(ISERROR(SEARCH("CMS",G32)))</formula>
    </cfRule>
    <cfRule type="cellIs" dxfId="22129" priority="615" operator="equal">
      <formula>0</formula>
    </cfRule>
    <cfRule type="cellIs" dxfId="22128" priority="616" operator="greaterThan">
      <formula>0</formula>
    </cfRule>
  </conditionalFormatting>
  <conditionalFormatting sqref="F81">
    <cfRule type="cellIs" dxfId="22127" priority="605" operator="equal">
      <formula>"PMS"</formula>
    </cfRule>
    <cfRule type="containsText" dxfId="22126" priority="606" operator="containsText" text="CMS">
      <formula>NOT(ISERROR(SEARCH("CMS",F81)))</formula>
    </cfRule>
    <cfRule type="cellIs" dxfId="22125" priority="607" operator="equal">
      <formula>0</formula>
    </cfRule>
    <cfRule type="cellIs" dxfId="22124" priority="608" operator="greaterThan">
      <formula>0</formula>
    </cfRule>
    <cfRule type="cellIs" dxfId="22123" priority="609" operator="equal">
      <formula>"PMS"</formula>
    </cfRule>
    <cfRule type="containsText" dxfId="22122" priority="610" operator="containsText" text="CMS">
      <formula>NOT(ISERROR(SEARCH("CMS",F81)))</formula>
    </cfRule>
    <cfRule type="cellIs" dxfId="22121" priority="611" operator="equal">
      <formula>0</formula>
    </cfRule>
    <cfRule type="cellIs" dxfId="22120" priority="612" operator="greaterThan">
      <formula>0</formula>
    </cfRule>
  </conditionalFormatting>
  <conditionalFormatting sqref="F81">
    <cfRule type="cellIs" dxfId="22119" priority="601" operator="equal">
      <formula>"PMS"</formula>
    </cfRule>
    <cfRule type="containsText" dxfId="22118" priority="602" operator="containsText" text="CMS">
      <formula>NOT(ISERROR(SEARCH("CMS",F81)))</formula>
    </cfRule>
    <cfRule type="cellIs" dxfId="22117" priority="603" operator="equal">
      <formula>0</formula>
    </cfRule>
    <cfRule type="cellIs" dxfId="22116" priority="604" operator="greaterThan">
      <formula>0</formula>
    </cfRule>
  </conditionalFormatting>
  <conditionalFormatting sqref="H13:H16">
    <cfRule type="cellIs" dxfId="22115" priority="593" operator="equal">
      <formula>"PMS"</formula>
    </cfRule>
    <cfRule type="containsText" dxfId="22114" priority="594" operator="containsText" text="CMS">
      <formula>NOT(ISERROR(SEARCH("CMS",H13)))</formula>
    </cfRule>
    <cfRule type="cellIs" dxfId="22113" priority="595" operator="equal">
      <formula>0</formula>
    </cfRule>
    <cfRule type="cellIs" dxfId="22112" priority="596" operator="greaterThan">
      <formula>0</formula>
    </cfRule>
    <cfRule type="cellIs" dxfId="22111" priority="597" operator="equal">
      <formula>"PMS"</formula>
    </cfRule>
    <cfRule type="containsText" dxfId="22110" priority="598" operator="containsText" text="CMS">
      <formula>NOT(ISERROR(SEARCH("CMS",H13)))</formula>
    </cfRule>
    <cfRule type="cellIs" dxfId="22109" priority="599" operator="equal">
      <formula>0</formula>
    </cfRule>
    <cfRule type="cellIs" dxfId="22108" priority="600" operator="greaterThan">
      <formula>0</formula>
    </cfRule>
  </conditionalFormatting>
  <conditionalFormatting sqref="H13:H16">
    <cfRule type="cellIs" dxfId="22107" priority="589" operator="equal">
      <formula>"PMS"</formula>
    </cfRule>
    <cfRule type="containsText" dxfId="22106" priority="590" operator="containsText" text="CMS">
      <formula>NOT(ISERROR(SEARCH("CMS",H13)))</formula>
    </cfRule>
    <cfRule type="cellIs" dxfId="22105" priority="591" operator="equal">
      <formula>0</formula>
    </cfRule>
    <cfRule type="cellIs" dxfId="22104" priority="592" operator="greaterThan">
      <formula>0</formula>
    </cfRule>
  </conditionalFormatting>
  <conditionalFormatting sqref="H13:H16">
    <cfRule type="cellIs" dxfId="22103" priority="585" operator="equal">
      <formula>"PMS"</formula>
    </cfRule>
    <cfRule type="containsText" dxfId="22102" priority="586" operator="containsText" text="CMS">
      <formula>NOT(ISERROR(SEARCH("CMS",H13)))</formula>
    </cfRule>
    <cfRule type="cellIs" dxfId="22101" priority="587" operator="equal">
      <formula>0</formula>
    </cfRule>
    <cfRule type="cellIs" dxfId="22100" priority="588" operator="greaterThan">
      <formula>0</formula>
    </cfRule>
  </conditionalFormatting>
  <conditionalFormatting sqref="H13">
    <cfRule type="cellIs" dxfId="22099" priority="581" operator="equal">
      <formula>"PMS"</formula>
    </cfRule>
    <cfRule type="containsText" dxfId="22098" priority="582" operator="containsText" text="CMS">
      <formula>NOT(ISERROR(SEARCH("CMS",H13)))</formula>
    </cfRule>
    <cfRule type="cellIs" dxfId="22097" priority="583" operator="equal">
      <formula>0</formula>
    </cfRule>
    <cfRule type="cellIs" dxfId="22096" priority="584" operator="greaterThan">
      <formula>0</formula>
    </cfRule>
  </conditionalFormatting>
  <conditionalFormatting sqref="H13">
    <cfRule type="cellIs" dxfId="22095" priority="577" operator="equal">
      <formula>"PMS"</formula>
    </cfRule>
    <cfRule type="containsText" dxfId="22094" priority="578" operator="containsText" text="CMS">
      <formula>NOT(ISERROR(SEARCH("CMS",H13)))</formula>
    </cfRule>
    <cfRule type="cellIs" dxfId="22093" priority="579" operator="equal">
      <formula>0</formula>
    </cfRule>
    <cfRule type="cellIs" dxfId="22092" priority="580" operator="greaterThan">
      <formula>0</formula>
    </cfRule>
  </conditionalFormatting>
  <conditionalFormatting sqref="H20:H21">
    <cfRule type="cellIs" dxfId="22091" priority="569" operator="equal">
      <formula>"PMS"</formula>
    </cfRule>
    <cfRule type="containsText" dxfId="22090" priority="570" operator="containsText" text="CMS">
      <formula>NOT(ISERROR(SEARCH("CMS",H20)))</formula>
    </cfRule>
    <cfRule type="cellIs" dxfId="22089" priority="571" operator="equal">
      <formula>0</formula>
    </cfRule>
    <cfRule type="cellIs" dxfId="22088" priority="572" operator="greaterThan">
      <formula>0</formula>
    </cfRule>
    <cfRule type="cellIs" dxfId="22087" priority="573" operator="equal">
      <formula>"PMS"</formula>
    </cfRule>
    <cfRule type="containsText" dxfId="22086" priority="574" operator="containsText" text="CMS">
      <formula>NOT(ISERROR(SEARCH("CMS",H20)))</formula>
    </cfRule>
    <cfRule type="cellIs" dxfId="22085" priority="575" operator="equal">
      <formula>0</formula>
    </cfRule>
    <cfRule type="cellIs" dxfId="22084" priority="576" operator="greaterThan">
      <formula>0</formula>
    </cfRule>
  </conditionalFormatting>
  <conditionalFormatting sqref="H20:H21">
    <cfRule type="cellIs" dxfId="22083" priority="565" operator="equal">
      <formula>"PMS"</formula>
    </cfRule>
    <cfRule type="containsText" dxfId="22082" priority="566" operator="containsText" text="CMS">
      <formula>NOT(ISERROR(SEARCH("CMS",H20)))</formula>
    </cfRule>
    <cfRule type="cellIs" dxfId="22081" priority="567" operator="equal">
      <formula>0</formula>
    </cfRule>
    <cfRule type="cellIs" dxfId="22080" priority="568" operator="greaterThan">
      <formula>0</formula>
    </cfRule>
  </conditionalFormatting>
  <conditionalFormatting sqref="H20:H21">
    <cfRule type="cellIs" dxfId="22079" priority="561" operator="equal">
      <formula>"PMS"</formula>
    </cfRule>
    <cfRule type="containsText" dxfId="22078" priority="562" operator="containsText" text="CMS">
      <formula>NOT(ISERROR(SEARCH("CMS",H20)))</formula>
    </cfRule>
    <cfRule type="cellIs" dxfId="22077" priority="563" operator="equal">
      <formula>0</formula>
    </cfRule>
    <cfRule type="cellIs" dxfId="22076" priority="564" operator="greaterThan">
      <formula>0</formula>
    </cfRule>
  </conditionalFormatting>
  <conditionalFormatting sqref="H19">
    <cfRule type="cellIs" dxfId="22075" priority="557" operator="equal">
      <formula>"CMS"</formula>
    </cfRule>
    <cfRule type="cellIs" dxfId="22074" priority="558" operator="equal">
      <formula>"PMS"</formula>
    </cfRule>
    <cfRule type="cellIs" dxfId="22073" priority="559" operator="greaterThan">
      <formula>0</formula>
    </cfRule>
    <cfRule type="cellIs" dxfId="22072" priority="560" operator="equal">
      <formula>0</formula>
    </cfRule>
  </conditionalFormatting>
  <conditionalFormatting sqref="H24">
    <cfRule type="cellIs" dxfId="22071" priority="549" operator="equal">
      <formula>"PMS"</formula>
    </cfRule>
    <cfRule type="containsText" dxfId="22070" priority="550" operator="containsText" text="CMS">
      <formula>NOT(ISERROR(SEARCH("CMS",H24)))</formula>
    </cfRule>
    <cfRule type="cellIs" dxfId="22069" priority="551" operator="equal">
      <formula>0</formula>
    </cfRule>
    <cfRule type="cellIs" dxfId="22068" priority="552" operator="greaterThan">
      <formula>0</formula>
    </cfRule>
    <cfRule type="cellIs" dxfId="22067" priority="553" operator="equal">
      <formula>"PMS"</formula>
    </cfRule>
    <cfRule type="containsText" dxfId="22066" priority="554" operator="containsText" text="CMS">
      <formula>NOT(ISERROR(SEARCH("CMS",H24)))</formula>
    </cfRule>
    <cfRule type="cellIs" dxfId="22065" priority="555" operator="equal">
      <formula>0</formula>
    </cfRule>
    <cfRule type="cellIs" dxfId="22064" priority="556" operator="greaterThan">
      <formula>0</formula>
    </cfRule>
  </conditionalFormatting>
  <conditionalFormatting sqref="H24">
    <cfRule type="cellIs" dxfId="22063" priority="545" operator="equal">
      <formula>"PMS"</formula>
    </cfRule>
    <cfRule type="containsText" dxfId="22062" priority="546" operator="containsText" text="CMS">
      <formula>NOT(ISERROR(SEARCH("CMS",H24)))</formula>
    </cfRule>
    <cfRule type="cellIs" dxfId="22061" priority="547" operator="equal">
      <formula>0</formula>
    </cfRule>
    <cfRule type="cellIs" dxfId="22060" priority="548" operator="greaterThan">
      <formula>0</formula>
    </cfRule>
  </conditionalFormatting>
  <conditionalFormatting sqref="H24">
    <cfRule type="cellIs" dxfId="22059" priority="541" operator="equal">
      <formula>"PMS"</formula>
    </cfRule>
    <cfRule type="containsText" dxfId="22058" priority="542" operator="containsText" text="CMS">
      <formula>NOT(ISERROR(SEARCH("CMS",H24)))</formula>
    </cfRule>
    <cfRule type="cellIs" dxfId="22057" priority="543" operator="equal">
      <formula>0</formula>
    </cfRule>
    <cfRule type="cellIs" dxfId="22056" priority="544" operator="greaterThan">
      <formula>0</formula>
    </cfRule>
  </conditionalFormatting>
  <conditionalFormatting sqref="H27:H28">
    <cfRule type="cellIs" dxfId="22055" priority="533" operator="equal">
      <formula>"PMS"</formula>
    </cfRule>
    <cfRule type="containsText" dxfId="22054" priority="534" operator="containsText" text="CMS">
      <formula>NOT(ISERROR(SEARCH("CMS",H27)))</formula>
    </cfRule>
    <cfRule type="cellIs" dxfId="22053" priority="535" operator="equal">
      <formula>0</formula>
    </cfRule>
    <cfRule type="cellIs" dxfId="22052" priority="536" operator="greaterThan">
      <formula>0</formula>
    </cfRule>
    <cfRule type="cellIs" dxfId="22051" priority="537" operator="equal">
      <formula>"PMS"</formula>
    </cfRule>
    <cfRule type="containsText" dxfId="22050" priority="538" operator="containsText" text="CMS">
      <formula>NOT(ISERROR(SEARCH("CMS",H27)))</formula>
    </cfRule>
    <cfRule type="cellIs" dxfId="22049" priority="539" operator="equal">
      <formula>0</formula>
    </cfRule>
    <cfRule type="cellIs" dxfId="22048" priority="540" operator="greaterThan">
      <formula>0</formula>
    </cfRule>
  </conditionalFormatting>
  <conditionalFormatting sqref="H27:H28">
    <cfRule type="cellIs" dxfId="22047" priority="529" operator="equal">
      <formula>"PMS"</formula>
    </cfRule>
    <cfRule type="containsText" dxfId="22046" priority="530" operator="containsText" text="CMS">
      <formula>NOT(ISERROR(SEARCH("CMS",H27)))</formula>
    </cfRule>
    <cfRule type="cellIs" dxfId="22045" priority="531" operator="equal">
      <formula>0</formula>
    </cfRule>
    <cfRule type="cellIs" dxfId="22044" priority="532" operator="greaterThan">
      <formula>0</formula>
    </cfRule>
  </conditionalFormatting>
  <conditionalFormatting sqref="H27:H28">
    <cfRule type="cellIs" dxfId="22043" priority="525" operator="equal">
      <formula>"PMS"</formula>
    </cfRule>
    <cfRule type="containsText" dxfId="22042" priority="526" operator="containsText" text="CMS">
      <formula>NOT(ISERROR(SEARCH("CMS",H27)))</formula>
    </cfRule>
    <cfRule type="cellIs" dxfId="22041" priority="527" operator="equal">
      <formula>0</formula>
    </cfRule>
    <cfRule type="cellIs" dxfId="22040" priority="528" operator="greaterThan">
      <formula>0</formula>
    </cfRule>
  </conditionalFormatting>
  <conditionalFormatting sqref="H29">
    <cfRule type="cellIs" dxfId="22039" priority="517" operator="equal">
      <formula>"PMS"</formula>
    </cfRule>
    <cfRule type="containsText" dxfId="22038" priority="518" operator="containsText" text="CMS">
      <formula>NOT(ISERROR(SEARCH("CMS",H29)))</formula>
    </cfRule>
    <cfRule type="cellIs" dxfId="22037" priority="519" operator="equal">
      <formula>0</formula>
    </cfRule>
    <cfRule type="cellIs" dxfId="22036" priority="520" operator="greaterThan">
      <formula>0</formula>
    </cfRule>
    <cfRule type="cellIs" dxfId="22035" priority="521" operator="equal">
      <formula>"PMS"</formula>
    </cfRule>
    <cfRule type="containsText" dxfId="22034" priority="522" operator="containsText" text="CMS">
      <formula>NOT(ISERROR(SEARCH("CMS",H29)))</formula>
    </cfRule>
    <cfRule type="cellIs" dxfId="22033" priority="523" operator="equal">
      <formula>0</formula>
    </cfRule>
    <cfRule type="cellIs" dxfId="22032" priority="524" operator="greaterThan">
      <formula>0</formula>
    </cfRule>
  </conditionalFormatting>
  <conditionalFormatting sqref="H32">
    <cfRule type="cellIs" dxfId="22031" priority="509" operator="equal">
      <formula>"PMS"</formula>
    </cfRule>
    <cfRule type="containsText" dxfId="22030" priority="510" operator="containsText" text="CMS">
      <formula>NOT(ISERROR(SEARCH("CMS",H32)))</formula>
    </cfRule>
    <cfRule type="cellIs" dxfId="22029" priority="511" operator="equal">
      <formula>0</formula>
    </cfRule>
    <cfRule type="cellIs" dxfId="22028" priority="512" operator="greaterThan">
      <formula>0</formula>
    </cfRule>
    <cfRule type="cellIs" dxfId="22027" priority="513" operator="equal">
      <formula>"PMS"</formula>
    </cfRule>
    <cfRule type="containsText" dxfId="22026" priority="514" operator="containsText" text="CMS">
      <formula>NOT(ISERROR(SEARCH("CMS",H32)))</formula>
    </cfRule>
    <cfRule type="cellIs" dxfId="22025" priority="515" operator="equal">
      <formula>0</formula>
    </cfRule>
    <cfRule type="cellIs" dxfId="22024" priority="516" operator="greaterThan">
      <formula>0</formula>
    </cfRule>
  </conditionalFormatting>
  <conditionalFormatting sqref="H32">
    <cfRule type="cellIs" dxfId="22023" priority="505" operator="equal">
      <formula>"PMS"</formula>
    </cfRule>
    <cfRule type="containsText" dxfId="22022" priority="506" operator="containsText" text="CMS">
      <formula>NOT(ISERROR(SEARCH("CMS",H32)))</formula>
    </cfRule>
    <cfRule type="cellIs" dxfId="22021" priority="507" operator="equal">
      <formula>0</formula>
    </cfRule>
    <cfRule type="cellIs" dxfId="22020" priority="508" operator="greaterThan">
      <formula>0</formula>
    </cfRule>
  </conditionalFormatting>
  <conditionalFormatting sqref="H32">
    <cfRule type="cellIs" dxfId="22019" priority="501" operator="equal">
      <formula>"PMS"</formula>
    </cfRule>
    <cfRule type="containsText" dxfId="22018" priority="502" operator="containsText" text="CMS">
      <formula>NOT(ISERROR(SEARCH("CMS",H32)))</formula>
    </cfRule>
    <cfRule type="cellIs" dxfId="22017" priority="503" operator="equal">
      <formula>0</formula>
    </cfRule>
    <cfRule type="cellIs" dxfId="22016" priority="504" operator="greaterThan">
      <formula>0</formula>
    </cfRule>
  </conditionalFormatting>
  <conditionalFormatting sqref="H35:H58">
    <cfRule type="cellIs" dxfId="22015" priority="493" operator="equal">
      <formula>"PMS"</formula>
    </cfRule>
    <cfRule type="containsText" dxfId="22014" priority="494" operator="containsText" text="CMS">
      <formula>NOT(ISERROR(SEARCH("CMS",H35)))</formula>
    </cfRule>
    <cfRule type="cellIs" dxfId="22013" priority="495" operator="equal">
      <formula>0</formula>
    </cfRule>
    <cfRule type="cellIs" dxfId="22012" priority="496" operator="greaterThan">
      <formula>0</formula>
    </cfRule>
    <cfRule type="cellIs" dxfId="22011" priority="497" operator="equal">
      <formula>"PMS"</formula>
    </cfRule>
    <cfRule type="containsText" dxfId="22010" priority="498" operator="containsText" text="CMS">
      <formula>NOT(ISERROR(SEARCH("CMS",H35)))</formula>
    </cfRule>
    <cfRule type="cellIs" dxfId="22009" priority="499" operator="equal">
      <formula>0</formula>
    </cfRule>
    <cfRule type="cellIs" dxfId="22008" priority="500" operator="greaterThan">
      <formula>0</formula>
    </cfRule>
  </conditionalFormatting>
  <conditionalFormatting sqref="H35:H58">
    <cfRule type="cellIs" dxfId="22007" priority="489" operator="equal">
      <formula>"PMS"</formula>
    </cfRule>
    <cfRule type="containsText" dxfId="22006" priority="490" operator="containsText" text="CMS">
      <formula>NOT(ISERROR(SEARCH("CMS",H35)))</formula>
    </cfRule>
    <cfRule type="cellIs" dxfId="22005" priority="491" operator="equal">
      <formula>0</formula>
    </cfRule>
    <cfRule type="cellIs" dxfId="22004" priority="492" operator="greaterThan">
      <formula>0</formula>
    </cfRule>
  </conditionalFormatting>
  <conditionalFormatting sqref="H35:H58">
    <cfRule type="cellIs" dxfId="22003" priority="485" operator="equal">
      <formula>"PMS"</formula>
    </cfRule>
    <cfRule type="containsText" dxfId="22002" priority="486" operator="containsText" text="CMS">
      <formula>NOT(ISERROR(SEARCH("CMS",H35)))</formula>
    </cfRule>
    <cfRule type="cellIs" dxfId="22001" priority="487" operator="equal">
      <formula>0</formula>
    </cfRule>
    <cfRule type="cellIs" dxfId="22000" priority="488" operator="greaterThan">
      <formula>0</formula>
    </cfRule>
  </conditionalFormatting>
  <conditionalFormatting sqref="H57">
    <cfRule type="cellIs" dxfId="21999" priority="481" operator="equal">
      <formula>"PMS"</formula>
    </cfRule>
    <cfRule type="containsText" dxfId="21998" priority="482" operator="containsText" text="CMS">
      <formula>NOT(ISERROR(SEARCH("CMS",H57)))</formula>
    </cfRule>
    <cfRule type="cellIs" dxfId="21997" priority="483" operator="equal">
      <formula>0</formula>
    </cfRule>
    <cfRule type="cellIs" dxfId="21996" priority="484" operator="greaterThan">
      <formula>0</formula>
    </cfRule>
  </conditionalFormatting>
  <conditionalFormatting sqref="H57">
    <cfRule type="cellIs" dxfId="21995" priority="477" operator="equal">
      <formula>"PMS"</formula>
    </cfRule>
    <cfRule type="containsText" dxfId="21994" priority="478" operator="containsText" text="CMS">
      <formula>NOT(ISERROR(SEARCH("CMS",H57)))</formula>
    </cfRule>
    <cfRule type="cellIs" dxfId="21993" priority="479" operator="equal">
      <formula>0</formula>
    </cfRule>
    <cfRule type="cellIs" dxfId="21992" priority="480" operator="greaterThan">
      <formula>0</formula>
    </cfRule>
  </conditionalFormatting>
  <conditionalFormatting sqref="H57">
    <cfRule type="cellIs" dxfId="21991" priority="473" operator="equal">
      <formula>"PMS"</formula>
    </cfRule>
    <cfRule type="containsText" dxfId="21990" priority="474" operator="containsText" text="CMS">
      <formula>NOT(ISERROR(SEARCH("CMS",H57)))</formula>
    </cfRule>
    <cfRule type="cellIs" dxfId="21989" priority="475" operator="equal">
      <formula>0</formula>
    </cfRule>
    <cfRule type="cellIs" dxfId="21988" priority="476" operator="greaterThan">
      <formula>0</formula>
    </cfRule>
  </conditionalFormatting>
  <conditionalFormatting sqref="H57">
    <cfRule type="cellIs" dxfId="21987" priority="469" operator="equal">
      <formula>"PMS"</formula>
    </cfRule>
    <cfRule type="containsText" dxfId="21986" priority="470" operator="containsText" text="CMS">
      <formula>NOT(ISERROR(SEARCH("CMS",H57)))</formula>
    </cfRule>
    <cfRule type="cellIs" dxfId="21985" priority="471" operator="equal">
      <formula>0</formula>
    </cfRule>
    <cfRule type="cellIs" dxfId="21984" priority="472" operator="greaterThan">
      <formula>0</formula>
    </cfRule>
  </conditionalFormatting>
  <conditionalFormatting sqref="H58">
    <cfRule type="cellIs" dxfId="21983" priority="465" operator="equal">
      <formula>"PMS"</formula>
    </cfRule>
    <cfRule type="containsText" dxfId="21982" priority="466" operator="containsText" text="CMS">
      <formula>NOT(ISERROR(SEARCH("CMS",H58)))</formula>
    </cfRule>
    <cfRule type="cellIs" dxfId="21981" priority="467" operator="equal">
      <formula>0</formula>
    </cfRule>
    <cfRule type="cellIs" dxfId="21980" priority="468" operator="greaterThan">
      <formula>0</formula>
    </cfRule>
  </conditionalFormatting>
  <conditionalFormatting sqref="H58">
    <cfRule type="cellIs" dxfId="21979" priority="461" operator="equal">
      <formula>"PMS"</formula>
    </cfRule>
    <cfRule type="containsText" dxfId="21978" priority="462" operator="containsText" text="CMS">
      <formula>NOT(ISERROR(SEARCH("CMS",H58)))</formula>
    </cfRule>
    <cfRule type="cellIs" dxfId="21977" priority="463" operator="equal">
      <formula>0</formula>
    </cfRule>
    <cfRule type="cellIs" dxfId="21976" priority="464" operator="greaterThan">
      <formula>0</formula>
    </cfRule>
  </conditionalFormatting>
  <conditionalFormatting sqref="H58">
    <cfRule type="cellIs" dxfId="21975" priority="457" operator="equal">
      <formula>"PMS"</formula>
    </cfRule>
    <cfRule type="containsText" dxfId="21974" priority="458" operator="containsText" text="CMS">
      <formula>NOT(ISERROR(SEARCH("CMS",H58)))</formula>
    </cfRule>
    <cfRule type="cellIs" dxfId="21973" priority="459" operator="equal">
      <formula>0</formula>
    </cfRule>
    <cfRule type="cellIs" dxfId="21972" priority="460" operator="greaterThan">
      <formula>0</formula>
    </cfRule>
  </conditionalFormatting>
  <conditionalFormatting sqref="H58">
    <cfRule type="cellIs" dxfId="21971" priority="453" operator="equal">
      <formula>"PMS"</formula>
    </cfRule>
    <cfRule type="containsText" dxfId="21970" priority="454" operator="containsText" text="CMS">
      <formula>NOT(ISERROR(SEARCH("CMS",H58)))</formula>
    </cfRule>
    <cfRule type="cellIs" dxfId="21969" priority="455" operator="equal">
      <formula>0</formula>
    </cfRule>
    <cfRule type="cellIs" dxfId="21968" priority="456" operator="greaterThan">
      <formula>0</formula>
    </cfRule>
  </conditionalFormatting>
  <conditionalFormatting sqref="H62">
    <cfRule type="cellIs" dxfId="21967" priority="445" operator="equal">
      <formula>"PMS"</formula>
    </cfRule>
    <cfRule type="containsText" dxfId="21966" priority="446" operator="containsText" text="CMS">
      <formula>NOT(ISERROR(SEARCH("CMS",H62)))</formula>
    </cfRule>
    <cfRule type="cellIs" dxfId="21965" priority="447" operator="equal">
      <formula>0</formula>
    </cfRule>
    <cfRule type="cellIs" dxfId="21964" priority="448" operator="greaterThan">
      <formula>0</formula>
    </cfRule>
    <cfRule type="cellIs" dxfId="21963" priority="449" operator="equal">
      <formula>"PMS"</formula>
    </cfRule>
    <cfRule type="containsText" dxfId="21962" priority="450" operator="containsText" text="CMS">
      <formula>NOT(ISERROR(SEARCH("CMS",H62)))</formula>
    </cfRule>
    <cfRule type="cellIs" dxfId="21961" priority="451" operator="equal">
      <formula>0</formula>
    </cfRule>
    <cfRule type="cellIs" dxfId="21960" priority="452" operator="greaterThan">
      <formula>0</formula>
    </cfRule>
  </conditionalFormatting>
  <conditionalFormatting sqref="H62">
    <cfRule type="cellIs" dxfId="21959" priority="441" operator="equal">
      <formula>"PMS"</formula>
    </cfRule>
    <cfRule type="containsText" dxfId="21958" priority="442" operator="containsText" text="CMS">
      <formula>NOT(ISERROR(SEARCH("CMS",H62)))</formula>
    </cfRule>
    <cfRule type="cellIs" dxfId="21957" priority="443" operator="equal">
      <formula>0</formula>
    </cfRule>
    <cfRule type="cellIs" dxfId="21956" priority="444" operator="greaterThan">
      <formula>0</formula>
    </cfRule>
  </conditionalFormatting>
  <conditionalFormatting sqref="H66:H74">
    <cfRule type="cellIs" dxfId="21955" priority="433" operator="equal">
      <formula>"PMS"</formula>
    </cfRule>
    <cfRule type="containsText" dxfId="21954" priority="434" operator="containsText" text="CMS">
      <formula>NOT(ISERROR(SEARCH("CMS",H66)))</formula>
    </cfRule>
    <cfRule type="cellIs" dxfId="21953" priority="435" operator="equal">
      <formula>0</formula>
    </cfRule>
    <cfRule type="cellIs" dxfId="21952" priority="436" operator="greaterThan">
      <formula>0</formula>
    </cfRule>
    <cfRule type="cellIs" dxfId="21951" priority="437" operator="equal">
      <formula>"PMS"</formula>
    </cfRule>
    <cfRule type="containsText" dxfId="21950" priority="438" operator="containsText" text="CMS">
      <formula>NOT(ISERROR(SEARCH("CMS",H66)))</formula>
    </cfRule>
    <cfRule type="cellIs" dxfId="21949" priority="439" operator="equal">
      <formula>0</formula>
    </cfRule>
    <cfRule type="cellIs" dxfId="21948" priority="440" operator="greaterThan">
      <formula>0</formula>
    </cfRule>
  </conditionalFormatting>
  <conditionalFormatting sqref="H66:H74">
    <cfRule type="cellIs" dxfId="21947" priority="429" operator="equal">
      <formula>"PMS"</formula>
    </cfRule>
    <cfRule type="containsText" dxfId="21946" priority="430" operator="containsText" text="CMS">
      <formula>NOT(ISERROR(SEARCH("CMS",H66)))</formula>
    </cfRule>
    <cfRule type="cellIs" dxfId="21945" priority="431" operator="equal">
      <formula>0</formula>
    </cfRule>
    <cfRule type="cellIs" dxfId="21944" priority="432" operator="greaterThan">
      <formula>0</formula>
    </cfRule>
  </conditionalFormatting>
  <conditionalFormatting sqref="H66:H74">
    <cfRule type="cellIs" dxfId="21943" priority="425" operator="equal">
      <formula>"PMS"</formula>
    </cfRule>
    <cfRule type="containsText" dxfId="21942" priority="426" operator="containsText" text="CMS">
      <formula>NOT(ISERROR(SEARCH("CMS",H66)))</formula>
    </cfRule>
    <cfRule type="cellIs" dxfId="21941" priority="427" operator="equal">
      <formula>0</formula>
    </cfRule>
    <cfRule type="cellIs" dxfId="21940" priority="428" operator="greaterThan">
      <formula>0</formula>
    </cfRule>
  </conditionalFormatting>
  <conditionalFormatting sqref="H77:H78">
    <cfRule type="cellIs" dxfId="21939" priority="417" operator="equal">
      <formula>"PMS"</formula>
    </cfRule>
    <cfRule type="containsText" dxfId="21938" priority="418" operator="containsText" text="CMS">
      <formula>NOT(ISERROR(SEARCH("CMS",H77)))</formula>
    </cfRule>
    <cfRule type="cellIs" dxfId="21937" priority="419" operator="equal">
      <formula>0</formula>
    </cfRule>
    <cfRule type="cellIs" dxfId="21936" priority="420" operator="greaterThan">
      <formula>0</formula>
    </cfRule>
    <cfRule type="cellIs" dxfId="21935" priority="421" operator="equal">
      <formula>"PMS"</formula>
    </cfRule>
    <cfRule type="containsText" dxfId="21934" priority="422" operator="containsText" text="CMS">
      <formula>NOT(ISERROR(SEARCH("CMS",H77)))</formula>
    </cfRule>
    <cfRule type="cellIs" dxfId="21933" priority="423" operator="equal">
      <formula>0</formula>
    </cfRule>
    <cfRule type="cellIs" dxfId="21932" priority="424" operator="greaterThan">
      <formula>0</formula>
    </cfRule>
  </conditionalFormatting>
  <conditionalFormatting sqref="H77:H78">
    <cfRule type="cellIs" dxfId="21931" priority="413" operator="equal">
      <formula>"PMS"</formula>
    </cfRule>
    <cfRule type="containsText" dxfId="21930" priority="414" operator="containsText" text="CMS">
      <formula>NOT(ISERROR(SEARCH("CMS",H77)))</formula>
    </cfRule>
    <cfRule type="cellIs" dxfId="21929" priority="415" operator="equal">
      <formula>0</formula>
    </cfRule>
    <cfRule type="cellIs" dxfId="21928" priority="416" operator="greaterThan">
      <formula>0</formula>
    </cfRule>
  </conditionalFormatting>
  <conditionalFormatting sqref="O56:O57">
    <cfRule type="cellIs" dxfId="21927" priority="409" operator="equal">
      <formula>"PMS"</formula>
    </cfRule>
    <cfRule type="containsText" dxfId="21926" priority="410" operator="containsText" text="CMS">
      <formula>NOT(ISERROR(SEARCH("CMS",O56)))</formula>
    </cfRule>
    <cfRule type="cellIs" dxfId="21925" priority="411" operator="equal">
      <formula>0</formula>
    </cfRule>
    <cfRule type="cellIs" dxfId="21924" priority="412" operator="greaterThan">
      <formula>0</formula>
    </cfRule>
  </conditionalFormatting>
  <conditionalFormatting sqref="O56:O57">
    <cfRule type="cellIs" dxfId="21923" priority="405" operator="equal">
      <formula>"PMS"</formula>
    </cfRule>
    <cfRule type="containsText" dxfId="21922" priority="406" operator="containsText" text="CMS">
      <formula>NOT(ISERROR(SEARCH("CMS",O56)))</formula>
    </cfRule>
    <cfRule type="cellIs" dxfId="21921" priority="407" operator="equal">
      <formula>0</formula>
    </cfRule>
    <cfRule type="cellIs" dxfId="21920" priority="408" operator="greaterThan">
      <formula>0</formula>
    </cfRule>
  </conditionalFormatting>
  <conditionalFormatting sqref="O56:O57">
    <cfRule type="cellIs" dxfId="21919" priority="401" operator="equal">
      <formula>"PMS"</formula>
    </cfRule>
    <cfRule type="containsText" dxfId="21918" priority="402" operator="containsText" text="CMS">
      <formula>NOT(ISERROR(SEARCH("CMS",O56)))</formula>
    </cfRule>
    <cfRule type="cellIs" dxfId="21917" priority="403" operator="equal">
      <formula>0</formula>
    </cfRule>
    <cfRule type="cellIs" dxfId="21916" priority="404" operator="greaterThan">
      <formula>0</formula>
    </cfRule>
  </conditionalFormatting>
  <conditionalFormatting sqref="O56:O57">
    <cfRule type="cellIs" dxfId="21915" priority="397" operator="equal">
      <formula>"PMS"</formula>
    </cfRule>
    <cfRule type="containsText" dxfId="21914" priority="398" operator="containsText" text="CMS">
      <formula>NOT(ISERROR(SEARCH("CMS",O56)))</formula>
    </cfRule>
    <cfRule type="cellIs" dxfId="21913" priority="399" operator="equal">
      <formula>0</formula>
    </cfRule>
    <cfRule type="cellIs" dxfId="21912" priority="400" operator="greaterThan">
      <formula>0</formula>
    </cfRule>
  </conditionalFormatting>
  <conditionalFormatting sqref="O56:O57">
    <cfRule type="cellIs" dxfId="21911" priority="393" operator="equal">
      <formula>"PMS"</formula>
    </cfRule>
    <cfRule type="containsText" dxfId="21910" priority="394" operator="containsText" text="CMS">
      <formula>NOT(ISERROR(SEARCH("CMS",O56)))</formula>
    </cfRule>
    <cfRule type="cellIs" dxfId="21909" priority="395" operator="equal">
      <formula>0</formula>
    </cfRule>
    <cfRule type="cellIs" dxfId="21908" priority="396" operator="greaterThan">
      <formula>0</formula>
    </cfRule>
  </conditionalFormatting>
  <conditionalFormatting sqref="O56:O57">
    <cfRule type="cellIs" dxfId="21907" priority="389" operator="equal">
      <formula>"PMS"</formula>
    </cfRule>
    <cfRule type="containsText" dxfId="21906" priority="390" operator="containsText" text="CMS">
      <formula>NOT(ISERROR(SEARCH("CMS",O56)))</formula>
    </cfRule>
    <cfRule type="cellIs" dxfId="21905" priority="391" operator="equal">
      <formula>0</formula>
    </cfRule>
    <cfRule type="cellIs" dxfId="21904" priority="392" operator="greaterThan">
      <formula>0</formula>
    </cfRule>
  </conditionalFormatting>
  <conditionalFormatting sqref="O56:O57">
    <cfRule type="cellIs" dxfId="21903" priority="385" operator="equal">
      <formula>"PMS"</formula>
    </cfRule>
    <cfRule type="containsText" dxfId="21902" priority="386" operator="containsText" text="CMS">
      <formula>NOT(ISERROR(SEARCH("CMS",O56)))</formula>
    </cfRule>
    <cfRule type="cellIs" dxfId="21901" priority="387" operator="equal">
      <formula>0</formula>
    </cfRule>
    <cfRule type="cellIs" dxfId="21900" priority="388" operator="greaterThan">
      <formula>0</formula>
    </cfRule>
  </conditionalFormatting>
  <conditionalFormatting sqref="O56:O57">
    <cfRule type="cellIs" dxfId="21899" priority="381" operator="equal">
      <formula>"PMS"</formula>
    </cfRule>
    <cfRule type="containsText" dxfId="21898" priority="382" operator="containsText" text="CMS">
      <formula>NOT(ISERROR(SEARCH("CMS",O56)))</formula>
    </cfRule>
    <cfRule type="cellIs" dxfId="21897" priority="383" operator="equal">
      <formula>0</formula>
    </cfRule>
    <cfRule type="cellIs" dxfId="21896" priority="384" operator="greaterThan">
      <formula>0</formula>
    </cfRule>
  </conditionalFormatting>
  <conditionalFormatting sqref="O56:O57">
    <cfRule type="cellIs" dxfId="21895" priority="377" operator="equal">
      <formula>"PMS"</formula>
    </cfRule>
    <cfRule type="containsText" dxfId="21894" priority="378" operator="containsText" text="CMS">
      <formula>NOT(ISERROR(SEARCH("CMS",O56)))</formula>
    </cfRule>
    <cfRule type="cellIs" dxfId="21893" priority="379" operator="equal">
      <formula>0</formula>
    </cfRule>
    <cfRule type="cellIs" dxfId="21892" priority="380" operator="greaterThan">
      <formula>0</formula>
    </cfRule>
  </conditionalFormatting>
  <conditionalFormatting sqref="O56:O57">
    <cfRule type="cellIs" dxfId="21891" priority="373" operator="equal">
      <formula>"PMS"</formula>
    </cfRule>
    <cfRule type="containsText" dxfId="21890" priority="374" operator="containsText" text="CMS">
      <formula>NOT(ISERROR(SEARCH("CMS",O56)))</formula>
    </cfRule>
    <cfRule type="cellIs" dxfId="21889" priority="375" operator="equal">
      <formula>0</formula>
    </cfRule>
    <cfRule type="cellIs" dxfId="21888" priority="376" operator="greaterThan">
      <formula>0</formula>
    </cfRule>
  </conditionalFormatting>
  <conditionalFormatting sqref="O56:O57">
    <cfRule type="cellIs" dxfId="21887" priority="369" operator="equal">
      <formula>"PMS"</formula>
    </cfRule>
    <cfRule type="containsText" dxfId="21886" priority="370" operator="containsText" text="CMS">
      <formula>NOT(ISERROR(SEARCH("CMS",O56)))</formula>
    </cfRule>
    <cfRule type="cellIs" dxfId="21885" priority="371" operator="equal">
      <formula>0</formula>
    </cfRule>
    <cfRule type="cellIs" dxfId="21884" priority="372" operator="greaterThan">
      <formula>0</formula>
    </cfRule>
  </conditionalFormatting>
  <conditionalFormatting sqref="O56:O57">
    <cfRule type="cellIs" dxfId="21883" priority="365" operator="equal">
      <formula>"PMS"</formula>
    </cfRule>
    <cfRule type="containsText" dxfId="21882" priority="366" operator="containsText" text="CMS">
      <formula>NOT(ISERROR(SEARCH("CMS",O56)))</formula>
    </cfRule>
    <cfRule type="cellIs" dxfId="21881" priority="367" operator="equal">
      <formula>0</formula>
    </cfRule>
    <cfRule type="cellIs" dxfId="21880" priority="368" operator="greaterThan">
      <formula>0</formula>
    </cfRule>
  </conditionalFormatting>
  <conditionalFormatting sqref="R77">
    <cfRule type="cellIs" dxfId="21879" priority="361" operator="equal">
      <formula>"PMS"</formula>
    </cfRule>
    <cfRule type="containsText" dxfId="21878" priority="362" operator="containsText" text="CMS">
      <formula>NOT(ISERROR(SEARCH("CMS",R77)))</formula>
    </cfRule>
    <cfRule type="cellIs" dxfId="21877" priority="363" operator="equal">
      <formula>0</formula>
    </cfRule>
    <cfRule type="cellIs" dxfId="21876" priority="364" operator="greaterThan">
      <formula>0</formula>
    </cfRule>
  </conditionalFormatting>
  <conditionalFormatting sqref="F15:G16">
    <cfRule type="cellIs" dxfId="21875" priority="353" operator="equal">
      <formula>"PMS"</formula>
    </cfRule>
    <cfRule type="containsText" dxfId="21874" priority="354" operator="containsText" text="CMS">
      <formula>NOT(ISERROR(SEARCH("CMS",F15)))</formula>
    </cfRule>
    <cfRule type="cellIs" dxfId="21873" priority="355" operator="equal">
      <formula>0</formula>
    </cfRule>
    <cfRule type="cellIs" dxfId="21872" priority="356" operator="greaterThan">
      <formula>0</formula>
    </cfRule>
    <cfRule type="cellIs" dxfId="21871" priority="357" operator="equal">
      <formula>"PMS"</formula>
    </cfRule>
    <cfRule type="containsText" dxfId="21870" priority="358" operator="containsText" text="CMS">
      <formula>NOT(ISERROR(SEARCH("CMS",F15)))</formula>
    </cfRule>
    <cfRule type="cellIs" dxfId="21869" priority="359" operator="equal">
      <formula>0</formula>
    </cfRule>
    <cfRule type="cellIs" dxfId="21868" priority="360" operator="greaterThan">
      <formula>0</formula>
    </cfRule>
  </conditionalFormatting>
  <conditionalFormatting sqref="F15:G16">
    <cfRule type="cellIs" dxfId="21867" priority="349" operator="equal">
      <formula>"PMS"</formula>
    </cfRule>
    <cfRule type="containsText" dxfId="21866" priority="350" operator="containsText" text="CMS">
      <formula>NOT(ISERROR(SEARCH("CMS",F15)))</formula>
    </cfRule>
    <cfRule type="cellIs" dxfId="21865" priority="351" operator="equal">
      <formula>0</formula>
    </cfRule>
    <cfRule type="cellIs" dxfId="21864" priority="352" operator="greaterThan">
      <formula>0</formula>
    </cfRule>
  </conditionalFormatting>
  <conditionalFormatting sqref="F15:G16">
    <cfRule type="cellIs" dxfId="21863" priority="345" operator="equal">
      <formula>"PMS"</formula>
    </cfRule>
    <cfRule type="containsText" dxfId="21862" priority="346" operator="containsText" text="CMS">
      <formula>NOT(ISERROR(SEARCH("CMS",F15)))</formula>
    </cfRule>
    <cfRule type="cellIs" dxfId="21861" priority="347" operator="equal">
      <formula>0</formula>
    </cfRule>
    <cfRule type="cellIs" dxfId="21860" priority="348" operator="greaterThan">
      <formula>0</formula>
    </cfRule>
  </conditionalFormatting>
  <conditionalFormatting sqref="F20:F21 G21">
    <cfRule type="cellIs" dxfId="21859" priority="329" operator="equal">
      <formula>"PMS"</formula>
    </cfRule>
    <cfRule type="containsText" dxfId="21858" priority="330" operator="containsText" text="CMS">
      <formula>NOT(ISERROR(SEARCH("CMS",F20)))</formula>
    </cfRule>
    <cfRule type="cellIs" dxfId="21857" priority="331" operator="equal">
      <formula>0</formula>
    </cfRule>
    <cfRule type="cellIs" dxfId="21856" priority="332" operator="greaterThan">
      <formula>0</formula>
    </cfRule>
    <cfRule type="cellIs" dxfId="21855" priority="333" operator="equal">
      <formula>"PMS"</formula>
    </cfRule>
    <cfRule type="containsText" dxfId="21854" priority="334" operator="containsText" text="CMS">
      <formula>NOT(ISERROR(SEARCH("CMS",F20)))</formula>
    </cfRule>
    <cfRule type="cellIs" dxfId="21853" priority="335" operator="equal">
      <formula>0</formula>
    </cfRule>
    <cfRule type="cellIs" dxfId="21852" priority="336" operator="greaterThan">
      <formula>0</formula>
    </cfRule>
  </conditionalFormatting>
  <conditionalFormatting sqref="F20:F21 G21">
    <cfRule type="cellIs" dxfId="21851" priority="325" operator="equal">
      <formula>"PMS"</formula>
    </cfRule>
    <cfRule type="containsText" dxfId="21850" priority="326" operator="containsText" text="CMS">
      <formula>NOT(ISERROR(SEARCH("CMS",F20)))</formula>
    </cfRule>
    <cfRule type="cellIs" dxfId="21849" priority="327" operator="equal">
      <formula>0</formula>
    </cfRule>
    <cfRule type="cellIs" dxfId="21848" priority="328" operator="greaterThan">
      <formula>0</formula>
    </cfRule>
  </conditionalFormatting>
  <conditionalFormatting sqref="F20:F21 G21">
    <cfRule type="cellIs" dxfId="21847" priority="321" operator="equal">
      <formula>"PMS"</formula>
    </cfRule>
    <cfRule type="containsText" dxfId="21846" priority="322" operator="containsText" text="CMS">
      <formula>NOT(ISERROR(SEARCH("CMS",F20)))</formula>
    </cfRule>
    <cfRule type="cellIs" dxfId="21845" priority="323" operator="equal">
      <formula>0</formula>
    </cfRule>
    <cfRule type="cellIs" dxfId="21844" priority="324" operator="greaterThan">
      <formula>0</formula>
    </cfRule>
  </conditionalFormatting>
  <conditionalFormatting sqref="F19">
    <cfRule type="cellIs" dxfId="21843" priority="317" operator="equal">
      <formula>"CMS"</formula>
    </cfRule>
    <cfRule type="cellIs" dxfId="21842" priority="318" operator="equal">
      <formula>"PMS"</formula>
    </cfRule>
    <cfRule type="cellIs" dxfId="21841" priority="319" operator="greaterThan">
      <formula>0</formula>
    </cfRule>
    <cfRule type="cellIs" dxfId="21840" priority="320" operator="equal">
      <formula>0</formula>
    </cfRule>
  </conditionalFormatting>
  <conditionalFormatting sqref="F29">
    <cfRule type="cellIs" dxfId="21839" priority="293" operator="equal">
      <formula>"PMS"</formula>
    </cfRule>
    <cfRule type="containsText" dxfId="21838" priority="294" operator="containsText" text="CMS">
      <formula>NOT(ISERROR(SEARCH("CMS",F29)))</formula>
    </cfRule>
    <cfRule type="cellIs" dxfId="21837" priority="295" operator="equal">
      <formula>0</formula>
    </cfRule>
    <cfRule type="cellIs" dxfId="21836" priority="296" operator="greaterThan">
      <formula>0</formula>
    </cfRule>
    <cfRule type="cellIs" dxfId="21835" priority="297" operator="equal">
      <formula>"PMS"</formula>
    </cfRule>
    <cfRule type="containsText" dxfId="21834" priority="298" operator="containsText" text="CMS">
      <formula>NOT(ISERROR(SEARCH("CMS",F29)))</formula>
    </cfRule>
    <cfRule type="cellIs" dxfId="21833" priority="299" operator="equal">
      <formula>0</formula>
    </cfRule>
    <cfRule type="cellIs" dxfId="21832" priority="300" operator="greaterThan">
      <formula>0</formula>
    </cfRule>
  </conditionalFormatting>
  <conditionalFormatting sqref="F32">
    <cfRule type="cellIs" dxfId="21831" priority="285" operator="equal">
      <formula>"PMS"</formula>
    </cfRule>
    <cfRule type="containsText" dxfId="21830" priority="286" operator="containsText" text="CMS">
      <formula>NOT(ISERROR(SEARCH("CMS",F32)))</formula>
    </cfRule>
    <cfRule type="cellIs" dxfId="21829" priority="287" operator="equal">
      <formula>0</formula>
    </cfRule>
    <cfRule type="cellIs" dxfId="21828" priority="288" operator="greaterThan">
      <formula>0</formula>
    </cfRule>
    <cfRule type="cellIs" dxfId="21827" priority="289" operator="equal">
      <formula>"PMS"</formula>
    </cfRule>
    <cfRule type="containsText" dxfId="21826" priority="290" operator="containsText" text="CMS">
      <formula>NOT(ISERROR(SEARCH("CMS",F32)))</formula>
    </cfRule>
    <cfRule type="cellIs" dxfId="21825" priority="291" operator="equal">
      <formula>0</formula>
    </cfRule>
    <cfRule type="cellIs" dxfId="21824" priority="292" operator="greaterThan">
      <formula>0</formula>
    </cfRule>
  </conditionalFormatting>
  <conditionalFormatting sqref="F32">
    <cfRule type="cellIs" dxfId="21823" priority="281" operator="equal">
      <formula>"PMS"</formula>
    </cfRule>
    <cfRule type="containsText" dxfId="21822" priority="282" operator="containsText" text="CMS">
      <formula>NOT(ISERROR(SEARCH("CMS",F32)))</formula>
    </cfRule>
    <cfRule type="cellIs" dxfId="21821" priority="283" operator="equal">
      <formula>0</formula>
    </cfRule>
    <cfRule type="cellIs" dxfId="21820" priority="284" operator="greaterThan">
      <formula>0</formula>
    </cfRule>
  </conditionalFormatting>
  <conditionalFormatting sqref="F32">
    <cfRule type="cellIs" dxfId="21819" priority="277" operator="equal">
      <formula>"PMS"</formula>
    </cfRule>
    <cfRule type="containsText" dxfId="21818" priority="278" operator="containsText" text="CMS">
      <formula>NOT(ISERROR(SEARCH("CMS",F32)))</formula>
    </cfRule>
    <cfRule type="cellIs" dxfId="21817" priority="279" operator="equal">
      <formula>0</formula>
    </cfRule>
    <cfRule type="cellIs" dxfId="21816" priority="280" operator="greaterThan">
      <formula>0</formula>
    </cfRule>
  </conditionalFormatting>
  <conditionalFormatting sqref="F63:M63 F61:M61">
    <cfRule type="cellIs" dxfId="21815" priority="269" operator="equal">
      <formula>"PMS"</formula>
    </cfRule>
    <cfRule type="containsText" dxfId="21814" priority="270" operator="containsText" text="CMS">
      <formula>NOT(ISERROR(SEARCH("CMS",F61)))</formula>
    </cfRule>
    <cfRule type="cellIs" dxfId="21813" priority="271" operator="equal">
      <formula>0</formula>
    </cfRule>
    <cfRule type="cellIs" dxfId="21812" priority="272" operator="greaterThan">
      <formula>0</formula>
    </cfRule>
    <cfRule type="cellIs" dxfId="21811" priority="273" operator="equal">
      <formula>"PMS"</formula>
    </cfRule>
    <cfRule type="containsText" dxfId="21810" priority="274" operator="containsText" text="CMS">
      <formula>NOT(ISERROR(SEARCH("CMS",F61)))</formula>
    </cfRule>
    <cfRule type="cellIs" dxfId="21809" priority="275" operator="equal">
      <formula>0</formula>
    </cfRule>
    <cfRule type="cellIs" dxfId="21808" priority="276" operator="greaterThan">
      <formula>0</formula>
    </cfRule>
  </conditionalFormatting>
  <conditionalFormatting sqref="F63:M63 F61:M61">
    <cfRule type="cellIs" dxfId="21807" priority="265" operator="equal">
      <formula>"PMS"</formula>
    </cfRule>
    <cfRule type="containsText" dxfId="21806" priority="266" operator="containsText" text="CMS">
      <formula>NOT(ISERROR(SEARCH("CMS",F61)))</formula>
    </cfRule>
    <cfRule type="cellIs" dxfId="21805" priority="267" operator="equal">
      <formula>0</formula>
    </cfRule>
    <cfRule type="cellIs" dxfId="21804" priority="268" operator="greaterThan">
      <formula>0</formula>
    </cfRule>
  </conditionalFormatting>
  <conditionalFormatting sqref="F77:F78 F78:G78">
    <cfRule type="cellIs" dxfId="21803" priority="241" operator="equal">
      <formula>"PMS"</formula>
    </cfRule>
    <cfRule type="containsText" dxfId="21802" priority="242" operator="containsText" text="CMS">
      <formula>NOT(ISERROR(SEARCH("CMS",F77)))</formula>
    </cfRule>
    <cfRule type="cellIs" dxfId="21801" priority="243" operator="equal">
      <formula>0</formula>
    </cfRule>
    <cfRule type="cellIs" dxfId="21800" priority="244" operator="greaterThan">
      <formula>0</formula>
    </cfRule>
    <cfRule type="cellIs" dxfId="21799" priority="245" operator="equal">
      <formula>"PMS"</formula>
    </cfRule>
    <cfRule type="containsText" dxfId="21798" priority="246" operator="containsText" text="CMS">
      <formula>NOT(ISERROR(SEARCH("CMS",F77)))</formula>
    </cfRule>
    <cfRule type="cellIs" dxfId="21797" priority="247" operator="equal">
      <formula>0</formula>
    </cfRule>
    <cfRule type="cellIs" dxfId="21796" priority="248" operator="greaterThan">
      <formula>0</formula>
    </cfRule>
  </conditionalFormatting>
  <conditionalFormatting sqref="F77:F78 F78:G78">
    <cfRule type="cellIs" dxfId="21795" priority="237" operator="equal">
      <formula>"PMS"</formula>
    </cfRule>
    <cfRule type="containsText" dxfId="21794" priority="238" operator="containsText" text="CMS">
      <formula>NOT(ISERROR(SEARCH("CMS",F77)))</formula>
    </cfRule>
    <cfRule type="cellIs" dxfId="21793" priority="239" operator="equal">
      <formula>0</formula>
    </cfRule>
    <cfRule type="cellIs" dxfId="21792" priority="240" operator="greaterThan">
      <formula>0</formula>
    </cfRule>
  </conditionalFormatting>
  <conditionalFormatting sqref="G24">
    <cfRule type="cellIs" dxfId="21791" priority="229" operator="equal">
      <formula>"PMS"</formula>
    </cfRule>
    <cfRule type="containsText" dxfId="21790" priority="230" operator="containsText" text="CMS">
      <formula>NOT(ISERROR(SEARCH("CMS",G24)))</formula>
    </cfRule>
    <cfRule type="cellIs" dxfId="21789" priority="231" operator="equal">
      <formula>0</formula>
    </cfRule>
    <cfRule type="cellIs" dxfId="21788" priority="232" operator="greaterThan">
      <formula>0</formula>
    </cfRule>
    <cfRule type="cellIs" dxfId="21787" priority="233" operator="equal">
      <formula>"PMS"</formula>
    </cfRule>
    <cfRule type="containsText" dxfId="21786" priority="234" operator="containsText" text="CMS">
      <formula>NOT(ISERROR(SEARCH("CMS",G24)))</formula>
    </cfRule>
    <cfRule type="cellIs" dxfId="21785" priority="235" operator="equal">
      <formula>0</formula>
    </cfRule>
    <cfRule type="cellIs" dxfId="21784" priority="236" operator="greaterThan">
      <formula>0</formula>
    </cfRule>
  </conditionalFormatting>
  <conditionalFormatting sqref="G24">
    <cfRule type="cellIs" dxfId="21783" priority="225" operator="equal">
      <formula>"PMS"</formula>
    </cfRule>
    <cfRule type="containsText" dxfId="21782" priority="226" operator="containsText" text="CMS">
      <formula>NOT(ISERROR(SEARCH("CMS",G24)))</formula>
    </cfRule>
    <cfRule type="cellIs" dxfId="21781" priority="227" operator="equal">
      <formula>0</formula>
    </cfRule>
    <cfRule type="cellIs" dxfId="21780" priority="228" operator="greaterThan">
      <formula>0</formula>
    </cfRule>
  </conditionalFormatting>
  <conditionalFormatting sqref="G24">
    <cfRule type="cellIs" dxfId="21779" priority="221" operator="equal">
      <formula>"PMS"</formula>
    </cfRule>
    <cfRule type="containsText" dxfId="21778" priority="222" operator="containsText" text="CMS">
      <formula>NOT(ISERROR(SEARCH("CMS",G24)))</formula>
    </cfRule>
    <cfRule type="cellIs" dxfId="21777" priority="223" operator="equal">
      <formula>0</formula>
    </cfRule>
    <cfRule type="cellIs" dxfId="21776" priority="224" operator="greaterThan">
      <formula>0</formula>
    </cfRule>
  </conditionalFormatting>
  <conditionalFormatting sqref="F39:F58">
    <cfRule type="cellIs" dxfId="21775" priority="213" operator="equal">
      <formula>"PMS"</formula>
    </cfRule>
    <cfRule type="containsText" dxfId="21774" priority="214" operator="containsText" text="CMS">
      <formula>NOT(ISERROR(SEARCH("CMS",F39)))</formula>
    </cfRule>
    <cfRule type="cellIs" dxfId="21773" priority="215" operator="equal">
      <formula>0</formula>
    </cfRule>
    <cfRule type="cellIs" dxfId="21772" priority="216" operator="greaterThan">
      <formula>0</formula>
    </cfRule>
    <cfRule type="cellIs" dxfId="21771" priority="217" operator="equal">
      <formula>"PMS"</formula>
    </cfRule>
    <cfRule type="containsText" dxfId="21770" priority="218" operator="containsText" text="CMS">
      <formula>NOT(ISERROR(SEARCH("CMS",F39)))</formula>
    </cfRule>
    <cfRule type="cellIs" dxfId="21769" priority="219" operator="equal">
      <formula>0</formula>
    </cfRule>
    <cfRule type="cellIs" dxfId="21768" priority="220" operator="greaterThan">
      <formula>0</formula>
    </cfRule>
  </conditionalFormatting>
  <conditionalFormatting sqref="F39:F58">
    <cfRule type="cellIs" dxfId="21767" priority="209" operator="equal">
      <formula>"PMS"</formula>
    </cfRule>
    <cfRule type="containsText" dxfId="21766" priority="210" operator="containsText" text="CMS">
      <formula>NOT(ISERROR(SEARCH("CMS",F39)))</formula>
    </cfRule>
    <cfRule type="cellIs" dxfId="21765" priority="211" operator="equal">
      <formula>0</formula>
    </cfRule>
    <cfRule type="cellIs" dxfId="21764" priority="212" operator="greaterThan">
      <formula>0</formula>
    </cfRule>
  </conditionalFormatting>
  <conditionalFormatting sqref="F39:F58">
    <cfRule type="cellIs" dxfId="21763" priority="205" operator="equal">
      <formula>"PMS"</formula>
    </cfRule>
    <cfRule type="containsText" dxfId="21762" priority="206" operator="containsText" text="CMS">
      <formula>NOT(ISERROR(SEARCH("CMS",F39)))</formula>
    </cfRule>
    <cfRule type="cellIs" dxfId="21761" priority="207" operator="equal">
      <formula>0</formula>
    </cfRule>
    <cfRule type="cellIs" dxfId="21760" priority="208" operator="greaterThan">
      <formula>0</formula>
    </cfRule>
  </conditionalFormatting>
  <conditionalFormatting sqref="F57">
    <cfRule type="cellIs" dxfId="21759" priority="201" operator="equal">
      <formula>"PMS"</formula>
    </cfRule>
    <cfRule type="containsText" dxfId="21758" priority="202" operator="containsText" text="CMS">
      <formula>NOT(ISERROR(SEARCH("CMS",F57)))</formula>
    </cfRule>
    <cfRule type="cellIs" dxfId="21757" priority="203" operator="equal">
      <formula>0</formula>
    </cfRule>
    <cfRule type="cellIs" dxfId="21756" priority="204" operator="greaterThan">
      <formula>0</formula>
    </cfRule>
  </conditionalFormatting>
  <conditionalFormatting sqref="F57">
    <cfRule type="cellIs" dxfId="21755" priority="197" operator="equal">
      <formula>"PMS"</formula>
    </cfRule>
    <cfRule type="containsText" dxfId="21754" priority="198" operator="containsText" text="CMS">
      <formula>NOT(ISERROR(SEARCH("CMS",F57)))</formula>
    </cfRule>
    <cfRule type="cellIs" dxfId="21753" priority="199" operator="equal">
      <formula>0</formula>
    </cfRule>
    <cfRule type="cellIs" dxfId="21752" priority="200" operator="greaterThan">
      <formula>0</formula>
    </cfRule>
  </conditionalFormatting>
  <conditionalFormatting sqref="F57">
    <cfRule type="cellIs" dxfId="21751" priority="193" operator="equal">
      <formula>"PMS"</formula>
    </cfRule>
    <cfRule type="containsText" dxfId="21750" priority="194" operator="containsText" text="CMS">
      <formula>NOT(ISERROR(SEARCH("CMS",F57)))</formula>
    </cfRule>
    <cfRule type="cellIs" dxfId="21749" priority="195" operator="equal">
      <formula>0</formula>
    </cfRule>
    <cfRule type="cellIs" dxfId="21748" priority="196" operator="greaterThan">
      <formula>0</formula>
    </cfRule>
  </conditionalFormatting>
  <conditionalFormatting sqref="F57">
    <cfRule type="cellIs" dxfId="21747" priority="189" operator="equal">
      <formula>"PMS"</formula>
    </cfRule>
    <cfRule type="containsText" dxfId="21746" priority="190" operator="containsText" text="CMS">
      <formula>NOT(ISERROR(SEARCH("CMS",F57)))</formula>
    </cfRule>
    <cfRule type="cellIs" dxfId="21745" priority="191" operator="equal">
      <formula>0</formula>
    </cfRule>
    <cfRule type="cellIs" dxfId="21744" priority="192" operator="greaterThan">
      <formula>0</formula>
    </cfRule>
  </conditionalFormatting>
  <conditionalFormatting sqref="F58">
    <cfRule type="cellIs" dxfId="21743" priority="185" operator="equal">
      <formula>"PMS"</formula>
    </cfRule>
    <cfRule type="containsText" dxfId="21742" priority="186" operator="containsText" text="CMS">
      <formula>NOT(ISERROR(SEARCH("CMS",F58)))</formula>
    </cfRule>
    <cfRule type="cellIs" dxfId="21741" priority="187" operator="equal">
      <formula>0</formula>
    </cfRule>
    <cfRule type="cellIs" dxfId="21740" priority="188" operator="greaterThan">
      <formula>0</formula>
    </cfRule>
  </conditionalFormatting>
  <conditionalFormatting sqref="F58">
    <cfRule type="cellIs" dxfId="21739" priority="181" operator="equal">
      <formula>"PMS"</formula>
    </cfRule>
    <cfRule type="containsText" dxfId="21738" priority="182" operator="containsText" text="CMS">
      <formula>NOT(ISERROR(SEARCH("CMS",F58)))</formula>
    </cfRule>
    <cfRule type="cellIs" dxfId="21737" priority="183" operator="equal">
      <formula>0</formula>
    </cfRule>
    <cfRule type="cellIs" dxfId="21736" priority="184" operator="greaterThan">
      <formula>0</formula>
    </cfRule>
  </conditionalFormatting>
  <conditionalFormatting sqref="F58">
    <cfRule type="cellIs" dxfId="21735" priority="177" operator="equal">
      <formula>"PMS"</formula>
    </cfRule>
    <cfRule type="containsText" dxfId="21734" priority="178" operator="containsText" text="CMS">
      <formula>NOT(ISERROR(SEARCH("CMS",F58)))</formula>
    </cfRule>
    <cfRule type="cellIs" dxfId="21733" priority="179" operator="equal">
      <formula>0</formula>
    </cfRule>
    <cfRule type="cellIs" dxfId="21732" priority="180" operator="greaterThan">
      <formula>0</formula>
    </cfRule>
  </conditionalFormatting>
  <conditionalFormatting sqref="F58">
    <cfRule type="cellIs" dxfId="21731" priority="173" operator="equal">
      <formula>"PMS"</formula>
    </cfRule>
    <cfRule type="containsText" dxfId="21730" priority="174" operator="containsText" text="CMS">
      <formula>NOT(ISERROR(SEARCH("CMS",F58)))</formula>
    </cfRule>
    <cfRule type="cellIs" dxfId="21729" priority="175" operator="equal">
      <formula>0</formula>
    </cfRule>
    <cfRule type="cellIs" dxfId="21728" priority="176" operator="greaterThan">
      <formula>0</formula>
    </cfRule>
  </conditionalFormatting>
  <conditionalFormatting sqref="F24">
    <cfRule type="cellIs" dxfId="21727" priority="125" operator="equal">
      <formula>"PMS"</formula>
    </cfRule>
    <cfRule type="containsText" dxfId="21726" priority="126" operator="containsText" text="CMS">
      <formula>NOT(ISERROR(SEARCH("CMS",F24)))</formula>
    </cfRule>
    <cfRule type="cellIs" dxfId="21725" priority="127" operator="equal">
      <formula>0</formula>
    </cfRule>
    <cfRule type="cellIs" dxfId="21724" priority="128" operator="greaterThan">
      <formula>0</formula>
    </cfRule>
    <cfRule type="cellIs" dxfId="21723" priority="129" operator="equal">
      <formula>"PMS"</formula>
    </cfRule>
    <cfRule type="containsText" dxfId="21722" priority="130" operator="containsText" text="CMS">
      <formula>NOT(ISERROR(SEARCH("CMS",F24)))</formula>
    </cfRule>
    <cfRule type="cellIs" dxfId="21721" priority="131" operator="equal">
      <formula>0</formula>
    </cfRule>
    <cfRule type="cellIs" dxfId="21720" priority="132" operator="greaterThan">
      <formula>0</formula>
    </cfRule>
  </conditionalFormatting>
  <conditionalFormatting sqref="F24">
    <cfRule type="cellIs" dxfId="21719" priority="121" operator="equal">
      <formula>"PMS"</formula>
    </cfRule>
    <cfRule type="containsText" dxfId="21718" priority="122" operator="containsText" text="CMS">
      <formula>NOT(ISERROR(SEARCH("CMS",F24)))</formula>
    </cfRule>
    <cfRule type="cellIs" dxfId="21717" priority="123" operator="equal">
      <formula>0</formula>
    </cfRule>
    <cfRule type="cellIs" dxfId="21716" priority="124" operator="greaterThan">
      <formula>0</formula>
    </cfRule>
  </conditionalFormatting>
  <conditionalFormatting sqref="F24">
    <cfRule type="cellIs" dxfId="21715" priority="117" operator="equal">
      <formula>"PMS"</formula>
    </cfRule>
    <cfRule type="containsText" dxfId="21714" priority="118" operator="containsText" text="CMS">
      <formula>NOT(ISERROR(SEARCH("CMS",F24)))</formula>
    </cfRule>
    <cfRule type="cellIs" dxfId="21713" priority="119" operator="equal">
      <formula>0</formula>
    </cfRule>
    <cfRule type="cellIs" dxfId="21712" priority="120" operator="greaterThan">
      <formula>0</formula>
    </cfRule>
  </conditionalFormatting>
  <conditionalFormatting sqref="F35:F38">
    <cfRule type="cellIs" dxfId="21711" priority="109" operator="equal">
      <formula>"PMS"</formula>
    </cfRule>
    <cfRule type="containsText" dxfId="21710" priority="110" operator="containsText" text="CMS">
      <formula>NOT(ISERROR(SEARCH("CMS",F35)))</formula>
    </cfRule>
    <cfRule type="cellIs" dxfId="21709" priority="111" operator="equal">
      <formula>0</formula>
    </cfRule>
    <cfRule type="cellIs" dxfId="21708" priority="112" operator="greaterThan">
      <formula>0</formula>
    </cfRule>
    <cfRule type="cellIs" dxfId="21707" priority="113" operator="equal">
      <formula>"PMS"</formula>
    </cfRule>
    <cfRule type="containsText" dxfId="21706" priority="114" operator="containsText" text="CMS">
      <formula>NOT(ISERROR(SEARCH("CMS",F35)))</formula>
    </cfRule>
    <cfRule type="cellIs" dxfId="21705" priority="115" operator="equal">
      <formula>0</formula>
    </cfRule>
    <cfRule type="cellIs" dxfId="21704" priority="116" operator="greaterThan">
      <formula>0</formula>
    </cfRule>
  </conditionalFormatting>
  <conditionalFormatting sqref="F35:F38">
    <cfRule type="cellIs" dxfId="21703" priority="105" operator="equal">
      <formula>"PMS"</formula>
    </cfRule>
    <cfRule type="containsText" dxfId="21702" priority="106" operator="containsText" text="CMS">
      <formula>NOT(ISERROR(SEARCH("CMS",F35)))</formula>
    </cfRule>
    <cfRule type="cellIs" dxfId="21701" priority="107" operator="equal">
      <formula>0</formula>
    </cfRule>
    <cfRule type="cellIs" dxfId="21700" priority="108" operator="greaterThan">
      <formula>0</formula>
    </cfRule>
  </conditionalFormatting>
  <conditionalFormatting sqref="F35:F38">
    <cfRule type="cellIs" dxfId="21699" priority="101" operator="equal">
      <formula>"PMS"</formula>
    </cfRule>
    <cfRule type="containsText" dxfId="21698" priority="102" operator="containsText" text="CMS">
      <formula>NOT(ISERROR(SEARCH("CMS",F35)))</formula>
    </cfRule>
    <cfRule type="cellIs" dxfId="21697" priority="103" operator="equal">
      <formula>0</formula>
    </cfRule>
    <cfRule type="cellIs" dxfId="21696" priority="104" operator="greaterThan">
      <formula>0</formula>
    </cfRule>
  </conditionalFormatting>
  <conditionalFormatting sqref="F62">
    <cfRule type="cellIs" dxfId="21695" priority="93" operator="equal">
      <formula>"PMS"</formula>
    </cfRule>
    <cfRule type="containsText" dxfId="21694" priority="94" operator="containsText" text="CMS">
      <formula>NOT(ISERROR(SEARCH("CMS",F62)))</formula>
    </cfRule>
    <cfRule type="cellIs" dxfId="21693" priority="95" operator="equal">
      <formula>0</formula>
    </cfRule>
    <cfRule type="cellIs" dxfId="21692" priority="96" operator="greaterThan">
      <formula>0</formula>
    </cfRule>
    <cfRule type="cellIs" dxfId="21691" priority="97" operator="equal">
      <formula>"PMS"</formula>
    </cfRule>
    <cfRule type="containsText" dxfId="21690" priority="98" operator="containsText" text="CMS">
      <formula>NOT(ISERROR(SEARCH("CMS",F62)))</formula>
    </cfRule>
    <cfRule type="cellIs" dxfId="21689" priority="99" operator="equal">
      <formula>0</formula>
    </cfRule>
    <cfRule type="cellIs" dxfId="21688" priority="100" operator="greaterThan">
      <formula>0</formula>
    </cfRule>
  </conditionalFormatting>
  <conditionalFormatting sqref="F62">
    <cfRule type="cellIs" dxfId="21687" priority="89" operator="equal">
      <formula>"PMS"</formula>
    </cfRule>
    <cfRule type="containsText" dxfId="21686" priority="90" operator="containsText" text="CMS">
      <formula>NOT(ISERROR(SEARCH("CMS",F62)))</formula>
    </cfRule>
    <cfRule type="cellIs" dxfId="21685" priority="91" operator="equal">
      <formula>0</formula>
    </cfRule>
    <cfRule type="cellIs" dxfId="21684" priority="92" operator="greaterThan">
      <formula>0</formula>
    </cfRule>
  </conditionalFormatting>
  <conditionalFormatting sqref="F66:F67">
    <cfRule type="cellIs" dxfId="21683" priority="81" operator="equal">
      <formula>"PMS"</formula>
    </cfRule>
    <cfRule type="containsText" dxfId="21682" priority="82" operator="containsText" text="CMS">
      <formula>NOT(ISERROR(SEARCH("CMS",F66)))</formula>
    </cfRule>
    <cfRule type="cellIs" dxfId="21681" priority="83" operator="equal">
      <formula>0</formula>
    </cfRule>
    <cfRule type="cellIs" dxfId="21680" priority="84" operator="greaterThan">
      <formula>0</formula>
    </cfRule>
    <cfRule type="cellIs" dxfId="21679" priority="85" operator="equal">
      <formula>"PMS"</formula>
    </cfRule>
    <cfRule type="containsText" dxfId="21678" priority="86" operator="containsText" text="CMS">
      <formula>NOT(ISERROR(SEARCH("CMS",F66)))</formula>
    </cfRule>
    <cfRule type="cellIs" dxfId="21677" priority="87" operator="equal">
      <formula>0</formula>
    </cfRule>
    <cfRule type="cellIs" dxfId="21676" priority="88" operator="greaterThan">
      <formula>0</formula>
    </cfRule>
  </conditionalFormatting>
  <conditionalFormatting sqref="F66:F67">
    <cfRule type="cellIs" dxfId="21675" priority="77" operator="equal">
      <formula>"PMS"</formula>
    </cfRule>
    <cfRule type="containsText" dxfId="21674" priority="78" operator="containsText" text="CMS">
      <formula>NOT(ISERROR(SEARCH("CMS",F66)))</formula>
    </cfRule>
    <cfRule type="cellIs" dxfId="21673" priority="79" operator="equal">
      <formula>0</formula>
    </cfRule>
    <cfRule type="cellIs" dxfId="21672" priority="80" operator="greaterThan">
      <formula>0</formula>
    </cfRule>
  </conditionalFormatting>
  <conditionalFormatting sqref="F66:F67">
    <cfRule type="cellIs" dxfId="21671" priority="73" operator="equal">
      <formula>"PMS"</formula>
    </cfRule>
    <cfRule type="containsText" dxfId="21670" priority="74" operator="containsText" text="CMS">
      <formula>NOT(ISERROR(SEARCH("CMS",F66)))</formula>
    </cfRule>
    <cfRule type="cellIs" dxfId="21669" priority="75" operator="equal">
      <formula>0</formula>
    </cfRule>
    <cfRule type="cellIs" dxfId="21668" priority="76" operator="greaterThan">
      <formula>0</formula>
    </cfRule>
  </conditionalFormatting>
  <conditionalFormatting sqref="O56:O57">
    <cfRule type="cellIs" dxfId="21667" priority="37" operator="equal">
      <formula>"PMS"</formula>
    </cfRule>
    <cfRule type="containsText" dxfId="21666" priority="38" operator="containsText" text="CMS">
      <formula>NOT(ISERROR(SEARCH("CMS",O56)))</formula>
    </cfRule>
    <cfRule type="cellIs" dxfId="21665" priority="39" operator="equal">
      <formula>0</formula>
    </cfRule>
    <cfRule type="cellIs" dxfId="21664" priority="40" operator="greaterThan">
      <formula>0</formula>
    </cfRule>
  </conditionalFormatting>
  <conditionalFormatting sqref="O56:O57">
    <cfRule type="cellIs" dxfId="21663" priority="33" operator="equal">
      <formula>"PMS"</formula>
    </cfRule>
    <cfRule type="containsText" dxfId="21662" priority="34" operator="containsText" text="CMS">
      <formula>NOT(ISERROR(SEARCH("CMS",O56)))</formula>
    </cfRule>
    <cfRule type="cellIs" dxfId="21661" priority="35" operator="equal">
      <formula>0</formula>
    </cfRule>
    <cfRule type="cellIs" dxfId="21660" priority="36" operator="greaterThan">
      <formula>0</formula>
    </cfRule>
  </conditionalFormatting>
  <conditionalFormatting sqref="O56:O57">
    <cfRule type="cellIs" dxfId="21659" priority="29" operator="equal">
      <formula>"PMS"</formula>
    </cfRule>
    <cfRule type="containsText" dxfId="21658" priority="30" operator="containsText" text="CMS">
      <formula>NOT(ISERROR(SEARCH("CMS",O56)))</formula>
    </cfRule>
    <cfRule type="cellIs" dxfId="21657" priority="31" operator="equal">
      <formula>0</formula>
    </cfRule>
    <cfRule type="cellIs" dxfId="21656" priority="32" operator="greaterThan">
      <formula>0</formula>
    </cfRule>
  </conditionalFormatting>
  <conditionalFormatting sqref="O56:O57">
    <cfRule type="cellIs" dxfId="21655" priority="25" operator="equal">
      <formula>"PMS"</formula>
    </cfRule>
    <cfRule type="containsText" dxfId="21654" priority="26" operator="containsText" text="CMS">
      <formula>NOT(ISERROR(SEARCH("CMS",O56)))</formula>
    </cfRule>
    <cfRule type="cellIs" dxfId="21653" priority="27" operator="equal">
      <formula>0</formula>
    </cfRule>
    <cfRule type="cellIs" dxfId="21652" priority="28" operator="greaterThan">
      <formula>0</formula>
    </cfRule>
  </conditionalFormatting>
  <conditionalFormatting sqref="O56">
    <cfRule type="cellIs" dxfId="21651" priority="21" operator="equal">
      <formula>"PMS"</formula>
    </cfRule>
    <cfRule type="containsText" dxfId="21650" priority="22" operator="containsText" text="CMS">
      <formula>NOT(ISERROR(SEARCH("CMS",O56)))</formula>
    </cfRule>
    <cfRule type="cellIs" dxfId="21649" priority="23" operator="equal">
      <formula>0</formula>
    </cfRule>
    <cfRule type="cellIs" dxfId="21648" priority="24" operator="greaterThan">
      <formula>0</formula>
    </cfRule>
  </conditionalFormatting>
  <conditionalFormatting sqref="O56">
    <cfRule type="cellIs" dxfId="21647" priority="17" operator="equal">
      <formula>"PMS"</formula>
    </cfRule>
    <cfRule type="containsText" dxfId="21646" priority="18" operator="containsText" text="CMS">
      <formula>NOT(ISERROR(SEARCH("CMS",O56)))</formula>
    </cfRule>
    <cfRule type="cellIs" dxfId="21645" priority="19" operator="equal">
      <formula>0</formula>
    </cfRule>
    <cfRule type="cellIs" dxfId="21644" priority="20" operator="greaterThan">
      <formula>0</formula>
    </cfRule>
  </conditionalFormatting>
  <conditionalFormatting sqref="O56">
    <cfRule type="cellIs" dxfId="21643" priority="13" operator="equal">
      <formula>"PMS"</formula>
    </cfRule>
    <cfRule type="containsText" dxfId="21642" priority="14" operator="containsText" text="CMS">
      <formula>NOT(ISERROR(SEARCH("CMS",O56)))</formula>
    </cfRule>
    <cfRule type="cellIs" dxfId="21641" priority="15" operator="equal">
      <formula>0</formula>
    </cfRule>
    <cfRule type="cellIs" dxfId="21640" priority="16" operator="greaterThan">
      <formula>0</formula>
    </cfRule>
  </conditionalFormatting>
  <conditionalFormatting sqref="O56">
    <cfRule type="cellIs" dxfId="21639" priority="9" operator="equal">
      <formula>"PMS"</formula>
    </cfRule>
    <cfRule type="containsText" dxfId="21638" priority="10" operator="containsText" text="CMS">
      <formula>NOT(ISERROR(SEARCH("CMS",O56)))</formula>
    </cfRule>
    <cfRule type="cellIs" dxfId="21637" priority="11" operator="equal">
      <formula>0</formula>
    </cfRule>
    <cfRule type="cellIs" dxfId="21636" priority="12" operator="greaterThan">
      <formula>0</formula>
    </cfRule>
  </conditionalFormatting>
  <conditionalFormatting sqref="O56">
    <cfRule type="cellIs" dxfId="21635" priority="5" operator="equal">
      <formula>"PMS"</formula>
    </cfRule>
    <cfRule type="containsText" dxfId="21634" priority="6" operator="containsText" text="CMS">
      <formula>NOT(ISERROR(SEARCH("CMS",O56)))</formula>
    </cfRule>
    <cfRule type="cellIs" dxfId="21633" priority="7" operator="equal">
      <formula>0</formula>
    </cfRule>
    <cfRule type="cellIs" dxfId="21632" priority="8" operator="greaterThan">
      <formula>0</formula>
    </cfRule>
  </conditionalFormatting>
  <conditionalFormatting sqref="P58">
    <cfRule type="cellIs" dxfId="21631" priority="1" operator="equal">
      <formula>"PMS"</formula>
    </cfRule>
    <cfRule type="containsText" dxfId="21630" priority="2" operator="containsText" text="CMS">
      <formula>NOT(ISERROR(SEARCH("CMS",P58)))</formula>
    </cfRule>
    <cfRule type="cellIs" dxfId="21629" priority="3" operator="equal">
      <formula>0</formula>
    </cfRule>
    <cfRule type="cellIs" dxfId="2162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6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BEEA-D4F2-4711-AB05-DF130FD2B066}">
  <sheetPr codeName="Sheet111"/>
  <dimension ref="A2:DT137"/>
  <sheetViews>
    <sheetView zoomScale="70" zoomScaleNormal="70" zoomScaleSheetLayoutView="51" zoomScalePageLayoutView="55" workbookViewId="0">
      <pane xSplit="5" ySplit="11" topLeftCell="F86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J83" sqref="J8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13,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513.40000000000009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</v>
      </c>
      <c r="G13" s="71">
        <v>6.6</v>
      </c>
      <c r="H13" s="71">
        <v>6.8</v>
      </c>
      <c r="I13" s="71">
        <v>6.8</v>
      </c>
      <c r="J13" s="71">
        <v>6.8</v>
      </c>
      <c r="K13" s="71">
        <v>6.9</v>
      </c>
      <c r="L13" s="71">
        <v>6.8</v>
      </c>
      <c r="M13" s="71">
        <v>6.5</v>
      </c>
      <c r="N13" s="71">
        <v>6.6</v>
      </c>
      <c r="O13" s="219">
        <v>6.4</v>
      </c>
      <c r="P13" s="219">
        <v>6.8</v>
      </c>
      <c r="Q13" s="71">
        <v>6.8</v>
      </c>
      <c r="R13" s="71">
        <v>6.6</v>
      </c>
      <c r="S13" s="71">
        <v>6.7</v>
      </c>
      <c r="T13" s="71">
        <v>6.6</v>
      </c>
      <c r="U13" s="71">
        <v>6.7</v>
      </c>
      <c r="V13" s="71">
        <v>6.6</v>
      </c>
      <c r="W13" s="71">
        <v>6.7</v>
      </c>
      <c r="X13" s="71">
        <v>6.8</v>
      </c>
      <c r="Y13" s="71">
        <v>6.7</v>
      </c>
      <c r="Z13" s="71">
        <v>6.7</v>
      </c>
      <c r="AA13" s="71">
        <v>6.7</v>
      </c>
      <c r="AB13" s="71">
        <v>6.6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</v>
      </c>
      <c r="G14" s="71">
        <v>6.6</v>
      </c>
      <c r="H14" s="71">
        <v>6.8</v>
      </c>
      <c r="I14" s="71">
        <v>6.8</v>
      </c>
      <c r="J14" s="71">
        <v>6.8</v>
      </c>
      <c r="K14" s="71">
        <v>6.9</v>
      </c>
      <c r="L14" s="71">
        <v>6.8</v>
      </c>
      <c r="M14" s="71">
        <v>6.5</v>
      </c>
      <c r="N14" s="71">
        <v>6.6</v>
      </c>
      <c r="O14" s="219">
        <v>6.3</v>
      </c>
      <c r="P14" s="219">
        <v>6.8</v>
      </c>
      <c r="Q14" s="71">
        <v>6.8</v>
      </c>
      <c r="R14" s="71">
        <v>6.5</v>
      </c>
      <c r="S14" s="71">
        <v>6.7</v>
      </c>
      <c r="T14" s="71">
        <v>6.5</v>
      </c>
      <c r="U14" s="71">
        <v>6.7</v>
      </c>
      <c r="V14" s="71">
        <v>6.7</v>
      </c>
      <c r="W14" s="71">
        <v>6.7</v>
      </c>
      <c r="X14" s="71">
        <v>6.7</v>
      </c>
      <c r="Y14" s="71">
        <v>6.7</v>
      </c>
      <c r="Z14" s="71">
        <v>6.7</v>
      </c>
      <c r="AA14" s="71">
        <v>1</v>
      </c>
      <c r="AB14" s="71" t="s">
        <v>9</v>
      </c>
      <c r="AC14" s="71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22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6.8</v>
      </c>
      <c r="G15" s="71"/>
      <c r="H15" s="71"/>
      <c r="I15" s="71"/>
      <c r="J15" s="71"/>
      <c r="K15" s="71"/>
      <c r="L15" s="71"/>
      <c r="M15" s="71"/>
      <c r="N15" s="71"/>
      <c r="O15" s="219">
        <v>6.5</v>
      </c>
      <c r="P15" s="219">
        <v>6.8</v>
      </c>
      <c r="Q15" s="71">
        <v>6.8</v>
      </c>
      <c r="R15" s="71">
        <v>6.6</v>
      </c>
      <c r="S15" s="71">
        <v>6.7</v>
      </c>
      <c r="T15" s="71">
        <v>6.5</v>
      </c>
      <c r="U15" s="71">
        <v>6.7</v>
      </c>
      <c r="V15" s="71">
        <v>6.7</v>
      </c>
      <c r="W15" s="71">
        <v>6.6</v>
      </c>
      <c r="X15" s="71">
        <v>6.8</v>
      </c>
      <c r="Y15" s="71">
        <v>6.6</v>
      </c>
      <c r="Z15" s="71">
        <v>6.6</v>
      </c>
      <c r="AA15" s="71">
        <v>6.7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6.5</v>
      </c>
      <c r="O16" s="71">
        <v>6.7</v>
      </c>
      <c r="P16" s="219">
        <v>6.8</v>
      </c>
      <c r="Q16" s="71">
        <v>6.8</v>
      </c>
      <c r="R16" s="71">
        <v>6.6</v>
      </c>
      <c r="S16" s="71">
        <v>6.7</v>
      </c>
      <c r="T16" s="71">
        <v>6.6</v>
      </c>
      <c r="U16" s="71">
        <v>6.8</v>
      </c>
      <c r="V16" s="71">
        <v>6.7</v>
      </c>
      <c r="W16" s="71">
        <v>6.7</v>
      </c>
      <c r="X16" s="71">
        <v>6.8</v>
      </c>
      <c r="Y16" s="71">
        <v>6.7</v>
      </c>
      <c r="Z16" s="71">
        <v>6.7</v>
      </c>
      <c r="AA16" s="71">
        <v>6.7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</v>
      </c>
      <c r="G17" s="19">
        <f t="shared" si="0"/>
        <v>13.2</v>
      </c>
      <c r="H17" s="19">
        <f t="shared" si="0"/>
        <v>13.6</v>
      </c>
      <c r="I17" s="19">
        <f t="shared" si="0"/>
        <v>13.6</v>
      </c>
      <c r="J17" s="19">
        <f t="shared" si="0"/>
        <v>13.6</v>
      </c>
      <c r="K17" s="19">
        <f t="shared" si="0"/>
        <v>13.8</v>
      </c>
      <c r="L17" s="19">
        <f t="shared" si="0"/>
        <v>13.6</v>
      </c>
      <c r="M17" s="19">
        <f t="shared" si="0"/>
        <v>13</v>
      </c>
      <c r="N17" s="19">
        <f t="shared" si="0"/>
        <v>19.7</v>
      </c>
      <c r="O17" s="19">
        <f t="shared" si="0"/>
        <v>25.9</v>
      </c>
      <c r="P17" s="19">
        <f t="shared" si="0"/>
        <v>27.2</v>
      </c>
      <c r="Q17" s="19">
        <f t="shared" si="0"/>
        <v>27.2</v>
      </c>
      <c r="R17" s="19">
        <f t="shared" si="0"/>
        <v>26.299999999999997</v>
      </c>
      <c r="S17" s="19">
        <f t="shared" si="0"/>
        <v>26.8</v>
      </c>
      <c r="T17" s="19">
        <f t="shared" ref="T17" si="1">SUM(T13:T16)</f>
        <v>26.200000000000003</v>
      </c>
      <c r="U17" s="19">
        <f t="shared" si="0"/>
        <v>26.900000000000002</v>
      </c>
      <c r="V17" s="19">
        <f t="shared" si="0"/>
        <v>26.7</v>
      </c>
      <c r="W17" s="19">
        <f t="shared" si="0"/>
        <v>26.7</v>
      </c>
      <c r="X17" s="19">
        <f t="shared" si="0"/>
        <v>27.1</v>
      </c>
      <c r="Y17" s="19">
        <f t="shared" si="0"/>
        <v>26.7</v>
      </c>
      <c r="Z17" s="19">
        <f t="shared" si="0"/>
        <v>26.7</v>
      </c>
      <c r="AA17" s="19">
        <f t="shared" si="0"/>
        <v>21.1</v>
      </c>
      <c r="AB17" s="19">
        <f t="shared" si="0"/>
        <v>19.799999999999997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78.899999999999963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3.3</v>
      </c>
      <c r="H21" s="71">
        <v>3.3</v>
      </c>
      <c r="I21" s="71">
        <v>3.3</v>
      </c>
      <c r="J21" s="71">
        <v>3.3</v>
      </c>
      <c r="K21" s="71">
        <v>3.4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3.2</v>
      </c>
      <c r="G22" s="19">
        <f t="shared" si="2"/>
        <v>3.3</v>
      </c>
      <c r="H22" s="19">
        <f t="shared" si="2"/>
        <v>3.3</v>
      </c>
      <c r="I22" s="19">
        <f t="shared" si="2"/>
        <v>3.3</v>
      </c>
      <c r="J22" s="19">
        <f t="shared" si="2"/>
        <v>3.3</v>
      </c>
      <c r="K22" s="19">
        <f t="shared" si="2"/>
        <v>3.4</v>
      </c>
      <c r="L22" s="19">
        <f t="shared" si="2"/>
        <v>3.3</v>
      </c>
      <c r="M22" s="19">
        <f t="shared" si="2"/>
        <v>3.3</v>
      </c>
      <c r="N22" s="19">
        <f t="shared" si="2"/>
        <v>3.3</v>
      </c>
      <c r="O22" s="19">
        <f t="shared" si="2"/>
        <v>3.3</v>
      </c>
      <c r="P22" s="19">
        <f t="shared" si="2"/>
        <v>3.3</v>
      </c>
      <c r="Q22" s="19">
        <f t="shared" si="2"/>
        <v>3.3</v>
      </c>
      <c r="R22" s="19">
        <f t="shared" si="2"/>
        <v>3.3</v>
      </c>
      <c r="S22" s="19">
        <f>SUM(S19:S21)</f>
        <v>3.3</v>
      </c>
      <c r="T22" s="19">
        <f t="shared" ref="T22" si="3">SUM(T19:T21)</f>
        <v>3.3</v>
      </c>
      <c r="U22" s="19">
        <f t="shared" si="2"/>
        <v>3.3</v>
      </c>
      <c r="V22" s="19">
        <f t="shared" si="2"/>
        <v>3.3</v>
      </c>
      <c r="W22" s="19">
        <f t="shared" si="2"/>
        <v>3.3</v>
      </c>
      <c r="X22" s="19">
        <f t="shared" si="2"/>
        <v>3.3</v>
      </c>
      <c r="Y22" s="19">
        <f t="shared" si="2"/>
        <v>3.3</v>
      </c>
      <c r="Z22" s="19">
        <f t="shared" si="2"/>
        <v>3.3</v>
      </c>
      <c r="AA22" s="19">
        <f t="shared" si="2"/>
        <v>3</v>
      </c>
      <c r="AB22" s="19">
        <f t="shared" si="2"/>
        <v>3.3</v>
      </c>
      <c r="AC22" s="19">
        <f t="shared" si="2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84.19999999999996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 t="s">
        <v>9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0.6</v>
      </c>
      <c r="AB24" s="71">
        <v>3.8</v>
      </c>
      <c r="AC24" s="71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0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ref="T25" si="6">SUM(T24)</f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0.6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182.70000000000002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4.0999999999999996</v>
      </c>
      <c r="I27" s="71">
        <v>4</v>
      </c>
      <c r="J27" s="71">
        <v>3.7</v>
      </c>
      <c r="K27" s="71">
        <v>3.8</v>
      </c>
      <c r="L27" s="71">
        <v>4</v>
      </c>
      <c r="M27" s="71">
        <v>4</v>
      </c>
      <c r="N27" s="71">
        <v>4</v>
      </c>
      <c r="O27" s="71">
        <v>4</v>
      </c>
      <c r="P27" s="71">
        <v>4.0999999999999996</v>
      </c>
      <c r="Q27" s="71">
        <v>4.2</v>
      </c>
      <c r="R27" s="71">
        <v>3.8</v>
      </c>
      <c r="S27" s="71">
        <v>3.9</v>
      </c>
      <c r="T27" s="71">
        <v>3.8</v>
      </c>
      <c r="U27" s="71">
        <v>3.9</v>
      </c>
      <c r="V27" s="71">
        <v>3.8</v>
      </c>
      <c r="W27" s="71">
        <v>3.7</v>
      </c>
      <c r="X27" s="71">
        <v>4.0999999999999996</v>
      </c>
      <c r="Y27" s="71">
        <v>3.8</v>
      </c>
      <c r="Z27" s="71">
        <v>3.8</v>
      </c>
      <c r="AA27" s="71">
        <v>3.8</v>
      </c>
      <c r="AB27" s="71">
        <v>3.9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4.0999999999999996</v>
      </c>
      <c r="I28" s="71">
        <v>4</v>
      </c>
      <c r="J28" s="71">
        <v>3.7</v>
      </c>
      <c r="K28" s="71">
        <v>3.8</v>
      </c>
      <c r="L28" s="71">
        <v>4</v>
      </c>
      <c r="M28" s="71">
        <v>4</v>
      </c>
      <c r="N28" s="71">
        <v>4</v>
      </c>
      <c r="O28" s="219">
        <v>4</v>
      </c>
      <c r="P28" s="71">
        <v>4.0999999999999996</v>
      </c>
      <c r="Q28" s="71">
        <v>4.2</v>
      </c>
      <c r="R28" s="71">
        <v>3.8</v>
      </c>
      <c r="S28" s="71">
        <v>3.9</v>
      </c>
      <c r="T28" s="71">
        <v>3.8</v>
      </c>
      <c r="U28" s="71">
        <v>3.9</v>
      </c>
      <c r="V28" s="71">
        <v>3.8</v>
      </c>
      <c r="W28" s="71">
        <v>3.7</v>
      </c>
      <c r="X28" s="71">
        <v>4.0999999999999996</v>
      </c>
      <c r="Y28" s="71">
        <v>3.8</v>
      </c>
      <c r="Z28" s="71">
        <v>3.8</v>
      </c>
      <c r="AA28" s="71">
        <v>0.5</v>
      </c>
      <c r="AB28" s="71">
        <v>3.9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7">SUM(F27:F29)</f>
        <v>6</v>
      </c>
      <c r="G30" s="19">
        <f t="shared" si="7"/>
        <v>8</v>
      </c>
      <c r="H30" s="19">
        <f t="shared" si="7"/>
        <v>8.1999999999999993</v>
      </c>
      <c r="I30" s="19">
        <f t="shared" si="7"/>
        <v>8</v>
      </c>
      <c r="J30" s="19">
        <f t="shared" si="7"/>
        <v>7.4</v>
      </c>
      <c r="K30" s="19">
        <f t="shared" si="7"/>
        <v>7.6</v>
      </c>
      <c r="L30" s="19">
        <f t="shared" si="7"/>
        <v>8</v>
      </c>
      <c r="M30" s="19">
        <f t="shared" si="7"/>
        <v>8</v>
      </c>
      <c r="N30" s="19">
        <f t="shared" si="7"/>
        <v>8</v>
      </c>
      <c r="O30" s="19">
        <f t="shared" si="7"/>
        <v>8</v>
      </c>
      <c r="P30" s="19">
        <f t="shared" si="7"/>
        <v>8.1999999999999993</v>
      </c>
      <c r="Q30" s="19">
        <f t="shared" si="7"/>
        <v>8.4</v>
      </c>
      <c r="R30" s="19">
        <f t="shared" si="7"/>
        <v>7.6</v>
      </c>
      <c r="S30" s="19">
        <f t="shared" si="7"/>
        <v>7.8</v>
      </c>
      <c r="T30" s="19">
        <f t="shared" ref="T30" si="8">SUM(T27:T29)</f>
        <v>7.6</v>
      </c>
      <c r="U30" s="19">
        <f t="shared" si="7"/>
        <v>7.8</v>
      </c>
      <c r="V30" s="19">
        <f t="shared" si="7"/>
        <v>7.6</v>
      </c>
      <c r="W30" s="19">
        <f t="shared" si="7"/>
        <v>7.4</v>
      </c>
      <c r="X30" s="19">
        <f t="shared" si="7"/>
        <v>8.1999999999999993</v>
      </c>
      <c r="Y30" s="19">
        <f t="shared" si="7"/>
        <v>7.6</v>
      </c>
      <c r="Z30" s="19">
        <f t="shared" si="7"/>
        <v>7.6</v>
      </c>
      <c r="AA30" s="19">
        <f t="shared" si="7"/>
        <v>4.3</v>
      </c>
      <c r="AB30" s="19">
        <f t="shared" si="7"/>
        <v>7.8</v>
      </c>
      <c r="AC30" s="19">
        <f t="shared" si="7"/>
        <v>7.6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0</v>
      </c>
      <c r="G33" s="19">
        <f t="shared" ref="G33:AC33" si="10">SUM(G32)</f>
        <v>0</v>
      </c>
      <c r="H33" s="19">
        <f t="shared" si="10"/>
        <v>0</v>
      </c>
      <c r="I33" s="19">
        <f t="shared" si="10"/>
        <v>0</v>
      </c>
      <c r="J33" s="19">
        <f t="shared" si="10"/>
        <v>0</v>
      </c>
      <c r="K33" s="19">
        <f t="shared" si="10"/>
        <v>0</v>
      </c>
      <c r="L33" s="19">
        <f t="shared" si="10"/>
        <v>0</v>
      </c>
      <c r="M33" s="19">
        <f t="shared" si="10"/>
        <v>0</v>
      </c>
      <c r="N33" s="19">
        <f t="shared" si="10"/>
        <v>0</v>
      </c>
      <c r="O33" s="19">
        <f t="shared" si="10"/>
        <v>0</v>
      </c>
      <c r="P33" s="19">
        <f t="shared" si="10"/>
        <v>0</v>
      </c>
      <c r="Q33" s="19">
        <f t="shared" si="10"/>
        <v>0</v>
      </c>
      <c r="R33" s="19">
        <f t="shared" si="10"/>
        <v>0</v>
      </c>
      <c r="S33" s="19">
        <f t="shared" si="10"/>
        <v>0</v>
      </c>
      <c r="T33" s="19">
        <f t="shared" ref="T33" si="11">SUM(T32)</f>
        <v>0</v>
      </c>
      <c r="U33" s="19">
        <f t="shared" si="10"/>
        <v>0</v>
      </c>
      <c r="V33" s="19">
        <f t="shared" si="10"/>
        <v>0</v>
      </c>
      <c r="W33" s="19">
        <f t="shared" si="10"/>
        <v>0</v>
      </c>
      <c r="X33" s="19">
        <f t="shared" si="10"/>
        <v>0</v>
      </c>
      <c r="Y33" s="19">
        <f t="shared" si="10"/>
        <v>0</v>
      </c>
      <c r="Z33" s="19">
        <f t="shared" si="10"/>
        <v>0</v>
      </c>
      <c r="AA33" s="19">
        <f t="shared" si="10"/>
        <v>0</v>
      </c>
      <c r="AB33" s="19">
        <f t="shared" si="10"/>
        <v>0</v>
      </c>
      <c r="AC33" s="19">
        <f t="shared" si="10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116.94999999999989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2">COUNTIF(F35:AC35,$AJ$8)</f>
        <v>24</v>
      </c>
      <c r="AG35" s="11">
        <f t="shared" ref="AG35:AG58" si="13">COUNTIF(G35:AD35,$AJ$7)</f>
        <v>0</v>
      </c>
      <c r="AH35" s="11">
        <f t="shared" ref="AH35:AH58" si="14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2"/>
        <v>24</v>
      </c>
      <c r="AG36" s="11">
        <f t="shared" si="13"/>
        <v>0</v>
      </c>
      <c r="AH36" s="11">
        <f t="shared" si="14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2"/>
        <v>24</v>
      </c>
      <c r="AG37" s="11">
        <f t="shared" si="13"/>
        <v>0</v>
      </c>
      <c r="AH37" s="11">
        <f t="shared" si="14"/>
        <v>0</v>
      </c>
    </row>
    <row r="38" spans="1:35" x14ac:dyDescent="0.2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2"/>
        <v>17</v>
      </c>
      <c r="AG38" s="11">
        <f t="shared" si="13"/>
        <v>0</v>
      </c>
      <c r="AH38" s="11">
        <f t="shared" si="14"/>
        <v>7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>
        <v>0</v>
      </c>
      <c r="N39" s="71">
        <v>0</v>
      </c>
      <c r="O39" s="71">
        <v>0</v>
      </c>
      <c r="P39" s="71">
        <v>0</v>
      </c>
      <c r="Q39" s="71">
        <v>0</v>
      </c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12</v>
      </c>
    </row>
    <row r="40" spans="1:35" x14ac:dyDescent="0.25">
      <c r="A40" s="70">
        <v>36</v>
      </c>
      <c r="B40" s="15"/>
      <c r="C40" s="15"/>
      <c r="D40" s="15"/>
      <c r="E40" s="15"/>
      <c r="F40" s="71">
        <v>0</v>
      </c>
      <c r="G40" s="71">
        <v>1</v>
      </c>
      <c r="H40" s="71"/>
      <c r="I40" s="71"/>
      <c r="J40" s="71"/>
      <c r="K40" s="71">
        <v>0.9</v>
      </c>
      <c r="L40" s="71">
        <v>1</v>
      </c>
      <c r="M40" s="71">
        <v>1</v>
      </c>
      <c r="N40" s="71"/>
      <c r="O40" s="71">
        <v>1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1</v>
      </c>
      <c r="V40" s="71">
        <v>1</v>
      </c>
      <c r="W40" s="71">
        <v>1</v>
      </c>
      <c r="X40" s="71">
        <v>1</v>
      </c>
      <c r="Y40" s="71">
        <v>1</v>
      </c>
      <c r="Z40" s="71">
        <v>1</v>
      </c>
      <c r="AA40" s="71">
        <v>0.95</v>
      </c>
      <c r="AB40" s="71">
        <v>0.95</v>
      </c>
      <c r="AC40" s="71">
        <v>0.95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20</v>
      </c>
    </row>
    <row r="41" spans="1:35" x14ac:dyDescent="0.25">
      <c r="A41" s="70">
        <v>37</v>
      </c>
      <c r="B41" s="15"/>
      <c r="C41" s="15"/>
      <c r="D41" s="15"/>
      <c r="E41" s="15"/>
      <c r="F41" s="71">
        <v>0</v>
      </c>
      <c r="G41" s="71">
        <v>0.9</v>
      </c>
      <c r="H41" s="71"/>
      <c r="I41" s="71"/>
      <c r="J41" s="71"/>
      <c r="K41" s="71"/>
      <c r="L41" s="71">
        <v>1</v>
      </c>
      <c r="M41" s="71">
        <v>1</v>
      </c>
      <c r="N41" s="71">
        <v>1</v>
      </c>
      <c r="O41" s="71">
        <v>1</v>
      </c>
      <c r="P41" s="71">
        <v>1</v>
      </c>
      <c r="Q41" s="71">
        <v>1</v>
      </c>
      <c r="R41" s="71">
        <v>1</v>
      </c>
      <c r="S41" s="71">
        <v>1</v>
      </c>
      <c r="T41" s="71">
        <v>1</v>
      </c>
      <c r="U41" s="71">
        <v>1</v>
      </c>
      <c r="V41" s="71">
        <v>1</v>
      </c>
      <c r="W41" s="71">
        <v>1</v>
      </c>
      <c r="X41" s="71">
        <v>1</v>
      </c>
      <c r="Y41" s="71">
        <v>1</v>
      </c>
      <c r="Z41" s="71">
        <v>1</v>
      </c>
      <c r="AA41" s="71">
        <v>0.95</v>
      </c>
      <c r="AB41" s="71">
        <v>0.95</v>
      </c>
      <c r="AC41" s="71" t="s">
        <v>7</v>
      </c>
      <c r="AD41" s="41"/>
      <c r="AE41" s="41"/>
      <c r="AF41" s="11">
        <f t="shared" si="12"/>
        <v>0</v>
      </c>
      <c r="AG41" s="11">
        <f t="shared" si="13"/>
        <v>1</v>
      </c>
      <c r="AH41" s="11">
        <f t="shared" si="14"/>
        <v>19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2"/>
        <v>24</v>
      </c>
      <c r="AG42" s="11">
        <f t="shared" si="13"/>
        <v>0</v>
      </c>
      <c r="AH42" s="11">
        <f t="shared" si="14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1</v>
      </c>
      <c r="M43" s="71">
        <v>1</v>
      </c>
      <c r="N43" s="71">
        <v>0.9</v>
      </c>
      <c r="O43" s="71">
        <v>1</v>
      </c>
      <c r="P43" s="71">
        <v>1</v>
      </c>
      <c r="Q43" s="71">
        <v>1</v>
      </c>
      <c r="R43" s="71">
        <v>1</v>
      </c>
      <c r="S43" s="71">
        <v>1</v>
      </c>
      <c r="T43" s="71">
        <v>1</v>
      </c>
      <c r="U43" s="71">
        <v>1</v>
      </c>
      <c r="V43" s="71">
        <v>1</v>
      </c>
      <c r="W43" s="71">
        <v>1</v>
      </c>
      <c r="X43" s="71">
        <v>1</v>
      </c>
      <c r="Y43" s="71">
        <v>1</v>
      </c>
      <c r="Z43" s="71">
        <v>1</v>
      </c>
      <c r="AA43" s="71" t="s">
        <v>7</v>
      </c>
      <c r="AB43" s="71" t="s">
        <v>7</v>
      </c>
      <c r="AC43" s="71">
        <v>0.95</v>
      </c>
      <c r="AD43" s="41"/>
      <c r="AE43" s="41"/>
      <c r="AF43" s="11">
        <f t="shared" si="12"/>
        <v>0</v>
      </c>
      <c r="AG43" s="11">
        <f t="shared" si="13"/>
        <v>2</v>
      </c>
      <c r="AH43" s="11">
        <f t="shared" si="14"/>
        <v>22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0.8</v>
      </c>
      <c r="R44" s="71">
        <f>5/6</f>
        <v>0.83333333333333337</v>
      </c>
      <c r="S44" s="71">
        <f>5/6</f>
        <v>0.83333333333333337</v>
      </c>
      <c r="T44" s="71">
        <f>5/6</f>
        <v>0.83333333333333337</v>
      </c>
      <c r="U44" s="71">
        <f>7.5/9</f>
        <v>0.83333333333333337</v>
      </c>
      <c r="V44" s="71">
        <f>5.85/7</f>
        <v>0.83571428571428563</v>
      </c>
      <c r="W44" s="71">
        <f>4.15/5</f>
        <v>0.83000000000000007</v>
      </c>
      <c r="X44" s="71">
        <v>0</v>
      </c>
      <c r="Y44" s="71">
        <v>0</v>
      </c>
      <c r="Z44" s="71">
        <v>0</v>
      </c>
      <c r="AA44" s="71">
        <v>0</v>
      </c>
      <c r="AB44" s="71">
        <v>0.8</v>
      </c>
      <c r="AC44" s="71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12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12"/>
        <v>24</v>
      </c>
      <c r="AG45" s="11">
        <f t="shared" si="13"/>
        <v>0</v>
      </c>
      <c r="AH45" s="11">
        <f t="shared" si="14"/>
        <v>0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>
        <v>0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v>0.9</v>
      </c>
      <c r="Q46" s="71"/>
      <c r="R46" s="71">
        <f>5/6</f>
        <v>0.83333333333333337</v>
      </c>
      <c r="S46" s="71">
        <f>5/6</f>
        <v>0.83333333333333337</v>
      </c>
      <c r="T46" s="71">
        <f>5/6</f>
        <v>0.83333333333333337</v>
      </c>
      <c r="U46" s="71">
        <f t="shared" ref="U46:U47" si="15">7.5/9</f>
        <v>0.83333333333333337</v>
      </c>
      <c r="V46" s="71">
        <v>0</v>
      </c>
      <c r="W46" s="71">
        <v>0</v>
      </c>
      <c r="X46" s="71">
        <f>1.6/2</f>
        <v>0.8</v>
      </c>
      <c r="Y46" s="71">
        <f>5.85/7</f>
        <v>0.83571428571428563</v>
      </c>
      <c r="Z46" s="71">
        <v>0</v>
      </c>
      <c r="AA46" s="71">
        <v>0</v>
      </c>
      <c r="AB46" s="71">
        <v>0.8</v>
      </c>
      <c r="AC46" s="71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13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0.9</v>
      </c>
      <c r="Q47" s="71"/>
      <c r="R47" s="71"/>
      <c r="S47" s="71"/>
      <c r="T47" s="71">
        <f>5/6</f>
        <v>0.83333333333333337</v>
      </c>
      <c r="U47" s="71">
        <f t="shared" si="15"/>
        <v>0.83333333333333337</v>
      </c>
      <c r="V47" s="71">
        <f>5.85/7</f>
        <v>0.83571428571428563</v>
      </c>
      <c r="W47" s="71">
        <v>0</v>
      </c>
      <c r="X47" s="71">
        <v>0</v>
      </c>
      <c r="Y47" s="71">
        <f>5.85/7</f>
        <v>0.83571428571428563</v>
      </c>
      <c r="Z47" s="71">
        <v>0.81666666666666676</v>
      </c>
      <c r="AA47" s="71">
        <v>0.8</v>
      </c>
      <c r="AB47" s="71"/>
      <c r="AC47" s="71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19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 t="s">
        <v>9</v>
      </c>
      <c r="G48" s="71" t="s">
        <v>9</v>
      </c>
      <c r="H48" s="71" t="s">
        <v>9</v>
      </c>
      <c r="I48" s="71" t="s">
        <v>9</v>
      </c>
      <c r="J48" s="71" t="s">
        <v>9</v>
      </c>
      <c r="K48" s="71" t="s">
        <v>9</v>
      </c>
      <c r="L48" s="71" t="s">
        <v>9</v>
      </c>
      <c r="M48" s="71" t="s">
        <v>9</v>
      </c>
      <c r="N48" s="71" t="s">
        <v>9</v>
      </c>
      <c r="O48" s="219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 t="s">
        <v>9</v>
      </c>
      <c r="U48" s="71" t="s">
        <v>9</v>
      </c>
      <c r="V48" s="71" t="s">
        <v>9</v>
      </c>
      <c r="W48" s="71" t="s">
        <v>9</v>
      </c>
      <c r="X48" s="71" t="s">
        <v>9</v>
      </c>
      <c r="Y48" s="71" t="s">
        <v>9</v>
      </c>
      <c r="Z48" s="71" t="s">
        <v>9</v>
      </c>
      <c r="AA48" s="71" t="s">
        <v>9</v>
      </c>
      <c r="AB48" s="71" t="s">
        <v>9</v>
      </c>
      <c r="AC48" s="71"/>
      <c r="AD48" s="41"/>
      <c r="AE48" s="41"/>
      <c r="AF48" s="11">
        <f t="shared" si="12"/>
        <v>23</v>
      </c>
      <c r="AG48" s="11">
        <f t="shared" si="13"/>
        <v>0</v>
      </c>
      <c r="AH48" s="11">
        <f t="shared" si="14"/>
        <v>0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>
        <v>0</v>
      </c>
      <c r="G49" s="71"/>
      <c r="H49" s="71"/>
      <c r="I49" s="71"/>
      <c r="J49" s="71"/>
      <c r="K49" s="71"/>
      <c r="L49" s="71"/>
      <c r="M49" s="71"/>
      <c r="N49" s="71"/>
      <c r="O49" s="71"/>
      <c r="P49" s="71">
        <v>0.8</v>
      </c>
      <c r="Q49" s="71"/>
      <c r="R49" s="71"/>
      <c r="S49" s="71">
        <f>5/6</f>
        <v>0.83333333333333337</v>
      </c>
      <c r="T49" s="71">
        <f>5/6</f>
        <v>0.83333333333333337</v>
      </c>
      <c r="U49" s="71">
        <f>7.5/9</f>
        <v>0.83333333333333337</v>
      </c>
      <c r="V49" s="71">
        <v>0</v>
      </c>
      <c r="W49" s="71">
        <v>0</v>
      </c>
      <c r="X49" s="71">
        <v>0</v>
      </c>
      <c r="Y49" s="71">
        <f>5.85/7</f>
        <v>0.83571428571428563</v>
      </c>
      <c r="Z49" s="71"/>
      <c r="AA49" s="71"/>
      <c r="AB49" s="71" t="s">
        <v>9</v>
      </c>
      <c r="AC49" s="71" t="s">
        <v>9</v>
      </c>
      <c r="AD49" s="41"/>
      <c r="AE49" s="41"/>
      <c r="AF49" s="11">
        <f t="shared" si="12"/>
        <v>2</v>
      </c>
      <c r="AG49" s="11">
        <f t="shared" si="13"/>
        <v>0</v>
      </c>
      <c r="AH49" s="11">
        <f t="shared" si="14"/>
        <v>9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2"/>
        <v>24</v>
      </c>
      <c r="AG50" s="11">
        <f t="shared" si="13"/>
        <v>0</v>
      </c>
      <c r="AH50" s="11">
        <f t="shared" si="14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2"/>
        <v>24</v>
      </c>
      <c r="AG51" s="11">
        <f t="shared" si="13"/>
        <v>0</v>
      </c>
      <c r="AH51" s="11">
        <f t="shared" si="14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>
        <v>0</v>
      </c>
      <c r="O52" s="71">
        <v>0</v>
      </c>
      <c r="P52" s="71">
        <v>0.8</v>
      </c>
      <c r="Q52" s="71">
        <v>0.8</v>
      </c>
      <c r="R52" s="71">
        <f>5/6</f>
        <v>0.83333333333333337</v>
      </c>
      <c r="S52" s="71">
        <f>5/6</f>
        <v>0.83333333333333337</v>
      </c>
      <c r="T52" s="71">
        <f>5/6</f>
        <v>0.83333333333333337</v>
      </c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15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0.9</v>
      </c>
      <c r="N53" s="71"/>
      <c r="O53" s="219"/>
      <c r="P53" s="71">
        <v>0.8</v>
      </c>
      <c r="Q53" s="71">
        <v>0.85</v>
      </c>
      <c r="R53" s="71"/>
      <c r="S53" s="71"/>
      <c r="T53" s="71">
        <f>5/6</f>
        <v>0.83333333333333337</v>
      </c>
      <c r="U53" s="71">
        <f t="shared" ref="U53:U55" si="16">7.5/9</f>
        <v>0.83333333333333337</v>
      </c>
      <c r="V53" s="71">
        <f t="shared" ref="V53:V54" si="17">5.85/7</f>
        <v>0.83571428571428563</v>
      </c>
      <c r="W53" s="71">
        <f>4.15/5</f>
        <v>0.83000000000000007</v>
      </c>
      <c r="X53" s="71">
        <v>0</v>
      </c>
      <c r="Y53" s="71">
        <f t="shared" ref="Y53:Y56" si="18">5.85/7</f>
        <v>0.83571428571428563</v>
      </c>
      <c r="Z53" s="71">
        <v>0.81666666666666676</v>
      </c>
      <c r="AA53" s="71">
        <v>0.8</v>
      </c>
      <c r="AB53" s="71"/>
      <c r="AC53" s="71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18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/>
      <c r="N54" s="71"/>
      <c r="O54" s="219"/>
      <c r="P54" s="71">
        <v>0.8</v>
      </c>
      <c r="Q54" s="71"/>
      <c r="R54" s="71"/>
      <c r="S54" s="71"/>
      <c r="T54" s="71"/>
      <c r="U54" s="71">
        <f t="shared" si="16"/>
        <v>0.83333333333333337</v>
      </c>
      <c r="V54" s="71">
        <f t="shared" si="17"/>
        <v>0.83571428571428563</v>
      </c>
      <c r="W54" s="71">
        <v>0</v>
      </c>
      <c r="X54" s="71">
        <v>0</v>
      </c>
      <c r="Y54" s="71">
        <f t="shared" si="18"/>
        <v>0.83571428571428563</v>
      </c>
      <c r="Z54" s="71">
        <v>0.81666666666666676</v>
      </c>
      <c r="AA54" s="71">
        <v>0.8</v>
      </c>
      <c r="AB54" s="71"/>
      <c r="AC54" s="71"/>
      <c r="AD54" s="41"/>
      <c r="AE54" s="41"/>
      <c r="AF54" s="11">
        <f>COUNTIF(F54:AC54,$AJ$8)</f>
        <v>0</v>
      </c>
      <c r="AG54" s="11">
        <f t="shared" si="13"/>
        <v>0</v>
      </c>
      <c r="AH54" s="11">
        <f>COUNT(F54:AC54)</f>
        <v>15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/>
      <c r="R55" s="71"/>
      <c r="S55" s="71"/>
      <c r="T55" s="71">
        <f>5/6</f>
        <v>0.83333333333333337</v>
      </c>
      <c r="U55" s="71">
        <f t="shared" si="16"/>
        <v>0.83333333333333337</v>
      </c>
      <c r="V55" s="71">
        <v>0</v>
      </c>
      <c r="W55" s="71">
        <v>0</v>
      </c>
      <c r="X55" s="71">
        <v>0</v>
      </c>
      <c r="Y55" s="71">
        <f t="shared" si="18"/>
        <v>0.83571428571428563</v>
      </c>
      <c r="Z55" s="71"/>
      <c r="AA55" s="71"/>
      <c r="AB55" s="71"/>
      <c r="AC55" s="71"/>
      <c r="AD55" s="41"/>
      <c r="AE55" s="41"/>
      <c r="AF55" s="11">
        <f t="shared" si="12"/>
        <v>0</v>
      </c>
      <c r="AG55" s="11">
        <f t="shared" si="13"/>
        <v>0</v>
      </c>
      <c r="AH55" s="11">
        <f t="shared" si="14"/>
        <v>7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f t="shared" ref="R56:R58" si="19">5/6</f>
        <v>0.83333333333333337</v>
      </c>
      <c r="S56" s="71"/>
      <c r="T56" s="71"/>
      <c r="U56" s="71"/>
      <c r="V56" s="71">
        <f t="shared" ref="V56:V58" si="20">5.85/7</f>
        <v>0.83571428571428563</v>
      </c>
      <c r="W56" s="71">
        <f t="shared" ref="W56:W58" si="21">4.15/5</f>
        <v>0.83000000000000007</v>
      </c>
      <c r="X56" s="71">
        <f>1.6/2</f>
        <v>0.8</v>
      </c>
      <c r="Y56" s="71">
        <f t="shared" si="18"/>
        <v>0.83571428571428563</v>
      </c>
      <c r="Z56" s="71">
        <v>0</v>
      </c>
      <c r="AA56" s="71">
        <v>0</v>
      </c>
      <c r="AB56" s="71">
        <v>0.8</v>
      </c>
      <c r="AC56" s="71">
        <v>0.8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9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219"/>
      <c r="Q57" s="71">
        <v>0.85</v>
      </c>
      <c r="R57" s="71">
        <f t="shared" si="19"/>
        <v>0.83333333333333337</v>
      </c>
      <c r="S57" s="71">
        <f>5/6</f>
        <v>0.83333333333333337</v>
      </c>
      <c r="T57" s="71">
        <f>5/6</f>
        <v>0.83333333333333337</v>
      </c>
      <c r="U57" s="71">
        <f t="shared" ref="U57:U58" si="22">7.5/9</f>
        <v>0.83333333333333337</v>
      </c>
      <c r="V57" s="71">
        <f t="shared" si="20"/>
        <v>0.83571428571428563</v>
      </c>
      <c r="W57" s="71">
        <f t="shared" si="21"/>
        <v>0.83000000000000007</v>
      </c>
      <c r="X57" s="71">
        <v>0</v>
      </c>
      <c r="Y57" s="71">
        <v>0</v>
      </c>
      <c r="Z57" s="71">
        <v>0</v>
      </c>
      <c r="AA57" s="71">
        <v>0</v>
      </c>
      <c r="AB57" s="71">
        <v>0.8</v>
      </c>
      <c r="AC57" s="71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12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0.8</v>
      </c>
      <c r="N58" s="71"/>
      <c r="O58" s="71"/>
      <c r="P58" s="71">
        <v>0.8</v>
      </c>
      <c r="Q58" s="71">
        <v>0.85</v>
      </c>
      <c r="R58" s="71">
        <f t="shared" si="19"/>
        <v>0.83333333333333337</v>
      </c>
      <c r="S58" s="71">
        <f>5/6</f>
        <v>0.83333333333333337</v>
      </c>
      <c r="T58" s="71">
        <f>5/6</f>
        <v>0.83333333333333337</v>
      </c>
      <c r="U58" s="71">
        <f t="shared" si="22"/>
        <v>0.83333333333333337</v>
      </c>
      <c r="V58" s="71">
        <f t="shared" si="20"/>
        <v>0.83571428571428563</v>
      </c>
      <c r="W58" s="71">
        <f t="shared" si="21"/>
        <v>0.83000000000000007</v>
      </c>
      <c r="X58" s="71">
        <v>0</v>
      </c>
      <c r="Y58" s="71">
        <v>0</v>
      </c>
      <c r="Z58" s="71">
        <v>0</v>
      </c>
      <c r="AA58" s="71">
        <v>0.8</v>
      </c>
      <c r="AB58" s="71"/>
      <c r="AC58" s="71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20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23">SUM(F35:F58)</f>
        <v>0</v>
      </c>
      <c r="G59" s="19">
        <f t="shared" si="23"/>
        <v>1.9</v>
      </c>
      <c r="H59" s="19">
        <f t="shared" si="23"/>
        <v>0</v>
      </c>
      <c r="I59" s="19">
        <f t="shared" si="23"/>
        <v>0</v>
      </c>
      <c r="J59" s="19">
        <f t="shared" si="23"/>
        <v>0</v>
      </c>
      <c r="K59" s="19">
        <f t="shared" si="23"/>
        <v>0.9</v>
      </c>
      <c r="L59" s="19">
        <f t="shared" si="23"/>
        <v>3</v>
      </c>
      <c r="M59" s="19">
        <f t="shared" si="23"/>
        <v>4.7</v>
      </c>
      <c r="N59" s="19">
        <f t="shared" si="23"/>
        <v>1.9</v>
      </c>
      <c r="O59" s="19">
        <f t="shared" si="23"/>
        <v>3</v>
      </c>
      <c r="P59" s="19">
        <f t="shared" si="23"/>
        <v>9.6</v>
      </c>
      <c r="Q59" s="19">
        <f t="shared" si="23"/>
        <v>7.1499999999999986</v>
      </c>
      <c r="R59" s="19">
        <f t="shared" si="23"/>
        <v>7.9999999999999991</v>
      </c>
      <c r="S59" s="19">
        <f t="shared" si="23"/>
        <v>7.9999999999999991</v>
      </c>
      <c r="T59" s="19">
        <f t="shared" ref="T59" si="24">SUM(T35:T58)</f>
        <v>10.5</v>
      </c>
      <c r="U59" s="19">
        <f t="shared" si="23"/>
        <v>10.5</v>
      </c>
      <c r="V59" s="19">
        <f t="shared" si="23"/>
        <v>8.8499999999999979</v>
      </c>
      <c r="W59" s="19">
        <f>SUM(W35:W58)</f>
        <v>7.15</v>
      </c>
      <c r="X59" s="19">
        <f t="shared" si="23"/>
        <v>4.5999999999999996</v>
      </c>
      <c r="Y59" s="19">
        <f>SUM(Y35:Y58)</f>
        <v>8.8499999999999979</v>
      </c>
      <c r="Z59" s="19">
        <f t="shared" si="23"/>
        <v>5.45</v>
      </c>
      <c r="AA59" s="19">
        <f t="shared" si="23"/>
        <v>5.0999999999999996</v>
      </c>
      <c r="AB59" s="19">
        <f t="shared" si="23"/>
        <v>5.0999999999999996</v>
      </c>
      <c r="AC59" s="19">
        <f t="shared" si="23"/>
        <v>2.7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27.299999999999997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>
        <v>0.4</v>
      </c>
      <c r="L61" s="71">
        <f>0.98/2</f>
        <v>0.49</v>
      </c>
      <c r="M61" s="71">
        <f>1.02/2</f>
        <v>0.51</v>
      </c>
      <c r="N61" s="71">
        <f>1.01/2</f>
        <v>0.505</v>
      </c>
      <c r="O61" s="71">
        <f>1.14/2</f>
        <v>0.56999999999999995</v>
      </c>
      <c r="P61" s="71">
        <f>1.16/2</f>
        <v>0.57999999999999996</v>
      </c>
      <c r="Q61" s="71">
        <f>1.27/2</f>
        <v>0.63500000000000001</v>
      </c>
      <c r="R61" s="71">
        <v>0.65</v>
      </c>
      <c r="S61" s="71">
        <v>0.64</v>
      </c>
      <c r="T61" s="71">
        <f>1.36/2</f>
        <v>0.68</v>
      </c>
      <c r="U61" s="71">
        <f>1.36/2</f>
        <v>0.68</v>
      </c>
      <c r="V61" s="71">
        <f>1.32/2</f>
        <v>0.66</v>
      </c>
      <c r="W61" s="71">
        <f>1.25/2</f>
        <v>0.625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v>0.43</v>
      </c>
      <c r="G62" s="71">
        <v>0.44500000000000001</v>
      </c>
      <c r="H62" s="380">
        <v>0.73</v>
      </c>
      <c r="I62" s="71">
        <v>0.7</v>
      </c>
      <c r="J62" s="71">
        <v>0.71</v>
      </c>
      <c r="K62" s="71">
        <v>0.4</v>
      </c>
      <c r="L62" s="71">
        <f>0.98/2</f>
        <v>0.49</v>
      </c>
      <c r="M62" s="71">
        <f>1.02/2</f>
        <v>0.51</v>
      </c>
      <c r="N62" s="71">
        <f>1.01/2</f>
        <v>0.505</v>
      </c>
      <c r="O62" s="71">
        <f>1.14/2</f>
        <v>0.56999999999999995</v>
      </c>
      <c r="P62" s="71">
        <f>1.16/2</f>
        <v>0.57999999999999996</v>
      </c>
      <c r="Q62" s="71">
        <f>1.27/2</f>
        <v>0.63500000000000001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1.53/2</f>
        <v>0.76500000000000001</v>
      </c>
      <c r="Z62" s="71">
        <v>0.76</v>
      </c>
      <c r="AA62" s="71">
        <v>0.70499999999999996</v>
      </c>
      <c r="AB62" s="71">
        <v>0.70499999999999996</v>
      </c>
      <c r="AC62" s="71"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>
        <v>0.43</v>
      </c>
      <c r="G63" s="71">
        <v>0.44500000000000001</v>
      </c>
      <c r="H63" s="380"/>
      <c r="I63" s="380"/>
      <c r="J63" s="380"/>
      <c r="K63" s="380"/>
      <c r="L63" s="380"/>
      <c r="M63" s="71"/>
      <c r="N63" s="71"/>
      <c r="O63" s="71"/>
      <c r="P63" s="71"/>
      <c r="Q63" s="71"/>
      <c r="R63" s="71">
        <v>0.65</v>
      </c>
      <c r="S63" s="71">
        <v>0.64</v>
      </c>
      <c r="T63" s="71">
        <f>1.36/2</f>
        <v>0.68</v>
      </c>
      <c r="U63" s="71">
        <f>1.36/2</f>
        <v>0.68</v>
      </c>
      <c r="V63" s="71">
        <f>1.32/2</f>
        <v>0.66</v>
      </c>
      <c r="W63" s="71">
        <f>1.25/2</f>
        <v>0.625</v>
      </c>
      <c r="X63" s="71">
        <f>1.21/2</f>
        <v>0.60499999999999998</v>
      </c>
      <c r="Y63" s="71">
        <f>1.53/2</f>
        <v>0.76500000000000001</v>
      </c>
      <c r="Z63" s="71">
        <v>0.76</v>
      </c>
      <c r="AA63" s="71">
        <v>0.70499999999999996</v>
      </c>
      <c r="AB63" s="71">
        <v>0.70499999999999996</v>
      </c>
      <c r="AC63" s="380">
        <v>0.54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5">SUM(F61:F63)</f>
        <v>0.86</v>
      </c>
      <c r="G64" s="19">
        <f>SUM(G61:G63)</f>
        <v>0.89</v>
      </c>
      <c r="H64" s="19">
        <f>SUM(H61:H63)</f>
        <v>0.73</v>
      </c>
      <c r="I64" s="19">
        <f>SUM(I61:I63)</f>
        <v>0.7</v>
      </c>
      <c r="J64" s="19">
        <f t="shared" ref="J64:AC64" si="26">SUM(J61:J63)</f>
        <v>0.71</v>
      </c>
      <c r="K64" s="19">
        <f>SUM(K61:K63)</f>
        <v>0.8</v>
      </c>
      <c r="L64" s="19">
        <f t="shared" si="26"/>
        <v>0.98</v>
      </c>
      <c r="M64" s="19">
        <f t="shared" si="26"/>
        <v>1.02</v>
      </c>
      <c r="N64" s="19">
        <f t="shared" si="26"/>
        <v>1.01</v>
      </c>
      <c r="O64" s="19">
        <f t="shared" si="26"/>
        <v>1.1399999999999999</v>
      </c>
      <c r="P64" s="19">
        <f t="shared" si="26"/>
        <v>1.1599999999999999</v>
      </c>
      <c r="Q64" s="19">
        <f t="shared" si="26"/>
        <v>1.27</v>
      </c>
      <c r="R64" s="19">
        <f t="shared" si="26"/>
        <v>1.3</v>
      </c>
      <c r="S64" s="19">
        <f t="shared" si="26"/>
        <v>1.28</v>
      </c>
      <c r="T64" s="19">
        <f>SUM(T61:T63)</f>
        <v>1.36</v>
      </c>
      <c r="U64" s="19">
        <f>SUM(U61:U63)</f>
        <v>1.36</v>
      </c>
      <c r="V64" s="19">
        <f>SUM(V61:V63)</f>
        <v>1.32</v>
      </c>
      <c r="W64" s="19">
        <f t="shared" si="26"/>
        <v>1.25</v>
      </c>
      <c r="X64" s="19">
        <f t="shared" si="26"/>
        <v>1.21</v>
      </c>
      <c r="Y64" s="19">
        <f t="shared" si="26"/>
        <v>1.53</v>
      </c>
      <c r="Z64" s="19">
        <f t="shared" si="26"/>
        <v>1.52</v>
      </c>
      <c r="AA64" s="19">
        <f t="shared" si="26"/>
        <v>1.41</v>
      </c>
      <c r="AB64" s="19">
        <f t="shared" si="26"/>
        <v>1.41</v>
      </c>
      <c r="AC64" s="19">
        <f t="shared" si="26"/>
        <v>1.08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96.08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7">COUNTIF(F66:AC66,$AF$11)</f>
        <v>0</v>
      </c>
      <c r="AG66" s="11">
        <f t="shared" ref="AG66:AG74" si="28">COUNTIF(G66:AC66,$AG$11)</f>
        <v>0</v>
      </c>
      <c r="AH66" s="11">
        <f t="shared" ref="AH66:AH74" si="29">COUNT(F66:AC66)</f>
        <v>13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0.7</v>
      </c>
      <c r="G67" s="71">
        <v>0.7</v>
      </c>
      <c r="H67" s="71">
        <v>0.7</v>
      </c>
      <c r="I67" s="71">
        <f>2.6/4</f>
        <v>0.65</v>
      </c>
      <c r="J67" s="71">
        <f>2.59/4</f>
        <v>0.64749999999999996</v>
      </c>
      <c r="K67" s="71">
        <f>2.65/4</f>
        <v>0.66249999999999998</v>
      </c>
      <c r="L67" s="71">
        <f>3.1/4</f>
        <v>0.77500000000000002</v>
      </c>
      <c r="M67" s="71">
        <f>3.26/5</f>
        <v>0.65199999999999991</v>
      </c>
      <c r="N67" s="71">
        <f>3.4/5</f>
        <v>0.67999999999999994</v>
      </c>
      <c r="O67" s="71">
        <f>4.6/6</f>
        <v>0.76666666666666661</v>
      </c>
      <c r="P67" s="71">
        <f>4.8/6</f>
        <v>0.79999999999999993</v>
      </c>
      <c r="Q67" s="71">
        <f t="shared" ref="Q67:R71" si="30">5/6</f>
        <v>0.83333333333333337</v>
      </c>
      <c r="R67" s="71">
        <f t="shared" si="30"/>
        <v>0.83333333333333337</v>
      </c>
      <c r="S67" s="71">
        <f>5.1/6</f>
        <v>0.85</v>
      </c>
      <c r="T67" s="71">
        <f t="shared" ref="T67:T71" si="31">5/6</f>
        <v>0.83333333333333337</v>
      </c>
      <c r="U67" s="71">
        <f>5.1/6</f>
        <v>0.85</v>
      </c>
      <c r="V67" s="71">
        <f>5/6</f>
        <v>0.83333333333333337</v>
      </c>
      <c r="W67" s="71">
        <f>4.6/6</f>
        <v>0.76666666666666661</v>
      </c>
      <c r="X67" s="71">
        <f>4.2/6</f>
        <v>0.70000000000000007</v>
      </c>
      <c r="Y67" s="71">
        <f>4/6</f>
        <v>0.66666666666666663</v>
      </c>
      <c r="Z67" s="71">
        <v>0.81666666666666676</v>
      </c>
      <c r="AA67" s="71">
        <v>0.78666666666666663</v>
      </c>
      <c r="AB67" s="71">
        <v>0.73166666666666658</v>
      </c>
      <c r="AC67" s="71">
        <v>0.76600000000000001</v>
      </c>
      <c r="AD67" s="35"/>
      <c r="AE67" s="35"/>
      <c r="AF67" s="11">
        <f t="shared" si="27"/>
        <v>0</v>
      </c>
      <c r="AG67" s="11">
        <f t="shared" si="28"/>
        <v>0</v>
      </c>
      <c r="AH67" s="11">
        <f t="shared" si="29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v>0.8</v>
      </c>
      <c r="G68" s="71">
        <v>0.7</v>
      </c>
      <c r="H68" s="71">
        <v>0.7</v>
      </c>
      <c r="I68" s="71">
        <f>2.6/4</f>
        <v>0.65</v>
      </c>
      <c r="J68" s="71">
        <f>2.59/4</f>
        <v>0.64749999999999996</v>
      </c>
      <c r="K68" s="71">
        <f>2.65/4</f>
        <v>0.66249999999999998</v>
      </c>
      <c r="L68" s="71">
        <f>3.1/4</f>
        <v>0.77500000000000002</v>
      </c>
      <c r="M68" s="71">
        <f>3.26/5</f>
        <v>0.65199999999999991</v>
      </c>
      <c r="N68" s="71">
        <f>3.4/5</f>
        <v>0.67999999999999994</v>
      </c>
      <c r="O68" s="71">
        <f>4.6/6</f>
        <v>0.76666666666666661</v>
      </c>
      <c r="P68" s="71">
        <f>4.8/6</f>
        <v>0.79999999999999993</v>
      </c>
      <c r="Q68" s="71">
        <f t="shared" si="30"/>
        <v>0.83333333333333337</v>
      </c>
      <c r="R68" s="71">
        <f t="shared" si="30"/>
        <v>0.83333333333333337</v>
      </c>
      <c r="S68" s="71">
        <f t="shared" ref="S68:S71" si="32">5.1/6</f>
        <v>0.85</v>
      </c>
      <c r="T68" s="71">
        <f t="shared" si="31"/>
        <v>0.83333333333333337</v>
      </c>
      <c r="U68" s="71">
        <f t="shared" ref="U68:U71" si="33">5.1/6</f>
        <v>0.85</v>
      </c>
      <c r="V68" s="71">
        <f>5/6</f>
        <v>0.83333333333333337</v>
      </c>
      <c r="W68" s="71">
        <f t="shared" ref="W68:W71" si="34">4.6/6</f>
        <v>0.76666666666666661</v>
      </c>
      <c r="X68" s="71">
        <f t="shared" ref="X68:X71" si="35">4.2/6</f>
        <v>0.70000000000000007</v>
      </c>
      <c r="Y68" s="71">
        <f t="shared" ref="Y68:Y71" si="36">4/6</f>
        <v>0.66666666666666663</v>
      </c>
      <c r="Z68" s="71">
        <v>0.81666666666666676</v>
      </c>
      <c r="AA68" s="71">
        <v>0.78666666666666663</v>
      </c>
      <c r="AB68" s="71">
        <v>0.73166666666666658</v>
      </c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9"/>
        <v>23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>
        <f>4.6/6</f>
        <v>0.76666666666666661</v>
      </c>
      <c r="P69" s="71">
        <f>4.8/6</f>
        <v>0.79999999999999993</v>
      </c>
      <c r="Q69" s="71">
        <f t="shared" si="30"/>
        <v>0.83333333333333337</v>
      </c>
      <c r="R69" s="71">
        <f t="shared" si="30"/>
        <v>0.83333333333333337</v>
      </c>
      <c r="S69" s="71">
        <f t="shared" si="32"/>
        <v>0.85</v>
      </c>
      <c r="T69" s="71">
        <f t="shared" si="31"/>
        <v>0.83333333333333337</v>
      </c>
      <c r="U69" s="71">
        <f t="shared" si="33"/>
        <v>0.85</v>
      </c>
      <c r="V69" s="71">
        <f>5/6</f>
        <v>0.83333333333333337</v>
      </c>
      <c r="W69" s="71">
        <f t="shared" si="34"/>
        <v>0.76666666666666661</v>
      </c>
      <c r="X69" s="71">
        <f t="shared" si="35"/>
        <v>0.70000000000000007</v>
      </c>
      <c r="Y69" s="71">
        <f t="shared" si="36"/>
        <v>0.66666666666666663</v>
      </c>
      <c r="Z69" s="71">
        <v>0.81666666666666676</v>
      </c>
      <c r="AA69" s="71">
        <v>0.78666666666666663</v>
      </c>
      <c r="AB69" s="71">
        <v>0.73166666666666658</v>
      </c>
      <c r="AC69" s="71">
        <v>0.76600000000000001</v>
      </c>
      <c r="AD69" s="35"/>
      <c r="AE69" s="35"/>
      <c r="AF69" s="11">
        <f t="shared" si="27"/>
        <v>0</v>
      </c>
      <c r="AG69" s="11">
        <f t="shared" si="28"/>
        <v>0</v>
      </c>
      <c r="AH69" s="11">
        <f t="shared" si="29"/>
        <v>15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>
        <f>3.26/5</f>
        <v>0.65199999999999991</v>
      </c>
      <c r="N70" s="71">
        <f>3.4/5</f>
        <v>0.67999999999999994</v>
      </c>
      <c r="O70" s="71">
        <f>4.6/6</f>
        <v>0.76666666666666661</v>
      </c>
      <c r="P70" s="71">
        <f>4.8/6</f>
        <v>0.79999999999999993</v>
      </c>
      <c r="Q70" s="71">
        <f t="shared" si="30"/>
        <v>0.83333333333333337</v>
      </c>
      <c r="R70" s="71">
        <f t="shared" si="30"/>
        <v>0.83333333333333337</v>
      </c>
      <c r="S70" s="71">
        <f t="shared" si="32"/>
        <v>0.85</v>
      </c>
      <c r="T70" s="71">
        <f t="shared" si="31"/>
        <v>0.83333333333333337</v>
      </c>
      <c r="U70" s="71">
        <f t="shared" si="33"/>
        <v>0.85</v>
      </c>
      <c r="V70" s="71">
        <f>5/6</f>
        <v>0.83333333333333337</v>
      </c>
      <c r="W70" s="71">
        <f t="shared" si="34"/>
        <v>0.76666666666666661</v>
      </c>
      <c r="X70" s="71">
        <f t="shared" si="35"/>
        <v>0.70000000000000007</v>
      </c>
      <c r="Y70" s="71">
        <f t="shared" si="36"/>
        <v>0.66666666666666663</v>
      </c>
      <c r="Z70" s="71">
        <v>0.81666666666666676</v>
      </c>
      <c r="AA70" s="71">
        <v>0.78666666666666663</v>
      </c>
      <c r="AB70" s="71">
        <v>0.73166666666666658</v>
      </c>
      <c r="AC70" s="71">
        <v>0.76600000000000001</v>
      </c>
      <c r="AD70" s="35"/>
      <c r="AE70" s="35"/>
      <c r="AF70" s="11">
        <f t="shared" si="27"/>
        <v>0</v>
      </c>
      <c r="AG70" s="11">
        <f t="shared" si="28"/>
        <v>0</v>
      </c>
      <c r="AH70" s="11">
        <f t="shared" si="29"/>
        <v>17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v>0.7</v>
      </c>
      <c r="G71" s="71">
        <v>0.7</v>
      </c>
      <c r="H71" s="71">
        <v>0.6</v>
      </c>
      <c r="I71" s="71">
        <f>2.6/4</f>
        <v>0.65</v>
      </c>
      <c r="J71" s="71">
        <f>2.59/4</f>
        <v>0.64749999999999996</v>
      </c>
      <c r="K71" s="71">
        <f>2.65/4</f>
        <v>0.66249999999999998</v>
      </c>
      <c r="L71" s="71">
        <f>3.1/4</f>
        <v>0.77500000000000002</v>
      </c>
      <c r="M71" s="71">
        <f>3.26/5</f>
        <v>0.65199999999999991</v>
      </c>
      <c r="N71" s="71">
        <f>3.4/5</f>
        <v>0.67999999999999994</v>
      </c>
      <c r="O71" s="71">
        <f>4.6/6</f>
        <v>0.76666666666666661</v>
      </c>
      <c r="P71" s="71">
        <f>4.8/6</f>
        <v>0.79999999999999993</v>
      </c>
      <c r="Q71" s="71">
        <f t="shared" si="30"/>
        <v>0.83333333333333337</v>
      </c>
      <c r="R71" s="71">
        <f t="shared" si="30"/>
        <v>0.83333333333333337</v>
      </c>
      <c r="S71" s="71">
        <f t="shared" si="32"/>
        <v>0.85</v>
      </c>
      <c r="T71" s="71">
        <f t="shared" si="31"/>
        <v>0.83333333333333337</v>
      </c>
      <c r="U71" s="71">
        <f t="shared" si="33"/>
        <v>0.85</v>
      </c>
      <c r="V71" s="71">
        <f>5/6</f>
        <v>0.83333333333333337</v>
      </c>
      <c r="W71" s="71">
        <f t="shared" si="34"/>
        <v>0.76666666666666661</v>
      </c>
      <c r="X71" s="71">
        <f t="shared" si="35"/>
        <v>0.70000000000000007</v>
      </c>
      <c r="Y71" s="71">
        <f t="shared" si="36"/>
        <v>0.66666666666666663</v>
      </c>
      <c r="Z71" s="71">
        <v>0.81666666666666676</v>
      </c>
      <c r="AA71" s="71">
        <v>0.78666666666666663</v>
      </c>
      <c r="AB71" s="71">
        <v>0.73166666666666658</v>
      </c>
      <c r="AC71" s="71">
        <v>0.76600000000000001</v>
      </c>
      <c r="AD71" s="35"/>
      <c r="AE71" s="35"/>
      <c r="AF71" s="11">
        <f t="shared" si="27"/>
        <v>0</v>
      </c>
      <c r="AG71" s="11">
        <f t="shared" si="28"/>
        <v>0</v>
      </c>
      <c r="AH71" s="11">
        <f t="shared" si="29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7"/>
        <v>0</v>
      </c>
      <c r="AG72" s="11">
        <f t="shared" si="28"/>
        <v>0</v>
      </c>
      <c r="AH72" s="11">
        <f t="shared" si="29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7"/>
        <v>24</v>
      </c>
      <c r="AG73" s="11">
        <f t="shared" si="28"/>
        <v>0</v>
      </c>
      <c r="AH73" s="11">
        <f t="shared" si="29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v>0.7</v>
      </c>
      <c r="G74" s="71">
        <v>0.61</v>
      </c>
      <c r="H74" s="71">
        <v>0.63</v>
      </c>
      <c r="I74" s="71">
        <f>2.6/4</f>
        <v>0.65</v>
      </c>
      <c r="J74" s="71">
        <f>2.59/4</f>
        <v>0.64749999999999996</v>
      </c>
      <c r="K74" s="71">
        <f>2.65/4</f>
        <v>0.66249999999999998</v>
      </c>
      <c r="L74" s="71">
        <f>3.1/4</f>
        <v>0.77500000000000002</v>
      </c>
      <c r="M74" s="71">
        <f>3.26/5</f>
        <v>0.65199999999999991</v>
      </c>
      <c r="N74" s="71">
        <f>3.4/5</f>
        <v>0.67999999999999994</v>
      </c>
      <c r="O74" s="71">
        <f>4.6/6</f>
        <v>0.76666666666666661</v>
      </c>
      <c r="P74" s="71">
        <f>4.8/6</f>
        <v>0.79999999999999993</v>
      </c>
      <c r="Q74" s="71">
        <f>5/6</f>
        <v>0.83333333333333337</v>
      </c>
      <c r="R74" s="71">
        <f>5/6</f>
        <v>0.83333333333333337</v>
      </c>
      <c r="S74" s="71">
        <f>5.1/6</f>
        <v>0.85</v>
      </c>
      <c r="T74" s="71">
        <f>5/6</f>
        <v>0.83333333333333337</v>
      </c>
      <c r="U74" s="71">
        <f>5.1/6</f>
        <v>0.85</v>
      </c>
      <c r="V74" s="71">
        <f>5/6</f>
        <v>0.83333333333333337</v>
      </c>
      <c r="W74" s="71">
        <f>4.6/6</f>
        <v>0.76666666666666661</v>
      </c>
      <c r="X74" s="71">
        <f>4.2/6</f>
        <v>0.70000000000000007</v>
      </c>
      <c r="Y74" s="71">
        <f>4/6</f>
        <v>0.66666666666666663</v>
      </c>
      <c r="Z74" s="71">
        <v>0.81666666666666676</v>
      </c>
      <c r="AA74" s="71">
        <v>0.78666666666666663</v>
      </c>
      <c r="AB74" s="71">
        <v>0.73166666666666658</v>
      </c>
      <c r="AC74" s="71">
        <v>0.76600000000000001</v>
      </c>
      <c r="AD74" s="31"/>
      <c r="AE74" s="31"/>
      <c r="AF74" s="11">
        <f t="shared" si="27"/>
        <v>0</v>
      </c>
      <c r="AG74" s="11">
        <f t="shared" si="28"/>
        <v>0</v>
      </c>
      <c r="AH74" s="11">
        <f t="shared" si="29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7">SUM(F66:F74)</f>
        <v>2.9000000000000004</v>
      </c>
      <c r="G75" s="19">
        <f t="shared" si="37"/>
        <v>2.7099999999999995</v>
      </c>
      <c r="H75" s="19">
        <f t="shared" si="37"/>
        <v>2.63</v>
      </c>
      <c r="I75" s="19">
        <f t="shared" si="37"/>
        <v>2.6</v>
      </c>
      <c r="J75" s="19">
        <f t="shared" si="37"/>
        <v>2.59</v>
      </c>
      <c r="K75" s="19">
        <f t="shared" si="37"/>
        <v>2.65</v>
      </c>
      <c r="L75" s="19">
        <f>SUM(L66:L74)</f>
        <v>3.1</v>
      </c>
      <c r="M75" s="19">
        <f t="shared" si="37"/>
        <v>3.26</v>
      </c>
      <c r="N75" s="19">
        <f t="shared" si="37"/>
        <v>3.3999999999999995</v>
      </c>
      <c r="O75" s="19">
        <f t="shared" si="37"/>
        <v>4.5999999999999996</v>
      </c>
      <c r="P75" s="19">
        <f t="shared" si="37"/>
        <v>4.8</v>
      </c>
      <c r="Q75" s="19">
        <f t="shared" si="37"/>
        <v>5</v>
      </c>
      <c r="R75" s="19">
        <f t="shared" si="37"/>
        <v>5</v>
      </c>
      <c r="S75" s="19">
        <f t="shared" si="37"/>
        <v>5.0999999999999996</v>
      </c>
      <c r="T75" s="19">
        <f t="shared" ref="T75" si="38">SUM(T66:T74)</f>
        <v>5</v>
      </c>
      <c r="U75" s="19">
        <f t="shared" si="37"/>
        <v>5.0999999999999996</v>
      </c>
      <c r="V75" s="19">
        <f t="shared" si="37"/>
        <v>5</v>
      </c>
      <c r="W75" s="19">
        <f t="shared" si="37"/>
        <v>4.5999999999999996</v>
      </c>
      <c r="X75" s="19">
        <f t="shared" si="37"/>
        <v>4.2</v>
      </c>
      <c r="Y75" s="19">
        <f t="shared" si="37"/>
        <v>3.9999999999999996</v>
      </c>
      <c r="Z75" s="19">
        <f t="shared" si="37"/>
        <v>4.9000000000000004</v>
      </c>
      <c r="AA75" s="19">
        <f t="shared" si="37"/>
        <v>4.72</v>
      </c>
      <c r="AB75" s="19">
        <f t="shared" si="37"/>
        <v>4.3899999999999997</v>
      </c>
      <c r="AC75" s="19">
        <f t="shared" si="37"/>
        <v>3.83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19.450000000000003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0.69</v>
      </c>
      <c r="N77" s="71">
        <v>0.68</v>
      </c>
      <c r="O77" s="71">
        <v>0.74</v>
      </c>
      <c r="P77" s="71">
        <v>0.79</v>
      </c>
      <c r="Q77" s="71">
        <v>0.81</v>
      </c>
      <c r="R77" s="71">
        <v>0.86</v>
      </c>
      <c r="S77" s="71">
        <v>0.87</v>
      </c>
      <c r="T77" s="71">
        <v>0.87</v>
      </c>
      <c r="U77" s="71">
        <v>0.87</v>
      </c>
      <c r="V77" s="71">
        <v>0.89</v>
      </c>
      <c r="W77" s="71">
        <v>0.89</v>
      </c>
      <c r="X77" s="71">
        <v>0.87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0.75</v>
      </c>
      <c r="G78" s="71">
        <v>0.72</v>
      </c>
      <c r="H78" s="71">
        <v>0.69</v>
      </c>
      <c r="I78" s="71">
        <v>0.67</v>
      </c>
      <c r="J78" s="380">
        <v>0.64</v>
      </c>
      <c r="K78" s="71">
        <v>0.68</v>
      </c>
      <c r="L78" s="71">
        <v>0.71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</v>
      </c>
      <c r="AA78" s="71">
        <v>0.97</v>
      </c>
      <c r="AB78" s="71">
        <v>0.92</v>
      </c>
      <c r="AC78" s="71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9">SUM(F77:F78)</f>
        <v>0.75</v>
      </c>
      <c r="G79" s="19">
        <f>SUM(G77:G78)</f>
        <v>0.72</v>
      </c>
      <c r="H79" s="19">
        <f>SUM(H77:H78)</f>
        <v>0.69</v>
      </c>
      <c r="I79" s="19">
        <f>SUM(I77:I78)</f>
        <v>0.67</v>
      </c>
      <c r="J79" s="19">
        <f t="shared" ref="J79:AC79" si="40">SUM(J77:J78)</f>
        <v>0.64</v>
      </c>
      <c r="K79" s="19">
        <f t="shared" si="40"/>
        <v>0.68</v>
      </c>
      <c r="L79" s="19">
        <f>SUM(L77:L78)</f>
        <v>0.71</v>
      </c>
      <c r="M79" s="19">
        <f t="shared" si="40"/>
        <v>0.69</v>
      </c>
      <c r="N79" s="19">
        <f t="shared" si="40"/>
        <v>0.68</v>
      </c>
      <c r="O79" s="19">
        <f>SUM(O77:O78)</f>
        <v>0.74</v>
      </c>
      <c r="P79" s="19">
        <f t="shared" si="40"/>
        <v>0.79</v>
      </c>
      <c r="Q79" s="19">
        <f t="shared" si="40"/>
        <v>0.81</v>
      </c>
      <c r="R79" s="19">
        <f t="shared" si="40"/>
        <v>0.86</v>
      </c>
      <c r="S79" s="19">
        <f t="shared" si="40"/>
        <v>0.87</v>
      </c>
      <c r="T79" s="19">
        <f t="shared" ref="T79" si="41">SUM(T77:T78)</f>
        <v>0.87</v>
      </c>
      <c r="U79" s="19">
        <f t="shared" si="40"/>
        <v>0.87</v>
      </c>
      <c r="V79" s="19">
        <f t="shared" si="40"/>
        <v>0.89</v>
      </c>
      <c r="W79" s="19">
        <f t="shared" si="40"/>
        <v>0.89</v>
      </c>
      <c r="X79" s="19">
        <f t="shared" si="40"/>
        <v>0.87</v>
      </c>
      <c r="Y79" s="19">
        <f t="shared" si="40"/>
        <v>1</v>
      </c>
      <c r="Z79" s="19">
        <f t="shared" si="40"/>
        <v>1</v>
      </c>
      <c r="AA79" s="19">
        <f t="shared" si="40"/>
        <v>0.97</v>
      </c>
      <c r="AB79" s="19">
        <f t="shared" si="40"/>
        <v>0.92</v>
      </c>
      <c r="AC79" s="19">
        <f t="shared" si="40"/>
        <v>0.87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2">SUM(F17,F22,F25,F30,F33,F59,F64,F75,F79,F81)</f>
        <v>36.31</v>
      </c>
      <c r="G82" s="28">
        <f t="shared" si="42"/>
        <v>34.519999999999996</v>
      </c>
      <c r="H82" s="28">
        <f t="shared" si="42"/>
        <v>32.949999999999996</v>
      </c>
      <c r="I82" s="28">
        <f t="shared" si="42"/>
        <v>32.67</v>
      </c>
      <c r="J82" s="28">
        <f t="shared" si="42"/>
        <v>32.04</v>
      </c>
      <c r="K82" s="28">
        <f t="shared" si="42"/>
        <v>33.630000000000003</v>
      </c>
      <c r="L82" s="28">
        <f t="shared" si="42"/>
        <v>36.49</v>
      </c>
      <c r="M82" s="28">
        <f t="shared" si="42"/>
        <v>37.770000000000003</v>
      </c>
      <c r="N82" s="28">
        <f t="shared" si="42"/>
        <v>41.789999999999992</v>
      </c>
      <c r="O82" s="28">
        <f t="shared" si="42"/>
        <v>50.480000000000004</v>
      </c>
      <c r="P82" s="28">
        <f t="shared" si="42"/>
        <v>55.05</v>
      </c>
      <c r="Q82" s="28">
        <f t="shared" si="42"/>
        <v>56.93</v>
      </c>
      <c r="R82" s="28">
        <f t="shared" si="42"/>
        <v>56.16</v>
      </c>
      <c r="S82" s="28">
        <f t="shared" si="42"/>
        <v>56.949999999999996</v>
      </c>
      <c r="T82" s="28">
        <f t="shared" ref="T82" si="43">SUM(T17,T22,T25,T30,T33,T59,T64,T75,T79,T81)</f>
        <v>58.63</v>
      </c>
      <c r="U82" s="28">
        <f t="shared" si="42"/>
        <v>59.629999999999995</v>
      </c>
      <c r="V82" s="28">
        <f t="shared" si="42"/>
        <v>57.46</v>
      </c>
      <c r="W82" s="28">
        <f t="shared" si="42"/>
        <v>55.089999999999996</v>
      </c>
      <c r="X82" s="28">
        <f t="shared" si="42"/>
        <v>53.280000000000008</v>
      </c>
      <c r="Y82" s="28">
        <f t="shared" si="42"/>
        <v>56.78</v>
      </c>
      <c r="Z82" s="28">
        <f t="shared" si="42"/>
        <v>54.27</v>
      </c>
      <c r="AA82" s="28">
        <f t="shared" si="42"/>
        <v>41.199999999999996</v>
      </c>
      <c r="AB82" s="28">
        <f t="shared" si="42"/>
        <v>46.519999999999996</v>
      </c>
      <c r="AC82" s="28">
        <f t="shared" si="42"/>
        <v>42.38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44">SUM(F22,F25)</f>
        <v>7</v>
      </c>
      <c r="G88" s="64">
        <f t="shared" si="44"/>
        <v>7.1</v>
      </c>
      <c r="H88" s="64">
        <f t="shared" si="44"/>
        <v>7.1</v>
      </c>
      <c r="I88" s="64">
        <f t="shared" si="44"/>
        <v>7.1</v>
      </c>
      <c r="J88" s="64">
        <f t="shared" si="44"/>
        <v>7.1</v>
      </c>
      <c r="K88" s="64">
        <f t="shared" si="44"/>
        <v>7.1999999999999993</v>
      </c>
      <c r="L88" s="64">
        <f t="shared" si="44"/>
        <v>7.1</v>
      </c>
      <c r="M88" s="64">
        <f t="shared" si="44"/>
        <v>7.1</v>
      </c>
      <c r="N88" s="64">
        <f t="shared" si="44"/>
        <v>7.1</v>
      </c>
      <c r="O88" s="64">
        <f t="shared" si="44"/>
        <v>7.1</v>
      </c>
      <c r="P88" s="64">
        <f t="shared" si="44"/>
        <v>3.3</v>
      </c>
      <c r="Q88" s="64">
        <f t="shared" si="44"/>
        <v>7.1</v>
      </c>
      <c r="R88" s="64">
        <f t="shared" si="44"/>
        <v>7.1</v>
      </c>
      <c r="S88" s="64">
        <f t="shared" si="44"/>
        <v>7.1</v>
      </c>
      <c r="T88" s="64">
        <f t="shared" si="44"/>
        <v>7.1</v>
      </c>
      <c r="U88" s="64">
        <f t="shared" si="44"/>
        <v>7.1</v>
      </c>
      <c r="V88" s="64">
        <f t="shared" si="44"/>
        <v>7.1</v>
      </c>
      <c r="W88" s="64">
        <f t="shared" si="44"/>
        <v>7.1</v>
      </c>
      <c r="X88" s="64">
        <f t="shared" si="44"/>
        <v>7.1</v>
      </c>
      <c r="Y88" s="64">
        <f t="shared" si="44"/>
        <v>7.1</v>
      </c>
      <c r="Z88" s="64">
        <f t="shared" si="44"/>
        <v>7.1</v>
      </c>
      <c r="AA88" s="64">
        <f t="shared" si="44"/>
        <v>3.6</v>
      </c>
      <c r="AB88" s="64">
        <f t="shared" si="44"/>
        <v>7.1</v>
      </c>
      <c r="AC88" s="64">
        <f t="shared" si="44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0.21199999999999999</v>
      </c>
      <c r="G89" s="68">
        <v>0.25700000000000001</v>
      </c>
      <c r="H89" s="68">
        <v>0.2</v>
      </c>
      <c r="I89" s="68">
        <v>0.221</v>
      </c>
      <c r="J89" s="68">
        <v>0.216</v>
      </c>
      <c r="K89" s="68">
        <v>0.2</v>
      </c>
      <c r="L89" s="68">
        <v>0.2</v>
      </c>
      <c r="M89" s="68">
        <v>0.255</v>
      </c>
      <c r="N89" s="68">
        <v>0.23400000000000001</v>
      </c>
      <c r="O89" s="68">
        <v>0.217</v>
      </c>
      <c r="P89" s="68">
        <v>0</v>
      </c>
      <c r="Q89" s="68">
        <v>0.24399999999999999</v>
      </c>
      <c r="R89" s="68">
        <v>0.221</v>
      </c>
      <c r="S89" s="68">
        <v>0.23100000000000001</v>
      </c>
      <c r="T89" s="68">
        <v>0.20100000000000001</v>
      </c>
      <c r="U89" s="68">
        <v>0.22700000000000001</v>
      </c>
      <c r="V89" s="68">
        <v>0.19</v>
      </c>
      <c r="W89" s="68">
        <v>0.21299999999999999</v>
      </c>
      <c r="X89" s="68">
        <v>0.24299999999999999</v>
      </c>
      <c r="Y89" s="68">
        <v>0.27700000000000002</v>
      </c>
      <c r="Z89" s="68">
        <v>0.2</v>
      </c>
      <c r="AA89" s="68">
        <v>0.18</v>
      </c>
      <c r="AB89" s="68">
        <v>0.22900000000000001</v>
      </c>
      <c r="AC89" s="68">
        <v>0.25700000000000001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45">F17</f>
        <v>18.8</v>
      </c>
      <c r="G90" s="64">
        <f t="shared" si="45"/>
        <v>13.2</v>
      </c>
      <c r="H90" s="64">
        <f t="shared" si="45"/>
        <v>13.6</v>
      </c>
      <c r="I90" s="64">
        <f t="shared" si="45"/>
        <v>13.6</v>
      </c>
      <c r="J90" s="64">
        <f t="shared" si="45"/>
        <v>13.6</v>
      </c>
      <c r="K90" s="64">
        <f t="shared" si="45"/>
        <v>13.8</v>
      </c>
      <c r="L90" s="64">
        <f t="shared" si="45"/>
        <v>13.6</v>
      </c>
      <c r="M90" s="64">
        <f t="shared" si="45"/>
        <v>13</v>
      </c>
      <c r="N90" s="64">
        <f t="shared" si="45"/>
        <v>19.7</v>
      </c>
      <c r="O90" s="64">
        <f t="shared" si="45"/>
        <v>25.9</v>
      </c>
      <c r="P90" s="64">
        <f t="shared" si="45"/>
        <v>27.2</v>
      </c>
      <c r="Q90" s="64">
        <f t="shared" si="45"/>
        <v>27.2</v>
      </c>
      <c r="R90" s="64">
        <f t="shared" si="45"/>
        <v>26.299999999999997</v>
      </c>
      <c r="S90" s="64">
        <f t="shared" si="45"/>
        <v>26.8</v>
      </c>
      <c r="T90" s="64">
        <f t="shared" si="45"/>
        <v>26.200000000000003</v>
      </c>
      <c r="U90" s="64">
        <f t="shared" si="45"/>
        <v>26.900000000000002</v>
      </c>
      <c r="V90" s="64">
        <f t="shared" si="45"/>
        <v>26.7</v>
      </c>
      <c r="W90" s="64">
        <f t="shared" si="45"/>
        <v>26.7</v>
      </c>
      <c r="X90" s="64">
        <f t="shared" si="45"/>
        <v>27.1</v>
      </c>
      <c r="Y90" s="64">
        <f t="shared" si="45"/>
        <v>26.7</v>
      </c>
      <c r="Z90" s="64">
        <f t="shared" si="45"/>
        <v>26.7</v>
      </c>
      <c r="AA90" s="64">
        <f t="shared" si="45"/>
        <v>21.1</v>
      </c>
      <c r="AB90" s="64">
        <f t="shared" si="45"/>
        <v>19.799999999999997</v>
      </c>
      <c r="AC90" s="64">
        <f t="shared" si="45"/>
        <v>19.200000000000003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0.72699999999999998</v>
      </c>
      <c r="G91" s="68">
        <v>0.7</v>
      </c>
      <c r="H91" s="68">
        <v>0.68</v>
      </c>
      <c r="I91" s="68">
        <v>0.68799999999999994</v>
      </c>
      <c r="J91" s="68">
        <v>0.88600000000000001</v>
      </c>
      <c r="K91" s="68">
        <v>0.86799999999999999</v>
      </c>
      <c r="L91" s="68">
        <v>0.92</v>
      </c>
      <c r="M91" s="68">
        <v>0.69199999999999995</v>
      </c>
      <c r="N91" s="68">
        <v>0.68799999999999994</v>
      </c>
      <c r="O91" s="68">
        <v>0.92700000000000005</v>
      </c>
      <c r="P91" s="68">
        <v>0.84399999999999997</v>
      </c>
      <c r="Q91" s="68">
        <v>0.95699999999999996</v>
      </c>
      <c r="R91" s="68">
        <v>0.996</v>
      </c>
      <c r="S91" s="68">
        <v>0.78600000000000003</v>
      </c>
      <c r="T91" s="68">
        <v>0.752</v>
      </c>
      <c r="U91" s="68">
        <v>0.77300000000000002</v>
      </c>
      <c r="V91" s="68">
        <v>0.92200000000000004</v>
      </c>
      <c r="W91" s="68">
        <v>0.92700000000000005</v>
      </c>
      <c r="X91" s="68">
        <v>0.83</v>
      </c>
      <c r="Y91" s="68">
        <v>0.91</v>
      </c>
      <c r="Z91" s="68">
        <v>0.94</v>
      </c>
      <c r="AA91" s="68">
        <v>0.92300000000000004</v>
      </c>
      <c r="AB91" s="68">
        <v>0.91500000000000004</v>
      </c>
      <c r="AC91" s="68">
        <v>0.875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6">F30</f>
        <v>6</v>
      </c>
      <c r="G92" s="65">
        <f t="shared" si="46"/>
        <v>8</v>
      </c>
      <c r="H92" s="65">
        <f t="shared" si="46"/>
        <v>8.1999999999999993</v>
      </c>
      <c r="I92" s="65">
        <f t="shared" si="46"/>
        <v>8</v>
      </c>
      <c r="J92" s="65">
        <f t="shared" si="46"/>
        <v>7.4</v>
      </c>
      <c r="K92" s="65">
        <f t="shared" si="46"/>
        <v>7.6</v>
      </c>
      <c r="L92" s="65">
        <f t="shared" si="46"/>
        <v>8</v>
      </c>
      <c r="M92" s="65">
        <f t="shared" si="46"/>
        <v>8</v>
      </c>
      <c r="N92" s="65">
        <f t="shared" si="46"/>
        <v>8</v>
      </c>
      <c r="O92" s="65">
        <f t="shared" si="46"/>
        <v>8</v>
      </c>
      <c r="P92" s="65">
        <f t="shared" si="46"/>
        <v>8.1999999999999993</v>
      </c>
      <c r="Q92" s="65">
        <f t="shared" si="46"/>
        <v>8.4</v>
      </c>
      <c r="R92" s="65">
        <f t="shared" si="46"/>
        <v>7.6</v>
      </c>
      <c r="S92" s="65">
        <f t="shared" si="46"/>
        <v>7.8</v>
      </c>
      <c r="T92" s="65">
        <f t="shared" si="46"/>
        <v>7.6</v>
      </c>
      <c r="U92" s="65">
        <f t="shared" si="46"/>
        <v>7.8</v>
      </c>
      <c r="V92" s="65">
        <f t="shared" si="46"/>
        <v>7.6</v>
      </c>
      <c r="W92" s="65">
        <f t="shared" si="46"/>
        <v>7.4</v>
      </c>
      <c r="X92" s="65">
        <f t="shared" si="46"/>
        <v>8.1999999999999993</v>
      </c>
      <c r="Y92" s="65">
        <f t="shared" si="46"/>
        <v>7.6</v>
      </c>
      <c r="Z92" s="65">
        <f t="shared" si="46"/>
        <v>7.6</v>
      </c>
      <c r="AA92" s="65">
        <f t="shared" si="46"/>
        <v>4.3</v>
      </c>
      <c r="AB92" s="65">
        <f t="shared" si="46"/>
        <v>7.8</v>
      </c>
      <c r="AC92" s="65">
        <f t="shared" si="46"/>
        <v>7.6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0.28399999999999997</v>
      </c>
      <c r="G93" s="68">
        <v>0.26800000000000002</v>
      </c>
      <c r="H93" s="68">
        <v>0.251</v>
      </c>
      <c r="I93" s="68">
        <v>0.25900000000000001</v>
      </c>
      <c r="J93" s="68">
        <v>0.27200000000000002</v>
      </c>
      <c r="K93" s="68">
        <v>0.27300000000000002</v>
      </c>
      <c r="L93" s="68">
        <v>0.28599999999999998</v>
      </c>
      <c r="M93" s="68">
        <v>0.27</v>
      </c>
      <c r="N93" s="68">
        <v>0.28699999999999998</v>
      </c>
      <c r="O93" s="68">
        <v>0.27500000000000002</v>
      </c>
      <c r="P93" s="68">
        <v>0.29099999999999998</v>
      </c>
      <c r="Q93" s="68">
        <v>0.32300000000000001</v>
      </c>
      <c r="R93" s="68">
        <v>0.32200000000000001</v>
      </c>
      <c r="S93" s="68">
        <v>0.28999999999999998</v>
      </c>
      <c r="T93" s="68">
        <v>0.28799999999999998</v>
      </c>
      <c r="U93" s="68">
        <v>0.30599999999999999</v>
      </c>
      <c r="V93" s="68">
        <v>0.309</v>
      </c>
      <c r="W93" s="68">
        <v>0.30299999999999999</v>
      </c>
      <c r="X93" s="68">
        <v>0.30299999999999999</v>
      </c>
      <c r="Y93" s="68">
        <v>0.311</v>
      </c>
      <c r="Z93" s="68">
        <v>0.28899999999999998</v>
      </c>
      <c r="AA93" s="68">
        <v>0.28999999999999998</v>
      </c>
      <c r="AB93" s="68">
        <v>0.27</v>
      </c>
      <c r="AC93" s="68">
        <v>0.28299999999999997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7">F33</f>
        <v>0</v>
      </c>
      <c r="G94" s="65">
        <f t="shared" si="47"/>
        <v>0</v>
      </c>
      <c r="H94" s="65">
        <f t="shared" si="47"/>
        <v>0</v>
      </c>
      <c r="I94" s="65">
        <f t="shared" si="47"/>
        <v>0</v>
      </c>
      <c r="J94" s="65">
        <f t="shared" si="47"/>
        <v>0</v>
      </c>
      <c r="K94" s="65">
        <f t="shared" si="47"/>
        <v>0</v>
      </c>
      <c r="L94" s="65">
        <f t="shared" si="47"/>
        <v>0</v>
      </c>
      <c r="M94" s="65">
        <f t="shared" si="47"/>
        <v>0</v>
      </c>
      <c r="N94" s="65">
        <f t="shared" si="47"/>
        <v>0</v>
      </c>
      <c r="O94" s="65">
        <f t="shared" si="47"/>
        <v>0</v>
      </c>
      <c r="P94" s="65">
        <f t="shared" si="47"/>
        <v>0</v>
      </c>
      <c r="Q94" s="65">
        <f t="shared" si="47"/>
        <v>0</v>
      </c>
      <c r="R94" s="65">
        <f t="shared" si="47"/>
        <v>0</v>
      </c>
      <c r="S94" s="65">
        <f t="shared" si="47"/>
        <v>0</v>
      </c>
      <c r="T94" s="65">
        <f t="shared" si="47"/>
        <v>0</v>
      </c>
      <c r="U94" s="65">
        <f t="shared" si="47"/>
        <v>0</v>
      </c>
      <c r="V94" s="65">
        <f t="shared" si="47"/>
        <v>0</v>
      </c>
      <c r="W94" s="65">
        <f t="shared" si="47"/>
        <v>0</v>
      </c>
      <c r="X94" s="65">
        <f t="shared" si="47"/>
        <v>0</v>
      </c>
      <c r="Y94" s="65">
        <f t="shared" si="47"/>
        <v>0</v>
      </c>
      <c r="Z94" s="65">
        <f t="shared" si="47"/>
        <v>0</v>
      </c>
      <c r="AA94" s="65">
        <f t="shared" si="47"/>
        <v>0</v>
      </c>
      <c r="AB94" s="65">
        <f t="shared" si="47"/>
        <v>0</v>
      </c>
      <c r="AC94" s="65">
        <f t="shared" si="4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0</v>
      </c>
      <c r="G95" s="68">
        <v>0</v>
      </c>
      <c r="H95" s="68">
        <v>0</v>
      </c>
      <c r="I95" s="68">
        <f>0.4/1000</f>
        <v>4.0000000000000002E-4</v>
      </c>
      <c r="J95" s="68">
        <f>0.4/1000</f>
        <v>4.0000000000000002E-4</v>
      </c>
      <c r="K95" s="68">
        <f>0.3/1000</f>
        <v>2.9999999999999997E-4</v>
      </c>
      <c r="L95" s="68">
        <f>0.3/1000</f>
        <v>2.9999999999999997E-4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8">F59</f>
        <v>0</v>
      </c>
      <c r="G96" s="64">
        <f t="shared" si="48"/>
        <v>1.9</v>
      </c>
      <c r="H96" s="64">
        <f t="shared" si="48"/>
        <v>0</v>
      </c>
      <c r="I96" s="64">
        <f t="shared" si="48"/>
        <v>0</v>
      </c>
      <c r="J96" s="64">
        <f t="shared" si="48"/>
        <v>0</v>
      </c>
      <c r="K96" s="64">
        <f t="shared" si="48"/>
        <v>0.9</v>
      </c>
      <c r="L96" s="64">
        <f t="shared" si="48"/>
        <v>3</v>
      </c>
      <c r="M96" s="64">
        <f t="shared" si="48"/>
        <v>4.7</v>
      </c>
      <c r="N96" s="64">
        <f t="shared" si="48"/>
        <v>1.9</v>
      </c>
      <c r="O96" s="64">
        <f t="shared" si="48"/>
        <v>3</v>
      </c>
      <c r="P96" s="64">
        <f t="shared" si="48"/>
        <v>9.6</v>
      </c>
      <c r="Q96" s="64">
        <f t="shared" si="48"/>
        <v>7.1499999999999986</v>
      </c>
      <c r="R96" s="64">
        <f t="shared" si="48"/>
        <v>7.9999999999999991</v>
      </c>
      <c r="S96" s="64">
        <f t="shared" si="48"/>
        <v>7.9999999999999991</v>
      </c>
      <c r="T96" s="64">
        <f t="shared" si="48"/>
        <v>10.5</v>
      </c>
      <c r="U96" s="64">
        <f t="shared" si="48"/>
        <v>10.5</v>
      </c>
      <c r="V96" s="64">
        <f t="shared" si="48"/>
        <v>8.8499999999999979</v>
      </c>
      <c r="W96" s="64">
        <f t="shared" si="48"/>
        <v>7.15</v>
      </c>
      <c r="X96" s="64">
        <f t="shared" si="48"/>
        <v>4.5999999999999996</v>
      </c>
      <c r="Y96" s="64">
        <f t="shared" si="48"/>
        <v>8.8499999999999979</v>
      </c>
      <c r="Z96" s="64">
        <f t="shared" si="48"/>
        <v>5.45</v>
      </c>
      <c r="AA96" s="64">
        <f t="shared" si="48"/>
        <v>5.0999999999999996</v>
      </c>
      <c r="AB96" s="64">
        <f t="shared" si="48"/>
        <v>5.0999999999999996</v>
      </c>
      <c r="AC96" s="64">
        <f t="shared" si="48"/>
        <v>2.7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9">F64</f>
        <v>0.86</v>
      </c>
      <c r="G97" s="64">
        <f t="shared" si="49"/>
        <v>0.89</v>
      </c>
      <c r="H97" s="64">
        <f t="shared" si="49"/>
        <v>0.73</v>
      </c>
      <c r="I97" s="64">
        <f t="shared" si="49"/>
        <v>0.7</v>
      </c>
      <c r="J97" s="64">
        <f t="shared" si="49"/>
        <v>0.71</v>
      </c>
      <c r="K97" s="64">
        <f t="shared" si="49"/>
        <v>0.8</v>
      </c>
      <c r="L97" s="64">
        <f t="shared" si="49"/>
        <v>0.98</v>
      </c>
      <c r="M97" s="64">
        <f t="shared" si="49"/>
        <v>1.02</v>
      </c>
      <c r="N97" s="64">
        <f t="shared" si="49"/>
        <v>1.01</v>
      </c>
      <c r="O97" s="64">
        <f t="shared" si="49"/>
        <v>1.1399999999999999</v>
      </c>
      <c r="P97" s="64">
        <f t="shared" si="49"/>
        <v>1.1599999999999999</v>
      </c>
      <c r="Q97" s="64">
        <f t="shared" si="49"/>
        <v>1.27</v>
      </c>
      <c r="R97" s="64">
        <f t="shared" si="49"/>
        <v>1.3</v>
      </c>
      <c r="S97" s="64">
        <f t="shared" si="49"/>
        <v>1.28</v>
      </c>
      <c r="T97" s="64">
        <f t="shared" si="49"/>
        <v>1.36</v>
      </c>
      <c r="U97" s="64">
        <f t="shared" si="49"/>
        <v>1.36</v>
      </c>
      <c r="V97" s="64">
        <f t="shared" si="49"/>
        <v>1.32</v>
      </c>
      <c r="W97" s="64">
        <f t="shared" si="49"/>
        <v>1.25</v>
      </c>
      <c r="X97" s="64">
        <f t="shared" si="49"/>
        <v>1.21</v>
      </c>
      <c r="Y97" s="64">
        <f t="shared" si="49"/>
        <v>1.53</v>
      </c>
      <c r="Z97" s="64">
        <f t="shared" si="49"/>
        <v>1.52</v>
      </c>
      <c r="AA97" s="64">
        <f t="shared" si="49"/>
        <v>1.41</v>
      </c>
      <c r="AB97" s="64">
        <f t="shared" si="49"/>
        <v>1.41</v>
      </c>
      <c r="AC97" s="64">
        <f t="shared" si="49"/>
        <v>1.08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50">F75</f>
        <v>2.9000000000000004</v>
      </c>
      <c r="G98" s="64">
        <f t="shared" si="50"/>
        <v>2.7099999999999995</v>
      </c>
      <c r="H98" s="64">
        <f t="shared" si="50"/>
        <v>2.63</v>
      </c>
      <c r="I98" s="64">
        <f t="shared" si="50"/>
        <v>2.6</v>
      </c>
      <c r="J98" s="64">
        <f t="shared" si="50"/>
        <v>2.59</v>
      </c>
      <c r="K98" s="64">
        <f t="shared" si="50"/>
        <v>2.65</v>
      </c>
      <c r="L98" s="64">
        <f t="shared" si="50"/>
        <v>3.1</v>
      </c>
      <c r="M98" s="64">
        <f t="shared" si="50"/>
        <v>3.26</v>
      </c>
      <c r="N98" s="64">
        <f t="shared" si="50"/>
        <v>3.3999999999999995</v>
      </c>
      <c r="O98" s="64">
        <f t="shared" si="50"/>
        <v>4.5999999999999996</v>
      </c>
      <c r="P98" s="64">
        <f t="shared" si="50"/>
        <v>4.8</v>
      </c>
      <c r="Q98" s="64">
        <f t="shared" si="50"/>
        <v>5</v>
      </c>
      <c r="R98" s="64">
        <f t="shared" si="50"/>
        <v>5</v>
      </c>
      <c r="S98" s="64">
        <f t="shared" si="50"/>
        <v>5.0999999999999996</v>
      </c>
      <c r="T98" s="64">
        <f t="shared" si="50"/>
        <v>5</v>
      </c>
      <c r="U98" s="64">
        <f t="shared" si="50"/>
        <v>5.0999999999999996</v>
      </c>
      <c r="V98" s="64">
        <f t="shared" si="50"/>
        <v>5</v>
      </c>
      <c r="W98" s="64">
        <f t="shared" si="50"/>
        <v>4.5999999999999996</v>
      </c>
      <c r="X98" s="64">
        <f t="shared" si="50"/>
        <v>4.2</v>
      </c>
      <c r="Y98" s="64">
        <f t="shared" si="50"/>
        <v>3.9999999999999996</v>
      </c>
      <c r="Z98" s="64">
        <f t="shared" si="50"/>
        <v>4.9000000000000004</v>
      </c>
      <c r="AA98" s="64">
        <f t="shared" si="50"/>
        <v>4.72</v>
      </c>
      <c r="AB98" s="64">
        <f t="shared" si="50"/>
        <v>4.3899999999999997</v>
      </c>
      <c r="AC98" s="64">
        <f t="shared" si="50"/>
        <v>3.83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51">F79</f>
        <v>0.75</v>
      </c>
      <c r="G99" s="64">
        <f t="shared" si="51"/>
        <v>0.72</v>
      </c>
      <c r="H99" s="64">
        <f t="shared" si="51"/>
        <v>0.69</v>
      </c>
      <c r="I99" s="64">
        <f t="shared" si="51"/>
        <v>0.67</v>
      </c>
      <c r="J99" s="64">
        <f t="shared" si="51"/>
        <v>0.64</v>
      </c>
      <c r="K99" s="64">
        <f t="shared" si="51"/>
        <v>0.68</v>
      </c>
      <c r="L99" s="64">
        <f t="shared" si="51"/>
        <v>0.71</v>
      </c>
      <c r="M99" s="64">
        <f t="shared" si="51"/>
        <v>0.69</v>
      </c>
      <c r="N99" s="64">
        <f t="shared" si="51"/>
        <v>0.68</v>
      </c>
      <c r="O99" s="64">
        <f t="shared" si="51"/>
        <v>0.74</v>
      </c>
      <c r="P99" s="64">
        <f t="shared" si="51"/>
        <v>0.79</v>
      </c>
      <c r="Q99" s="64">
        <f t="shared" si="51"/>
        <v>0.81</v>
      </c>
      <c r="R99" s="64">
        <f t="shared" si="51"/>
        <v>0.86</v>
      </c>
      <c r="S99" s="64">
        <f t="shared" si="51"/>
        <v>0.87</v>
      </c>
      <c r="T99" s="64">
        <f t="shared" si="51"/>
        <v>0.87</v>
      </c>
      <c r="U99" s="64">
        <f t="shared" si="51"/>
        <v>0.87</v>
      </c>
      <c r="V99" s="64">
        <f t="shared" si="51"/>
        <v>0.89</v>
      </c>
      <c r="W99" s="64">
        <f t="shared" si="51"/>
        <v>0.89</v>
      </c>
      <c r="X99" s="64">
        <f t="shared" si="51"/>
        <v>0.87</v>
      </c>
      <c r="Y99" s="64">
        <f t="shared" si="51"/>
        <v>1</v>
      </c>
      <c r="Z99" s="64">
        <f t="shared" si="51"/>
        <v>1</v>
      </c>
      <c r="AA99" s="64">
        <f t="shared" si="51"/>
        <v>0.97</v>
      </c>
      <c r="AB99" s="64">
        <f t="shared" si="51"/>
        <v>0.92</v>
      </c>
      <c r="AC99" s="64">
        <f t="shared" si="51"/>
        <v>0.87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52">F81</f>
        <v>0</v>
      </c>
      <c r="G100" s="64">
        <f t="shared" si="52"/>
        <v>0</v>
      </c>
      <c r="H100" s="64">
        <f t="shared" si="52"/>
        <v>0</v>
      </c>
      <c r="I100" s="64">
        <f t="shared" si="52"/>
        <v>0</v>
      </c>
      <c r="J100" s="64">
        <f t="shared" si="52"/>
        <v>0</v>
      </c>
      <c r="K100" s="64">
        <f t="shared" si="52"/>
        <v>0</v>
      </c>
      <c r="L100" s="64">
        <f t="shared" si="52"/>
        <v>0</v>
      </c>
      <c r="M100" s="64">
        <f t="shared" si="52"/>
        <v>0</v>
      </c>
      <c r="N100" s="64">
        <f t="shared" si="52"/>
        <v>0</v>
      </c>
      <c r="O100" s="64">
        <f t="shared" si="52"/>
        <v>0</v>
      </c>
      <c r="P100" s="64">
        <f t="shared" si="52"/>
        <v>0</v>
      </c>
      <c r="Q100" s="64">
        <f t="shared" si="52"/>
        <v>0</v>
      </c>
      <c r="R100" s="64">
        <f t="shared" si="52"/>
        <v>0</v>
      </c>
      <c r="S100" s="64">
        <f t="shared" si="52"/>
        <v>0</v>
      </c>
      <c r="T100" s="64">
        <f t="shared" si="52"/>
        <v>0</v>
      </c>
      <c r="U100" s="64">
        <f t="shared" si="52"/>
        <v>0</v>
      </c>
      <c r="V100" s="64">
        <f t="shared" si="52"/>
        <v>0</v>
      </c>
      <c r="W100" s="64">
        <f t="shared" si="52"/>
        <v>0</v>
      </c>
      <c r="X100" s="64">
        <f t="shared" si="52"/>
        <v>0</v>
      </c>
      <c r="Y100" s="64">
        <f t="shared" si="52"/>
        <v>0</v>
      </c>
      <c r="Z100" s="64">
        <f t="shared" si="52"/>
        <v>0</v>
      </c>
      <c r="AA100" s="64">
        <f t="shared" si="52"/>
        <v>0</v>
      </c>
      <c r="AB100" s="64">
        <f t="shared" si="52"/>
        <v>0</v>
      </c>
      <c r="AC100" s="64">
        <f t="shared" si="5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53">SUM(F88,F90,F92,F94,F96:F100,F80)</f>
        <v>36.31</v>
      </c>
      <c r="G101" s="61">
        <f t="shared" si="53"/>
        <v>34.519999999999996</v>
      </c>
      <c r="H101" s="61">
        <f t="shared" si="53"/>
        <v>32.949999999999996</v>
      </c>
      <c r="I101" s="61">
        <f t="shared" si="53"/>
        <v>32.67</v>
      </c>
      <c r="J101" s="61">
        <f t="shared" si="53"/>
        <v>32.04</v>
      </c>
      <c r="K101" s="61">
        <f t="shared" si="53"/>
        <v>33.630000000000003</v>
      </c>
      <c r="L101" s="61">
        <f t="shared" si="53"/>
        <v>36.49</v>
      </c>
      <c r="M101" s="61">
        <f t="shared" si="53"/>
        <v>37.770000000000003</v>
      </c>
      <c r="N101" s="61">
        <f t="shared" si="53"/>
        <v>41.789999999999992</v>
      </c>
      <c r="O101" s="61">
        <f t="shared" si="53"/>
        <v>50.480000000000004</v>
      </c>
      <c r="P101" s="61">
        <f t="shared" si="53"/>
        <v>55.05</v>
      </c>
      <c r="Q101" s="61">
        <f t="shared" si="53"/>
        <v>56.93</v>
      </c>
      <c r="R101" s="61">
        <f t="shared" si="53"/>
        <v>56.16</v>
      </c>
      <c r="S101" s="61">
        <f t="shared" si="53"/>
        <v>56.949999999999996</v>
      </c>
      <c r="T101" s="61">
        <f t="shared" si="53"/>
        <v>58.63</v>
      </c>
      <c r="U101" s="61">
        <f t="shared" si="53"/>
        <v>59.629999999999995</v>
      </c>
      <c r="V101" s="61">
        <f t="shared" si="53"/>
        <v>57.46</v>
      </c>
      <c r="W101" s="61">
        <f t="shared" si="53"/>
        <v>55.089999999999996</v>
      </c>
      <c r="X101" s="61">
        <f t="shared" si="53"/>
        <v>53.280000000000008</v>
      </c>
      <c r="Y101" s="61">
        <f t="shared" si="53"/>
        <v>56.78</v>
      </c>
      <c r="Z101" s="61">
        <f t="shared" si="53"/>
        <v>54.27</v>
      </c>
      <c r="AA101" s="61">
        <f t="shared" si="53"/>
        <v>41.199999999999996</v>
      </c>
      <c r="AB101" s="61">
        <f t="shared" si="53"/>
        <v>46.519999999999996</v>
      </c>
      <c r="AC101" s="61">
        <f t="shared" si="53"/>
        <v>42.38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54">SUM(F102:F104)</f>
        <v>0</v>
      </c>
      <c r="G105" s="61">
        <f t="shared" si="54"/>
        <v>0</v>
      </c>
      <c r="H105" s="61">
        <f t="shared" si="54"/>
        <v>0</v>
      </c>
      <c r="I105" s="61">
        <f t="shared" si="54"/>
        <v>0</v>
      </c>
      <c r="J105" s="61">
        <f t="shared" si="54"/>
        <v>0</v>
      </c>
      <c r="K105" s="61">
        <f t="shared" si="54"/>
        <v>0</v>
      </c>
      <c r="L105" s="61">
        <f t="shared" si="54"/>
        <v>0</v>
      </c>
      <c r="M105" s="61">
        <f t="shared" si="54"/>
        <v>0</v>
      </c>
      <c r="N105" s="61">
        <f t="shared" si="54"/>
        <v>0</v>
      </c>
      <c r="O105" s="61">
        <f t="shared" si="54"/>
        <v>0</v>
      </c>
      <c r="P105" s="61">
        <f t="shared" si="54"/>
        <v>0</v>
      </c>
      <c r="Q105" s="61">
        <f t="shared" si="54"/>
        <v>0</v>
      </c>
      <c r="R105" s="61">
        <f t="shared" si="54"/>
        <v>0</v>
      </c>
      <c r="S105" s="61">
        <f t="shared" si="54"/>
        <v>0</v>
      </c>
      <c r="T105" s="61">
        <f t="shared" si="54"/>
        <v>0</v>
      </c>
      <c r="U105" s="61">
        <f t="shared" si="54"/>
        <v>0</v>
      </c>
      <c r="V105" s="61">
        <f t="shared" si="54"/>
        <v>0</v>
      </c>
      <c r="W105" s="61">
        <f t="shared" si="54"/>
        <v>0</v>
      </c>
      <c r="X105" s="61">
        <f t="shared" si="54"/>
        <v>0</v>
      </c>
      <c r="Y105" s="61">
        <f t="shared" si="54"/>
        <v>0</v>
      </c>
      <c r="Z105" s="61">
        <f t="shared" si="54"/>
        <v>0</v>
      </c>
      <c r="AA105" s="61">
        <f t="shared" si="54"/>
        <v>0</v>
      </c>
      <c r="AB105" s="61">
        <f t="shared" si="54"/>
        <v>0</v>
      </c>
      <c r="AC105" s="61">
        <f t="shared" si="5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55">F101+F105</f>
        <v>36.31</v>
      </c>
      <c r="G106" s="62">
        <f t="shared" si="55"/>
        <v>34.519999999999996</v>
      </c>
      <c r="H106" s="62">
        <f t="shared" si="55"/>
        <v>32.949999999999996</v>
      </c>
      <c r="I106" s="62">
        <f t="shared" si="55"/>
        <v>32.67</v>
      </c>
      <c r="J106" s="62">
        <f t="shared" si="55"/>
        <v>32.04</v>
      </c>
      <c r="K106" s="62">
        <f t="shared" si="55"/>
        <v>33.630000000000003</v>
      </c>
      <c r="L106" s="62">
        <f t="shared" si="55"/>
        <v>36.49</v>
      </c>
      <c r="M106" s="62">
        <f t="shared" si="55"/>
        <v>37.770000000000003</v>
      </c>
      <c r="N106" s="62">
        <f t="shared" si="55"/>
        <v>41.789999999999992</v>
      </c>
      <c r="O106" s="62">
        <f t="shared" si="55"/>
        <v>50.480000000000004</v>
      </c>
      <c r="P106" s="62">
        <f t="shared" si="55"/>
        <v>55.05</v>
      </c>
      <c r="Q106" s="62">
        <f t="shared" si="55"/>
        <v>56.93</v>
      </c>
      <c r="R106" s="62">
        <f t="shared" si="55"/>
        <v>56.16</v>
      </c>
      <c r="S106" s="62">
        <f t="shared" si="55"/>
        <v>56.949999999999996</v>
      </c>
      <c r="T106" s="62">
        <f t="shared" si="55"/>
        <v>58.63</v>
      </c>
      <c r="U106" s="62">
        <f t="shared" si="55"/>
        <v>59.629999999999995</v>
      </c>
      <c r="V106" s="62">
        <f t="shared" si="55"/>
        <v>57.46</v>
      </c>
      <c r="W106" s="62">
        <f t="shared" si="55"/>
        <v>55.089999999999996</v>
      </c>
      <c r="X106" s="62">
        <f t="shared" si="55"/>
        <v>53.280000000000008</v>
      </c>
      <c r="Y106" s="62">
        <f t="shared" si="55"/>
        <v>56.78</v>
      </c>
      <c r="Z106" s="62">
        <f t="shared" si="55"/>
        <v>54.27</v>
      </c>
      <c r="AA106" s="62">
        <f t="shared" si="55"/>
        <v>41.199999999999996</v>
      </c>
      <c r="AB106" s="62">
        <f t="shared" si="55"/>
        <v>46.519999999999996</v>
      </c>
      <c r="AC106" s="62">
        <f t="shared" si="55"/>
        <v>42.38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56">(COUNT(F13:F16))*7.2+(COUNT(F27:F28)*4.9)+(COUNT(F19:F21)*4.5)-F90-F92</f>
        <v>18.3</v>
      </c>
      <c r="G107" s="63">
        <f t="shared" si="56"/>
        <v>14.700000000000006</v>
      </c>
      <c r="H107" s="63">
        <f t="shared" si="56"/>
        <v>14.100000000000005</v>
      </c>
      <c r="I107" s="63">
        <f t="shared" si="56"/>
        <v>14.300000000000004</v>
      </c>
      <c r="J107" s="63">
        <f t="shared" si="56"/>
        <v>14.900000000000004</v>
      </c>
      <c r="K107" s="63">
        <f t="shared" si="56"/>
        <v>14.500000000000005</v>
      </c>
      <c r="L107" s="63">
        <f t="shared" si="56"/>
        <v>14.300000000000004</v>
      </c>
      <c r="M107" s="63">
        <f t="shared" si="56"/>
        <v>14.900000000000006</v>
      </c>
      <c r="N107" s="63">
        <f t="shared" si="56"/>
        <v>8.2000000000000064</v>
      </c>
      <c r="O107" s="63">
        <f t="shared" si="56"/>
        <v>9.2000000000000028</v>
      </c>
      <c r="P107" s="63">
        <f t="shared" si="56"/>
        <v>7.7000000000000028</v>
      </c>
      <c r="Q107" s="63">
        <f t="shared" si="56"/>
        <v>7.5000000000000018</v>
      </c>
      <c r="R107" s="63">
        <f t="shared" si="56"/>
        <v>9.2000000000000046</v>
      </c>
      <c r="S107" s="63">
        <f t="shared" si="56"/>
        <v>8.5</v>
      </c>
      <c r="T107" s="63">
        <f t="shared" si="56"/>
        <v>9.2999999999999989</v>
      </c>
      <c r="U107" s="63">
        <f t="shared" si="56"/>
        <v>8.3999999999999986</v>
      </c>
      <c r="V107" s="63">
        <f t="shared" si="56"/>
        <v>8.8000000000000025</v>
      </c>
      <c r="W107" s="63">
        <f t="shared" si="56"/>
        <v>9.0000000000000018</v>
      </c>
      <c r="X107" s="63">
        <f t="shared" si="56"/>
        <v>7.8000000000000007</v>
      </c>
      <c r="Y107" s="63">
        <f t="shared" si="56"/>
        <v>8.8000000000000025</v>
      </c>
      <c r="Z107" s="63">
        <f t="shared" si="56"/>
        <v>8.8000000000000025</v>
      </c>
      <c r="AA107" s="63">
        <f t="shared" si="56"/>
        <v>17.7</v>
      </c>
      <c r="AB107" s="63">
        <f t="shared" si="56"/>
        <v>8.3000000000000078</v>
      </c>
      <c r="AC107" s="63">
        <f t="shared" si="56"/>
        <v>9.1000000000000032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5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7.200000000000002</v>
      </c>
      <c r="G108" s="206">
        <f t="shared" si="57"/>
        <v>3.5000000000000018</v>
      </c>
      <c r="H108" s="206">
        <f t="shared" si="57"/>
        <v>2.9000000000000021</v>
      </c>
      <c r="I108" s="206">
        <f t="shared" si="57"/>
        <v>3.1000000000000014</v>
      </c>
      <c r="J108" s="206">
        <f t="shared" si="57"/>
        <v>3.7000000000000011</v>
      </c>
      <c r="K108" s="206">
        <f t="shared" si="57"/>
        <v>3.2000000000000006</v>
      </c>
      <c r="L108" s="206">
        <f t="shared" si="57"/>
        <v>3.1000000000000014</v>
      </c>
      <c r="M108" s="206">
        <f t="shared" si="57"/>
        <v>3.7000000000000011</v>
      </c>
      <c r="N108" s="206">
        <f t="shared" si="57"/>
        <v>4.2000000000000028</v>
      </c>
      <c r="O108" s="206">
        <f t="shared" si="57"/>
        <v>5.2000000000000037</v>
      </c>
      <c r="P108" s="206">
        <f t="shared" si="57"/>
        <v>3.0000000000000027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4.900000000000003</v>
      </c>
      <c r="R108" s="206">
        <f t="shared" ref="R108:AC108" si="5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5.8000000000000052</v>
      </c>
      <c r="S108" s="206">
        <f t="shared" si="58"/>
        <v>5.1000000000000005</v>
      </c>
      <c r="T108" s="206">
        <f t="shared" si="58"/>
        <v>5.8999999999999995</v>
      </c>
      <c r="U108" s="206">
        <f t="shared" si="58"/>
        <v>4.9999999999999991</v>
      </c>
      <c r="V108" s="206">
        <f t="shared" si="58"/>
        <v>5.400000000000003</v>
      </c>
      <c r="W108" s="206">
        <f t="shared" si="58"/>
        <v>5.6000000000000023</v>
      </c>
      <c r="X108" s="206">
        <f t="shared" si="58"/>
        <v>4.4000000000000004</v>
      </c>
      <c r="Y108" s="206">
        <f t="shared" si="58"/>
        <v>5.400000000000003</v>
      </c>
      <c r="Z108" s="206">
        <f t="shared" si="58"/>
        <v>5.400000000000003</v>
      </c>
      <c r="AA108" s="206">
        <f t="shared" si="58"/>
        <v>17.799999999999997</v>
      </c>
      <c r="AB108" s="206">
        <f t="shared" si="58"/>
        <v>4.9000000000000048</v>
      </c>
      <c r="AC108" s="206">
        <f t="shared" si="58"/>
        <v>5.7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60.3</v>
      </c>
      <c r="G109" s="75">
        <v>60.13</v>
      </c>
      <c r="H109" s="75">
        <v>60.02</v>
      </c>
      <c r="I109" s="75">
        <v>60.07</v>
      </c>
      <c r="J109" s="75">
        <v>60.09</v>
      </c>
      <c r="K109" s="75">
        <v>60.04</v>
      </c>
      <c r="L109" s="75">
        <v>60.03</v>
      </c>
      <c r="M109" s="75">
        <v>60.18</v>
      </c>
      <c r="N109" s="75">
        <v>60.16</v>
      </c>
      <c r="O109" s="75">
        <v>60.11</v>
      </c>
      <c r="P109" s="84">
        <v>60.07</v>
      </c>
      <c r="Q109" s="84">
        <v>60.06</v>
      </c>
      <c r="R109" s="84">
        <v>60.17</v>
      </c>
      <c r="S109" s="84">
        <v>60.09</v>
      </c>
      <c r="T109" s="84">
        <v>60.21</v>
      </c>
      <c r="U109" s="75">
        <v>60.07</v>
      </c>
      <c r="V109" s="75">
        <v>60.15</v>
      </c>
      <c r="W109" s="75">
        <v>60.17</v>
      </c>
      <c r="X109" s="75">
        <v>60.11</v>
      </c>
      <c r="Y109" s="75">
        <v>60.17</v>
      </c>
      <c r="Z109" s="75">
        <v>60.17</v>
      </c>
      <c r="AA109" s="75">
        <v>60.13</v>
      </c>
      <c r="AB109" s="75">
        <v>60.09</v>
      </c>
      <c r="AC109" s="75">
        <v>60.21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59">SUM(G117:G124)</f>
        <v>0</v>
      </c>
      <c r="H125" s="44">
        <f t="shared" si="59"/>
        <v>0</v>
      </c>
      <c r="I125" s="44">
        <f t="shared" si="59"/>
        <v>0</v>
      </c>
      <c r="J125" s="44">
        <f t="shared" si="59"/>
        <v>0</v>
      </c>
      <c r="K125" s="44">
        <f t="shared" si="59"/>
        <v>0</v>
      </c>
      <c r="L125" s="44">
        <f t="shared" si="59"/>
        <v>0</v>
      </c>
      <c r="M125" s="44">
        <f t="shared" si="59"/>
        <v>0</v>
      </c>
      <c r="N125" s="44">
        <f t="shared" si="59"/>
        <v>0</v>
      </c>
      <c r="O125" s="44">
        <f t="shared" si="59"/>
        <v>0</v>
      </c>
      <c r="P125" s="44">
        <f t="shared" si="59"/>
        <v>0</v>
      </c>
      <c r="Q125" s="44">
        <f t="shared" si="59"/>
        <v>0</v>
      </c>
      <c r="R125" s="44">
        <f t="shared" si="59"/>
        <v>0</v>
      </c>
      <c r="S125" s="44">
        <f t="shared" si="59"/>
        <v>0</v>
      </c>
      <c r="T125" s="44">
        <f t="shared" si="59"/>
        <v>0</v>
      </c>
      <c r="U125" s="44">
        <f t="shared" si="59"/>
        <v>0</v>
      </c>
      <c r="V125" s="44">
        <f t="shared" si="59"/>
        <v>0</v>
      </c>
      <c r="W125" s="44">
        <f t="shared" si="59"/>
        <v>0</v>
      </c>
      <c r="X125" s="44">
        <f t="shared" si="59"/>
        <v>0</v>
      </c>
      <c r="Y125" s="44">
        <f t="shared" si="59"/>
        <v>0</v>
      </c>
      <c r="Z125" s="44">
        <f t="shared" si="59"/>
        <v>0</v>
      </c>
      <c r="AA125" s="44">
        <f t="shared" si="59"/>
        <v>0</v>
      </c>
      <c r="AB125" s="44">
        <f t="shared" si="59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1627" priority="1471" operator="greaterThan">
      <formula>60.3</formula>
    </cfRule>
  </conditionalFormatting>
  <conditionalFormatting sqref="G53:G55 J56:L56 I13:K14 I57:L58 K15 I15:J16 I53:I56 K16:Q16 I40:I50 N51:O52 J53:O55 L13:Q15 J35:O50 M56:O58 I67:J72 I74:J74 I66:S66 J24:AC24 I27:AC28 I20:AC21 K67:S74 P35:AC58 T66:AC74 N61:AC63 R13:AC16 I77:AC78">
    <cfRule type="cellIs" dxfId="21626" priority="1463" operator="equal">
      <formula>"PMS"</formula>
    </cfRule>
    <cfRule type="containsText" dxfId="21625" priority="1464" operator="containsText" text="CMS">
      <formula>NOT(ISERROR(SEARCH("CMS",G13)))</formula>
    </cfRule>
    <cfRule type="cellIs" dxfId="21624" priority="1465" operator="equal">
      <formula>0</formula>
    </cfRule>
    <cfRule type="cellIs" dxfId="21623" priority="1466" operator="greaterThan">
      <formula>0</formula>
    </cfRule>
    <cfRule type="cellIs" dxfId="21622" priority="1467" operator="equal">
      <formula>"PMS"</formula>
    </cfRule>
    <cfRule type="containsText" dxfId="21621" priority="1468" operator="containsText" text="CMS">
      <formula>NOT(ISERROR(SEARCH("CMS",G13)))</formula>
    </cfRule>
    <cfRule type="cellIs" dxfId="21620" priority="1469" operator="equal">
      <formula>0</formula>
    </cfRule>
    <cfRule type="cellIs" dxfId="21619" priority="1470" operator="greaterThan">
      <formula>0</formula>
    </cfRule>
  </conditionalFormatting>
  <conditionalFormatting sqref="O66:AC74 O61:AC63 O77:AC78">
    <cfRule type="cellIs" dxfId="21618" priority="1459" operator="equal">
      <formula>"PMS"</formula>
    </cfRule>
    <cfRule type="containsText" dxfId="21617" priority="1460" operator="containsText" text="CMS">
      <formula>NOT(ISERROR(SEARCH("CMS",O61)))</formula>
    </cfRule>
    <cfRule type="cellIs" dxfId="21616" priority="1461" operator="equal">
      <formula>0</formula>
    </cfRule>
    <cfRule type="cellIs" dxfId="21615" priority="1462" operator="greaterThan">
      <formula>0</formula>
    </cfRule>
  </conditionalFormatting>
  <conditionalFormatting sqref="P66:AC74">
    <cfRule type="cellIs" dxfId="21614" priority="1455" operator="equal">
      <formula>"PMS"</formula>
    </cfRule>
    <cfRule type="containsText" dxfId="21613" priority="1456" operator="containsText" text="CMS">
      <formula>NOT(ISERROR(SEARCH("CMS",P66)))</formula>
    </cfRule>
    <cfRule type="cellIs" dxfId="21612" priority="1457" operator="equal">
      <formula>0</formula>
    </cfRule>
    <cfRule type="cellIs" dxfId="21611" priority="1458" operator="greaterThan">
      <formula>0</formula>
    </cfRule>
  </conditionalFormatting>
  <conditionalFormatting sqref="O13:AC16">
    <cfRule type="cellIs" dxfId="21610" priority="1451" operator="equal">
      <formula>"PMS"</formula>
    </cfRule>
    <cfRule type="containsText" dxfId="21609" priority="1452" operator="containsText" text="CMS">
      <formula>NOT(ISERROR(SEARCH("CMS",O13)))</formula>
    </cfRule>
    <cfRule type="cellIs" dxfId="21608" priority="1453" operator="equal">
      <formula>0</formula>
    </cfRule>
    <cfRule type="cellIs" dxfId="21607" priority="1454" operator="greaterThan">
      <formula>0</formula>
    </cfRule>
  </conditionalFormatting>
  <conditionalFormatting sqref="P13:AC16">
    <cfRule type="cellIs" dxfId="21606" priority="1447" operator="equal">
      <formula>"PMS"</formula>
    </cfRule>
    <cfRule type="containsText" dxfId="21605" priority="1448" operator="containsText" text="CMS">
      <formula>NOT(ISERROR(SEARCH("CMS",P13)))</formula>
    </cfRule>
    <cfRule type="cellIs" dxfId="21604" priority="1449" operator="equal">
      <formula>0</formula>
    </cfRule>
    <cfRule type="cellIs" dxfId="21603" priority="1450" operator="greaterThan">
      <formula>0</formula>
    </cfRule>
  </conditionalFormatting>
  <conditionalFormatting sqref="O20:AC21">
    <cfRule type="cellIs" dxfId="21602" priority="1443" operator="equal">
      <formula>"PMS"</formula>
    </cfRule>
    <cfRule type="containsText" dxfId="21601" priority="1444" operator="containsText" text="CMS">
      <formula>NOT(ISERROR(SEARCH("CMS",O20)))</formula>
    </cfRule>
    <cfRule type="cellIs" dxfId="21600" priority="1445" operator="equal">
      <formula>0</formula>
    </cfRule>
    <cfRule type="cellIs" dxfId="21599" priority="1446" operator="greaterThan">
      <formula>0</formula>
    </cfRule>
  </conditionalFormatting>
  <conditionalFormatting sqref="P20:AC21">
    <cfRule type="cellIs" dxfId="21598" priority="1439" operator="equal">
      <formula>"PMS"</formula>
    </cfRule>
    <cfRule type="containsText" dxfId="21597" priority="1440" operator="containsText" text="CMS">
      <formula>NOT(ISERROR(SEARCH("CMS",P20)))</formula>
    </cfRule>
    <cfRule type="cellIs" dxfId="21596" priority="1441" operator="equal">
      <formula>0</formula>
    </cfRule>
    <cfRule type="cellIs" dxfId="21595" priority="1442" operator="greaterThan">
      <formula>0</formula>
    </cfRule>
  </conditionalFormatting>
  <conditionalFormatting sqref="O24:AC24">
    <cfRule type="cellIs" dxfId="21594" priority="1435" operator="equal">
      <formula>"PMS"</formula>
    </cfRule>
    <cfRule type="containsText" dxfId="21593" priority="1436" operator="containsText" text="CMS">
      <formula>NOT(ISERROR(SEARCH("CMS",O24)))</formula>
    </cfRule>
    <cfRule type="cellIs" dxfId="21592" priority="1437" operator="equal">
      <formula>0</formula>
    </cfRule>
    <cfRule type="cellIs" dxfId="21591" priority="1438" operator="greaterThan">
      <formula>0</formula>
    </cfRule>
  </conditionalFormatting>
  <conditionalFormatting sqref="P24:AC24">
    <cfRule type="cellIs" dxfId="21590" priority="1431" operator="equal">
      <formula>"PMS"</formula>
    </cfRule>
    <cfRule type="containsText" dxfId="21589" priority="1432" operator="containsText" text="CMS">
      <formula>NOT(ISERROR(SEARCH("CMS",P24)))</formula>
    </cfRule>
    <cfRule type="cellIs" dxfId="21588" priority="1433" operator="equal">
      <formula>0</formula>
    </cfRule>
    <cfRule type="cellIs" dxfId="21587" priority="1434" operator="greaterThan">
      <formula>0</formula>
    </cfRule>
  </conditionalFormatting>
  <conditionalFormatting sqref="O27:AC28">
    <cfRule type="cellIs" dxfId="21586" priority="1427" operator="equal">
      <formula>"PMS"</formula>
    </cfRule>
    <cfRule type="containsText" dxfId="21585" priority="1428" operator="containsText" text="CMS">
      <formula>NOT(ISERROR(SEARCH("CMS",O27)))</formula>
    </cfRule>
    <cfRule type="cellIs" dxfId="21584" priority="1429" operator="equal">
      <formula>0</formula>
    </cfRule>
    <cfRule type="cellIs" dxfId="21583" priority="1430" operator="greaterThan">
      <formula>0</formula>
    </cfRule>
  </conditionalFormatting>
  <conditionalFormatting sqref="P27:AC28">
    <cfRule type="cellIs" dxfId="21582" priority="1423" operator="equal">
      <formula>"PMS"</formula>
    </cfRule>
    <cfRule type="containsText" dxfId="21581" priority="1424" operator="containsText" text="CMS">
      <formula>NOT(ISERROR(SEARCH("CMS",P27)))</formula>
    </cfRule>
    <cfRule type="cellIs" dxfId="21580" priority="1425" operator="equal">
      <formula>0</formula>
    </cfRule>
    <cfRule type="cellIs" dxfId="21579" priority="1426" operator="greaterThan">
      <formula>0</formula>
    </cfRule>
  </conditionalFormatting>
  <conditionalFormatting sqref="O53:Q58 R50:S58 O35:S49 T35:AC58">
    <cfRule type="cellIs" dxfId="21578" priority="1419" operator="equal">
      <formula>"PMS"</formula>
    </cfRule>
    <cfRule type="containsText" dxfId="21577" priority="1420" operator="containsText" text="CMS">
      <formula>NOT(ISERROR(SEARCH("CMS",O35)))</formula>
    </cfRule>
    <cfRule type="cellIs" dxfId="21576" priority="1421" operator="equal">
      <formula>0</formula>
    </cfRule>
    <cfRule type="cellIs" dxfId="21575" priority="1422" operator="greaterThan">
      <formula>0</formula>
    </cfRule>
  </conditionalFormatting>
  <conditionalFormatting sqref="O38:O49 O53:Q58 R50:S58 P35:S49 T35:AC58">
    <cfRule type="cellIs" dxfId="21574" priority="1415" operator="equal">
      <formula>"PMS"</formula>
    </cfRule>
    <cfRule type="containsText" dxfId="21573" priority="1416" operator="containsText" text="CMS">
      <formula>NOT(ISERROR(SEARCH("CMS",O35)))</formula>
    </cfRule>
    <cfRule type="cellIs" dxfId="21572" priority="1417" operator="equal">
      <formula>0</formula>
    </cfRule>
    <cfRule type="cellIs" dxfId="21571" priority="1418" operator="greaterThan">
      <formula>0</formula>
    </cfRule>
  </conditionalFormatting>
  <conditionalFormatting sqref="W14:X16 W13:AC13 Z14:AB16 AC14:AC15 Z13:Z16">
    <cfRule type="cellIs" dxfId="21570" priority="1411" operator="equal">
      <formula>"PMS"</formula>
    </cfRule>
    <cfRule type="containsText" dxfId="21569" priority="1412" operator="containsText" text="CMS">
      <formula>NOT(ISERROR(SEARCH("CMS",W13)))</formula>
    </cfRule>
    <cfRule type="cellIs" dxfId="21568" priority="1413" operator="equal">
      <formula>0</formula>
    </cfRule>
    <cfRule type="cellIs" dxfId="21567" priority="1414" operator="greaterThan">
      <formula>0</formula>
    </cfRule>
  </conditionalFormatting>
  <conditionalFormatting sqref="W14:X16 W13:AC13 Z14:AB16 AC14:AC15 Z13:Z16">
    <cfRule type="cellIs" dxfId="21566" priority="1407" operator="equal">
      <formula>"PMS"</formula>
    </cfRule>
    <cfRule type="containsText" dxfId="21565" priority="1408" operator="containsText" text="CMS">
      <formula>NOT(ISERROR(SEARCH("CMS",W13)))</formula>
    </cfRule>
    <cfRule type="cellIs" dxfId="21564" priority="1409" operator="equal">
      <formula>0</formula>
    </cfRule>
    <cfRule type="cellIs" dxfId="21563" priority="1410" operator="greaterThan">
      <formula>0</formula>
    </cfRule>
  </conditionalFormatting>
  <conditionalFormatting sqref="X57:AC57">
    <cfRule type="cellIs" dxfId="21562" priority="1403" operator="equal">
      <formula>"PMS"</formula>
    </cfRule>
    <cfRule type="containsText" dxfId="21561" priority="1404" operator="containsText" text="CMS">
      <formula>NOT(ISERROR(SEARCH("CMS",X57)))</formula>
    </cfRule>
    <cfRule type="cellIs" dxfId="21560" priority="1405" operator="equal">
      <formula>0</formula>
    </cfRule>
    <cfRule type="cellIs" dxfId="21559" priority="1406" operator="greaterThan">
      <formula>0</formula>
    </cfRule>
  </conditionalFormatting>
  <conditionalFormatting sqref="X57:AC57">
    <cfRule type="cellIs" dxfId="21558" priority="1399" operator="equal">
      <formula>"PMS"</formula>
    </cfRule>
    <cfRule type="containsText" dxfId="21557" priority="1400" operator="containsText" text="CMS">
      <formula>NOT(ISERROR(SEARCH("CMS",X57)))</formula>
    </cfRule>
    <cfRule type="cellIs" dxfId="21556" priority="1401" operator="equal">
      <formula>0</formula>
    </cfRule>
    <cfRule type="cellIs" dxfId="21555" priority="1402" operator="greaterThan">
      <formula>0</formula>
    </cfRule>
  </conditionalFormatting>
  <conditionalFormatting sqref="X57:AC57">
    <cfRule type="cellIs" dxfId="21554" priority="1395" operator="equal">
      <formula>"PMS"</formula>
    </cfRule>
    <cfRule type="containsText" dxfId="21553" priority="1396" operator="containsText" text="CMS">
      <formula>NOT(ISERROR(SEARCH("CMS",X57)))</formula>
    </cfRule>
    <cfRule type="cellIs" dxfId="21552" priority="1397" operator="equal">
      <formula>0</formula>
    </cfRule>
    <cfRule type="cellIs" dxfId="21551" priority="1398" operator="greaterThan">
      <formula>0</formula>
    </cfRule>
  </conditionalFormatting>
  <conditionalFormatting sqref="X57:AC57">
    <cfRule type="cellIs" dxfId="21550" priority="1391" operator="equal">
      <formula>"PMS"</formula>
    </cfRule>
    <cfRule type="containsText" dxfId="21549" priority="1392" operator="containsText" text="CMS">
      <formula>NOT(ISERROR(SEARCH("CMS",X57)))</formula>
    </cfRule>
    <cfRule type="cellIs" dxfId="21548" priority="1393" operator="equal">
      <formula>0</formula>
    </cfRule>
    <cfRule type="cellIs" dxfId="21547" priority="1394" operator="greaterThan">
      <formula>0</formula>
    </cfRule>
  </conditionalFormatting>
  <conditionalFormatting sqref="AB58:AC58">
    <cfRule type="cellIs" dxfId="21546" priority="1387" operator="equal">
      <formula>"PMS"</formula>
    </cfRule>
    <cfRule type="containsText" dxfId="21545" priority="1388" operator="containsText" text="CMS">
      <formula>NOT(ISERROR(SEARCH("CMS",AB58)))</formula>
    </cfRule>
    <cfRule type="cellIs" dxfId="21544" priority="1389" operator="equal">
      <formula>0</formula>
    </cfRule>
    <cfRule type="cellIs" dxfId="21543" priority="1390" operator="greaterThan">
      <formula>0</formula>
    </cfRule>
  </conditionalFormatting>
  <conditionalFormatting sqref="AB58:AC58">
    <cfRule type="cellIs" dxfId="21542" priority="1383" operator="equal">
      <formula>"PMS"</formula>
    </cfRule>
    <cfRule type="containsText" dxfId="21541" priority="1384" operator="containsText" text="CMS">
      <formula>NOT(ISERROR(SEARCH("CMS",AB58)))</formula>
    </cfRule>
    <cfRule type="cellIs" dxfId="21540" priority="1385" operator="equal">
      <formula>0</formula>
    </cfRule>
    <cfRule type="cellIs" dxfId="21539" priority="1386" operator="greaterThan">
      <formula>0</formula>
    </cfRule>
  </conditionalFormatting>
  <conditionalFormatting sqref="AB58:AC58">
    <cfRule type="cellIs" dxfId="21538" priority="1379" operator="equal">
      <formula>"PMS"</formula>
    </cfRule>
    <cfRule type="containsText" dxfId="21537" priority="1380" operator="containsText" text="CMS">
      <formula>NOT(ISERROR(SEARCH("CMS",AB58)))</formula>
    </cfRule>
    <cfRule type="cellIs" dxfId="21536" priority="1381" operator="equal">
      <formula>0</formula>
    </cfRule>
    <cfRule type="cellIs" dxfId="21535" priority="1382" operator="greaterThan">
      <formula>0</formula>
    </cfRule>
  </conditionalFormatting>
  <conditionalFormatting sqref="AB58:AC58">
    <cfRule type="cellIs" dxfId="21534" priority="1375" operator="equal">
      <formula>"PMS"</formula>
    </cfRule>
    <cfRule type="containsText" dxfId="21533" priority="1376" operator="containsText" text="CMS">
      <formula>NOT(ISERROR(SEARCH("CMS",AB58)))</formula>
    </cfRule>
    <cfRule type="cellIs" dxfId="21532" priority="1377" operator="equal">
      <formula>0</formula>
    </cfRule>
    <cfRule type="cellIs" dxfId="21531" priority="1378" operator="greaterThan">
      <formula>0</formula>
    </cfRule>
  </conditionalFormatting>
  <conditionalFormatting sqref="AB78">
    <cfRule type="cellIs" dxfId="21530" priority="1371" operator="equal">
      <formula>"PMS"</formula>
    </cfRule>
    <cfRule type="containsText" dxfId="21529" priority="1372" operator="containsText" text="CMS">
      <formula>NOT(ISERROR(SEARCH("CMS",AB78)))</formula>
    </cfRule>
    <cfRule type="cellIs" dxfId="21528" priority="1373" operator="equal">
      <formula>0</formula>
    </cfRule>
    <cfRule type="cellIs" dxfId="21527" priority="1374" operator="greaterThan">
      <formula>0</formula>
    </cfRule>
  </conditionalFormatting>
  <conditionalFormatting sqref="AB78">
    <cfRule type="cellIs" dxfId="21526" priority="1367" operator="equal">
      <formula>"PMS"</formula>
    </cfRule>
    <cfRule type="containsText" dxfId="21525" priority="1368" operator="containsText" text="CMS">
      <formula>NOT(ISERROR(SEARCH("CMS",AB78)))</formula>
    </cfRule>
    <cfRule type="cellIs" dxfId="21524" priority="1369" operator="equal">
      <formula>0</formula>
    </cfRule>
    <cfRule type="cellIs" dxfId="21523" priority="1370" operator="greaterThan">
      <formula>0</formula>
    </cfRule>
  </conditionalFormatting>
  <conditionalFormatting sqref="O44:O49">
    <cfRule type="cellIs" dxfId="21522" priority="1363" operator="equal">
      <formula>"PMS"</formula>
    </cfRule>
    <cfRule type="containsText" dxfId="21521" priority="1364" operator="containsText" text="CMS">
      <formula>NOT(ISERROR(SEARCH("CMS",O44)))</formula>
    </cfRule>
    <cfRule type="cellIs" dxfId="21520" priority="1365" operator="equal">
      <formula>0</formula>
    </cfRule>
    <cfRule type="cellIs" dxfId="21519" priority="1366" operator="greaterThan">
      <formula>0</formula>
    </cfRule>
  </conditionalFormatting>
  <conditionalFormatting sqref="O55:O56 P56">
    <cfRule type="cellIs" dxfId="21518" priority="1359" operator="equal">
      <formula>"PMS"</formula>
    </cfRule>
    <cfRule type="containsText" dxfId="21517" priority="1360" operator="containsText" text="CMS">
      <formula>NOT(ISERROR(SEARCH("CMS",O55)))</formula>
    </cfRule>
    <cfRule type="cellIs" dxfId="21516" priority="1361" operator="equal">
      <formula>0</formula>
    </cfRule>
    <cfRule type="cellIs" dxfId="21515" priority="1362" operator="greaterThan">
      <formula>0</formula>
    </cfRule>
  </conditionalFormatting>
  <conditionalFormatting sqref="O49">
    <cfRule type="cellIs" dxfId="21514" priority="1355" operator="equal">
      <formula>"PMS"</formula>
    </cfRule>
    <cfRule type="containsText" dxfId="21513" priority="1356" operator="containsText" text="CMS">
      <formula>NOT(ISERROR(SEARCH("CMS",O49)))</formula>
    </cfRule>
    <cfRule type="cellIs" dxfId="21512" priority="1357" operator="equal">
      <formula>0</formula>
    </cfRule>
    <cfRule type="cellIs" dxfId="21511" priority="1358" operator="greaterThan">
      <formula>0</formula>
    </cfRule>
  </conditionalFormatting>
  <conditionalFormatting sqref="O55:O57 P56">
    <cfRule type="cellIs" dxfId="21510" priority="1351" operator="equal">
      <formula>"PMS"</formula>
    </cfRule>
    <cfRule type="containsText" dxfId="21509" priority="1352" operator="containsText" text="CMS">
      <formula>NOT(ISERROR(SEARCH("CMS",O55)))</formula>
    </cfRule>
    <cfRule type="cellIs" dxfId="21508" priority="1353" operator="equal">
      <formula>0</formula>
    </cfRule>
    <cfRule type="cellIs" dxfId="21507" priority="1354" operator="greaterThan">
      <formula>0</formula>
    </cfRule>
  </conditionalFormatting>
  <conditionalFormatting sqref="Q24:V24">
    <cfRule type="cellIs" dxfId="21506" priority="1347" operator="equal">
      <formula>"PMS"</formula>
    </cfRule>
    <cfRule type="containsText" dxfId="21505" priority="1348" operator="containsText" text="CMS">
      <formula>NOT(ISERROR(SEARCH("CMS",Q24)))</formula>
    </cfRule>
    <cfRule type="cellIs" dxfId="21504" priority="1349" operator="equal">
      <formula>0</formula>
    </cfRule>
    <cfRule type="cellIs" dxfId="21503" priority="1350" operator="greaterThan">
      <formula>0</formula>
    </cfRule>
  </conditionalFormatting>
  <conditionalFormatting sqref="Q24:V24">
    <cfRule type="cellIs" dxfId="21502" priority="1343" operator="equal">
      <formula>"PMS"</formula>
    </cfRule>
    <cfRule type="containsText" dxfId="21501" priority="1344" operator="containsText" text="CMS">
      <formula>NOT(ISERROR(SEARCH("CMS",Q24)))</formula>
    </cfRule>
    <cfRule type="cellIs" dxfId="21500" priority="1345" operator="equal">
      <formula>0</formula>
    </cfRule>
    <cfRule type="cellIs" dxfId="21499" priority="1346" operator="greaterThan">
      <formula>0</formula>
    </cfRule>
  </conditionalFormatting>
  <conditionalFormatting sqref="Q27:V28">
    <cfRule type="cellIs" dxfId="21498" priority="1339" operator="equal">
      <formula>"PMS"</formula>
    </cfRule>
    <cfRule type="containsText" dxfId="21497" priority="1340" operator="containsText" text="CMS">
      <formula>NOT(ISERROR(SEARCH("CMS",Q27)))</formula>
    </cfRule>
    <cfRule type="cellIs" dxfId="21496" priority="1341" operator="equal">
      <formula>0</formula>
    </cfRule>
    <cfRule type="cellIs" dxfId="21495" priority="1342" operator="greaterThan">
      <formula>0</formula>
    </cfRule>
  </conditionalFormatting>
  <conditionalFormatting sqref="Q27:V28">
    <cfRule type="cellIs" dxfId="21494" priority="1335" operator="equal">
      <formula>"PMS"</formula>
    </cfRule>
    <cfRule type="containsText" dxfId="21493" priority="1336" operator="containsText" text="CMS">
      <formula>NOT(ISERROR(SEARCH("CMS",Q27)))</formula>
    </cfRule>
    <cfRule type="cellIs" dxfId="21492" priority="1337" operator="equal">
      <formula>0</formula>
    </cfRule>
    <cfRule type="cellIs" dxfId="21491" priority="1338" operator="greaterThan">
      <formula>0</formula>
    </cfRule>
  </conditionalFormatting>
  <conditionalFormatting sqref="R27:V28">
    <cfRule type="cellIs" dxfId="21490" priority="1331" operator="equal">
      <formula>"PMS"</formula>
    </cfRule>
    <cfRule type="containsText" dxfId="21489" priority="1332" operator="containsText" text="CMS">
      <formula>NOT(ISERROR(SEARCH("CMS",R27)))</formula>
    </cfRule>
    <cfRule type="cellIs" dxfId="21488" priority="1333" operator="equal">
      <formula>0</formula>
    </cfRule>
    <cfRule type="cellIs" dxfId="21487" priority="1334" operator="greaterThan">
      <formula>0</formula>
    </cfRule>
  </conditionalFormatting>
  <conditionalFormatting sqref="R27:V28">
    <cfRule type="cellIs" dxfId="21486" priority="1327" operator="equal">
      <formula>"PMS"</formula>
    </cfRule>
    <cfRule type="containsText" dxfId="21485" priority="1328" operator="containsText" text="CMS">
      <formula>NOT(ISERROR(SEARCH("CMS",R27)))</formula>
    </cfRule>
    <cfRule type="cellIs" dxfId="21484" priority="1329" operator="equal">
      <formula>0</formula>
    </cfRule>
    <cfRule type="cellIs" dxfId="21483" priority="1330" operator="greaterThan">
      <formula>0</formula>
    </cfRule>
  </conditionalFormatting>
  <conditionalFormatting sqref="O55:O56 P56">
    <cfRule type="cellIs" dxfId="21482" priority="1323" operator="equal">
      <formula>"PMS"</formula>
    </cfRule>
    <cfRule type="containsText" dxfId="21481" priority="1324" operator="containsText" text="CMS">
      <formula>NOT(ISERROR(SEARCH("CMS",O55)))</formula>
    </cfRule>
    <cfRule type="cellIs" dxfId="21480" priority="1325" operator="equal">
      <formula>0</formula>
    </cfRule>
    <cfRule type="cellIs" dxfId="21479" priority="1326" operator="greaterThan">
      <formula>0</formula>
    </cfRule>
  </conditionalFormatting>
  <conditionalFormatting sqref="O44:O45">
    <cfRule type="cellIs" dxfId="21478" priority="1319" operator="equal">
      <formula>"PMS"</formula>
    </cfRule>
    <cfRule type="containsText" dxfId="21477" priority="1320" operator="containsText" text="CMS">
      <formula>NOT(ISERROR(SEARCH("CMS",O44)))</formula>
    </cfRule>
    <cfRule type="cellIs" dxfId="21476" priority="1321" operator="equal">
      <formula>0</formula>
    </cfRule>
    <cfRule type="cellIs" dxfId="21475" priority="1322" operator="greaterThan">
      <formula>0</formula>
    </cfRule>
  </conditionalFormatting>
  <conditionalFormatting sqref="O44:O45">
    <cfRule type="cellIs" dxfId="21474" priority="1315" operator="equal">
      <formula>"PMS"</formula>
    </cfRule>
    <cfRule type="containsText" dxfId="21473" priority="1316" operator="containsText" text="CMS">
      <formula>NOT(ISERROR(SEARCH("CMS",O44)))</formula>
    </cfRule>
    <cfRule type="cellIs" dxfId="21472" priority="1317" operator="equal">
      <formula>0</formula>
    </cfRule>
    <cfRule type="cellIs" dxfId="21471" priority="1318" operator="greaterThan">
      <formula>0</formula>
    </cfRule>
  </conditionalFormatting>
  <conditionalFormatting sqref="O44:O45">
    <cfRule type="cellIs" dxfId="21470" priority="1311" operator="equal">
      <formula>"PMS"</formula>
    </cfRule>
    <cfRule type="containsText" dxfId="21469" priority="1312" operator="containsText" text="CMS">
      <formula>NOT(ISERROR(SEARCH("CMS",O44)))</formula>
    </cfRule>
    <cfRule type="cellIs" dxfId="21468" priority="1313" operator="equal">
      <formula>0</formula>
    </cfRule>
    <cfRule type="cellIs" dxfId="21467" priority="1314" operator="greaterThan">
      <formula>0</formula>
    </cfRule>
  </conditionalFormatting>
  <conditionalFormatting sqref="O46">
    <cfRule type="cellIs" dxfId="21466" priority="1307" operator="equal">
      <formula>"PMS"</formula>
    </cfRule>
    <cfRule type="containsText" dxfId="21465" priority="1308" operator="containsText" text="CMS">
      <formula>NOT(ISERROR(SEARCH("CMS",O46)))</formula>
    </cfRule>
    <cfRule type="cellIs" dxfId="21464" priority="1309" operator="equal">
      <formula>0</formula>
    </cfRule>
    <cfRule type="cellIs" dxfId="21463" priority="1310" operator="greaterThan">
      <formula>0</formula>
    </cfRule>
  </conditionalFormatting>
  <conditionalFormatting sqref="O46">
    <cfRule type="cellIs" dxfId="21462" priority="1303" operator="equal">
      <formula>"PMS"</formula>
    </cfRule>
    <cfRule type="containsText" dxfId="21461" priority="1304" operator="containsText" text="CMS">
      <formula>NOT(ISERROR(SEARCH("CMS",O46)))</formula>
    </cfRule>
    <cfRule type="cellIs" dxfId="21460" priority="1305" operator="equal">
      <formula>0</formula>
    </cfRule>
    <cfRule type="cellIs" dxfId="21459" priority="1306" operator="greaterThan">
      <formula>0</formula>
    </cfRule>
  </conditionalFormatting>
  <conditionalFormatting sqref="O46">
    <cfRule type="cellIs" dxfId="21458" priority="1299" operator="equal">
      <formula>"PMS"</formula>
    </cfRule>
    <cfRule type="containsText" dxfId="21457" priority="1300" operator="containsText" text="CMS">
      <formula>NOT(ISERROR(SEARCH("CMS",O46)))</formula>
    </cfRule>
    <cfRule type="cellIs" dxfId="21456" priority="1301" operator="equal">
      <formula>0</formula>
    </cfRule>
    <cfRule type="cellIs" dxfId="21455" priority="1302" operator="greaterThan">
      <formula>0</formula>
    </cfRule>
  </conditionalFormatting>
  <conditionalFormatting sqref="J19:AC19">
    <cfRule type="cellIs" dxfId="21454" priority="1295" operator="equal">
      <formula>"CMS"</formula>
    </cfRule>
    <cfRule type="cellIs" dxfId="21453" priority="1296" operator="equal">
      <formula>"PMS"</formula>
    </cfRule>
    <cfRule type="cellIs" dxfId="21452" priority="1297" operator="greaterThan">
      <formula>0</formula>
    </cfRule>
    <cfRule type="cellIs" dxfId="21451" priority="1298" operator="equal">
      <formula>0</formula>
    </cfRule>
  </conditionalFormatting>
  <conditionalFormatting sqref="G62">
    <cfRule type="cellIs" dxfId="21450" priority="1291" operator="equal">
      <formula>"CMS"</formula>
    </cfRule>
    <cfRule type="cellIs" dxfId="21449" priority="1292" operator="equal">
      <formula>"PMS"</formula>
    </cfRule>
    <cfRule type="cellIs" dxfId="21448" priority="1293" operator="greaterThan">
      <formula>0</formula>
    </cfRule>
    <cfRule type="cellIs" dxfId="21447" priority="1294" operator="equal">
      <formula>0</formula>
    </cfRule>
  </conditionalFormatting>
  <conditionalFormatting sqref="G77">
    <cfRule type="cellIs" dxfId="21446" priority="1286" operator="equal">
      <formula>"EOC"</formula>
    </cfRule>
    <cfRule type="cellIs" dxfId="21445" priority="1287" operator="equal">
      <formula>"CMS"</formula>
    </cfRule>
    <cfRule type="cellIs" dxfId="21444" priority="1288" operator="equal">
      <formula>"PMS"</formula>
    </cfRule>
    <cfRule type="cellIs" dxfId="21443" priority="1289" operator="greaterThan">
      <formula>0</formula>
    </cfRule>
    <cfRule type="cellIs" dxfId="21442" priority="1290" operator="equal">
      <formula>0</formula>
    </cfRule>
  </conditionalFormatting>
  <conditionalFormatting sqref="F109">
    <cfRule type="cellIs" dxfId="21441" priority="1285" operator="greaterThan">
      <formula>60.3</formula>
    </cfRule>
  </conditionalFormatting>
  <conditionalFormatting sqref="G36:G44 G50 G47">
    <cfRule type="cellIs" dxfId="21440" priority="1277" operator="equal">
      <formula>"PMS"</formula>
    </cfRule>
    <cfRule type="containsText" dxfId="21439" priority="1278" operator="containsText" text="CMS">
      <formula>NOT(ISERROR(SEARCH("CMS",G36)))</formula>
    </cfRule>
    <cfRule type="cellIs" dxfId="21438" priority="1279" operator="equal">
      <formula>0</formula>
    </cfRule>
    <cfRule type="cellIs" dxfId="21437" priority="1280" operator="greaterThan">
      <formula>0</formula>
    </cfRule>
    <cfRule type="cellIs" dxfId="21436" priority="1281" operator="equal">
      <formula>"PMS"</formula>
    </cfRule>
    <cfRule type="containsText" dxfId="21435" priority="1282" operator="containsText" text="CMS">
      <formula>NOT(ISERROR(SEARCH("CMS",G36)))</formula>
    </cfRule>
    <cfRule type="cellIs" dxfId="21434" priority="1283" operator="equal">
      <formula>0</formula>
    </cfRule>
    <cfRule type="cellIs" dxfId="21433" priority="1284" operator="greaterThan">
      <formula>0</formula>
    </cfRule>
  </conditionalFormatting>
  <conditionalFormatting sqref="G36:G44 G50 G47">
    <cfRule type="cellIs" dxfId="21432" priority="1273" operator="equal">
      <formula>"PMS"</formula>
    </cfRule>
    <cfRule type="containsText" dxfId="21431" priority="1274" operator="containsText" text="CMS">
      <formula>NOT(ISERROR(SEARCH("CMS",G36)))</formula>
    </cfRule>
    <cfRule type="cellIs" dxfId="21430" priority="1275" operator="equal">
      <formula>0</formula>
    </cfRule>
    <cfRule type="cellIs" dxfId="21429" priority="1276" operator="greaterThan">
      <formula>0</formula>
    </cfRule>
  </conditionalFormatting>
  <conditionalFormatting sqref="G36:G44 G50 G47">
    <cfRule type="cellIs" dxfId="21428" priority="1269" operator="equal">
      <formula>"PMS"</formula>
    </cfRule>
    <cfRule type="containsText" dxfId="21427" priority="1270" operator="containsText" text="CMS">
      <formula>NOT(ISERROR(SEARCH("CMS",G36)))</formula>
    </cfRule>
    <cfRule type="cellIs" dxfId="21426" priority="1271" operator="equal">
      <formula>0</formula>
    </cfRule>
    <cfRule type="cellIs" dxfId="21425" priority="1272" operator="greaterThan">
      <formula>0</formula>
    </cfRule>
  </conditionalFormatting>
  <conditionalFormatting sqref="I36:I39">
    <cfRule type="cellIs" dxfId="21424" priority="1261" operator="equal">
      <formula>"PMS"</formula>
    </cfRule>
    <cfRule type="containsText" dxfId="21423" priority="1262" operator="containsText" text="CMS">
      <formula>NOT(ISERROR(SEARCH("CMS",I36)))</formula>
    </cfRule>
    <cfRule type="cellIs" dxfId="21422" priority="1263" operator="equal">
      <formula>0</formula>
    </cfRule>
    <cfRule type="cellIs" dxfId="21421" priority="1264" operator="greaterThan">
      <formula>0</formula>
    </cfRule>
    <cfRule type="cellIs" dxfId="21420" priority="1265" operator="equal">
      <formula>"PMS"</formula>
    </cfRule>
    <cfRule type="containsText" dxfId="21419" priority="1266" operator="containsText" text="CMS">
      <formula>NOT(ISERROR(SEARCH("CMS",I36)))</formula>
    </cfRule>
    <cfRule type="cellIs" dxfId="21418" priority="1267" operator="equal">
      <formula>0</formula>
    </cfRule>
    <cfRule type="cellIs" dxfId="21417" priority="1268" operator="greaterThan">
      <formula>0</formula>
    </cfRule>
  </conditionalFormatting>
  <conditionalFormatting sqref="I36:I39">
    <cfRule type="cellIs" dxfId="21416" priority="1257" operator="equal">
      <formula>"PMS"</formula>
    </cfRule>
    <cfRule type="containsText" dxfId="21415" priority="1258" operator="containsText" text="CMS">
      <formula>NOT(ISERROR(SEARCH("CMS",I36)))</formula>
    </cfRule>
    <cfRule type="cellIs" dxfId="21414" priority="1259" operator="equal">
      <formula>0</formula>
    </cfRule>
    <cfRule type="cellIs" dxfId="21413" priority="1260" operator="greaterThan">
      <formula>0</formula>
    </cfRule>
  </conditionalFormatting>
  <conditionalFormatting sqref="I36:I39">
    <cfRule type="cellIs" dxfId="21412" priority="1253" operator="equal">
      <formula>"PMS"</formula>
    </cfRule>
    <cfRule type="containsText" dxfId="21411" priority="1254" operator="containsText" text="CMS">
      <formula>NOT(ISERROR(SEARCH("CMS",I36)))</formula>
    </cfRule>
    <cfRule type="cellIs" dxfId="21410" priority="1255" operator="equal">
      <formula>0</formula>
    </cfRule>
    <cfRule type="cellIs" dxfId="21409" priority="1256" operator="greaterThan">
      <formula>0</formula>
    </cfRule>
  </conditionalFormatting>
  <conditionalFormatting sqref="O49">
    <cfRule type="cellIs" dxfId="21408" priority="1249" operator="equal">
      <formula>"PMS"</formula>
    </cfRule>
    <cfRule type="containsText" dxfId="21407" priority="1250" operator="containsText" text="CMS">
      <formula>NOT(ISERROR(SEARCH("CMS",O49)))</formula>
    </cfRule>
    <cfRule type="cellIs" dxfId="21406" priority="1251" operator="equal">
      <formula>0</formula>
    </cfRule>
    <cfRule type="cellIs" dxfId="21405" priority="1252" operator="greaterThan">
      <formula>0</formula>
    </cfRule>
  </conditionalFormatting>
  <conditionalFormatting sqref="O55:O56 P56">
    <cfRule type="cellIs" dxfId="21404" priority="1245" operator="equal">
      <formula>"PMS"</formula>
    </cfRule>
    <cfRule type="containsText" dxfId="21403" priority="1246" operator="containsText" text="CMS">
      <formula>NOT(ISERROR(SEARCH("CMS",O55)))</formula>
    </cfRule>
    <cfRule type="cellIs" dxfId="21402" priority="1247" operator="equal">
      <formula>0</formula>
    </cfRule>
    <cfRule type="cellIs" dxfId="21401" priority="1248" operator="greaterThan">
      <formula>0</formula>
    </cfRule>
  </conditionalFormatting>
  <conditionalFormatting sqref="O57:P57">
    <cfRule type="cellIs" dxfId="21400" priority="1241" operator="equal">
      <formula>"PMS"</formula>
    </cfRule>
    <cfRule type="containsText" dxfId="21399" priority="1242" operator="containsText" text="CMS">
      <formula>NOT(ISERROR(SEARCH("CMS",O57)))</formula>
    </cfRule>
    <cfRule type="cellIs" dxfId="21398" priority="1243" operator="equal">
      <formula>0</formula>
    </cfRule>
    <cfRule type="cellIs" dxfId="21397" priority="1244" operator="greaterThan">
      <formula>0</formula>
    </cfRule>
  </conditionalFormatting>
  <conditionalFormatting sqref="O49">
    <cfRule type="cellIs" dxfId="21396" priority="1237" operator="equal">
      <formula>"PMS"</formula>
    </cfRule>
    <cfRule type="containsText" dxfId="21395" priority="1238" operator="containsText" text="CMS">
      <formula>NOT(ISERROR(SEARCH("CMS",O49)))</formula>
    </cfRule>
    <cfRule type="cellIs" dxfId="21394" priority="1239" operator="equal">
      <formula>0</formula>
    </cfRule>
    <cfRule type="cellIs" dxfId="21393" priority="1240" operator="greaterThan">
      <formula>0</formula>
    </cfRule>
  </conditionalFormatting>
  <conditionalFormatting sqref="O55:O57 P56">
    <cfRule type="cellIs" dxfId="21392" priority="1233" operator="equal">
      <formula>"PMS"</formula>
    </cfRule>
    <cfRule type="containsText" dxfId="21391" priority="1234" operator="containsText" text="CMS">
      <formula>NOT(ISERROR(SEARCH("CMS",O55)))</formula>
    </cfRule>
    <cfRule type="cellIs" dxfId="21390" priority="1235" operator="equal">
      <formula>0</formula>
    </cfRule>
    <cfRule type="cellIs" dxfId="21389" priority="1236" operator="greaterThan">
      <formula>0</formula>
    </cfRule>
  </conditionalFormatting>
  <conditionalFormatting sqref="O49">
    <cfRule type="cellIs" dxfId="21388" priority="1229" operator="equal">
      <formula>"PMS"</formula>
    </cfRule>
    <cfRule type="containsText" dxfId="21387" priority="1230" operator="containsText" text="CMS">
      <formula>NOT(ISERROR(SEARCH("CMS",O49)))</formula>
    </cfRule>
    <cfRule type="cellIs" dxfId="21386" priority="1231" operator="equal">
      <formula>0</formula>
    </cfRule>
    <cfRule type="cellIs" dxfId="21385" priority="1232" operator="greaterThan">
      <formula>0</formula>
    </cfRule>
  </conditionalFormatting>
  <conditionalFormatting sqref="O55:O57 P56">
    <cfRule type="cellIs" dxfId="21384" priority="1225" operator="equal">
      <formula>"PMS"</formula>
    </cfRule>
    <cfRule type="containsText" dxfId="21383" priority="1226" operator="containsText" text="CMS">
      <formula>NOT(ISERROR(SEARCH("CMS",O55)))</formula>
    </cfRule>
    <cfRule type="cellIs" dxfId="21382" priority="1227" operator="equal">
      <formula>0</formula>
    </cfRule>
    <cfRule type="cellIs" dxfId="21381" priority="1228" operator="greaterThan">
      <formula>0</formula>
    </cfRule>
  </conditionalFormatting>
  <conditionalFormatting sqref="W14:W16">
    <cfRule type="cellIs" dxfId="21380" priority="1221" operator="equal">
      <formula>"PMS"</formula>
    </cfRule>
    <cfRule type="containsText" dxfId="21379" priority="1222" operator="containsText" text="CMS">
      <formula>NOT(ISERROR(SEARCH("CMS",W14)))</formula>
    </cfRule>
    <cfRule type="cellIs" dxfId="21378" priority="1223" operator="equal">
      <formula>0</formula>
    </cfRule>
    <cfRule type="cellIs" dxfId="21377" priority="1224" operator="greaterThan">
      <formula>0</formula>
    </cfRule>
  </conditionalFormatting>
  <conditionalFormatting sqref="W14:W16">
    <cfRule type="cellIs" dxfId="21376" priority="1217" operator="equal">
      <formula>"PMS"</formula>
    </cfRule>
    <cfRule type="containsText" dxfId="21375" priority="1218" operator="containsText" text="CMS">
      <formula>NOT(ISERROR(SEARCH("CMS",W14)))</formula>
    </cfRule>
    <cfRule type="cellIs" dxfId="21374" priority="1219" operator="equal">
      <formula>0</formula>
    </cfRule>
    <cfRule type="cellIs" dxfId="21373" priority="1220" operator="greaterThan">
      <formula>0</formula>
    </cfRule>
  </conditionalFormatting>
  <conditionalFormatting sqref="X16">
    <cfRule type="cellIs" dxfId="21372" priority="1213" operator="equal">
      <formula>"PMS"</formula>
    </cfRule>
    <cfRule type="containsText" dxfId="21371" priority="1214" operator="containsText" text="CMS">
      <formula>NOT(ISERROR(SEARCH("CMS",X16)))</formula>
    </cfRule>
    <cfRule type="cellIs" dxfId="21370" priority="1215" operator="equal">
      <formula>0</formula>
    </cfRule>
    <cfRule type="cellIs" dxfId="21369" priority="1216" operator="greaterThan">
      <formula>0</formula>
    </cfRule>
  </conditionalFormatting>
  <conditionalFormatting sqref="X16">
    <cfRule type="cellIs" dxfId="21368" priority="1209" operator="equal">
      <formula>"PMS"</formula>
    </cfRule>
    <cfRule type="containsText" dxfId="21367" priority="1210" operator="containsText" text="CMS">
      <formula>NOT(ISERROR(SEARCH("CMS",X16)))</formula>
    </cfRule>
    <cfRule type="cellIs" dxfId="21366" priority="1211" operator="equal">
      <formula>0</formula>
    </cfRule>
    <cfRule type="cellIs" dxfId="21365" priority="1212" operator="greaterThan">
      <formula>0</formula>
    </cfRule>
  </conditionalFormatting>
  <conditionalFormatting sqref="O49">
    <cfRule type="cellIs" dxfId="21364" priority="1205" operator="equal">
      <formula>"PMS"</formula>
    </cfRule>
    <cfRule type="containsText" dxfId="21363" priority="1206" operator="containsText" text="CMS">
      <formula>NOT(ISERROR(SEARCH("CMS",O49)))</formula>
    </cfRule>
    <cfRule type="cellIs" dxfId="21362" priority="1207" operator="equal">
      <formula>0</formula>
    </cfRule>
    <cfRule type="cellIs" dxfId="21361" priority="1208" operator="greaterThan">
      <formula>0</formula>
    </cfRule>
  </conditionalFormatting>
  <conditionalFormatting sqref="O56:P56">
    <cfRule type="cellIs" dxfId="21360" priority="1201" operator="equal">
      <formula>"PMS"</formula>
    </cfRule>
    <cfRule type="containsText" dxfId="21359" priority="1202" operator="containsText" text="CMS">
      <formula>NOT(ISERROR(SEARCH("CMS",O56)))</formula>
    </cfRule>
    <cfRule type="cellIs" dxfId="21358" priority="1203" operator="equal">
      <formula>0</formula>
    </cfRule>
    <cfRule type="cellIs" dxfId="21357" priority="1204" operator="greaterThan">
      <formula>0</formula>
    </cfRule>
  </conditionalFormatting>
  <conditionalFormatting sqref="Z14">
    <cfRule type="cellIs" dxfId="21356" priority="1197" operator="equal">
      <formula>"PMS"</formula>
    </cfRule>
    <cfRule type="containsText" dxfId="21355" priority="1198" operator="containsText" text="CMS">
      <formula>NOT(ISERROR(SEARCH("CMS",Z14)))</formula>
    </cfRule>
    <cfRule type="cellIs" dxfId="21354" priority="1199" operator="equal">
      <formula>0</formula>
    </cfRule>
    <cfRule type="cellIs" dxfId="21353" priority="1200" operator="greaterThan">
      <formula>0</formula>
    </cfRule>
  </conditionalFormatting>
  <conditionalFormatting sqref="Z14">
    <cfRule type="cellIs" dxfId="21352" priority="1193" operator="equal">
      <formula>"PMS"</formula>
    </cfRule>
    <cfRule type="containsText" dxfId="21351" priority="1194" operator="containsText" text="CMS">
      <formula>NOT(ISERROR(SEARCH("CMS",Z14)))</formula>
    </cfRule>
    <cfRule type="cellIs" dxfId="21350" priority="1195" operator="equal">
      <formula>0</formula>
    </cfRule>
    <cfRule type="cellIs" dxfId="21349" priority="1196" operator="greaterThan">
      <formula>0</formula>
    </cfRule>
  </conditionalFormatting>
  <conditionalFormatting sqref="Z15">
    <cfRule type="cellIs" dxfId="21348" priority="1189" operator="equal">
      <formula>"PMS"</formula>
    </cfRule>
    <cfRule type="containsText" dxfId="21347" priority="1190" operator="containsText" text="CMS">
      <formula>NOT(ISERROR(SEARCH("CMS",Z15)))</formula>
    </cfRule>
    <cfRule type="cellIs" dxfId="21346" priority="1191" operator="equal">
      <formula>0</formula>
    </cfRule>
    <cfRule type="cellIs" dxfId="21345" priority="1192" operator="greaterThan">
      <formula>0</formula>
    </cfRule>
  </conditionalFormatting>
  <conditionalFormatting sqref="Z15">
    <cfRule type="cellIs" dxfId="21344" priority="1185" operator="equal">
      <formula>"PMS"</formula>
    </cfRule>
    <cfRule type="containsText" dxfId="21343" priority="1186" operator="containsText" text="CMS">
      <formula>NOT(ISERROR(SEARCH("CMS",Z15)))</formula>
    </cfRule>
    <cfRule type="cellIs" dxfId="21342" priority="1187" operator="equal">
      <formula>0</formula>
    </cfRule>
    <cfRule type="cellIs" dxfId="21341" priority="1188" operator="greaterThan">
      <formula>0</formula>
    </cfRule>
  </conditionalFormatting>
  <conditionalFormatting sqref="Z16">
    <cfRule type="cellIs" dxfId="21340" priority="1181" operator="equal">
      <formula>"PMS"</formula>
    </cfRule>
    <cfRule type="containsText" dxfId="21339" priority="1182" operator="containsText" text="CMS">
      <formula>NOT(ISERROR(SEARCH("CMS",Z16)))</formula>
    </cfRule>
    <cfRule type="cellIs" dxfId="21338" priority="1183" operator="equal">
      <formula>0</formula>
    </cfRule>
    <cfRule type="cellIs" dxfId="21337" priority="1184" operator="greaterThan">
      <formula>0</formula>
    </cfRule>
  </conditionalFormatting>
  <conditionalFormatting sqref="Z16">
    <cfRule type="cellIs" dxfId="21336" priority="1177" operator="equal">
      <formula>"PMS"</formula>
    </cfRule>
    <cfRule type="containsText" dxfId="21335" priority="1178" operator="containsText" text="CMS">
      <formula>NOT(ISERROR(SEARCH("CMS",Z16)))</formula>
    </cfRule>
    <cfRule type="cellIs" dxfId="21334" priority="1179" operator="equal">
      <formula>0</formula>
    </cfRule>
    <cfRule type="cellIs" dxfId="21333" priority="1180" operator="greaterThan">
      <formula>0</formula>
    </cfRule>
  </conditionalFormatting>
  <conditionalFormatting sqref="AA13:AA16">
    <cfRule type="cellIs" dxfId="21332" priority="1173" operator="equal">
      <formula>"PMS"</formula>
    </cfRule>
    <cfRule type="containsText" dxfId="21331" priority="1174" operator="containsText" text="CMS">
      <formula>NOT(ISERROR(SEARCH("CMS",AA13)))</formula>
    </cfRule>
    <cfRule type="cellIs" dxfId="21330" priority="1175" operator="equal">
      <formula>0</formula>
    </cfRule>
    <cfRule type="cellIs" dxfId="21329" priority="1176" operator="greaterThan">
      <formula>0</formula>
    </cfRule>
  </conditionalFormatting>
  <conditionalFormatting sqref="AA13:AA16">
    <cfRule type="cellIs" dxfId="21328" priority="1169" operator="equal">
      <formula>"PMS"</formula>
    </cfRule>
    <cfRule type="containsText" dxfId="21327" priority="1170" operator="containsText" text="CMS">
      <formula>NOT(ISERROR(SEARCH("CMS",AA13)))</formula>
    </cfRule>
    <cfRule type="cellIs" dxfId="21326" priority="1171" operator="equal">
      <formula>0</formula>
    </cfRule>
    <cfRule type="cellIs" dxfId="21325" priority="1172" operator="greaterThan">
      <formula>0</formula>
    </cfRule>
  </conditionalFormatting>
  <conditionalFormatting sqref="Z15:AA15">
    <cfRule type="cellIs" dxfId="21324" priority="1165" operator="equal">
      <formula>"PMS"</formula>
    </cfRule>
    <cfRule type="containsText" dxfId="21323" priority="1166" operator="containsText" text="CMS">
      <formula>NOT(ISERROR(SEARCH("CMS",Z15)))</formula>
    </cfRule>
    <cfRule type="cellIs" dxfId="21322" priority="1167" operator="equal">
      <formula>0</formula>
    </cfRule>
    <cfRule type="cellIs" dxfId="21321" priority="1168" operator="greaterThan">
      <formula>0</formula>
    </cfRule>
  </conditionalFormatting>
  <conditionalFormatting sqref="Z15:AA15">
    <cfRule type="cellIs" dxfId="21320" priority="1161" operator="equal">
      <formula>"PMS"</formula>
    </cfRule>
    <cfRule type="containsText" dxfId="21319" priority="1162" operator="containsText" text="CMS">
      <formula>NOT(ISERROR(SEARCH("CMS",Z15)))</formula>
    </cfRule>
    <cfRule type="cellIs" dxfId="21318" priority="1163" operator="equal">
      <formula>0</formula>
    </cfRule>
    <cfRule type="cellIs" dxfId="21317" priority="1164" operator="greaterThan">
      <formula>0</formula>
    </cfRule>
  </conditionalFormatting>
  <conditionalFormatting sqref="Z16:AA16">
    <cfRule type="cellIs" dxfId="21316" priority="1157" operator="equal">
      <formula>"PMS"</formula>
    </cfRule>
    <cfRule type="containsText" dxfId="21315" priority="1158" operator="containsText" text="CMS">
      <formula>NOT(ISERROR(SEARCH("CMS",Z16)))</formula>
    </cfRule>
    <cfRule type="cellIs" dxfId="21314" priority="1159" operator="equal">
      <formula>0</formula>
    </cfRule>
    <cfRule type="cellIs" dxfId="21313" priority="1160" operator="greaterThan">
      <formula>0</formula>
    </cfRule>
  </conditionalFormatting>
  <conditionalFormatting sqref="Z16:AA16">
    <cfRule type="cellIs" dxfId="21312" priority="1153" operator="equal">
      <formula>"PMS"</formula>
    </cfRule>
    <cfRule type="containsText" dxfId="21311" priority="1154" operator="containsText" text="CMS">
      <formula>NOT(ISERROR(SEARCH("CMS",Z16)))</formula>
    </cfRule>
    <cfRule type="cellIs" dxfId="21310" priority="1155" operator="equal">
      <formula>0</formula>
    </cfRule>
    <cfRule type="cellIs" dxfId="21309" priority="1156" operator="greaterThan">
      <formula>0</formula>
    </cfRule>
  </conditionalFormatting>
  <conditionalFormatting sqref="AA27">
    <cfRule type="cellIs" dxfId="21308" priority="1149" operator="equal">
      <formula>"PMS"</formula>
    </cfRule>
    <cfRule type="containsText" dxfId="21307" priority="1150" operator="containsText" text="CMS">
      <formula>NOT(ISERROR(SEARCH("CMS",AA27)))</formula>
    </cfRule>
    <cfRule type="cellIs" dxfId="21306" priority="1151" operator="equal">
      <formula>0</formula>
    </cfRule>
    <cfRule type="cellIs" dxfId="21305" priority="1152" operator="greaterThan">
      <formula>0</formula>
    </cfRule>
  </conditionalFormatting>
  <conditionalFormatting sqref="AA27">
    <cfRule type="cellIs" dxfId="21304" priority="1145" operator="equal">
      <formula>"PMS"</formula>
    </cfRule>
    <cfRule type="containsText" dxfId="21303" priority="1146" operator="containsText" text="CMS">
      <formula>NOT(ISERROR(SEARCH("CMS",AA27)))</formula>
    </cfRule>
    <cfRule type="cellIs" dxfId="21302" priority="1147" operator="equal">
      <formula>0</formula>
    </cfRule>
    <cfRule type="cellIs" dxfId="21301" priority="1148" operator="greaterThan">
      <formula>0</formula>
    </cfRule>
  </conditionalFormatting>
  <conditionalFormatting sqref="AA28">
    <cfRule type="cellIs" dxfId="21300" priority="1141" operator="equal">
      <formula>"PMS"</formula>
    </cfRule>
    <cfRule type="containsText" dxfId="21299" priority="1142" operator="containsText" text="CMS">
      <formula>NOT(ISERROR(SEARCH("CMS",AA28)))</formula>
    </cfRule>
    <cfRule type="cellIs" dxfId="21298" priority="1143" operator="equal">
      <formula>0</formula>
    </cfRule>
    <cfRule type="cellIs" dxfId="21297" priority="1144" operator="greaterThan">
      <formula>0</formula>
    </cfRule>
  </conditionalFormatting>
  <conditionalFormatting sqref="AA28">
    <cfRule type="cellIs" dxfId="21296" priority="1137" operator="equal">
      <formula>"PMS"</formula>
    </cfRule>
    <cfRule type="containsText" dxfId="21295" priority="1138" operator="containsText" text="CMS">
      <formula>NOT(ISERROR(SEARCH("CMS",AA28)))</formula>
    </cfRule>
    <cfRule type="cellIs" dxfId="21294" priority="1139" operator="equal">
      <formula>0</formula>
    </cfRule>
    <cfRule type="cellIs" dxfId="21293" priority="1140" operator="greaterThan">
      <formula>0</formula>
    </cfRule>
  </conditionalFormatting>
  <conditionalFormatting sqref="AB14">
    <cfRule type="cellIs" dxfId="21292" priority="1133" operator="equal">
      <formula>"PMS"</formula>
    </cfRule>
    <cfRule type="containsText" dxfId="21291" priority="1134" operator="containsText" text="CMS">
      <formula>NOT(ISERROR(SEARCH("CMS",AB14)))</formula>
    </cfRule>
    <cfRule type="cellIs" dxfId="21290" priority="1135" operator="equal">
      <formula>0</formula>
    </cfRule>
    <cfRule type="cellIs" dxfId="21289" priority="1136" operator="greaterThan">
      <formula>0</formula>
    </cfRule>
  </conditionalFormatting>
  <conditionalFormatting sqref="AB14">
    <cfRule type="cellIs" dxfId="21288" priority="1129" operator="equal">
      <formula>"PMS"</formula>
    </cfRule>
    <cfRule type="containsText" dxfId="21287" priority="1130" operator="containsText" text="CMS">
      <formula>NOT(ISERROR(SEARCH("CMS",AB14)))</formula>
    </cfRule>
    <cfRule type="cellIs" dxfId="21286" priority="1131" operator="equal">
      <formula>0</formula>
    </cfRule>
    <cfRule type="cellIs" dxfId="21285" priority="1132" operator="greaterThan">
      <formula>0</formula>
    </cfRule>
  </conditionalFormatting>
  <conditionalFormatting sqref="AB15">
    <cfRule type="cellIs" dxfId="21284" priority="1125" operator="equal">
      <formula>"PMS"</formula>
    </cfRule>
    <cfRule type="containsText" dxfId="21283" priority="1126" operator="containsText" text="CMS">
      <formula>NOT(ISERROR(SEARCH("CMS",AB15)))</formula>
    </cfRule>
    <cfRule type="cellIs" dxfId="21282" priority="1127" operator="equal">
      <formula>0</formula>
    </cfRule>
    <cfRule type="cellIs" dxfId="21281" priority="1128" operator="greaterThan">
      <formula>0</formula>
    </cfRule>
  </conditionalFormatting>
  <conditionalFormatting sqref="AB15">
    <cfRule type="cellIs" dxfId="21280" priority="1121" operator="equal">
      <formula>"PMS"</formula>
    </cfRule>
    <cfRule type="containsText" dxfId="21279" priority="1122" operator="containsText" text="CMS">
      <formula>NOT(ISERROR(SEARCH("CMS",AB15)))</formula>
    </cfRule>
    <cfRule type="cellIs" dxfId="21278" priority="1123" operator="equal">
      <formula>0</formula>
    </cfRule>
    <cfRule type="cellIs" dxfId="21277" priority="1124" operator="greaterThan">
      <formula>0</formula>
    </cfRule>
  </conditionalFormatting>
  <conditionalFormatting sqref="AB16">
    <cfRule type="cellIs" dxfId="21276" priority="1117" operator="equal">
      <formula>"PMS"</formula>
    </cfRule>
    <cfRule type="containsText" dxfId="21275" priority="1118" operator="containsText" text="CMS">
      <formula>NOT(ISERROR(SEARCH("CMS",AB16)))</formula>
    </cfRule>
    <cfRule type="cellIs" dxfId="21274" priority="1119" operator="equal">
      <formula>0</formula>
    </cfRule>
    <cfRule type="cellIs" dxfId="21273" priority="1120" operator="greaterThan">
      <formula>0</formula>
    </cfRule>
  </conditionalFormatting>
  <conditionalFormatting sqref="AB16">
    <cfRule type="cellIs" dxfId="21272" priority="1113" operator="equal">
      <formula>"PMS"</formula>
    </cfRule>
    <cfRule type="containsText" dxfId="21271" priority="1114" operator="containsText" text="CMS">
      <formula>NOT(ISERROR(SEARCH("CMS",AB16)))</formula>
    </cfRule>
    <cfRule type="cellIs" dxfId="21270" priority="1115" operator="equal">
      <formula>0</formula>
    </cfRule>
    <cfRule type="cellIs" dxfId="21269" priority="1116" operator="greaterThan">
      <formula>0</formula>
    </cfRule>
  </conditionalFormatting>
  <conditionalFormatting sqref="J62">
    <cfRule type="cellIs" dxfId="21268" priority="1105" operator="equal">
      <formula>"PMS"</formula>
    </cfRule>
    <cfRule type="containsText" dxfId="21267" priority="1106" operator="containsText" text="CMS">
      <formula>NOT(ISERROR(SEARCH("CMS",J62)))</formula>
    </cfRule>
    <cfRule type="cellIs" dxfId="21266" priority="1107" operator="equal">
      <formula>0</formula>
    </cfRule>
    <cfRule type="cellIs" dxfId="21265" priority="1108" operator="greaterThan">
      <formula>0</formula>
    </cfRule>
    <cfRule type="cellIs" dxfId="21264" priority="1109" operator="equal">
      <formula>"PMS"</formula>
    </cfRule>
    <cfRule type="containsText" dxfId="21263" priority="1110" operator="containsText" text="CMS">
      <formula>NOT(ISERROR(SEARCH("CMS",J62)))</formula>
    </cfRule>
    <cfRule type="cellIs" dxfId="21262" priority="1111" operator="equal">
      <formula>0</formula>
    </cfRule>
    <cfRule type="cellIs" dxfId="21261" priority="1112" operator="greaterThan">
      <formula>0</formula>
    </cfRule>
  </conditionalFormatting>
  <conditionalFormatting sqref="W14">
    <cfRule type="cellIs" dxfId="21260" priority="1101" operator="equal">
      <formula>"PMS"</formula>
    </cfRule>
    <cfRule type="containsText" dxfId="21259" priority="1102" operator="containsText" text="CMS">
      <formula>NOT(ISERROR(SEARCH("CMS",W14)))</formula>
    </cfRule>
    <cfRule type="cellIs" dxfId="21258" priority="1103" operator="equal">
      <formula>0</formula>
    </cfRule>
    <cfRule type="cellIs" dxfId="21257" priority="1104" operator="greaterThan">
      <formula>0</formula>
    </cfRule>
  </conditionalFormatting>
  <conditionalFormatting sqref="W14">
    <cfRule type="cellIs" dxfId="21256" priority="1097" operator="equal">
      <formula>"PMS"</formula>
    </cfRule>
    <cfRule type="containsText" dxfId="21255" priority="1098" operator="containsText" text="CMS">
      <formula>NOT(ISERROR(SEARCH("CMS",W14)))</formula>
    </cfRule>
    <cfRule type="cellIs" dxfId="21254" priority="1099" operator="equal">
      <formula>0</formula>
    </cfRule>
    <cfRule type="cellIs" dxfId="21253" priority="1100" operator="greaterThan">
      <formula>0</formula>
    </cfRule>
  </conditionalFormatting>
  <conditionalFormatting sqref="W15">
    <cfRule type="cellIs" dxfId="21252" priority="1093" operator="equal">
      <formula>"PMS"</formula>
    </cfRule>
    <cfRule type="containsText" dxfId="21251" priority="1094" operator="containsText" text="CMS">
      <formula>NOT(ISERROR(SEARCH("CMS",W15)))</formula>
    </cfRule>
    <cfRule type="cellIs" dxfId="21250" priority="1095" operator="equal">
      <formula>0</formula>
    </cfRule>
    <cfRule type="cellIs" dxfId="21249" priority="1096" operator="greaterThan">
      <formula>0</formula>
    </cfRule>
  </conditionalFormatting>
  <conditionalFormatting sqref="W15">
    <cfRule type="cellIs" dxfId="21248" priority="1089" operator="equal">
      <formula>"PMS"</formula>
    </cfRule>
    <cfRule type="containsText" dxfId="21247" priority="1090" operator="containsText" text="CMS">
      <formula>NOT(ISERROR(SEARCH("CMS",W15)))</formula>
    </cfRule>
    <cfRule type="cellIs" dxfId="21246" priority="1091" operator="equal">
      <formula>0</formula>
    </cfRule>
    <cfRule type="cellIs" dxfId="21245" priority="1092" operator="greaterThan">
      <formula>0</formula>
    </cfRule>
  </conditionalFormatting>
  <conditionalFormatting sqref="W16">
    <cfRule type="cellIs" dxfId="21244" priority="1085" operator="equal">
      <formula>"PMS"</formula>
    </cfRule>
    <cfRule type="containsText" dxfId="21243" priority="1086" operator="containsText" text="CMS">
      <formula>NOT(ISERROR(SEARCH("CMS",W16)))</formula>
    </cfRule>
    <cfRule type="cellIs" dxfId="21242" priority="1087" operator="equal">
      <formula>0</formula>
    </cfRule>
    <cfRule type="cellIs" dxfId="21241" priority="1088" operator="greaterThan">
      <formula>0</formula>
    </cfRule>
  </conditionalFormatting>
  <conditionalFormatting sqref="W16">
    <cfRule type="cellIs" dxfId="21240" priority="1081" operator="equal">
      <formula>"PMS"</formula>
    </cfRule>
    <cfRule type="containsText" dxfId="21239" priority="1082" operator="containsText" text="CMS">
      <formula>NOT(ISERROR(SEARCH("CMS",W16)))</formula>
    </cfRule>
    <cfRule type="cellIs" dxfId="21238" priority="1083" operator="equal">
      <formula>0</formula>
    </cfRule>
    <cfRule type="cellIs" dxfId="21237" priority="1084" operator="greaterThan">
      <formula>0</formula>
    </cfRule>
  </conditionalFormatting>
  <conditionalFormatting sqref="G56">
    <cfRule type="cellIs" dxfId="21236" priority="1073" operator="equal">
      <formula>"PMS"</formula>
    </cfRule>
    <cfRule type="containsText" dxfId="21235" priority="1074" operator="containsText" text="CMS">
      <formula>NOT(ISERROR(SEARCH("CMS",G56)))</formula>
    </cfRule>
    <cfRule type="cellIs" dxfId="21234" priority="1075" operator="equal">
      <formula>0</formula>
    </cfRule>
    <cfRule type="cellIs" dxfId="21233" priority="1076" operator="greaterThan">
      <formula>0</formula>
    </cfRule>
    <cfRule type="cellIs" dxfId="21232" priority="1077" operator="equal">
      <formula>"PMS"</formula>
    </cfRule>
    <cfRule type="containsText" dxfId="21231" priority="1078" operator="containsText" text="CMS">
      <formula>NOT(ISERROR(SEARCH("CMS",G56)))</formula>
    </cfRule>
    <cfRule type="cellIs" dxfId="21230" priority="1079" operator="equal">
      <formula>0</formula>
    </cfRule>
    <cfRule type="cellIs" dxfId="21229" priority="1080" operator="greaterThan">
      <formula>0</formula>
    </cfRule>
  </conditionalFormatting>
  <conditionalFormatting sqref="G56">
    <cfRule type="cellIs" dxfId="21228" priority="1069" operator="equal">
      <formula>"PMS"</formula>
    </cfRule>
    <cfRule type="containsText" dxfId="21227" priority="1070" operator="containsText" text="CMS">
      <formula>NOT(ISERROR(SEARCH("CMS",G56)))</formula>
    </cfRule>
    <cfRule type="cellIs" dxfId="21226" priority="1071" operator="equal">
      <formula>0</formula>
    </cfRule>
    <cfRule type="cellIs" dxfId="21225" priority="1072" operator="greaterThan">
      <formula>0</formula>
    </cfRule>
  </conditionalFormatting>
  <conditionalFormatting sqref="G56">
    <cfRule type="cellIs" dxfId="21224" priority="1065" operator="equal">
      <formula>"PMS"</formula>
    </cfRule>
    <cfRule type="containsText" dxfId="21223" priority="1066" operator="containsText" text="CMS">
      <formula>NOT(ISERROR(SEARCH("CMS",G56)))</formula>
    </cfRule>
    <cfRule type="cellIs" dxfId="21222" priority="1067" operator="equal">
      <formula>0</formula>
    </cfRule>
    <cfRule type="cellIs" dxfId="21221" priority="1068" operator="greaterThan">
      <formula>0</formula>
    </cfRule>
  </conditionalFormatting>
  <conditionalFormatting sqref="G13:G14">
    <cfRule type="cellIs" dxfId="21220" priority="1057" operator="equal">
      <formula>"PMS"</formula>
    </cfRule>
    <cfRule type="containsText" dxfId="21219" priority="1058" operator="containsText" text="CMS">
      <formula>NOT(ISERROR(SEARCH("CMS",G13)))</formula>
    </cfRule>
    <cfRule type="cellIs" dxfId="21218" priority="1059" operator="equal">
      <formula>0</formula>
    </cfRule>
    <cfRule type="cellIs" dxfId="21217" priority="1060" operator="greaterThan">
      <formula>0</formula>
    </cfRule>
    <cfRule type="cellIs" dxfId="21216" priority="1061" operator="equal">
      <formula>"PMS"</formula>
    </cfRule>
    <cfRule type="containsText" dxfId="21215" priority="1062" operator="containsText" text="CMS">
      <formula>NOT(ISERROR(SEARCH("CMS",G13)))</formula>
    </cfRule>
    <cfRule type="cellIs" dxfId="21214" priority="1063" operator="equal">
      <formula>0</formula>
    </cfRule>
    <cfRule type="cellIs" dxfId="21213" priority="1064" operator="greaterThan">
      <formula>0</formula>
    </cfRule>
  </conditionalFormatting>
  <conditionalFormatting sqref="G13:G14">
    <cfRule type="cellIs" dxfId="21212" priority="1053" operator="equal">
      <formula>"PMS"</formula>
    </cfRule>
    <cfRule type="containsText" dxfId="21211" priority="1054" operator="containsText" text="CMS">
      <formula>NOT(ISERROR(SEARCH("CMS",G13)))</formula>
    </cfRule>
    <cfRule type="cellIs" dxfId="21210" priority="1055" operator="equal">
      <formula>0</formula>
    </cfRule>
    <cfRule type="cellIs" dxfId="21209" priority="1056" operator="greaterThan">
      <formula>0</formula>
    </cfRule>
  </conditionalFormatting>
  <conditionalFormatting sqref="G13:G14">
    <cfRule type="cellIs" dxfId="21208" priority="1049" operator="equal">
      <formula>"PMS"</formula>
    </cfRule>
    <cfRule type="containsText" dxfId="21207" priority="1050" operator="containsText" text="CMS">
      <formula>NOT(ISERROR(SEARCH("CMS",G13)))</formula>
    </cfRule>
    <cfRule type="cellIs" dxfId="21206" priority="1051" operator="equal">
      <formula>0</formula>
    </cfRule>
    <cfRule type="cellIs" dxfId="21205" priority="1052" operator="greaterThan">
      <formula>0</formula>
    </cfRule>
  </conditionalFormatting>
  <conditionalFormatting sqref="G13:G14">
    <cfRule type="cellIs" dxfId="21204" priority="1045" operator="equal">
      <formula>"PMS"</formula>
    </cfRule>
    <cfRule type="containsText" dxfId="21203" priority="1046" operator="containsText" text="CMS">
      <formula>NOT(ISERROR(SEARCH("CMS",G13)))</formula>
    </cfRule>
    <cfRule type="cellIs" dxfId="21202" priority="1047" operator="equal">
      <formula>0</formula>
    </cfRule>
    <cfRule type="cellIs" dxfId="21201" priority="1048" operator="greaterThan">
      <formula>0</formula>
    </cfRule>
  </conditionalFormatting>
  <conditionalFormatting sqref="G13:G14">
    <cfRule type="cellIs" dxfId="21200" priority="1041" operator="equal">
      <formula>"PMS"</formula>
    </cfRule>
    <cfRule type="containsText" dxfId="21199" priority="1042" operator="containsText" text="CMS">
      <formula>NOT(ISERROR(SEARCH("CMS",G13)))</formula>
    </cfRule>
    <cfRule type="cellIs" dxfId="21198" priority="1043" operator="equal">
      <formula>0</formula>
    </cfRule>
    <cfRule type="cellIs" dxfId="21197" priority="1044" operator="greaterThan">
      <formula>0</formula>
    </cfRule>
  </conditionalFormatting>
  <conditionalFormatting sqref="G20">
    <cfRule type="cellIs" dxfId="21196" priority="1033" operator="equal">
      <formula>"PMS"</formula>
    </cfRule>
    <cfRule type="containsText" dxfId="21195" priority="1034" operator="containsText" text="CMS">
      <formula>NOT(ISERROR(SEARCH("CMS",G20)))</formula>
    </cfRule>
    <cfRule type="cellIs" dxfId="21194" priority="1035" operator="equal">
      <formula>0</formula>
    </cfRule>
    <cfRule type="cellIs" dxfId="21193" priority="1036" operator="greaterThan">
      <formula>0</formula>
    </cfRule>
    <cfRule type="cellIs" dxfId="21192" priority="1037" operator="equal">
      <formula>"PMS"</formula>
    </cfRule>
    <cfRule type="containsText" dxfId="21191" priority="1038" operator="containsText" text="CMS">
      <formula>NOT(ISERROR(SEARCH("CMS",G20)))</formula>
    </cfRule>
    <cfRule type="cellIs" dxfId="21190" priority="1039" operator="equal">
      <formula>0</formula>
    </cfRule>
    <cfRule type="cellIs" dxfId="21189" priority="1040" operator="greaterThan">
      <formula>0</formula>
    </cfRule>
  </conditionalFormatting>
  <conditionalFormatting sqref="G20">
    <cfRule type="cellIs" dxfId="21188" priority="1029" operator="equal">
      <formula>"PMS"</formula>
    </cfRule>
    <cfRule type="containsText" dxfId="21187" priority="1030" operator="containsText" text="CMS">
      <formula>NOT(ISERROR(SEARCH("CMS",G20)))</formula>
    </cfRule>
    <cfRule type="cellIs" dxfId="21186" priority="1031" operator="equal">
      <formula>0</formula>
    </cfRule>
    <cfRule type="cellIs" dxfId="21185" priority="1032" operator="greaterThan">
      <formula>0</formula>
    </cfRule>
  </conditionalFormatting>
  <conditionalFormatting sqref="G20">
    <cfRule type="cellIs" dxfId="21184" priority="1025" operator="equal">
      <formula>"PMS"</formula>
    </cfRule>
    <cfRule type="containsText" dxfId="21183" priority="1026" operator="containsText" text="CMS">
      <formula>NOT(ISERROR(SEARCH("CMS",G20)))</formula>
    </cfRule>
    <cfRule type="cellIs" dxfId="21182" priority="1027" operator="equal">
      <formula>0</formula>
    </cfRule>
    <cfRule type="cellIs" dxfId="21181" priority="1028" operator="greaterThan">
      <formula>0</formula>
    </cfRule>
  </conditionalFormatting>
  <conditionalFormatting sqref="G27:G29 J29 M29 P29 S29 V29 AB29">
    <cfRule type="cellIs" dxfId="21180" priority="1017" operator="equal">
      <formula>"PMS"</formula>
    </cfRule>
    <cfRule type="containsText" dxfId="21179" priority="1018" operator="containsText" text="CMS">
      <formula>NOT(ISERROR(SEARCH("CMS",G27)))</formula>
    </cfRule>
    <cfRule type="cellIs" dxfId="21178" priority="1019" operator="equal">
      <formula>0</formula>
    </cfRule>
    <cfRule type="cellIs" dxfId="21177" priority="1020" operator="greaterThan">
      <formula>0</formula>
    </cfRule>
    <cfRule type="cellIs" dxfId="21176" priority="1021" operator="equal">
      <formula>"PMS"</formula>
    </cfRule>
    <cfRule type="containsText" dxfId="21175" priority="1022" operator="containsText" text="CMS">
      <formula>NOT(ISERROR(SEARCH("CMS",G27)))</formula>
    </cfRule>
    <cfRule type="cellIs" dxfId="21174" priority="1023" operator="equal">
      <formula>0</formula>
    </cfRule>
    <cfRule type="cellIs" dxfId="21173" priority="1024" operator="greaterThan">
      <formula>0</formula>
    </cfRule>
  </conditionalFormatting>
  <conditionalFormatting sqref="G27:G29 J29 M29 P29 S29 V29 AB29">
    <cfRule type="cellIs" dxfId="21172" priority="1013" operator="equal">
      <formula>"PMS"</formula>
    </cfRule>
    <cfRule type="containsText" dxfId="21171" priority="1014" operator="containsText" text="CMS">
      <formula>NOT(ISERROR(SEARCH("CMS",G27)))</formula>
    </cfRule>
    <cfRule type="cellIs" dxfId="21170" priority="1015" operator="equal">
      <formula>0</formula>
    </cfRule>
    <cfRule type="cellIs" dxfId="21169" priority="1016" operator="greaterThan">
      <formula>0</formula>
    </cfRule>
  </conditionalFormatting>
  <conditionalFormatting sqref="G27:G29 J29 M29 P29 S29 V29 AB29">
    <cfRule type="cellIs" dxfId="21168" priority="1009" operator="equal">
      <formula>"PMS"</formula>
    </cfRule>
    <cfRule type="containsText" dxfId="21167" priority="1010" operator="containsText" text="CMS">
      <formula>NOT(ISERROR(SEARCH("CMS",G27)))</formula>
    </cfRule>
    <cfRule type="cellIs" dxfId="21166" priority="1011" operator="equal">
      <formula>0</formula>
    </cfRule>
    <cfRule type="cellIs" dxfId="21165" priority="1012" operator="greaterThan">
      <formula>0</formula>
    </cfRule>
  </conditionalFormatting>
  <conditionalFormatting sqref="G45:G46">
    <cfRule type="cellIs" dxfId="21164" priority="1001" operator="equal">
      <formula>"PMS"</formula>
    </cfRule>
    <cfRule type="containsText" dxfId="21163" priority="1002" operator="containsText" text="CMS">
      <formula>NOT(ISERROR(SEARCH("CMS",G45)))</formula>
    </cfRule>
    <cfRule type="cellIs" dxfId="21162" priority="1003" operator="equal">
      <formula>0</formula>
    </cfRule>
    <cfRule type="cellIs" dxfId="21161" priority="1004" operator="greaterThan">
      <formula>0</formula>
    </cfRule>
    <cfRule type="cellIs" dxfId="21160" priority="1005" operator="equal">
      <formula>"PMS"</formula>
    </cfRule>
    <cfRule type="containsText" dxfId="21159" priority="1006" operator="containsText" text="CMS">
      <formula>NOT(ISERROR(SEARCH("CMS",G45)))</formula>
    </cfRule>
    <cfRule type="cellIs" dxfId="21158" priority="1007" operator="equal">
      <formula>0</formula>
    </cfRule>
    <cfRule type="cellIs" dxfId="21157" priority="1008" operator="greaterThan">
      <formula>0</formula>
    </cfRule>
  </conditionalFormatting>
  <conditionalFormatting sqref="G45:G46">
    <cfRule type="cellIs" dxfId="21156" priority="997" operator="equal">
      <formula>"PMS"</formula>
    </cfRule>
    <cfRule type="containsText" dxfId="21155" priority="998" operator="containsText" text="CMS">
      <formula>NOT(ISERROR(SEARCH("CMS",G45)))</formula>
    </cfRule>
    <cfRule type="cellIs" dxfId="21154" priority="999" operator="equal">
      <formula>0</formula>
    </cfRule>
    <cfRule type="cellIs" dxfId="21153" priority="1000" operator="greaterThan">
      <formula>0</formula>
    </cfRule>
  </conditionalFormatting>
  <conditionalFormatting sqref="G45:G46">
    <cfRule type="cellIs" dxfId="21152" priority="993" operator="equal">
      <formula>"PMS"</formula>
    </cfRule>
    <cfRule type="containsText" dxfId="21151" priority="994" operator="containsText" text="CMS">
      <formula>NOT(ISERROR(SEARCH("CMS",G45)))</formula>
    </cfRule>
    <cfRule type="cellIs" dxfId="21150" priority="995" operator="equal">
      <formula>0</formula>
    </cfRule>
    <cfRule type="cellIs" dxfId="21149" priority="996" operator="greaterThan">
      <formula>0</formula>
    </cfRule>
  </conditionalFormatting>
  <conditionalFormatting sqref="I62">
    <cfRule type="cellIs" dxfId="21148" priority="985" operator="equal">
      <formula>"PMS"</formula>
    </cfRule>
    <cfRule type="containsText" dxfId="21147" priority="986" operator="containsText" text="CMS">
      <formula>NOT(ISERROR(SEARCH("CMS",I62)))</formula>
    </cfRule>
    <cfRule type="cellIs" dxfId="21146" priority="987" operator="equal">
      <formula>0</formula>
    </cfRule>
    <cfRule type="cellIs" dxfId="21145" priority="988" operator="greaterThan">
      <formula>0</formula>
    </cfRule>
    <cfRule type="cellIs" dxfId="21144" priority="989" operator="equal">
      <formula>"PMS"</formula>
    </cfRule>
    <cfRule type="containsText" dxfId="21143" priority="990" operator="containsText" text="CMS">
      <formula>NOT(ISERROR(SEARCH("CMS",I62)))</formula>
    </cfRule>
    <cfRule type="cellIs" dxfId="21142" priority="991" operator="equal">
      <formula>0</formula>
    </cfRule>
    <cfRule type="cellIs" dxfId="21141" priority="992" operator="greaterThan">
      <formula>0</formula>
    </cfRule>
  </conditionalFormatting>
  <conditionalFormatting sqref="O48">
    <cfRule type="cellIs" dxfId="21140" priority="981" operator="equal">
      <formula>"PMS"</formula>
    </cfRule>
    <cfRule type="containsText" dxfId="21139" priority="982" operator="containsText" text="CMS">
      <formula>NOT(ISERROR(SEARCH("CMS",O48)))</formula>
    </cfRule>
    <cfRule type="cellIs" dxfId="21138" priority="983" operator="equal">
      <formula>0</formula>
    </cfRule>
    <cfRule type="cellIs" dxfId="21137" priority="984" operator="greaterThan">
      <formula>0</formula>
    </cfRule>
  </conditionalFormatting>
  <conditionalFormatting sqref="O48">
    <cfRule type="cellIs" dxfId="21136" priority="977" operator="equal">
      <formula>"PMS"</formula>
    </cfRule>
    <cfRule type="containsText" dxfId="21135" priority="978" operator="containsText" text="CMS">
      <formula>NOT(ISERROR(SEARCH("CMS",O48)))</formula>
    </cfRule>
    <cfRule type="cellIs" dxfId="21134" priority="979" operator="equal">
      <formula>0</formula>
    </cfRule>
    <cfRule type="cellIs" dxfId="21133" priority="980" operator="greaterThan">
      <formula>0</formula>
    </cfRule>
  </conditionalFormatting>
  <conditionalFormatting sqref="O48">
    <cfRule type="cellIs" dxfId="21132" priority="973" operator="equal">
      <formula>"PMS"</formula>
    </cfRule>
    <cfRule type="containsText" dxfId="21131" priority="974" operator="containsText" text="CMS">
      <formula>NOT(ISERROR(SEARCH("CMS",O48)))</formula>
    </cfRule>
    <cfRule type="cellIs" dxfId="21130" priority="975" operator="equal">
      <formula>0</formula>
    </cfRule>
    <cfRule type="cellIs" dxfId="21129" priority="976" operator="greaterThan">
      <formula>0</formula>
    </cfRule>
  </conditionalFormatting>
  <conditionalFormatting sqref="O48">
    <cfRule type="cellIs" dxfId="21128" priority="969" operator="equal">
      <formula>"PMS"</formula>
    </cfRule>
    <cfRule type="containsText" dxfId="21127" priority="970" operator="containsText" text="CMS">
      <formula>NOT(ISERROR(SEARCH("CMS",O48)))</formula>
    </cfRule>
    <cfRule type="cellIs" dxfId="21126" priority="971" operator="equal">
      <formula>0</formula>
    </cfRule>
    <cfRule type="cellIs" dxfId="21125" priority="972" operator="greaterThan">
      <formula>0</formula>
    </cfRule>
  </conditionalFormatting>
  <conditionalFormatting sqref="O56:P56">
    <cfRule type="cellIs" dxfId="21124" priority="965" operator="equal">
      <formula>"PMS"</formula>
    </cfRule>
    <cfRule type="containsText" dxfId="21123" priority="966" operator="containsText" text="CMS">
      <formula>NOT(ISERROR(SEARCH("CMS",O56)))</formula>
    </cfRule>
    <cfRule type="cellIs" dxfId="21122" priority="967" operator="equal">
      <formula>0</formula>
    </cfRule>
    <cfRule type="cellIs" dxfId="21121" priority="968" operator="greaterThan">
      <formula>0</formula>
    </cfRule>
  </conditionalFormatting>
  <conditionalFormatting sqref="O56:P56">
    <cfRule type="cellIs" dxfId="21120" priority="961" operator="equal">
      <formula>"PMS"</formula>
    </cfRule>
    <cfRule type="containsText" dxfId="21119" priority="962" operator="containsText" text="CMS">
      <formula>NOT(ISERROR(SEARCH("CMS",O56)))</formula>
    </cfRule>
    <cfRule type="cellIs" dxfId="21118" priority="963" operator="equal">
      <formula>0</formula>
    </cfRule>
    <cfRule type="cellIs" dxfId="21117" priority="964" operator="greaterThan">
      <formula>0</formula>
    </cfRule>
  </conditionalFormatting>
  <conditionalFormatting sqref="O56:P56">
    <cfRule type="cellIs" dxfId="21116" priority="957" operator="equal">
      <formula>"PMS"</formula>
    </cfRule>
    <cfRule type="containsText" dxfId="21115" priority="958" operator="containsText" text="CMS">
      <formula>NOT(ISERROR(SEARCH("CMS",O56)))</formula>
    </cfRule>
    <cfRule type="cellIs" dxfId="21114" priority="959" operator="equal">
      <formula>0</formula>
    </cfRule>
    <cfRule type="cellIs" dxfId="21113" priority="960" operator="greaterThan">
      <formula>0</formula>
    </cfRule>
  </conditionalFormatting>
  <conditionalFormatting sqref="O56:P56">
    <cfRule type="cellIs" dxfId="21112" priority="953" operator="equal">
      <formula>"PMS"</formula>
    </cfRule>
    <cfRule type="containsText" dxfId="21111" priority="954" operator="containsText" text="CMS">
      <formula>NOT(ISERROR(SEARCH("CMS",O56)))</formula>
    </cfRule>
    <cfRule type="cellIs" dxfId="21110" priority="955" operator="equal">
      <formula>0</formula>
    </cfRule>
    <cfRule type="cellIs" dxfId="21109" priority="956" operator="greaterThan">
      <formula>0</formula>
    </cfRule>
  </conditionalFormatting>
  <conditionalFormatting sqref="O57:P57">
    <cfRule type="cellIs" dxfId="21108" priority="949" operator="equal">
      <formula>"PMS"</formula>
    </cfRule>
    <cfRule type="containsText" dxfId="21107" priority="950" operator="containsText" text="CMS">
      <formula>NOT(ISERROR(SEARCH("CMS",O57)))</formula>
    </cfRule>
    <cfRule type="cellIs" dxfId="21106" priority="951" operator="equal">
      <formula>0</formula>
    </cfRule>
    <cfRule type="cellIs" dxfId="21105" priority="952" operator="greaterThan">
      <formula>0</formula>
    </cfRule>
  </conditionalFormatting>
  <conditionalFormatting sqref="O57:P57">
    <cfRule type="cellIs" dxfId="21104" priority="945" operator="equal">
      <formula>"PMS"</formula>
    </cfRule>
    <cfRule type="containsText" dxfId="21103" priority="946" operator="containsText" text="CMS">
      <formula>NOT(ISERROR(SEARCH("CMS",O57)))</formula>
    </cfRule>
    <cfRule type="cellIs" dxfId="21102" priority="947" operator="equal">
      <formula>0</formula>
    </cfRule>
    <cfRule type="cellIs" dxfId="21101" priority="948" operator="greaterThan">
      <formula>0</formula>
    </cfRule>
  </conditionalFormatting>
  <conditionalFormatting sqref="O57:P57">
    <cfRule type="cellIs" dxfId="21100" priority="941" operator="equal">
      <formula>"PMS"</formula>
    </cfRule>
    <cfRule type="containsText" dxfId="21099" priority="942" operator="containsText" text="CMS">
      <formula>NOT(ISERROR(SEARCH("CMS",O57)))</formula>
    </cfRule>
    <cfRule type="cellIs" dxfId="21098" priority="943" operator="equal">
      <formula>0</formula>
    </cfRule>
    <cfRule type="cellIs" dxfId="21097" priority="944" operator="greaterThan">
      <formula>0</formula>
    </cfRule>
  </conditionalFormatting>
  <conditionalFormatting sqref="O57:P57">
    <cfRule type="cellIs" dxfId="21096" priority="937" operator="equal">
      <formula>"PMS"</formula>
    </cfRule>
    <cfRule type="containsText" dxfId="21095" priority="938" operator="containsText" text="CMS">
      <formula>NOT(ISERROR(SEARCH("CMS",O57)))</formula>
    </cfRule>
    <cfRule type="cellIs" dxfId="21094" priority="939" operator="equal">
      <formula>0</formula>
    </cfRule>
    <cfRule type="cellIs" dxfId="21093" priority="940" operator="greaterThan">
      <formula>0</formula>
    </cfRule>
  </conditionalFormatting>
  <conditionalFormatting sqref="G48:G49">
    <cfRule type="cellIs" dxfId="21092" priority="929" operator="equal">
      <formula>"PMS"</formula>
    </cfRule>
    <cfRule type="containsText" dxfId="21091" priority="930" operator="containsText" text="CMS">
      <formula>NOT(ISERROR(SEARCH("CMS",G48)))</formula>
    </cfRule>
    <cfRule type="cellIs" dxfId="21090" priority="931" operator="equal">
      <formula>0</formula>
    </cfRule>
    <cfRule type="cellIs" dxfId="21089" priority="932" operator="greaterThan">
      <formula>0</formula>
    </cfRule>
    <cfRule type="cellIs" dxfId="21088" priority="933" operator="equal">
      <formula>"PMS"</formula>
    </cfRule>
    <cfRule type="containsText" dxfId="21087" priority="934" operator="containsText" text="CMS">
      <formula>NOT(ISERROR(SEARCH("CMS",G48)))</formula>
    </cfRule>
    <cfRule type="cellIs" dxfId="21086" priority="935" operator="equal">
      <formula>0</formula>
    </cfRule>
    <cfRule type="cellIs" dxfId="21085" priority="936" operator="greaterThan">
      <formula>0</formula>
    </cfRule>
  </conditionalFormatting>
  <conditionalFormatting sqref="G48:G49">
    <cfRule type="cellIs" dxfId="21084" priority="925" operator="equal">
      <formula>"PMS"</formula>
    </cfRule>
    <cfRule type="containsText" dxfId="21083" priority="926" operator="containsText" text="CMS">
      <formula>NOT(ISERROR(SEARCH("CMS",G48)))</formula>
    </cfRule>
    <cfRule type="cellIs" dxfId="21082" priority="927" operator="equal">
      <formula>0</formula>
    </cfRule>
    <cfRule type="cellIs" dxfId="21081" priority="928" operator="greaterThan">
      <formula>0</formula>
    </cfRule>
  </conditionalFormatting>
  <conditionalFormatting sqref="G48:G49">
    <cfRule type="cellIs" dxfId="21080" priority="921" operator="equal">
      <formula>"PMS"</formula>
    </cfRule>
    <cfRule type="containsText" dxfId="21079" priority="922" operator="containsText" text="CMS">
      <formula>NOT(ISERROR(SEARCH("CMS",G48)))</formula>
    </cfRule>
    <cfRule type="cellIs" dxfId="21078" priority="923" operator="equal">
      <formula>0</formula>
    </cfRule>
    <cfRule type="cellIs" dxfId="21077" priority="924" operator="greaterThan">
      <formula>0</formula>
    </cfRule>
  </conditionalFormatting>
  <conditionalFormatting sqref="G66:G72 G74">
    <cfRule type="cellIs" dxfId="21076" priority="913" operator="equal">
      <formula>"PMS"</formula>
    </cfRule>
    <cfRule type="containsText" dxfId="21075" priority="914" operator="containsText" text="CMS">
      <formula>NOT(ISERROR(SEARCH("CMS",G66)))</formula>
    </cfRule>
    <cfRule type="cellIs" dxfId="21074" priority="915" operator="equal">
      <formula>0</formula>
    </cfRule>
    <cfRule type="cellIs" dxfId="21073" priority="916" operator="greaterThan">
      <formula>0</formula>
    </cfRule>
    <cfRule type="cellIs" dxfId="21072" priority="917" operator="equal">
      <formula>"PMS"</formula>
    </cfRule>
    <cfRule type="containsText" dxfId="21071" priority="918" operator="containsText" text="CMS">
      <formula>NOT(ISERROR(SEARCH("CMS",G66)))</formula>
    </cfRule>
    <cfRule type="cellIs" dxfId="21070" priority="919" operator="equal">
      <formula>0</formula>
    </cfRule>
    <cfRule type="cellIs" dxfId="21069" priority="920" operator="greaterThan">
      <formula>0</formula>
    </cfRule>
  </conditionalFormatting>
  <conditionalFormatting sqref="O53:O58 P56">
    <cfRule type="cellIs" dxfId="21068" priority="909" operator="equal">
      <formula>"PMS"</formula>
    </cfRule>
    <cfRule type="containsText" dxfId="21067" priority="910" operator="containsText" text="CMS">
      <formula>NOT(ISERROR(SEARCH("CMS",O53)))</formula>
    </cfRule>
    <cfRule type="cellIs" dxfId="21066" priority="911" operator="equal">
      <formula>0</formula>
    </cfRule>
    <cfRule type="cellIs" dxfId="21065" priority="912" operator="greaterThan">
      <formula>0</formula>
    </cfRule>
  </conditionalFormatting>
  <conditionalFormatting sqref="G35 I24 I35 I73:J73 G73">
    <cfRule type="cellIs" dxfId="21064" priority="901" operator="equal">
      <formula>"PMS"</formula>
    </cfRule>
    <cfRule type="containsText" dxfId="21063" priority="902" operator="containsText" text="CMS">
      <formula>NOT(ISERROR(SEARCH("CMS",G24)))</formula>
    </cfRule>
    <cfRule type="cellIs" dxfId="21062" priority="903" operator="equal">
      <formula>0</formula>
    </cfRule>
    <cfRule type="cellIs" dxfId="21061" priority="904" operator="greaterThan">
      <formula>0</formula>
    </cfRule>
    <cfRule type="cellIs" dxfId="21060" priority="905" operator="equal">
      <formula>"PMS"</formula>
    </cfRule>
    <cfRule type="containsText" dxfId="21059" priority="906" operator="containsText" text="CMS">
      <formula>NOT(ISERROR(SEARCH("CMS",G24)))</formula>
    </cfRule>
    <cfRule type="cellIs" dxfId="21058" priority="907" operator="equal">
      <formula>0</formula>
    </cfRule>
    <cfRule type="cellIs" dxfId="21057" priority="908" operator="greaterThan">
      <formula>0</formula>
    </cfRule>
  </conditionalFormatting>
  <conditionalFormatting sqref="I73:J73 G73">
    <cfRule type="cellIs" dxfId="21056" priority="897" operator="equal">
      <formula>"PMS"</formula>
    </cfRule>
    <cfRule type="containsText" dxfId="21055" priority="898" operator="containsText" text="CMS">
      <formula>NOT(ISERROR(SEARCH("CMS",G73)))</formula>
    </cfRule>
    <cfRule type="cellIs" dxfId="21054" priority="899" operator="equal">
      <formula>0</formula>
    </cfRule>
    <cfRule type="cellIs" dxfId="21053" priority="900" operator="greaterThan">
      <formula>0</formula>
    </cfRule>
  </conditionalFormatting>
  <conditionalFormatting sqref="I73:J73 G73">
    <cfRule type="cellIs" dxfId="21052" priority="893" operator="equal">
      <formula>"PMS"</formula>
    </cfRule>
    <cfRule type="containsText" dxfId="21051" priority="894" operator="containsText" text="CMS">
      <formula>NOT(ISERROR(SEARCH("CMS",G73)))</formula>
    </cfRule>
    <cfRule type="cellIs" dxfId="21050" priority="895" operator="equal">
      <formula>0</formula>
    </cfRule>
    <cfRule type="cellIs" dxfId="21049" priority="896" operator="greaterThan">
      <formula>0</formula>
    </cfRule>
  </conditionalFormatting>
  <conditionalFormatting sqref="I24">
    <cfRule type="cellIs" dxfId="21048" priority="889" operator="equal">
      <formula>"PMS"</formula>
    </cfRule>
    <cfRule type="containsText" dxfId="21047" priority="890" operator="containsText" text="CMS">
      <formula>NOT(ISERROR(SEARCH("CMS",I24)))</formula>
    </cfRule>
    <cfRule type="cellIs" dxfId="21046" priority="891" operator="equal">
      <formula>0</formula>
    </cfRule>
    <cfRule type="cellIs" dxfId="21045" priority="892" operator="greaterThan">
      <formula>0</formula>
    </cfRule>
  </conditionalFormatting>
  <conditionalFormatting sqref="I24">
    <cfRule type="cellIs" dxfId="21044" priority="885" operator="equal">
      <formula>"PMS"</formula>
    </cfRule>
    <cfRule type="containsText" dxfId="21043" priority="886" operator="containsText" text="CMS">
      <formula>NOT(ISERROR(SEARCH("CMS",I24)))</formula>
    </cfRule>
    <cfRule type="cellIs" dxfId="21042" priority="887" operator="equal">
      <formula>0</formula>
    </cfRule>
    <cfRule type="cellIs" dxfId="21041" priority="888" operator="greaterThan">
      <formula>0</formula>
    </cfRule>
  </conditionalFormatting>
  <conditionalFormatting sqref="G35 I35">
    <cfRule type="cellIs" dxfId="21040" priority="881" operator="equal">
      <formula>"PMS"</formula>
    </cfRule>
    <cfRule type="containsText" dxfId="21039" priority="882" operator="containsText" text="CMS">
      <formula>NOT(ISERROR(SEARCH("CMS",G35)))</formula>
    </cfRule>
    <cfRule type="cellIs" dxfId="21038" priority="883" operator="equal">
      <formula>0</formula>
    </cfRule>
    <cfRule type="cellIs" dxfId="21037" priority="884" operator="greaterThan">
      <formula>0</formula>
    </cfRule>
  </conditionalFormatting>
  <conditionalFormatting sqref="G35 I35">
    <cfRule type="cellIs" dxfId="21036" priority="877" operator="equal">
      <formula>"PMS"</formula>
    </cfRule>
    <cfRule type="containsText" dxfId="21035" priority="878" operator="containsText" text="CMS">
      <formula>NOT(ISERROR(SEARCH("CMS",G35)))</formula>
    </cfRule>
    <cfRule type="cellIs" dxfId="21034" priority="879" operator="equal">
      <formula>0</formula>
    </cfRule>
    <cfRule type="cellIs" dxfId="21033" priority="880" operator="greaterThan">
      <formula>0</formula>
    </cfRule>
  </conditionalFormatting>
  <conditionalFormatting sqref="G19 I19">
    <cfRule type="cellIs" dxfId="21032" priority="869" operator="equal">
      <formula>"PMS"</formula>
    </cfRule>
    <cfRule type="containsText" dxfId="21031" priority="870" operator="containsText" text="CMS">
      <formula>NOT(ISERROR(SEARCH("CMS",G19)))</formula>
    </cfRule>
    <cfRule type="cellIs" dxfId="21030" priority="871" operator="equal">
      <formula>0</formula>
    </cfRule>
    <cfRule type="cellIs" dxfId="21029" priority="872" operator="greaterThan">
      <formula>0</formula>
    </cfRule>
    <cfRule type="cellIs" dxfId="21028" priority="873" operator="equal">
      <formula>"PMS"</formula>
    </cfRule>
    <cfRule type="containsText" dxfId="21027" priority="874" operator="containsText" text="CMS">
      <formula>NOT(ISERROR(SEARCH("CMS",G19)))</formula>
    </cfRule>
    <cfRule type="cellIs" dxfId="21026" priority="875" operator="equal">
      <formula>0</formula>
    </cfRule>
    <cfRule type="cellIs" dxfId="21025" priority="876" operator="greaterThan">
      <formula>0</formula>
    </cfRule>
  </conditionalFormatting>
  <conditionalFormatting sqref="G19 I19">
    <cfRule type="cellIs" dxfId="21024" priority="865" operator="equal">
      <formula>"PMS"</formula>
    </cfRule>
    <cfRule type="containsText" dxfId="21023" priority="866" operator="containsText" text="CMS">
      <formula>NOT(ISERROR(SEARCH("CMS",G19)))</formula>
    </cfRule>
    <cfRule type="cellIs" dxfId="21022" priority="867" operator="equal">
      <formula>0</formula>
    </cfRule>
    <cfRule type="cellIs" dxfId="21021" priority="868" operator="greaterThan">
      <formula>0</formula>
    </cfRule>
  </conditionalFormatting>
  <conditionalFormatting sqref="G19 I19">
    <cfRule type="cellIs" dxfId="21020" priority="861" operator="equal">
      <formula>"PMS"</formula>
    </cfRule>
    <cfRule type="containsText" dxfId="21019" priority="862" operator="containsText" text="CMS">
      <formula>NOT(ISERROR(SEARCH("CMS",G19)))</formula>
    </cfRule>
    <cfRule type="cellIs" dxfId="21018" priority="863" operator="equal">
      <formula>0</formula>
    </cfRule>
    <cfRule type="cellIs" dxfId="21017" priority="864" operator="greaterThan">
      <formula>0</formula>
    </cfRule>
  </conditionalFormatting>
  <conditionalFormatting sqref="O55">
    <cfRule type="cellIs" dxfId="21016" priority="857" operator="equal">
      <formula>"PMS"</formula>
    </cfRule>
    <cfRule type="containsText" dxfId="21015" priority="858" operator="containsText" text="CMS">
      <formula>NOT(ISERROR(SEARCH("CMS",O55)))</formula>
    </cfRule>
    <cfRule type="cellIs" dxfId="21014" priority="859" operator="equal">
      <formula>0</formula>
    </cfRule>
    <cfRule type="cellIs" dxfId="21013" priority="860" operator="greaterThan">
      <formula>0</formula>
    </cfRule>
  </conditionalFormatting>
  <conditionalFormatting sqref="K61:K62">
    <cfRule type="cellIs" dxfId="21012" priority="849" operator="equal">
      <formula>"PMS"</formula>
    </cfRule>
    <cfRule type="containsText" dxfId="21011" priority="850" operator="containsText" text="CMS">
      <formula>NOT(ISERROR(SEARCH("CMS",K61)))</formula>
    </cfRule>
    <cfRule type="cellIs" dxfId="21010" priority="851" operator="equal">
      <formula>0</formula>
    </cfRule>
    <cfRule type="cellIs" dxfId="21009" priority="852" operator="greaterThan">
      <formula>0</formula>
    </cfRule>
    <cfRule type="cellIs" dxfId="21008" priority="853" operator="equal">
      <formula>"PMS"</formula>
    </cfRule>
    <cfRule type="containsText" dxfId="21007" priority="854" operator="containsText" text="CMS">
      <formula>NOT(ISERROR(SEARCH("CMS",K61)))</formula>
    </cfRule>
    <cfRule type="cellIs" dxfId="21006" priority="855" operator="equal">
      <formula>0</formula>
    </cfRule>
    <cfRule type="cellIs" dxfId="21005" priority="856" operator="greaterThan">
      <formula>0</formula>
    </cfRule>
  </conditionalFormatting>
  <conditionalFormatting sqref="O47:P47">
    <cfRule type="cellIs" dxfId="21004" priority="845" operator="equal">
      <formula>"PMS"</formula>
    </cfRule>
    <cfRule type="containsText" dxfId="21003" priority="846" operator="containsText" text="CMS">
      <formula>NOT(ISERROR(SEARCH("CMS",O47)))</formula>
    </cfRule>
    <cfRule type="cellIs" dxfId="21002" priority="847" operator="equal">
      <formula>0</formula>
    </cfRule>
    <cfRule type="cellIs" dxfId="21001" priority="848" operator="greaterThan">
      <formula>0</formula>
    </cfRule>
  </conditionalFormatting>
  <conditionalFormatting sqref="O16:P16">
    <cfRule type="cellIs" dxfId="21000" priority="841" operator="equal">
      <formula>"PMS"</formula>
    </cfRule>
    <cfRule type="containsText" dxfId="20999" priority="842" operator="containsText" text="CMS">
      <formula>NOT(ISERROR(SEARCH("CMS",O16)))</formula>
    </cfRule>
    <cfRule type="cellIs" dxfId="20998" priority="843" operator="equal">
      <formula>0</formula>
    </cfRule>
    <cfRule type="cellIs" dxfId="20997" priority="844" operator="greaterThan">
      <formula>0</formula>
    </cfRule>
  </conditionalFormatting>
  <conditionalFormatting sqref="P57">
    <cfRule type="cellIs" dxfId="20996" priority="837" operator="equal">
      <formula>"PMS"</formula>
    </cfRule>
    <cfRule type="containsText" dxfId="20995" priority="838" operator="containsText" text="CMS">
      <formula>NOT(ISERROR(SEARCH("CMS",P57)))</formula>
    </cfRule>
    <cfRule type="cellIs" dxfId="20994" priority="839" operator="equal">
      <formula>0</formula>
    </cfRule>
    <cfRule type="cellIs" dxfId="20993" priority="840" operator="greaterThan">
      <formula>0</formula>
    </cfRule>
  </conditionalFormatting>
  <conditionalFormatting sqref="P57">
    <cfRule type="cellIs" dxfId="20992" priority="833" operator="equal">
      <formula>"PMS"</formula>
    </cfRule>
    <cfRule type="containsText" dxfId="20991" priority="834" operator="containsText" text="CMS">
      <formula>NOT(ISERROR(SEARCH("CMS",P57)))</formula>
    </cfRule>
    <cfRule type="cellIs" dxfId="20990" priority="835" operator="equal">
      <formula>0</formula>
    </cfRule>
    <cfRule type="cellIs" dxfId="20989" priority="836" operator="greaterThan">
      <formula>0</formula>
    </cfRule>
  </conditionalFormatting>
  <conditionalFormatting sqref="P57">
    <cfRule type="cellIs" dxfId="20988" priority="829" operator="equal">
      <formula>"PMS"</formula>
    </cfRule>
    <cfRule type="containsText" dxfId="20987" priority="830" operator="containsText" text="CMS">
      <formula>NOT(ISERROR(SEARCH("CMS",P57)))</formula>
    </cfRule>
    <cfRule type="cellIs" dxfId="20986" priority="831" operator="equal">
      <formula>0</formula>
    </cfRule>
    <cfRule type="cellIs" dxfId="20985" priority="832" operator="greaterThan">
      <formula>0</formula>
    </cfRule>
  </conditionalFormatting>
  <conditionalFormatting sqref="P57:P58">
    <cfRule type="cellIs" dxfId="20984" priority="825" operator="equal">
      <formula>"PMS"</formula>
    </cfRule>
    <cfRule type="containsText" dxfId="20983" priority="826" operator="containsText" text="CMS">
      <formula>NOT(ISERROR(SEARCH("CMS",P57)))</formula>
    </cfRule>
    <cfRule type="cellIs" dxfId="20982" priority="827" operator="equal">
      <formula>0</formula>
    </cfRule>
    <cfRule type="cellIs" dxfId="20981" priority="828" operator="greaterThan">
      <formula>0</formula>
    </cfRule>
  </conditionalFormatting>
  <conditionalFormatting sqref="AB24">
    <cfRule type="cellIs" dxfId="20980" priority="821" operator="equal">
      <formula>"PMS"</formula>
    </cfRule>
    <cfRule type="containsText" dxfId="20979" priority="822" operator="containsText" text="CMS">
      <formula>NOT(ISERROR(SEARCH("CMS",AB24)))</formula>
    </cfRule>
    <cfRule type="cellIs" dxfId="20978" priority="823" operator="equal">
      <formula>0</formula>
    </cfRule>
    <cfRule type="cellIs" dxfId="20977" priority="824" operator="greaterThan">
      <formula>0</formula>
    </cfRule>
  </conditionalFormatting>
  <conditionalFormatting sqref="AB24">
    <cfRule type="cellIs" dxfId="20976" priority="817" operator="equal">
      <formula>"PMS"</formula>
    </cfRule>
    <cfRule type="containsText" dxfId="20975" priority="818" operator="containsText" text="CMS">
      <formula>NOT(ISERROR(SEARCH("CMS",AB24)))</formula>
    </cfRule>
    <cfRule type="cellIs" dxfId="20974" priority="819" operator="equal">
      <formula>0</formula>
    </cfRule>
    <cfRule type="cellIs" dxfId="20973" priority="820" operator="greaterThan">
      <formula>0</formula>
    </cfRule>
  </conditionalFormatting>
  <conditionalFormatting sqref="I29 L29 O29 R29 AA29 X29:Y29 T29:U29">
    <cfRule type="cellIs" dxfId="20972" priority="809" operator="equal">
      <formula>"PMS"</formula>
    </cfRule>
    <cfRule type="containsText" dxfId="20971" priority="810" operator="containsText" text="CMS">
      <formula>NOT(ISERROR(SEARCH("CMS",I29)))</formula>
    </cfRule>
    <cfRule type="cellIs" dxfId="20970" priority="811" operator="equal">
      <formula>0</formula>
    </cfRule>
    <cfRule type="cellIs" dxfId="20969" priority="812" operator="greaterThan">
      <formula>0</formula>
    </cfRule>
    <cfRule type="cellIs" dxfId="20968" priority="813" operator="equal">
      <formula>"PMS"</formula>
    </cfRule>
    <cfRule type="containsText" dxfId="20967" priority="814" operator="containsText" text="CMS">
      <formula>NOT(ISERROR(SEARCH("CMS",I29)))</formula>
    </cfRule>
    <cfRule type="cellIs" dxfId="20966" priority="815" operator="equal">
      <formula>0</formula>
    </cfRule>
    <cfRule type="cellIs" dxfId="20965" priority="816" operator="greaterThan">
      <formula>0</formula>
    </cfRule>
  </conditionalFormatting>
  <conditionalFormatting sqref="I29 L29 O29 R29 AA29 X29:Y29 T29:U29">
    <cfRule type="cellIs" dxfId="20964" priority="805" operator="equal">
      <formula>"PMS"</formula>
    </cfRule>
    <cfRule type="containsText" dxfId="20963" priority="806" operator="containsText" text="CMS">
      <formula>NOT(ISERROR(SEARCH("CMS",I29)))</formula>
    </cfRule>
    <cfRule type="cellIs" dxfId="20962" priority="807" operator="equal">
      <formula>0</formula>
    </cfRule>
    <cfRule type="cellIs" dxfId="20961" priority="808" operator="greaterThan">
      <formula>0</formula>
    </cfRule>
  </conditionalFormatting>
  <conditionalFormatting sqref="I29 L29 O29 R29 AA29 X29:Y29 T29:U29">
    <cfRule type="cellIs" dxfId="20960" priority="801" operator="equal">
      <formula>"PMS"</formula>
    </cfRule>
    <cfRule type="containsText" dxfId="20959" priority="802" operator="containsText" text="CMS">
      <formula>NOT(ISERROR(SEARCH("CMS",I29)))</formula>
    </cfRule>
    <cfRule type="cellIs" dxfId="20958" priority="803" operator="equal">
      <formula>0</formula>
    </cfRule>
    <cfRule type="cellIs" dxfId="20957" priority="804" operator="greaterThan">
      <formula>0</formula>
    </cfRule>
  </conditionalFormatting>
  <conditionalFormatting sqref="K29 N29 Q29 W29 Z29 AC29">
    <cfRule type="cellIs" dxfId="20956" priority="793" operator="equal">
      <formula>"PMS"</formula>
    </cfRule>
    <cfRule type="containsText" dxfId="20955" priority="794" operator="containsText" text="CMS">
      <formula>NOT(ISERROR(SEARCH("CMS",K29)))</formula>
    </cfRule>
    <cfRule type="cellIs" dxfId="20954" priority="795" operator="equal">
      <formula>0</formula>
    </cfRule>
    <cfRule type="cellIs" dxfId="20953" priority="796" operator="greaterThan">
      <formula>0</formula>
    </cfRule>
    <cfRule type="cellIs" dxfId="20952" priority="797" operator="equal">
      <formula>"PMS"</formula>
    </cfRule>
    <cfRule type="containsText" dxfId="20951" priority="798" operator="containsText" text="CMS">
      <formula>NOT(ISERROR(SEARCH("CMS",K29)))</formula>
    </cfRule>
    <cfRule type="cellIs" dxfId="20950" priority="799" operator="equal">
      <formula>0</formula>
    </cfRule>
    <cfRule type="cellIs" dxfId="20949" priority="800" operator="greaterThan">
      <formula>0</formula>
    </cfRule>
  </conditionalFormatting>
  <conditionalFormatting sqref="G81:AC81">
    <cfRule type="cellIs" dxfId="20948" priority="785" operator="equal">
      <formula>"PMS"</formula>
    </cfRule>
    <cfRule type="containsText" dxfId="20947" priority="786" operator="containsText" text="CMS">
      <formula>NOT(ISERROR(SEARCH("CMS",G81)))</formula>
    </cfRule>
    <cfRule type="cellIs" dxfId="20946" priority="787" operator="equal">
      <formula>0</formula>
    </cfRule>
    <cfRule type="cellIs" dxfId="20945" priority="788" operator="greaterThan">
      <formula>0</formula>
    </cfRule>
    <cfRule type="cellIs" dxfId="20944" priority="789" operator="equal">
      <formula>"PMS"</formula>
    </cfRule>
    <cfRule type="containsText" dxfId="20943" priority="790" operator="containsText" text="CMS">
      <formula>NOT(ISERROR(SEARCH("CMS",G81)))</formula>
    </cfRule>
    <cfRule type="cellIs" dxfId="20942" priority="791" operator="equal">
      <formula>0</formula>
    </cfRule>
    <cfRule type="cellIs" dxfId="20941" priority="792" operator="greaterThan">
      <formula>0</formula>
    </cfRule>
  </conditionalFormatting>
  <conditionalFormatting sqref="G81:AC81">
    <cfRule type="cellIs" dxfId="20940" priority="781" operator="equal">
      <formula>"PMS"</formula>
    </cfRule>
    <cfRule type="containsText" dxfId="20939" priority="782" operator="containsText" text="CMS">
      <formula>NOT(ISERROR(SEARCH("CMS",G81)))</formula>
    </cfRule>
    <cfRule type="cellIs" dxfId="20938" priority="783" operator="equal">
      <formula>0</formula>
    </cfRule>
    <cfRule type="cellIs" dxfId="20937" priority="784" operator="greaterThan">
      <formula>0</formula>
    </cfRule>
  </conditionalFormatting>
  <conditionalFormatting sqref="G51:G52 I51:M52">
    <cfRule type="cellIs" dxfId="20936" priority="773" operator="equal">
      <formula>"PMS"</formula>
    </cfRule>
    <cfRule type="containsText" dxfId="20935" priority="774" operator="containsText" text="CMS">
      <formula>NOT(ISERROR(SEARCH("CMS",G51)))</formula>
    </cfRule>
    <cfRule type="cellIs" dxfId="20934" priority="775" operator="equal">
      <formula>0</formula>
    </cfRule>
    <cfRule type="cellIs" dxfId="20933" priority="776" operator="greaterThan">
      <formula>0</formula>
    </cfRule>
    <cfRule type="cellIs" dxfId="20932" priority="777" operator="equal">
      <formula>"PMS"</formula>
    </cfRule>
    <cfRule type="containsText" dxfId="20931" priority="778" operator="containsText" text="CMS">
      <formula>NOT(ISERROR(SEARCH("CMS",G51)))</formula>
    </cfRule>
    <cfRule type="cellIs" dxfId="20930" priority="779" operator="equal">
      <formula>0</formula>
    </cfRule>
    <cfRule type="cellIs" dxfId="20929" priority="780" operator="greaterThan">
      <formula>0</formula>
    </cfRule>
  </conditionalFormatting>
  <conditionalFormatting sqref="G51:G52 I51:M52">
    <cfRule type="cellIs" dxfId="20928" priority="769" operator="equal">
      <formula>"PMS"</formula>
    </cfRule>
    <cfRule type="containsText" dxfId="20927" priority="770" operator="containsText" text="CMS">
      <formula>NOT(ISERROR(SEARCH("CMS",G51)))</formula>
    </cfRule>
    <cfRule type="cellIs" dxfId="20926" priority="771" operator="equal">
      <formula>0</formula>
    </cfRule>
    <cfRule type="cellIs" dxfId="20925" priority="772" operator="greaterThan">
      <formula>0</formula>
    </cfRule>
  </conditionalFormatting>
  <conditionalFormatting sqref="G51:G52 I51:M52">
    <cfRule type="cellIs" dxfId="20924" priority="765" operator="equal">
      <formula>"PMS"</formula>
    </cfRule>
    <cfRule type="containsText" dxfId="20923" priority="766" operator="containsText" text="CMS">
      <formula>NOT(ISERROR(SEARCH("CMS",G51)))</formula>
    </cfRule>
    <cfRule type="cellIs" dxfId="20922" priority="767" operator="equal">
      <formula>0</formula>
    </cfRule>
    <cfRule type="cellIs" dxfId="20921" priority="768" operator="greaterThan">
      <formula>0</formula>
    </cfRule>
  </conditionalFormatting>
  <conditionalFormatting sqref="G57:G58">
    <cfRule type="cellIs" dxfId="20920" priority="757" operator="equal">
      <formula>"PMS"</formula>
    </cfRule>
    <cfRule type="containsText" dxfId="20919" priority="758" operator="containsText" text="CMS">
      <formula>NOT(ISERROR(SEARCH("CMS",G57)))</formula>
    </cfRule>
    <cfRule type="cellIs" dxfId="20918" priority="759" operator="equal">
      <formula>0</formula>
    </cfRule>
    <cfRule type="cellIs" dxfId="20917" priority="760" operator="greaterThan">
      <formula>0</formula>
    </cfRule>
    <cfRule type="cellIs" dxfId="20916" priority="761" operator="equal">
      <formula>"PMS"</formula>
    </cfRule>
    <cfRule type="containsText" dxfId="20915" priority="762" operator="containsText" text="CMS">
      <formula>NOT(ISERROR(SEARCH("CMS",G57)))</formula>
    </cfRule>
    <cfRule type="cellIs" dxfId="20914" priority="763" operator="equal">
      <formula>0</formula>
    </cfRule>
    <cfRule type="cellIs" dxfId="20913" priority="764" operator="greaterThan">
      <formula>0</formula>
    </cfRule>
  </conditionalFormatting>
  <conditionalFormatting sqref="G57:G58">
    <cfRule type="cellIs" dxfId="20912" priority="753" operator="equal">
      <formula>"PMS"</formula>
    </cfRule>
    <cfRule type="containsText" dxfId="20911" priority="754" operator="containsText" text="CMS">
      <formula>NOT(ISERROR(SEARCH("CMS",G57)))</formula>
    </cfRule>
    <cfRule type="cellIs" dxfId="20910" priority="755" operator="equal">
      <formula>0</formula>
    </cfRule>
    <cfRule type="cellIs" dxfId="20909" priority="756" operator="greaterThan">
      <formula>0</formula>
    </cfRule>
  </conditionalFormatting>
  <conditionalFormatting sqref="G57:G58">
    <cfRule type="cellIs" dxfId="20908" priority="749" operator="equal">
      <formula>"PMS"</formula>
    </cfRule>
    <cfRule type="containsText" dxfId="20907" priority="750" operator="containsText" text="CMS">
      <formula>NOT(ISERROR(SEARCH("CMS",G57)))</formula>
    </cfRule>
    <cfRule type="cellIs" dxfId="20906" priority="751" operator="equal">
      <formula>0</formula>
    </cfRule>
    <cfRule type="cellIs" dxfId="20905" priority="752" operator="greaterThan">
      <formula>0</formula>
    </cfRule>
  </conditionalFormatting>
  <conditionalFormatting sqref="G32 I32:AC32">
    <cfRule type="cellIs" dxfId="20904" priority="741" operator="equal">
      <formula>"PMS"</formula>
    </cfRule>
    <cfRule type="containsText" dxfId="20903" priority="742" operator="containsText" text="CMS">
      <formula>NOT(ISERROR(SEARCH("CMS",G32)))</formula>
    </cfRule>
    <cfRule type="cellIs" dxfId="20902" priority="743" operator="equal">
      <formula>0</formula>
    </cfRule>
    <cfRule type="cellIs" dxfId="20901" priority="744" operator="greaterThan">
      <formula>0</formula>
    </cfRule>
    <cfRule type="cellIs" dxfId="20900" priority="745" operator="equal">
      <formula>"PMS"</formula>
    </cfRule>
    <cfRule type="containsText" dxfId="20899" priority="746" operator="containsText" text="CMS">
      <formula>NOT(ISERROR(SEARCH("CMS",G32)))</formula>
    </cfRule>
    <cfRule type="cellIs" dxfId="20898" priority="747" operator="equal">
      <formula>0</formula>
    </cfRule>
    <cfRule type="cellIs" dxfId="20897" priority="748" operator="greaterThan">
      <formula>0</formula>
    </cfRule>
  </conditionalFormatting>
  <conditionalFormatting sqref="G32 I32:AC32">
    <cfRule type="cellIs" dxfId="20896" priority="737" operator="equal">
      <formula>"PMS"</formula>
    </cfRule>
    <cfRule type="containsText" dxfId="20895" priority="738" operator="containsText" text="CMS">
      <formula>NOT(ISERROR(SEARCH("CMS",G32)))</formula>
    </cfRule>
    <cfRule type="cellIs" dxfId="20894" priority="739" operator="equal">
      <formula>0</formula>
    </cfRule>
    <cfRule type="cellIs" dxfId="20893" priority="740" operator="greaterThan">
      <formula>0</formula>
    </cfRule>
  </conditionalFormatting>
  <conditionalFormatting sqref="G32 I32:AC32">
    <cfRule type="cellIs" dxfId="20892" priority="733" operator="equal">
      <formula>"PMS"</formula>
    </cfRule>
    <cfRule type="containsText" dxfId="20891" priority="734" operator="containsText" text="CMS">
      <formula>NOT(ISERROR(SEARCH("CMS",G32)))</formula>
    </cfRule>
    <cfRule type="cellIs" dxfId="20890" priority="735" operator="equal">
      <formula>0</formula>
    </cfRule>
    <cfRule type="cellIs" dxfId="20889" priority="736" operator="greaterThan">
      <formula>0</formula>
    </cfRule>
  </conditionalFormatting>
  <conditionalFormatting sqref="F81">
    <cfRule type="cellIs" dxfId="20888" priority="725" operator="equal">
      <formula>"PMS"</formula>
    </cfRule>
    <cfRule type="containsText" dxfId="20887" priority="726" operator="containsText" text="CMS">
      <formula>NOT(ISERROR(SEARCH("CMS",F81)))</formula>
    </cfRule>
    <cfRule type="cellIs" dxfId="20886" priority="727" operator="equal">
      <formula>0</formula>
    </cfRule>
    <cfRule type="cellIs" dxfId="20885" priority="728" operator="greaterThan">
      <formula>0</formula>
    </cfRule>
    <cfRule type="cellIs" dxfId="20884" priority="729" operator="equal">
      <formula>"PMS"</formula>
    </cfRule>
    <cfRule type="containsText" dxfId="20883" priority="730" operator="containsText" text="CMS">
      <formula>NOT(ISERROR(SEARCH("CMS",F81)))</formula>
    </cfRule>
    <cfRule type="cellIs" dxfId="20882" priority="731" operator="equal">
      <formula>0</formula>
    </cfRule>
    <cfRule type="cellIs" dxfId="20881" priority="732" operator="greaterThan">
      <formula>0</formula>
    </cfRule>
  </conditionalFormatting>
  <conditionalFormatting sqref="F81">
    <cfRule type="cellIs" dxfId="20880" priority="721" operator="equal">
      <formula>"PMS"</formula>
    </cfRule>
    <cfRule type="containsText" dxfId="20879" priority="722" operator="containsText" text="CMS">
      <formula>NOT(ISERROR(SEARCH("CMS",F81)))</formula>
    </cfRule>
    <cfRule type="cellIs" dxfId="20878" priority="723" operator="equal">
      <formula>0</formula>
    </cfRule>
    <cfRule type="cellIs" dxfId="20877" priority="724" operator="greaterThan">
      <formula>0</formula>
    </cfRule>
  </conditionalFormatting>
  <conditionalFormatting sqref="H13:H16">
    <cfRule type="cellIs" dxfId="20876" priority="713" operator="equal">
      <formula>"PMS"</formula>
    </cfRule>
    <cfRule type="containsText" dxfId="20875" priority="714" operator="containsText" text="CMS">
      <formula>NOT(ISERROR(SEARCH("CMS",H13)))</formula>
    </cfRule>
    <cfRule type="cellIs" dxfId="20874" priority="715" operator="equal">
      <formula>0</formula>
    </cfRule>
    <cfRule type="cellIs" dxfId="20873" priority="716" operator="greaterThan">
      <formula>0</formula>
    </cfRule>
    <cfRule type="cellIs" dxfId="20872" priority="717" operator="equal">
      <formula>"PMS"</formula>
    </cfRule>
    <cfRule type="containsText" dxfId="20871" priority="718" operator="containsText" text="CMS">
      <formula>NOT(ISERROR(SEARCH("CMS",H13)))</formula>
    </cfRule>
    <cfRule type="cellIs" dxfId="20870" priority="719" operator="equal">
      <formula>0</formula>
    </cfRule>
    <cfRule type="cellIs" dxfId="20869" priority="720" operator="greaterThan">
      <formula>0</formula>
    </cfRule>
  </conditionalFormatting>
  <conditionalFormatting sqref="H13:H16">
    <cfRule type="cellIs" dxfId="20868" priority="709" operator="equal">
      <formula>"PMS"</formula>
    </cfRule>
    <cfRule type="containsText" dxfId="20867" priority="710" operator="containsText" text="CMS">
      <formula>NOT(ISERROR(SEARCH("CMS",H13)))</formula>
    </cfRule>
    <cfRule type="cellIs" dxfId="20866" priority="711" operator="equal">
      <formula>0</formula>
    </cfRule>
    <cfRule type="cellIs" dxfId="20865" priority="712" operator="greaterThan">
      <formula>0</formula>
    </cfRule>
  </conditionalFormatting>
  <conditionalFormatting sqref="H13:H16">
    <cfRule type="cellIs" dxfId="20864" priority="705" operator="equal">
      <formula>"PMS"</formula>
    </cfRule>
    <cfRule type="containsText" dxfId="20863" priority="706" operator="containsText" text="CMS">
      <formula>NOT(ISERROR(SEARCH("CMS",H13)))</formula>
    </cfRule>
    <cfRule type="cellIs" dxfId="20862" priority="707" operator="equal">
      <formula>0</formula>
    </cfRule>
    <cfRule type="cellIs" dxfId="20861" priority="708" operator="greaterThan">
      <formula>0</formula>
    </cfRule>
  </conditionalFormatting>
  <conditionalFormatting sqref="H13">
    <cfRule type="cellIs" dxfId="20860" priority="701" operator="equal">
      <formula>"PMS"</formula>
    </cfRule>
    <cfRule type="containsText" dxfId="20859" priority="702" operator="containsText" text="CMS">
      <formula>NOT(ISERROR(SEARCH("CMS",H13)))</formula>
    </cfRule>
    <cfRule type="cellIs" dxfId="20858" priority="703" operator="equal">
      <formula>0</formula>
    </cfRule>
    <cfRule type="cellIs" dxfId="20857" priority="704" operator="greaterThan">
      <formula>0</formula>
    </cfRule>
  </conditionalFormatting>
  <conditionalFormatting sqref="H13">
    <cfRule type="cellIs" dxfId="20856" priority="697" operator="equal">
      <formula>"PMS"</formula>
    </cfRule>
    <cfRule type="containsText" dxfId="20855" priority="698" operator="containsText" text="CMS">
      <formula>NOT(ISERROR(SEARCH("CMS",H13)))</formula>
    </cfRule>
    <cfRule type="cellIs" dxfId="20854" priority="699" operator="equal">
      <formula>0</formula>
    </cfRule>
    <cfRule type="cellIs" dxfId="20853" priority="700" operator="greaterThan">
      <formula>0</formula>
    </cfRule>
  </conditionalFormatting>
  <conditionalFormatting sqref="H20:H21">
    <cfRule type="cellIs" dxfId="20852" priority="689" operator="equal">
      <formula>"PMS"</formula>
    </cfRule>
    <cfRule type="containsText" dxfId="20851" priority="690" operator="containsText" text="CMS">
      <formula>NOT(ISERROR(SEARCH("CMS",H20)))</formula>
    </cfRule>
    <cfRule type="cellIs" dxfId="20850" priority="691" operator="equal">
      <formula>0</formula>
    </cfRule>
    <cfRule type="cellIs" dxfId="20849" priority="692" operator="greaterThan">
      <formula>0</formula>
    </cfRule>
    <cfRule type="cellIs" dxfId="20848" priority="693" operator="equal">
      <formula>"PMS"</formula>
    </cfRule>
    <cfRule type="containsText" dxfId="20847" priority="694" operator="containsText" text="CMS">
      <formula>NOT(ISERROR(SEARCH("CMS",H20)))</formula>
    </cfRule>
    <cfRule type="cellIs" dxfId="20846" priority="695" operator="equal">
      <formula>0</formula>
    </cfRule>
    <cfRule type="cellIs" dxfId="20845" priority="696" operator="greaterThan">
      <formula>0</formula>
    </cfRule>
  </conditionalFormatting>
  <conditionalFormatting sqref="H20:H21">
    <cfRule type="cellIs" dxfId="20844" priority="685" operator="equal">
      <formula>"PMS"</formula>
    </cfRule>
    <cfRule type="containsText" dxfId="20843" priority="686" operator="containsText" text="CMS">
      <formula>NOT(ISERROR(SEARCH("CMS",H20)))</formula>
    </cfRule>
    <cfRule type="cellIs" dxfId="20842" priority="687" operator="equal">
      <formula>0</formula>
    </cfRule>
    <cfRule type="cellIs" dxfId="20841" priority="688" operator="greaterThan">
      <formula>0</formula>
    </cfRule>
  </conditionalFormatting>
  <conditionalFormatting sqref="H20:H21">
    <cfRule type="cellIs" dxfId="20840" priority="681" operator="equal">
      <formula>"PMS"</formula>
    </cfRule>
    <cfRule type="containsText" dxfId="20839" priority="682" operator="containsText" text="CMS">
      <formula>NOT(ISERROR(SEARCH("CMS",H20)))</formula>
    </cfRule>
    <cfRule type="cellIs" dxfId="20838" priority="683" operator="equal">
      <formula>0</formula>
    </cfRule>
    <cfRule type="cellIs" dxfId="20837" priority="684" operator="greaterThan">
      <formula>0</formula>
    </cfRule>
  </conditionalFormatting>
  <conditionalFormatting sqref="H19">
    <cfRule type="cellIs" dxfId="20836" priority="677" operator="equal">
      <formula>"CMS"</formula>
    </cfRule>
    <cfRule type="cellIs" dxfId="20835" priority="678" operator="equal">
      <formula>"PMS"</formula>
    </cfRule>
    <cfRule type="cellIs" dxfId="20834" priority="679" operator="greaterThan">
      <formula>0</formula>
    </cfRule>
    <cfRule type="cellIs" dxfId="20833" priority="680" operator="equal">
      <formula>0</formula>
    </cfRule>
  </conditionalFormatting>
  <conditionalFormatting sqref="H24">
    <cfRule type="cellIs" dxfId="20832" priority="669" operator="equal">
      <formula>"PMS"</formula>
    </cfRule>
    <cfRule type="containsText" dxfId="20831" priority="670" operator="containsText" text="CMS">
      <formula>NOT(ISERROR(SEARCH("CMS",H24)))</formula>
    </cfRule>
    <cfRule type="cellIs" dxfId="20830" priority="671" operator="equal">
      <formula>0</formula>
    </cfRule>
    <cfRule type="cellIs" dxfId="20829" priority="672" operator="greaterThan">
      <formula>0</formula>
    </cfRule>
    <cfRule type="cellIs" dxfId="20828" priority="673" operator="equal">
      <formula>"PMS"</formula>
    </cfRule>
    <cfRule type="containsText" dxfId="20827" priority="674" operator="containsText" text="CMS">
      <formula>NOT(ISERROR(SEARCH("CMS",H24)))</formula>
    </cfRule>
    <cfRule type="cellIs" dxfId="20826" priority="675" operator="equal">
      <formula>0</formula>
    </cfRule>
    <cfRule type="cellIs" dxfId="20825" priority="676" operator="greaterThan">
      <formula>0</formula>
    </cfRule>
  </conditionalFormatting>
  <conditionalFormatting sqref="H24">
    <cfRule type="cellIs" dxfId="20824" priority="665" operator="equal">
      <formula>"PMS"</formula>
    </cfRule>
    <cfRule type="containsText" dxfId="20823" priority="666" operator="containsText" text="CMS">
      <formula>NOT(ISERROR(SEARCH("CMS",H24)))</formula>
    </cfRule>
    <cfRule type="cellIs" dxfId="20822" priority="667" operator="equal">
      <formula>0</formula>
    </cfRule>
    <cfRule type="cellIs" dxfId="20821" priority="668" operator="greaterThan">
      <formula>0</formula>
    </cfRule>
  </conditionalFormatting>
  <conditionalFormatting sqref="H24">
    <cfRule type="cellIs" dxfId="20820" priority="661" operator="equal">
      <formula>"PMS"</formula>
    </cfRule>
    <cfRule type="containsText" dxfId="20819" priority="662" operator="containsText" text="CMS">
      <formula>NOT(ISERROR(SEARCH("CMS",H24)))</formula>
    </cfRule>
    <cfRule type="cellIs" dxfId="20818" priority="663" operator="equal">
      <formula>0</formula>
    </cfRule>
    <cfRule type="cellIs" dxfId="20817" priority="664" operator="greaterThan">
      <formula>0</formula>
    </cfRule>
  </conditionalFormatting>
  <conditionalFormatting sqref="H27:H28">
    <cfRule type="cellIs" dxfId="20816" priority="653" operator="equal">
      <formula>"PMS"</formula>
    </cfRule>
    <cfRule type="containsText" dxfId="20815" priority="654" operator="containsText" text="CMS">
      <formula>NOT(ISERROR(SEARCH("CMS",H27)))</formula>
    </cfRule>
    <cfRule type="cellIs" dxfId="20814" priority="655" operator="equal">
      <formula>0</formula>
    </cfRule>
    <cfRule type="cellIs" dxfId="20813" priority="656" operator="greaterThan">
      <formula>0</formula>
    </cfRule>
    <cfRule type="cellIs" dxfId="20812" priority="657" operator="equal">
      <formula>"PMS"</formula>
    </cfRule>
    <cfRule type="containsText" dxfId="20811" priority="658" operator="containsText" text="CMS">
      <formula>NOT(ISERROR(SEARCH("CMS",H27)))</formula>
    </cfRule>
    <cfRule type="cellIs" dxfId="20810" priority="659" operator="equal">
      <formula>0</formula>
    </cfRule>
    <cfRule type="cellIs" dxfId="20809" priority="660" operator="greaterThan">
      <formula>0</formula>
    </cfRule>
  </conditionalFormatting>
  <conditionalFormatting sqref="H27:H28">
    <cfRule type="cellIs" dxfId="20808" priority="649" operator="equal">
      <formula>"PMS"</formula>
    </cfRule>
    <cfRule type="containsText" dxfId="20807" priority="650" operator="containsText" text="CMS">
      <formula>NOT(ISERROR(SEARCH("CMS",H27)))</formula>
    </cfRule>
    <cfRule type="cellIs" dxfId="20806" priority="651" operator="equal">
      <formula>0</formula>
    </cfRule>
    <cfRule type="cellIs" dxfId="20805" priority="652" operator="greaterThan">
      <formula>0</formula>
    </cfRule>
  </conditionalFormatting>
  <conditionalFormatting sqref="H27:H28">
    <cfRule type="cellIs" dxfId="20804" priority="645" operator="equal">
      <formula>"PMS"</formula>
    </cfRule>
    <cfRule type="containsText" dxfId="20803" priority="646" operator="containsText" text="CMS">
      <formula>NOT(ISERROR(SEARCH("CMS",H27)))</formula>
    </cfRule>
    <cfRule type="cellIs" dxfId="20802" priority="647" operator="equal">
      <formula>0</formula>
    </cfRule>
    <cfRule type="cellIs" dxfId="20801" priority="648" operator="greaterThan">
      <formula>0</formula>
    </cfRule>
  </conditionalFormatting>
  <conditionalFormatting sqref="H29">
    <cfRule type="cellIs" dxfId="20800" priority="637" operator="equal">
      <formula>"PMS"</formula>
    </cfRule>
    <cfRule type="containsText" dxfId="20799" priority="638" operator="containsText" text="CMS">
      <formula>NOT(ISERROR(SEARCH("CMS",H29)))</formula>
    </cfRule>
    <cfRule type="cellIs" dxfId="20798" priority="639" operator="equal">
      <formula>0</formula>
    </cfRule>
    <cfRule type="cellIs" dxfId="20797" priority="640" operator="greaterThan">
      <formula>0</formula>
    </cfRule>
    <cfRule type="cellIs" dxfId="20796" priority="641" operator="equal">
      <formula>"PMS"</formula>
    </cfRule>
    <cfRule type="containsText" dxfId="20795" priority="642" operator="containsText" text="CMS">
      <formula>NOT(ISERROR(SEARCH("CMS",H29)))</formula>
    </cfRule>
    <cfRule type="cellIs" dxfId="20794" priority="643" operator="equal">
      <formula>0</formula>
    </cfRule>
    <cfRule type="cellIs" dxfId="20793" priority="644" operator="greaterThan">
      <formula>0</formula>
    </cfRule>
  </conditionalFormatting>
  <conditionalFormatting sqref="H32">
    <cfRule type="cellIs" dxfId="20792" priority="629" operator="equal">
      <formula>"PMS"</formula>
    </cfRule>
    <cfRule type="containsText" dxfId="20791" priority="630" operator="containsText" text="CMS">
      <formula>NOT(ISERROR(SEARCH("CMS",H32)))</formula>
    </cfRule>
    <cfRule type="cellIs" dxfId="20790" priority="631" operator="equal">
      <formula>0</formula>
    </cfRule>
    <cfRule type="cellIs" dxfId="20789" priority="632" operator="greaterThan">
      <formula>0</formula>
    </cfRule>
    <cfRule type="cellIs" dxfId="20788" priority="633" operator="equal">
      <formula>"PMS"</formula>
    </cfRule>
    <cfRule type="containsText" dxfId="20787" priority="634" operator="containsText" text="CMS">
      <formula>NOT(ISERROR(SEARCH("CMS",H32)))</formula>
    </cfRule>
    <cfRule type="cellIs" dxfId="20786" priority="635" operator="equal">
      <formula>0</formula>
    </cfRule>
    <cfRule type="cellIs" dxfId="20785" priority="636" operator="greaterThan">
      <formula>0</formula>
    </cfRule>
  </conditionalFormatting>
  <conditionalFormatting sqref="H32">
    <cfRule type="cellIs" dxfId="20784" priority="625" operator="equal">
      <formula>"PMS"</formula>
    </cfRule>
    <cfRule type="containsText" dxfId="20783" priority="626" operator="containsText" text="CMS">
      <formula>NOT(ISERROR(SEARCH("CMS",H32)))</formula>
    </cfRule>
    <cfRule type="cellIs" dxfId="20782" priority="627" operator="equal">
      <formula>0</formula>
    </cfRule>
    <cfRule type="cellIs" dxfId="20781" priority="628" operator="greaterThan">
      <formula>0</formula>
    </cfRule>
  </conditionalFormatting>
  <conditionalFormatting sqref="H32">
    <cfRule type="cellIs" dxfId="20780" priority="621" operator="equal">
      <formula>"PMS"</formula>
    </cfRule>
    <cfRule type="containsText" dxfId="20779" priority="622" operator="containsText" text="CMS">
      <formula>NOT(ISERROR(SEARCH("CMS",H32)))</formula>
    </cfRule>
    <cfRule type="cellIs" dxfId="20778" priority="623" operator="equal">
      <formula>0</formula>
    </cfRule>
    <cfRule type="cellIs" dxfId="20777" priority="624" operator="greaterThan">
      <formula>0</formula>
    </cfRule>
  </conditionalFormatting>
  <conditionalFormatting sqref="H35:H58">
    <cfRule type="cellIs" dxfId="20776" priority="613" operator="equal">
      <formula>"PMS"</formula>
    </cfRule>
    <cfRule type="containsText" dxfId="20775" priority="614" operator="containsText" text="CMS">
      <formula>NOT(ISERROR(SEARCH("CMS",H35)))</formula>
    </cfRule>
    <cfRule type="cellIs" dxfId="20774" priority="615" operator="equal">
      <formula>0</formula>
    </cfRule>
    <cfRule type="cellIs" dxfId="20773" priority="616" operator="greaterThan">
      <formula>0</formula>
    </cfRule>
    <cfRule type="cellIs" dxfId="20772" priority="617" operator="equal">
      <formula>"PMS"</formula>
    </cfRule>
    <cfRule type="containsText" dxfId="20771" priority="618" operator="containsText" text="CMS">
      <formula>NOT(ISERROR(SEARCH("CMS",H35)))</formula>
    </cfRule>
    <cfRule type="cellIs" dxfId="20770" priority="619" operator="equal">
      <formula>0</formula>
    </cfRule>
    <cfRule type="cellIs" dxfId="20769" priority="620" operator="greaterThan">
      <formula>0</formula>
    </cfRule>
  </conditionalFormatting>
  <conditionalFormatting sqref="H35:H58">
    <cfRule type="cellIs" dxfId="20768" priority="609" operator="equal">
      <formula>"PMS"</formula>
    </cfRule>
    <cfRule type="containsText" dxfId="20767" priority="610" operator="containsText" text="CMS">
      <formula>NOT(ISERROR(SEARCH("CMS",H35)))</formula>
    </cfRule>
    <cfRule type="cellIs" dxfId="20766" priority="611" operator="equal">
      <formula>0</formula>
    </cfRule>
    <cfRule type="cellIs" dxfId="20765" priority="612" operator="greaterThan">
      <formula>0</formula>
    </cfRule>
  </conditionalFormatting>
  <conditionalFormatting sqref="H35:H58">
    <cfRule type="cellIs" dxfId="20764" priority="605" operator="equal">
      <formula>"PMS"</formula>
    </cfRule>
    <cfRule type="containsText" dxfId="20763" priority="606" operator="containsText" text="CMS">
      <formula>NOT(ISERROR(SEARCH("CMS",H35)))</formula>
    </cfRule>
    <cfRule type="cellIs" dxfId="20762" priority="607" operator="equal">
      <formula>0</formula>
    </cfRule>
    <cfRule type="cellIs" dxfId="20761" priority="608" operator="greaterThan">
      <formula>0</formula>
    </cfRule>
  </conditionalFormatting>
  <conditionalFormatting sqref="H57">
    <cfRule type="cellIs" dxfId="20760" priority="601" operator="equal">
      <formula>"PMS"</formula>
    </cfRule>
    <cfRule type="containsText" dxfId="20759" priority="602" operator="containsText" text="CMS">
      <formula>NOT(ISERROR(SEARCH("CMS",H57)))</formula>
    </cfRule>
    <cfRule type="cellIs" dxfId="20758" priority="603" operator="equal">
      <formula>0</formula>
    </cfRule>
    <cfRule type="cellIs" dxfId="20757" priority="604" operator="greaterThan">
      <formula>0</formula>
    </cfRule>
  </conditionalFormatting>
  <conditionalFormatting sqref="H57">
    <cfRule type="cellIs" dxfId="20756" priority="597" operator="equal">
      <formula>"PMS"</formula>
    </cfRule>
    <cfRule type="containsText" dxfId="20755" priority="598" operator="containsText" text="CMS">
      <formula>NOT(ISERROR(SEARCH("CMS",H57)))</formula>
    </cfRule>
    <cfRule type="cellIs" dxfId="20754" priority="599" operator="equal">
      <formula>0</formula>
    </cfRule>
    <cfRule type="cellIs" dxfId="20753" priority="600" operator="greaterThan">
      <formula>0</formula>
    </cfRule>
  </conditionalFormatting>
  <conditionalFormatting sqref="H57">
    <cfRule type="cellIs" dxfId="20752" priority="593" operator="equal">
      <formula>"PMS"</formula>
    </cfRule>
    <cfRule type="containsText" dxfId="20751" priority="594" operator="containsText" text="CMS">
      <formula>NOT(ISERROR(SEARCH("CMS",H57)))</formula>
    </cfRule>
    <cfRule type="cellIs" dxfId="20750" priority="595" operator="equal">
      <formula>0</formula>
    </cfRule>
    <cfRule type="cellIs" dxfId="20749" priority="596" operator="greaterThan">
      <formula>0</formula>
    </cfRule>
  </conditionalFormatting>
  <conditionalFormatting sqref="H57">
    <cfRule type="cellIs" dxfId="20748" priority="589" operator="equal">
      <formula>"PMS"</formula>
    </cfRule>
    <cfRule type="containsText" dxfId="20747" priority="590" operator="containsText" text="CMS">
      <formula>NOT(ISERROR(SEARCH("CMS",H57)))</formula>
    </cfRule>
    <cfRule type="cellIs" dxfId="20746" priority="591" operator="equal">
      <formula>0</formula>
    </cfRule>
    <cfRule type="cellIs" dxfId="20745" priority="592" operator="greaterThan">
      <formula>0</formula>
    </cfRule>
  </conditionalFormatting>
  <conditionalFormatting sqref="H58">
    <cfRule type="cellIs" dxfId="20744" priority="585" operator="equal">
      <formula>"PMS"</formula>
    </cfRule>
    <cfRule type="containsText" dxfId="20743" priority="586" operator="containsText" text="CMS">
      <formula>NOT(ISERROR(SEARCH("CMS",H58)))</formula>
    </cfRule>
    <cfRule type="cellIs" dxfId="20742" priority="587" operator="equal">
      <formula>0</formula>
    </cfRule>
    <cfRule type="cellIs" dxfId="20741" priority="588" operator="greaterThan">
      <formula>0</formula>
    </cfRule>
  </conditionalFormatting>
  <conditionalFormatting sqref="H58">
    <cfRule type="cellIs" dxfId="20740" priority="581" operator="equal">
      <formula>"PMS"</formula>
    </cfRule>
    <cfRule type="containsText" dxfId="20739" priority="582" operator="containsText" text="CMS">
      <formula>NOT(ISERROR(SEARCH("CMS",H58)))</formula>
    </cfRule>
    <cfRule type="cellIs" dxfId="20738" priority="583" operator="equal">
      <formula>0</formula>
    </cfRule>
    <cfRule type="cellIs" dxfId="20737" priority="584" operator="greaterThan">
      <formula>0</formula>
    </cfRule>
  </conditionalFormatting>
  <conditionalFormatting sqref="H58">
    <cfRule type="cellIs" dxfId="20736" priority="577" operator="equal">
      <formula>"PMS"</formula>
    </cfRule>
    <cfRule type="containsText" dxfId="20735" priority="578" operator="containsText" text="CMS">
      <formula>NOT(ISERROR(SEARCH("CMS",H58)))</formula>
    </cfRule>
    <cfRule type="cellIs" dxfId="20734" priority="579" operator="equal">
      <formula>0</formula>
    </cfRule>
    <cfRule type="cellIs" dxfId="20733" priority="580" operator="greaterThan">
      <formula>0</formula>
    </cfRule>
  </conditionalFormatting>
  <conditionalFormatting sqref="H58">
    <cfRule type="cellIs" dxfId="20732" priority="573" operator="equal">
      <formula>"PMS"</formula>
    </cfRule>
    <cfRule type="containsText" dxfId="20731" priority="574" operator="containsText" text="CMS">
      <formula>NOT(ISERROR(SEARCH("CMS",H58)))</formula>
    </cfRule>
    <cfRule type="cellIs" dxfId="20730" priority="575" operator="equal">
      <formula>0</formula>
    </cfRule>
    <cfRule type="cellIs" dxfId="20729" priority="576" operator="greaterThan">
      <formula>0</formula>
    </cfRule>
  </conditionalFormatting>
  <conditionalFormatting sqref="H62">
    <cfRule type="cellIs" dxfId="20728" priority="565" operator="equal">
      <formula>"PMS"</formula>
    </cfRule>
    <cfRule type="containsText" dxfId="20727" priority="566" operator="containsText" text="CMS">
      <formula>NOT(ISERROR(SEARCH("CMS",H62)))</formula>
    </cfRule>
    <cfRule type="cellIs" dxfId="20726" priority="567" operator="equal">
      <formula>0</formula>
    </cfRule>
    <cfRule type="cellIs" dxfId="20725" priority="568" operator="greaterThan">
      <formula>0</formula>
    </cfRule>
    <cfRule type="cellIs" dxfId="20724" priority="569" operator="equal">
      <formula>"PMS"</formula>
    </cfRule>
    <cfRule type="containsText" dxfId="20723" priority="570" operator="containsText" text="CMS">
      <formula>NOT(ISERROR(SEARCH("CMS",H62)))</formula>
    </cfRule>
    <cfRule type="cellIs" dxfId="20722" priority="571" operator="equal">
      <formula>0</formula>
    </cfRule>
    <cfRule type="cellIs" dxfId="20721" priority="572" operator="greaterThan">
      <formula>0</formula>
    </cfRule>
  </conditionalFormatting>
  <conditionalFormatting sqref="H62">
    <cfRule type="cellIs" dxfId="20720" priority="561" operator="equal">
      <formula>"PMS"</formula>
    </cfRule>
    <cfRule type="containsText" dxfId="20719" priority="562" operator="containsText" text="CMS">
      <formula>NOT(ISERROR(SEARCH("CMS",H62)))</formula>
    </cfRule>
    <cfRule type="cellIs" dxfId="20718" priority="563" operator="equal">
      <formula>0</formula>
    </cfRule>
    <cfRule type="cellIs" dxfId="20717" priority="564" operator="greaterThan">
      <formula>0</formula>
    </cfRule>
  </conditionalFormatting>
  <conditionalFormatting sqref="H66:H74">
    <cfRule type="cellIs" dxfId="20716" priority="553" operator="equal">
      <formula>"PMS"</formula>
    </cfRule>
    <cfRule type="containsText" dxfId="20715" priority="554" operator="containsText" text="CMS">
      <formula>NOT(ISERROR(SEARCH("CMS",H66)))</formula>
    </cfRule>
    <cfRule type="cellIs" dxfId="20714" priority="555" operator="equal">
      <formula>0</formula>
    </cfRule>
    <cfRule type="cellIs" dxfId="20713" priority="556" operator="greaterThan">
      <formula>0</formula>
    </cfRule>
    <cfRule type="cellIs" dxfId="20712" priority="557" operator="equal">
      <formula>"PMS"</formula>
    </cfRule>
    <cfRule type="containsText" dxfId="20711" priority="558" operator="containsText" text="CMS">
      <formula>NOT(ISERROR(SEARCH("CMS",H66)))</formula>
    </cfRule>
    <cfRule type="cellIs" dxfId="20710" priority="559" operator="equal">
      <formula>0</formula>
    </cfRule>
    <cfRule type="cellIs" dxfId="20709" priority="560" operator="greaterThan">
      <formula>0</formula>
    </cfRule>
  </conditionalFormatting>
  <conditionalFormatting sqref="H66:H74">
    <cfRule type="cellIs" dxfId="20708" priority="549" operator="equal">
      <formula>"PMS"</formula>
    </cfRule>
    <cfRule type="containsText" dxfId="20707" priority="550" operator="containsText" text="CMS">
      <formula>NOT(ISERROR(SEARCH("CMS",H66)))</formula>
    </cfRule>
    <cfRule type="cellIs" dxfId="20706" priority="551" operator="equal">
      <formula>0</formula>
    </cfRule>
    <cfRule type="cellIs" dxfId="20705" priority="552" operator="greaterThan">
      <formula>0</formula>
    </cfRule>
  </conditionalFormatting>
  <conditionalFormatting sqref="H66:H74">
    <cfRule type="cellIs" dxfId="20704" priority="545" operator="equal">
      <formula>"PMS"</formula>
    </cfRule>
    <cfRule type="containsText" dxfId="20703" priority="546" operator="containsText" text="CMS">
      <formula>NOT(ISERROR(SEARCH("CMS",H66)))</formula>
    </cfRule>
    <cfRule type="cellIs" dxfId="20702" priority="547" operator="equal">
      <formula>0</formula>
    </cfRule>
    <cfRule type="cellIs" dxfId="20701" priority="548" operator="greaterThan">
      <formula>0</formula>
    </cfRule>
  </conditionalFormatting>
  <conditionalFormatting sqref="H77:H78">
    <cfRule type="cellIs" dxfId="20700" priority="537" operator="equal">
      <formula>"PMS"</formula>
    </cfRule>
    <cfRule type="containsText" dxfId="20699" priority="538" operator="containsText" text="CMS">
      <formula>NOT(ISERROR(SEARCH("CMS",H77)))</formula>
    </cfRule>
    <cfRule type="cellIs" dxfId="20698" priority="539" operator="equal">
      <formula>0</formula>
    </cfRule>
    <cfRule type="cellIs" dxfId="20697" priority="540" operator="greaterThan">
      <formula>0</formula>
    </cfRule>
    <cfRule type="cellIs" dxfId="20696" priority="541" operator="equal">
      <formula>"PMS"</formula>
    </cfRule>
    <cfRule type="containsText" dxfId="20695" priority="542" operator="containsText" text="CMS">
      <formula>NOT(ISERROR(SEARCH("CMS",H77)))</formula>
    </cfRule>
    <cfRule type="cellIs" dxfId="20694" priority="543" operator="equal">
      <formula>0</formula>
    </cfRule>
    <cfRule type="cellIs" dxfId="20693" priority="544" operator="greaterThan">
      <formula>0</formula>
    </cfRule>
  </conditionalFormatting>
  <conditionalFormatting sqref="H77:H78">
    <cfRule type="cellIs" dxfId="20692" priority="533" operator="equal">
      <formula>"PMS"</formula>
    </cfRule>
    <cfRule type="containsText" dxfId="20691" priority="534" operator="containsText" text="CMS">
      <formula>NOT(ISERROR(SEARCH("CMS",H77)))</formula>
    </cfRule>
    <cfRule type="cellIs" dxfId="20690" priority="535" operator="equal">
      <formula>0</formula>
    </cfRule>
    <cfRule type="cellIs" dxfId="20689" priority="536" operator="greaterThan">
      <formula>0</formula>
    </cfRule>
  </conditionalFormatting>
  <conditionalFormatting sqref="O56:O57">
    <cfRule type="cellIs" dxfId="20688" priority="529" operator="equal">
      <formula>"PMS"</formula>
    </cfRule>
    <cfRule type="containsText" dxfId="20687" priority="530" operator="containsText" text="CMS">
      <formula>NOT(ISERROR(SEARCH("CMS",O56)))</formula>
    </cfRule>
    <cfRule type="cellIs" dxfId="20686" priority="531" operator="equal">
      <formula>0</formula>
    </cfRule>
    <cfRule type="cellIs" dxfId="20685" priority="532" operator="greaterThan">
      <formula>0</formula>
    </cfRule>
  </conditionalFormatting>
  <conditionalFormatting sqref="O56:O57">
    <cfRule type="cellIs" dxfId="20684" priority="525" operator="equal">
      <formula>"PMS"</formula>
    </cfRule>
    <cfRule type="containsText" dxfId="20683" priority="526" operator="containsText" text="CMS">
      <formula>NOT(ISERROR(SEARCH("CMS",O56)))</formula>
    </cfRule>
    <cfRule type="cellIs" dxfId="20682" priority="527" operator="equal">
      <formula>0</formula>
    </cfRule>
    <cfRule type="cellIs" dxfId="20681" priority="528" operator="greaterThan">
      <formula>0</formula>
    </cfRule>
  </conditionalFormatting>
  <conditionalFormatting sqref="O56:O57">
    <cfRule type="cellIs" dxfId="20680" priority="521" operator="equal">
      <formula>"PMS"</formula>
    </cfRule>
    <cfRule type="containsText" dxfId="20679" priority="522" operator="containsText" text="CMS">
      <formula>NOT(ISERROR(SEARCH("CMS",O56)))</formula>
    </cfRule>
    <cfRule type="cellIs" dxfId="20678" priority="523" operator="equal">
      <formula>0</formula>
    </cfRule>
    <cfRule type="cellIs" dxfId="20677" priority="524" operator="greaterThan">
      <formula>0</formula>
    </cfRule>
  </conditionalFormatting>
  <conditionalFormatting sqref="O56:O57">
    <cfRule type="cellIs" dxfId="20676" priority="517" operator="equal">
      <formula>"PMS"</formula>
    </cfRule>
    <cfRule type="containsText" dxfId="20675" priority="518" operator="containsText" text="CMS">
      <formula>NOT(ISERROR(SEARCH("CMS",O56)))</formula>
    </cfRule>
    <cfRule type="cellIs" dxfId="20674" priority="519" operator="equal">
      <formula>0</formula>
    </cfRule>
    <cfRule type="cellIs" dxfId="20673" priority="520" operator="greaterThan">
      <formula>0</formula>
    </cfRule>
  </conditionalFormatting>
  <conditionalFormatting sqref="O56:O57">
    <cfRule type="cellIs" dxfId="20672" priority="513" operator="equal">
      <formula>"PMS"</formula>
    </cfRule>
    <cfRule type="containsText" dxfId="20671" priority="514" operator="containsText" text="CMS">
      <formula>NOT(ISERROR(SEARCH("CMS",O56)))</formula>
    </cfRule>
    <cfRule type="cellIs" dxfId="20670" priority="515" operator="equal">
      <formula>0</formula>
    </cfRule>
    <cfRule type="cellIs" dxfId="20669" priority="516" operator="greaterThan">
      <formula>0</formula>
    </cfRule>
  </conditionalFormatting>
  <conditionalFormatting sqref="O56:O57">
    <cfRule type="cellIs" dxfId="20668" priority="509" operator="equal">
      <formula>"PMS"</formula>
    </cfRule>
    <cfRule type="containsText" dxfId="20667" priority="510" operator="containsText" text="CMS">
      <formula>NOT(ISERROR(SEARCH("CMS",O56)))</formula>
    </cfRule>
    <cfRule type="cellIs" dxfId="20666" priority="511" operator="equal">
      <formula>0</formula>
    </cfRule>
    <cfRule type="cellIs" dxfId="20665" priority="512" operator="greaterThan">
      <formula>0</formula>
    </cfRule>
  </conditionalFormatting>
  <conditionalFormatting sqref="O56:O57">
    <cfRule type="cellIs" dxfId="20664" priority="505" operator="equal">
      <formula>"PMS"</formula>
    </cfRule>
    <cfRule type="containsText" dxfId="20663" priority="506" operator="containsText" text="CMS">
      <formula>NOT(ISERROR(SEARCH("CMS",O56)))</formula>
    </cfRule>
    <cfRule type="cellIs" dxfId="20662" priority="507" operator="equal">
      <formula>0</formula>
    </cfRule>
    <cfRule type="cellIs" dxfId="20661" priority="508" operator="greaterThan">
      <formula>0</formula>
    </cfRule>
  </conditionalFormatting>
  <conditionalFormatting sqref="O56:O57">
    <cfRule type="cellIs" dxfId="20660" priority="501" operator="equal">
      <formula>"PMS"</formula>
    </cfRule>
    <cfRule type="containsText" dxfId="20659" priority="502" operator="containsText" text="CMS">
      <formula>NOT(ISERROR(SEARCH("CMS",O56)))</formula>
    </cfRule>
    <cfRule type="cellIs" dxfId="20658" priority="503" operator="equal">
      <formula>0</formula>
    </cfRule>
    <cfRule type="cellIs" dxfId="20657" priority="504" operator="greaterThan">
      <formula>0</formula>
    </cfRule>
  </conditionalFormatting>
  <conditionalFormatting sqref="O56:O57">
    <cfRule type="cellIs" dxfId="20656" priority="497" operator="equal">
      <formula>"PMS"</formula>
    </cfRule>
    <cfRule type="containsText" dxfId="20655" priority="498" operator="containsText" text="CMS">
      <formula>NOT(ISERROR(SEARCH("CMS",O56)))</formula>
    </cfRule>
    <cfRule type="cellIs" dxfId="20654" priority="499" operator="equal">
      <formula>0</formula>
    </cfRule>
    <cfRule type="cellIs" dxfId="20653" priority="500" operator="greaterThan">
      <formula>0</formula>
    </cfRule>
  </conditionalFormatting>
  <conditionalFormatting sqref="O56:O57">
    <cfRule type="cellIs" dxfId="20652" priority="493" operator="equal">
      <formula>"PMS"</formula>
    </cfRule>
    <cfRule type="containsText" dxfId="20651" priority="494" operator="containsText" text="CMS">
      <formula>NOT(ISERROR(SEARCH("CMS",O56)))</formula>
    </cfRule>
    <cfRule type="cellIs" dxfId="20650" priority="495" operator="equal">
      <formula>0</formula>
    </cfRule>
    <cfRule type="cellIs" dxfId="20649" priority="496" operator="greaterThan">
      <formula>0</formula>
    </cfRule>
  </conditionalFormatting>
  <conditionalFormatting sqref="O56:O57">
    <cfRule type="cellIs" dxfId="20648" priority="489" operator="equal">
      <formula>"PMS"</formula>
    </cfRule>
    <cfRule type="containsText" dxfId="20647" priority="490" operator="containsText" text="CMS">
      <formula>NOT(ISERROR(SEARCH("CMS",O56)))</formula>
    </cfRule>
    <cfRule type="cellIs" dxfId="20646" priority="491" operator="equal">
      <formula>0</formula>
    </cfRule>
    <cfRule type="cellIs" dxfId="20645" priority="492" operator="greaterThan">
      <formula>0</formula>
    </cfRule>
  </conditionalFormatting>
  <conditionalFormatting sqref="O56:O57">
    <cfRule type="cellIs" dxfId="20644" priority="485" operator="equal">
      <formula>"PMS"</formula>
    </cfRule>
    <cfRule type="containsText" dxfId="20643" priority="486" operator="containsText" text="CMS">
      <formula>NOT(ISERROR(SEARCH("CMS",O56)))</formula>
    </cfRule>
    <cfRule type="cellIs" dxfId="20642" priority="487" operator="equal">
      <formula>0</formula>
    </cfRule>
    <cfRule type="cellIs" dxfId="20641" priority="488" operator="greaterThan">
      <formula>0</formula>
    </cfRule>
  </conditionalFormatting>
  <conditionalFormatting sqref="R77">
    <cfRule type="cellIs" dxfId="20640" priority="481" operator="equal">
      <formula>"PMS"</formula>
    </cfRule>
    <cfRule type="containsText" dxfId="20639" priority="482" operator="containsText" text="CMS">
      <formula>NOT(ISERROR(SEARCH("CMS",R77)))</formula>
    </cfRule>
    <cfRule type="cellIs" dxfId="20638" priority="483" operator="equal">
      <formula>0</formula>
    </cfRule>
    <cfRule type="cellIs" dxfId="20637" priority="484" operator="greaterThan">
      <formula>0</formula>
    </cfRule>
  </conditionalFormatting>
  <conditionalFormatting sqref="G15:G16">
    <cfRule type="cellIs" dxfId="20636" priority="473" operator="equal">
      <formula>"PMS"</formula>
    </cfRule>
    <cfRule type="containsText" dxfId="20635" priority="474" operator="containsText" text="CMS">
      <formula>NOT(ISERROR(SEARCH("CMS",G15)))</formula>
    </cfRule>
    <cfRule type="cellIs" dxfId="20634" priority="475" operator="equal">
      <formula>0</formula>
    </cfRule>
    <cfRule type="cellIs" dxfId="20633" priority="476" operator="greaterThan">
      <formula>0</formula>
    </cfRule>
    <cfRule type="cellIs" dxfId="20632" priority="477" operator="equal">
      <formula>"PMS"</formula>
    </cfRule>
    <cfRule type="containsText" dxfId="20631" priority="478" operator="containsText" text="CMS">
      <formula>NOT(ISERROR(SEARCH("CMS",G15)))</formula>
    </cfRule>
    <cfRule type="cellIs" dxfId="20630" priority="479" operator="equal">
      <formula>0</formula>
    </cfRule>
    <cfRule type="cellIs" dxfId="20629" priority="480" operator="greaterThan">
      <formula>0</formula>
    </cfRule>
  </conditionalFormatting>
  <conditionalFormatting sqref="G15:G16">
    <cfRule type="cellIs" dxfId="20628" priority="469" operator="equal">
      <formula>"PMS"</formula>
    </cfRule>
    <cfRule type="containsText" dxfId="20627" priority="470" operator="containsText" text="CMS">
      <formula>NOT(ISERROR(SEARCH("CMS",G15)))</formula>
    </cfRule>
    <cfRule type="cellIs" dxfId="20626" priority="471" operator="equal">
      <formula>0</formula>
    </cfRule>
    <cfRule type="cellIs" dxfId="20625" priority="472" operator="greaterThan">
      <formula>0</formula>
    </cfRule>
  </conditionalFormatting>
  <conditionalFormatting sqref="G15:G16">
    <cfRule type="cellIs" dxfId="20624" priority="465" operator="equal">
      <formula>"PMS"</formula>
    </cfRule>
    <cfRule type="containsText" dxfId="20623" priority="466" operator="containsText" text="CMS">
      <formula>NOT(ISERROR(SEARCH("CMS",G15)))</formula>
    </cfRule>
    <cfRule type="cellIs" dxfId="20622" priority="467" operator="equal">
      <formula>0</formula>
    </cfRule>
    <cfRule type="cellIs" dxfId="20621" priority="468" operator="greaterThan">
      <formula>0</formula>
    </cfRule>
  </conditionalFormatting>
  <conditionalFormatting sqref="G21">
    <cfRule type="cellIs" dxfId="20620" priority="457" operator="equal">
      <formula>"PMS"</formula>
    </cfRule>
    <cfRule type="containsText" dxfId="20619" priority="458" operator="containsText" text="CMS">
      <formula>NOT(ISERROR(SEARCH("CMS",G21)))</formula>
    </cfRule>
    <cfRule type="cellIs" dxfId="20618" priority="459" operator="equal">
      <formula>0</formula>
    </cfRule>
    <cfRule type="cellIs" dxfId="20617" priority="460" operator="greaterThan">
      <formula>0</formula>
    </cfRule>
    <cfRule type="cellIs" dxfId="20616" priority="461" operator="equal">
      <formula>"PMS"</formula>
    </cfRule>
    <cfRule type="containsText" dxfId="20615" priority="462" operator="containsText" text="CMS">
      <formula>NOT(ISERROR(SEARCH("CMS",G21)))</formula>
    </cfRule>
    <cfRule type="cellIs" dxfId="20614" priority="463" operator="equal">
      <formula>0</formula>
    </cfRule>
    <cfRule type="cellIs" dxfId="20613" priority="464" operator="greaterThan">
      <formula>0</formula>
    </cfRule>
  </conditionalFormatting>
  <conditionalFormatting sqref="G21">
    <cfRule type="cellIs" dxfId="20612" priority="453" operator="equal">
      <formula>"PMS"</formula>
    </cfRule>
    <cfRule type="containsText" dxfId="20611" priority="454" operator="containsText" text="CMS">
      <formula>NOT(ISERROR(SEARCH("CMS",G21)))</formula>
    </cfRule>
    <cfRule type="cellIs" dxfId="20610" priority="455" operator="equal">
      <formula>0</formula>
    </cfRule>
    <cfRule type="cellIs" dxfId="20609" priority="456" operator="greaterThan">
      <formula>0</formula>
    </cfRule>
  </conditionalFormatting>
  <conditionalFormatting sqref="G21">
    <cfRule type="cellIs" dxfId="20608" priority="449" operator="equal">
      <formula>"PMS"</formula>
    </cfRule>
    <cfRule type="containsText" dxfId="20607" priority="450" operator="containsText" text="CMS">
      <formula>NOT(ISERROR(SEARCH("CMS",G21)))</formula>
    </cfRule>
    <cfRule type="cellIs" dxfId="20606" priority="451" operator="equal">
      <formula>0</formula>
    </cfRule>
    <cfRule type="cellIs" dxfId="20605" priority="452" operator="greaterThan">
      <formula>0</formula>
    </cfRule>
  </conditionalFormatting>
  <conditionalFormatting sqref="G63:M63 G61:J61 L61:M61">
    <cfRule type="cellIs" dxfId="20604" priority="413" operator="equal">
      <formula>"PMS"</formula>
    </cfRule>
    <cfRule type="containsText" dxfId="20603" priority="414" operator="containsText" text="CMS">
      <formula>NOT(ISERROR(SEARCH("CMS",G61)))</formula>
    </cfRule>
    <cfRule type="cellIs" dxfId="20602" priority="415" operator="equal">
      <formula>0</formula>
    </cfRule>
    <cfRule type="cellIs" dxfId="20601" priority="416" operator="greaterThan">
      <formula>0</formula>
    </cfRule>
    <cfRule type="cellIs" dxfId="20600" priority="417" operator="equal">
      <formula>"PMS"</formula>
    </cfRule>
    <cfRule type="containsText" dxfId="20599" priority="418" operator="containsText" text="CMS">
      <formula>NOT(ISERROR(SEARCH("CMS",G61)))</formula>
    </cfRule>
    <cfRule type="cellIs" dxfId="20598" priority="419" operator="equal">
      <formula>0</formula>
    </cfRule>
    <cfRule type="cellIs" dxfId="20597" priority="420" operator="greaterThan">
      <formula>0</formula>
    </cfRule>
  </conditionalFormatting>
  <conditionalFormatting sqref="G63:M63 G61:J61 L61:M61">
    <cfRule type="cellIs" dxfId="20596" priority="409" operator="equal">
      <formula>"PMS"</formula>
    </cfRule>
    <cfRule type="containsText" dxfId="20595" priority="410" operator="containsText" text="CMS">
      <formula>NOT(ISERROR(SEARCH("CMS",G61)))</formula>
    </cfRule>
    <cfRule type="cellIs" dxfId="20594" priority="411" operator="equal">
      <formula>0</formula>
    </cfRule>
    <cfRule type="cellIs" dxfId="20593" priority="412" operator="greaterThan">
      <formula>0</formula>
    </cfRule>
  </conditionalFormatting>
  <conditionalFormatting sqref="G78">
    <cfRule type="cellIs" dxfId="20592" priority="401" operator="equal">
      <formula>"PMS"</formula>
    </cfRule>
    <cfRule type="containsText" dxfId="20591" priority="402" operator="containsText" text="CMS">
      <formula>NOT(ISERROR(SEARCH("CMS",G78)))</formula>
    </cfRule>
    <cfRule type="cellIs" dxfId="20590" priority="403" operator="equal">
      <formula>0</formula>
    </cfRule>
    <cfRule type="cellIs" dxfId="20589" priority="404" operator="greaterThan">
      <formula>0</formula>
    </cfRule>
    <cfRule type="cellIs" dxfId="20588" priority="405" operator="equal">
      <formula>"PMS"</formula>
    </cfRule>
    <cfRule type="containsText" dxfId="20587" priority="406" operator="containsText" text="CMS">
      <formula>NOT(ISERROR(SEARCH("CMS",G78)))</formula>
    </cfRule>
    <cfRule type="cellIs" dxfId="20586" priority="407" operator="equal">
      <formula>0</formula>
    </cfRule>
    <cfRule type="cellIs" dxfId="20585" priority="408" operator="greaterThan">
      <formula>0</formula>
    </cfRule>
  </conditionalFormatting>
  <conditionalFormatting sqref="G78">
    <cfRule type="cellIs" dxfId="20584" priority="397" operator="equal">
      <formula>"PMS"</formula>
    </cfRule>
    <cfRule type="containsText" dxfId="20583" priority="398" operator="containsText" text="CMS">
      <formula>NOT(ISERROR(SEARCH("CMS",G78)))</formula>
    </cfRule>
    <cfRule type="cellIs" dxfId="20582" priority="399" operator="equal">
      <formula>0</formula>
    </cfRule>
    <cfRule type="cellIs" dxfId="20581" priority="400" operator="greaterThan">
      <formula>0</formula>
    </cfRule>
  </conditionalFormatting>
  <conditionalFormatting sqref="G24">
    <cfRule type="cellIs" dxfId="20580" priority="389" operator="equal">
      <formula>"PMS"</formula>
    </cfRule>
    <cfRule type="containsText" dxfId="20579" priority="390" operator="containsText" text="CMS">
      <formula>NOT(ISERROR(SEARCH("CMS",G24)))</formula>
    </cfRule>
    <cfRule type="cellIs" dxfId="20578" priority="391" operator="equal">
      <formula>0</formula>
    </cfRule>
    <cfRule type="cellIs" dxfId="20577" priority="392" operator="greaterThan">
      <formula>0</formula>
    </cfRule>
    <cfRule type="cellIs" dxfId="20576" priority="393" operator="equal">
      <formula>"PMS"</formula>
    </cfRule>
    <cfRule type="containsText" dxfId="20575" priority="394" operator="containsText" text="CMS">
      <formula>NOT(ISERROR(SEARCH("CMS",G24)))</formula>
    </cfRule>
    <cfRule type="cellIs" dxfId="20574" priority="395" operator="equal">
      <formula>0</formula>
    </cfRule>
    <cfRule type="cellIs" dxfId="20573" priority="396" operator="greaterThan">
      <formula>0</formula>
    </cfRule>
  </conditionalFormatting>
  <conditionalFormatting sqref="G24">
    <cfRule type="cellIs" dxfId="20572" priority="385" operator="equal">
      <formula>"PMS"</formula>
    </cfRule>
    <cfRule type="containsText" dxfId="20571" priority="386" operator="containsText" text="CMS">
      <formula>NOT(ISERROR(SEARCH("CMS",G24)))</formula>
    </cfRule>
    <cfRule type="cellIs" dxfId="20570" priority="387" operator="equal">
      <formula>0</formula>
    </cfRule>
    <cfRule type="cellIs" dxfId="20569" priority="388" operator="greaterThan">
      <formula>0</formula>
    </cfRule>
  </conditionalFormatting>
  <conditionalFormatting sqref="G24">
    <cfRule type="cellIs" dxfId="20568" priority="381" operator="equal">
      <formula>"PMS"</formula>
    </cfRule>
    <cfRule type="containsText" dxfId="20567" priority="382" operator="containsText" text="CMS">
      <formula>NOT(ISERROR(SEARCH("CMS",G24)))</formula>
    </cfRule>
    <cfRule type="cellIs" dxfId="20566" priority="383" operator="equal">
      <formula>0</formula>
    </cfRule>
    <cfRule type="cellIs" dxfId="20565" priority="384" operator="greaterThan">
      <formula>0</formula>
    </cfRule>
  </conditionalFormatting>
  <conditionalFormatting sqref="O56:O57">
    <cfRule type="cellIs" dxfId="20564" priority="269" operator="equal">
      <formula>"PMS"</formula>
    </cfRule>
    <cfRule type="containsText" dxfId="20563" priority="270" operator="containsText" text="CMS">
      <formula>NOT(ISERROR(SEARCH("CMS",O56)))</formula>
    </cfRule>
    <cfRule type="cellIs" dxfId="20562" priority="271" operator="equal">
      <formula>0</formula>
    </cfRule>
    <cfRule type="cellIs" dxfId="20561" priority="272" operator="greaterThan">
      <formula>0</formula>
    </cfRule>
  </conditionalFormatting>
  <conditionalFormatting sqref="O56:O57">
    <cfRule type="cellIs" dxfId="20560" priority="265" operator="equal">
      <formula>"PMS"</formula>
    </cfRule>
    <cfRule type="containsText" dxfId="20559" priority="266" operator="containsText" text="CMS">
      <formula>NOT(ISERROR(SEARCH("CMS",O56)))</formula>
    </cfRule>
    <cfRule type="cellIs" dxfId="20558" priority="267" operator="equal">
      <formula>0</formula>
    </cfRule>
    <cfRule type="cellIs" dxfId="20557" priority="268" operator="greaterThan">
      <formula>0</formula>
    </cfRule>
  </conditionalFormatting>
  <conditionalFormatting sqref="O56:O57">
    <cfRule type="cellIs" dxfId="20556" priority="261" operator="equal">
      <formula>"PMS"</formula>
    </cfRule>
    <cfRule type="containsText" dxfId="20555" priority="262" operator="containsText" text="CMS">
      <formula>NOT(ISERROR(SEARCH("CMS",O56)))</formula>
    </cfRule>
    <cfRule type="cellIs" dxfId="20554" priority="263" operator="equal">
      <formula>0</formula>
    </cfRule>
    <cfRule type="cellIs" dxfId="20553" priority="264" operator="greaterThan">
      <formula>0</formula>
    </cfRule>
  </conditionalFormatting>
  <conditionalFormatting sqref="O56:O57">
    <cfRule type="cellIs" dxfId="20552" priority="257" operator="equal">
      <formula>"PMS"</formula>
    </cfRule>
    <cfRule type="containsText" dxfId="20551" priority="258" operator="containsText" text="CMS">
      <formula>NOT(ISERROR(SEARCH("CMS",O56)))</formula>
    </cfRule>
    <cfRule type="cellIs" dxfId="20550" priority="259" operator="equal">
      <formula>0</formula>
    </cfRule>
    <cfRule type="cellIs" dxfId="20549" priority="260" operator="greaterThan">
      <formula>0</formula>
    </cfRule>
  </conditionalFormatting>
  <conditionalFormatting sqref="O56">
    <cfRule type="cellIs" dxfId="20548" priority="253" operator="equal">
      <formula>"PMS"</formula>
    </cfRule>
    <cfRule type="containsText" dxfId="20547" priority="254" operator="containsText" text="CMS">
      <formula>NOT(ISERROR(SEARCH("CMS",O56)))</formula>
    </cfRule>
    <cfRule type="cellIs" dxfId="20546" priority="255" operator="equal">
      <formula>0</formula>
    </cfRule>
    <cfRule type="cellIs" dxfId="20545" priority="256" operator="greaterThan">
      <formula>0</formula>
    </cfRule>
  </conditionalFormatting>
  <conditionalFormatting sqref="O56">
    <cfRule type="cellIs" dxfId="20544" priority="249" operator="equal">
      <formula>"PMS"</formula>
    </cfRule>
    <cfRule type="containsText" dxfId="20543" priority="250" operator="containsText" text="CMS">
      <formula>NOT(ISERROR(SEARCH("CMS",O56)))</formula>
    </cfRule>
    <cfRule type="cellIs" dxfId="20542" priority="251" operator="equal">
      <formula>0</formula>
    </cfRule>
    <cfRule type="cellIs" dxfId="20541" priority="252" operator="greaterThan">
      <formula>0</formula>
    </cfRule>
  </conditionalFormatting>
  <conditionalFormatting sqref="O56">
    <cfRule type="cellIs" dxfId="20540" priority="245" operator="equal">
      <formula>"PMS"</formula>
    </cfRule>
    <cfRule type="containsText" dxfId="20539" priority="246" operator="containsText" text="CMS">
      <formula>NOT(ISERROR(SEARCH("CMS",O56)))</formula>
    </cfRule>
    <cfRule type="cellIs" dxfId="20538" priority="247" operator="equal">
      <formula>0</formula>
    </cfRule>
    <cfRule type="cellIs" dxfId="20537" priority="248" operator="greaterThan">
      <formula>0</formula>
    </cfRule>
  </conditionalFormatting>
  <conditionalFormatting sqref="O56">
    <cfRule type="cellIs" dxfId="20536" priority="241" operator="equal">
      <formula>"PMS"</formula>
    </cfRule>
    <cfRule type="containsText" dxfId="20535" priority="242" operator="containsText" text="CMS">
      <formula>NOT(ISERROR(SEARCH("CMS",O56)))</formula>
    </cfRule>
    <cfRule type="cellIs" dxfId="20534" priority="243" operator="equal">
      <formula>0</formula>
    </cfRule>
    <cfRule type="cellIs" dxfId="20533" priority="244" operator="greaterThan">
      <formula>0</formula>
    </cfRule>
  </conditionalFormatting>
  <conditionalFormatting sqref="O56">
    <cfRule type="cellIs" dxfId="20532" priority="237" operator="equal">
      <formula>"PMS"</formula>
    </cfRule>
    <cfRule type="containsText" dxfId="20531" priority="238" operator="containsText" text="CMS">
      <formula>NOT(ISERROR(SEARCH("CMS",O56)))</formula>
    </cfRule>
    <cfRule type="cellIs" dxfId="20530" priority="239" operator="equal">
      <formula>0</formula>
    </cfRule>
    <cfRule type="cellIs" dxfId="20529" priority="240" operator="greaterThan">
      <formula>0</formula>
    </cfRule>
  </conditionalFormatting>
  <conditionalFormatting sqref="P58">
    <cfRule type="cellIs" dxfId="20528" priority="233" operator="equal">
      <formula>"PMS"</formula>
    </cfRule>
    <cfRule type="containsText" dxfId="20527" priority="234" operator="containsText" text="CMS">
      <formula>NOT(ISERROR(SEARCH("CMS",P58)))</formula>
    </cfRule>
    <cfRule type="cellIs" dxfId="20526" priority="235" operator="equal">
      <formula>0</formula>
    </cfRule>
    <cfRule type="cellIs" dxfId="20525" priority="236" operator="greaterThan">
      <formula>0</formula>
    </cfRule>
  </conditionalFormatting>
  <conditionalFormatting sqref="F13:F16">
    <cfRule type="cellIs" dxfId="20524" priority="225" operator="equal">
      <formula>"PMS"</formula>
    </cfRule>
    <cfRule type="containsText" dxfId="20523" priority="226" operator="containsText" text="CMS">
      <formula>NOT(ISERROR(SEARCH("CMS",F13)))</formula>
    </cfRule>
    <cfRule type="cellIs" dxfId="20522" priority="227" operator="equal">
      <formula>0</formula>
    </cfRule>
    <cfRule type="cellIs" dxfId="20521" priority="228" operator="greaterThan">
      <formula>0</formula>
    </cfRule>
    <cfRule type="cellIs" dxfId="20520" priority="229" operator="equal">
      <formula>"PMS"</formula>
    </cfRule>
    <cfRule type="containsText" dxfId="20519" priority="230" operator="containsText" text="CMS">
      <formula>NOT(ISERROR(SEARCH("CMS",F13)))</formula>
    </cfRule>
    <cfRule type="cellIs" dxfId="20518" priority="231" operator="equal">
      <formula>0</formula>
    </cfRule>
    <cfRule type="cellIs" dxfId="20517" priority="232" operator="greaterThan">
      <formula>0</formula>
    </cfRule>
  </conditionalFormatting>
  <conditionalFormatting sqref="F13:F16">
    <cfRule type="cellIs" dxfId="20516" priority="221" operator="equal">
      <formula>"PMS"</formula>
    </cfRule>
    <cfRule type="containsText" dxfId="20515" priority="222" operator="containsText" text="CMS">
      <formula>NOT(ISERROR(SEARCH("CMS",F13)))</formula>
    </cfRule>
    <cfRule type="cellIs" dxfId="20514" priority="223" operator="equal">
      <formula>0</formula>
    </cfRule>
    <cfRule type="cellIs" dxfId="20513" priority="224" operator="greaterThan">
      <formula>0</formula>
    </cfRule>
  </conditionalFormatting>
  <conditionalFormatting sqref="F13:F16">
    <cfRule type="cellIs" dxfId="20512" priority="217" operator="equal">
      <formula>"PMS"</formula>
    </cfRule>
    <cfRule type="containsText" dxfId="20511" priority="218" operator="containsText" text="CMS">
      <formula>NOT(ISERROR(SEARCH("CMS",F13)))</formula>
    </cfRule>
    <cfRule type="cellIs" dxfId="20510" priority="219" operator="equal">
      <formula>0</formula>
    </cfRule>
    <cfRule type="cellIs" dxfId="20509" priority="220" operator="greaterThan">
      <formula>0</formula>
    </cfRule>
  </conditionalFormatting>
  <conditionalFormatting sqref="F13:F15">
    <cfRule type="cellIs" dxfId="20508" priority="213" operator="equal">
      <formula>"PMS"</formula>
    </cfRule>
    <cfRule type="containsText" dxfId="20507" priority="214" operator="containsText" text="CMS">
      <formula>NOT(ISERROR(SEARCH("CMS",F13)))</formula>
    </cfRule>
    <cfRule type="cellIs" dxfId="20506" priority="215" operator="equal">
      <formula>0</formula>
    </cfRule>
    <cfRule type="cellIs" dxfId="20505" priority="216" operator="greaterThan">
      <formula>0</formula>
    </cfRule>
  </conditionalFormatting>
  <conditionalFormatting sqref="F13:F15">
    <cfRule type="cellIs" dxfId="20504" priority="209" operator="equal">
      <formula>"PMS"</formula>
    </cfRule>
    <cfRule type="containsText" dxfId="20503" priority="210" operator="containsText" text="CMS">
      <formula>NOT(ISERROR(SEARCH("CMS",F13)))</formula>
    </cfRule>
    <cfRule type="cellIs" dxfId="20502" priority="211" operator="equal">
      <formula>0</formula>
    </cfRule>
    <cfRule type="cellIs" dxfId="20501" priority="212" operator="greaterThan">
      <formula>0</formula>
    </cfRule>
  </conditionalFormatting>
  <conditionalFormatting sqref="F20:F21">
    <cfRule type="cellIs" dxfId="20500" priority="201" operator="equal">
      <formula>"PMS"</formula>
    </cfRule>
    <cfRule type="containsText" dxfId="20499" priority="202" operator="containsText" text="CMS">
      <formula>NOT(ISERROR(SEARCH("CMS",F20)))</formula>
    </cfRule>
    <cfRule type="cellIs" dxfId="20498" priority="203" operator="equal">
      <formula>0</formula>
    </cfRule>
    <cfRule type="cellIs" dxfId="20497" priority="204" operator="greaterThan">
      <formula>0</formula>
    </cfRule>
    <cfRule type="cellIs" dxfId="20496" priority="205" operator="equal">
      <formula>"PMS"</formula>
    </cfRule>
    <cfRule type="containsText" dxfId="20495" priority="206" operator="containsText" text="CMS">
      <formula>NOT(ISERROR(SEARCH("CMS",F20)))</formula>
    </cfRule>
    <cfRule type="cellIs" dxfId="20494" priority="207" operator="equal">
      <formula>0</formula>
    </cfRule>
    <cfRule type="cellIs" dxfId="20493" priority="208" operator="greaterThan">
      <formula>0</formula>
    </cfRule>
  </conditionalFormatting>
  <conditionalFormatting sqref="F20:F21">
    <cfRule type="cellIs" dxfId="20492" priority="197" operator="equal">
      <formula>"PMS"</formula>
    </cfRule>
    <cfRule type="containsText" dxfId="20491" priority="198" operator="containsText" text="CMS">
      <formula>NOT(ISERROR(SEARCH("CMS",F20)))</formula>
    </cfRule>
    <cfRule type="cellIs" dxfId="20490" priority="199" operator="equal">
      <formula>0</formula>
    </cfRule>
    <cfRule type="cellIs" dxfId="20489" priority="200" operator="greaterThan">
      <formula>0</formula>
    </cfRule>
  </conditionalFormatting>
  <conditionalFormatting sqref="F20:F21">
    <cfRule type="cellIs" dxfId="20488" priority="193" operator="equal">
      <formula>"PMS"</formula>
    </cfRule>
    <cfRule type="containsText" dxfId="20487" priority="194" operator="containsText" text="CMS">
      <formula>NOT(ISERROR(SEARCH("CMS",F20)))</formula>
    </cfRule>
    <cfRule type="cellIs" dxfId="20486" priority="195" operator="equal">
      <formula>0</formula>
    </cfRule>
    <cfRule type="cellIs" dxfId="20485" priority="196" operator="greaterThan">
      <formula>0</formula>
    </cfRule>
  </conditionalFormatting>
  <conditionalFormatting sqref="F19">
    <cfRule type="cellIs" dxfId="20484" priority="189" operator="equal">
      <formula>"CMS"</formula>
    </cfRule>
    <cfRule type="cellIs" dxfId="20483" priority="190" operator="equal">
      <formula>"PMS"</formula>
    </cfRule>
    <cfRule type="cellIs" dxfId="20482" priority="191" operator="greaterThan">
      <formula>0</formula>
    </cfRule>
    <cfRule type="cellIs" dxfId="20481" priority="192" operator="equal">
      <formula>0</formula>
    </cfRule>
  </conditionalFormatting>
  <conditionalFormatting sqref="F24">
    <cfRule type="cellIs" dxfId="20480" priority="181" operator="equal">
      <formula>"PMS"</formula>
    </cfRule>
    <cfRule type="containsText" dxfId="20479" priority="182" operator="containsText" text="CMS">
      <formula>NOT(ISERROR(SEARCH("CMS",F24)))</formula>
    </cfRule>
    <cfRule type="cellIs" dxfId="20478" priority="183" operator="equal">
      <formula>0</formula>
    </cfRule>
    <cfRule type="cellIs" dxfId="20477" priority="184" operator="greaterThan">
      <formula>0</formula>
    </cfRule>
    <cfRule type="cellIs" dxfId="20476" priority="185" operator="equal">
      <formula>"PMS"</formula>
    </cfRule>
    <cfRule type="containsText" dxfId="20475" priority="186" operator="containsText" text="CMS">
      <formula>NOT(ISERROR(SEARCH("CMS",F24)))</formula>
    </cfRule>
    <cfRule type="cellIs" dxfId="20474" priority="187" operator="equal">
      <formula>0</formula>
    </cfRule>
    <cfRule type="cellIs" dxfId="20473" priority="188" operator="greaterThan">
      <formula>0</formula>
    </cfRule>
  </conditionalFormatting>
  <conditionalFormatting sqref="F24">
    <cfRule type="cellIs" dxfId="20472" priority="177" operator="equal">
      <formula>"PMS"</formula>
    </cfRule>
    <cfRule type="containsText" dxfId="20471" priority="178" operator="containsText" text="CMS">
      <formula>NOT(ISERROR(SEARCH("CMS",F24)))</formula>
    </cfRule>
    <cfRule type="cellIs" dxfId="20470" priority="179" operator="equal">
      <formula>0</formula>
    </cfRule>
    <cfRule type="cellIs" dxfId="20469" priority="180" operator="greaterThan">
      <formula>0</formula>
    </cfRule>
  </conditionalFormatting>
  <conditionalFormatting sqref="F24">
    <cfRule type="cellIs" dxfId="20468" priority="173" operator="equal">
      <formula>"PMS"</formula>
    </cfRule>
    <cfRule type="containsText" dxfId="20467" priority="174" operator="containsText" text="CMS">
      <formula>NOT(ISERROR(SEARCH("CMS",F24)))</formula>
    </cfRule>
    <cfRule type="cellIs" dxfId="20466" priority="175" operator="equal">
      <formula>0</formula>
    </cfRule>
    <cfRule type="cellIs" dxfId="20465" priority="176" operator="greaterThan">
      <formula>0</formula>
    </cfRule>
  </conditionalFormatting>
  <conditionalFormatting sqref="F27:F28">
    <cfRule type="cellIs" dxfId="20464" priority="165" operator="equal">
      <formula>"PMS"</formula>
    </cfRule>
    <cfRule type="containsText" dxfId="20463" priority="166" operator="containsText" text="CMS">
      <formula>NOT(ISERROR(SEARCH("CMS",F27)))</formula>
    </cfRule>
    <cfRule type="cellIs" dxfId="20462" priority="167" operator="equal">
      <formula>0</formula>
    </cfRule>
    <cfRule type="cellIs" dxfId="20461" priority="168" operator="greaterThan">
      <formula>0</formula>
    </cfRule>
    <cfRule type="cellIs" dxfId="20460" priority="169" operator="equal">
      <formula>"PMS"</formula>
    </cfRule>
    <cfRule type="containsText" dxfId="20459" priority="170" operator="containsText" text="CMS">
      <formula>NOT(ISERROR(SEARCH("CMS",F27)))</formula>
    </cfRule>
    <cfRule type="cellIs" dxfId="20458" priority="171" operator="equal">
      <formula>0</formula>
    </cfRule>
    <cfRule type="cellIs" dxfId="20457" priority="172" operator="greaterThan">
      <formula>0</formula>
    </cfRule>
  </conditionalFormatting>
  <conditionalFormatting sqref="F27:F28">
    <cfRule type="cellIs" dxfId="20456" priority="161" operator="equal">
      <formula>"PMS"</formula>
    </cfRule>
    <cfRule type="containsText" dxfId="20455" priority="162" operator="containsText" text="CMS">
      <formula>NOT(ISERROR(SEARCH("CMS",F27)))</formula>
    </cfRule>
    <cfRule type="cellIs" dxfId="20454" priority="163" operator="equal">
      <formula>0</formula>
    </cfRule>
    <cfRule type="cellIs" dxfId="20453" priority="164" operator="greaterThan">
      <formula>0</formula>
    </cfRule>
  </conditionalFormatting>
  <conditionalFormatting sqref="F27:F28">
    <cfRule type="cellIs" dxfId="20452" priority="157" operator="equal">
      <formula>"PMS"</formula>
    </cfRule>
    <cfRule type="containsText" dxfId="20451" priority="158" operator="containsText" text="CMS">
      <formula>NOT(ISERROR(SEARCH("CMS",F27)))</formula>
    </cfRule>
    <cfRule type="cellIs" dxfId="20450" priority="159" operator="equal">
      <formula>0</formula>
    </cfRule>
    <cfRule type="cellIs" dxfId="20449" priority="160" operator="greaterThan">
      <formula>0</formula>
    </cfRule>
  </conditionalFormatting>
  <conditionalFormatting sqref="F29">
    <cfRule type="cellIs" dxfId="20448" priority="149" operator="equal">
      <formula>"PMS"</formula>
    </cfRule>
    <cfRule type="containsText" dxfId="20447" priority="150" operator="containsText" text="CMS">
      <formula>NOT(ISERROR(SEARCH("CMS",F29)))</formula>
    </cfRule>
    <cfRule type="cellIs" dxfId="20446" priority="151" operator="equal">
      <formula>0</formula>
    </cfRule>
    <cfRule type="cellIs" dxfId="20445" priority="152" operator="greaterThan">
      <formula>0</formula>
    </cfRule>
    <cfRule type="cellIs" dxfId="20444" priority="153" operator="equal">
      <formula>"PMS"</formula>
    </cfRule>
    <cfRule type="containsText" dxfId="20443" priority="154" operator="containsText" text="CMS">
      <formula>NOT(ISERROR(SEARCH("CMS",F29)))</formula>
    </cfRule>
    <cfRule type="cellIs" dxfId="20442" priority="155" operator="equal">
      <formula>0</formula>
    </cfRule>
    <cfRule type="cellIs" dxfId="20441" priority="156" operator="greaterThan">
      <formula>0</formula>
    </cfRule>
  </conditionalFormatting>
  <conditionalFormatting sqref="F32">
    <cfRule type="cellIs" dxfId="20440" priority="141" operator="equal">
      <formula>"PMS"</formula>
    </cfRule>
    <cfRule type="containsText" dxfId="20439" priority="142" operator="containsText" text="CMS">
      <formula>NOT(ISERROR(SEARCH("CMS",F32)))</formula>
    </cfRule>
    <cfRule type="cellIs" dxfId="20438" priority="143" operator="equal">
      <formula>0</formula>
    </cfRule>
    <cfRule type="cellIs" dxfId="20437" priority="144" operator="greaterThan">
      <formula>0</formula>
    </cfRule>
    <cfRule type="cellIs" dxfId="20436" priority="145" operator="equal">
      <formula>"PMS"</formula>
    </cfRule>
    <cfRule type="containsText" dxfId="20435" priority="146" operator="containsText" text="CMS">
      <formula>NOT(ISERROR(SEARCH("CMS",F32)))</formula>
    </cfRule>
    <cfRule type="cellIs" dxfId="20434" priority="147" operator="equal">
      <formula>0</formula>
    </cfRule>
    <cfRule type="cellIs" dxfId="20433" priority="148" operator="greaterThan">
      <formula>0</formula>
    </cfRule>
  </conditionalFormatting>
  <conditionalFormatting sqref="F32">
    <cfRule type="cellIs" dxfId="20432" priority="137" operator="equal">
      <formula>"PMS"</formula>
    </cfRule>
    <cfRule type="containsText" dxfId="20431" priority="138" operator="containsText" text="CMS">
      <formula>NOT(ISERROR(SEARCH("CMS",F32)))</formula>
    </cfRule>
    <cfRule type="cellIs" dxfId="20430" priority="139" operator="equal">
      <formula>0</formula>
    </cfRule>
    <cfRule type="cellIs" dxfId="20429" priority="140" operator="greaterThan">
      <formula>0</formula>
    </cfRule>
  </conditionalFormatting>
  <conditionalFormatting sqref="F32">
    <cfRule type="cellIs" dxfId="20428" priority="133" operator="equal">
      <formula>"PMS"</formula>
    </cfRule>
    <cfRule type="containsText" dxfId="20427" priority="134" operator="containsText" text="CMS">
      <formula>NOT(ISERROR(SEARCH("CMS",F32)))</formula>
    </cfRule>
    <cfRule type="cellIs" dxfId="20426" priority="135" operator="equal">
      <formula>0</formula>
    </cfRule>
    <cfRule type="cellIs" dxfId="20425" priority="136" operator="greaterThan">
      <formula>0</formula>
    </cfRule>
  </conditionalFormatting>
  <conditionalFormatting sqref="F35:F58">
    <cfRule type="cellIs" dxfId="20424" priority="125" operator="equal">
      <formula>"PMS"</formula>
    </cfRule>
    <cfRule type="containsText" dxfId="20423" priority="126" operator="containsText" text="CMS">
      <formula>NOT(ISERROR(SEARCH("CMS",F35)))</formula>
    </cfRule>
    <cfRule type="cellIs" dxfId="20422" priority="127" operator="equal">
      <formula>0</formula>
    </cfRule>
    <cfRule type="cellIs" dxfId="20421" priority="128" operator="greaterThan">
      <formula>0</formula>
    </cfRule>
    <cfRule type="cellIs" dxfId="20420" priority="129" operator="equal">
      <formula>"PMS"</formula>
    </cfRule>
    <cfRule type="containsText" dxfId="20419" priority="130" operator="containsText" text="CMS">
      <formula>NOT(ISERROR(SEARCH("CMS",F35)))</formula>
    </cfRule>
    <cfRule type="cellIs" dxfId="20418" priority="131" operator="equal">
      <formula>0</formula>
    </cfRule>
    <cfRule type="cellIs" dxfId="20417" priority="132" operator="greaterThan">
      <formula>0</formula>
    </cfRule>
  </conditionalFormatting>
  <conditionalFormatting sqref="F35:F58">
    <cfRule type="cellIs" dxfId="20416" priority="121" operator="equal">
      <formula>"PMS"</formula>
    </cfRule>
    <cfRule type="containsText" dxfId="20415" priority="122" operator="containsText" text="CMS">
      <formula>NOT(ISERROR(SEARCH("CMS",F35)))</formula>
    </cfRule>
    <cfRule type="cellIs" dxfId="20414" priority="123" operator="equal">
      <formula>0</formula>
    </cfRule>
    <cfRule type="cellIs" dxfId="20413" priority="124" operator="greaterThan">
      <formula>0</formula>
    </cfRule>
  </conditionalFormatting>
  <conditionalFormatting sqref="F35:F58">
    <cfRule type="cellIs" dxfId="20412" priority="117" operator="equal">
      <formula>"PMS"</formula>
    </cfRule>
    <cfRule type="containsText" dxfId="20411" priority="118" operator="containsText" text="CMS">
      <formula>NOT(ISERROR(SEARCH("CMS",F35)))</formula>
    </cfRule>
    <cfRule type="cellIs" dxfId="20410" priority="119" operator="equal">
      <formula>0</formula>
    </cfRule>
    <cfRule type="cellIs" dxfId="20409" priority="120" operator="greaterThan">
      <formula>0</formula>
    </cfRule>
  </conditionalFormatting>
  <conditionalFormatting sqref="F57">
    <cfRule type="cellIs" dxfId="20408" priority="113" operator="equal">
      <formula>"PMS"</formula>
    </cfRule>
    <cfRule type="containsText" dxfId="20407" priority="114" operator="containsText" text="CMS">
      <formula>NOT(ISERROR(SEARCH("CMS",F57)))</formula>
    </cfRule>
    <cfRule type="cellIs" dxfId="20406" priority="115" operator="equal">
      <formula>0</formula>
    </cfRule>
    <cfRule type="cellIs" dxfId="20405" priority="116" operator="greaterThan">
      <formula>0</formula>
    </cfRule>
  </conditionalFormatting>
  <conditionalFormatting sqref="F57">
    <cfRule type="cellIs" dxfId="20404" priority="109" operator="equal">
      <formula>"PMS"</formula>
    </cfRule>
    <cfRule type="containsText" dxfId="20403" priority="110" operator="containsText" text="CMS">
      <formula>NOT(ISERROR(SEARCH("CMS",F57)))</formula>
    </cfRule>
    <cfRule type="cellIs" dxfId="20402" priority="111" operator="equal">
      <formula>0</formula>
    </cfRule>
    <cfRule type="cellIs" dxfId="20401" priority="112" operator="greaterThan">
      <formula>0</formula>
    </cfRule>
  </conditionalFormatting>
  <conditionalFormatting sqref="F57">
    <cfRule type="cellIs" dxfId="20400" priority="105" operator="equal">
      <formula>"PMS"</formula>
    </cfRule>
    <cfRule type="containsText" dxfId="20399" priority="106" operator="containsText" text="CMS">
      <formula>NOT(ISERROR(SEARCH("CMS",F57)))</formula>
    </cfRule>
    <cfRule type="cellIs" dxfId="20398" priority="107" operator="equal">
      <formula>0</formula>
    </cfRule>
    <cfRule type="cellIs" dxfId="20397" priority="108" operator="greaterThan">
      <formula>0</formula>
    </cfRule>
  </conditionalFormatting>
  <conditionalFormatting sqref="F57">
    <cfRule type="cellIs" dxfId="20396" priority="101" operator="equal">
      <formula>"PMS"</formula>
    </cfRule>
    <cfRule type="containsText" dxfId="20395" priority="102" operator="containsText" text="CMS">
      <formula>NOT(ISERROR(SEARCH("CMS",F57)))</formula>
    </cfRule>
    <cfRule type="cellIs" dxfId="20394" priority="103" operator="equal">
      <formula>0</formula>
    </cfRule>
    <cfRule type="cellIs" dxfId="20393" priority="104" operator="greaterThan">
      <formula>0</formula>
    </cfRule>
  </conditionalFormatting>
  <conditionalFormatting sqref="F58">
    <cfRule type="cellIs" dxfId="20392" priority="97" operator="equal">
      <formula>"PMS"</formula>
    </cfRule>
    <cfRule type="containsText" dxfId="20391" priority="98" operator="containsText" text="CMS">
      <formula>NOT(ISERROR(SEARCH("CMS",F58)))</formula>
    </cfRule>
    <cfRule type="cellIs" dxfId="20390" priority="99" operator="equal">
      <formula>0</formula>
    </cfRule>
    <cfRule type="cellIs" dxfId="20389" priority="100" operator="greaterThan">
      <formula>0</formula>
    </cfRule>
  </conditionalFormatting>
  <conditionalFormatting sqref="F58">
    <cfRule type="cellIs" dxfId="20388" priority="93" operator="equal">
      <formula>"PMS"</formula>
    </cfRule>
    <cfRule type="containsText" dxfId="20387" priority="94" operator="containsText" text="CMS">
      <formula>NOT(ISERROR(SEARCH("CMS",F58)))</formula>
    </cfRule>
    <cfRule type="cellIs" dxfId="20386" priority="95" operator="equal">
      <formula>0</formula>
    </cfRule>
    <cfRule type="cellIs" dxfId="20385" priority="96" operator="greaterThan">
      <formula>0</formula>
    </cfRule>
  </conditionalFormatting>
  <conditionalFormatting sqref="F58">
    <cfRule type="cellIs" dxfId="20384" priority="89" operator="equal">
      <formula>"PMS"</formula>
    </cfRule>
    <cfRule type="containsText" dxfId="20383" priority="90" operator="containsText" text="CMS">
      <formula>NOT(ISERROR(SEARCH("CMS",F58)))</formula>
    </cfRule>
    <cfRule type="cellIs" dxfId="20382" priority="91" operator="equal">
      <formula>0</formula>
    </cfRule>
    <cfRule type="cellIs" dxfId="20381" priority="92" operator="greaterThan">
      <formula>0</formula>
    </cfRule>
  </conditionalFormatting>
  <conditionalFormatting sqref="F58">
    <cfRule type="cellIs" dxfId="20380" priority="85" operator="equal">
      <formula>"PMS"</formula>
    </cfRule>
    <cfRule type="containsText" dxfId="20379" priority="86" operator="containsText" text="CMS">
      <formula>NOT(ISERROR(SEARCH("CMS",F58)))</formula>
    </cfRule>
    <cfRule type="cellIs" dxfId="20378" priority="87" operator="equal">
      <formula>0</formula>
    </cfRule>
    <cfRule type="cellIs" dxfId="20377" priority="88" operator="greaterThan">
      <formula>0</formula>
    </cfRule>
  </conditionalFormatting>
  <conditionalFormatting sqref="F61:F63">
    <cfRule type="cellIs" dxfId="20376" priority="77" operator="equal">
      <formula>"PMS"</formula>
    </cfRule>
    <cfRule type="containsText" dxfId="20375" priority="78" operator="containsText" text="CMS">
      <formula>NOT(ISERROR(SEARCH("CMS",F61)))</formula>
    </cfRule>
    <cfRule type="cellIs" dxfId="20374" priority="79" operator="equal">
      <formula>0</formula>
    </cfRule>
    <cfRule type="cellIs" dxfId="20373" priority="80" operator="greaterThan">
      <formula>0</formula>
    </cfRule>
    <cfRule type="cellIs" dxfId="20372" priority="81" operator="equal">
      <formula>"PMS"</formula>
    </cfRule>
    <cfRule type="containsText" dxfId="20371" priority="82" operator="containsText" text="CMS">
      <formula>NOT(ISERROR(SEARCH("CMS",F61)))</formula>
    </cfRule>
    <cfRule type="cellIs" dxfId="20370" priority="83" operator="equal">
      <formula>0</formula>
    </cfRule>
    <cfRule type="cellIs" dxfId="20369" priority="84" operator="greaterThan">
      <formula>0</formula>
    </cfRule>
  </conditionalFormatting>
  <conditionalFormatting sqref="F61:F63">
    <cfRule type="cellIs" dxfId="20368" priority="73" operator="equal">
      <formula>"PMS"</formula>
    </cfRule>
    <cfRule type="containsText" dxfId="20367" priority="74" operator="containsText" text="CMS">
      <formula>NOT(ISERROR(SEARCH("CMS",F61)))</formula>
    </cfRule>
    <cfRule type="cellIs" dxfId="20366" priority="75" operator="equal">
      <formula>0</formula>
    </cfRule>
    <cfRule type="cellIs" dxfId="20365" priority="76" operator="greaterThan">
      <formula>0</formula>
    </cfRule>
  </conditionalFormatting>
  <conditionalFormatting sqref="F66:F74">
    <cfRule type="cellIs" dxfId="20364" priority="65" operator="equal">
      <formula>"PMS"</formula>
    </cfRule>
    <cfRule type="containsText" dxfId="20363" priority="66" operator="containsText" text="CMS">
      <formula>NOT(ISERROR(SEARCH("CMS",F66)))</formula>
    </cfRule>
    <cfRule type="cellIs" dxfId="20362" priority="67" operator="equal">
      <formula>0</formula>
    </cfRule>
    <cfRule type="cellIs" dxfId="20361" priority="68" operator="greaterThan">
      <formula>0</formula>
    </cfRule>
    <cfRule type="cellIs" dxfId="20360" priority="69" operator="equal">
      <formula>"PMS"</formula>
    </cfRule>
    <cfRule type="containsText" dxfId="20359" priority="70" operator="containsText" text="CMS">
      <formula>NOT(ISERROR(SEARCH("CMS",F66)))</formula>
    </cfRule>
    <cfRule type="cellIs" dxfId="20358" priority="71" operator="equal">
      <formula>0</formula>
    </cfRule>
    <cfRule type="cellIs" dxfId="20357" priority="72" operator="greaterThan">
      <formula>0</formula>
    </cfRule>
  </conditionalFormatting>
  <conditionalFormatting sqref="F66:F74">
    <cfRule type="cellIs" dxfId="20356" priority="61" operator="equal">
      <formula>"PMS"</formula>
    </cfRule>
    <cfRule type="containsText" dxfId="20355" priority="62" operator="containsText" text="CMS">
      <formula>NOT(ISERROR(SEARCH("CMS",F66)))</formula>
    </cfRule>
    <cfRule type="cellIs" dxfId="20354" priority="63" operator="equal">
      <formula>0</formula>
    </cfRule>
    <cfRule type="cellIs" dxfId="20353" priority="64" operator="greaterThan">
      <formula>0</formula>
    </cfRule>
  </conditionalFormatting>
  <conditionalFormatting sqref="F66:F74">
    <cfRule type="cellIs" dxfId="20352" priority="57" operator="equal">
      <formula>"PMS"</formula>
    </cfRule>
    <cfRule type="containsText" dxfId="20351" priority="58" operator="containsText" text="CMS">
      <formula>NOT(ISERROR(SEARCH("CMS",F66)))</formula>
    </cfRule>
    <cfRule type="cellIs" dxfId="20350" priority="59" operator="equal">
      <formula>0</formula>
    </cfRule>
    <cfRule type="cellIs" dxfId="20349" priority="60" operator="greaterThan">
      <formula>0</formula>
    </cfRule>
  </conditionalFormatting>
  <conditionalFormatting sqref="F77:F78">
    <cfRule type="cellIs" dxfId="20348" priority="49" operator="equal">
      <formula>"PMS"</formula>
    </cfRule>
    <cfRule type="containsText" dxfId="20347" priority="50" operator="containsText" text="CMS">
      <formula>NOT(ISERROR(SEARCH("CMS",F77)))</formula>
    </cfRule>
    <cfRule type="cellIs" dxfId="20346" priority="51" operator="equal">
      <formula>0</formula>
    </cfRule>
    <cfRule type="cellIs" dxfId="20345" priority="52" operator="greaterThan">
      <formula>0</formula>
    </cfRule>
    <cfRule type="cellIs" dxfId="20344" priority="53" operator="equal">
      <formula>"PMS"</formula>
    </cfRule>
    <cfRule type="containsText" dxfId="20343" priority="54" operator="containsText" text="CMS">
      <formula>NOT(ISERROR(SEARCH("CMS",F77)))</formula>
    </cfRule>
    <cfRule type="cellIs" dxfId="20342" priority="55" operator="equal">
      <formula>0</formula>
    </cfRule>
    <cfRule type="cellIs" dxfId="20341" priority="56" operator="greaterThan">
      <formula>0</formula>
    </cfRule>
  </conditionalFormatting>
  <conditionalFormatting sqref="F77:F78">
    <cfRule type="cellIs" dxfId="20340" priority="45" operator="equal">
      <formula>"PMS"</formula>
    </cfRule>
    <cfRule type="containsText" dxfId="20339" priority="46" operator="containsText" text="CMS">
      <formula>NOT(ISERROR(SEARCH("CMS",F77)))</formula>
    </cfRule>
    <cfRule type="cellIs" dxfId="20338" priority="47" operator="equal">
      <formula>0</formula>
    </cfRule>
    <cfRule type="cellIs" dxfId="20337" priority="48" operator="greaterThan">
      <formula>0</formula>
    </cfRule>
  </conditionalFormatting>
  <conditionalFormatting sqref="L62">
    <cfRule type="cellIs" dxfId="20336" priority="37" operator="equal">
      <formula>"PMS"</formula>
    </cfRule>
    <cfRule type="containsText" dxfId="20335" priority="38" operator="containsText" text="CMS">
      <formula>NOT(ISERROR(SEARCH("CMS",L62)))</formula>
    </cfRule>
    <cfRule type="cellIs" dxfId="20334" priority="39" operator="equal">
      <formula>0</formula>
    </cfRule>
    <cfRule type="cellIs" dxfId="20333" priority="40" operator="greaterThan">
      <formula>0</formula>
    </cfRule>
    <cfRule type="cellIs" dxfId="20332" priority="41" operator="equal">
      <formula>"PMS"</formula>
    </cfRule>
    <cfRule type="containsText" dxfId="20331" priority="42" operator="containsText" text="CMS">
      <formula>NOT(ISERROR(SEARCH("CMS",L62)))</formula>
    </cfRule>
    <cfRule type="cellIs" dxfId="20330" priority="43" operator="equal">
      <formula>0</formula>
    </cfRule>
    <cfRule type="cellIs" dxfId="20329" priority="44" operator="greaterThan">
      <formula>0</formula>
    </cfRule>
  </conditionalFormatting>
  <conditionalFormatting sqref="L62">
    <cfRule type="cellIs" dxfId="20328" priority="33" operator="equal">
      <formula>"PMS"</formula>
    </cfRule>
    <cfRule type="containsText" dxfId="20327" priority="34" operator="containsText" text="CMS">
      <formula>NOT(ISERROR(SEARCH("CMS",L62)))</formula>
    </cfRule>
    <cfRule type="cellIs" dxfId="20326" priority="35" operator="equal">
      <formula>0</formula>
    </cfRule>
    <cfRule type="cellIs" dxfId="20325" priority="36" operator="greaterThan">
      <formula>0</formula>
    </cfRule>
  </conditionalFormatting>
  <conditionalFormatting sqref="M62">
    <cfRule type="cellIs" dxfId="20324" priority="13" operator="equal">
      <formula>"PMS"</formula>
    </cfRule>
    <cfRule type="containsText" dxfId="20323" priority="14" operator="containsText" text="CMS">
      <formula>NOT(ISERROR(SEARCH("CMS",M62)))</formula>
    </cfRule>
    <cfRule type="cellIs" dxfId="20322" priority="15" operator="equal">
      <formula>0</formula>
    </cfRule>
    <cfRule type="cellIs" dxfId="20321" priority="16" operator="greaterThan">
      <formula>0</formula>
    </cfRule>
    <cfRule type="cellIs" dxfId="20320" priority="17" operator="equal">
      <formula>"PMS"</formula>
    </cfRule>
    <cfRule type="containsText" dxfId="20319" priority="18" operator="containsText" text="CMS">
      <formula>NOT(ISERROR(SEARCH("CMS",M62)))</formula>
    </cfRule>
    <cfRule type="cellIs" dxfId="20318" priority="19" operator="equal">
      <formula>0</formula>
    </cfRule>
    <cfRule type="cellIs" dxfId="20317" priority="20" operator="greaterThan">
      <formula>0</formula>
    </cfRule>
  </conditionalFormatting>
  <conditionalFormatting sqref="M62">
    <cfRule type="cellIs" dxfId="20316" priority="9" operator="equal">
      <formula>"PMS"</formula>
    </cfRule>
    <cfRule type="containsText" dxfId="20315" priority="10" operator="containsText" text="CMS">
      <formula>NOT(ISERROR(SEARCH("CMS",M62)))</formula>
    </cfRule>
    <cfRule type="cellIs" dxfId="20314" priority="11" operator="equal">
      <formula>0</formula>
    </cfRule>
    <cfRule type="cellIs" dxfId="20313" priority="12" operator="greaterThan">
      <formula>0</formula>
    </cfRule>
  </conditionalFormatting>
  <conditionalFormatting sqref="Z13:Z16">
    <cfRule type="cellIs" dxfId="20312" priority="5" operator="equal">
      <formula>"PMS"</formula>
    </cfRule>
    <cfRule type="containsText" dxfId="20311" priority="6" operator="containsText" text="CMS">
      <formula>NOT(ISERROR(SEARCH("CMS",Z13)))</formula>
    </cfRule>
    <cfRule type="cellIs" dxfId="20310" priority="7" operator="equal">
      <formula>0</formula>
    </cfRule>
    <cfRule type="cellIs" dxfId="20309" priority="8" operator="greaterThan">
      <formula>0</formula>
    </cfRule>
  </conditionalFormatting>
  <conditionalFormatting sqref="Z13:Z16">
    <cfRule type="cellIs" dxfId="20308" priority="1" operator="equal">
      <formula>"PMS"</formula>
    </cfRule>
    <cfRule type="containsText" dxfId="20307" priority="2" operator="containsText" text="CMS">
      <formula>NOT(ISERROR(SEARCH("CMS",Z13)))</formula>
    </cfRule>
    <cfRule type="cellIs" dxfId="20306" priority="3" operator="equal">
      <formula>0</formula>
    </cfRule>
    <cfRule type="cellIs" dxfId="2030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C730E-72E0-4D08-8439-B34AF558D31B}">
  <sheetPr codeName="Sheet112"/>
  <dimension ref="A2:DT137"/>
  <sheetViews>
    <sheetView zoomScale="70" zoomScaleNormal="70" zoomScaleSheetLayoutView="51" zoomScalePageLayoutView="55" workbookViewId="0">
      <pane xSplit="5" ySplit="11" topLeftCell="F62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J82" sqref="J8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14,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543.69999999999993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6.8</v>
      </c>
      <c r="G13" s="71">
        <v>6.6</v>
      </c>
      <c r="H13" s="71">
        <v>6.7</v>
      </c>
      <c r="I13" s="71">
        <v>6.6</v>
      </c>
      <c r="J13" s="71">
        <v>6.5</v>
      </c>
      <c r="K13" s="71">
        <v>6.7</v>
      </c>
      <c r="L13" s="71">
        <v>6.8</v>
      </c>
      <c r="M13" s="71">
        <v>6.4</v>
      </c>
      <c r="N13" s="71">
        <v>6.6</v>
      </c>
      <c r="O13" s="219">
        <v>6.7</v>
      </c>
      <c r="P13" s="219">
        <v>6.7</v>
      </c>
      <c r="Q13" s="71">
        <v>6.7</v>
      </c>
      <c r="R13" s="71">
        <v>6.4</v>
      </c>
      <c r="S13" s="71">
        <v>6.6</v>
      </c>
      <c r="T13" s="71">
        <v>6.7</v>
      </c>
      <c r="U13" s="71">
        <v>6.6</v>
      </c>
      <c r="V13" s="71">
        <v>6.6</v>
      </c>
      <c r="W13" s="71">
        <v>6.2</v>
      </c>
      <c r="X13" s="71">
        <v>6.6</v>
      </c>
      <c r="Y13" s="71">
        <v>6.4</v>
      </c>
      <c r="Z13" s="71">
        <v>6.4</v>
      </c>
      <c r="AA13" s="71">
        <v>6.3</v>
      </c>
      <c r="AB13" s="71">
        <v>6.2</v>
      </c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 t="s">
        <v>9</v>
      </c>
      <c r="O14" s="219">
        <v>6.7</v>
      </c>
      <c r="P14" s="219">
        <v>6.7</v>
      </c>
      <c r="Q14" s="71">
        <v>6.7</v>
      </c>
      <c r="R14" s="71">
        <v>6.4</v>
      </c>
      <c r="S14" s="71">
        <v>6.6</v>
      </c>
      <c r="T14" s="71">
        <v>6.7</v>
      </c>
      <c r="U14" s="71">
        <v>6.6</v>
      </c>
      <c r="V14" s="71">
        <v>6.6</v>
      </c>
      <c r="W14" s="71">
        <v>6.2</v>
      </c>
      <c r="X14" s="71">
        <v>6.5</v>
      </c>
      <c r="Y14" s="71">
        <v>6.4</v>
      </c>
      <c r="Z14" s="71">
        <v>6.4</v>
      </c>
      <c r="AA14" s="71">
        <v>6.3</v>
      </c>
      <c r="AB14" s="71">
        <v>6.2</v>
      </c>
      <c r="AC14" s="71">
        <v>6.3</v>
      </c>
      <c r="AD14" s="41"/>
      <c r="AE14" s="41"/>
      <c r="AF14" s="11">
        <f>COUNTIF(F14:AC14,$AJ$8)</f>
        <v>9</v>
      </c>
      <c r="AG14" s="11">
        <f>COUNTIF(F14:AD14,$AJ$7)</f>
        <v>0</v>
      </c>
      <c r="AH14" s="11">
        <f>COUNT(F14:AC14)</f>
        <v>15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6.8</v>
      </c>
      <c r="G15" s="71">
        <v>6.6</v>
      </c>
      <c r="H15" s="71">
        <v>6.7</v>
      </c>
      <c r="I15" s="71">
        <v>6.6</v>
      </c>
      <c r="J15" s="71">
        <v>6.5</v>
      </c>
      <c r="K15" s="71">
        <v>6.7</v>
      </c>
      <c r="L15" s="71">
        <v>6.8</v>
      </c>
      <c r="M15" s="71">
        <v>6.4</v>
      </c>
      <c r="N15" s="71">
        <v>6.7</v>
      </c>
      <c r="O15" s="219">
        <v>6.7</v>
      </c>
      <c r="P15" s="219">
        <v>6.7</v>
      </c>
      <c r="Q15" s="71">
        <v>6.7</v>
      </c>
      <c r="R15" s="71">
        <v>6.5</v>
      </c>
      <c r="S15" s="71">
        <v>6.6</v>
      </c>
      <c r="T15" s="71">
        <v>6.7</v>
      </c>
      <c r="U15" s="71">
        <v>6.6</v>
      </c>
      <c r="V15" s="71">
        <v>6.6</v>
      </c>
      <c r="W15" s="71">
        <v>6.2</v>
      </c>
      <c r="X15" s="71">
        <v>6.5</v>
      </c>
      <c r="Y15" s="71">
        <v>6.4</v>
      </c>
      <c r="Z15" s="71">
        <v>6.4</v>
      </c>
      <c r="AA15" s="71">
        <v>6.3</v>
      </c>
      <c r="AB15" s="71">
        <v>6.2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6.8</v>
      </c>
      <c r="G16" s="71">
        <v>6.6</v>
      </c>
      <c r="H16" s="71">
        <v>6.7</v>
      </c>
      <c r="I16" s="71">
        <v>6.6</v>
      </c>
      <c r="J16" s="71">
        <v>6.5</v>
      </c>
      <c r="K16" s="71">
        <v>6.7</v>
      </c>
      <c r="L16" s="71">
        <v>6.8</v>
      </c>
      <c r="M16" s="71">
        <v>6.4</v>
      </c>
      <c r="N16" s="71">
        <v>6.7</v>
      </c>
      <c r="O16" s="71">
        <v>6.7</v>
      </c>
      <c r="P16" s="219">
        <v>6.7</v>
      </c>
      <c r="Q16" s="71">
        <v>6.7</v>
      </c>
      <c r="R16" s="71">
        <v>6.5</v>
      </c>
      <c r="S16" s="71">
        <v>6.6</v>
      </c>
      <c r="T16" s="71">
        <v>6.7</v>
      </c>
      <c r="U16" s="71">
        <v>6.6</v>
      </c>
      <c r="V16" s="71">
        <v>6.5</v>
      </c>
      <c r="W16" s="71">
        <v>6.2</v>
      </c>
      <c r="X16" s="71">
        <v>6.5</v>
      </c>
      <c r="Y16" s="71">
        <v>6.5</v>
      </c>
      <c r="Z16" s="71">
        <v>6.4</v>
      </c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20.399999999999999</v>
      </c>
      <c r="G17" s="19">
        <f t="shared" ref="G17:AC17" si="1">SUM(G13:G16)</f>
        <v>19.799999999999997</v>
      </c>
      <c r="H17" s="19">
        <f t="shared" si="1"/>
        <v>20.100000000000001</v>
      </c>
      <c r="I17" s="19">
        <f t="shared" si="1"/>
        <v>19.799999999999997</v>
      </c>
      <c r="J17" s="19">
        <f t="shared" si="1"/>
        <v>19.5</v>
      </c>
      <c r="K17" s="19">
        <f t="shared" si="1"/>
        <v>20.100000000000001</v>
      </c>
      <c r="L17" s="19">
        <f t="shared" si="1"/>
        <v>20.399999999999999</v>
      </c>
      <c r="M17" s="19">
        <f t="shared" si="1"/>
        <v>19.200000000000003</v>
      </c>
      <c r="N17" s="19">
        <f t="shared" si="1"/>
        <v>20</v>
      </c>
      <c r="O17" s="19">
        <f t="shared" si="1"/>
        <v>26.8</v>
      </c>
      <c r="P17" s="19">
        <f t="shared" si="1"/>
        <v>26.8</v>
      </c>
      <c r="Q17" s="19">
        <f t="shared" si="1"/>
        <v>26.8</v>
      </c>
      <c r="R17" s="19">
        <f t="shared" si="1"/>
        <v>25.8</v>
      </c>
      <c r="S17" s="19">
        <f t="shared" si="1"/>
        <v>26.4</v>
      </c>
      <c r="T17" s="19">
        <f t="shared" si="1"/>
        <v>26.8</v>
      </c>
      <c r="U17" s="19">
        <f t="shared" si="1"/>
        <v>26.4</v>
      </c>
      <c r="V17" s="19">
        <f t="shared" si="1"/>
        <v>26.299999999999997</v>
      </c>
      <c r="W17" s="19">
        <f t="shared" si="1"/>
        <v>24.8</v>
      </c>
      <c r="X17" s="19">
        <f t="shared" si="1"/>
        <v>26.1</v>
      </c>
      <c r="Y17" s="19">
        <f t="shared" si="1"/>
        <v>25.700000000000003</v>
      </c>
      <c r="Z17" s="19">
        <f t="shared" si="1"/>
        <v>25.6</v>
      </c>
      <c r="AA17" s="19">
        <f t="shared" si="1"/>
        <v>18.899999999999999</v>
      </c>
      <c r="AB17" s="19">
        <f t="shared" si="1"/>
        <v>18.600000000000001</v>
      </c>
      <c r="AC17" s="19">
        <f t="shared" si="1"/>
        <v>12.6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78.899999999999963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3.3</v>
      </c>
      <c r="G22" s="19">
        <f t="shared" ref="G22:AC22" si="3">SUM(G19:G21)</f>
        <v>3.3</v>
      </c>
      <c r="H22" s="19">
        <f t="shared" si="3"/>
        <v>3.3</v>
      </c>
      <c r="I22" s="19">
        <f t="shared" si="3"/>
        <v>3.3</v>
      </c>
      <c r="J22" s="19">
        <f t="shared" si="3"/>
        <v>3.3</v>
      </c>
      <c r="K22" s="19">
        <f t="shared" si="3"/>
        <v>3.3</v>
      </c>
      <c r="L22" s="19">
        <f t="shared" si="3"/>
        <v>3.3</v>
      </c>
      <c r="M22" s="19">
        <f t="shared" si="3"/>
        <v>3.3</v>
      </c>
      <c r="N22" s="19">
        <f t="shared" si="3"/>
        <v>3.3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 t="shared" ref="T22" si="4"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</v>
      </c>
      <c r="X22" s="19">
        <f t="shared" si="3"/>
        <v>3.3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43.999999999999993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>
        <v>3</v>
      </c>
      <c r="R24" s="71" t="s">
        <v>9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</v>
      </c>
      <c r="AD24" s="41"/>
      <c r="AE24" s="41"/>
      <c r="AF24" s="11">
        <f>COUNTIF(F24:AC24,$AJ$8)</f>
        <v>12</v>
      </c>
      <c r="AG24" s="11">
        <f>COUNTIF(G24:AD24,$AJ$7)</f>
        <v>0</v>
      </c>
      <c r="AH24" s="11">
        <f>COUNT(F24:AC24)</f>
        <v>12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3</v>
      </c>
      <c r="R25" s="19">
        <f t="shared" si="6"/>
        <v>0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163.39999999999992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4.2</v>
      </c>
      <c r="G27" s="71">
        <v>3.8</v>
      </c>
      <c r="H27" s="71">
        <v>3.1</v>
      </c>
      <c r="I27" s="71">
        <v>3.1</v>
      </c>
      <c r="J27" s="71">
        <v>2.9</v>
      </c>
      <c r="K27" s="71">
        <v>3</v>
      </c>
      <c r="L27" s="71">
        <v>4</v>
      </c>
      <c r="M27" s="71">
        <v>4</v>
      </c>
      <c r="N27" s="71">
        <v>4.0999999999999996</v>
      </c>
      <c r="O27" s="71">
        <v>4.0999999999999996</v>
      </c>
      <c r="P27" s="71">
        <v>3.8</v>
      </c>
      <c r="Q27" s="71">
        <v>3.7</v>
      </c>
      <c r="R27" s="71">
        <v>3.6</v>
      </c>
      <c r="S27" s="71">
        <v>3.7</v>
      </c>
      <c r="T27" s="71">
        <v>3.7</v>
      </c>
      <c r="U27" s="71">
        <v>3.7</v>
      </c>
      <c r="V27" s="71">
        <v>3.7</v>
      </c>
      <c r="W27" s="71">
        <v>3</v>
      </c>
      <c r="X27" s="71">
        <v>2.6</v>
      </c>
      <c r="Y27" s="71">
        <v>3</v>
      </c>
      <c r="Z27" s="71">
        <v>3</v>
      </c>
      <c r="AA27" s="71">
        <v>2.5</v>
      </c>
      <c r="AB27" s="71">
        <v>2.2000000000000002</v>
      </c>
      <c r="AC27" s="71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4.2</v>
      </c>
      <c r="G28" s="71">
        <v>3.8</v>
      </c>
      <c r="H28" s="71">
        <v>3.1</v>
      </c>
      <c r="I28" s="71">
        <v>3.1</v>
      </c>
      <c r="J28" s="71">
        <v>2.9</v>
      </c>
      <c r="K28" s="71">
        <v>3</v>
      </c>
      <c r="L28" s="71">
        <v>4</v>
      </c>
      <c r="M28" s="71">
        <v>4</v>
      </c>
      <c r="N28" s="71">
        <v>4.0999999999999996</v>
      </c>
      <c r="O28" s="219">
        <v>4.0999999999999996</v>
      </c>
      <c r="P28" s="71">
        <v>3.8</v>
      </c>
      <c r="Q28" s="71">
        <v>3.7</v>
      </c>
      <c r="R28" s="71">
        <v>3.6</v>
      </c>
      <c r="S28" s="71">
        <v>3.7</v>
      </c>
      <c r="T28" s="71">
        <v>3.7</v>
      </c>
      <c r="U28" s="71">
        <v>3.7</v>
      </c>
      <c r="V28" s="71">
        <v>3.7</v>
      </c>
      <c r="W28" s="71">
        <v>3</v>
      </c>
      <c r="X28" s="71">
        <v>2.6</v>
      </c>
      <c r="Y28" s="71">
        <v>3</v>
      </c>
      <c r="Z28" s="71">
        <v>3</v>
      </c>
      <c r="AA28" s="71">
        <v>2.5</v>
      </c>
      <c r="AB28" s="71">
        <v>2.2000000000000002</v>
      </c>
      <c r="AC28" s="71">
        <v>3.2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2.2999999999999998</v>
      </c>
      <c r="X29" s="379">
        <v>2.2999999999999998</v>
      </c>
      <c r="Y29" s="379"/>
      <c r="Z29" s="379"/>
      <c r="AA29" s="379">
        <v>2</v>
      </c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8.4</v>
      </c>
      <c r="G30" s="19">
        <f t="shared" ref="G30:AC30" si="8">SUM(G27:G29)</f>
        <v>7.6</v>
      </c>
      <c r="H30" s="19">
        <f t="shared" si="8"/>
        <v>6.2</v>
      </c>
      <c r="I30" s="19">
        <f t="shared" si="8"/>
        <v>6.2</v>
      </c>
      <c r="J30" s="19">
        <f t="shared" si="8"/>
        <v>5.8</v>
      </c>
      <c r="K30" s="19">
        <f t="shared" si="8"/>
        <v>6</v>
      </c>
      <c r="L30" s="19">
        <f t="shared" si="8"/>
        <v>8</v>
      </c>
      <c r="M30" s="19">
        <f t="shared" si="8"/>
        <v>8</v>
      </c>
      <c r="N30" s="19">
        <f t="shared" si="8"/>
        <v>8.1999999999999993</v>
      </c>
      <c r="O30" s="19">
        <f t="shared" si="8"/>
        <v>8.1999999999999993</v>
      </c>
      <c r="P30" s="19">
        <f t="shared" si="8"/>
        <v>7.6</v>
      </c>
      <c r="Q30" s="19">
        <f t="shared" si="8"/>
        <v>7.4</v>
      </c>
      <c r="R30" s="19">
        <f t="shared" si="8"/>
        <v>7.2</v>
      </c>
      <c r="S30" s="19">
        <f t="shared" si="8"/>
        <v>7.4</v>
      </c>
      <c r="T30" s="19">
        <f t="shared" si="8"/>
        <v>7.4</v>
      </c>
      <c r="U30" s="19">
        <f t="shared" si="8"/>
        <v>7.4</v>
      </c>
      <c r="V30" s="19">
        <f t="shared" si="8"/>
        <v>7.4</v>
      </c>
      <c r="W30" s="19">
        <f t="shared" si="8"/>
        <v>8.3000000000000007</v>
      </c>
      <c r="X30" s="19">
        <f t="shared" si="8"/>
        <v>7.5</v>
      </c>
      <c r="Y30" s="19">
        <f t="shared" si="8"/>
        <v>6</v>
      </c>
      <c r="Z30" s="19">
        <f t="shared" si="8"/>
        <v>6</v>
      </c>
      <c r="AA30" s="19">
        <f t="shared" si="8"/>
        <v>7</v>
      </c>
      <c r="AB30" s="19">
        <f t="shared" si="8"/>
        <v>4.4000000000000004</v>
      </c>
      <c r="AC30" s="19">
        <f t="shared" si="8"/>
        <v>6.4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86.759999999999991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>
        <v>3.5</v>
      </c>
      <c r="S32" s="71">
        <v>4</v>
      </c>
      <c r="T32" s="71">
        <v>3.79</v>
      </c>
      <c r="U32" s="71">
        <v>6.92</v>
      </c>
      <c r="V32" s="71">
        <v>8.6999999999999993</v>
      </c>
      <c r="W32" s="71">
        <v>8.66</v>
      </c>
      <c r="X32" s="71">
        <v>6</v>
      </c>
      <c r="Y32" s="71">
        <v>8.6999999999999993</v>
      </c>
      <c r="Z32" s="71">
        <v>6.3</v>
      </c>
      <c r="AA32" s="71">
        <v>10.74</v>
      </c>
      <c r="AB32" s="71">
        <v>8.8000000000000007</v>
      </c>
      <c r="AC32" s="71">
        <v>10.65</v>
      </c>
      <c r="AD32" s="41"/>
      <c r="AE32" s="41"/>
      <c r="AF32" s="11">
        <f>COUNTIF(F32:AC32,$AF$11)</f>
        <v>0</v>
      </c>
      <c r="AG32" s="11">
        <f>COUNTIF(G32:AC32,$AG$11)</f>
        <v>11</v>
      </c>
      <c r="AH32" s="11">
        <f>COUNT(F32:AC32)</f>
        <v>12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0</v>
      </c>
      <c r="G33" s="19">
        <f t="shared" ref="G33:AC33" si="10">SUM(G32)</f>
        <v>0</v>
      </c>
      <c r="H33" s="19">
        <f t="shared" si="10"/>
        <v>0</v>
      </c>
      <c r="I33" s="19">
        <f t="shared" si="10"/>
        <v>0</v>
      </c>
      <c r="J33" s="19">
        <f t="shared" si="10"/>
        <v>0</v>
      </c>
      <c r="K33" s="19">
        <f t="shared" si="10"/>
        <v>0</v>
      </c>
      <c r="L33" s="19">
        <f t="shared" si="10"/>
        <v>0</v>
      </c>
      <c r="M33" s="19">
        <f t="shared" si="10"/>
        <v>0</v>
      </c>
      <c r="N33" s="19">
        <f t="shared" si="10"/>
        <v>0</v>
      </c>
      <c r="O33" s="19">
        <f t="shared" si="10"/>
        <v>0</v>
      </c>
      <c r="P33" s="19">
        <f t="shared" si="10"/>
        <v>0</v>
      </c>
      <c r="Q33" s="19">
        <f t="shared" si="10"/>
        <v>0</v>
      </c>
      <c r="R33" s="19">
        <f t="shared" si="10"/>
        <v>3.5</v>
      </c>
      <c r="S33" s="19">
        <f t="shared" si="10"/>
        <v>4</v>
      </c>
      <c r="T33" s="19">
        <f t="shared" si="10"/>
        <v>3.79</v>
      </c>
      <c r="U33" s="19">
        <f t="shared" si="10"/>
        <v>6.92</v>
      </c>
      <c r="V33" s="19">
        <f t="shared" si="10"/>
        <v>8.6999999999999993</v>
      </c>
      <c r="W33" s="19">
        <f t="shared" si="10"/>
        <v>8.66</v>
      </c>
      <c r="X33" s="19">
        <f t="shared" si="10"/>
        <v>6</v>
      </c>
      <c r="Y33" s="19">
        <f t="shared" si="10"/>
        <v>8.6999999999999993</v>
      </c>
      <c r="Z33" s="19">
        <f t="shared" si="10"/>
        <v>6.3</v>
      </c>
      <c r="AA33" s="19">
        <f t="shared" si="10"/>
        <v>10.74</v>
      </c>
      <c r="AB33" s="19">
        <f t="shared" si="10"/>
        <v>8.8000000000000007</v>
      </c>
      <c r="AC33" s="19">
        <f t="shared" si="10"/>
        <v>10.65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60.579999999999892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v>0.9</v>
      </c>
      <c r="M40" s="71">
        <v>1</v>
      </c>
      <c r="N40" s="71">
        <v>1</v>
      </c>
      <c r="O40" s="71">
        <v>1</v>
      </c>
      <c r="P40" s="71">
        <v>1</v>
      </c>
      <c r="Q40" s="71">
        <v>1</v>
      </c>
      <c r="R40" s="71">
        <v>1</v>
      </c>
      <c r="S40" s="71">
        <v>0.9</v>
      </c>
      <c r="T40" s="71">
        <v>0.9</v>
      </c>
      <c r="U40" s="71">
        <v>0.9</v>
      </c>
      <c r="V40" s="71">
        <v>0</v>
      </c>
      <c r="W40" s="71">
        <v>0</v>
      </c>
      <c r="X40" s="71">
        <v>0</v>
      </c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13</v>
      </c>
    </row>
    <row r="41" spans="1:35" x14ac:dyDescent="0.25">
      <c r="A41" s="70">
        <v>37</v>
      </c>
      <c r="B41" s="15"/>
      <c r="C41" s="15"/>
      <c r="D41" s="15"/>
      <c r="E41" s="15"/>
      <c r="F41" s="71" t="s">
        <v>7</v>
      </c>
      <c r="G41" s="71" t="s">
        <v>7</v>
      </c>
      <c r="H41" s="71" t="s">
        <v>7</v>
      </c>
      <c r="I41" s="71" t="s">
        <v>7</v>
      </c>
      <c r="J41" s="71" t="s">
        <v>7</v>
      </c>
      <c r="K41" s="71" t="s">
        <v>7</v>
      </c>
      <c r="L41" s="71" t="s">
        <v>7</v>
      </c>
      <c r="M41" s="71">
        <v>1</v>
      </c>
      <c r="N41" s="71">
        <v>1</v>
      </c>
      <c r="O41" s="71">
        <v>0.9</v>
      </c>
      <c r="P41" s="71">
        <v>1</v>
      </c>
      <c r="Q41" s="71">
        <v>1</v>
      </c>
      <c r="R41" s="71">
        <v>0.9</v>
      </c>
      <c r="S41" s="71">
        <v>0.9</v>
      </c>
      <c r="T41" s="71">
        <v>0.9</v>
      </c>
      <c r="U41" s="71">
        <v>0.9</v>
      </c>
      <c r="V41" s="71">
        <f>1.9/2</f>
        <v>0.95</v>
      </c>
      <c r="W41" s="71">
        <v>0</v>
      </c>
      <c r="X41" s="71">
        <v>0</v>
      </c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6</v>
      </c>
      <c r="AH41" s="11">
        <f t="shared" si="13"/>
        <v>12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>
        <v>0.95</v>
      </c>
      <c r="G43" s="71"/>
      <c r="H43" s="71"/>
      <c r="I43" s="71"/>
      <c r="J43" s="71"/>
      <c r="K43" s="71"/>
      <c r="L43" s="71"/>
      <c r="M43" s="71">
        <v>0.9</v>
      </c>
      <c r="N43" s="71">
        <v>0.9</v>
      </c>
      <c r="O43" s="71">
        <v>0.9</v>
      </c>
      <c r="P43" s="71">
        <v>1</v>
      </c>
      <c r="Q43" s="71">
        <v>0.9</v>
      </c>
      <c r="R43" s="71">
        <v>0.9</v>
      </c>
      <c r="S43" s="71">
        <v>0.9</v>
      </c>
      <c r="T43" s="71">
        <v>0.9</v>
      </c>
      <c r="U43" s="71">
        <v>0.9</v>
      </c>
      <c r="V43" s="71">
        <f>1.9/2</f>
        <v>0.95</v>
      </c>
      <c r="W43" s="71">
        <v>0</v>
      </c>
      <c r="X43" s="71">
        <v>0</v>
      </c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13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0.8</v>
      </c>
      <c r="R44" s="71">
        <v>0.8</v>
      </c>
      <c r="S44" s="71"/>
      <c r="T44" s="71"/>
      <c r="U44" s="71"/>
      <c r="V44" s="71">
        <v>0</v>
      </c>
      <c r="W44" s="71">
        <v>0</v>
      </c>
      <c r="X44" s="71">
        <v>0</v>
      </c>
      <c r="Y44" s="71"/>
      <c r="Z44" s="71"/>
      <c r="AA44" s="71"/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5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11"/>
        <v>24</v>
      </c>
      <c r="AG45" s="11">
        <f t="shared" si="12"/>
        <v>0</v>
      </c>
      <c r="AH45" s="11">
        <f t="shared" si="13"/>
        <v>0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>
        <v>0.8</v>
      </c>
      <c r="P46" s="71">
        <v>0.9</v>
      </c>
      <c r="Q46" s="71"/>
      <c r="R46" s="71">
        <v>0.8</v>
      </c>
      <c r="S46" s="71">
        <v>0.8</v>
      </c>
      <c r="T46" s="71">
        <v>0.8</v>
      </c>
      <c r="U46" s="71">
        <v>0</v>
      </c>
      <c r="V46" s="71">
        <v>0</v>
      </c>
      <c r="W46" s="71">
        <v>0</v>
      </c>
      <c r="X46" s="71">
        <v>0</v>
      </c>
      <c r="Y46" s="71"/>
      <c r="Z46" s="71"/>
      <c r="AA46" s="71">
        <v>0.8</v>
      </c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10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>
        <v>0.9</v>
      </c>
      <c r="Q47" s="71">
        <v>0.8</v>
      </c>
      <c r="R47" s="71"/>
      <c r="S47" s="71"/>
      <c r="T47" s="71">
        <v>0.8</v>
      </c>
      <c r="U47" s="71">
        <v>0</v>
      </c>
      <c r="V47" s="71">
        <v>0</v>
      </c>
      <c r="W47" s="71">
        <v>0</v>
      </c>
      <c r="X47" s="71">
        <v>0</v>
      </c>
      <c r="Y47" s="71"/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7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>
        <v>0.8</v>
      </c>
      <c r="P48" s="71">
        <v>0.8</v>
      </c>
      <c r="Q48" s="71"/>
      <c r="R48" s="71">
        <v>0.8</v>
      </c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3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>
        <v>0.8</v>
      </c>
      <c r="Q49" s="71">
        <v>0.8</v>
      </c>
      <c r="R49" s="71"/>
      <c r="S49" s="71">
        <v>0.8</v>
      </c>
      <c r="T49" s="71">
        <v>0.8</v>
      </c>
      <c r="U49" s="71">
        <v>0</v>
      </c>
      <c r="V49" s="71">
        <v>0</v>
      </c>
      <c r="W49" s="71">
        <v>0</v>
      </c>
      <c r="X49" s="71">
        <v>0</v>
      </c>
      <c r="Y49" s="71"/>
      <c r="Z49" s="71"/>
      <c r="AA49" s="71"/>
      <c r="AB49" s="71"/>
      <c r="AC49" s="71" t="s">
        <v>9</v>
      </c>
      <c r="AD49" s="41"/>
      <c r="AE49" s="41"/>
      <c r="AF49" s="11">
        <f t="shared" si="11"/>
        <v>11</v>
      </c>
      <c r="AG49" s="11">
        <f t="shared" si="12"/>
        <v>0</v>
      </c>
      <c r="AH49" s="11">
        <f t="shared" si="13"/>
        <v>8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>
        <v>0.8</v>
      </c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1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/>
      <c r="P53" s="71">
        <v>0.8</v>
      </c>
      <c r="Q53" s="71">
        <v>0.8</v>
      </c>
      <c r="R53" s="71"/>
      <c r="S53" s="71"/>
      <c r="T53" s="71"/>
      <c r="U53" s="71">
        <v>0</v>
      </c>
      <c r="V53" s="71">
        <v>0</v>
      </c>
      <c r="W53" s="71">
        <v>0</v>
      </c>
      <c r="X53" s="71">
        <v>0</v>
      </c>
      <c r="Y53" s="71"/>
      <c r="Z53" s="71"/>
      <c r="AA53" s="71"/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7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>
        <v>0.8</v>
      </c>
      <c r="Q54" s="71">
        <v>0.8</v>
      </c>
      <c r="R54" s="71"/>
      <c r="S54" s="71"/>
      <c r="T54" s="71"/>
      <c r="U54" s="71">
        <v>0.83</v>
      </c>
      <c r="V54" s="71">
        <v>0</v>
      </c>
      <c r="W54" s="71">
        <v>0</v>
      </c>
      <c r="X54" s="71">
        <v>0</v>
      </c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6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v>0.8</v>
      </c>
      <c r="R55" s="71"/>
      <c r="S55" s="71">
        <v>0.8</v>
      </c>
      <c r="T55" s="71">
        <v>0.8</v>
      </c>
      <c r="U55" s="71">
        <v>0</v>
      </c>
      <c r="V55" s="71">
        <v>0</v>
      </c>
      <c r="W55" s="71">
        <v>0</v>
      </c>
      <c r="X55" s="71">
        <v>0</v>
      </c>
      <c r="Y55" s="71"/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8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v>0.8</v>
      </c>
      <c r="P56" s="71">
        <v>0.8</v>
      </c>
      <c r="Q56" s="71"/>
      <c r="R56" s="71">
        <v>0.8</v>
      </c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3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219">
        <v>0.8</v>
      </c>
      <c r="Q57" s="71">
        <v>0.8</v>
      </c>
      <c r="R57" s="71">
        <v>0.8</v>
      </c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3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>
        <v>0.8</v>
      </c>
      <c r="O58" s="71"/>
      <c r="P58" s="71">
        <v>0.8</v>
      </c>
      <c r="Q58" s="71">
        <v>0.8</v>
      </c>
      <c r="R58" s="71">
        <v>0.8</v>
      </c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4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0.95</v>
      </c>
      <c r="G59" s="19">
        <f t="shared" ref="G59:AC59" si="15">SUM(G35:G58)</f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0.9</v>
      </c>
      <c r="M59" s="19">
        <f t="shared" si="15"/>
        <v>2.9</v>
      </c>
      <c r="N59" s="19">
        <f t="shared" si="15"/>
        <v>4.5</v>
      </c>
      <c r="O59" s="19">
        <f t="shared" si="15"/>
        <v>5.1999999999999993</v>
      </c>
      <c r="P59" s="19">
        <f t="shared" si="15"/>
        <v>11.200000000000001</v>
      </c>
      <c r="Q59" s="19">
        <f t="shared" si="15"/>
        <v>9.3000000000000007</v>
      </c>
      <c r="R59" s="19">
        <f t="shared" si="15"/>
        <v>8.3999999999999986</v>
      </c>
      <c r="S59" s="19">
        <f t="shared" si="15"/>
        <v>5.0999999999999996</v>
      </c>
      <c r="T59" s="19">
        <f t="shared" si="15"/>
        <v>5.8999999999999995</v>
      </c>
      <c r="U59" s="19">
        <f t="shared" si="15"/>
        <v>3.5300000000000002</v>
      </c>
      <c r="V59" s="19">
        <f t="shared" si="15"/>
        <v>1.9</v>
      </c>
      <c r="W59" s="19">
        <f>SUM(W35:W58)</f>
        <v>0</v>
      </c>
      <c r="X59" s="19">
        <f t="shared" si="15"/>
        <v>0</v>
      </c>
      <c r="Y59" s="19">
        <f>SUM(Y35:Y58)</f>
        <v>0</v>
      </c>
      <c r="Z59" s="19">
        <f t="shared" si="15"/>
        <v>0</v>
      </c>
      <c r="AA59" s="19">
        <f t="shared" si="15"/>
        <v>0.8</v>
      </c>
      <c r="AB59" s="19">
        <f t="shared" si="15"/>
        <v>0</v>
      </c>
      <c r="AC59" s="19">
        <f t="shared" si="15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27.549999999999997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v>0.48</v>
      </c>
      <c r="G61" s="71">
        <v>0.45</v>
      </c>
      <c r="H61" s="71">
        <v>0.42</v>
      </c>
      <c r="I61" s="71">
        <v>0.41</v>
      </c>
      <c r="J61" s="71">
        <v>0.40500000000000003</v>
      </c>
      <c r="K61" s="71">
        <f>0.83/2</f>
        <v>0.41499999999999998</v>
      </c>
      <c r="L61" s="71">
        <f>0.98/2</f>
        <v>0.49</v>
      </c>
      <c r="M61" s="71">
        <f>1.06/2</f>
        <v>0.53</v>
      </c>
      <c r="N61" s="71">
        <f>1.01/2</f>
        <v>0.505</v>
      </c>
      <c r="O61" s="71">
        <f>1.2/2</f>
        <v>0.6</v>
      </c>
      <c r="P61" s="71">
        <f>1.27/2</f>
        <v>0.63500000000000001</v>
      </c>
      <c r="Q61" s="71">
        <f>1.3/2</f>
        <v>0.65</v>
      </c>
      <c r="R61" s="71"/>
      <c r="S61" s="71"/>
      <c r="T61" s="71"/>
      <c r="U61" s="71"/>
      <c r="V61" s="71"/>
      <c r="W61" s="71"/>
      <c r="X61" s="71">
        <f>1.19/2</f>
        <v>0.59499999999999997</v>
      </c>
      <c r="Y61" s="71">
        <f>1.51/2</f>
        <v>0.755</v>
      </c>
      <c r="Z61" s="71">
        <f>1.34/2</f>
        <v>0.67</v>
      </c>
      <c r="AA61" s="71">
        <f>1.31/2</f>
        <v>0.65500000000000003</v>
      </c>
      <c r="AB61" s="71">
        <f>1.16/2</f>
        <v>0.57999999999999996</v>
      </c>
      <c r="AC61" s="71">
        <v>0.52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v>0.48</v>
      </c>
      <c r="G62" s="71">
        <v>0.45</v>
      </c>
      <c r="H62" s="380">
        <v>0.42</v>
      </c>
      <c r="I62" s="71">
        <v>0.41</v>
      </c>
      <c r="J62" s="71">
        <v>0.40500000000000003</v>
      </c>
      <c r="K62" s="71">
        <f>0.83/2</f>
        <v>0.41499999999999998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1.36/2</f>
        <v>0.68</v>
      </c>
      <c r="S62" s="71">
        <f>1.36/2</f>
        <v>0.68</v>
      </c>
      <c r="T62" s="71">
        <f>1.39/2</f>
        <v>0.69499999999999995</v>
      </c>
      <c r="U62" s="71">
        <f>1.38/2</f>
        <v>0.69</v>
      </c>
      <c r="V62" s="71">
        <f>1.25/2</f>
        <v>0.625</v>
      </c>
      <c r="W62" s="71">
        <f>1.28/2</f>
        <v>0.64</v>
      </c>
      <c r="X62" s="71">
        <f>1.19/2</f>
        <v>0.59499999999999997</v>
      </c>
      <c r="Y62" s="71">
        <f>1.51/2</f>
        <v>0.755</v>
      </c>
      <c r="Z62" s="71">
        <f>1.34/2</f>
        <v>0.67</v>
      </c>
      <c r="AA62" s="71">
        <f>1.31/2</f>
        <v>0.65500000000000003</v>
      </c>
      <c r="AB62" s="71">
        <f>1.16/2</f>
        <v>0.57999999999999996</v>
      </c>
      <c r="AC62" s="71">
        <v>0.52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/>
      <c r="G63" s="71"/>
      <c r="H63" s="380"/>
      <c r="I63" s="380"/>
      <c r="J63" s="380"/>
      <c r="K63" s="380"/>
      <c r="L63" s="71">
        <f>0.98/2</f>
        <v>0.49</v>
      </c>
      <c r="M63" s="71">
        <f>1.06/2</f>
        <v>0.53</v>
      </c>
      <c r="N63" s="71">
        <f>1.01/2</f>
        <v>0.505</v>
      </c>
      <c r="O63" s="71">
        <f>1.2/2</f>
        <v>0.6</v>
      </c>
      <c r="P63" s="71">
        <f>1.27/2</f>
        <v>0.63500000000000001</v>
      </c>
      <c r="Q63" s="71">
        <f>1.3/2</f>
        <v>0.65</v>
      </c>
      <c r="R63" s="71">
        <f>1.36/2</f>
        <v>0.68</v>
      </c>
      <c r="S63" s="71">
        <f>1.36/2</f>
        <v>0.68</v>
      </c>
      <c r="T63" s="71">
        <f>1.39/2</f>
        <v>0.69499999999999995</v>
      </c>
      <c r="U63" s="71">
        <f>1.38/2</f>
        <v>0.69</v>
      </c>
      <c r="V63" s="71">
        <f>1.25/2</f>
        <v>0.625</v>
      </c>
      <c r="W63" s="71">
        <f>1.28/2</f>
        <v>0.64</v>
      </c>
      <c r="X63" s="71">
        <v>0</v>
      </c>
      <c r="Y63" s="71">
        <v>0</v>
      </c>
      <c r="Z63" s="71"/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0.96</v>
      </c>
      <c r="G64" s="19">
        <f>SUM(G61:G63)</f>
        <v>0.9</v>
      </c>
      <c r="H64" s="19">
        <f>SUM(H61:H63)</f>
        <v>0.84</v>
      </c>
      <c r="I64" s="19">
        <f>SUM(I61:I63)</f>
        <v>0.82</v>
      </c>
      <c r="J64" s="19">
        <f t="shared" ref="J64:AC64" si="17">SUM(J61:J63)</f>
        <v>0.81</v>
      </c>
      <c r="K64" s="19">
        <f>SUM(K61:K63)</f>
        <v>0.83</v>
      </c>
      <c r="L64" s="19">
        <f t="shared" si="17"/>
        <v>0.98</v>
      </c>
      <c r="M64" s="19">
        <f t="shared" si="17"/>
        <v>1.06</v>
      </c>
      <c r="N64" s="19">
        <f t="shared" si="17"/>
        <v>1.01</v>
      </c>
      <c r="O64" s="19">
        <f t="shared" si="17"/>
        <v>1.2</v>
      </c>
      <c r="P64" s="19">
        <f t="shared" si="17"/>
        <v>1.27</v>
      </c>
      <c r="Q64" s="19">
        <f t="shared" si="17"/>
        <v>1.3</v>
      </c>
      <c r="R64" s="19">
        <f t="shared" si="17"/>
        <v>1.36</v>
      </c>
      <c r="S64" s="19">
        <f t="shared" si="17"/>
        <v>1.36</v>
      </c>
      <c r="T64" s="19">
        <f>SUM(T61:T63)</f>
        <v>1.39</v>
      </c>
      <c r="U64" s="19">
        <f>SUM(U61:U63)</f>
        <v>1.38</v>
      </c>
      <c r="V64" s="19">
        <f>SUM(V61:V63)</f>
        <v>1.25</v>
      </c>
      <c r="W64" s="19">
        <f t="shared" si="17"/>
        <v>1.28</v>
      </c>
      <c r="X64" s="19">
        <f t="shared" si="17"/>
        <v>1.19</v>
      </c>
      <c r="Y64" s="19">
        <f t="shared" si="17"/>
        <v>1.51</v>
      </c>
      <c r="Z64" s="19">
        <f t="shared" si="17"/>
        <v>1.34</v>
      </c>
      <c r="AA64" s="19">
        <f t="shared" si="17"/>
        <v>1.31</v>
      </c>
      <c r="AB64" s="19">
        <f t="shared" si="17"/>
        <v>1.1599999999999999</v>
      </c>
      <c r="AC64" s="19">
        <f t="shared" si="17"/>
        <v>1.04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98.220000000000013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>
        <f t="shared" ref="R66:R71" si="18">5.1/7</f>
        <v>0.72857142857142854</v>
      </c>
      <c r="S66" s="71">
        <f t="shared" ref="S66:S71" si="19">4.9/7</f>
        <v>0.70000000000000007</v>
      </c>
      <c r="T66" s="71">
        <f t="shared" ref="T66:T71" si="20">5.1/7</f>
        <v>0.72857142857142854</v>
      </c>
      <c r="U66" s="71">
        <f>4.69/7</f>
        <v>0.67</v>
      </c>
      <c r="V66" s="71">
        <f>4.67/7</f>
        <v>0.66714285714285715</v>
      </c>
      <c r="W66" s="71">
        <v>0</v>
      </c>
      <c r="X66" s="71">
        <v>0</v>
      </c>
      <c r="Y66" s="71">
        <v>0</v>
      </c>
      <c r="Z66" s="71"/>
      <c r="AA66" s="71"/>
      <c r="AB66" s="71"/>
      <c r="AC66" s="71"/>
      <c r="AD66" s="35"/>
      <c r="AE66" s="35"/>
      <c r="AF66" s="11">
        <f t="shared" ref="AF66:AF74" si="21">COUNTIF(F66:AC66,$AF$11)</f>
        <v>0</v>
      </c>
      <c r="AG66" s="11">
        <f t="shared" ref="AG66:AG74" si="22">COUNTIF(G66:AC66,$AG$11)</f>
        <v>0</v>
      </c>
      <c r="AH66" s="11">
        <f t="shared" ref="AH66:AH74" si="23">COUNT(F66:AC66)</f>
        <v>8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0.69800000000000006</v>
      </c>
      <c r="G67" s="71">
        <v>0.65</v>
      </c>
      <c r="H67" s="71"/>
      <c r="I67" s="71"/>
      <c r="J67" s="71"/>
      <c r="K67" s="71"/>
      <c r="L67" s="71">
        <f>3.4/5</f>
        <v>0.67999999999999994</v>
      </c>
      <c r="M67" s="71">
        <f>3.36/5</f>
        <v>0.67199999999999993</v>
      </c>
      <c r="N67" s="71">
        <f>3.52/5</f>
        <v>0.70399999999999996</v>
      </c>
      <c r="O67" s="71">
        <f>4.67/6</f>
        <v>0.77833333333333332</v>
      </c>
      <c r="P67" s="71">
        <f t="shared" ref="P67:Q71" si="24">5.1/6</f>
        <v>0.85</v>
      </c>
      <c r="Q67" s="71">
        <f t="shared" si="24"/>
        <v>0.85</v>
      </c>
      <c r="R67" s="71">
        <f t="shared" si="18"/>
        <v>0.72857142857142854</v>
      </c>
      <c r="S67" s="71">
        <f t="shared" si="19"/>
        <v>0.70000000000000007</v>
      </c>
      <c r="T67" s="71">
        <f t="shared" si="20"/>
        <v>0.72857142857142854</v>
      </c>
      <c r="U67" s="71">
        <f t="shared" ref="U67:U71" si="25">4.69/7</f>
        <v>0.67</v>
      </c>
      <c r="V67" s="71">
        <f t="shared" ref="V67:V71" si="26">4.67/7</f>
        <v>0.66714285714285715</v>
      </c>
      <c r="W67" s="71">
        <f>4.49/6</f>
        <v>0.74833333333333341</v>
      </c>
      <c r="X67" s="71">
        <f>4.2/6</f>
        <v>0.70000000000000007</v>
      </c>
      <c r="Y67" s="71">
        <f>4.85/6</f>
        <v>0.80833333333333324</v>
      </c>
      <c r="Z67" s="71">
        <f>4.76/6</f>
        <v>0.79333333333333333</v>
      </c>
      <c r="AA67" s="71">
        <f>4.31/6</f>
        <v>0.71833333333333327</v>
      </c>
      <c r="AB67" s="71">
        <f>4.1/6</f>
        <v>0.68333333333333324</v>
      </c>
      <c r="AC67" s="71">
        <v>0.74</v>
      </c>
      <c r="AD67" s="35"/>
      <c r="AE67" s="35"/>
      <c r="AF67" s="11">
        <f t="shared" si="21"/>
        <v>0</v>
      </c>
      <c r="AG67" s="11">
        <f t="shared" si="22"/>
        <v>0</v>
      </c>
      <c r="AH67" s="11">
        <f t="shared" si="23"/>
        <v>20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>
        <f>4.67/6</f>
        <v>0.77833333333333332</v>
      </c>
      <c r="P68" s="71">
        <f t="shared" si="24"/>
        <v>0.85</v>
      </c>
      <c r="Q68" s="71">
        <f t="shared" si="24"/>
        <v>0.85</v>
      </c>
      <c r="R68" s="71">
        <f t="shared" si="18"/>
        <v>0.72857142857142854</v>
      </c>
      <c r="S68" s="71">
        <f t="shared" si="19"/>
        <v>0.70000000000000007</v>
      </c>
      <c r="T68" s="71">
        <f t="shared" si="20"/>
        <v>0.72857142857142854</v>
      </c>
      <c r="U68" s="71">
        <f t="shared" si="25"/>
        <v>0.67</v>
      </c>
      <c r="V68" s="71">
        <f t="shared" si="26"/>
        <v>0.66714285714285715</v>
      </c>
      <c r="W68" s="71">
        <f t="shared" ref="W68:W71" si="27">4.49/6</f>
        <v>0.74833333333333341</v>
      </c>
      <c r="X68" s="71">
        <f t="shared" ref="X68:X71" si="28">4.2/6</f>
        <v>0.70000000000000007</v>
      </c>
      <c r="Y68" s="71">
        <f t="shared" ref="Y68:Y71" si="29">4.85/6</f>
        <v>0.80833333333333324</v>
      </c>
      <c r="Z68" s="71">
        <f t="shared" ref="Z68:Z71" si="30">4.76/6</f>
        <v>0.79333333333333333</v>
      </c>
      <c r="AA68" s="71">
        <f t="shared" ref="AA68:AA71" si="31">4.31/6</f>
        <v>0.71833333333333327</v>
      </c>
      <c r="AB68" s="71">
        <f t="shared" ref="AB68:AB71" si="32">4.1/6</f>
        <v>0.68333333333333324</v>
      </c>
      <c r="AC68" s="71">
        <v>0.74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3"/>
        <v>15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v>0.69800000000000006</v>
      </c>
      <c r="G69" s="71">
        <v>0.65</v>
      </c>
      <c r="H69" s="71">
        <v>0.73</v>
      </c>
      <c r="I69" s="71">
        <f>2.86/4</f>
        <v>0.71499999999999997</v>
      </c>
      <c r="J69" s="71">
        <v>0.71</v>
      </c>
      <c r="K69" s="71">
        <f>2.84/4</f>
        <v>0.71</v>
      </c>
      <c r="L69" s="71">
        <f t="shared" ref="L69:L71" si="33">3.4/5</f>
        <v>0.67999999999999994</v>
      </c>
      <c r="M69" s="71">
        <f>3.36/5</f>
        <v>0.67199999999999993</v>
      </c>
      <c r="N69" s="71">
        <f>3.52/5</f>
        <v>0.70399999999999996</v>
      </c>
      <c r="O69" s="71">
        <f>4.67/6</f>
        <v>0.77833333333333332</v>
      </c>
      <c r="P69" s="71">
        <f t="shared" si="24"/>
        <v>0.85</v>
      </c>
      <c r="Q69" s="71">
        <f t="shared" si="24"/>
        <v>0.85</v>
      </c>
      <c r="R69" s="71">
        <f t="shared" si="18"/>
        <v>0.72857142857142854</v>
      </c>
      <c r="S69" s="71">
        <f t="shared" si="19"/>
        <v>0.70000000000000007</v>
      </c>
      <c r="T69" s="71">
        <f t="shared" si="20"/>
        <v>0.72857142857142854</v>
      </c>
      <c r="U69" s="71">
        <f t="shared" si="25"/>
        <v>0.67</v>
      </c>
      <c r="V69" s="71">
        <f t="shared" si="26"/>
        <v>0.66714285714285715</v>
      </c>
      <c r="W69" s="71">
        <f t="shared" si="27"/>
        <v>0.74833333333333341</v>
      </c>
      <c r="X69" s="71">
        <f t="shared" si="28"/>
        <v>0.70000000000000007</v>
      </c>
      <c r="Y69" s="71">
        <f t="shared" si="29"/>
        <v>0.80833333333333324</v>
      </c>
      <c r="Z69" s="71">
        <f t="shared" si="30"/>
        <v>0.79333333333333333</v>
      </c>
      <c r="AA69" s="71">
        <f t="shared" si="31"/>
        <v>0.71833333333333327</v>
      </c>
      <c r="AB69" s="71">
        <f t="shared" si="32"/>
        <v>0.68333333333333324</v>
      </c>
      <c r="AC69" s="71">
        <v>0.74</v>
      </c>
      <c r="AD69" s="35"/>
      <c r="AE69" s="35"/>
      <c r="AF69" s="11">
        <f t="shared" si="21"/>
        <v>0</v>
      </c>
      <c r="AG69" s="11">
        <f t="shared" si="22"/>
        <v>0</v>
      </c>
      <c r="AH69" s="11">
        <f t="shared" si="23"/>
        <v>24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v>0.69800000000000006</v>
      </c>
      <c r="G70" s="71">
        <v>0.65</v>
      </c>
      <c r="H70" s="71">
        <v>0.73</v>
      </c>
      <c r="I70" s="71">
        <f t="shared" ref="I70:I71" si="34">2.86/4</f>
        <v>0.71499999999999997</v>
      </c>
      <c r="J70" s="71">
        <v>0.71</v>
      </c>
      <c r="K70" s="71">
        <v>0.71</v>
      </c>
      <c r="L70" s="71">
        <f t="shared" si="33"/>
        <v>0.67999999999999994</v>
      </c>
      <c r="M70" s="71">
        <f>3.36/5</f>
        <v>0.67199999999999993</v>
      </c>
      <c r="N70" s="71">
        <f>3.52/5</f>
        <v>0.70399999999999996</v>
      </c>
      <c r="O70" s="71">
        <f>4.67/6</f>
        <v>0.77833333333333332</v>
      </c>
      <c r="P70" s="71">
        <f t="shared" si="24"/>
        <v>0.85</v>
      </c>
      <c r="Q70" s="71">
        <f t="shared" si="24"/>
        <v>0.85</v>
      </c>
      <c r="R70" s="71">
        <f t="shared" si="18"/>
        <v>0.72857142857142854</v>
      </c>
      <c r="S70" s="71">
        <f t="shared" si="19"/>
        <v>0.70000000000000007</v>
      </c>
      <c r="T70" s="71">
        <f t="shared" si="20"/>
        <v>0.72857142857142854</v>
      </c>
      <c r="U70" s="71">
        <f t="shared" si="25"/>
        <v>0.67</v>
      </c>
      <c r="V70" s="71">
        <f t="shared" si="26"/>
        <v>0.66714285714285715</v>
      </c>
      <c r="W70" s="71">
        <f t="shared" si="27"/>
        <v>0.74833333333333341</v>
      </c>
      <c r="X70" s="71">
        <f t="shared" si="28"/>
        <v>0.70000000000000007</v>
      </c>
      <c r="Y70" s="71">
        <f t="shared" si="29"/>
        <v>0.80833333333333324</v>
      </c>
      <c r="Z70" s="71">
        <f t="shared" si="30"/>
        <v>0.79333333333333333</v>
      </c>
      <c r="AA70" s="71">
        <f t="shared" si="31"/>
        <v>0.71833333333333327</v>
      </c>
      <c r="AB70" s="71">
        <f t="shared" si="32"/>
        <v>0.68333333333333324</v>
      </c>
      <c r="AC70" s="71">
        <v>0.74</v>
      </c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v>0.69800000000000006</v>
      </c>
      <c r="G71" s="71">
        <v>0.65</v>
      </c>
      <c r="H71" s="71">
        <v>0.73</v>
      </c>
      <c r="I71" s="71">
        <f t="shared" si="34"/>
        <v>0.71499999999999997</v>
      </c>
      <c r="J71" s="71">
        <v>0.71</v>
      </c>
      <c r="K71" s="71">
        <v>0.71</v>
      </c>
      <c r="L71" s="71">
        <f t="shared" si="33"/>
        <v>0.67999999999999994</v>
      </c>
      <c r="M71" s="71">
        <f>3.36/5</f>
        <v>0.67199999999999993</v>
      </c>
      <c r="N71" s="71">
        <f>3.52/5</f>
        <v>0.70399999999999996</v>
      </c>
      <c r="O71" s="71">
        <f>4.67/6</f>
        <v>0.77833333333333332</v>
      </c>
      <c r="P71" s="71">
        <f t="shared" si="24"/>
        <v>0.85</v>
      </c>
      <c r="Q71" s="71">
        <f t="shared" si="24"/>
        <v>0.85</v>
      </c>
      <c r="R71" s="71">
        <f t="shared" si="18"/>
        <v>0.72857142857142854</v>
      </c>
      <c r="S71" s="71">
        <f t="shared" si="19"/>
        <v>0.70000000000000007</v>
      </c>
      <c r="T71" s="71">
        <f t="shared" si="20"/>
        <v>0.72857142857142854</v>
      </c>
      <c r="U71" s="71">
        <f t="shared" si="25"/>
        <v>0.67</v>
      </c>
      <c r="V71" s="71">
        <f t="shared" si="26"/>
        <v>0.66714285714285715</v>
      </c>
      <c r="W71" s="71">
        <f t="shared" si="27"/>
        <v>0.74833333333333341</v>
      </c>
      <c r="X71" s="71">
        <f t="shared" si="28"/>
        <v>0.70000000000000007</v>
      </c>
      <c r="Y71" s="71">
        <f t="shared" si="29"/>
        <v>0.80833333333333324</v>
      </c>
      <c r="Z71" s="71">
        <f t="shared" si="30"/>
        <v>0.79333333333333333</v>
      </c>
      <c r="AA71" s="71">
        <f t="shared" si="31"/>
        <v>0.71833333333333327</v>
      </c>
      <c r="AB71" s="71">
        <f t="shared" si="32"/>
        <v>0.68333333333333324</v>
      </c>
      <c r="AC71" s="71">
        <v>0.74</v>
      </c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1"/>
        <v>24</v>
      </c>
      <c r="AG73" s="11">
        <f t="shared" si="22"/>
        <v>0</v>
      </c>
      <c r="AH73" s="11">
        <f t="shared" si="23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v>0.69800000000000006</v>
      </c>
      <c r="G74" s="71">
        <v>0.65</v>
      </c>
      <c r="H74" s="71">
        <v>0.73</v>
      </c>
      <c r="I74" s="71">
        <f>2.86/4</f>
        <v>0.71499999999999997</v>
      </c>
      <c r="J74" s="71">
        <v>0.71</v>
      </c>
      <c r="K74" s="71">
        <v>0.71</v>
      </c>
      <c r="L74" s="71">
        <f>3.4/5</f>
        <v>0.67999999999999994</v>
      </c>
      <c r="M74" s="71">
        <f>3.36/5</f>
        <v>0.67199999999999993</v>
      </c>
      <c r="N74" s="71">
        <f>3.52/5</f>
        <v>0.70399999999999996</v>
      </c>
      <c r="O74" s="71">
        <f>4.67/6</f>
        <v>0.77833333333333332</v>
      </c>
      <c r="P74" s="71">
        <f>5.1/6</f>
        <v>0.85</v>
      </c>
      <c r="Q74" s="71">
        <f>5.1/6</f>
        <v>0.85</v>
      </c>
      <c r="R74" s="71">
        <f>5.1/7</f>
        <v>0.72857142857142854</v>
      </c>
      <c r="S74" s="71">
        <f>4.9/7</f>
        <v>0.70000000000000007</v>
      </c>
      <c r="T74" s="71">
        <f>5.1/7</f>
        <v>0.72857142857142854</v>
      </c>
      <c r="U74" s="71">
        <f>4.69/7</f>
        <v>0.67</v>
      </c>
      <c r="V74" s="71">
        <f>4.67/7</f>
        <v>0.66714285714285715</v>
      </c>
      <c r="W74" s="71">
        <f>4.49/6</f>
        <v>0.74833333333333341</v>
      </c>
      <c r="X74" s="71">
        <f>4.2/6</f>
        <v>0.70000000000000007</v>
      </c>
      <c r="Y74" s="71">
        <f>4.85/6</f>
        <v>0.80833333333333324</v>
      </c>
      <c r="Z74" s="71">
        <f>4.76/6</f>
        <v>0.79333333333333333</v>
      </c>
      <c r="AA74" s="71">
        <f>4.31/6</f>
        <v>0.71833333333333327</v>
      </c>
      <c r="AB74" s="71">
        <f>4.1/6</f>
        <v>0.68333333333333324</v>
      </c>
      <c r="AC74" s="71"/>
      <c r="AD74" s="31"/>
      <c r="AE74" s="31"/>
      <c r="AF74" s="11">
        <f t="shared" si="21"/>
        <v>0</v>
      </c>
      <c r="AG74" s="11">
        <f t="shared" si="22"/>
        <v>0</v>
      </c>
      <c r="AH74" s="11">
        <f t="shared" si="23"/>
        <v>23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5">SUM(F66:F74)</f>
        <v>3.49</v>
      </c>
      <c r="G75" s="19">
        <f t="shared" ref="G75:AC75" si="36">SUM(G66:G74)</f>
        <v>3.25</v>
      </c>
      <c r="H75" s="19">
        <f t="shared" si="36"/>
        <v>2.92</v>
      </c>
      <c r="I75" s="19">
        <f t="shared" si="36"/>
        <v>2.86</v>
      </c>
      <c r="J75" s="19">
        <f t="shared" si="36"/>
        <v>2.84</v>
      </c>
      <c r="K75" s="19">
        <f t="shared" si="36"/>
        <v>2.84</v>
      </c>
      <c r="L75" s="19">
        <f>SUM(L66:L74)</f>
        <v>3.3999999999999995</v>
      </c>
      <c r="M75" s="19">
        <f t="shared" si="36"/>
        <v>3.3599999999999994</v>
      </c>
      <c r="N75" s="19">
        <f t="shared" si="36"/>
        <v>3.5199999999999996</v>
      </c>
      <c r="O75" s="19">
        <f t="shared" si="36"/>
        <v>4.67</v>
      </c>
      <c r="P75" s="19">
        <f t="shared" si="36"/>
        <v>5.0999999999999996</v>
      </c>
      <c r="Q75" s="19">
        <f t="shared" si="36"/>
        <v>5.0999999999999996</v>
      </c>
      <c r="R75" s="19">
        <f t="shared" si="36"/>
        <v>5.0999999999999996</v>
      </c>
      <c r="S75" s="19">
        <f t="shared" si="36"/>
        <v>4.9000000000000004</v>
      </c>
      <c r="T75" s="19">
        <f t="shared" si="36"/>
        <v>5.0999999999999996</v>
      </c>
      <c r="U75" s="19">
        <f t="shared" si="36"/>
        <v>4.6900000000000004</v>
      </c>
      <c r="V75" s="19">
        <f t="shared" si="36"/>
        <v>4.67</v>
      </c>
      <c r="W75" s="19">
        <f t="shared" si="36"/>
        <v>4.49</v>
      </c>
      <c r="X75" s="19">
        <f t="shared" si="36"/>
        <v>4.2</v>
      </c>
      <c r="Y75" s="19">
        <f t="shared" si="36"/>
        <v>4.8499999999999996</v>
      </c>
      <c r="Z75" s="19">
        <f t="shared" si="36"/>
        <v>4.76</v>
      </c>
      <c r="AA75" s="19">
        <f t="shared" si="36"/>
        <v>4.3099999999999996</v>
      </c>
      <c r="AB75" s="19">
        <f t="shared" si="36"/>
        <v>4.0999999999999996</v>
      </c>
      <c r="AC75" s="19">
        <f t="shared" si="36"/>
        <v>3.7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19.93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0.69</v>
      </c>
      <c r="O77" s="71">
        <v>0.71</v>
      </c>
      <c r="P77" s="71">
        <v>0.79</v>
      </c>
      <c r="Q77" s="71">
        <v>0.85</v>
      </c>
      <c r="R77" s="71">
        <v>0.86</v>
      </c>
      <c r="S77" s="71">
        <v>0.87</v>
      </c>
      <c r="T77" s="71">
        <v>0.92</v>
      </c>
      <c r="U77" s="71">
        <v>0.91</v>
      </c>
      <c r="V77" s="71">
        <v>0.89</v>
      </c>
      <c r="W77" s="71">
        <v>0.88</v>
      </c>
      <c r="X77" s="71">
        <v>0.88</v>
      </c>
      <c r="Y77" s="71">
        <v>0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</v>
      </c>
      <c r="G78" s="71">
        <v>0.76</v>
      </c>
      <c r="H78" s="71">
        <v>0.7</v>
      </c>
      <c r="I78" s="71">
        <v>0.7</v>
      </c>
      <c r="J78" s="380">
        <v>0.67</v>
      </c>
      <c r="K78" s="71">
        <v>0.71</v>
      </c>
      <c r="L78" s="71">
        <v>0.77</v>
      </c>
      <c r="M78" s="71">
        <v>0.78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</v>
      </c>
      <c r="AA78" s="71">
        <v>0.97</v>
      </c>
      <c r="AB78" s="71">
        <v>0.93</v>
      </c>
      <c r="AC78" s="71">
        <v>0.89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7">SUM(F77:F78)</f>
        <v>0.8</v>
      </c>
      <c r="G79" s="19">
        <f>SUM(G77:G78)</f>
        <v>0.76</v>
      </c>
      <c r="H79" s="19">
        <f>SUM(H77:H78)</f>
        <v>0.7</v>
      </c>
      <c r="I79" s="19">
        <v>0.67</v>
      </c>
      <c r="J79" s="19">
        <f t="shared" ref="J79:AC79" si="38">SUM(J77:J78)</f>
        <v>0.67</v>
      </c>
      <c r="K79" s="19">
        <f t="shared" si="38"/>
        <v>0.71</v>
      </c>
      <c r="L79" s="19">
        <f>SUM(L77:L78)</f>
        <v>0.77</v>
      </c>
      <c r="M79" s="19">
        <f t="shared" si="38"/>
        <v>0.78</v>
      </c>
      <c r="N79" s="19">
        <f t="shared" si="38"/>
        <v>0.69</v>
      </c>
      <c r="O79" s="19">
        <f>SUM(O77:O78)</f>
        <v>0.71</v>
      </c>
      <c r="P79" s="19">
        <f t="shared" si="38"/>
        <v>0.79</v>
      </c>
      <c r="Q79" s="19">
        <f t="shared" si="38"/>
        <v>0.85</v>
      </c>
      <c r="R79" s="19">
        <f t="shared" si="38"/>
        <v>0.86</v>
      </c>
      <c r="S79" s="19">
        <f t="shared" si="38"/>
        <v>0.87</v>
      </c>
      <c r="T79" s="19">
        <f t="shared" si="38"/>
        <v>0.92</v>
      </c>
      <c r="U79" s="19">
        <f t="shared" si="38"/>
        <v>0.91</v>
      </c>
      <c r="V79" s="19">
        <f t="shared" si="38"/>
        <v>0.89</v>
      </c>
      <c r="W79" s="19">
        <f t="shared" si="38"/>
        <v>0.88</v>
      </c>
      <c r="X79" s="19">
        <f t="shared" si="38"/>
        <v>0.88</v>
      </c>
      <c r="Y79" s="19">
        <f t="shared" si="38"/>
        <v>1</v>
      </c>
      <c r="Z79" s="19">
        <f t="shared" si="38"/>
        <v>1</v>
      </c>
      <c r="AA79" s="19">
        <f t="shared" si="38"/>
        <v>0.97</v>
      </c>
      <c r="AB79" s="19">
        <f t="shared" si="38"/>
        <v>0.93</v>
      </c>
      <c r="AC79" s="19">
        <f t="shared" si="38"/>
        <v>0.89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9">SUM(F17,F22,F25,F30,F33,F59,F64,F75,F79,F81)</f>
        <v>38.300000000000004</v>
      </c>
      <c r="G82" s="28">
        <f t="shared" si="39"/>
        <v>35.609999999999992</v>
      </c>
      <c r="H82" s="28">
        <f t="shared" si="39"/>
        <v>34.06</v>
      </c>
      <c r="I82" s="28">
        <f t="shared" si="39"/>
        <v>33.65</v>
      </c>
      <c r="J82" s="28">
        <f t="shared" si="39"/>
        <v>32.92</v>
      </c>
      <c r="K82" s="28">
        <f t="shared" si="39"/>
        <v>33.78</v>
      </c>
      <c r="L82" s="28">
        <f t="shared" si="39"/>
        <v>37.75</v>
      </c>
      <c r="M82" s="28">
        <f t="shared" si="39"/>
        <v>38.600000000000009</v>
      </c>
      <c r="N82" s="28">
        <f t="shared" si="39"/>
        <v>41.22</v>
      </c>
      <c r="O82" s="28">
        <f t="shared" si="39"/>
        <v>50.080000000000005</v>
      </c>
      <c r="P82" s="28">
        <f t="shared" si="39"/>
        <v>56.060000000000009</v>
      </c>
      <c r="Q82" s="28">
        <f t="shared" si="39"/>
        <v>57.05</v>
      </c>
      <c r="R82" s="28">
        <f t="shared" si="39"/>
        <v>55.52</v>
      </c>
      <c r="S82" s="28">
        <f t="shared" si="39"/>
        <v>57.129999999999995</v>
      </c>
      <c r="T82" s="28">
        <f t="shared" si="39"/>
        <v>58.4</v>
      </c>
      <c r="U82" s="28">
        <f t="shared" si="39"/>
        <v>58.33</v>
      </c>
      <c r="V82" s="28">
        <f t="shared" si="39"/>
        <v>58.21</v>
      </c>
      <c r="W82" s="28">
        <f t="shared" si="39"/>
        <v>55.210000000000008</v>
      </c>
      <c r="X82" s="28">
        <f t="shared" si="39"/>
        <v>52.970000000000006</v>
      </c>
      <c r="Y82" s="28">
        <f t="shared" si="39"/>
        <v>54.86</v>
      </c>
      <c r="Z82" s="28">
        <f t="shared" si="39"/>
        <v>52.1</v>
      </c>
      <c r="AA82" s="28">
        <f t="shared" si="39"/>
        <v>51.13</v>
      </c>
      <c r="AB82" s="28">
        <f t="shared" si="39"/>
        <v>45.09</v>
      </c>
      <c r="AC82" s="28">
        <f t="shared" si="39"/>
        <v>41.58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40">SUM(F22,F25)</f>
        <v>3.3</v>
      </c>
      <c r="G88" s="64">
        <f t="shared" si="40"/>
        <v>3.3</v>
      </c>
      <c r="H88" s="64">
        <f t="shared" si="40"/>
        <v>3.3</v>
      </c>
      <c r="I88" s="64">
        <f t="shared" si="40"/>
        <v>3.3</v>
      </c>
      <c r="J88" s="64">
        <f t="shared" si="40"/>
        <v>3.3</v>
      </c>
      <c r="K88" s="64">
        <f t="shared" si="40"/>
        <v>3.3</v>
      </c>
      <c r="L88" s="64">
        <f t="shared" si="40"/>
        <v>3.3</v>
      </c>
      <c r="M88" s="64">
        <f t="shared" si="40"/>
        <v>3.3</v>
      </c>
      <c r="N88" s="64">
        <f t="shared" si="40"/>
        <v>3.3</v>
      </c>
      <c r="O88" s="64">
        <f t="shared" si="40"/>
        <v>3.3</v>
      </c>
      <c r="P88" s="64">
        <f t="shared" si="40"/>
        <v>3.3</v>
      </c>
      <c r="Q88" s="64">
        <f t="shared" si="40"/>
        <v>6.3</v>
      </c>
      <c r="R88" s="64">
        <f t="shared" si="40"/>
        <v>3.3</v>
      </c>
      <c r="S88" s="64">
        <f t="shared" si="40"/>
        <v>7.1</v>
      </c>
      <c r="T88" s="64">
        <f t="shared" si="40"/>
        <v>7.1</v>
      </c>
      <c r="U88" s="64">
        <f t="shared" si="40"/>
        <v>7.1</v>
      </c>
      <c r="V88" s="64">
        <f t="shared" si="40"/>
        <v>7.1</v>
      </c>
      <c r="W88" s="64">
        <f t="shared" si="40"/>
        <v>6.8</v>
      </c>
      <c r="X88" s="64">
        <f t="shared" si="40"/>
        <v>7.1</v>
      </c>
      <c r="Y88" s="64">
        <f t="shared" si="40"/>
        <v>7.1</v>
      </c>
      <c r="Z88" s="64">
        <f t="shared" si="40"/>
        <v>7.1</v>
      </c>
      <c r="AA88" s="64">
        <f t="shared" si="40"/>
        <v>7.1</v>
      </c>
      <c r="AB88" s="64">
        <f t="shared" si="40"/>
        <v>7.1</v>
      </c>
      <c r="AC88" s="64">
        <f t="shared" si="40"/>
        <v>6.3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 t="s">
        <v>1</v>
      </c>
      <c r="G89" s="68" t="s">
        <v>1</v>
      </c>
      <c r="H89" s="68" t="s">
        <v>1</v>
      </c>
      <c r="I89" s="68" t="s">
        <v>1</v>
      </c>
      <c r="J89" s="68" t="s">
        <v>1</v>
      </c>
      <c r="K89" s="68" t="s">
        <v>1</v>
      </c>
      <c r="L89" s="68" t="s">
        <v>1</v>
      </c>
      <c r="M89" s="68" t="s">
        <v>1</v>
      </c>
      <c r="N89" s="68" t="s">
        <v>1</v>
      </c>
      <c r="O89" s="68" t="s">
        <v>1</v>
      </c>
      <c r="P89" s="68" t="s">
        <v>1</v>
      </c>
      <c r="Q89" s="68" t="s">
        <v>1</v>
      </c>
      <c r="R89" s="68" t="s">
        <v>1</v>
      </c>
      <c r="S89" s="68">
        <v>0.23</v>
      </c>
      <c r="T89" s="68">
        <v>0.19800000000000001</v>
      </c>
      <c r="U89" s="68">
        <v>0.18</v>
      </c>
      <c r="V89" s="68">
        <v>0.223</v>
      </c>
      <c r="W89" s="68">
        <v>0.21</v>
      </c>
      <c r="X89" s="68">
        <v>0.192</v>
      </c>
      <c r="Y89" s="68">
        <v>0.255</v>
      </c>
      <c r="Z89" s="68">
        <v>0.24399999999999999</v>
      </c>
      <c r="AA89" s="68">
        <v>0.187</v>
      </c>
      <c r="AB89" s="68">
        <v>0.21299999999999999</v>
      </c>
      <c r="AC89" s="68">
        <v>0.224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41">F17</f>
        <v>20.399999999999999</v>
      </c>
      <c r="G90" s="64">
        <f t="shared" si="41"/>
        <v>19.799999999999997</v>
      </c>
      <c r="H90" s="64">
        <f t="shared" si="41"/>
        <v>20.100000000000001</v>
      </c>
      <c r="I90" s="64">
        <f t="shared" si="41"/>
        <v>19.799999999999997</v>
      </c>
      <c r="J90" s="64">
        <f t="shared" si="41"/>
        <v>19.5</v>
      </c>
      <c r="K90" s="64">
        <f t="shared" si="41"/>
        <v>20.100000000000001</v>
      </c>
      <c r="L90" s="64">
        <f t="shared" si="41"/>
        <v>20.399999999999999</v>
      </c>
      <c r="M90" s="64">
        <f t="shared" si="41"/>
        <v>19.200000000000003</v>
      </c>
      <c r="N90" s="64">
        <f t="shared" si="41"/>
        <v>20</v>
      </c>
      <c r="O90" s="64">
        <f t="shared" si="41"/>
        <v>26.8</v>
      </c>
      <c r="P90" s="64">
        <f t="shared" si="41"/>
        <v>26.8</v>
      </c>
      <c r="Q90" s="64">
        <f t="shared" si="41"/>
        <v>26.8</v>
      </c>
      <c r="R90" s="64">
        <f t="shared" si="41"/>
        <v>25.8</v>
      </c>
      <c r="S90" s="64">
        <f t="shared" si="41"/>
        <v>26.4</v>
      </c>
      <c r="T90" s="64">
        <f t="shared" si="41"/>
        <v>26.8</v>
      </c>
      <c r="U90" s="64">
        <f t="shared" si="41"/>
        <v>26.4</v>
      </c>
      <c r="V90" s="64">
        <f t="shared" si="41"/>
        <v>26.299999999999997</v>
      </c>
      <c r="W90" s="64">
        <f t="shared" si="41"/>
        <v>24.8</v>
      </c>
      <c r="X90" s="64">
        <f t="shared" si="41"/>
        <v>26.1</v>
      </c>
      <c r="Y90" s="64">
        <f t="shared" si="41"/>
        <v>25.700000000000003</v>
      </c>
      <c r="Z90" s="64">
        <f t="shared" si="41"/>
        <v>25.6</v>
      </c>
      <c r="AA90" s="64">
        <f t="shared" si="41"/>
        <v>18.899999999999999</v>
      </c>
      <c r="AB90" s="64">
        <f t="shared" si="41"/>
        <v>18.600000000000001</v>
      </c>
      <c r="AC90" s="64">
        <f t="shared" si="41"/>
        <v>12.6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0.70499999999999996</v>
      </c>
      <c r="G91" s="68">
        <v>0.65100000000000002</v>
      </c>
      <c r="H91" s="68">
        <v>0.73499999999999999</v>
      </c>
      <c r="I91" s="68">
        <v>0.93500000000000005</v>
      </c>
      <c r="J91" s="68">
        <v>0.89500000000000002</v>
      </c>
      <c r="K91" s="68">
        <v>0.88700000000000001</v>
      </c>
      <c r="L91" s="68">
        <v>0.88</v>
      </c>
      <c r="M91" s="68">
        <v>0.86899999999999999</v>
      </c>
      <c r="N91" s="68">
        <v>0.91700000000000004</v>
      </c>
      <c r="O91" s="68">
        <v>0.91300000000000003</v>
      </c>
      <c r="P91" s="68">
        <v>0.94099999999999995</v>
      </c>
      <c r="Q91" s="68">
        <v>0.95</v>
      </c>
      <c r="R91" s="68">
        <v>0.96699999999999997</v>
      </c>
      <c r="S91" s="68">
        <v>0.96799999999999997</v>
      </c>
      <c r="T91" s="68">
        <v>0.72899999999999998</v>
      </c>
      <c r="U91" s="68">
        <v>0.77300000000000002</v>
      </c>
      <c r="V91" s="68">
        <v>0.93700000000000006</v>
      </c>
      <c r="W91" s="68">
        <v>0.97</v>
      </c>
      <c r="X91" s="68">
        <v>0.96199999999999997</v>
      </c>
      <c r="Y91" s="68">
        <v>0.93500000000000005</v>
      </c>
      <c r="Z91" s="68">
        <v>0.96099999999999997</v>
      </c>
      <c r="AA91" s="68">
        <v>0.97</v>
      </c>
      <c r="AB91" s="68">
        <v>0.82799999999999996</v>
      </c>
      <c r="AC91" s="68">
        <v>0.52700000000000002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2">F30</f>
        <v>8.4</v>
      </c>
      <c r="G92" s="65">
        <f t="shared" si="42"/>
        <v>7.6</v>
      </c>
      <c r="H92" s="65">
        <f t="shared" si="42"/>
        <v>6.2</v>
      </c>
      <c r="I92" s="65">
        <f t="shared" si="42"/>
        <v>6.2</v>
      </c>
      <c r="J92" s="65">
        <f t="shared" si="42"/>
        <v>5.8</v>
      </c>
      <c r="K92" s="65">
        <f t="shared" si="42"/>
        <v>6</v>
      </c>
      <c r="L92" s="65">
        <f t="shared" si="42"/>
        <v>8</v>
      </c>
      <c r="M92" s="65">
        <f t="shared" si="42"/>
        <v>8</v>
      </c>
      <c r="N92" s="65">
        <f t="shared" si="42"/>
        <v>8.1999999999999993</v>
      </c>
      <c r="O92" s="65">
        <f t="shared" si="42"/>
        <v>8.1999999999999993</v>
      </c>
      <c r="P92" s="65">
        <f t="shared" si="42"/>
        <v>7.6</v>
      </c>
      <c r="Q92" s="65">
        <f t="shared" si="42"/>
        <v>7.4</v>
      </c>
      <c r="R92" s="65">
        <f t="shared" si="42"/>
        <v>7.2</v>
      </c>
      <c r="S92" s="65">
        <f t="shared" si="42"/>
        <v>7.4</v>
      </c>
      <c r="T92" s="65">
        <f t="shared" si="42"/>
        <v>7.4</v>
      </c>
      <c r="U92" s="65">
        <f t="shared" si="42"/>
        <v>7.4</v>
      </c>
      <c r="V92" s="65">
        <f t="shared" si="42"/>
        <v>7.4</v>
      </c>
      <c r="W92" s="65">
        <f t="shared" si="42"/>
        <v>8.3000000000000007</v>
      </c>
      <c r="X92" s="65">
        <f t="shared" si="42"/>
        <v>7.5</v>
      </c>
      <c r="Y92" s="65">
        <f t="shared" si="42"/>
        <v>6</v>
      </c>
      <c r="Z92" s="65">
        <f t="shared" si="42"/>
        <v>6</v>
      </c>
      <c r="AA92" s="65">
        <f t="shared" si="42"/>
        <v>7</v>
      </c>
      <c r="AB92" s="65">
        <f t="shared" si="42"/>
        <v>4.4000000000000004</v>
      </c>
      <c r="AC92" s="65">
        <f t="shared" si="42"/>
        <v>6.4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0.26800000000000002</v>
      </c>
      <c r="G93" s="68">
        <v>0.26700000000000002</v>
      </c>
      <c r="H93" s="68">
        <v>0.27100000000000002</v>
      </c>
      <c r="I93" s="68">
        <v>0.25800000000000001</v>
      </c>
      <c r="J93" s="68">
        <v>0.252</v>
      </c>
      <c r="K93" s="68">
        <v>0.252</v>
      </c>
      <c r="L93" s="68">
        <v>0.26400000000000001</v>
      </c>
      <c r="M93" s="68">
        <v>0.28000000000000003</v>
      </c>
      <c r="N93" s="68">
        <v>0.29899999999999999</v>
      </c>
      <c r="O93" s="68">
        <v>0.28299999999999997</v>
      </c>
      <c r="P93" s="68">
        <v>0.314</v>
      </c>
      <c r="Q93" s="68">
        <v>0.32200000000000001</v>
      </c>
      <c r="R93" s="68">
        <v>0.27200000000000002</v>
      </c>
      <c r="S93" s="68">
        <v>0.27900000000000003</v>
      </c>
      <c r="T93" s="68">
        <v>0.29099999999999998</v>
      </c>
      <c r="U93" s="68">
        <v>0.308</v>
      </c>
      <c r="V93" s="68">
        <v>0.29899999999999999</v>
      </c>
      <c r="W93" s="68">
        <v>0.29799999999999999</v>
      </c>
      <c r="X93" s="68">
        <v>0.27700000000000002</v>
      </c>
      <c r="Y93" s="68">
        <v>0.27200000000000002</v>
      </c>
      <c r="Z93" s="68">
        <v>0.28999999999999998</v>
      </c>
      <c r="AA93" s="68">
        <v>0.28100000000000003</v>
      </c>
      <c r="AB93" s="68">
        <v>0.27</v>
      </c>
      <c r="AC93" s="68">
        <v>0.28799999999999998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3">F33</f>
        <v>0</v>
      </c>
      <c r="G94" s="65">
        <f t="shared" si="43"/>
        <v>0</v>
      </c>
      <c r="H94" s="65">
        <f t="shared" si="43"/>
        <v>0</v>
      </c>
      <c r="I94" s="65">
        <f t="shared" si="43"/>
        <v>0</v>
      </c>
      <c r="J94" s="65">
        <f t="shared" si="43"/>
        <v>0</v>
      </c>
      <c r="K94" s="65">
        <f t="shared" si="43"/>
        <v>0</v>
      </c>
      <c r="L94" s="65">
        <f t="shared" si="43"/>
        <v>0</v>
      </c>
      <c r="M94" s="65">
        <f t="shared" si="43"/>
        <v>0</v>
      </c>
      <c r="N94" s="65">
        <f t="shared" si="43"/>
        <v>0</v>
      </c>
      <c r="O94" s="65">
        <f t="shared" si="43"/>
        <v>0</v>
      </c>
      <c r="P94" s="65">
        <f t="shared" si="43"/>
        <v>0</v>
      </c>
      <c r="Q94" s="65">
        <f t="shared" si="43"/>
        <v>0</v>
      </c>
      <c r="R94" s="65">
        <f t="shared" si="43"/>
        <v>3.5</v>
      </c>
      <c r="S94" s="65">
        <f t="shared" si="43"/>
        <v>4</v>
      </c>
      <c r="T94" s="65">
        <f t="shared" si="43"/>
        <v>3.79</v>
      </c>
      <c r="U94" s="65">
        <f t="shared" si="43"/>
        <v>6.92</v>
      </c>
      <c r="V94" s="65">
        <f t="shared" si="43"/>
        <v>8.6999999999999993</v>
      </c>
      <c r="W94" s="65">
        <f t="shared" si="43"/>
        <v>8.66</v>
      </c>
      <c r="X94" s="65">
        <f t="shared" si="43"/>
        <v>6</v>
      </c>
      <c r="Y94" s="65">
        <f t="shared" si="43"/>
        <v>8.6999999999999993</v>
      </c>
      <c r="Z94" s="65">
        <f t="shared" si="43"/>
        <v>6.3</v>
      </c>
      <c r="AA94" s="65">
        <f t="shared" si="43"/>
        <v>10.74</v>
      </c>
      <c r="AB94" s="65">
        <f t="shared" si="43"/>
        <v>8.8000000000000007</v>
      </c>
      <c r="AC94" s="65">
        <f t="shared" si="43"/>
        <v>10.65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0</v>
      </c>
      <c r="G95" s="68">
        <v>0</v>
      </c>
      <c r="H95" s="68">
        <v>0</v>
      </c>
      <c r="I95" s="68">
        <f>0.4/1000</f>
        <v>4.0000000000000002E-4</v>
      </c>
      <c r="J95" s="68">
        <f>0.4/1000</f>
        <v>4.0000000000000002E-4</v>
      </c>
      <c r="K95" s="68">
        <f>0.3/1000</f>
        <v>2.9999999999999997E-4</v>
      </c>
      <c r="L95" s="68">
        <f>0.3/1000</f>
        <v>2.9999999999999997E-4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1</v>
      </c>
      <c r="S95" s="68">
        <v>1</v>
      </c>
      <c r="T95" s="68">
        <v>1.21</v>
      </c>
      <c r="U95" s="68">
        <v>1.08</v>
      </c>
      <c r="V95" s="68">
        <v>1.3</v>
      </c>
      <c r="W95" s="68">
        <v>1.3</v>
      </c>
      <c r="X95" s="68">
        <v>1</v>
      </c>
      <c r="Y95" s="68">
        <v>1.3</v>
      </c>
      <c r="Z95" s="68">
        <v>1.2</v>
      </c>
      <c r="AA95" s="68">
        <v>1.26</v>
      </c>
      <c r="AB95" s="68">
        <v>1.2</v>
      </c>
      <c r="AC95" s="68">
        <v>1.35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4">F59</f>
        <v>0.95</v>
      </c>
      <c r="G96" s="64">
        <f t="shared" si="44"/>
        <v>0</v>
      </c>
      <c r="H96" s="64">
        <f t="shared" si="44"/>
        <v>0</v>
      </c>
      <c r="I96" s="64">
        <f t="shared" si="44"/>
        <v>0</v>
      </c>
      <c r="J96" s="64">
        <f t="shared" si="44"/>
        <v>0</v>
      </c>
      <c r="K96" s="64">
        <f t="shared" si="44"/>
        <v>0</v>
      </c>
      <c r="L96" s="64">
        <f t="shared" si="44"/>
        <v>0.9</v>
      </c>
      <c r="M96" s="64">
        <f t="shared" si="44"/>
        <v>2.9</v>
      </c>
      <c r="N96" s="64">
        <f t="shared" si="44"/>
        <v>4.5</v>
      </c>
      <c r="O96" s="64">
        <f t="shared" si="44"/>
        <v>5.1999999999999993</v>
      </c>
      <c r="P96" s="64">
        <f t="shared" si="44"/>
        <v>11.200000000000001</v>
      </c>
      <c r="Q96" s="64">
        <f t="shared" si="44"/>
        <v>9.3000000000000007</v>
      </c>
      <c r="R96" s="64">
        <f t="shared" si="44"/>
        <v>8.3999999999999986</v>
      </c>
      <c r="S96" s="64">
        <f t="shared" si="44"/>
        <v>5.0999999999999996</v>
      </c>
      <c r="T96" s="64">
        <f t="shared" si="44"/>
        <v>5.8999999999999995</v>
      </c>
      <c r="U96" s="64">
        <f t="shared" si="44"/>
        <v>3.5300000000000002</v>
      </c>
      <c r="V96" s="64">
        <f t="shared" si="44"/>
        <v>1.9</v>
      </c>
      <c r="W96" s="64">
        <f t="shared" si="44"/>
        <v>0</v>
      </c>
      <c r="X96" s="64">
        <f t="shared" si="44"/>
        <v>0</v>
      </c>
      <c r="Y96" s="64">
        <f t="shared" si="44"/>
        <v>0</v>
      </c>
      <c r="Z96" s="64">
        <f t="shared" si="44"/>
        <v>0</v>
      </c>
      <c r="AA96" s="64">
        <f t="shared" si="44"/>
        <v>0.8</v>
      </c>
      <c r="AB96" s="64">
        <f t="shared" si="44"/>
        <v>0</v>
      </c>
      <c r="AC96" s="64">
        <f t="shared" si="4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5">F64</f>
        <v>0.96</v>
      </c>
      <c r="G97" s="64">
        <f t="shared" si="45"/>
        <v>0.9</v>
      </c>
      <c r="H97" s="64">
        <f t="shared" si="45"/>
        <v>0.84</v>
      </c>
      <c r="I97" s="64">
        <f t="shared" si="45"/>
        <v>0.82</v>
      </c>
      <c r="J97" s="64">
        <f t="shared" si="45"/>
        <v>0.81</v>
      </c>
      <c r="K97" s="64">
        <f t="shared" si="45"/>
        <v>0.83</v>
      </c>
      <c r="L97" s="64">
        <f t="shared" si="45"/>
        <v>0.98</v>
      </c>
      <c r="M97" s="64">
        <f t="shared" si="45"/>
        <v>1.06</v>
      </c>
      <c r="N97" s="64">
        <f t="shared" si="45"/>
        <v>1.01</v>
      </c>
      <c r="O97" s="64">
        <f t="shared" si="45"/>
        <v>1.2</v>
      </c>
      <c r="P97" s="64">
        <f t="shared" si="45"/>
        <v>1.27</v>
      </c>
      <c r="Q97" s="64">
        <f t="shared" si="45"/>
        <v>1.3</v>
      </c>
      <c r="R97" s="64">
        <f t="shared" si="45"/>
        <v>1.36</v>
      </c>
      <c r="S97" s="64">
        <f t="shared" si="45"/>
        <v>1.36</v>
      </c>
      <c r="T97" s="64">
        <f t="shared" si="45"/>
        <v>1.39</v>
      </c>
      <c r="U97" s="64">
        <f t="shared" si="45"/>
        <v>1.38</v>
      </c>
      <c r="V97" s="64">
        <f t="shared" si="45"/>
        <v>1.25</v>
      </c>
      <c r="W97" s="64">
        <f t="shared" si="45"/>
        <v>1.28</v>
      </c>
      <c r="X97" s="64">
        <f t="shared" si="45"/>
        <v>1.19</v>
      </c>
      <c r="Y97" s="64">
        <f t="shared" si="45"/>
        <v>1.51</v>
      </c>
      <c r="Z97" s="64">
        <f t="shared" si="45"/>
        <v>1.34</v>
      </c>
      <c r="AA97" s="64">
        <f t="shared" si="45"/>
        <v>1.31</v>
      </c>
      <c r="AB97" s="64">
        <f t="shared" si="45"/>
        <v>1.1599999999999999</v>
      </c>
      <c r="AC97" s="64">
        <f t="shared" si="45"/>
        <v>1.04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6">F75</f>
        <v>3.49</v>
      </c>
      <c r="G98" s="64">
        <f t="shared" si="46"/>
        <v>3.25</v>
      </c>
      <c r="H98" s="64">
        <f t="shared" si="46"/>
        <v>2.92</v>
      </c>
      <c r="I98" s="64">
        <f t="shared" si="46"/>
        <v>2.86</v>
      </c>
      <c r="J98" s="64">
        <f t="shared" si="46"/>
        <v>2.84</v>
      </c>
      <c r="K98" s="64">
        <f t="shared" si="46"/>
        <v>2.84</v>
      </c>
      <c r="L98" s="64">
        <f t="shared" si="46"/>
        <v>3.3999999999999995</v>
      </c>
      <c r="M98" s="64">
        <f t="shared" si="46"/>
        <v>3.3599999999999994</v>
      </c>
      <c r="N98" s="64">
        <f t="shared" si="46"/>
        <v>3.5199999999999996</v>
      </c>
      <c r="O98" s="64">
        <f t="shared" si="46"/>
        <v>4.67</v>
      </c>
      <c r="P98" s="64">
        <f t="shared" si="46"/>
        <v>5.0999999999999996</v>
      </c>
      <c r="Q98" s="64">
        <f t="shared" si="46"/>
        <v>5.0999999999999996</v>
      </c>
      <c r="R98" s="64">
        <f t="shared" si="46"/>
        <v>5.0999999999999996</v>
      </c>
      <c r="S98" s="64">
        <f t="shared" si="46"/>
        <v>4.9000000000000004</v>
      </c>
      <c r="T98" s="64">
        <f t="shared" si="46"/>
        <v>5.0999999999999996</v>
      </c>
      <c r="U98" s="64">
        <f t="shared" si="46"/>
        <v>4.6900000000000004</v>
      </c>
      <c r="V98" s="64">
        <f t="shared" si="46"/>
        <v>4.67</v>
      </c>
      <c r="W98" s="64">
        <f t="shared" si="46"/>
        <v>4.49</v>
      </c>
      <c r="X98" s="64">
        <f t="shared" si="46"/>
        <v>4.2</v>
      </c>
      <c r="Y98" s="64">
        <f t="shared" si="46"/>
        <v>4.8499999999999996</v>
      </c>
      <c r="Z98" s="64">
        <f t="shared" si="46"/>
        <v>4.76</v>
      </c>
      <c r="AA98" s="64">
        <f t="shared" si="46"/>
        <v>4.3099999999999996</v>
      </c>
      <c r="AB98" s="64">
        <f t="shared" si="46"/>
        <v>4.0999999999999996</v>
      </c>
      <c r="AC98" s="64">
        <f t="shared" si="46"/>
        <v>3.7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47">F79</f>
        <v>0.8</v>
      </c>
      <c r="G99" s="64">
        <f t="shared" si="47"/>
        <v>0.76</v>
      </c>
      <c r="H99" s="64">
        <f t="shared" si="47"/>
        <v>0.7</v>
      </c>
      <c r="I99" s="64">
        <f t="shared" si="47"/>
        <v>0.67</v>
      </c>
      <c r="J99" s="64">
        <f t="shared" si="47"/>
        <v>0.67</v>
      </c>
      <c r="K99" s="64">
        <f t="shared" si="47"/>
        <v>0.71</v>
      </c>
      <c r="L99" s="64">
        <f t="shared" si="47"/>
        <v>0.77</v>
      </c>
      <c r="M99" s="64">
        <f t="shared" si="47"/>
        <v>0.78</v>
      </c>
      <c r="N99" s="64">
        <f t="shared" si="47"/>
        <v>0.69</v>
      </c>
      <c r="O99" s="64">
        <f t="shared" si="47"/>
        <v>0.71</v>
      </c>
      <c r="P99" s="64">
        <f t="shared" si="47"/>
        <v>0.79</v>
      </c>
      <c r="Q99" s="64">
        <f t="shared" si="47"/>
        <v>0.85</v>
      </c>
      <c r="R99" s="64">
        <f t="shared" si="47"/>
        <v>0.86</v>
      </c>
      <c r="S99" s="64">
        <f t="shared" si="47"/>
        <v>0.87</v>
      </c>
      <c r="T99" s="64">
        <f t="shared" si="47"/>
        <v>0.92</v>
      </c>
      <c r="U99" s="64">
        <f t="shared" si="47"/>
        <v>0.91</v>
      </c>
      <c r="V99" s="64">
        <f t="shared" si="47"/>
        <v>0.89</v>
      </c>
      <c r="W99" s="64">
        <f t="shared" si="47"/>
        <v>0.88</v>
      </c>
      <c r="X99" s="64">
        <f t="shared" si="47"/>
        <v>0.88</v>
      </c>
      <c r="Y99" s="64">
        <f t="shared" si="47"/>
        <v>1</v>
      </c>
      <c r="Z99" s="64">
        <f t="shared" si="47"/>
        <v>1</v>
      </c>
      <c r="AA99" s="64">
        <f t="shared" si="47"/>
        <v>0.97</v>
      </c>
      <c r="AB99" s="64">
        <f t="shared" si="47"/>
        <v>0.93</v>
      </c>
      <c r="AC99" s="64">
        <f t="shared" si="47"/>
        <v>0.89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48">F81</f>
        <v>0</v>
      </c>
      <c r="G100" s="64">
        <f t="shared" si="48"/>
        <v>0</v>
      </c>
      <c r="H100" s="64">
        <f t="shared" si="48"/>
        <v>0</v>
      </c>
      <c r="I100" s="64">
        <f t="shared" si="48"/>
        <v>0</v>
      </c>
      <c r="J100" s="64">
        <f t="shared" si="48"/>
        <v>0</v>
      </c>
      <c r="K100" s="64">
        <f t="shared" si="48"/>
        <v>0</v>
      </c>
      <c r="L100" s="64">
        <f t="shared" si="48"/>
        <v>0</v>
      </c>
      <c r="M100" s="64">
        <f t="shared" si="48"/>
        <v>0</v>
      </c>
      <c r="N100" s="64">
        <f t="shared" si="48"/>
        <v>0</v>
      </c>
      <c r="O100" s="64">
        <f t="shared" si="48"/>
        <v>0</v>
      </c>
      <c r="P100" s="64">
        <f t="shared" si="48"/>
        <v>0</v>
      </c>
      <c r="Q100" s="64">
        <f t="shared" si="48"/>
        <v>0</v>
      </c>
      <c r="R100" s="64">
        <f t="shared" si="48"/>
        <v>0</v>
      </c>
      <c r="S100" s="64">
        <f t="shared" si="48"/>
        <v>0</v>
      </c>
      <c r="T100" s="64">
        <f t="shared" si="48"/>
        <v>0</v>
      </c>
      <c r="U100" s="64">
        <f t="shared" si="48"/>
        <v>0</v>
      </c>
      <c r="V100" s="64">
        <f t="shared" si="48"/>
        <v>0</v>
      </c>
      <c r="W100" s="64">
        <f t="shared" si="48"/>
        <v>0</v>
      </c>
      <c r="X100" s="64">
        <f t="shared" si="48"/>
        <v>0</v>
      </c>
      <c r="Y100" s="64">
        <f t="shared" si="48"/>
        <v>0</v>
      </c>
      <c r="Z100" s="64">
        <f t="shared" si="48"/>
        <v>0</v>
      </c>
      <c r="AA100" s="64">
        <f t="shared" si="48"/>
        <v>0</v>
      </c>
      <c r="AB100" s="64">
        <f t="shared" si="48"/>
        <v>0</v>
      </c>
      <c r="AC100" s="64">
        <f t="shared" si="4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49">SUM(F88,F90,F92,F94,F96:F100,F80)</f>
        <v>38.300000000000004</v>
      </c>
      <c r="G101" s="61">
        <f t="shared" si="49"/>
        <v>35.609999999999992</v>
      </c>
      <c r="H101" s="61">
        <f t="shared" si="49"/>
        <v>34.06</v>
      </c>
      <c r="I101" s="61">
        <f t="shared" si="49"/>
        <v>33.65</v>
      </c>
      <c r="J101" s="61">
        <f t="shared" si="49"/>
        <v>32.92</v>
      </c>
      <c r="K101" s="61">
        <f t="shared" si="49"/>
        <v>33.78</v>
      </c>
      <c r="L101" s="61">
        <f t="shared" si="49"/>
        <v>37.75</v>
      </c>
      <c r="M101" s="61">
        <f t="shared" si="49"/>
        <v>38.600000000000009</v>
      </c>
      <c r="N101" s="61">
        <f t="shared" si="49"/>
        <v>41.22</v>
      </c>
      <c r="O101" s="61">
        <f t="shared" si="49"/>
        <v>50.080000000000005</v>
      </c>
      <c r="P101" s="61">
        <f t="shared" si="49"/>
        <v>56.060000000000009</v>
      </c>
      <c r="Q101" s="61">
        <f t="shared" si="49"/>
        <v>57.05</v>
      </c>
      <c r="R101" s="61">
        <f t="shared" si="49"/>
        <v>55.52</v>
      </c>
      <c r="S101" s="61">
        <f t="shared" si="49"/>
        <v>57.129999999999995</v>
      </c>
      <c r="T101" s="61">
        <f t="shared" si="49"/>
        <v>58.4</v>
      </c>
      <c r="U101" s="61">
        <f t="shared" si="49"/>
        <v>58.33</v>
      </c>
      <c r="V101" s="61">
        <f t="shared" si="49"/>
        <v>58.21</v>
      </c>
      <c r="W101" s="61">
        <f t="shared" si="49"/>
        <v>55.210000000000008</v>
      </c>
      <c r="X101" s="61">
        <f t="shared" si="49"/>
        <v>52.970000000000006</v>
      </c>
      <c r="Y101" s="61">
        <f t="shared" si="49"/>
        <v>54.86</v>
      </c>
      <c r="Z101" s="61">
        <f t="shared" si="49"/>
        <v>52.1</v>
      </c>
      <c r="AA101" s="61">
        <f t="shared" si="49"/>
        <v>51.13</v>
      </c>
      <c r="AB101" s="61">
        <f t="shared" si="49"/>
        <v>45.09</v>
      </c>
      <c r="AC101" s="61">
        <f t="shared" si="49"/>
        <v>41.58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>
        <f>4.38-2.57</f>
        <v>1.81</v>
      </c>
      <c r="AC104" s="77">
        <f>4.38-2.57</f>
        <v>1.81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50">SUM(F102:F104)</f>
        <v>0</v>
      </c>
      <c r="G105" s="61">
        <f t="shared" si="50"/>
        <v>0</v>
      </c>
      <c r="H105" s="61">
        <f t="shared" si="50"/>
        <v>0</v>
      </c>
      <c r="I105" s="61">
        <f t="shared" si="50"/>
        <v>0</v>
      </c>
      <c r="J105" s="61">
        <f t="shared" si="50"/>
        <v>0</v>
      </c>
      <c r="K105" s="61">
        <f t="shared" si="50"/>
        <v>0</v>
      </c>
      <c r="L105" s="61">
        <f t="shared" si="50"/>
        <v>0</v>
      </c>
      <c r="M105" s="61">
        <f t="shared" si="50"/>
        <v>0</v>
      </c>
      <c r="N105" s="61">
        <f t="shared" si="50"/>
        <v>0</v>
      </c>
      <c r="O105" s="61">
        <f t="shared" si="50"/>
        <v>0</v>
      </c>
      <c r="P105" s="61">
        <f t="shared" si="50"/>
        <v>0</v>
      </c>
      <c r="Q105" s="61">
        <f t="shared" si="50"/>
        <v>0</v>
      </c>
      <c r="R105" s="61">
        <f t="shared" si="50"/>
        <v>0</v>
      </c>
      <c r="S105" s="61">
        <f t="shared" si="50"/>
        <v>0</v>
      </c>
      <c r="T105" s="61">
        <f t="shared" si="50"/>
        <v>0</v>
      </c>
      <c r="U105" s="61">
        <f t="shared" si="50"/>
        <v>0</v>
      </c>
      <c r="V105" s="61">
        <f t="shared" si="50"/>
        <v>0</v>
      </c>
      <c r="W105" s="61">
        <f t="shared" si="50"/>
        <v>0</v>
      </c>
      <c r="X105" s="61">
        <f t="shared" si="50"/>
        <v>0</v>
      </c>
      <c r="Y105" s="61">
        <f t="shared" si="50"/>
        <v>0</v>
      </c>
      <c r="Z105" s="61">
        <f t="shared" si="50"/>
        <v>0</v>
      </c>
      <c r="AA105" s="61">
        <f t="shared" si="50"/>
        <v>0</v>
      </c>
      <c r="AB105" s="61">
        <f t="shared" si="50"/>
        <v>1.81</v>
      </c>
      <c r="AC105" s="61">
        <f t="shared" si="50"/>
        <v>1.81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51">F101+F105</f>
        <v>38.300000000000004</v>
      </c>
      <c r="G106" s="62">
        <f t="shared" si="51"/>
        <v>35.609999999999992</v>
      </c>
      <c r="H106" s="62">
        <f t="shared" si="51"/>
        <v>34.06</v>
      </c>
      <c r="I106" s="62">
        <f t="shared" si="51"/>
        <v>33.65</v>
      </c>
      <c r="J106" s="62">
        <f t="shared" si="51"/>
        <v>32.92</v>
      </c>
      <c r="K106" s="62">
        <f t="shared" si="51"/>
        <v>33.78</v>
      </c>
      <c r="L106" s="62">
        <f t="shared" si="51"/>
        <v>37.75</v>
      </c>
      <c r="M106" s="62">
        <f t="shared" si="51"/>
        <v>38.600000000000009</v>
      </c>
      <c r="N106" s="62">
        <f t="shared" si="51"/>
        <v>41.22</v>
      </c>
      <c r="O106" s="62">
        <f t="shared" si="51"/>
        <v>50.080000000000005</v>
      </c>
      <c r="P106" s="62">
        <f t="shared" si="51"/>
        <v>56.060000000000009</v>
      </c>
      <c r="Q106" s="62">
        <f t="shared" si="51"/>
        <v>57.05</v>
      </c>
      <c r="R106" s="62">
        <f t="shared" si="51"/>
        <v>55.52</v>
      </c>
      <c r="S106" s="62">
        <f t="shared" si="51"/>
        <v>57.129999999999995</v>
      </c>
      <c r="T106" s="62">
        <f t="shared" si="51"/>
        <v>58.4</v>
      </c>
      <c r="U106" s="62">
        <f t="shared" si="51"/>
        <v>58.33</v>
      </c>
      <c r="V106" s="62">
        <f t="shared" si="51"/>
        <v>58.21</v>
      </c>
      <c r="W106" s="62">
        <f t="shared" si="51"/>
        <v>55.210000000000008</v>
      </c>
      <c r="X106" s="62">
        <f t="shared" si="51"/>
        <v>52.970000000000006</v>
      </c>
      <c r="Y106" s="62">
        <f t="shared" si="51"/>
        <v>54.86</v>
      </c>
      <c r="Z106" s="62">
        <f t="shared" si="51"/>
        <v>52.1</v>
      </c>
      <c r="AA106" s="62">
        <f t="shared" si="51"/>
        <v>51.13</v>
      </c>
      <c r="AB106" s="62">
        <f t="shared" si="51"/>
        <v>46.900000000000006</v>
      </c>
      <c r="AC106" s="62">
        <f t="shared" si="51"/>
        <v>43.39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52">(COUNT(F13:F16))*7.2+(COUNT(F27:F28)*4.9)+(COUNT(F19:F21)*4.5)-F90-F92</f>
        <v>7.1000000000000068</v>
      </c>
      <c r="G107" s="63">
        <f t="shared" si="52"/>
        <v>8.5000000000000089</v>
      </c>
      <c r="H107" s="63">
        <f t="shared" si="52"/>
        <v>9.600000000000005</v>
      </c>
      <c r="I107" s="63">
        <f t="shared" si="52"/>
        <v>9.9000000000000092</v>
      </c>
      <c r="J107" s="63">
        <f t="shared" si="52"/>
        <v>10.600000000000005</v>
      </c>
      <c r="K107" s="63">
        <f t="shared" si="52"/>
        <v>9.8000000000000043</v>
      </c>
      <c r="L107" s="63">
        <f t="shared" si="52"/>
        <v>7.5000000000000071</v>
      </c>
      <c r="M107" s="63">
        <f t="shared" si="52"/>
        <v>8.7000000000000028</v>
      </c>
      <c r="N107" s="63">
        <f t="shared" si="52"/>
        <v>7.7000000000000064</v>
      </c>
      <c r="O107" s="63">
        <f t="shared" si="52"/>
        <v>8.1000000000000014</v>
      </c>
      <c r="P107" s="63">
        <f t="shared" si="52"/>
        <v>8.7000000000000011</v>
      </c>
      <c r="Q107" s="63">
        <f t="shared" si="52"/>
        <v>8.9</v>
      </c>
      <c r="R107" s="63">
        <f t="shared" si="52"/>
        <v>10.100000000000001</v>
      </c>
      <c r="S107" s="63">
        <f t="shared" si="52"/>
        <v>9.3000000000000025</v>
      </c>
      <c r="T107" s="63">
        <f t="shared" si="52"/>
        <v>8.9</v>
      </c>
      <c r="U107" s="63">
        <f t="shared" si="52"/>
        <v>9.3000000000000025</v>
      </c>
      <c r="V107" s="63">
        <f t="shared" si="52"/>
        <v>9.4000000000000039</v>
      </c>
      <c r="W107" s="63">
        <f t="shared" si="52"/>
        <v>10</v>
      </c>
      <c r="X107" s="63">
        <f t="shared" si="52"/>
        <v>9.5</v>
      </c>
      <c r="Y107" s="63">
        <f t="shared" si="52"/>
        <v>11.399999999999999</v>
      </c>
      <c r="Z107" s="63">
        <f t="shared" si="52"/>
        <v>11.5</v>
      </c>
      <c r="AA107" s="63">
        <f t="shared" si="52"/>
        <v>10.000000000000007</v>
      </c>
      <c r="AB107" s="63">
        <f t="shared" si="52"/>
        <v>12.900000000000004</v>
      </c>
      <c r="AC107" s="63">
        <f t="shared" si="52"/>
        <v>9.7000000000000011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5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2.400000000000003</v>
      </c>
      <c r="G108" s="206">
        <f t="shared" si="53"/>
        <v>3.8000000000000052</v>
      </c>
      <c r="H108" s="206">
        <f t="shared" si="53"/>
        <v>4.8999999999999995</v>
      </c>
      <c r="I108" s="206">
        <f t="shared" si="53"/>
        <v>5.2000000000000037</v>
      </c>
      <c r="J108" s="206">
        <f t="shared" si="53"/>
        <v>5.900000000000003</v>
      </c>
      <c r="K108" s="206">
        <f t="shared" si="53"/>
        <v>5.1000000000000005</v>
      </c>
      <c r="L108" s="206">
        <f t="shared" si="53"/>
        <v>2.8000000000000034</v>
      </c>
      <c r="M108" s="206">
        <f t="shared" si="53"/>
        <v>3.9999999999999991</v>
      </c>
      <c r="N108" s="206">
        <f t="shared" si="53"/>
        <v>3.0000000000000027</v>
      </c>
      <c r="O108" s="206">
        <f t="shared" si="53"/>
        <v>3.4000000000000012</v>
      </c>
      <c r="P108" s="206">
        <f t="shared" si="53"/>
        <v>4.0000000000000009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7.1000000000000005</v>
      </c>
      <c r="R108" s="206">
        <f t="shared" ref="R108:AC108" si="5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6.0000000000000009</v>
      </c>
      <c r="S108" s="206">
        <f t="shared" si="54"/>
        <v>5.900000000000003</v>
      </c>
      <c r="T108" s="206">
        <f t="shared" si="54"/>
        <v>5.5000000000000009</v>
      </c>
      <c r="U108" s="206">
        <f t="shared" si="54"/>
        <v>5.900000000000003</v>
      </c>
      <c r="V108" s="206">
        <f t="shared" si="54"/>
        <v>6.0000000000000044</v>
      </c>
      <c r="W108" s="206">
        <f t="shared" si="54"/>
        <v>6.8999999999999986</v>
      </c>
      <c r="X108" s="206">
        <f t="shared" si="54"/>
        <v>6.0999999999999988</v>
      </c>
      <c r="Y108" s="206">
        <f t="shared" si="54"/>
        <v>7.9999999999999973</v>
      </c>
      <c r="Z108" s="206">
        <f t="shared" si="54"/>
        <v>8.0999999999999979</v>
      </c>
      <c r="AA108" s="206">
        <f t="shared" si="54"/>
        <v>6.6000000000000023</v>
      </c>
      <c r="AB108" s="206">
        <f t="shared" si="54"/>
        <v>9.5</v>
      </c>
      <c r="AC108" s="206">
        <f t="shared" si="54"/>
        <v>7.1000000000000005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60.06</v>
      </c>
      <c r="G109" s="75">
        <v>60.11</v>
      </c>
      <c r="H109" s="75">
        <v>60.08</v>
      </c>
      <c r="I109" s="75">
        <v>60.14</v>
      </c>
      <c r="J109" s="75">
        <v>60.16</v>
      </c>
      <c r="K109" s="75">
        <v>60.06</v>
      </c>
      <c r="L109" s="75">
        <v>60.11</v>
      </c>
      <c r="M109" s="75">
        <v>60.2</v>
      </c>
      <c r="N109" s="75">
        <v>60.07</v>
      </c>
      <c r="O109" s="75">
        <v>60.17</v>
      </c>
      <c r="P109" s="84">
        <v>60.09</v>
      </c>
      <c r="Q109" s="84">
        <v>60.06</v>
      </c>
      <c r="R109" s="84">
        <v>60.17</v>
      </c>
      <c r="S109" s="84">
        <v>60.17</v>
      </c>
      <c r="T109" s="84">
        <v>60.17</v>
      </c>
      <c r="U109" s="75">
        <v>60.16</v>
      </c>
      <c r="V109" s="75">
        <v>60.16</v>
      </c>
      <c r="W109" s="75">
        <v>60.22</v>
      </c>
      <c r="X109" s="75">
        <v>60.09</v>
      </c>
      <c r="Y109" s="75">
        <v>60.09</v>
      </c>
      <c r="Z109" s="75">
        <v>60.18</v>
      </c>
      <c r="AA109" s="75">
        <v>60.24</v>
      </c>
      <c r="AB109" s="75">
        <v>60.23</v>
      </c>
      <c r="AC109" s="75">
        <v>60.24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55">SUM(G117:G124)</f>
        <v>0</v>
      </c>
      <c r="H125" s="44">
        <f t="shared" si="55"/>
        <v>0</v>
      </c>
      <c r="I125" s="44">
        <f t="shared" si="55"/>
        <v>0</v>
      </c>
      <c r="J125" s="44">
        <f t="shared" si="55"/>
        <v>0</v>
      </c>
      <c r="K125" s="44">
        <f t="shared" si="55"/>
        <v>0</v>
      </c>
      <c r="L125" s="44">
        <f t="shared" si="55"/>
        <v>0</v>
      </c>
      <c r="M125" s="44">
        <f t="shared" si="55"/>
        <v>0</v>
      </c>
      <c r="N125" s="44">
        <f t="shared" si="55"/>
        <v>0</v>
      </c>
      <c r="O125" s="44">
        <f t="shared" si="55"/>
        <v>0</v>
      </c>
      <c r="P125" s="44">
        <f t="shared" si="55"/>
        <v>0</v>
      </c>
      <c r="Q125" s="44">
        <f t="shared" si="55"/>
        <v>0</v>
      </c>
      <c r="R125" s="44">
        <f t="shared" si="55"/>
        <v>0</v>
      </c>
      <c r="S125" s="44">
        <f t="shared" si="55"/>
        <v>0</v>
      </c>
      <c r="T125" s="44">
        <f t="shared" si="55"/>
        <v>0</v>
      </c>
      <c r="U125" s="44">
        <f t="shared" si="55"/>
        <v>0</v>
      </c>
      <c r="V125" s="44">
        <f t="shared" si="55"/>
        <v>0</v>
      </c>
      <c r="W125" s="44">
        <f t="shared" si="55"/>
        <v>0</v>
      </c>
      <c r="X125" s="44">
        <f t="shared" si="55"/>
        <v>0</v>
      </c>
      <c r="Y125" s="44">
        <f t="shared" si="55"/>
        <v>0</v>
      </c>
      <c r="Z125" s="44">
        <f t="shared" si="55"/>
        <v>0</v>
      </c>
      <c r="AA125" s="44">
        <f t="shared" si="55"/>
        <v>0</v>
      </c>
      <c r="AB125" s="44">
        <f t="shared" si="55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0304" priority="1455" operator="greaterThan">
      <formula>60.3</formula>
    </cfRule>
  </conditionalFormatting>
  <conditionalFormatting sqref="G53:G55 J56:L56 I13:K14 I57:L58 K15 I15:J16 I53:I56 K16:Q16 I40:I50 N51:O52 J53:O55 L13:Q15 M56:O58 I66:S66 J24:AC24 I27:AC28 I20:AC21 I77:AC78 I67:J72 I74:J74 J35:O50 K67:S74 R13:AC16 N61:AC63 P35:AC58 T66:AC74">
    <cfRule type="cellIs" dxfId="20303" priority="1447" operator="equal">
      <formula>"PMS"</formula>
    </cfRule>
    <cfRule type="containsText" dxfId="20302" priority="1448" operator="containsText" text="CMS">
      <formula>NOT(ISERROR(SEARCH("CMS",G13)))</formula>
    </cfRule>
    <cfRule type="cellIs" dxfId="20301" priority="1449" operator="equal">
      <formula>0</formula>
    </cfRule>
    <cfRule type="cellIs" dxfId="20300" priority="1450" operator="greaterThan">
      <formula>0</formula>
    </cfRule>
    <cfRule type="cellIs" dxfId="20299" priority="1451" operator="equal">
      <formula>"PMS"</formula>
    </cfRule>
    <cfRule type="containsText" dxfId="20298" priority="1452" operator="containsText" text="CMS">
      <formula>NOT(ISERROR(SEARCH("CMS",G13)))</formula>
    </cfRule>
    <cfRule type="cellIs" dxfId="20297" priority="1453" operator="equal">
      <formula>0</formula>
    </cfRule>
    <cfRule type="cellIs" dxfId="20296" priority="1454" operator="greaterThan">
      <formula>0</formula>
    </cfRule>
  </conditionalFormatting>
  <conditionalFormatting sqref="O77:AC78 O61:AC63 O66:AC74">
    <cfRule type="cellIs" dxfId="20295" priority="1443" operator="equal">
      <formula>"PMS"</formula>
    </cfRule>
    <cfRule type="containsText" dxfId="20294" priority="1444" operator="containsText" text="CMS">
      <formula>NOT(ISERROR(SEARCH("CMS",O61)))</formula>
    </cfRule>
    <cfRule type="cellIs" dxfId="20293" priority="1445" operator="equal">
      <formula>0</formula>
    </cfRule>
    <cfRule type="cellIs" dxfId="20292" priority="1446" operator="greaterThan">
      <formula>0</formula>
    </cfRule>
  </conditionalFormatting>
  <conditionalFormatting sqref="P66:AC74">
    <cfRule type="cellIs" dxfId="20291" priority="1439" operator="equal">
      <formula>"PMS"</formula>
    </cfRule>
    <cfRule type="containsText" dxfId="20290" priority="1440" operator="containsText" text="CMS">
      <formula>NOT(ISERROR(SEARCH("CMS",P66)))</formula>
    </cfRule>
    <cfRule type="cellIs" dxfId="20289" priority="1441" operator="equal">
      <formula>0</formula>
    </cfRule>
    <cfRule type="cellIs" dxfId="20288" priority="1442" operator="greaterThan">
      <formula>0</formula>
    </cfRule>
  </conditionalFormatting>
  <conditionalFormatting sqref="O13:AC16">
    <cfRule type="cellIs" dxfId="20287" priority="1435" operator="equal">
      <formula>"PMS"</formula>
    </cfRule>
    <cfRule type="containsText" dxfId="20286" priority="1436" operator="containsText" text="CMS">
      <formula>NOT(ISERROR(SEARCH("CMS",O13)))</formula>
    </cfRule>
    <cfRule type="cellIs" dxfId="20285" priority="1437" operator="equal">
      <formula>0</formula>
    </cfRule>
    <cfRule type="cellIs" dxfId="20284" priority="1438" operator="greaterThan">
      <formula>0</formula>
    </cfRule>
  </conditionalFormatting>
  <conditionalFormatting sqref="P13:AC16">
    <cfRule type="cellIs" dxfId="20283" priority="1431" operator="equal">
      <formula>"PMS"</formula>
    </cfRule>
    <cfRule type="containsText" dxfId="20282" priority="1432" operator="containsText" text="CMS">
      <formula>NOT(ISERROR(SEARCH("CMS",P13)))</formula>
    </cfRule>
    <cfRule type="cellIs" dxfId="20281" priority="1433" operator="equal">
      <formula>0</formula>
    </cfRule>
    <cfRule type="cellIs" dxfId="20280" priority="1434" operator="greaterThan">
      <formula>0</formula>
    </cfRule>
  </conditionalFormatting>
  <conditionalFormatting sqref="O20:AC21">
    <cfRule type="cellIs" dxfId="20279" priority="1427" operator="equal">
      <formula>"PMS"</formula>
    </cfRule>
    <cfRule type="containsText" dxfId="20278" priority="1428" operator="containsText" text="CMS">
      <formula>NOT(ISERROR(SEARCH("CMS",O20)))</formula>
    </cfRule>
    <cfRule type="cellIs" dxfId="20277" priority="1429" operator="equal">
      <formula>0</formula>
    </cfRule>
    <cfRule type="cellIs" dxfId="20276" priority="1430" operator="greaterThan">
      <formula>0</formula>
    </cfRule>
  </conditionalFormatting>
  <conditionalFormatting sqref="P20:AC21">
    <cfRule type="cellIs" dxfId="20275" priority="1423" operator="equal">
      <formula>"PMS"</formula>
    </cfRule>
    <cfRule type="containsText" dxfId="20274" priority="1424" operator="containsText" text="CMS">
      <formula>NOT(ISERROR(SEARCH("CMS",P20)))</formula>
    </cfRule>
    <cfRule type="cellIs" dxfId="20273" priority="1425" operator="equal">
      <formula>0</formula>
    </cfRule>
    <cfRule type="cellIs" dxfId="20272" priority="1426" operator="greaterThan">
      <formula>0</formula>
    </cfRule>
  </conditionalFormatting>
  <conditionalFormatting sqref="O24:AC24">
    <cfRule type="cellIs" dxfId="20271" priority="1419" operator="equal">
      <formula>"PMS"</formula>
    </cfRule>
    <cfRule type="containsText" dxfId="20270" priority="1420" operator="containsText" text="CMS">
      <formula>NOT(ISERROR(SEARCH("CMS",O24)))</formula>
    </cfRule>
    <cfRule type="cellIs" dxfId="20269" priority="1421" operator="equal">
      <formula>0</formula>
    </cfRule>
    <cfRule type="cellIs" dxfId="20268" priority="1422" operator="greaterThan">
      <formula>0</formula>
    </cfRule>
  </conditionalFormatting>
  <conditionalFormatting sqref="P24:AC24">
    <cfRule type="cellIs" dxfId="20267" priority="1415" operator="equal">
      <formula>"PMS"</formula>
    </cfRule>
    <cfRule type="containsText" dxfId="20266" priority="1416" operator="containsText" text="CMS">
      <formula>NOT(ISERROR(SEARCH("CMS",P24)))</formula>
    </cfRule>
    <cfRule type="cellIs" dxfId="20265" priority="1417" operator="equal">
      <formula>0</formula>
    </cfRule>
    <cfRule type="cellIs" dxfId="20264" priority="1418" operator="greaterThan">
      <formula>0</formula>
    </cfRule>
  </conditionalFormatting>
  <conditionalFormatting sqref="O27:AC28">
    <cfRule type="cellIs" dxfId="20263" priority="1411" operator="equal">
      <formula>"PMS"</formula>
    </cfRule>
    <cfRule type="containsText" dxfId="20262" priority="1412" operator="containsText" text="CMS">
      <formula>NOT(ISERROR(SEARCH("CMS",O27)))</formula>
    </cfRule>
    <cfRule type="cellIs" dxfId="20261" priority="1413" operator="equal">
      <formula>0</formula>
    </cfRule>
    <cfRule type="cellIs" dxfId="20260" priority="1414" operator="greaterThan">
      <formula>0</formula>
    </cfRule>
  </conditionalFormatting>
  <conditionalFormatting sqref="P27:AC28">
    <cfRule type="cellIs" dxfId="20259" priority="1407" operator="equal">
      <formula>"PMS"</formula>
    </cfRule>
    <cfRule type="containsText" dxfId="20258" priority="1408" operator="containsText" text="CMS">
      <formula>NOT(ISERROR(SEARCH("CMS",P27)))</formula>
    </cfRule>
    <cfRule type="cellIs" dxfId="20257" priority="1409" operator="equal">
      <formula>0</formula>
    </cfRule>
    <cfRule type="cellIs" dxfId="20256" priority="1410" operator="greaterThan">
      <formula>0</formula>
    </cfRule>
  </conditionalFormatting>
  <conditionalFormatting sqref="O53:Q58 O35:S49 P50 R50:S58 T35:AC58">
    <cfRule type="cellIs" dxfId="20255" priority="1403" operator="equal">
      <formula>"PMS"</formula>
    </cfRule>
    <cfRule type="containsText" dxfId="20254" priority="1404" operator="containsText" text="CMS">
      <formula>NOT(ISERROR(SEARCH("CMS",O35)))</formula>
    </cfRule>
    <cfRule type="cellIs" dxfId="20253" priority="1405" operator="equal">
      <formula>0</formula>
    </cfRule>
    <cfRule type="cellIs" dxfId="20252" priority="1406" operator="greaterThan">
      <formula>0</formula>
    </cfRule>
  </conditionalFormatting>
  <conditionalFormatting sqref="O38:O49 O53:Q58 P35:S49 P50 R50:S58 T35:AC58">
    <cfRule type="cellIs" dxfId="20251" priority="1399" operator="equal">
      <formula>"PMS"</formula>
    </cfRule>
    <cfRule type="containsText" dxfId="20250" priority="1400" operator="containsText" text="CMS">
      <formula>NOT(ISERROR(SEARCH("CMS",O35)))</formula>
    </cfRule>
    <cfRule type="cellIs" dxfId="20249" priority="1401" operator="equal">
      <formula>0</formula>
    </cfRule>
    <cfRule type="cellIs" dxfId="20248" priority="1402" operator="greaterThan">
      <formula>0</formula>
    </cfRule>
  </conditionalFormatting>
  <conditionalFormatting sqref="W14:X16 W13:AC13 AC14:AC15 Z14:AB16">
    <cfRule type="cellIs" dxfId="20247" priority="1395" operator="equal">
      <formula>"PMS"</formula>
    </cfRule>
    <cfRule type="containsText" dxfId="20246" priority="1396" operator="containsText" text="CMS">
      <formula>NOT(ISERROR(SEARCH("CMS",W13)))</formula>
    </cfRule>
    <cfRule type="cellIs" dxfId="20245" priority="1397" operator="equal">
      <formula>0</formula>
    </cfRule>
    <cfRule type="cellIs" dxfId="20244" priority="1398" operator="greaterThan">
      <formula>0</formula>
    </cfRule>
  </conditionalFormatting>
  <conditionalFormatting sqref="W14:X16 W13:AC13 AC14:AC15 Z14:AB16">
    <cfRule type="cellIs" dxfId="20243" priority="1391" operator="equal">
      <formula>"PMS"</formula>
    </cfRule>
    <cfRule type="containsText" dxfId="20242" priority="1392" operator="containsText" text="CMS">
      <formula>NOT(ISERROR(SEARCH("CMS",W13)))</formula>
    </cfRule>
    <cfRule type="cellIs" dxfId="20241" priority="1393" operator="equal">
      <formula>0</formula>
    </cfRule>
    <cfRule type="cellIs" dxfId="20240" priority="1394" operator="greaterThan">
      <formula>0</formula>
    </cfRule>
  </conditionalFormatting>
  <conditionalFormatting sqref="X57:AC57">
    <cfRule type="cellIs" dxfId="20239" priority="1387" operator="equal">
      <formula>"PMS"</formula>
    </cfRule>
    <cfRule type="containsText" dxfId="20238" priority="1388" operator="containsText" text="CMS">
      <formula>NOT(ISERROR(SEARCH("CMS",X57)))</formula>
    </cfRule>
    <cfRule type="cellIs" dxfId="20237" priority="1389" operator="equal">
      <formula>0</formula>
    </cfRule>
    <cfRule type="cellIs" dxfId="20236" priority="1390" operator="greaterThan">
      <formula>0</formula>
    </cfRule>
  </conditionalFormatting>
  <conditionalFormatting sqref="X57:AC57">
    <cfRule type="cellIs" dxfId="20235" priority="1383" operator="equal">
      <formula>"PMS"</formula>
    </cfRule>
    <cfRule type="containsText" dxfId="20234" priority="1384" operator="containsText" text="CMS">
      <formula>NOT(ISERROR(SEARCH("CMS",X57)))</formula>
    </cfRule>
    <cfRule type="cellIs" dxfId="20233" priority="1385" operator="equal">
      <formula>0</formula>
    </cfRule>
    <cfRule type="cellIs" dxfId="20232" priority="1386" operator="greaterThan">
      <formula>0</formula>
    </cfRule>
  </conditionalFormatting>
  <conditionalFormatting sqref="X57:AC57">
    <cfRule type="cellIs" dxfId="20231" priority="1379" operator="equal">
      <formula>"PMS"</formula>
    </cfRule>
    <cfRule type="containsText" dxfId="20230" priority="1380" operator="containsText" text="CMS">
      <formula>NOT(ISERROR(SEARCH("CMS",X57)))</formula>
    </cfRule>
    <cfRule type="cellIs" dxfId="20229" priority="1381" operator="equal">
      <formula>0</formula>
    </cfRule>
    <cfRule type="cellIs" dxfId="20228" priority="1382" operator="greaterThan">
      <formula>0</formula>
    </cfRule>
  </conditionalFormatting>
  <conditionalFormatting sqref="X57:AC57">
    <cfRule type="cellIs" dxfId="20227" priority="1375" operator="equal">
      <formula>"PMS"</formula>
    </cfRule>
    <cfRule type="containsText" dxfId="20226" priority="1376" operator="containsText" text="CMS">
      <formula>NOT(ISERROR(SEARCH("CMS",X57)))</formula>
    </cfRule>
    <cfRule type="cellIs" dxfId="20225" priority="1377" operator="equal">
      <formula>0</formula>
    </cfRule>
    <cfRule type="cellIs" dxfId="20224" priority="1378" operator="greaterThan">
      <formula>0</formula>
    </cfRule>
  </conditionalFormatting>
  <conditionalFormatting sqref="AB58:AC58">
    <cfRule type="cellIs" dxfId="20223" priority="1371" operator="equal">
      <formula>"PMS"</formula>
    </cfRule>
    <cfRule type="containsText" dxfId="20222" priority="1372" operator="containsText" text="CMS">
      <formula>NOT(ISERROR(SEARCH("CMS",AB58)))</formula>
    </cfRule>
    <cfRule type="cellIs" dxfId="20221" priority="1373" operator="equal">
      <formula>0</formula>
    </cfRule>
    <cfRule type="cellIs" dxfId="20220" priority="1374" operator="greaterThan">
      <formula>0</formula>
    </cfRule>
  </conditionalFormatting>
  <conditionalFormatting sqref="AB58:AC58">
    <cfRule type="cellIs" dxfId="20219" priority="1367" operator="equal">
      <formula>"PMS"</formula>
    </cfRule>
    <cfRule type="containsText" dxfId="20218" priority="1368" operator="containsText" text="CMS">
      <formula>NOT(ISERROR(SEARCH("CMS",AB58)))</formula>
    </cfRule>
    <cfRule type="cellIs" dxfId="20217" priority="1369" operator="equal">
      <formula>0</formula>
    </cfRule>
    <cfRule type="cellIs" dxfId="20216" priority="1370" operator="greaterThan">
      <formula>0</formula>
    </cfRule>
  </conditionalFormatting>
  <conditionalFormatting sqref="AB58:AC58">
    <cfRule type="cellIs" dxfId="20215" priority="1363" operator="equal">
      <formula>"PMS"</formula>
    </cfRule>
    <cfRule type="containsText" dxfId="20214" priority="1364" operator="containsText" text="CMS">
      <formula>NOT(ISERROR(SEARCH("CMS",AB58)))</formula>
    </cfRule>
    <cfRule type="cellIs" dxfId="20213" priority="1365" operator="equal">
      <formula>0</formula>
    </cfRule>
    <cfRule type="cellIs" dxfId="20212" priority="1366" operator="greaterThan">
      <formula>0</formula>
    </cfRule>
  </conditionalFormatting>
  <conditionalFormatting sqref="AB58:AC58">
    <cfRule type="cellIs" dxfId="20211" priority="1359" operator="equal">
      <formula>"PMS"</formula>
    </cfRule>
    <cfRule type="containsText" dxfId="20210" priority="1360" operator="containsText" text="CMS">
      <formula>NOT(ISERROR(SEARCH("CMS",AB58)))</formula>
    </cfRule>
    <cfRule type="cellIs" dxfId="20209" priority="1361" operator="equal">
      <formula>0</formula>
    </cfRule>
    <cfRule type="cellIs" dxfId="20208" priority="1362" operator="greaterThan">
      <formula>0</formula>
    </cfRule>
  </conditionalFormatting>
  <conditionalFormatting sqref="AB78">
    <cfRule type="cellIs" dxfId="20207" priority="1355" operator="equal">
      <formula>"PMS"</formula>
    </cfRule>
    <cfRule type="containsText" dxfId="20206" priority="1356" operator="containsText" text="CMS">
      <formula>NOT(ISERROR(SEARCH("CMS",AB78)))</formula>
    </cfRule>
    <cfRule type="cellIs" dxfId="20205" priority="1357" operator="equal">
      <formula>0</formula>
    </cfRule>
    <cfRule type="cellIs" dxfId="20204" priority="1358" operator="greaterThan">
      <formula>0</formula>
    </cfRule>
  </conditionalFormatting>
  <conditionalFormatting sqref="AB78">
    <cfRule type="cellIs" dxfId="20203" priority="1351" operator="equal">
      <formula>"PMS"</formula>
    </cfRule>
    <cfRule type="containsText" dxfId="20202" priority="1352" operator="containsText" text="CMS">
      <formula>NOT(ISERROR(SEARCH("CMS",AB78)))</formula>
    </cfRule>
    <cfRule type="cellIs" dxfId="20201" priority="1353" operator="equal">
      <formula>0</formula>
    </cfRule>
    <cfRule type="cellIs" dxfId="20200" priority="1354" operator="greaterThan">
      <formula>0</formula>
    </cfRule>
  </conditionalFormatting>
  <conditionalFormatting sqref="O44:O49">
    <cfRule type="cellIs" dxfId="20199" priority="1347" operator="equal">
      <formula>"PMS"</formula>
    </cfRule>
    <cfRule type="containsText" dxfId="20198" priority="1348" operator="containsText" text="CMS">
      <formula>NOT(ISERROR(SEARCH("CMS",O44)))</formula>
    </cfRule>
    <cfRule type="cellIs" dxfId="20197" priority="1349" operator="equal">
      <formula>0</formula>
    </cfRule>
    <cfRule type="cellIs" dxfId="20196" priority="1350" operator="greaterThan">
      <formula>0</formula>
    </cfRule>
  </conditionalFormatting>
  <conditionalFormatting sqref="O55:O56 P56">
    <cfRule type="cellIs" dxfId="20195" priority="1343" operator="equal">
      <formula>"PMS"</formula>
    </cfRule>
    <cfRule type="containsText" dxfId="20194" priority="1344" operator="containsText" text="CMS">
      <formula>NOT(ISERROR(SEARCH("CMS",O55)))</formula>
    </cfRule>
    <cfRule type="cellIs" dxfId="20193" priority="1345" operator="equal">
      <formula>0</formula>
    </cfRule>
    <cfRule type="cellIs" dxfId="20192" priority="1346" operator="greaterThan">
      <formula>0</formula>
    </cfRule>
  </conditionalFormatting>
  <conditionalFormatting sqref="O49">
    <cfRule type="cellIs" dxfId="20191" priority="1339" operator="equal">
      <formula>"PMS"</formula>
    </cfRule>
    <cfRule type="containsText" dxfId="20190" priority="1340" operator="containsText" text="CMS">
      <formula>NOT(ISERROR(SEARCH("CMS",O49)))</formula>
    </cfRule>
    <cfRule type="cellIs" dxfId="20189" priority="1341" operator="equal">
      <formula>0</formula>
    </cfRule>
    <cfRule type="cellIs" dxfId="20188" priority="1342" operator="greaterThan">
      <formula>0</formula>
    </cfRule>
  </conditionalFormatting>
  <conditionalFormatting sqref="O55:O57 P56">
    <cfRule type="cellIs" dxfId="20187" priority="1335" operator="equal">
      <formula>"PMS"</formula>
    </cfRule>
    <cfRule type="containsText" dxfId="20186" priority="1336" operator="containsText" text="CMS">
      <formula>NOT(ISERROR(SEARCH("CMS",O55)))</formula>
    </cfRule>
    <cfRule type="cellIs" dxfId="20185" priority="1337" operator="equal">
      <formula>0</formula>
    </cfRule>
    <cfRule type="cellIs" dxfId="20184" priority="1338" operator="greaterThan">
      <formula>0</formula>
    </cfRule>
  </conditionalFormatting>
  <conditionalFormatting sqref="Q24:V24">
    <cfRule type="cellIs" dxfId="20183" priority="1331" operator="equal">
      <formula>"PMS"</formula>
    </cfRule>
    <cfRule type="containsText" dxfId="20182" priority="1332" operator="containsText" text="CMS">
      <formula>NOT(ISERROR(SEARCH("CMS",Q24)))</formula>
    </cfRule>
    <cfRule type="cellIs" dxfId="20181" priority="1333" operator="equal">
      <formula>0</formula>
    </cfRule>
    <cfRule type="cellIs" dxfId="20180" priority="1334" operator="greaterThan">
      <formula>0</formula>
    </cfRule>
  </conditionalFormatting>
  <conditionalFormatting sqref="Q24:V24">
    <cfRule type="cellIs" dxfId="20179" priority="1327" operator="equal">
      <formula>"PMS"</formula>
    </cfRule>
    <cfRule type="containsText" dxfId="20178" priority="1328" operator="containsText" text="CMS">
      <formula>NOT(ISERROR(SEARCH("CMS",Q24)))</formula>
    </cfRule>
    <cfRule type="cellIs" dxfId="20177" priority="1329" operator="equal">
      <formula>0</formula>
    </cfRule>
    <cfRule type="cellIs" dxfId="20176" priority="1330" operator="greaterThan">
      <formula>0</formula>
    </cfRule>
  </conditionalFormatting>
  <conditionalFormatting sqref="Q27:V28">
    <cfRule type="cellIs" dxfId="20175" priority="1323" operator="equal">
      <formula>"PMS"</formula>
    </cfRule>
    <cfRule type="containsText" dxfId="20174" priority="1324" operator="containsText" text="CMS">
      <formula>NOT(ISERROR(SEARCH("CMS",Q27)))</formula>
    </cfRule>
    <cfRule type="cellIs" dxfId="20173" priority="1325" operator="equal">
      <formula>0</formula>
    </cfRule>
    <cfRule type="cellIs" dxfId="20172" priority="1326" operator="greaterThan">
      <formula>0</formula>
    </cfRule>
  </conditionalFormatting>
  <conditionalFormatting sqref="Q27:V28">
    <cfRule type="cellIs" dxfId="20171" priority="1319" operator="equal">
      <formula>"PMS"</formula>
    </cfRule>
    <cfRule type="containsText" dxfId="20170" priority="1320" operator="containsText" text="CMS">
      <formula>NOT(ISERROR(SEARCH("CMS",Q27)))</formula>
    </cfRule>
    <cfRule type="cellIs" dxfId="20169" priority="1321" operator="equal">
      <formula>0</formula>
    </cfRule>
    <cfRule type="cellIs" dxfId="20168" priority="1322" operator="greaterThan">
      <formula>0</formula>
    </cfRule>
  </conditionalFormatting>
  <conditionalFormatting sqref="R27:V28">
    <cfRule type="cellIs" dxfId="20167" priority="1315" operator="equal">
      <formula>"PMS"</formula>
    </cfRule>
    <cfRule type="containsText" dxfId="20166" priority="1316" operator="containsText" text="CMS">
      <formula>NOT(ISERROR(SEARCH("CMS",R27)))</formula>
    </cfRule>
    <cfRule type="cellIs" dxfId="20165" priority="1317" operator="equal">
      <formula>0</formula>
    </cfRule>
    <cfRule type="cellIs" dxfId="20164" priority="1318" operator="greaterThan">
      <formula>0</formula>
    </cfRule>
  </conditionalFormatting>
  <conditionalFormatting sqref="R27:V28">
    <cfRule type="cellIs" dxfId="20163" priority="1311" operator="equal">
      <formula>"PMS"</formula>
    </cfRule>
    <cfRule type="containsText" dxfId="20162" priority="1312" operator="containsText" text="CMS">
      <formula>NOT(ISERROR(SEARCH("CMS",R27)))</formula>
    </cfRule>
    <cfRule type="cellIs" dxfId="20161" priority="1313" operator="equal">
      <formula>0</formula>
    </cfRule>
    <cfRule type="cellIs" dxfId="20160" priority="1314" operator="greaterThan">
      <formula>0</formula>
    </cfRule>
  </conditionalFormatting>
  <conditionalFormatting sqref="O55:O56 P56">
    <cfRule type="cellIs" dxfId="20159" priority="1307" operator="equal">
      <formula>"PMS"</formula>
    </cfRule>
    <cfRule type="containsText" dxfId="20158" priority="1308" operator="containsText" text="CMS">
      <formula>NOT(ISERROR(SEARCH("CMS",O55)))</formula>
    </cfRule>
    <cfRule type="cellIs" dxfId="20157" priority="1309" operator="equal">
      <formula>0</formula>
    </cfRule>
    <cfRule type="cellIs" dxfId="20156" priority="1310" operator="greaterThan">
      <formula>0</formula>
    </cfRule>
  </conditionalFormatting>
  <conditionalFormatting sqref="O44:O45">
    <cfRule type="cellIs" dxfId="20155" priority="1303" operator="equal">
      <formula>"PMS"</formula>
    </cfRule>
    <cfRule type="containsText" dxfId="20154" priority="1304" operator="containsText" text="CMS">
      <formula>NOT(ISERROR(SEARCH("CMS",O44)))</formula>
    </cfRule>
    <cfRule type="cellIs" dxfId="20153" priority="1305" operator="equal">
      <formula>0</formula>
    </cfRule>
    <cfRule type="cellIs" dxfId="20152" priority="1306" operator="greaterThan">
      <formula>0</formula>
    </cfRule>
  </conditionalFormatting>
  <conditionalFormatting sqref="O44:O45">
    <cfRule type="cellIs" dxfId="20151" priority="1299" operator="equal">
      <formula>"PMS"</formula>
    </cfRule>
    <cfRule type="containsText" dxfId="20150" priority="1300" operator="containsText" text="CMS">
      <formula>NOT(ISERROR(SEARCH("CMS",O44)))</formula>
    </cfRule>
    <cfRule type="cellIs" dxfId="20149" priority="1301" operator="equal">
      <formula>0</formula>
    </cfRule>
    <cfRule type="cellIs" dxfId="20148" priority="1302" operator="greaterThan">
      <formula>0</formula>
    </cfRule>
  </conditionalFormatting>
  <conditionalFormatting sqref="O44:O45">
    <cfRule type="cellIs" dxfId="20147" priority="1295" operator="equal">
      <formula>"PMS"</formula>
    </cfRule>
    <cfRule type="containsText" dxfId="20146" priority="1296" operator="containsText" text="CMS">
      <formula>NOT(ISERROR(SEARCH("CMS",O44)))</formula>
    </cfRule>
    <cfRule type="cellIs" dxfId="20145" priority="1297" operator="equal">
      <formula>0</formula>
    </cfRule>
    <cfRule type="cellIs" dxfId="20144" priority="1298" operator="greaterThan">
      <formula>0</formula>
    </cfRule>
  </conditionalFormatting>
  <conditionalFormatting sqref="O46">
    <cfRule type="cellIs" dxfId="20143" priority="1291" operator="equal">
      <formula>"PMS"</formula>
    </cfRule>
    <cfRule type="containsText" dxfId="20142" priority="1292" operator="containsText" text="CMS">
      <formula>NOT(ISERROR(SEARCH("CMS",O46)))</formula>
    </cfRule>
    <cfRule type="cellIs" dxfId="20141" priority="1293" operator="equal">
      <formula>0</formula>
    </cfRule>
    <cfRule type="cellIs" dxfId="20140" priority="1294" operator="greaterThan">
      <formula>0</formula>
    </cfRule>
  </conditionalFormatting>
  <conditionalFormatting sqref="O46">
    <cfRule type="cellIs" dxfId="20139" priority="1287" operator="equal">
      <formula>"PMS"</formula>
    </cfRule>
    <cfRule type="containsText" dxfId="20138" priority="1288" operator="containsText" text="CMS">
      <formula>NOT(ISERROR(SEARCH("CMS",O46)))</formula>
    </cfRule>
    <cfRule type="cellIs" dxfId="20137" priority="1289" operator="equal">
      <formula>0</formula>
    </cfRule>
    <cfRule type="cellIs" dxfId="20136" priority="1290" operator="greaterThan">
      <formula>0</formula>
    </cfRule>
  </conditionalFormatting>
  <conditionalFormatting sqref="O46">
    <cfRule type="cellIs" dxfId="20135" priority="1283" operator="equal">
      <formula>"PMS"</formula>
    </cfRule>
    <cfRule type="containsText" dxfId="20134" priority="1284" operator="containsText" text="CMS">
      <formula>NOT(ISERROR(SEARCH("CMS",O46)))</formula>
    </cfRule>
    <cfRule type="cellIs" dxfId="20133" priority="1285" operator="equal">
      <formula>0</formula>
    </cfRule>
    <cfRule type="cellIs" dxfId="20132" priority="1286" operator="greaterThan">
      <formula>0</formula>
    </cfRule>
  </conditionalFormatting>
  <conditionalFormatting sqref="J19:AC19">
    <cfRule type="cellIs" dxfId="20131" priority="1279" operator="equal">
      <formula>"CMS"</formula>
    </cfRule>
    <cfRule type="cellIs" dxfId="20130" priority="1280" operator="equal">
      <formula>"PMS"</formula>
    </cfRule>
    <cfRule type="cellIs" dxfId="20129" priority="1281" operator="greaterThan">
      <formula>0</formula>
    </cfRule>
    <cfRule type="cellIs" dxfId="20128" priority="1282" operator="equal">
      <formula>0</formula>
    </cfRule>
  </conditionalFormatting>
  <conditionalFormatting sqref="G62">
    <cfRule type="cellIs" dxfId="20127" priority="1275" operator="equal">
      <formula>"CMS"</formula>
    </cfRule>
    <cfRule type="cellIs" dxfId="20126" priority="1276" operator="equal">
      <formula>"PMS"</formula>
    </cfRule>
    <cfRule type="cellIs" dxfId="20125" priority="1277" operator="greaterThan">
      <formula>0</formula>
    </cfRule>
    <cfRule type="cellIs" dxfId="20124" priority="1278" operator="equal">
      <formula>0</formula>
    </cfRule>
  </conditionalFormatting>
  <conditionalFormatting sqref="G77">
    <cfRule type="cellIs" dxfId="20123" priority="1270" operator="equal">
      <formula>"EOC"</formula>
    </cfRule>
    <cfRule type="cellIs" dxfId="20122" priority="1271" operator="equal">
      <formula>"CMS"</formula>
    </cfRule>
    <cfRule type="cellIs" dxfId="20121" priority="1272" operator="equal">
      <formula>"PMS"</formula>
    </cfRule>
    <cfRule type="cellIs" dxfId="20120" priority="1273" operator="greaterThan">
      <formula>0</formula>
    </cfRule>
    <cfRule type="cellIs" dxfId="20119" priority="1274" operator="equal">
      <formula>0</formula>
    </cfRule>
  </conditionalFormatting>
  <conditionalFormatting sqref="F109">
    <cfRule type="cellIs" dxfId="20118" priority="1269" operator="greaterThan">
      <formula>60.3</formula>
    </cfRule>
  </conditionalFormatting>
  <conditionalFormatting sqref="G36:G44 G50 G47">
    <cfRule type="cellIs" dxfId="20117" priority="1261" operator="equal">
      <formula>"PMS"</formula>
    </cfRule>
    <cfRule type="containsText" dxfId="20116" priority="1262" operator="containsText" text="CMS">
      <formula>NOT(ISERROR(SEARCH("CMS",G36)))</formula>
    </cfRule>
    <cfRule type="cellIs" dxfId="20115" priority="1263" operator="equal">
      <formula>0</formula>
    </cfRule>
    <cfRule type="cellIs" dxfId="20114" priority="1264" operator="greaterThan">
      <formula>0</formula>
    </cfRule>
    <cfRule type="cellIs" dxfId="20113" priority="1265" operator="equal">
      <formula>"PMS"</formula>
    </cfRule>
    <cfRule type="containsText" dxfId="20112" priority="1266" operator="containsText" text="CMS">
      <formula>NOT(ISERROR(SEARCH("CMS",G36)))</formula>
    </cfRule>
    <cfRule type="cellIs" dxfId="20111" priority="1267" operator="equal">
      <formula>0</formula>
    </cfRule>
    <cfRule type="cellIs" dxfId="20110" priority="1268" operator="greaterThan">
      <formula>0</formula>
    </cfRule>
  </conditionalFormatting>
  <conditionalFormatting sqref="G36:G44 G50 G47">
    <cfRule type="cellIs" dxfId="20109" priority="1257" operator="equal">
      <formula>"PMS"</formula>
    </cfRule>
    <cfRule type="containsText" dxfId="20108" priority="1258" operator="containsText" text="CMS">
      <formula>NOT(ISERROR(SEARCH("CMS",G36)))</formula>
    </cfRule>
    <cfRule type="cellIs" dxfId="20107" priority="1259" operator="equal">
      <formula>0</formula>
    </cfRule>
    <cfRule type="cellIs" dxfId="20106" priority="1260" operator="greaterThan">
      <formula>0</formula>
    </cfRule>
  </conditionalFormatting>
  <conditionalFormatting sqref="G36:G44 G50 G47">
    <cfRule type="cellIs" dxfId="20105" priority="1253" operator="equal">
      <formula>"PMS"</formula>
    </cfRule>
    <cfRule type="containsText" dxfId="20104" priority="1254" operator="containsText" text="CMS">
      <formula>NOT(ISERROR(SEARCH("CMS",G36)))</formula>
    </cfRule>
    <cfRule type="cellIs" dxfId="20103" priority="1255" operator="equal">
      <formula>0</formula>
    </cfRule>
    <cfRule type="cellIs" dxfId="20102" priority="1256" operator="greaterThan">
      <formula>0</formula>
    </cfRule>
  </conditionalFormatting>
  <conditionalFormatting sqref="I36:I39">
    <cfRule type="cellIs" dxfId="20101" priority="1245" operator="equal">
      <formula>"PMS"</formula>
    </cfRule>
    <cfRule type="containsText" dxfId="20100" priority="1246" operator="containsText" text="CMS">
      <formula>NOT(ISERROR(SEARCH("CMS",I36)))</formula>
    </cfRule>
    <cfRule type="cellIs" dxfId="20099" priority="1247" operator="equal">
      <formula>0</formula>
    </cfRule>
    <cfRule type="cellIs" dxfId="20098" priority="1248" operator="greaterThan">
      <formula>0</formula>
    </cfRule>
    <cfRule type="cellIs" dxfId="20097" priority="1249" operator="equal">
      <formula>"PMS"</formula>
    </cfRule>
    <cfRule type="containsText" dxfId="20096" priority="1250" operator="containsText" text="CMS">
      <formula>NOT(ISERROR(SEARCH("CMS",I36)))</formula>
    </cfRule>
    <cfRule type="cellIs" dxfId="20095" priority="1251" operator="equal">
      <formula>0</formula>
    </cfRule>
    <cfRule type="cellIs" dxfId="20094" priority="1252" operator="greaterThan">
      <formula>0</formula>
    </cfRule>
  </conditionalFormatting>
  <conditionalFormatting sqref="I36:I39">
    <cfRule type="cellIs" dxfId="20093" priority="1241" operator="equal">
      <formula>"PMS"</formula>
    </cfRule>
    <cfRule type="containsText" dxfId="20092" priority="1242" operator="containsText" text="CMS">
      <formula>NOT(ISERROR(SEARCH("CMS",I36)))</formula>
    </cfRule>
    <cfRule type="cellIs" dxfId="20091" priority="1243" operator="equal">
      <formula>0</formula>
    </cfRule>
    <cfRule type="cellIs" dxfId="20090" priority="1244" operator="greaterThan">
      <formula>0</formula>
    </cfRule>
  </conditionalFormatting>
  <conditionalFormatting sqref="I36:I39">
    <cfRule type="cellIs" dxfId="20089" priority="1237" operator="equal">
      <formula>"PMS"</formula>
    </cfRule>
    <cfRule type="containsText" dxfId="20088" priority="1238" operator="containsText" text="CMS">
      <formula>NOT(ISERROR(SEARCH("CMS",I36)))</formula>
    </cfRule>
    <cfRule type="cellIs" dxfId="20087" priority="1239" operator="equal">
      <formula>0</formula>
    </cfRule>
    <cfRule type="cellIs" dxfId="20086" priority="1240" operator="greaterThan">
      <formula>0</formula>
    </cfRule>
  </conditionalFormatting>
  <conditionalFormatting sqref="O49">
    <cfRule type="cellIs" dxfId="20085" priority="1233" operator="equal">
      <formula>"PMS"</formula>
    </cfRule>
    <cfRule type="containsText" dxfId="20084" priority="1234" operator="containsText" text="CMS">
      <formula>NOT(ISERROR(SEARCH("CMS",O49)))</formula>
    </cfRule>
    <cfRule type="cellIs" dxfId="20083" priority="1235" operator="equal">
      <formula>0</formula>
    </cfRule>
    <cfRule type="cellIs" dxfId="20082" priority="1236" operator="greaterThan">
      <formula>0</formula>
    </cfRule>
  </conditionalFormatting>
  <conditionalFormatting sqref="O55:O56 P56">
    <cfRule type="cellIs" dxfId="20081" priority="1229" operator="equal">
      <formula>"PMS"</formula>
    </cfRule>
    <cfRule type="containsText" dxfId="20080" priority="1230" operator="containsText" text="CMS">
      <formula>NOT(ISERROR(SEARCH("CMS",O55)))</formula>
    </cfRule>
    <cfRule type="cellIs" dxfId="20079" priority="1231" operator="equal">
      <formula>0</formula>
    </cfRule>
    <cfRule type="cellIs" dxfId="20078" priority="1232" operator="greaterThan">
      <formula>0</formula>
    </cfRule>
  </conditionalFormatting>
  <conditionalFormatting sqref="O57:P57">
    <cfRule type="cellIs" dxfId="20077" priority="1225" operator="equal">
      <formula>"PMS"</formula>
    </cfRule>
    <cfRule type="containsText" dxfId="20076" priority="1226" operator="containsText" text="CMS">
      <formula>NOT(ISERROR(SEARCH("CMS",O57)))</formula>
    </cfRule>
    <cfRule type="cellIs" dxfId="20075" priority="1227" operator="equal">
      <formula>0</formula>
    </cfRule>
    <cfRule type="cellIs" dxfId="20074" priority="1228" operator="greaterThan">
      <formula>0</formula>
    </cfRule>
  </conditionalFormatting>
  <conditionalFormatting sqref="O49">
    <cfRule type="cellIs" dxfId="20073" priority="1221" operator="equal">
      <formula>"PMS"</formula>
    </cfRule>
    <cfRule type="containsText" dxfId="20072" priority="1222" operator="containsText" text="CMS">
      <formula>NOT(ISERROR(SEARCH("CMS",O49)))</formula>
    </cfRule>
    <cfRule type="cellIs" dxfId="20071" priority="1223" operator="equal">
      <formula>0</formula>
    </cfRule>
    <cfRule type="cellIs" dxfId="20070" priority="1224" operator="greaterThan">
      <formula>0</formula>
    </cfRule>
  </conditionalFormatting>
  <conditionalFormatting sqref="O55:O57 P56">
    <cfRule type="cellIs" dxfId="20069" priority="1217" operator="equal">
      <formula>"PMS"</formula>
    </cfRule>
    <cfRule type="containsText" dxfId="20068" priority="1218" operator="containsText" text="CMS">
      <formula>NOT(ISERROR(SEARCH("CMS",O55)))</formula>
    </cfRule>
    <cfRule type="cellIs" dxfId="20067" priority="1219" operator="equal">
      <formula>0</formula>
    </cfRule>
    <cfRule type="cellIs" dxfId="20066" priority="1220" operator="greaterThan">
      <formula>0</formula>
    </cfRule>
  </conditionalFormatting>
  <conditionalFormatting sqref="O49">
    <cfRule type="cellIs" dxfId="20065" priority="1213" operator="equal">
      <formula>"PMS"</formula>
    </cfRule>
    <cfRule type="containsText" dxfId="20064" priority="1214" operator="containsText" text="CMS">
      <formula>NOT(ISERROR(SEARCH("CMS",O49)))</formula>
    </cfRule>
    <cfRule type="cellIs" dxfId="20063" priority="1215" operator="equal">
      <formula>0</formula>
    </cfRule>
    <cfRule type="cellIs" dxfId="20062" priority="1216" operator="greaterThan">
      <formula>0</formula>
    </cfRule>
  </conditionalFormatting>
  <conditionalFormatting sqref="O55:O57 P56">
    <cfRule type="cellIs" dxfId="20061" priority="1209" operator="equal">
      <formula>"PMS"</formula>
    </cfRule>
    <cfRule type="containsText" dxfId="20060" priority="1210" operator="containsText" text="CMS">
      <formula>NOT(ISERROR(SEARCH("CMS",O55)))</formula>
    </cfRule>
    <cfRule type="cellIs" dxfId="20059" priority="1211" operator="equal">
      <formula>0</formula>
    </cfRule>
    <cfRule type="cellIs" dxfId="20058" priority="1212" operator="greaterThan">
      <formula>0</formula>
    </cfRule>
  </conditionalFormatting>
  <conditionalFormatting sqref="W14:W16">
    <cfRule type="cellIs" dxfId="20057" priority="1205" operator="equal">
      <formula>"PMS"</formula>
    </cfRule>
    <cfRule type="containsText" dxfId="20056" priority="1206" operator="containsText" text="CMS">
      <formula>NOT(ISERROR(SEARCH("CMS",W14)))</formula>
    </cfRule>
    <cfRule type="cellIs" dxfId="20055" priority="1207" operator="equal">
      <formula>0</formula>
    </cfRule>
    <cfRule type="cellIs" dxfId="20054" priority="1208" operator="greaterThan">
      <formula>0</formula>
    </cfRule>
  </conditionalFormatting>
  <conditionalFormatting sqref="W14:W16">
    <cfRule type="cellIs" dxfId="20053" priority="1201" operator="equal">
      <formula>"PMS"</formula>
    </cfRule>
    <cfRule type="containsText" dxfId="20052" priority="1202" operator="containsText" text="CMS">
      <formula>NOT(ISERROR(SEARCH("CMS",W14)))</formula>
    </cfRule>
    <cfRule type="cellIs" dxfId="20051" priority="1203" operator="equal">
      <formula>0</formula>
    </cfRule>
    <cfRule type="cellIs" dxfId="20050" priority="1204" operator="greaterThan">
      <formula>0</formula>
    </cfRule>
  </conditionalFormatting>
  <conditionalFormatting sqref="X16">
    <cfRule type="cellIs" dxfId="20049" priority="1197" operator="equal">
      <formula>"PMS"</formula>
    </cfRule>
    <cfRule type="containsText" dxfId="20048" priority="1198" operator="containsText" text="CMS">
      <formula>NOT(ISERROR(SEARCH("CMS",X16)))</formula>
    </cfRule>
    <cfRule type="cellIs" dxfId="20047" priority="1199" operator="equal">
      <formula>0</formula>
    </cfRule>
    <cfRule type="cellIs" dxfId="20046" priority="1200" operator="greaterThan">
      <formula>0</formula>
    </cfRule>
  </conditionalFormatting>
  <conditionalFormatting sqref="X16">
    <cfRule type="cellIs" dxfId="20045" priority="1193" operator="equal">
      <formula>"PMS"</formula>
    </cfRule>
    <cfRule type="containsText" dxfId="20044" priority="1194" operator="containsText" text="CMS">
      <formula>NOT(ISERROR(SEARCH("CMS",X16)))</formula>
    </cfRule>
    <cfRule type="cellIs" dxfId="20043" priority="1195" operator="equal">
      <formula>0</formula>
    </cfRule>
    <cfRule type="cellIs" dxfId="20042" priority="1196" operator="greaterThan">
      <formula>0</formula>
    </cfRule>
  </conditionalFormatting>
  <conditionalFormatting sqref="O49">
    <cfRule type="cellIs" dxfId="20041" priority="1189" operator="equal">
      <formula>"PMS"</formula>
    </cfRule>
    <cfRule type="containsText" dxfId="20040" priority="1190" operator="containsText" text="CMS">
      <formula>NOT(ISERROR(SEARCH("CMS",O49)))</formula>
    </cfRule>
    <cfRule type="cellIs" dxfId="20039" priority="1191" operator="equal">
      <formula>0</formula>
    </cfRule>
    <cfRule type="cellIs" dxfId="20038" priority="1192" operator="greaterThan">
      <formula>0</formula>
    </cfRule>
  </conditionalFormatting>
  <conditionalFormatting sqref="O56:P56">
    <cfRule type="cellIs" dxfId="20037" priority="1185" operator="equal">
      <formula>"PMS"</formula>
    </cfRule>
    <cfRule type="containsText" dxfId="20036" priority="1186" operator="containsText" text="CMS">
      <formula>NOT(ISERROR(SEARCH("CMS",O56)))</formula>
    </cfRule>
    <cfRule type="cellIs" dxfId="20035" priority="1187" operator="equal">
      <formula>0</formula>
    </cfRule>
    <cfRule type="cellIs" dxfId="20034" priority="1188" operator="greaterThan">
      <formula>0</formula>
    </cfRule>
  </conditionalFormatting>
  <conditionalFormatting sqref="Z14">
    <cfRule type="cellIs" dxfId="20033" priority="1181" operator="equal">
      <formula>"PMS"</formula>
    </cfRule>
    <cfRule type="containsText" dxfId="20032" priority="1182" operator="containsText" text="CMS">
      <formula>NOT(ISERROR(SEARCH("CMS",Z14)))</formula>
    </cfRule>
    <cfRule type="cellIs" dxfId="20031" priority="1183" operator="equal">
      <formula>0</formula>
    </cfRule>
    <cfRule type="cellIs" dxfId="20030" priority="1184" operator="greaterThan">
      <formula>0</formula>
    </cfRule>
  </conditionalFormatting>
  <conditionalFormatting sqref="Z14">
    <cfRule type="cellIs" dxfId="20029" priority="1177" operator="equal">
      <formula>"PMS"</formula>
    </cfRule>
    <cfRule type="containsText" dxfId="20028" priority="1178" operator="containsText" text="CMS">
      <formula>NOT(ISERROR(SEARCH("CMS",Z14)))</formula>
    </cfRule>
    <cfRule type="cellIs" dxfId="20027" priority="1179" operator="equal">
      <formula>0</formula>
    </cfRule>
    <cfRule type="cellIs" dxfId="20026" priority="1180" operator="greaterThan">
      <formula>0</formula>
    </cfRule>
  </conditionalFormatting>
  <conditionalFormatting sqref="Z15">
    <cfRule type="cellIs" dxfId="20025" priority="1173" operator="equal">
      <formula>"PMS"</formula>
    </cfRule>
    <cfRule type="containsText" dxfId="20024" priority="1174" operator="containsText" text="CMS">
      <formula>NOT(ISERROR(SEARCH("CMS",Z15)))</formula>
    </cfRule>
    <cfRule type="cellIs" dxfId="20023" priority="1175" operator="equal">
      <formula>0</formula>
    </cfRule>
    <cfRule type="cellIs" dxfId="20022" priority="1176" operator="greaterThan">
      <formula>0</formula>
    </cfRule>
  </conditionalFormatting>
  <conditionalFormatting sqref="Z15">
    <cfRule type="cellIs" dxfId="20021" priority="1169" operator="equal">
      <formula>"PMS"</formula>
    </cfRule>
    <cfRule type="containsText" dxfId="20020" priority="1170" operator="containsText" text="CMS">
      <formula>NOT(ISERROR(SEARCH("CMS",Z15)))</formula>
    </cfRule>
    <cfRule type="cellIs" dxfId="20019" priority="1171" operator="equal">
      <formula>0</formula>
    </cfRule>
    <cfRule type="cellIs" dxfId="20018" priority="1172" operator="greaterThan">
      <formula>0</formula>
    </cfRule>
  </conditionalFormatting>
  <conditionalFormatting sqref="Z16">
    <cfRule type="cellIs" dxfId="20017" priority="1165" operator="equal">
      <formula>"PMS"</formula>
    </cfRule>
    <cfRule type="containsText" dxfId="20016" priority="1166" operator="containsText" text="CMS">
      <formula>NOT(ISERROR(SEARCH("CMS",Z16)))</formula>
    </cfRule>
    <cfRule type="cellIs" dxfId="20015" priority="1167" operator="equal">
      <formula>0</formula>
    </cfRule>
    <cfRule type="cellIs" dxfId="20014" priority="1168" operator="greaterThan">
      <formula>0</formula>
    </cfRule>
  </conditionalFormatting>
  <conditionalFormatting sqref="Z16">
    <cfRule type="cellIs" dxfId="20013" priority="1161" operator="equal">
      <formula>"PMS"</formula>
    </cfRule>
    <cfRule type="containsText" dxfId="20012" priority="1162" operator="containsText" text="CMS">
      <formula>NOT(ISERROR(SEARCH("CMS",Z16)))</formula>
    </cfRule>
    <cfRule type="cellIs" dxfId="20011" priority="1163" operator="equal">
      <formula>0</formula>
    </cfRule>
    <cfRule type="cellIs" dxfId="20010" priority="1164" operator="greaterThan">
      <formula>0</formula>
    </cfRule>
  </conditionalFormatting>
  <conditionalFormatting sqref="AA13:AA16">
    <cfRule type="cellIs" dxfId="20009" priority="1157" operator="equal">
      <formula>"PMS"</formula>
    </cfRule>
    <cfRule type="containsText" dxfId="20008" priority="1158" operator="containsText" text="CMS">
      <formula>NOT(ISERROR(SEARCH("CMS",AA13)))</formula>
    </cfRule>
    <cfRule type="cellIs" dxfId="20007" priority="1159" operator="equal">
      <formula>0</formula>
    </cfRule>
    <cfRule type="cellIs" dxfId="20006" priority="1160" operator="greaterThan">
      <formula>0</formula>
    </cfRule>
  </conditionalFormatting>
  <conditionalFormatting sqref="AA13:AA16">
    <cfRule type="cellIs" dxfId="20005" priority="1153" operator="equal">
      <formula>"PMS"</formula>
    </cfRule>
    <cfRule type="containsText" dxfId="20004" priority="1154" operator="containsText" text="CMS">
      <formula>NOT(ISERROR(SEARCH("CMS",AA13)))</formula>
    </cfRule>
    <cfRule type="cellIs" dxfId="20003" priority="1155" operator="equal">
      <formula>0</formula>
    </cfRule>
    <cfRule type="cellIs" dxfId="20002" priority="1156" operator="greaterThan">
      <formula>0</formula>
    </cfRule>
  </conditionalFormatting>
  <conditionalFormatting sqref="Z15:AA15">
    <cfRule type="cellIs" dxfId="20001" priority="1149" operator="equal">
      <formula>"PMS"</formula>
    </cfRule>
    <cfRule type="containsText" dxfId="20000" priority="1150" operator="containsText" text="CMS">
      <formula>NOT(ISERROR(SEARCH("CMS",Z15)))</formula>
    </cfRule>
    <cfRule type="cellIs" dxfId="19999" priority="1151" operator="equal">
      <formula>0</formula>
    </cfRule>
    <cfRule type="cellIs" dxfId="19998" priority="1152" operator="greaterThan">
      <formula>0</formula>
    </cfRule>
  </conditionalFormatting>
  <conditionalFormatting sqref="Z15:AA15">
    <cfRule type="cellIs" dxfId="19997" priority="1145" operator="equal">
      <formula>"PMS"</formula>
    </cfRule>
    <cfRule type="containsText" dxfId="19996" priority="1146" operator="containsText" text="CMS">
      <formula>NOT(ISERROR(SEARCH("CMS",Z15)))</formula>
    </cfRule>
    <cfRule type="cellIs" dxfId="19995" priority="1147" operator="equal">
      <formula>0</formula>
    </cfRule>
    <cfRule type="cellIs" dxfId="19994" priority="1148" operator="greaterThan">
      <formula>0</formula>
    </cfRule>
  </conditionalFormatting>
  <conditionalFormatting sqref="Z16:AA16">
    <cfRule type="cellIs" dxfId="19993" priority="1141" operator="equal">
      <formula>"PMS"</formula>
    </cfRule>
    <cfRule type="containsText" dxfId="19992" priority="1142" operator="containsText" text="CMS">
      <formula>NOT(ISERROR(SEARCH("CMS",Z16)))</formula>
    </cfRule>
    <cfRule type="cellIs" dxfId="19991" priority="1143" operator="equal">
      <formula>0</formula>
    </cfRule>
    <cfRule type="cellIs" dxfId="19990" priority="1144" operator="greaterThan">
      <formula>0</formula>
    </cfRule>
  </conditionalFormatting>
  <conditionalFormatting sqref="Z16:AA16">
    <cfRule type="cellIs" dxfId="19989" priority="1137" operator="equal">
      <formula>"PMS"</formula>
    </cfRule>
    <cfRule type="containsText" dxfId="19988" priority="1138" operator="containsText" text="CMS">
      <formula>NOT(ISERROR(SEARCH("CMS",Z16)))</formula>
    </cfRule>
    <cfRule type="cellIs" dxfId="19987" priority="1139" operator="equal">
      <formula>0</formula>
    </cfRule>
    <cfRule type="cellIs" dxfId="19986" priority="1140" operator="greaterThan">
      <formula>0</formula>
    </cfRule>
  </conditionalFormatting>
  <conditionalFormatting sqref="AA27">
    <cfRule type="cellIs" dxfId="19985" priority="1133" operator="equal">
      <formula>"PMS"</formula>
    </cfRule>
    <cfRule type="containsText" dxfId="19984" priority="1134" operator="containsText" text="CMS">
      <formula>NOT(ISERROR(SEARCH("CMS",AA27)))</formula>
    </cfRule>
    <cfRule type="cellIs" dxfId="19983" priority="1135" operator="equal">
      <formula>0</formula>
    </cfRule>
    <cfRule type="cellIs" dxfId="19982" priority="1136" operator="greaterThan">
      <formula>0</formula>
    </cfRule>
  </conditionalFormatting>
  <conditionalFormatting sqref="AA27">
    <cfRule type="cellIs" dxfId="19981" priority="1129" operator="equal">
      <formula>"PMS"</formula>
    </cfRule>
    <cfRule type="containsText" dxfId="19980" priority="1130" operator="containsText" text="CMS">
      <formula>NOT(ISERROR(SEARCH("CMS",AA27)))</formula>
    </cfRule>
    <cfRule type="cellIs" dxfId="19979" priority="1131" operator="equal">
      <formula>0</formula>
    </cfRule>
    <cfRule type="cellIs" dxfId="19978" priority="1132" operator="greaterThan">
      <formula>0</formula>
    </cfRule>
  </conditionalFormatting>
  <conditionalFormatting sqref="AA28">
    <cfRule type="cellIs" dxfId="19977" priority="1125" operator="equal">
      <formula>"PMS"</formula>
    </cfRule>
    <cfRule type="containsText" dxfId="19976" priority="1126" operator="containsText" text="CMS">
      <formula>NOT(ISERROR(SEARCH("CMS",AA28)))</formula>
    </cfRule>
    <cfRule type="cellIs" dxfId="19975" priority="1127" operator="equal">
      <formula>0</formula>
    </cfRule>
    <cfRule type="cellIs" dxfId="19974" priority="1128" operator="greaterThan">
      <formula>0</formula>
    </cfRule>
  </conditionalFormatting>
  <conditionalFormatting sqref="AA28">
    <cfRule type="cellIs" dxfId="19973" priority="1121" operator="equal">
      <formula>"PMS"</formula>
    </cfRule>
    <cfRule type="containsText" dxfId="19972" priority="1122" operator="containsText" text="CMS">
      <formula>NOT(ISERROR(SEARCH("CMS",AA28)))</formula>
    </cfRule>
    <cfRule type="cellIs" dxfId="19971" priority="1123" operator="equal">
      <formula>0</formula>
    </cfRule>
    <cfRule type="cellIs" dxfId="19970" priority="1124" operator="greaterThan">
      <formula>0</formula>
    </cfRule>
  </conditionalFormatting>
  <conditionalFormatting sqref="AB14">
    <cfRule type="cellIs" dxfId="19969" priority="1117" operator="equal">
      <formula>"PMS"</formula>
    </cfRule>
    <cfRule type="containsText" dxfId="19968" priority="1118" operator="containsText" text="CMS">
      <formula>NOT(ISERROR(SEARCH("CMS",AB14)))</formula>
    </cfRule>
    <cfRule type="cellIs" dxfId="19967" priority="1119" operator="equal">
      <formula>0</formula>
    </cfRule>
    <cfRule type="cellIs" dxfId="19966" priority="1120" operator="greaterThan">
      <formula>0</formula>
    </cfRule>
  </conditionalFormatting>
  <conditionalFormatting sqref="AB14">
    <cfRule type="cellIs" dxfId="19965" priority="1113" operator="equal">
      <formula>"PMS"</formula>
    </cfRule>
    <cfRule type="containsText" dxfId="19964" priority="1114" operator="containsText" text="CMS">
      <formula>NOT(ISERROR(SEARCH("CMS",AB14)))</formula>
    </cfRule>
    <cfRule type="cellIs" dxfId="19963" priority="1115" operator="equal">
      <formula>0</formula>
    </cfRule>
    <cfRule type="cellIs" dxfId="19962" priority="1116" operator="greaterThan">
      <formula>0</formula>
    </cfRule>
  </conditionalFormatting>
  <conditionalFormatting sqref="AB15">
    <cfRule type="cellIs" dxfId="19961" priority="1109" operator="equal">
      <formula>"PMS"</formula>
    </cfRule>
    <cfRule type="containsText" dxfId="19960" priority="1110" operator="containsText" text="CMS">
      <formula>NOT(ISERROR(SEARCH("CMS",AB15)))</formula>
    </cfRule>
    <cfRule type="cellIs" dxfId="19959" priority="1111" operator="equal">
      <formula>0</formula>
    </cfRule>
    <cfRule type="cellIs" dxfId="19958" priority="1112" operator="greaterThan">
      <formula>0</formula>
    </cfRule>
  </conditionalFormatting>
  <conditionalFormatting sqref="AB15">
    <cfRule type="cellIs" dxfId="19957" priority="1105" operator="equal">
      <formula>"PMS"</formula>
    </cfRule>
    <cfRule type="containsText" dxfId="19956" priority="1106" operator="containsText" text="CMS">
      <formula>NOT(ISERROR(SEARCH("CMS",AB15)))</formula>
    </cfRule>
    <cfRule type="cellIs" dxfId="19955" priority="1107" operator="equal">
      <formula>0</formula>
    </cfRule>
    <cfRule type="cellIs" dxfId="19954" priority="1108" operator="greaterThan">
      <formula>0</formula>
    </cfRule>
  </conditionalFormatting>
  <conditionalFormatting sqref="AB16">
    <cfRule type="cellIs" dxfId="19953" priority="1101" operator="equal">
      <formula>"PMS"</formula>
    </cfRule>
    <cfRule type="containsText" dxfId="19952" priority="1102" operator="containsText" text="CMS">
      <formula>NOT(ISERROR(SEARCH("CMS",AB16)))</formula>
    </cfRule>
    <cfRule type="cellIs" dxfId="19951" priority="1103" operator="equal">
      <formula>0</formula>
    </cfRule>
    <cfRule type="cellIs" dxfId="19950" priority="1104" operator="greaterThan">
      <formula>0</formula>
    </cfRule>
  </conditionalFormatting>
  <conditionalFormatting sqref="AB16">
    <cfRule type="cellIs" dxfId="19949" priority="1097" operator="equal">
      <formula>"PMS"</formula>
    </cfRule>
    <cfRule type="containsText" dxfId="19948" priority="1098" operator="containsText" text="CMS">
      <formula>NOT(ISERROR(SEARCH("CMS",AB16)))</formula>
    </cfRule>
    <cfRule type="cellIs" dxfId="19947" priority="1099" operator="equal">
      <formula>0</formula>
    </cfRule>
    <cfRule type="cellIs" dxfId="19946" priority="1100" operator="greaterThan">
      <formula>0</formula>
    </cfRule>
  </conditionalFormatting>
  <conditionalFormatting sqref="J62">
    <cfRule type="cellIs" dxfId="19945" priority="1089" operator="equal">
      <formula>"PMS"</formula>
    </cfRule>
    <cfRule type="containsText" dxfId="19944" priority="1090" operator="containsText" text="CMS">
      <formula>NOT(ISERROR(SEARCH("CMS",J62)))</formula>
    </cfRule>
    <cfRule type="cellIs" dxfId="19943" priority="1091" operator="equal">
      <formula>0</formula>
    </cfRule>
    <cfRule type="cellIs" dxfId="19942" priority="1092" operator="greaterThan">
      <formula>0</formula>
    </cfRule>
    <cfRule type="cellIs" dxfId="19941" priority="1093" operator="equal">
      <formula>"PMS"</formula>
    </cfRule>
    <cfRule type="containsText" dxfId="19940" priority="1094" operator="containsText" text="CMS">
      <formula>NOT(ISERROR(SEARCH("CMS",J62)))</formula>
    </cfRule>
    <cfRule type="cellIs" dxfId="19939" priority="1095" operator="equal">
      <formula>0</formula>
    </cfRule>
    <cfRule type="cellIs" dxfId="19938" priority="1096" operator="greaterThan">
      <formula>0</formula>
    </cfRule>
  </conditionalFormatting>
  <conditionalFormatting sqref="W14">
    <cfRule type="cellIs" dxfId="19937" priority="1085" operator="equal">
      <formula>"PMS"</formula>
    </cfRule>
    <cfRule type="containsText" dxfId="19936" priority="1086" operator="containsText" text="CMS">
      <formula>NOT(ISERROR(SEARCH("CMS",W14)))</formula>
    </cfRule>
    <cfRule type="cellIs" dxfId="19935" priority="1087" operator="equal">
      <formula>0</formula>
    </cfRule>
    <cfRule type="cellIs" dxfId="19934" priority="1088" operator="greaterThan">
      <formula>0</formula>
    </cfRule>
  </conditionalFormatting>
  <conditionalFormatting sqref="W14">
    <cfRule type="cellIs" dxfId="19933" priority="1081" operator="equal">
      <formula>"PMS"</formula>
    </cfRule>
    <cfRule type="containsText" dxfId="19932" priority="1082" operator="containsText" text="CMS">
      <formula>NOT(ISERROR(SEARCH("CMS",W14)))</formula>
    </cfRule>
    <cfRule type="cellIs" dxfId="19931" priority="1083" operator="equal">
      <formula>0</formula>
    </cfRule>
    <cfRule type="cellIs" dxfId="19930" priority="1084" operator="greaterThan">
      <formula>0</formula>
    </cfRule>
  </conditionalFormatting>
  <conditionalFormatting sqref="W15">
    <cfRule type="cellIs" dxfId="19929" priority="1077" operator="equal">
      <formula>"PMS"</formula>
    </cfRule>
    <cfRule type="containsText" dxfId="19928" priority="1078" operator="containsText" text="CMS">
      <formula>NOT(ISERROR(SEARCH("CMS",W15)))</formula>
    </cfRule>
    <cfRule type="cellIs" dxfId="19927" priority="1079" operator="equal">
      <formula>0</formula>
    </cfRule>
    <cfRule type="cellIs" dxfId="19926" priority="1080" operator="greaterThan">
      <formula>0</formula>
    </cfRule>
  </conditionalFormatting>
  <conditionalFormatting sqref="W15">
    <cfRule type="cellIs" dxfId="19925" priority="1073" operator="equal">
      <formula>"PMS"</formula>
    </cfRule>
    <cfRule type="containsText" dxfId="19924" priority="1074" operator="containsText" text="CMS">
      <formula>NOT(ISERROR(SEARCH("CMS",W15)))</formula>
    </cfRule>
    <cfRule type="cellIs" dxfId="19923" priority="1075" operator="equal">
      <formula>0</formula>
    </cfRule>
    <cfRule type="cellIs" dxfId="19922" priority="1076" operator="greaterThan">
      <formula>0</formula>
    </cfRule>
  </conditionalFormatting>
  <conditionalFormatting sqref="W16">
    <cfRule type="cellIs" dxfId="19921" priority="1069" operator="equal">
      <formula>"PMS"</formula>
    </cfRule>
    <cfRule type="containsText" dxfId="19920" priority="1070" operator="containsText" text="CMS">
      <formula>NOT(ISERROR(SEARCH("CMS",W16)))</formula>
    </cfRule>
    <cfRule type="cellIs" dxfId="19919" priority="1071" operator="equal">
      <formula>0</formula>
    </cfRule>
    <cfRule type="cellIs" dxfId="19918" priority="1072" operator="greaterThan">
      <formula>0</formula>
    </cfRule>
  </conditionalFormatting>
  <conditionalFormatting sqref="W16">
    <cfRule type="cellIs" dxfId="19917" priority="1065" operator="equal">
      <formula>"PMS"</formula>
    </cfRule>
    <cfRule type="containsText" dxfId="19916" priority="1066" operator="containsText" text="CMS">
      <formula>NOT(ISERROR(SEARCH("CMS",W16)))</formula>
    </cfRule>
    <cfRule type="cellIs" dxfId="19915" priority="1067" operator="equal">
      <formula>0</formula>
    </cfRule>
    <cfRule type="cellIs" dxfId="19914" priority="1068" operator="greaterThan">
      <formula>0</formula>
    </cfRule>
  </conditionalFormatting>
  <conditionalFormatting sqref="G56">
    <cfRule type="cellIs" dxfId="19913" priority="1057" operator="equal">
      <formula>"PMS"</formula>
    </cfRule>
    <cfRule type="containsText" dxfId="19912" priority="1058" operator="containsText" text="CMS">
      <formula>NOT(ISERROR(SEARCH("CMS",G56)))</formula>
    </cfRule>
    <cfRule type="cellIs" dxfId="19911" priority="1059" operator="equal">
      <formula>0</formula>
    </cfRule>
    <cfRule type="cellIs" dxfId="19910" priority="1060" operator="greaterThan">
      <formula>0</formula>
    </cfRule>
    <cfRule type="cellIs" dxfId="19909" priority="1061" operator="equal">
      <formula>"PMS"</formula>
    </cfRule>
    <cfRule type="containsText" dxfId="19908" priority="1062" operator="containsText" text="CMS">
      <formula>NOT(ISERROR(SEARCH("CMS",G56)))</formula>
    </cfRule>
    <cfRule type="cellIs" dxfId="19907" priority="1063" operator="equal">
      <formula>0</formula>
    </cfRule>
    <cfRule type="cellIs" dxfId="19906" priority="1064" operator="greaterThan">
      <formula>0</formula>
    </cfRule>
  </conditionalFormatting>
  <conditionalFormatting sqref="G56">
    <cfRule type="cellIs" dxfId="19905" priority="1053" operator="equal">
      <formula>"PMS"</formula>
    </cfRule>
    <cfRule type="containsText" dxfId="19904" priority="1054" operator="containsText" text="CMS">
      <formula>NOT(ISERROR(SEARCH("CMS",G56)))</formula>
    </cfRule>
    <cfRule type="cellIs" dxfId="19903" priority="1055" operator="equal">
      <formula>0</formula>
    </cfRule>
    <cfRule type="cellIs" dxfId="19902" priority="1056" operator="greaterThan">
      <formula>0</formula>
    </cfRule>
  </conditionalFormatting>
  <conditionalFormatting sqref="G56">
    <cfRule type="cellIs" dxfId="19901" priority="1049" operator="equal">
      <formula>"PMS"</formula>
    </cfRule>
    <cfRule type="containsText" dxfId="19900" priority="1050" operator="containsText" text="CMS">
      <formula>NOT(ISERROR(SEARCH("CMS",G56)))</formula>
    </cfRule>
    <cfRule type="cellIs" dxfId="19899" priority="1051" operator="equal">
      <formula>0</formula>
    </cfRule>
    <cfRule type="cellIs" dxfId="19898" priority="1052" operator="greaterThan">
      <formula>0</formula>
    </cfRule>
  </conditionalFormatting>
  <conditionalFormatting sqref="G13:G14">
    <cfRule type="cellIs" dxfId="19897" priority="1041" operator="equal">
      <formula>"PMS"</formula>
    </cfRule>
    <cfRule type="containsText" dxfId="19896" priority="1042" operator="containsText" text="CMS">
      <formula>NOT(ISERROR(SEARCH("CMS",G13)))</formula>
    </cfRule>
    <cfRule type="cellIs" dxfId="19895" priority="1043" operator="equal">
      <formula>0</formula>
    </cfRule>
    <cfRule type="cellIs" dxfId="19894" priority="1044" operator="greaterThan">
      <formula>0</formula>
    </cfRule>
    <cfRule type="cellIs" dxfId="19893" priority="1045" operator="equal">
      <formula>"PMS"</formula>
    </cfRule>
    <cfRule type="containsText" dxfId="19892" priority="1046" operator="containsText" text="CMS">
      <formula>NOT(ISERROR(SEARCH("CMS",G13)))</formula>
    </cfRule>
    <cfRule type="cellIs" dxfId="19891" priority="1047" operator="equal">
      <formula>0</formula>
    </cfRule>
    <cfRule type="cellIs" dxfId="19890" priority="1048" operator="greaterThan">
      <formula>0</formula>
    </cfRule>
  </conditionalFormatting>
  <conditionalFormatting sqref="G13:G14">
    <cfRule type="cellIs" dxfId="19889" priority="1037" operator="equal">
      <formula>"PMS"</formula>
    </cfRule>
    <cfRule type="containsText" dxfId="19888" priority="1038" operator="containsText" text="CMS">
      <formula>NOT(ISERROR(SEARCH("CMS",G13)))</formula>
    </cfRule>
    <cfRule type="cellIs" dxfId="19887" priority="1039" operator="equal">
      <formula>0</formula>
    </cfRule>
    <cfRule type="cellIs" dxfId="19886" priority="1040" operator="greaterThan">
      <formula>0</formula>
    </cfRule>
  </conditionalFormatting>
  <conditionalFormatting sqref="G13:G14">
    <cfRule type="cellIs" dxfId="19885" priority="1033" operator="equal">
      <formula>"PMS"</formula>
    </cfRule>
    <cfRule type="containsText" dxfId="19884" priority="1034" operator="containsText" text="CMS">
      <formula>NOT(ISERROR(SEARCH("CMS",G13)))</formula>
    </cfRule>
    <cfRule type="cellIs" dxfId="19883" priority="1035" operator="equal">
      <formula>0</formula>
    </cfRule>
    <cfRule type="cellIs" dxfId="19882" priority="1036" operator="greaterThan">
      <formula>0</formula>
    </cfRule>
  </conditionalFormatting>
  <conditionalFormatting sqref="G13:G14">
    <cfRule type="cellIs" dxfId="19881" priority="1029" operator="equal">
      <formula>"PMS"</formula>
    </cfRule>
    <cfRule type="containsText" dxfId="19880" priority="1030" operator="containsText" text="CMS">
      <formula>NOT(ISERROR(SEARCH("CMS",G13)))</formula>
    </cfRule>
    <cfRule type="cellIs" dxfId="19879" priority="1031" operator="equal">
      <formula>0</formula>
    </cfRule>
    <cfRule type="cellIs" dxfId="19878" priority="1032" operator="greaterThan">
      <formula>0</formula>
    </cfRule>
  </conditionalFormatting>
  <conditionalFormatting sqref="G13:G14">
    <cfRule type="cellIs" dxfId="19877" priority="1025" operator="equal">
      <formula>"PMS"</formula>
    </cfRule>
    <cfRule type="containsText" dxfId="19876" priority="1026" operator="containsText" text="CMS">
      <formula>NOT(ISERROR(SEARCH("CMS",G13)))</formula>
    </cfRule>
    <cfRule type="cellIs" dxfId="19875" priority="1027" operator="equal">
      <formula>0</formula>
    </cfRule>
    <cfRule type="cellIs" dxfId="19874" priority="1028" operator="greaterThan">
      <formula>0</formula>
    </cfRule>
  </conditionalFormatting>
  <conditionalFormatting sqref="G20">
    <cfRule type="cellIs" dxfId="19873" priority="1017" operator="equal">
      <formula>"PMS"</formula>
    </cfRule>
    <cfRule type="containsText" dxfId="19872" priority="1018" operator="containsText" text="CMS">
      <formula>NOT(ISERROR(SEARCH("CMS",G20)))</formula>
    </cfRule>
    <cfRule type="cellIs" dxfId="19871" priority="1019" operator="equal">
      <formula>0</formula>
    </cfRule>
    <cfRule type="cellIs" dxfId="19870" priority="1020" operator="greaterThan">
      <formula>0</formula>
    </cfRule>
    <cfRule type="cellIs" dxfId="19869" priority="1021" operator="equal">
      <formula>"PMS"</formula>
    </cfRule>
    <cfRule type="containsText" dxfId="19868" priority="1022" operator="containsText" text="CMS">
      <formula>NOT(ISERROR(SEARCH("CMS",G20)))</formula>
    </cfRule>
    <cfRule type="cellIs" dxfId="19867" priority="1023" operator="equal">
      <formula>0</formula>
    </cfRule>
    <cfRule type="cellIs" dxfId="19866" priority="1024" operator="greaterThan">
      <formula>0</formula>
    </cfRule>
  </conditionalFormatting>
  <conditionalFormatting sqref="G20">
    <cfRule type="cellIs" dxfId="19865" priority="1013" operator="equal">
      <formula>"PMS"</formula>
    </cfRule>
    <cfRule type="containsText" dxfId="19864" priority="1014" operator="containsText" text="CMS">
      <formula>NOT(ISERROR(SEARCH("CMS",G20)))</formula>
    </cfRule>
    <cfRule type="cellIs" dxfId="19863" priority="1015" operator="equal">
      <formula>0</formula>
    </cfRule>
    <cfRule type="cellIs" dxfId="19862" priority="1016" operator="greaterThan">
      <formula>0</formula>
    </cfRule>
  </conditionalFormatting>
  <conditionalFormatting sqref="G20">
    <cfRule type="cellIs" dxfId="19861" priority="1009" operator="equal">
      <formula>"PMS"</formula>
    </cfRule>
    <cfRule type="containsText" dxfId="19860" priority="1010" operator="containsText" text="CMS">
      <formula>NOT(ISERROR(SEARCH("CMS",G20)))</formula>
    </cfRule>
    <cfRule type="cellIs" dxfId="19859" priority="1011" operator="equal">
      <formula>0</formula>
    </cfRule>
    <cfRule type="cellIs" dxfId="19858" priority="1012" operator="greaterThan">
      <formula>0</formula>
    </cfRule>
  </conditionalFormatting>
  <conditionalFormatting sqref="G27:G29 J29 M29 P29 S29 V29 AB29">
    <cfRule type="cellIs" dxfId="19857" priority="1001" operator="equal">
      <formula>"PMS"</formula>
    </cfRule>
    <cfRule type="containsText" dxfId="19856" priority="1002" operator="containsText" text="CMS">
      <formula>NOT(ISERROR(SEARCH("CMS",G27)))</formula>
    </cfRule>
    <cfRule type="cellIs" dxfId="19855" priority="1003" operator="equal">
      <formula>0</formula>
    </cfRule>
    <cfRule type="cellIs" dxfId="19854" priority="1004" operator="greaterThan">
      <formula>0</formula>
    </cfRule>
    <cfRule type="cellIs" dxfId="19853" priority="1005" operator="equal">
      <formula>"PMS"</formula>
    </cfRule>
    <cfRule type="containsText" dxfId="19852" priority="1006" operator="containsText" text="CMS">
      <formula>NOT(ISERROR(SEARCH("CMS",G27)))</formula>
    </cfRule>
    <cfRule type="cellIs" dxfId="19851" priority="1007" operator="equal">
      <formula>0</formula>
    </cfRule>
    <cfRule type="cellIs" dxfId="19850" priority="1008" operator="greaterThan">
      <formula>0</formula>
    </cfRule>
  </conditionalFormatting>
  <conditionalFormatting sqref="G27:G29 J29 M29 P29 S29 V29 AB29">
    <cfRule type="cellIs" dxfId="19849" priority="997" operator="equal">
      <formula>"PMS"</formula>
    </cfRule>
    <cfRule type="containsText" dxfId="19848" priority="998" operator="containsText" text="CMS">
      <formula>NOT(ISERROR(SEARCH("CMS",G27)))</formula>
    </cfRule>
    <cfRule type="cellIs" dxfId="19847" priority="999" operator="equal">
      <formula>0</formula>
    </cfRule>
    <cfRule type="cellIs" dxfId="19846" priority="1000" operator="greaterThan">
      <formula>0</formula>
    </cfRule>
  </conditionalFormatting>
  <conditionalFormatting sqref="G27:G29 J29 M29 P29 S29 V29 AB29">
    <cfRule type="cellIs" dxfId="19845" priority="993" operator="equal">
      <formula>"PMS"</formula>
    </cfRule>
    <cfRule type="containsText" dxfId="19844" priority="994" operator="containsText" text="CMS">
      <formula>NOT(ISERROR(SEARCH("CMS",G27)))</formula>
    </cfRule>
    <cfRule type="cellIs" dxfId="19843" priority="995" operator="equal">
      <formula>0</formula>
    </cfRule>
    <cfRule type="cellIs" dxfId="19842" priority="996" operator="greaterThan">
      <formula>0</formula>
    </cfRule>
  </conditionalFormatting>
  <conditionalFormatting sqref="G45:G46">
    <cfRule type="cellIs" dxfId="19841" priority="985" operator="equal">
      <formula>"PMS"</formula>
    </cfRule>
    <cfRule type="containsText" dxfId="19840" priority="986" operator="containsText" text="CMS">
      <formula>NOT(ISERROR(SEARCH("CMS",G45)))</formula>
    </cfRule>
    <cfRule type="cellIs" dxfId="19839" priority="987" operator="equal">
      <formula>0</formula>
    </cfRule>
    <cfRule type="cellIs" dxfId="19838" priority="988" operator="greaterThan">
      <formula>0</formula>
    </cfRule>
    <cfRule type="cellIs" dxfId="19837" priority="989" operator="equal">
      <formula>"PMS"</formula>
    </cfRule>
    <cfRule type="containsText" dxfId="19836" priority="990" operator="containsText" text="CMS">
      <formula>NOT(ISERROR(SEARCH("CMS",G45)))</formula>
    </cfRule>
    <cfRule type="cellIs" dxfId="19835" priority="991" operator="equal">
      <formula>0</formula>
    </cfRule>
    <cfRule type="cellIs" dxfId="19834" priority="992" operator="greaterThan">
      <formula>0</formula>
    </cfRule>
  </conditionalFormatting>
  <conditionalFormatting sqref="G45:G46">
    <cfRule type="cellIs" dxfId="19833" priority="981" operator="equal">
      <formula>"PMS"</formula>
    </cfRule>
    <cfRule type="containsText" dxfId="19832" priority="982" operator="containsText" text="CMS">
      <formula>NOT(ISERROR(SEARCH("CMS",G45)))</formula>
    </cfRule>
    <cfRule type="cellIs" dxfId="19831" priority="983" operator="equal">
      <formula>0</formula>
    </cfRule>
    <cfRule type="cellIs" dxfId="19830" priority="984" operator="greaterThan">
      <formula>0</formula>
    </cfRule>
  </conditionalFormatting>
  <conditionalFormatting sqref="G45:G46">
    <cfRule type="cellIs" dxfId="19829" priority="977" operator="equal">
      <formula>"PMS"</formula>
    </cfRule>
    <cfRule type="containsText" dxfId="19828" priority="978" operator="containsText" text="CMS">
      <formula>NOT(ISERROR(SEARCH("CMS",G45)))</formula>
    </cfRule>
    <cfRule type="cellIs" dxfId="19827" priority="979" operator="equal">
      <formula>0</formula>
    </cfRule>
    <cfRule type="cellIs" dxfId="19826" priority="980" operator="greaterThan">
      <formula>0</formula>
    </cfRule>
  </conditionalFormatting>
  <conditionalFormatting sqref="I62">
    <cfRule type="cellIs" dxfId="19825" priority="969" operator="equal">
      <formula>"PMS"</formula>
    </cfRule>
    <cfRule type="containsText" dxfId="19824" priority="970" operator="containsText" text="CMS">
      <formula>NOT(ISERROR(SEARCH("CMS",I62)))</formula>
    </cfRule>
    <cfRule type="cellIs" dxfId="19823" priority="971" operator="equal">
      <formula>0</formula>
    </cfRule>
    <cfRule type="cellIs" dxfId="19822" priority="972" operator="greaterThan">
      <formula>0</formula>
    </cfRule>
    <cfRule type="cellIs" dxfId="19821" priority="973" operator="equal">
      <formula>"PMS"</formula>
    </cfRule>
    <cfRule type="containsText" dxfId="19820" priority="974" operator="containsText" text="CMS">
      <formula>NOT(ISERROR(SEARCH("CMS",I62)))</formula>
    </cfRule>
    <cfRule type="cellIs" dxfId="19819" priority="975" operator="equal">
      <formula>0</formula>
    </cfRule>
    <cfRule type="cellIs" dxfId="19818" priority="976" operator="greaterThan">
      <formula>0</formula>
    </cfRule>
  </conditionalFormatting>
  <conditionalFormatting sqref="O48">
    <cfRule type="cellIs" dxfId="19817" priority="965" operator="equal">
      <formula>"PMS"</formula>
    </cfRule>
    <cfRule type="containsText" dxfId="19816" priority="966" operator="containsText" text="CMS">
      <formula>NOT(ISERROR(SEARCH("CMS",O48)))</formula>
    </cfRule>
    <cfRule type="cellIs" dxfId="19815" priority="967" operator="equal">
      <formula>0</formula>
    </cfRule>
    <cfRule type="cellIs" dxfId="19814" priority="968" operator="greaterThan">
      <formula>0</formula>
    </cfRule>
  </conditionalFormatting>
  <conditionalFormatting sqref="O48">
    <cfRule type="cellIs" dxfId="19813" priority="961" operator="equal">
      <formula>"PMS"</formula>
    </cfRule>
    <cfRule type="containsText" dxfId="19812" priority="962" operator="containsText" text="CMS">
      <formula>NOT(ISERROR(SEARCH("CMS",O48)))</formula>
    </cfRule>
    <cfRule type="cellIs" dxfId="19811" priority="963" operator="equal">
      <formula>0</formula>
    </cfRule>
    <cfRule type="cellIs" dxfId="19810" priority="964" operator="greaterThan">
      <formula>0</formula>
    </cfRule>
  </conditionalFormatting>
  <conditionalFormatting sqref="O48">
    <cfRule type="cellIs" dxfId="19809" priority="957" operator="equal">
      <formula>"PMS"</formula>
    </cfRule>
    <cfRule type="containsText" dxfId="19808" priority="958" operator="containsText" text="CMS">
      <formula>NOT(ISERROR(SEARCH("CMS",O48)))</formula>
    </cfRule>
    <cfRule type="cellIs" dxfId="19807" priority="959" operator="equal">
      <formula>0</formula>
    </cfRule>
    <cfRule type="cellIs" dxfId="19806" priority="960" operator="greaterThan">
      <formula>0</formula>
    </cfRule>
  </conditionalFormatting>
  <conditionalFormatting sqref="O48">
    <cfRule type="cellIs" dxfId="19805" priority="953" operator="equal">
      <formula>"PMS"</formula>
    </cfRule>
    <cfRule type="containsText" dxfId="19804" priority="954" operator="containsText" text="CMS">
      <formula>NOT(ISERROR(SEARCH("CMS",O48)))</formula>
    </cfRule>
    <cfRule type="cellIs" dxfId="19803" priority="955" operator="equal">
      <formula>0</formula>
    </cfRule>
    <cfRule type="cellIs" dxfId="19802" priority="956" operator="greaterThan">
      <formula>0</formula>
    </cfRule>
  </conditionalFormatting>
  <conditionalFormatting sqref="O56:P56">
    <cfRule type="cellIs" dxfId="19801" priority="949" operator="equal">
      <formula>"PMS"</formula>
    </cfRule>
    <cfRule type="containsText" dxfId="19800" priority="950" operator="containsText" text="CMS">
      <formula>NOT(ISERROR(SEARCH("CMS",O56)))</formula>
    </cfRule>
    <cfRule type="cellIs" dxfId="19799" priority="951" operator="equal">
      <formula>0</formula>
    </cfRule>
    <cfRule type="cellIs" dxfId="19798" priority="952" operator="greaterThan">
      <formula>0</formula>
    </cfRule>
  </conditionalFormatting>
  <conditionalFormatting sqref="O56:P56">
    <cfRule type="cellIs" dxfId="19797" priority="945" operator="equal">
      <formula>"PMS"</formula>
    </cfRule>
    <cfRule type="containsText" dxfId="19796" priority="946" operator="containsText" text="CMS">
      <formula>NOT(ISERROR(SEARCH("CMS",O56)))</formula>
    </cfRule>
    <cfRule type="cellIs" dxfId="19795" priority="947" operator="equal">
      <formula>0</formula>
    </cfRule>
    <cfRule type="cellIs" dxfId="19794" priority="948" operator="greaterThan">
      <formula>0</formula>
    </cfRule>
  </conditionalFormatting>
  <conditionalFormatting sqref="O56:P56">
    <cfRule type="cellIs" dxfId="19793" priority="941" operator="equal">
      <formula>"PMS"</formula>
    </cfRule>
    <cfRule type="containsText" dxfId="19792" priority="942" operator="containsText" text="CMS">
      <formula>NOT(ISERROR(SEARCH("CMS",O56)))</formula>
    </cfRule>
    <cfRule type="cellIs" dxfId="19791" priority="943" operator="equal">
      <formula>0</formula>
    </cfRule>
    <cfRule type="cellIs" dxfId="19790" priority="944" operator="greaterThan">
      <formula>0</formula>
    </cfRule>
  </conditionalFormatting>
  <conditionalFormatting sqref="O56:P56">
    <cfRule type="cellIs" dxfId="19789" priority="937" operator="equal">
      <formula>"PMS"</formula>
    </cfRule>
    <cfRule type="containsText" dxfId="19788" priority="938" operator="containsText" text="CMS">
      <formula>NOT(ISERROR(SEARCH("CMS",O56)))</formula>
    </cfRule>
    <cfRule type="cellIs" dxfId="19787" priority="939" operator="equal">
      <formula>0</formula>
    </cfRule>
    <cfRule type="cellIs" dxfId="19786" priority="940" operator="greaterThan">
      <formula>0</formula>
    </cfRule>
  </conditionalFormatting>
  <conditionalFormatting sqref="O57:P57">
    <cfRule type="cellIs" dxfId="19785" priority="933" operator="equal">
      <formula>"PMS"</formula>
    </cfRule>
    <cfRule type="containsText" dxfId="19784" priority="934" operator="containsText" text="CMS">
      <formula>NOT(ISERROR(SEARCH("CMS",O57)))</formula>
    </cfRule>
    <cfRule type="cellIs" dxfId="19783" priority="935" operator="equal">
      <formula>0</formula>
    </cfRule>
    <cfRule type="cellIs" dxfId="19782" priority="936" operator="greaterThan">
      <formula>0</formula>
    </cfRule>
  </conditionalFormatting>
  <conditionalFormatting sqref="O57:P57">
    <cfRule type="cellIs" dxfId="19781" priority="929" operator="equal">
      <formula>"PMS"</formula>
    </cfRule>
    <cfRule type="containsText" dxfId="19780" priority="930" operator="containsText" text="CMS">
      <formula>NOT(ISERROR(SEARCH("CMS",O57)))</formula>
    </cfRule>
    <cfRule type="cellIs" dxfId="19779" priority="931" operator="equal">
      <formula>0</formula>
    </cfRule>
    <cfRule type="cellIs" dxfId="19778" priority="932" operator="greaterThan">
      <formula>0</formula>
    </cfRule>
  </conditionalFormatting>
  <conditionalFormatting sqref="O57:P57">
    <cfRule type="cellIs" dxfId="19777" priority="925" operator="equal">
      <formula>"PMS"</formula>
    </cfRule>
    <cfRule type="containsText" dxfId="19776" priority="926" operator="containsText" text="CMS">
      <formula>NOT(ISERROR(SEARCH("CMS",O57)))</formula>
    </cfRule>
    <cfRule type="cellIs" dxfId="19775" priority="927" operator="equal">
      <formula>0</formula>
    </cfRule>
    <cfRule type="cellIs" dxfId="19774" priority="928" operator="greaterThan">
      <formula>0</formula>
    </cfRule>
  </conditionalFormatting>
  <conditionalFormatting sqref="O57:P57">
    <cfRule type="cellIs" dxfId="19773" priority="921" operator="equal">
      <formula>"PMS"</formula>
    </cfRule>
    <cfRule type="containsText" dxfId="19772" priority="922" operator="containsText" text="CMS">
      <formula>NOT(ISERROR(SEARCH("CMS",O57)))</formula>
    </cfRule>
    <cfRule type="cellIs" dxfId="19771" priority="923" operator="equal">
      <formula>0</formula>
    </cfRule>
    <cfRule type="cellIs" dxfId="19770" priority="924" operator="greaterThan">
      <formula>0</formula>
    </cfRule>
  </conditionalFormatting>
  <conditionalFormatting sqref="G48:G49">
    <cfRule type="cellIs" dxfId="19769" priority="913" operator="equal">
      <formula>"PMS"</formula>
    </cfRule>
    <cfRule type="containsText" dxfId="19768" priority="914" operator="containsText" text="CMS">
      <formula>NOT(ISERROR(SEARCH("CMS",G48)))</formula>
    </cfRule>
    <cfRule type="cellIs" dxfId="19767" priority="915" operator="equal">
      <formula>0</formula>
    </cfRule>
    <cfRule type="cellIs" dxfId="19766" priority="916" operator="greaterThan">
      <formula>0</formula>
    </cfRule>
    <cfRule type="cellIs" dxfId="19765" priority="917" operator="equal">
      <formula>"PMS"</formula>
    </cfRule>
    <cfRule type="containsText" dxfId="19764" priority="918" operator="containsText" text="CMS">
      <formula>NOT(ISERROR(SEARCH("CMS",G48)))</formula>
    </cfRule>
    <cfRule type="cellIs" dxfId="19763" priority="919" operator="equal">
      <formula>0</formula>
    </cfRule>
    <cfRule type="cellIs" dxfId="19762" priority="920" operator="greaterThan">
      <formula>0</formula>
    </cfRule>
  </conditionalFormatting>
  <conditionalFormatting sqref="G48:G49">
    <cfRule type="cellIs" dxfId="19761" priority="909" operator="equal">
      <formula>"PMS"</formula>
    </cfRule>
    <cfRule type="containsText" dxfId="19760" priority="910" operator="containsText" text="CMS">
      <formula>NOT(ISERROR(SEARCH("CMS",G48)))</formula>
    </cfRule>
    <cfRule type="cellIs" dxfId="19759" priority="911" operator="equal">
      <formula>0</formula>
    </cfRule>
    <cfRule type="cellIs" dxfId="19758" priority="912" operator="greaterThan">
      <formula>0</formula>
    </cfRule>
  </conditionalFormatting>
  <conditionalFormatting sqref="G48:G49">
    <cfRule type="cellIs" dxfId="19757" priority="905" operator="equal">
      <formula>"PMS"</formula>
    </cfRule>
    <cfRule type="containsText" dxfId="19756" priority="906" operator="containsText" text="CMS">
      <formula>NOT(ISERROR(SEARCH("CMS",G48)))</formula>
    </cfRule>
    <cfRule type="cellIs" dxfId="19755" priority="907" operator="equal">
      <formula>0</formula>
    </cfRule>
    <cfRule type="cellIs" dxfId="19754" priority="908" operator="greaterThan">
      <formula>0</formula>
    </cfRule>
  </conditionalFormatting>
  <conditionalFormatting sqref="G66:G72 G74">
    <cfRule type="cellIs" dxfId="19753" priority="897" operator="equal">
      <formula>"PMS"</formula>
    </cfRule>
    <cfRule type="containsText" dxfId="19752" priority="898" operator="containsText" text="CMS">
      <formula>NOT(ISERROR(SEARCH("CMS",G66)))</formula>
    </cfRule>
    <cfRule type="cellIs" dxfId="19751" priority="899" operator="equal">
      <formula>0</formula>
    </cfRule>
    <cfRule type="cellIs" dxfId="19750" priority="900" operator="greaterThan">
      <formula>0</formula>
    </cfRule>
    <cfRule type="cellIs" dxfId="19749" priority="901" operator="equal">
      <formula>"PMS"</formula>
    </cfRule>
    <cfRule type="containsText" dxfId="19748" priority="902" operator="containsText" text="CMS">
      <formula>NOT(ISERROR(SEARCH("CMS",G66)))</formula>
    </cfRule>
    <cfRule type="cellIs" dxfId="19747" priority="903" operator="equal">
      <formula>0</formula>
    </cfRule>
    <cfRule type="cellIs" dxfId="19746" priority="904" operator="greaterThan">
      <formula>0</formula>
    </cfRule>
  </conditionalFormatting>
  <conditionalFormatting sqref="O53:O58 P56">
    <cfRule type="cellIs" dxfId="19745" priority="893" operator="equal">
      <formula>"PMS"</formula>
    </cfRule>
    <cfRule type="containsText" dxfId="19744" priority="894" operator="containsText" text="CMS">
      <formula>NOT(ISERROR(SEARCH("CMS",O53)))</formula>
    </cfRule>
    <cfRule type="cellIs" dxfId="19743" priority="895" operator="equal">
      <formula>0</formula>
    </cfRule>
    <cfRule type="cellIs" dxfId="19742" priority="896" operator="greaterThan">
      <formula>0</formula>
    </cfRule>
  </conditionalFormatting>
  <conditionalFormatting sqref="G35 I24 I35 I73:J73 G73">
    <cfRule type="cellIs" dxfId="19741" priority="885" operator="equal">
      <formula>"PMS"</formula>
    </cfRule>
    <cfRule type="containsText" dxfId="19740" priority="886" operator="containsText" text="CMS">
      <formula>NOT(ISERROR(SEARCH("CMS",G24)))</formula>
    </cfRule>
    <cfRule type="cellIs" dxfId="19739" priority="887" operator="equal">
      <formula>0</formula>
    </cfRule>
    <cfRule type="cellIs" dxfId="19738" priority="888" operator="greaterThan">
      <formula>0</formula>
    </cfRule>
    <cfRule type="cellIs" dxfId="19737" priority="889" operator="equal">
      <formula>"PMS"</formula>
    </cfRule>
    <cfRule type="containsText" dxfId="19736" priority="890" operator="containsText" text="CMS">
      <formula>NOT(ISERROR(SEARCH("CMS",G24)))</formula>
    </cfRule>
    <cfRule type="cellIs" dxfId="19735" priority="891" operator="equal">
      <formula>0</formula>
    </cfRule>
    <cfRule type="cellIs" dxfId="19734" priority="892" operator="greaterThan">
      <formula>0</formula>
    </cfRule>
  </conditionalFormatting>
  <conditionalFormatting sqref="I73:J73 G73">
    <cfRule type="cellIs" dxfId="19733" priority="881" operator="equal">
      <formula>"PMS"</formula>
    </cfRule>
    <cfRule type="containsText" dxfId="19732" priority="882" operator="containsText" text="CMS">
      <formula>NOT(ISERROR(SEARCH("CMS",G73)))</formula>
    </cfRule>
    <cfRule type="cellIs" dxfId="19731" priority="883" operator="equal">
      <formula>0</formula>
    </cfRule>
    <cfRule type="cellIs" dxfId="19730" priority="884" operator="greaterThan">
      <formula>0</formula>
    </cfRule>
  </conditionalFormatting>
  <conditionalFormatting sqref="I73:J73 G73">
    <cfRule type="cellIs" dxfId="19729" priority="877" operator="equal">
      <formula>"PMS"</formula>
    </cfRule>
    <cfRule type="containsText" dxfId="19728" priority="878" operator="containsText" text="CMS">
      <formula>NOT(ISERROR(SEARCH("CMS",G73)))</formula>
    </cfRule>
    <cfRule type="cellIs" dxfId="19727" priority="879" operator="equal">
      <formula>0</formula>
    </cfRule>
    <cfRule type="cellIs" dxfId="19726" priority="880" operator="greaterThan">
      <formula>0</formula>
    </cfRule>
  </conditionalFormatting>
  <conditionalFormatting sqref="I24">
    <cfRule type="cellIs" dxfId="19725" priority="873" operator="equal">
      <formula>"PMS"</formula>
    </cfRule>
    <cfRule type="containsText" dxfId="19724" priority="874" operator="containsText" text="CMS">
      <formula>NOT(ISERROR(SEARCH("CMS",I24)))</formula>
    </cfRule>
    <cfRule type="cellIs" dxfId="19723" priority="875" operator="equal">
      <formula>0</formula>
    </cfRule>
    <cfRule type="cellIs" dxfId="19722" priority="876" operator="greaterThan">
      <formula>0</formula>
    </cfRule>
  </conditionalFormatting>
  <conditionalFormatting sqref="I24">
    <cfRule type="cellIs" dxfId="19721" priority="869" operator="equal">
      <formula>"PMS"</formula>
    </cfRule>
    <cfRule type="containsText" dxfId="19720" priority="870" operator="containsText" text="CMS">
      <formula>NOT(ISERROR(SEARCH("CMS",I24)))</formula>
    </cfRule>
    <cfRule type="cellIs" dxfId="19719" priority="871" operator="equal">
      <formula>0</formula>
    </cfRule>
    <cfRule type="cellIs" dxfId="19718" priority="872" operator="greaterThan">
      <formula>0</formula>
    </cfRule>
  </conditionalFormatting>
  <conditionalFormatting sqref="G35 I35">
    <cfRule type="cellIs" dxfId="19717" priority="865" operator="equal">
      <formula>"PMS"</formula>
    </cfRule>
    <cfRule type="containsText" dxfId="19716" priority="866" operator="containsText" text="CMS">
      <formula>NOT(ISERROR(SEARCH("CMS",G35)))</formula>
    </cfRule>
    <cfRule type="cellIs" dxfId="19715" priority="867" operator="equal">
      <formula>0</formula>
    </cfRule>
    <cfRule type="cellIs" dxfId="19714" priority="868" operator="greaterThan">
      <formula>0</formula>
    </cfRule>
  </conditionalFormatting>
  <conditionalFormatting sqref="G35 I35">
    <cfRule type="cellIs" dxfId="19713" priority="861" operator="equal">
      <formula>"PMS"</formula>
    </cfRule>
    <cfRule type="containsText" dxfId="19712" priority="862" operator="containsText" text="CMS">
      <formula>NOT(ISERROR(SEARCH("CMS",G35)))</formula>
    </cfRule>
    <cfRule type="cellIs" dxfId="19711" priority="863" operator="equal">
      <formula>0</formula>
    </cfRule>
    <cfRule type="cellIs" dxfId="19710" priority="864" operator="greaterThan">
      <formula>0</formula>
    </cfRule>
  </conditionalFormatting>
  <conditionalFormatting sqref="G19 I19">
    <cfRule type="cellIs" dxfId="19709" priority="853" operator="equal">
      <formula>"PMS"</formula>
    </cfRule>
    <cfRule type="containsText" dxfId="19708" priority="854" operator="containsText" text="CMS">
      <formula>NOT(ISERROR(SEARCH("CMS",G19)))</formula>
    </cfRule>
    <cfRule type="cellIs" dxfId="19707" priority="855" operator="equal">
      <formula>0</formula>
    </cfRule>
    <cfRule type="cellIs" dxfId="19706" priority="856" operator="greaterThan">
      <formula>0</formula>
    </cfRule>
    <cfRule type="cellIs" dxfId="19705" priority="857" operator="equal">
      <formula>"PMS"</formula>
    </cfRule>
    <cfRule type="containsText" dxfId="19704" priority="858" operator="containsText" text="CMS">
      <formula>NOT(ISERROR(SEARCH("CMS",G19)))</formula>
    </cfRule>
    <cfRule type="cellIs" dxfId="19703" priority="859" operator="equal">
      <formula>0</formula>
    </cfRule>
    <cfRule type="cellIs" dxfId="19702" priority="860" operator="greaterThan">
      <formula>0</formula>
    </cfRule>
  </conditionalFormatting>
  <conditionalFormatting sqref="G19 I19">
    <cfRule type="cellIs" dxfId="19701" priority="849" operator="equal">
      <formula>"PMS"</formula>
    </cfRule>
    <cfRule type="containsText" dxfId="19700" priority="850" operator="containsText" text="CMS">
      <formula>NOT(ISERROR(SEARCH("CMS",G19)))</formula>
    </cfRule>
    <cfRule type="cellIs" dxfId="19699" priority="851" operator="equal">
      <formula>0</formula>
    </cfRule>
    <cfRule type="cellIs" dxfId="19698" priority="852" operator="greaterThan">
      <formula>0</formula>
    </cfRule>
  </conditionalFormatting>
  <conditionalFormatting sqref="G19 I19">
    <cfRule type="cellIs" dxfId="19697" priority="845" operator="equal">
      <formula>"PMS"</formula>
    </cfRule>
    <cfRule type="containsText" dxfId="19696" priority="846" operator="containsText" text="CMS">
      <formula>NOT(ISERROR(SEARCH("CMS",G19)))</formula>
    </cfRule>
    <cfRule type="cellIs" dxfId="19695" priority="847" operator="equal">
      <formula>0</formula>
    </cfRule>
    <cfRule type="cellIs" dxfId="19694" priority="848" operator="greaterThan">
      <formula>0</formula>
    </cfRule>
  </conditionalFormatting>
  <conditionalFormatting sqref="O55">
    <cfRule type="cellIs" dxfId="19693" priority="841" operator="equal">
      <formula>"PMS"</formula>
    </cfRule>
    <cfRule type="containsText" dxfId="19692" priority="842" operator="containsText" text="CMS">
      <formula>NOT(ISERROR(SEARCH("CMS",O55)))</formula>
    </cfRule>
    <cfRule type="cellIs" dxfId="19691" priority="843" operator="equal">
      <formula>0</formula>
    </cfRule>
    <cfRule type="cellIs" dxfId="19690" priority="844" operator="greaterThan">
      <formula>0</formula>
    </cfRule>
  </conditionalFormatting>
  <conditionalFormatting sqref="K61:K62">
    <cfRule type="cellIs" dxfId="19689" priority="833" operator="equal">
      <formula>"PMS"</formula>
    </cfRule>
    <cfRule type="containsText" dxfId="19688" priority="834" operator="containsText" text="CMS">
      <formula>NOT(ISERROR(SEARCH("CMS",K61)))</formula>
    </cfRule>
    <cfRule type="cellIs" dxfId="19687" priority="835" operator="equal">
      <formula>0</formula>
    </cfRule>
    <cfRule type="cellIs" dxfId="19686" priority="836" operator="greaterThan">
      <formula>0</formula>
    </cfRule>
    <cfRule type="cellIs" dxfId="19685" priority="837" operator="equal">
      <formula>"PMS"</formula>
    </cfRule>
    <cfRule type="containsText" dxfId="19684" priority="838" operator="containsText" text="CMS">
      <formula>NOT(ISERROR(SEARCH("CMS",K61)))</formula>
    </cfRule>
    <cfRule type="cellIs" dxfId="19683" priority="839" operator="equal">
      <formula>0</formula>
    </cfRule>
    <cfRule type="cellIs" dxfId="19682" priority="840" operator="greaterThan">
      <formula>0</formula>
    </cfRule>
  </conditionalFormatting>
  <conditionalFormatting sqref="O47:P47">
    <cfRule type="cellIs" dxfId="19681" priority="829" operator="equal">
      <formula>"PMS"</formula>
    </cfRule>
    <cfRule type="containsText" dxfId="19680" priority="830" operator="containsText" text="CMS">
      <formula>NOT(ISERROR(SEARCH("CMS",O47)))</formula>
    </cfRule>
    <cfRule type="cellIs" dxfId="19679" priority="831" operator="equal">
      <formula>0</formula>
    </cfRule>
    <cfRule type="cellIs" dxfId="19678" priority="832" operator="greaterThan">
      <formula>0</formula>
    </cfRule>
  </conditionalFormatting>
  <conditionalFormatting sqref="O16:P16">
    <cfRule type="cellIs" dxfId="19677" priority="825" operator="equal">
      <formula>"PMS"</formula>
    </cfRule>
    <cfRule type="containsText" dxfId="19676" priority="826" operator="containsText" text="CMS">
      <formula>NOT(ISERROR(SEARCH("CMS",O16)))</formula>
    </cfRule>
    <cfRule type="cellIs" dxfId="19675" priority="827" operator="equal">
      <formula>0</formula>
    </cfRule>
    <cfRule type="cellIs" dxfId="19674" priority="828" operator="greaterThan">
      <formula>0</formula>
    </cfRule>
  </conditionalFormatting>
  <conditionalFormatting sqref="P57">
    <cfRule type="cellIs" dxfId="19673" priority="821" operator="equal">
      <formula>"PMS"</formula>
    </cfRule>
    <cfRule type="containsText" dxfId="19672" priority="822" operator="containsText" text="CMS">
      <formula>NOT(ISERROR(SEARCH("CMS",P57)))</formula>
    </cfRule>
    <cfRule type="cellIs" dxfId="19671" priority="823" operator="equal">
      <formula>0</formula>
    </cfRule>
    <cfRule type="cellIs" dxfId="19670" priority="824" operator="greaterThan">
      <formula>0</formula>
    </cfRule>
  </conditionalFormatting>
  <conditionalFormatting sqref="P57">
    <cfRule type="cellIs" dxfId="19669" priority="817" operator="equal">
      <formula>"PMS"</formula>
    </cfRule>
    <cfRule type="containsText" dxfId="19668" priority="818" operator="containsText" text="CMS">
      <formula>NOT(ISERROR(SEARCH("CMS",P57)))</formula>
    </cfRule>
    <cfRule type="cellIs" dxfId="19667" priority="819" operator="equal">
      <formula>0</formula>
    </cfRule>
    <cfRule type="cellIs" dxfId="19666" priority="820" operator="greaterThan">
      <formula>0</formula>
    </cfRule>
  </conditionalFormatting>
  <conditionalFormatting sqref="P57">
    <cfRule type="cellIs" dxfId="19665" priority="813" operator="equal">
      <formula>"PMS"</formula>
    </cfRule>
    <cfRule type="containsText" dxfId="19664" priority="814" operator="containsText" text="CMS">
      <formula>NOT(ISERROR(SEARCH("CMS",P57)))</formula>
    </cfRule>
    <cfRule type="cellIs" dxfId="19663" priority="815" operator="equal">
      <formula>0</formula>
    </cfRule>
    <cfRule type="cellIs" dxfId="19662" priority="816" operator="greaterThan">
      <formula>0</formula>
    </cfRule>
  </conditionalFormatting>
  <conditionalFormatting sqref="P57:P58">
    <cfRule type="cellIs" dxfId="19661" priority="809" operator="equal">
      <formula>"PMS"</formula>
    </cfRule>
    <cfRule type="containsText" dxfId="19660" priority="810" operator="containsText" text="CMS">
      <formula>NOT(ISERROR(SEARCH("CMS",P57)))</formula>
    </cfRule>
    <cfRule type="cellIs" dxfId="19659" priority="811" operator="equal">
      <formula>0</formula>
    </cfRule>
    <cfRule type="cellIs" dxfId="19658" priority="812" operator="greaterThan">
      <formula>0</formula>
    </cfRule>
  </conditionalFormatting>
  <conditionalFormatting sqref="AB24">
    <cfRule type="cellIs" dxfId="19657" priority="805" operator="equal">
      <formula>"PMS"</formula>
    </cfRule>
    <cfRule type="containsText" dxfId="19656" priority="806" operator="containsText" text="CMS">
      <formula>NOT(ISERROR(SEARCH("CMS",AB24)))</formula>
    </cfRule>
    <cfRule type="cellIs" dxfId="19655" priority="807" operator="equal">
      <formula>0</formula>
    </cfRule>
    <cfRule type="cellIs" dxfId="19654" priority="808" operator="greaterThan">
      <formula>0</formula>
    </cfRule>
  </conditionalFormatting>
  <conditionalFormatting sqref="AB24">
    <cfRule type="cellIs" dxfId="19653" priority="801" operator="equal">
      <formula>"PMS"</formula>
    </cfRule>
    <cfRule type="containsText" dxfId="19652" priority="802" operator="containsText" text="CMS">
      <formula>NOT(ISERROR(SEARCH("CMS",AB24)))</formula>
    </cfRule>
    <cfRule type="cellIs" dxfId="19651" priority="803" operator="equal">
      <formula>0</formula>
    </cfRule>
    <cfRule type="cellIs" dxfId="19650" priority="804" operator="greaterThan">
      <formula>0</formula>
    </cfRule>
  </conditionalFormatting>
  <conditionalFormatting sqref="I29 L29 O29 R29 AA29 X29:Y29 T29:U29">
    <cfRule type="cellIs" dxfId="19649" priority="793" operator="equal">
      <formula>"PMS"</formula>
    </cfRule>
    <cfRule type="containsText" dxfId="19648" priority="794" operator="containsText" text="CMS">
      <formula>NOT(ISERROR(SEARCH("CMS",I29)))</formula>
    </cfRule>
    <cfRule type="cellIs" dxfId="19647" priority="795" operator="equal">
      <formula>0</formula>
    </cfRule>
    <cfRule type="cellIs" dxfId="19646" priority="796" operator="greaterThan">
      <formula>0</formula>
    </cfRule>
    <cfRule type="cellIs" dxfId="19645" priority="797" operator="equal">
      <formula>"PMS"</formula>
    </cfRule>
    <cfRule type="containsText" dxfId="19644" priority="798" operator="containsText" text="CMS">
      <formula>NOT(ISERROR(SEARCH("CMS",I29)))</formula>
    </cfRule>
    <cfRule type="cellIs" dxfId="19643" priority="799" operator="equal">
      <formula>0</formula>
    </cfRule>
    <cfRule type="cellIs" dxfId="19642" priority="800" operator="greaterThan">
      <formula>0</formula>
    </cfRule>
  </conditionalFormatting>
  <conditionalFormatting sqref="I29 L29 O29 R29 AA29 X29:Y29 T29:U29">
    <cfRule type="cellIs" dxfId="19641" priority="789" operator="equal">
      <formula>"PMS"</formula>
    </cfRule>
    <cfRule type="containsText" dxfId="19640" priority="790" operator="containsText" text="CMS">
      <formula>NOT(ISERROR(SEARCH("CMS",I29)))</formula>
    </cfRule>
    <cfRule type="cellIs" dxfId="19639" priority="791" operator="equal">
      <formula>0</formula>
    </cfRule>
    <cfRule type="cellIs" dxfId="19638" priority="792" operator="greaterThan">
      <formula>0</formula>
    </cfRule>
  </conditionalFormatting>
  <conditionalFormatting sqref="I29 L29 O29 R29 AA29 X29:Y29 T29:U29">
    <cfRule type="cellIs" dxfId="19637" priority="785" operator="equal">
      <formula>"PMS"</formula>
    </cfRule>
    <cfRule type="containsText" dxfId="19636" priority="786" operator="containsText" text="CMS">
      <formula>NOT(ISERROR(SEARCH("CMS",I29)))</formula>
    </cfRule>
    <cfRule type="cellIs" dxfId="19635" priority="787" operator="equal">
      <formula>0</formula>
    </cfRule>
    <cfRule type="cellIs" dxfId="19634" priority="788" operator="greaterThan">
      <formula>0</formula>
    </cfRule>
  </conditionalFormatting>
  <conditionalFormatting sqref="K29 N29 Q29 W29 Z29 AC29">
    <cfRule type="cellIs" dxfId="19633" priority="777" operator="equal">
      <formula>"PMS"</formula>
    </cfRule>
    <cfRule type="containsText" dxfId="19632" priority="778" operator="containsText" text="CMS">
      <formula>NOT(ISERROR(SEARCH("CMS",K29)))</formula>
    </cfRule>
    <cfRule type="cellIs" dxfId="19631" priority="779" operator="equal">
      <formula>0</formula>
    </cfRule>
    <cfRule type="cellIs" dxfId="19630" priority="780" operator="greaterThan">
      <formula>0</formula>
    </cfRule>
    <cfRule type="cellIs" dxfId="19629" priority="781" operator="equal">
      <formula>"PMS"</formula>
    </cfRule>
    <cfRule type="containsText" dxfId="19628" priority="782" operator="containsText" text="CMS">
      <formula>NOT(ISERROR(SEARCH("CMS",K29)))</formula>
    </cfRule>
    <cfRule type="cellIs" dxfId="19627" priority="783" operator="equal">
      <formula>0</formula>
    </cfRule>
    <cfRule type="cellIs" dxfId="19626" priority="784" operator="greaterThan">
      <formula>0</formula>
    </cfRule>
  </conditionalFormatting>
  <conditionalFormatting sqref="G81:AC81">
    <cfRule type="cellIs" dxfId="19625" priority="769" operator="equal">
      <formula>"PMS"</formula>
    </cfRule>
    <cfRule type="containsText" dxfId="19624" priority="770" operator="containsText" text="CMS">
      <formula>NOT(ISERROR(SEARCH("CMS",G81)))</formula>
    </cfRule>
    <cfRule type="cellIs" dxfId="19623" priority="771" operator="equal">
      <formula>0</formula>
    </cfRule>
    <cfRule type="cellIs" dxfId="19622" priority="772" operator="greaterThan">
      <formula>0</formula>
    </cfRule>
    <cfRule type="cellIs" dxfId="19621" priority="773" operator="equal">
      <formula>"PMS"</formula>
    </cfRule>
    <cfRule type="containsText" dxfId="19620" priority="774" operator="containsText" text="CMS">
      <formula>NOT(ISERROR(SEARCH("CMS",G81)))</formula>
    </cfRule>
    <cfRule type="cellIs" dxfId="19619" priority="775" operator="equal">
      <formula>0</formula>
    </cfRule>
    <cfRule type="cellIs" dxfId="19618" priority="776" operator="greaterThan">
      <formula>0</formula>
    </cfRule>
  </conditionalFormatting>
  <conditionalFormatting sqref="G81:AC81">
    <cfRule type="cellIs" dxfId="19617" priority="765" operator="equal">
      <formula>"PMS"</formula>
    </cfRule>
    <cfRule type="containsText" dxfId="19616" priority="766" operator="containsText" text="CMS">
      <formula>NOT(ISERROR(SEARCH("CMS",G81)))</formula>
    </cfRule>
    <cfRule type="cellIs" dxfId="19615" priority="767" operator="equal">
      <formula>0</formula>
    </cfRule>
    <cfRule type="cellIs" dxfId="19614" priority="768" operator="greaterThan">
      <formula>0</formula>
    </cfRule>
  </conditionalFormatting>
  <conditionalFormatting sqref="G51:G52 I51:M52">
    <cfRule type="cellIs" dxfId="19613" priority="757" operator="equal">
      <formula>"PMS"</formula>
    </cfRule>
    <cfRule type="containsText" dxfId="19612" priority="758" operator="containsText" text="CMS">
      <formula>NOT(ISERROR(SEARCH("CMS",G51)))</formula>
    </cfRule>
    <cfRule type="cellIs" dxfId="19611" priority="759" operator="equal">
      <formula>0</formula>
    </cfRule>
    <cfRule type="cellIs" dxfId="19610" priority="760" operator="greaterThan">
      <formula>0</formula>
    </cfRule>
    <cfRule type="cellIs" dxfId="19609" priority="761" operator="equal">
      <formula>"PMS"</formula>
    </cfRule>
    <cfRule type="containsText" dxfId="19608" priority="762" operator="containsText" text="CMS">
      <formula>NOT(ISERROR(SEARCH("CMS",G51)))</formula>
    </cfRule>
    <cfRule type="cellIs" dxfId="19607" priority="763" operator="equal">
      <formula>0</formula>
    </cfRule>
    <cfRule type="cellIs" dxfId="19606" priority="764" operator="greaterThan">
      <formula>0</formula>
    </cfRule>
  </conditionalFormatting>
  <conditionalFormatting sqref="G51:G52 I51:M52">
    <cfRule type="cellIs" dxfId="19605" priority="753" operator="equal">
      <formula>"PMS"</formula>
    </cfRule>
    <cfRule type="containsText" dxfId="19604" priority="754" operator="containsText" text="CMS">
      <formula>NOT(ISERROR(SEARCH("CMS",G51)))</formula>
    </cfRule>
    <cfRule type="cellIs" dxfId="19603" priority="755" operator="equal">
      <formula>0</formula>
    </cfRule>
    <cfRule type="cellIs" dxfId="19602" priority="756" operator="greaterThan">
      <formula>0</formula>
    </cfRule>
  </conditionalFormatting>
  <conditionalFormatting sqref="G51:G52 I51:M52">
    <cfRule type="cellIs" dxfId="19601" priority="749" operator="equal">
      <formula>"PMS"</formula>
    </cfRule>
    <cfRule type="containsText" dxfId="19600" priority="750" operator="containsText" text="CMS">
      <formula>NOT(ISERROR(SEARCH("CMS",G51)))</formula>
    </cfRule>
    <cfRule type="cellIs" dxfId="19599" priority="751" operator="equal">
      <formula>0</formula>
    </cfRule>
    <cfRule type="cellIs" dxfId="19598" priority="752" operator="greaterThan">
      <formula>0</formula>
    </cfRule>
  </conditionalFormatting>
  <conditionalFormatting sqref="G57:G58">
    <cfRule type="cellIs" dxfId="19597" priority="741" operator="equal">
      <formula>"PMS"</formula>
    </cfRule>
    <cfRule type="containsText" dxfId="19596" priority="742" operator="containsText" text="CMS">
      <formula>NOT(ISERROR(SEARCH("CMS",G57)))</formula>
    </cfRule>
    <cfRule type="cellIs" dxfId="19595" priority="743" operator="equal">
      <formula>0</formula>
    </cfRule>
    <cfRule type="cellIs" dxfId="19594" priority="744" operator="greaterThan">
      <formula>0</formula>
    </cfRule>
    <cfRule type="cellIs" dxfId="19593" priority="745" operator="equal">
      <formula>"PMS"</formula>
    </cfRule>
    <cfRule type="containsText" dxfId="19592" priority="746" operator="containsText" text="CMS">
      <formula>NOT(ISERROR(SEARCH("CMS",G57)))</formula>
    </cfRule>
    <cfRule type="cellIs" dxfId="19591" priority="747" operator="equal">
      <formula>0</formula>
    </cfRule>
    <cfRule type="cellIs" dxfId="19590" priority="748" operator="greaterThan">
      <formula>0</formula>
    </cfRule>
  </conditionalFormatting>
  <conditionalFormatting sqref="G57:G58">
    <cfRule type="cellIs" dxfId="19589" priority="737" operator="equal">
      <formula>"PMS"</formula>
    </cfRule>
    <cfRule type="containsText" dxfId="19588" priority="738" operator="containsText" text="CMS">
      <formula>NOT(ISERROR(SEARCH("CMS",G57)))</formula>
    </cfRule>
    <cfRule type="cellIs" dxfId="19587" priority="739" operator="equal">
      <formula>0</formula>
    </cfRule>
    <cfRule type="cellIs" dxfId="19586" priority="740" operator="greaterThan">
      <formula>0</formula>
    </cfRule>
  </conditionalFormatting>
  <conditionalFormatting sqref="G57:G58">
    <cfRule type="cellIs" dxfId="19585" priority="733" operator="equal">
      <formula>"PMS"</formula>
    </cfRule>
    <cfRule type="containsText" dxfId="19584" priority="734" operator="containsText" text="CMS">
      <formula>NOT(ISERROR(SEARCH("CMS",G57)))</formula>
    </cfRule>
    <cfRule type="cellIs" dxfId="19583" priority="735" operator="equal">
      <formula>0</formula>
    </cfRule>
    <cfRule type="cellIs" dxfId="19582" priority="736" operator="greaterThan">
      <formula>0</formula>
    </cfRule>
  </conditionalFormatting>
  <conditionalFormatting sqref="G32 I32:AC32">
    <cfRule type="cellIs" dxfId="19581" priority="725" operator="equal">
      <formula>"PMS"</formula>
    </cfRule>
    <cfRule type="containsText" dxfId="19580" priority="726" operator="containsText" text="CMS">
      <formula>NOT(ISERROR(SEARCH("CMS",G32)))</formula>
    </cfRule>
    <cfRule type="cellIs" dxfId="19579" priority="727" operator="equal">
      <formula>0</formula>
    </cfRule>
    <cfRule type="cellIs" dxfId="19578" priority="728" operator="greaterThan">
      <formula>0</formula>
    </cfRule>
    <cfRule type="cellIs" dxfId="19577" priority="729" operator="equal">
      <formula>"PMS"</formula>
    </cfRule>
    <cfRule type="containsText" dxfId="19576" priority="730" operator="containsText" text="CMS">
      <formula>NOT(ISERROR(SEARCH("CMS",G32)))</formula>
    </cfRule>
    <cfRule type="cellIs" dxfId="19575" priority="731" operator="equal">
      <formula>0</formula>
    </cfRule>
    <cfRule type="cellIs" dxfId="19574" priority="732" operator="greaterThan">
      <formula>0</formula>
    </cfRule>
  </conditionalFormatting>
  <conditionalFormatting sqref="G32 I32:AC32">
    <cfRule type="cellIs" dxfId="19573" priority="721" operator="equal">
      <formula>"PMS"</formula>
    </cfRule>
    <cfRule type="containsText" dxfId="19572" priority="722" operator="containsText" text="CMS">
      <formula>NOT(ISERROR(SEARCH("CMS",G32)))</formula>
    </cfRule>
    <cfRule type="cellIs" dxfId="19571" priority="723" operator="equal">
      <formula>0</formula>
    </cfRule>
    <cfRule type="cellIs" dxfId="19570" priority="724" operator="greaterThan">
      <formula>0</formula>
    </cfRule>
  </conditionalFormatting>
  <conditionalFormatting sqref="G32 I32:AC32">
    <cfRule type="cellIs" dxfId="19569" priority="717" operator="equal">
      <formula>"PMS"</formula>
    </cfRule>
    <cfRule type="containsText" dxfId="19568" priority="718" operator="containsText" text="CMS">
      <formula>NOT(ISERROR(SEARCH("CMS",G32)))</formula>
    </cfRule>
    <cfRule type="cellIs" dxfId="19567" priority="719" operator="equal">
      <formula>0</formula>
    </cfRule>
    <cfRule type="cellIs" dxfId="19566" priority="720" operator="greaterThan">
      <formula>0</formula>
    </cfRule>
  </conditionalFormatting>
  <conditionalFormatting sqref="F81">
    <cfRule type="cellIs" dxfId="19565" priority="709" operator="equal">
      <formula>"PMS"</formula>
    </cfRule>
    <cfRule type="containsText" dxfId="19564" priority="710" operator="containsText" text="CMS">
      <formula>NOT(ISERROR(SEARCH("CMS",F81)))</formula>
    </cfRule>
    <cfRule type="cellIs" dxfId="19563" priority="711" operator="equal">
      <formula>0</formula>
    </cfRule>
    <cfRule type="cellIs" dxfId="19562" priority="712" operator="greaterThan">
      <formula>0</formula>
    </cfRule>
    <cfRule type="cellIs" dxfId="19561" priority="713" operator="equal">
      <formula>"PMS"</formula>
    </cfRule>
    <cfRule type="containsText" dxfId="19560" priority="714" operator="containsText" text="CMS">
      <formula>NOT(ISERROR(SEARCH("CMS",F81)))</formula>
    </cfRule>
    <cfRule type="cellIs" dxfId="19559" priority="715" operator="equal">
      <formula>0</formula>
    </cfRule>
    <cfRule type="cellIs" dxfId="19558" priority="716" operator="greaterThan">
      <formula>0</formula>
    </cfRule>
  </conditionalFormatting>
  <conditionalFormatting sqref="F81">
    <cfRule type="cellIs" dxfId="19557" priority="705" operator="equal">
      <formula>"PMS"</formula>
    </cfRule>
    <cfRule type="containsText" dxfId="19556" priority="706" operator="containsText" text="CMS">
      <formula>NOT(ISERROR(SEARCH("CMS",F81)))</formula>
    </cfRule>
    <cfRule type="cellIs" dxfId="19555" priority="707" operator="equal">
      <formula>0</formula>
    </cfRule>
    <cfRule type="cellIs" dxfId="19554" priority="708" operator="greaterThan">
      <formula>0</formula>
    </cfRule>
  </conditionalFormatting>
  <conditionalFormatting sqref="H13:H16">
    <cfRule type="cellIs" dxfId="19553" priority="697" operator="equal">
      <formula>"PMS"</formula>
    </cfRule>
    <cfRule type="containsText" dxfId="19552" priority="698" operator="containsText" text="CMS">
      <formula>NOT(ISERROR(SEARCH("CMS",H13)))</formula>
    </cfRule>
    <cfRule type="cellIs" dxfId="19551" priority="699" operator="equal">
      <formula>0</formula>
    </cfRule>
    <cfRule type="cellIs" dxfId="19550" priority="700" operator="greaterThan">
      <formula>0</formula>
    </cfRule>
    <cfRule type="cellIs" dxfId="19549" priority="701" operator="equal">
      <formula>"PMS"</formula>
    </cfRule>
    <cfRule type="containsText" dxfId="19548" priority="702" operator="containsText" text="CMS">
      <formula>NOT(ISERROR(SEARCH("CMS",H13)))</formula>
    </cfRule>
    <cfRule type="cellIs" dxfId="19547" priority="703" operator="equal">
      <formula>0</formula>
    </cfRule>
    <cfRule type="cellIs" dxfId="19546" priority="704" operator="greaterThan">
      <formula>0</formula>
    </cfRule>
  </conditionalFormatting>
  <conditionalFormatting sqref="H13:H16">
    <cfRule type="cellIs" dxfId="19545" priority="693" operator="equal">
      <formula>"PMS"</formula>
    </cfRule>
    <cfRule type="containsText" dxfId="19544" priority="694" operator="containsText" text="CMS">
      <formula>NOT(ISERROR(SEARCH("CMS",H13)))</formula>
    </cfRule>
    <cfRule type="cellIs" dxfId="19543" priority="695" operator="equal">
      <formula>0</formula>
    </cfRule>
    <cfRule type="cellIs" dxfId="19542" priority="696" operator="greaterThan">
      <formula>0</formula>
    </cfRule>
  </conditionalFormatting>
  <conditionalFormatting sqref="H13:H16">
    <cfRule type="cellIs" dxfId="19541" priority="689" operator="equal">
      <formula>"PMS"</formula>
    </cfRule>
    <cfRule type="containsText" dxfId="19540" priority="690" operator="containsText" text="CMS">
      <formula>NOT(ISERROR(SEARCH("CMS",H13)))</formula>
    </cfRule>
    <cfRule type="cellIs" dxfId="19539" priority="691" operator="equal">
      <formula>0</formula>
    </cfRule>
    <cfRule type="cellIs" dxfId="19538" priority="692" operator="greaterThan">
      <formula>0</formula>
    </cfRule>
  </conditionalFormatting>
  <conditionalFormatting sqref="H13">
    <cfRule type="cellIs" dxfId="19537" priority="685" operator="equal">
      <formula>"PMS"</formula>
    </cfRule>
    <cfRule type="containsText" dxfId="19536" priority="686" operator="containsText" text="CMS">
      <formula>NOT(ISERROR(SEARCH("CMS",H13)))</formula>
    </cfRule>
    <cfRule type="cellIs" dxfId="19535" priority="687" operator="equal">
      <formula>0</formula>
    </cfRule>
    <cfRule type="cellIs" dxfId="19534" priority="688" operator="greaterThan">
      <formula>0</formula>
    </cfRule>
  </conditionalFormatting>
  <conditionalFormatting sqref="H13">
    <cfRule type="cellIs" dxfId="19533" priority="681" operator="equal">
      <formula>"PMS"</formula>
    </cfRule>
    <cfRule type="containsText" dxfId="19532" priority="682" operator="containsText" text="CMS">
      <formula>NOT(ISERROR(SEARCH("CMS",H13)))</formula>
    </cfRule>
    <cfRule type="cellIs" dxfId="19531" priority="683" operator="equal">
      <formula>0</formula>
    </cfRule>
    <cfRule type="cellIs" dxfId="19530" priority="684" operator="greaterThan">
      <formula>0</formula>
    </cfRule>
  </conditionalFormatting>
  <conditionalFormatting sqref="H20:H21">
    <cfRule type="cellIs" dxfId="19529" priority="673" operator="equal">
      <formula>"PMS"</formula>
    </cfRule>
    <cfRule type="containsText" dxfId="19528" priority="674" operator="containsText" text="CMS">
      <formula>NOT(ISERROR(SEARCH("CMS",H20)))</formula>
    </cfRule>
    <cfRule type="cellIs" dxfId="19527" priority="675" operator="equal">
      <formula>0</formula>
    </cfRule>
    <cfRule type="cellIs" dxfId="19526" priority="676" operator="greaterThan">
      <formula>0</formula>
    </cfRule>
    <cfRule type="cellIs" dxfId="19525" priority="677" operator="equal">
      <formula>"PMS"</formula>
    </cfRule>
    <cfRule type="containsText" dxfId="19524" priority="678" operator="containsText" text="CMS">
      <formula>NOT(ISERROR(SEARCH("CMS",H20)))</formula>
    </cfRule>
    <cfRule type="cellIs" dxfId="19523" priority="679" operator="equal">
      <formula>0</formula>
    </cfRule>
    <cfRule type="cellIs" dxfId="19522" priority="680" operator="greaterThan">
      <formula>0</formula>
    </cfRule>
  </conditionalFormatting>
  <conditionalFormatting sqref="H20:H21">
    <cfRule type="cellIs" dxfId="19521" priority="669" operator="equal">
      <formula>"PMS"</formula>
    </cfRule>
    <cfRule type="containsText" dxfId="19520" priority="670" operator="containsText" text="CMS">
      <formula>NOT(ISERROR(SEARCH("CMS",H20)))</formula>
    </cfRule>
    <cfRule type="cellIs" dxfId="19519" priority="671" operator="equal">
      <formula>0</formula>
    </cfRule>
    <cfRule type="cellIs" dxfId="19518" priority="672" operator="greaterThan">
      <formula>0</formula>
    </cfRule>
  </conditionalFormatting>
  <conditionalFormatting sqref="H20:H21">
    <cfRule type="cellIs" dxfId="19517" priority="665" operator="equal">
      <formula>"PMS"</formula>
    </cfRule>
    <cfRule type="containsText" dxfId="19516" priority="666" operator="containsText" text="CMS">
      <formula>NOT(ISERROR(SEARCH("CMS",H20)))</formula>
    </cfRule>
    <cfRule type="cellIs" dxfId="19515" priority="667" operator="equal">
      <formula>0</formula>
    </cfRule>
    <cfRule type="cellIs" dxfId="19514" priority="668" operator="greaterThan">
      <formula>0</formula>
    </cfRule>
  </conditionalFormatting>
  <conditionalFormatting sqref="H19">
    <cfRule type="cellIs" dxfId="19513" priority="661" operator="equal">
      <formula>"CMS"</formula>
    </cfRule>
    <cfRule type="cellIs" dxfId="19512" priority="662" operator="equal">
      <formula>"PMS"</formula>
    </cfRule>
    <cfRule type="cellIs" dxfId="19511" priority="663" operator="greaterThan">
      <formula>0</formula>
    </cfRule>
    <cfRule type="cellIs" dxfId="19510" priority="664" operator="equal">
      <formula>0</formula>
    </cfRule>
  </conditionalFormatting>
  <conditionalFormatting sqref="H24">
    <cfRule type="cellIs" dxfId="19509" priority="653" operator="equal">
      <formula>"PMS"</formula>
    </cfRule>
    <cfRule type="containsText" dxfId="19508" priority="654" operator="containsText" text="CMS">
      <formula>NOT(ISERROR(SEARCH("CMS",H24)))</formula>
    </cfRule>
    <cfRule type="cellIs" dxfId="19507" priority="655" operator="equal">
      <formula>0</formula>
    </cfRule>
    <cfRule type="cellIs" dxfId="19506" priority="656" operator="greaterThan">
      <formula>0</formula>
    </cfRule>
    <cfRule type="cellIs" dxfId="19505" priority="657" operator="equal">
      <formula>"PMS"</formula>
    </cfRule>
    <cfRule type="containsText" dxfId="19504" priority="658" operator="containsText" text="CMS">
      <formula>NOT(ISERROR(SEARCH("CMS",H24)))</formula>
    </cfRule>
    <cfRule type="cellIs" dxfId="19503" priority="659" operator="equal">
      <formula>0</formula>
    </cfRule>
    <cfRule type="cellIs" dxfId="19502" priority="660" operator="greaterThan">
      <formula>0</formula>
    </cfRule>
  </conditionalFormatting>
  <conditionalFormatting sqref="H24">
    <cfRule type="cellIs" dxfId="19501" priority="649" operator="equal">
      <formula>"PMS"</formula>
    </cfRule>
    <cfRule type="containsText" dxfId="19500" priority="650" operator="containsText" text="CMS">
      <formula>NOT(ISERROR(SEARCH("CMS",H24)))</formula>
    </cfRule>
    <cfRule type="cellIs" dxfId="19499" priority="651" operator="equal">
      <formula>0</formula>
    </cfRule>
    <cfRule type="cellIs" dxfId="19498" priority="652" operator="greaterThan">
      <formula>0</formula>
    </cfRule>
  </conditionalFormatting>
  <conditionalFormatting sqref="H24">
    <cfRule type="cellIs" dxfId="19497" priority="645" operator="equal">
      <formula>"PMS"</formula>
    </cfRule>
    <cfRule type="containsText" dxfId="19496" priority="646" operator="containsText" text="CMS">
      <formula>NOT(ISERROR(SEARCH("CMS",H24)))</formula>
    </cfRule>
    <cfRule type="cellIs" dxfId="19495" priority="647" operator="equal">
      <formula>0</formula>
    </cfRule>
    <cfRule type="cellIs" dxfId="19494" priority="648" operator="greaterThan">
      <formula>0</formula>
    </cfRule>
  </conditionalFormatting>
  <conditionalFormatting sqref="H27:H28">
    <cfRule type="cellIs" dxfId="19493" priority="637" operator="equal">
      <formula>"PMS"</formula>
    </cfRule>
    <cfRule type="containsText" dxfId="19492" priority="638" operator="containsText" text="CMS">
      <formula>NOT(ISERROR(SEARCH("CMS",H27)))</formula>
    </cfRule>
    <cfRule type="cellIs" dxfId="19491" priority="639" operator="equal">
      <formula>0</formula>
    </cfRule>
    <cfRule type="cellIs" dxfId="19490" priority="640" operator="greaterThan">
      <formula>0</formula>
    </cfRule>
    <cfRule type="cellIs" dxfId="19489" priority="641" operator="equal">
      <formula>"PMS"</formula>
    </cfRule>
    <cfRule type="containsText" dxfId="19488" priority="642" operator="containsText" text="CMS">
      <formula>NOT(ISERROR(SEARCH("CMS",H27)))</formula>
    </cfRule>
    <cfRule type="cellIs" dxfId="19487" priority="643" operator="equal">
      <formula>0</formula>
    </cfRule>
    <cfRule type="cellIs" dxfId="19486" priority="644" operator="greaterThan">
      <formula>0</formula>
    </cfRule>
  </conditionalFormatting>
  <conditionalFormatting sqref="H27:H28">
    <cfRule type="cellIs" dxfId="19485" priority="633" operator="equal">
      <formula>"PMS"</formula>
    </cfRule>
    <cfRule type="containsText" dxfId="19484" priority="634" operator="containsText" text="CMS">
      <formula>NOT(ISERROR(SEARCH("CMS",H27)))</formula>
    </cfRule>
    <cfRule type="cellIs" dxfId="19483" priority="635" operator="equal">
      <formula>0</formula>
    </cfRule>
    <cfRule type="cellIs" dxfId="19482" priority="636" operator="greaterThan">
      <formula>0</formula>
    </cfRule>
  </conditionalFormatting>
  <conditionalFormatting sqref="H27:H28">
    <cfRule type="cellIs" dxfId="19481" priority="629" operator="equal">
      <formula>"PMS"</formula>
    </cfRule>
    <cfRule type="containsText" dxfId="19480" priority="630" operator="containsText" text="CMS">
      <formula>NOT(ISERROR(SEARCH("CMS",H27)))</formula>
    </cfRule>
    <cfRule type="cellIs" dxfId="19479" priority="631" operator="equal">
      <formula>0</formula>
    </cfRule>
    <cfRule type="cellIs" dxfId="19478" priority="632" operator="greaterThan">
      <formula>0</formula>
    </cfRule>
  </conditionalFormatting>
  <conditionalFormatting sqref="H29">
    <cfRule type="cellIs" dxfId="19477" priority="621" operator="equal">
      <formula>"PMS"</formula>
    </cfRule>
    <cfRule type="containsText" dxfId="19476" priority="622" operator="containsText" text="CMS">
      <formula>NOT(ISERROR(SEARCH("CMS",H29)))</formula>
    </cfRule>
    <cfRule type="cellIs" dxfId="19475" priority="623" operator="equal">
      <formula>0</formula>
    </cfRule>
    <cfRule type="cellIs" dxfId="19474" priority="624" operator="greaterThan">
      <formula>0</formula>
    </cfRule>
    <cfRule type="cellIs" dxfId="19473" priority="625" operator="equal">
      <formula>"PMS"</formula>
    </cfRule>
    <cfRule type="containsText" dxfId="19472" priority="626" operator="containsText" text="CMS">
      <formula>NOT(ISERROR(SEARCH("CMS",H29)))</formula>
    </cfRule>
    <cfRule type="cellIs" dxfId="19471" priority="627" operator="equal">
      <formula>0</formula>
    </cfRule>
    <cfRule type="cellIs" dxfId="19470" priority="628" operator="greaterThan">
      <formula>0</formula>
    </cfRule>
  </conditionalFormatting>
  <conditionalFormatting sqref="H32">
    <cfRule type="cellIs" dxfId="19469" priority="613" operator="equal">
      <formula>"PMS"</formula>
    </cfRule>
    <cfRule type="containsText" dxfId="19468" priority="614" operator="containsText" text="CMS">
      <formula>NOT(ISERROR(SEARCH("CMS",H32)))</formula>
    </cfRule>
    <cfRule type="cellIs" dxfId="19467" priority="615" operator="equal">
      <formula>0</formula>
    </cfRule>
    <cfRule type="cellIs" dxfId="19466" priority="616" operator="greaterThan">
      <formula>0</formula>
    </cfRule>
    <cfRule type="cellIs" dxfId="19465" priority="617" operator="equal">
      <formula>"PMS"</formula>
    </cfRule>
    <cfRule type="containsText" dxfId="19464" priority="618" operator="containsText" text="CMS">
      <formula>NOT(ISERROR(SEARCH("CMS",H32)))</formula>
    </cfRule>
    <cfRule type="cellIs" dxfId="19463" priority="619" operator="equal">
      <formula>0</formula>
    </cfRule>
    <cfRule type="cellIs" dxfId="19462" priority="620" operator="greaterThan">
      <formula>0</formula>
    </cfRule>
  </conditionalFormatting>
  <conditionalFormatting sqref="H32">
    <cfRule type="cellIs" dxfId="19461" priority="609" operator="equal">
      <formula>"PMS"</formula>
    </cfRule>
    <cfRule type="containsText" dxfId="19460" priority="610" operator="containsText" text="CMS">
      <formula>NOT(ISERROR(SEARCH("CMS",H32)))</formula>
    </cfRule>
    <cfRule type="cellIs" dxfId="19459" priority="611" operator="equal">
      <formula>0</formula>
    </cfRule>
    <cfRule type="cellIs" dxfId="19458" priority="612" operator="greaterThan">
      <formula>0</formula>
    </cfRule>
  </conditionalFormatting>
  <conditionalFormatting sqref="H32">
    <cfRule type="cellIs" dxfId="19457" priority="605" operator="equal">
      <formula>"PMS"</formula>
    </cfRule>
    <cfRule type="containsText" dxfId="19456" priority="606" operator="containsText" text="CMS">
      <formula>NOT(ISERROR(SEARCH("CMS",H32)))</formula>
    </cfRule>
    <cfRule type="cellIs" dxfId="19455" priority="607" operator="equal">
      <formula>0</formula>
    </cfRule>
    <cfRule type="cellIs" dxfId="19454" priority="608" operator="greaterThan">
      <formula>0</formula>
    </cfRule>
  </conditionalFormatting>
  <conditionalFormatting sqref="H35:H58">
    <cfRule type="cellIs" dxfId="19453" priority="597" operator="equal">
      <formula>"PMS"</formula>
    </cfRule>
    <cfRule type="containsText" dxfId="19452" priority="598" operator="containsText" text="CMS">
      <formula>NOT(ISERROR(SEARCH("CMS",H35)))</formula>
    </cfRule>
    <cfRule type="cellIs" dxfId="19451" priority="599" operator="equal">
      <formula>0</formula>
    </cfRule>
    <cfRule type="cellIs" dxfId="19450" priority="600" operator="greaterThan">
      <formula>0</formula>
    </cfRule>
    <cfRule type="cellIs" dxfId="19449" priority="601" operator="equal">
      <formula>"PMS"</formula>
    </cfRule>
    <cfRule type="containsText" dxfId="19448" priority="602" operator="containsText" text="CMS">
      <formula>NOT(ISERROR(SEARCH("CMS",H35)))</formula>
    </cfRule>
    <cfRule type="cellIs" dxfId="19447" priority="603" operator="equal">
      <formula>0</formula>
    </cfRule>
    <cfRule type="cellIs" dxfId="19446" priority="604" operator="greaterThan">
      <formula>0</formula>
    </cfRule>
  </conditionalFormatting>
  <conditionalFormatting sqref="H35:H58">
    <cfRule type="cellIs" dxfId="19445" priority="593" operator="equal">
      <formula>"PMS"</formula>
    </cfRule>
    <cfRule type="containsText" dxfId="19444" priority="594" operator="containsText" text="CMS">
      <formula>NOT(ISERROR(SEARCH("CMS",H35)))</formula>
    </cfRule>
    <cfRule type="cellIs" dxfId="19443" priority="595" operator="equal">
      <formula>0</formula>
    </cfRule>
    <cfRule type="cellIs" dxfId="19442" priority="596" operator="greaterThan">
      <formula>0</formula>
    </cfRule>
  </conditionalFormatting>
  <conditionalFormatting sqref="H35:H58">
    <cfRule type="cellIs" dxfId="19441" priority="589" operator="equal">
      <formula>"PMS"</formula>
    </cfRule>
    <cfRule type="containsText" dxfId="19440" priority="590" operator="containsText" text="CMS">
      <formula>NOT(ISERROR(SEARCH("CMS",H35)))</formula>
    </cfRule>
    <cfRule type="cellIs" dxfId="19439" priority="591" operator="equal">
      <formula>0</formula>
    </cfRule>
    <cfRule type="cellIs" dxfId="19438" priority="592" operator="greaterThan">
      <formula>0</formula>
    </cfRule>
  </conditionalFormatting>
  <conditionalFormatting sqref="H57">
    <cfRule type="cellIs" dxfId="19437" priority="585" operator="equal">
      <formula>"PMS"</formula>
    </cfRule>
    <cfRule type="containsText" dxfId="19436" priority="586" operator="containsText" text="CMS">
      <formula>NOT(ISERROR(SEARCH("CMS",H57)))</formula>
    </cfRule>
    <cfRule type="cellIs" dxfId="19435" priority="587" operator="equal">
      <formula>0</formula>
    </cfRule>
    <cfRule type="cellIs" dxfId="19434" priority="588" operator="greaterThan">
      <formula>0</formula>
    </cfRule>
  </conditionalFormatting>
  <conditionalFormatting sqref="H57">
    <cfRule type="cellIs" dxfId="19433" priority="581" operator="equal">
      <formula>"PMS"</formula>
    </cfRule>
    <cfRule type="containsText" dxfId="19432" priority="582" operator="containsText" text="CMS">
      <formula>NOT(ISERROR(SEARCH("CMS",H57)))</formula>
    </cfRule>
    <cfRule type="cellIs" dxfId="19431" priority="583" operator="equal">
      <formula>0</formula>
    </cfRule>
    <cfRule type="cellIs" dxfId="19430" priority="584" operator="greaterThan">
      <formula>0</formula>
    </cfRule>
  </conditionalFormatting>
  <conditionalFormatting sqref="H57">
    <cfRule type="cellIs" dxfId="19429" priority="577" operator="equal">
      <formula>"PMS"</formula>
    </cfRule>
    <cfRule type="containsText" dxfId="19428" priority="578" operator="containsText" text="CMS">
      <formula>NOT(ISERROR(SEARCH("CMS",H57)))</formula>
    </cfRule>
    <cfRule type="cellIs" dxfId="19427" priority="579" operator="equal">
      <formula>0</formula>
    </cfRule>
    <cfRule type="cellIs" dxfId="19426" priority="580" operator="greaterThan">
      <formula>0</formula>
    </cfRule>
  </conditionalFormatting>
  <conditionalFormatting sqref="H57">
    <cfRule type="cellIs" dxfId="19425" priority="573" operator="equal">
      <formula>"PMS"</formula>
    </cfRule>
    <cfRule type="containsText" dxfId="19424" priority="574" operator="containsText" text="CMS">
      <formula>NOT(ISERROR(SEARCH("CMS",H57)))</formula>
    </cfRule>
    <cfRule type="cellIs" dxfId="19423" priority="575" operator="equal">
      <formula>0</formula>
    </cfRule>
    <cfRule type="cellIs" dxfId="19422" priority="576" operator="greaterThan">
      <formula>0</formula>
    </cfRule>
  </conditionalFormatting>
  <conditionalFormatting sqref="H58">
    <cfRule type="cellIs" dxfId="19421" priority="569" operator="equal">
      <formula>"PMS"</formula>
    </cfRule>
    <cfRule type="containsText" dxfId="19420" priority="570" operator="containsText" text="CMS">
      <formula>NOT(ISERROR(SEARCH("CMS",H58)))</formula>
    </cfRule>
    <cfRule type="cellIs" dxfId="19419" priority="571" operator="equal">
      <formula>0</formula>
    </cfRule>
    <cfRule type="cellIs" dxfId="19418" priority="572" operator="greaterThan">
      <formula>0</formula>
    </cfRule>
  </conditionalFormatting>
  <conditionalFormatting sqref="H58">
    <cfRule type="cellIs" dxfId="19417" priority="565" operator="equal">
      <formula>"PMS"</formula>
    </cfRule>
    <cfRule type="containsText" dxfId="19416" priority="566" operator="containsText" text="CMS">
      <formula>NOT(ISERROR(SEARCH("CMS",H58)))</formula>
    </cfRule>
    <cfRule type="cellIs" dxfId="19415" priority="567" operator="equal">
      <formula>0</formula>
    </cfRule>
    <cfRule type="cellIs" dxfId="19414" priority="568" operator="greaterThan">
      <formula>0</formula>
    </cfRule>
  </conditionalFormatting>
  <conditionalFormatting sqref="H58">
    <cfRule type="cellIs" dxfId="19413" priority="561" operator="equal">
      <formula>"PMS"</formula>
    </cfRule>
    <cfRule type="containsText" dxfId="19412" priority="562" operator="containsText" text="CMS">
      <formula>NOT(ISERROR(SEARCH("CMS",H58)))</formula>
    </cfRule>
    <cfRule type="cellIs" dxfId="19411" priority="563" operator="equal">
      <formula>0</formula>
    </cfRule>
    <cfRule type="cellIs" dxfId="19410" priority="564" operator="greaterThan">
      <formula>0</formula>
    </cfRule>
  </conditionalFormatting>
  <conditionalFormatting sqref="H58">
    <cfRule type="cellIs" dxfId="19409" priority="557" operator="equal">
      <formula>"PMS"</formula>
    </cfRule>
    <cfRule type="containsText" dxfId="19408" priority="558" operator="containsText" text="CMS">
      <formula>NOT(ISERROR(SEARCH("CMS",H58)))</formula>
    </cfRule>
    <cfRule type="cellIs" dxfId="19407" priority="559" operator="equal">
      <formula>0</formula>
    </cfRule>
    <cfRule type="cellIs" dxfId="19406" priority="560" operator="greaterThan">
      <formula>0</formula>
    </cfRule>
  </conditionalFormatting>
  <conditionalFormatting sqref="H62">
    <cfRule type="cellIs" dxfId="19405" priority="549" operator="equal">
      <formula>"PMS"</formula>
    </cfRule>
    <cfRule type="containsText" dxfId="19404" priority="550" operator="containsText" text="CMS">
      <formula>NOT(ISERROR(SEARCH("CMS",H62)))</formula>
    </cfRule>
    <cfRule type="cellIs" dxfId="19403" priority="551" operator="equal">
      <formula>0</formula>
    </cfRule>
    <cfRule type="cellIs" dxfId="19402" priority="552" operator="greaterThan">
      <formula>0</formula>
    </cfRule>
    <cfRule type="cellIs" dxfId="19401" priority="553" operator="equal">
      <formula>"PMS"</formula>
    </cfRule>
    <cfRule type="containsText" dxfId="19400" priority="554" operator="containsText" text="CMS">
      <formula>NOT(ISERROR(SEARCH("CMS",H62)))</formula>
    </cfRule>
    <cfRule type="cellIs" dxfId="19399" priority="555" operator="equal">
      <formula>0</formula>
    </cfRule>
    <cfRule type="cellIs" dxfId="19398" priority="556" operator="greaterThan">
      <formula>0</formula>
    </cfRule>
  </conditionalFormatting>
  <conditionalFormatting sqref="H62">
    <cfRule type="cellIs" dxfId="19397" priority="545" operator="equal">
      <formula>"PMS"</formula>
    </cfRule>
    <cfRule type="containsText" dxfId="19396" priority="546" operator="containsText" text="CMS">
      <formula>NOT(ISERROR(SEARCH("CMS",H62)))</formula>
    </cfRule>
    <cfRule type="cellIs" dxfId="19395" priority="547" operator="equal">
      <formula>0</formula>
    </cfRule>
    <cfRule type="cellIs" dxfId="19394" priority="548" operator="greaterThan">
      <formula>0</formula>
    </cfRule>
  </conditionalFormatting>
  <conditionalFormatting sqref="H66:H74">
    <cfRule type="cellIs" dxfId="19393" priority="537" operator="equal">
      <formula>"PMS"</formula>
    </cfRule>
    <cfRule type="containsText" dxfId="19392" priority="538" operator="containsText" text="CMS">
      <formula>NOT(ISERROR(SEARCH("CMS",H66)))</formula>
    </cfRule>
    <cfRule type="cellIs" dxfId="19391" priority="539" operator="equal">
      <formula>0</formula>
    </cfRule>
    <cfRule type="cellIs" dxfId="19390" priority="540" operator="greaterThan">
      <formula>0</formula>
    </cfRule>
    <cfRule type="cellIs" dxfId="19389" priority="541" operator="equal">
      <formula>"PMS"</formula>
    </cfRule>
    <cfRule type="containsText" dxfId="19388" priority="542" operator="containsText" text="CMS">
      <formula>NOT(ISERROR(SEARCH("CMS",H66)))</formula>
    </cfRule>
    <cfRule type="cellIs" dxfId="19387" priority="543" operator="equal">
      <formula>0</formula>
    </cfRule>
    <cfRule type="cellIs" dxfId="19386" priority="544" operator="greaterThan">
      <formula>0</formula>
    </cfRule>
  </conditionalFormatting>
  <conditionalFormatting sqref="H66:H74">
    <cfRule type="cellIs" dxfId="19385" priority="533" operator="equal">
      <formula>"PMS"</formula>
    </cfRule>
    <cfRule type="containsText" dxfId="19384" priority="534" operator="containsText" text="CMS">
      <formula>NOT(ISERROR(SEARCH("CMS",H66)))</formula>
    </cfRule>
    <cfRule type="cellIs" dxfId="19383" priority="535" operator="equal">
      <formula>0</formula>
    </cfRule>
    <cfRule type="cellIs" dxfId="19382" priority="536" operator="greaterThan">
      <formula>0</formula>
    </cfRule>
  </conditionalFormatting>
  <conditionalFormatting sqref="H66:H74">
    <cfRule type="cellIs" dxfId="19381" priority="529" operator="equal">
      <formula>"PMS"</formula>
    </cfRule>
    <cfRule type="containsText" dxfId="19380" priority="530" operator="containsText" text="CMS">
      <formula>NOT(ISERROR(SEARCH("CMS",H66)))</formula>
    </cfRule>
    <cfRule type="cellIs" dxfId="19379" priority="531" operator="equal">
      <formula>0</formula>
    </cfRule>
    <cfRule type="cellIs" dxfId="19378" priority="532" operator="greaterThan">
      <formula>0</formula>
    </cfRule>
  </conditionalFormatting>
  <conditionalFormatting sqref="H77:H78">
    <cfRule type="cellIs" dxfId="19377" priority="521" operator="equal">
      <formula>"PMS"</formula>
    </cfRule>
    <cfRule type="containsText" dxfId="19376" priority="522" operator="containsText" text="CMS">
      <formula>NOT(ISERROR(SEARCH("CMS",H77)))</formula>
    </cfRule>
    <cfRule type="cellIs" dxfId="19375" priority="523" operator="equal">
      <formula>0</formula>
    </cfRule>
    <cfRule type="cellIs" dxfId="19374" priority="524" operator="greaterThan">
      <formula>0</formula>
    </cfRule>
    <cfRule type="cellIs" dxfId="19373" priority="525" operator="equal">
      <formula>"PMS"</formula>
    </cfRule>
    <cfRule type="containsText" dxfId="19372" priority="526" operator="containsText" text="CMS">
      <formula>NOT(ISERROR(SEARCH("CMS",H77)))</formula>
    </cfRule>
    <cfRule type="cellIs" dxfId="19371" priority="527" operator="equal">
      <formula>0</formula>
    </cfRule>
    <cfRule type="cellIs" dxfId="19370" priority="528" operator="greaterThan">
      <formula>0</formula>
    </cfRule>
  </conditionalFormatting>
  <conditionalFormatting sqref="H77:H78">
    <cfRule type="cellIs" dxfId="19369" priority="517" operator="equal">
      <formula>"PMS"</formula>
    </cfRule>
    <cfRule type="containsText" dxfId="19368" priority="518" operator="containsText" text="CMS">
      <formula>NOT(ISERROR(SEARCH("CMS",H77)))</formula>
    </cfRule>
    <cfRule type="cellIs" dxfId="19367" priority="519" operator="equal">
      <formula>0</formula>
    </cfRule>
    <cfRule type="cellIs" dxfId="19366" priority="520" operator="greaterThan">
      <formula>0</formula>
    </cfRule>
  </conditionalFormatting>
  <conditionalFormatting sqref="O56:O57">
    <cfRule type="cellIs" dxfId="19365" priority="513" operator="equal">
      <formula>"PMS"</formula>
    </cfRule>
    <cfRule type="containsText" dxfId="19364" priority="514" operator="containsText" text="CMS">
      <formula>NOT(ISERROR(SEARCH("CMS",O56)))</formula>
    </cfRule>
    <cfRule type="cellIs" dxfId="19363" priority="515" operator="equal">
      <formula>0</formula>
    </cfRule>
    <cfRule type="cellIs" dxfId="19362" priority="516" operator="greaterThan">
      <formula>0</formula>
    </cfRule>
  </conditionalFormatting>
  <conditionalFormatting sqref="O56:O57">
    <cfRule type="cellIs" dxfId="19361" priority="509" operator="equal">
      <formula>"PMS"</formula>
    </cfRule>
    <cfRule type="containsText" dxfId="19360" priority="510" operator="containsText" text="CMS">
      <formula>NOT(ISERROR(SEARCH("CMS",O56)))</formula>
    </cfRule>
    <cfRule type="cellIs" dxfId="19359" priority="511" operator="equal">
      <formula>0</formula>
    </cfRule>
    <cfRule type="cellIs" dxfId="19358" priority="512" operator="greaterThan">
      <formula>0</formula>
    </cfRule>
  </conditionalFormatting>
  <conditionalFormatting sqref="O56:O57">
    <cfRule type="cellIs" dxfId="19357" priority="505" operator="equal">
      <formula>"PMS"</formula>
    </cfRule>
    <cfRule type="containsText" dxfId="19356" priority="506" operator="containsText" text="CMS">
      <formula>NOT(ISERROR(SEARCH("CMS",O56)))</formula>
    </cfRule>
    <cfRule type="cellIs" dxfId="19355" priority="507" operator="equal">
      <formula>0</formula>
    </cfRule>
    <cfRule type="cellIs" dxfId="19354" priority="508" operator="greaterThan">
      <formula>0</formula>
    </cfRule>
  </conditionalFormatting>
  <conditionalFormatting sqref="O56:O57">
    <cfRule type="cellIs" dxfId="19353" priority="501" operator="equal">
      <formula>"PMS"</formula>
    </cfRule>
    <cfRule type="containsText" dxfId="19352" priority="502" operator="containsText" text="CMS">
      <formula>NOT(ISERROR(SEARCH("CMS",O56)))</formula>
    </cfRule>
    <cfRule type="cellIs" dxfId="19351" priority="503" operator="equal">
      <formula>0</formula>
    </cfRule>
    <cfRule type="cellIs" dxfId="19350" priority="504" operator="greaterThan">
      <formula>0</formula>
    </cfRule>
  </conditionalFormatting>
  <conditionalFormatting sqref="O56:O57">
    <cfRule type="cellIs" dxfId="19349" priority="497" operator="equal">
      <formula>"PMS"</formula>
    </cfRule>
    <cfRule type="containsText" dxfId="19348" priority="498" operator="containsText" text="CMS">
      <formula>NOT(ISERROR(SEARCH("CMS",O56)))</formula>
    </cfRule>
    <cfRule type="cellIs" dxfId="19347" priority="499" operator="equal">
      <formula>0</formula>
    </cfRule>
    <cfRule type="cellIs" dxfId="19346" priority="500" operator="greaterThan">
      <formula>0</formula>
    </cfRule>
  </conditionalFormatting>
  <conditionalFormatting sqref="O56:O57">
    <cfRule type="cellIs" dxfId="19345" priority="493" operator="equal">
      <formula>"PMS"</formula>
    </cfRule>
    <cfRule type="containsText" dxfId="19344" priority="494" operator="containsText" text="CMS">
      <formula>NOT(ISERROR(SEARCH("CMS",O56)))</formula>
    </cfRule>
    <cfRule type="cellIs" dxfId="19343" priority="495" operator="equal">
      <formula>0</formula>
    </cfRule>
    <cfRule type="cellIs" dxfId="19342" priority="496" operator="greaterThan">
      <formula>0</formula>
    </cfRule>
  </conditionalFormatting>
  <conditionalFormatting sqref="O56:O57">
    <cfRule type="cellIs" dxfId="19341" priority="489" operator="equal">
      <formula>"PMS"</formula>
    </cfRule>
    <cfRule type="containsText" dxfId="19340" priority="490" operator="containsText" text="CMS">
      <formula>NOT(ISERROR(SEARCH("CMS",O56)))</formula>
    </cfRule>
    <cfRule type="cellIs" dxfId="19339" priority="491" operator="equal">
      <formula>0</formula>
    </cfRule>
    <cfRule type="cellIs" dxfId="19338" priority="492" operator="greaterThan">
      <formula>0</formula>
    </cfRule>
  </conditionalFormatting>
  <conditionalFormatting sqref="O56:O57">
    <cfRule type="cellIs" dxfId="19337" priority="485" operator="equal">
      <formula>"PMS"</formula>
    </cfRule>
    <cfRule type="containsText" dxfId="19336" priority="486" operator="containsText" text="CMS">
      <formula>NOT(ISERROR(SEARCH("CMS",O56)))</formula>
    </cfRule>
    <cfRule type="cellIs" dxfId="19335" priority="487" operator="equal">
      <formula>0</formula>
    </cfRule>
    <cfRule type="cellIs" dxfId="19334" priority="488" operator="greaterThan">
      <formula>0</formula>
    </cfRule>
  </conditionalFormatting>
  <conditionalFormatting sqref="O56:O57">
    <cfRule type="cellIs" dxfId="19333" priority="481" operator="equal">
      <formula>"PMS"</formula>
    </cfRule>
    <cfRule type="containsText" dxfId="19332" priority="482" operator="containsText" text="CMS">
      <formula>NOT(ISERROR(SEARCH("CMS",O56)))</formula>
    </cfRule>
    <cfRule type="cellIs" dxfId="19331" priority="483" operator="equal">
      <formula>0</formula>
    </cfRule>
    <cfRule type="cellIs" dxfId="19330" priority="484" operator="greaterThan">
      <formula>0</formula>
    </cfRule>
  </conditionalFormatting>
  <conditionalFormatting sqref="O56:O57">
    <cfRule type="cellIs" dxfId="19329" priority="477" operator="equal">
      <formula>"PMS"</formula>
    </cfRule>
    <cfRule type="containsText" dxfId="19328" priority="478" operator="containsText" text="CMS">
      <formula>NOT(ISERROR(SEARCH("CMS",O56)))</formula>
    </cfRule>
    <cfRule type="cellIs" dxfId="19327" priority="479" operator="equal">
      <formula>0</formula>
    </cfRule>
    <cfRule type="cellIs" dxfId="19326" priority="480" operator="greaterThan">
      <formula>0</formula>
    </cfRule>
  </conditionalFormatting>
  <conditionalFormatting sqref="O56:O57">
    <cfRule type="cellIs" dxfId="19325" priority="473" operator="equal">
      <formula>"PMS"</formula>
    </cfRule>
    <cfRule type="containsText" dxfId="19324" priority="474" operator="containsText" text="CMS">
      <formula>NOT(ISERROR(SEARCH("CMS",O56)))</formula>
    </cfRule>
    <cfRule type="cellIs" dxfId="19323" priority="475" operator="equal">
      <formula>0</formula>
    </cfRule>
    <cfRule type="cellIs" dxfId="19322" priority="476" operator="greaterThan">
      <formula>0</formula>
    </cfRule>
  </conditionalFormatting>
  <conditionalFormatting sqref="O56:O57">
    <cfRule type="cellIs" dxfId="19321" priority="469" operator="equal">
      <formula>"PMS"</formula>
    </cfRule>
    <cfRule type="containsText" dxfId="19320" priority="470" operator="containsText" text="CMS">
      <formula>NOT(ISERROR(SEARCH("CMS",O56)))</formula>
    </cfRule>
    <cfRule type="cellIs" dxfId="19319" priority="471" operator="equal">
      <formula>0</formula>
    </cfRule>
    <cfRule type="cellIs" dxfId="19318" priority="472" operator="greaterThan">
      <formula>0</formula>
    </cfRule>
  </conditionalFormatting>
  <conditionalFormatting sqref="R77">
    <cfRule type="cellIs" dxfId="19317" priority="465" operator="equal">
      <formula>"PMS"</formula>
    </cfRule>
    <cfRule type="containsText" dxfId="19316" priority="466" operator="containsText" text="CMS">
      <formula>NOT(ISERROR(SEARCH("CMS",R77)))</formula>
    </cfRule>
    <cfRule type="cellIs" dxfId="19315" priority="467" operator="equal">
      <formula>0</formula>
    </cfRule>
    <cfRule type="cellIs" dxfId="19314" priority="468" operator="greaterThan">
      <formula>0</formula>
    </cfRule>
  </conditionalFormatting>
  <conditionalFormatting sqref="G15:G16">
    <cfRule type="cellIs" dxfId="19313" priority="457" operator="equal">
      <formula>"PMS"</formula>
    </cfRule>
    <cfRule type="containsText" dxfId="19312" priority="458" operator="containsText" text="CMS">
      <formula>NOT(ISERROR(SEARCH("CMS",G15)))</formula>
    </cfRule>
    <cfRule type="cellIs" dxfId="19311" priority="459" operator="equal">
      <formula>0</formula>
    </cfRule>
    <cfRule type="cellIs" dxfId="19310" priority="460" operator="greaterThan">
      <formula>0</formula>
    </cfRule>
    <cfRule type="cellIs" dxfId="19309" priority="461" operator="equal">
      <formula>"PMS"</formula>
    </cfRule>
    <cfRule type="containsText" dxfId="19308" priority="462" operator="containsText" text="CMS">
      <formula>NOT(ISERROR(SEARCH("CMS",G15)))</formula>
    </cfRule>
    <cfRule type="cellIs" dxfId="19307" priority="463" operator="equal">
      <formula>0</formula>
    </cfRule>
    <cfRule type="cellIs" dxfId="19306" priority="464" operator="greaterThan">
      <formula>0</formula>
    </cfRule>
  </conditionalFormatting>
  <conditionalFormatting sqref="G15:G16">
    <cfRule type="cellIs" dxfId="19305" priority="453" operator="equal">
      <formula>"PMS"</formula>
    </cfRule>
    <cfRule type="containsText" dxfId="19304" priority="454" operator="containsText" text="CMS">
      <formula>NOT(ISERROR(SEARCH("CMS",G15)))</formula>
    </cfRule>
    <cfRule type="cellIs" dxfId="19303" priority="455" operator="equal">
      <formula>0</formula>
    </cfRule>
    <cfRule type="cellIs" dxfId="19302" priority="456" operator="greaterThan">
      <formula>0</formula>
    </cfRule>
  </conditionalFormatting>
  <conditionalFormatting sqref="G15:G16">
    <cfRule type="cellIs" dxfId="19301" priority="449" operator="equal">
      <formula>"PMS"</formula>
    </cfRule>
    <cfRule type="containsText" dxfId="19300" priority="450" operator="containsText" text="CMS">
      <formula>NOT(ISERROR(SEARCH("CMS",G15)))</formula>
    </cfRule>
    <cfRule type="cellIs" dxfId="19299" priority="451" operator="equal">
      <formula>0</formula>
    </cfRule>
    <cfRule type="cellIs" dxfId="19298" priority="452" operator="greaterThan">
      <formula>0</formula>
    </cfRule>
  </conditionalFormatting>
  <conditionalFormatting sqref="G21">
    <cfRule type="cellIs" dxfId="19297" priority="441" operator="equal">
      <formula>"PMS"</formula>
    </cfRule>
    <cfRule type="containsText" dxfId="19296" priority="442" operator="containsText" text="CMS">
      <formula>NOT(ISERROR(SEARCH("CMS",G21)))</formula>
    </cfRule>
    <cfRule type="cellIs" dxfId="19295" priority="443" operator="equal">
      <formula>0</formula>
    </cfRule>
    <cfRule type="cellIs" dxfId="19294" priority="444" operator="greaterThan">
      <formula>0</formula>
    </cfRule>
    <cfRule type="cellIs" dxfId="19293" priority="445" operator="equal">
      <formula>"PMS"</formula>
    </cfRule>
    <cfRule type="containsText" dxfId="19292" priority="446" operator="containsText" text="CMS">
      <formula>NOT(ISERROR(SEARCH("CMS",G21)))</formula>
    </cfRule>
    <cfRule type="cellIs" dxfId="19291" priority="447" operator="equal">
      <formula>0</formula>
    </cfRule>
    <cfRule type="cellIs" dxfId="19290" priority="448" operator="greaterThan">
      <formula>0</formula>
    </cfRule>
  </conditionalFormatting>
  <conditionalFormatting sqref="G21">
    <cfRule type="cellIs" dxfId="19289" priority="437" operator="equal">
      <formula>"PMS"</formula>
    </cfRule>
    <cfRule type="containsText" dxfId="19288" priority="438" operator="containsText" text="CMS">
      <formula>NOT(ISERROR(SEARCH("CMS",G21)))</formula>
    </cfRule>
    <cfRule type="cellIs" dxfId="19287" priority="439" operator="equal">
      <formula>0</formula>
    </cfRule>
    <cfRule type="cellIs" dxfId="19286" priority="440" operator="greaterThan">
      <formula>0</formula>
    </cfRule>
  </conditionalFormatting>
  <conditionalFormatting sqref="G21">
    <cfRule type="cellIs" dxfId="19285" priority="433" operator="equal">
      <formula>"PMS"</formula>
    </cfRule>
    <cfRule type="containsText" dxfId="19284" priority="434" operator="containsText" text="CMS">
      <formula>NOT(ISERROR(SEARCH("CMS",G21)))</formula>
    </cfRule>
    <cfRule type="cellIs" dxfId="19283" priority="435" operator="equal">
      <formula>0</formula>
    </cfRule>
    <cfRule type="cellIs" dxfId="19282" priority="436" operator="greaterThan">
      <formula>0</formula>
    </cfRule>
  </conditionalFormatting>
  <conditionalFormatting sqref="G61:J61 L61:M61 G63:M63">
    <cfRule type="cellIs" dxfId="19281" priority="425" operator="equal">
      <formula>"PMS"</formula>
    </cfRule>
    <cfRule type="containsText" dxfId="19280" priority="426" operator="containsText" text="CMS">
      <formula>NOT(ISERROR(SEARCH("CMS",G61)))</formula>
    </cfRule>
    <cfRule type="cellIs" dxfId="19279" priority="427" operator="equal">
      <formula>0</formula>
    </cfRule>
    <cfRule type="cellIs" dxfId="19278" priority="428" operator="greaterThan">
      <formula>0</formula>
    </cfRule>
    <cfRule type="cellIs" dxfId="19277" priority="429" operator="equal">
      <formula>"PMS"</formula>
    </cfRule>
    <cfRule type="containsText" dxfId="19276" priority="430" operator="containsText" text="CMS">
      <formula>NOT(ISERROR(SEARCH("CMS",G61)))</formula>
    </cfRule>
    <cfRule type="cellIs" dxfId="19275" priority="431" operator="equal">
      <formula>0</formula>
    </cfRule>
    <cfRule type="cellIs" dxfId="19274" priority="432" operator="greaterThan">
      <formula>0</formula>
    </cfRule>
  </conditionalFormatting>
  <conditionalFormatting sqref="G61:J61 L61:M61 G63:M63">
    <cfRule type="cellIs" dxfId="19273" priority="421" operator="equal">
      <formula>"PMS"</formula>
    </cfRule>
    <cfRule type="containsText" dxfId="19272" priority="422" operator="containsText" text="CMS">
      <formula>NOT(ISERROR(SEARCH("CMS",G61)))</formula>
    </cfRule>
    <cfRule type="cellIs" dxfId="19271" priority="423" operator="equal">
      <formula>0</formula>
    </cfRule>
    <cfRule type="cellIs" dxfId="19270" priority="424" operator="greaterThan">
      <formula>0</formula>
    </cfRule>
  </conditionalFormatting>
  <conditionalFormatting sqref="G78">
    <cfRule type="cellIs" dxfId="19269" priority="413" operator="equal">
      <formula>"PMS"</formula>
    </cfRule>
    <cfRule type="containsText" dxfId="19268" priority="414" operator="containsText" text="CMS">
      <formula>NOT(ISERROR(SEARCH("CMS",G78)))</formula>
    </cfRule>
    <cfRule type="cellIs" dxfId="19267" priority="415" operator="equal">
      <formula>0</formula>
    </cfRule>
    <cfRule type="cellIs" dxfId="19266" priority="416" operator="greaterThan">
      <formula>0</formula>
    </cfRule>
    <cfRule type="cellIs" dxfId="19265" priority="417" operator="equal">
      <formula>"PMS"</formula>
    </cfRule>
    <cfRule type="containsText" dxfId="19264" priority="418" operator="containsText" text="CMS">
      <formula>NOT(ISERROR(SEARCH("CMS",G78)))</formula>
    </cfRule>
    <cfRule type="cellIs" dxfId="19263" priority="419" operator="equal">
      <formula>0</formula>
    </cfRule>
    <cfRule type="cellIs" dxfId="19262" priority="420" operator="greaterThan">
      <formula>0</formula>
    </cfRule>
  </conditionalFormatting>
  <conditionalFormatting sqref="G78">
    <cfRule type="cellIs" dxfId="19261" priority="409" operator="equal">
      <formula>"PMS"</formula>
    </cfRule>
    <cfRule type="containsText" dxfId="19260" priority="410" operator="containsText" text="CMS">
      <formula>NOT(ISERROR(SEARCH("CMS",G78)))</formula>
    </cfRule>
    <cfRule type="cellIs" dxfId="19259" priority="411" operator="equal">
      <formula>0</formula>
    </cfRule>
    <cfRule type="cellIs" dxfId="19258" priority="412" operator="greaterThan">
      <formula>0</formula>
    </cfRule>
  </conditionalFormatting>
  <conditionalFormatting sqref="G24">
    <cfRule type="cellIs" dxfId="19257" priority="401" operator="equal">
      <formula>"PMS"</formula>
    </cfRule>
    <cfRule type="containsText" dxfId="19256" priority="402" operator="containsText" text="CMS">
      <formula>NOT(ISERROR(SEARCH("CMS",G24)))</formula>
    </cfRule>
    <cfRule type="cellIs" dxfId="19255" priority="403" operator="equal">
      <formula>0</formula>
    </cfRule>
    <cfRule type="cellIs" dxfId="19254" priority="404" operator="greaterThan">
      <formula>0</formula>
    </cfRule>
    <cfRule type="cellIs" dxfId="19253" priority="405" operator="equal">
      <formula>"PMS"</formula>
    </cfRule>
    <cfRule type="containsText" dxfId="19252" priority="406" operator="containsText" text="CMS">
      <formula>NOT(ISERROR(SEARCH("CMS",G24)))</formula>
    </cfRule>
    <cfRule type="cellIs" dxfId="19251" priority="407" operator="equal">
      <formula>0</formula>
    </cfRule>
    <cfRule type="cellIs" dxfId="19250" priority="408" operator="greaterThan">
      <formula>0</formula>
    </cfRule>
  </conditionalFormatting>
  <conditionalFormatting sqref="G24">
    <cfRule type="cellIs" dxfId="19249" priority="397" operator="equal">
      <formula>"PMS"</formula>
    </cfRule>
    <cfRule type="containsText" dxfId="19248" priority="398" operator="containsText" text="CMS">
      <formula>NOT(ISERROR(SEARCH("CMS",G24)))</formula>
    </cfRule>
    <cfRule type="cellIs" dxfId="19247" priority="399" operator="equal">
      <formula>0</formula>
    </cfRule>
    <cfRule type="cellIs" dxfId="19246" priority="400" operator="greaterThan">
      <formula>0</formula>
    </cfRule>
  </conditionalFormatting>
  <conditionalFormatting sqref="G24">
    <cfRule type="cellIs" dxfId="19245" priority="393" operator="equal">
      <formula>"PMS"</formula>
    </cfRule>
    <cfRule type="containsText" dxfId="19244" priority="394" operator="containsText" text="CMS">
      <formula>NOT(ISERROR(SEARCH("CMS",G24)))</formula>
    </cfRule>
    <cfRule type="cellIs" dxfId="19243" priority="395" operator="equal">
      <formula>0</formula>
    </cfRule>
    <cfRule type="cellIs" dxfId="19242" priority="396" operator="greaterThan">
      <formula>0</formula>
    </cfRule>
  </conditionalFormatting>
  <conditionalFormatting sqref="O56:O57">
    <cfRule type="cellIs" dxfId="19241" priority="389" operator="equal">
      <formula>"PMS"</formula>
    </cfRule>
    <cfRule type="containsText" dxfId="19240" priority="390" operator="containsText" text="CMS">
      <formula>NOT(ISERROR(SEARCH("CMS",O56)))</formula>
    </cfRule>
    <cfRule type="cellIs" dxfId="19239" priority="391" operator="equal">
      <formula>0</formula>
    </cfRule>
    <cfRule type="cellIs" dxfId="19238" priority="392" operator="greaterThan">
      <formula>0</formula>
    </cfRule>
  </conditionalFormatting>
  <conditionalFormatting sqref="O56:O57">
    <cfRule type="cellIs" dxfId="19237" priority="385" operator="equal">
      <formula>"PMS"</formula>
    </cfRule>
    <cfRule type="containsText" dxfId="19236" priority="386" operator="containsText" text="CMS">
      <formula>NOT(ISERROR(SEARCH("CMS",O56)))</formula>
    </cfRule>
    <cfRule type="cellIs" dxfId="19235" priority="387" operator="equal">
      <formula>0</formula>
    </cfRule>
    <cfRule type="cellIs" dxfId="19234" priority="388" operator="greaterThan">
      <formula>0</formula>
    </cfRule>
  </conditionalFormatting>
  <conditionalFormatting sqref="O56:O57">
    <cfRule type="cellIs" dxfId="19233" priority="381" operator="equal">
      <formula>"PMS"</formula>
    </cfRule>
    <cfRule type="containsText" dxfId="19232" priority="382" operator="containsText" text="CMS">
      <formula>NOT(ISERROR(SEARCH("CMS",O56)))</formula>
    </cfRule>
    <cfRule type="cellIs" dxfId="19231" priority="383" operator="equal">
      <formula>0</formula>
    </cfRule>
    <cfRule type="cellIs" dxfId="19230" priority="384" operator="greaterThan">
      <formula>0</formula>
    </cfRule>
  </conditionalFormatting>
  <conditionalFormatting sqref="O56:O57">
    <cfRule type="cellIs" dxfId="19229" priority="377" operator="equal">
      <formula>"PMS"</formula>
    </cfRule>
    <cfRule type="containsText" dxfId="19228" priority="378" operator="containsText" text="CMS">
      <formula>NOT(ISERROR(SEARCH("CMS",O56)))</formula>
    </cfRule>
    <cfRule type="cellIs" dxfId="19227" priority="379" operator="equal">
      <formula>0</formula>
    </cfRule>
    <cfRule type="cellIs" dxfId="19226" priority="380" operator="greaterThan">
      <formula>0</formula>
    </cfRule>
  </conditionalFormatting>
  <conditionalFormatting sqref="O56">
    <cfRule type="cellIs" dxfId="19225" priority="373" operator="equal">
      <formula>"PMS"</formula>
    </cfRule>
    <cfRule type="containsText" dxfId="19224" priority="374" operator="containsText" text="CMS">
      <formula>NOT(ISERROR(SEARCH("CMS",O56)))</formula>
    </cfRule>
    <cfRule type="cellIs" dxfId="19223" priority="375" operator="equal">
      <formula>0</formula>
    </cfRule>
    <cfRule type="cellIs" dxfId="19222" priority="376" operator="greaterThan">
      <formula>0</formula>
    </cfRule>
  </conditionalFormatting>
  <conditionalFormatting sqref="O56">
    <cfRule type="cellIs" dxfId="19221" priority="369" operator="equal">
      <formula>"PMS"</formula>
    </cfRule>
    <cfRule type="containsText" dxfId="19220" priority="370" operator="containsText" text="CMS">
      <formula>NOT(ISERROR(SEARCH("CMS",O56)))</formula>
    </cfRule>
    <cfRule type="cellIs" dxfId="19219" priority="371" operator="equal">
      <formula>0</formula>
    </cfRule>
    <cfRule type="cellIs" dxfId="19218" priority="372" operator="greaterThan">
      <formula>0</formula>
    </cfRule>
  </conditionalFormatting>
  <conditionalFormatting sqref="O56">
    <cfRule type="cellIs" dxfId="19217" priority="365" operator="equal">
      <formula>"PMS"</formula>
    </cfRule>
    <cfRule type="containsText" dxfId="19216" priority="366" operator="containsText" text="CMS">
      <formula>NOT(ISERROR(SEARCH("CMS",O56)))</formula>
    </cfRule>
    <cfRule type="cellIs" dxfId="19215" priority="367" operator="equal">
      <formula>0</formula>
    </cfRule>
    <cfRule type="cellIs" dxfId="19214" priority="368" operator="greaterThan">
      <formula>0</formula>
    </cfRule>
  </conditionalFormatting>
  <conditionalFormatting sqref="O56">
    <cfRule type="cellIs" dxfId="19213" priority="361" operator="equal">
      <formula>"PMS"</formula>
    </cfRule>
    <cfRule type="containsText" dxfId="19212" priority="362" operator="containsText" text="CMS">
      <formula>NOT(ISERROR(SEARCH("CMS",O56)))</formula>
    </cfRule>
    <cfRule type="cellIs" dxfId="19211" priority="363" operator="equal">
      <formula>0</formula>
    </cfRule>
    <cfRule type="cellIs" dxfId="19210" priority="364" operator="greaterThan">
      <formula>0</formula>
    </cfRule>
  </conditionalFormatting>
  <conditionalFormatting sqref="O56">
    <cfRule type="cellIs" dxfId="19209" priority="357" operator="equal">
      <formula>"PMS"</formula>
    </cfRule>
    <cfRule type="containsText" dxfId="19208" priority="358" operator="containsText" text="CMS">
      <formula>NOT(ISERROR(SEARCH("CMS",O56)))</formula>
    </cfRule>
    <cfRule type="cellIs" dxfId="19207" priority="359" operator="equal">
      <formula>0</formula>
    </cfRule>
    <cfRule type="cellIs" dxfId="19206" priority="360" operator="greaterThan">
      <formula>0</formula>
    </cfRule>
  </conditionalFormatting>
  <conditionalFormatting sqref="P58">
    <cfRule type="cellIs" dxfId="19205" priority="353" operator="equal">
      <formula>"PMS"</formula>
    </cfRule>
    <cfRule type="containsText" dxfId="19204" priority="354" operator="containsText" text="CMS">
      <formula>NOT(ISERROR(SEARCH("CMS",P58)))</formula>
    </cfRule>
    <cfRule type="cellIs" dxfId="19203" priority="355" operator="equal">
      <formula>0</formula>
    </cfRule>
    <cfRule type="cellIs" dxfId="19202" priority="356" operator="greaterThan">
      <formula>0</formula>
    </cfRule>
  </conditionalFormatting>
  <conditionalFormatting sqref="F78">
    <cfRule type="cellIs" dxfId="19201" priority="169" operator="equal">
      <formula>"PMS"</formula>
    </cfRule>
    <cfRule type="containsText" dxfId="19200" priority="170" operator="containsText" text="CMS">
      <formula>NOT(ISERROR(SEARCH("CMS",F78)))</formula>
    </cfRule>
    <cfRule type="cellIs" dxfId="19199" priority="171" operator="equal">
      <formula>0</formula>
    </cfRule>
    <cfRule type="cellIs" dxfId="19198" priority="172" operator="greaterThan">
      <formula>0</formula>
    </cfRule>
    <cfRule type="cellIs" dxfId="19197" priority="173" operator="equal">
      <formula>"PMS"</formula>
    </cfRule>
    <cfRule type="containsText" dxfId="19196" priority="174" operator="containsText" text="CMS">
      <formula>NOT(ISERROR(SEARCH("CMS",F78)))</formula>
    </cfRule>
    <cfRule type="cellIs" dxfId="19195" priority="175" operator="equal">
      <formula>0</formula>
    </cfRule>
    <cfRule type="cellIs" dxfId="19194" priority="176" operator="greaterThan">
      <formula>0</formula>
    </cfRule>
  </conditionalFormatting>
  <conditionalFormatting sqref="F78">
    <cfRule type="cellIs" dxfId="19193" priority="165" operator="equal">
      <formula>"PMS"</formula>
    </cfRule>
    <cfRule type="containsText" dxfId="19192" priority="166" operator="containsText" text="CMS">
      <formula>NOT(ISERROR(SEARCH("CMS",F78)))</formula>
    </cfRule>
    <cfRule type="cellIs" dxfId="19191" priority="167" operator="equal">
      <formula>0</formula>
    </cfRule>
    <cfRule type="cellIs" dxfId="19190" priority="168" operator="greaterThan">
      <formula>0</formula>
    </cfRule>
  </conditionalFormatting>
  <conditionalFormatting sqref="L62">
    <cfRule type="cellIs" dxfId="19189" priority="157" operator="equal">
      <formula>"PMS"</formula>
    </cfRule>
    <cfRule type="containsText" dxfId="19188" priority="158" operator="containsText" text="CMS">
      <formula>NOT(ISERROR(SEARCH("CMS",L62)))</formula>
    </cfRule>
    <cfRule type="cellIs" dxfId="19187" priority="159" operator="equal">
      <formula>0</formula>
    </cfRule>
    <cfRule type="cellIs" dxfId="19186" priority="160" operator="greaterThan">
      <formula>0</formula>
    </cfRule>
    <cfRule type="cellIs" dxfId="19185" priority="161" operator="equal">
      <formula>"PMS"</formula>
    </cfRule>
    <cfRule type="containsText" dxfId="19184" priority="162" operator="containsText" text="CMS">
      <formula>NOT(ISERROR(SEARCH("CMS",L62)))</formula>
    </cfRule>
    <cfRule type="cellIs" dxfId="19183" priority="163" operator="equal">
      <formula>0</formula>
    </cfRule>
    <cfRule type="cellIs" dxfId="19182" priority="164" operator="greaterThan">
      <formula>0</formula>
    </cfRule>
  </conditionalFormatting>
  <conditionalFormatting sqref="L62">
    <cfRule type="cellIs" dxfId="19181" priority="153" operator="equal">
      <formula>"PMS"</formula>
    </cfRule>
    <cfRule type="containsText" dxfId="19180" priority="154" operator="containsText" text="CMS">
      <formula>NOT(ISERROR(SEARCH("CMS",L62)))</formula>
    </cfRule>
    <cfRule type="cellIs" dxfId="19179" priority="155" operator="equal">
      <formula>0</formula>
    </cfRule>
    <cfRule type="cellIs" dxfId="19178" priority="156" operator="greaterThan">
      <formula>0</formula>
    </cfRule>
  </conditionalFormatting>
  <conditionalFormatting sqref="M62">
    <cfRule type="cellIs" dxfId="19177" priority="145" operator="equal">
      <formula>"PMS"</formula>
    </cfRule>
    <cfRule type="containsText" dxfId="19176" priority="146" operator="containsText" text="CMS">
      <formula>NOT(ISERROR(SEARCH("CMS",M62)))</formula>
    </cfRule>
    <cfRule type="cellIs" dxfId="19175" priority="147" operator="equal">
      <formula>0</formula>
    </cfRule>
    <cfRule type="cellIs" dxfId="19174" priority="148" operator="greaterThan">
      <formula>0</formula>
    </cfRule>
    <cfRule type="cellIs" dxfId="19173" priority="149" operator="equal">
      <formula>"PMS"</formula>
    </cfRule>
    <cfRule type="containsText" dxfId="19172" priority="150" operator="containsText" text="CMS">
      <formula>NOT(ISERROR(SEARCH("CMS",M62)))</formula>
    </cfRule>
    <cfRule type="cellIs" dxfId="19171" priority="151" operator="equal">
      <formula>0</formula>
    </cfRule>
    <cfRule type="cellIs" dxfId="19170" priority="152" operator="greaterThan">
      <formula>0</formula>
    </cfRule>
  </conditionalFormatting>
  <conditionalFormatting sqref="M62">
    <cfRule type="cellIs" dxfId="19169" priority="141" operator="equal">
      <formula>"PMS"</formula>
    </cfRule>
    <cfRule type="containsText" dxfId="19168" priority="142" operator="containsText" text="CMS">
      <formula>NOT(ISERROR(SEARCH("CMS",M62)))</formula>
    </cfRule>
    <cfRule type="cellIs" dxfId="19167" priority="143" operator="equal">
      <formula>0</formula>
    </cfRule>
    <cfRule type="cellIs" dxfId="19166" priority="144" operator="greaterThan">
      <formula>0</formula>
    </cfRule>
  </conditionalFormatting>
  <conditionalFormatting sqref="Z13:Z16">
    <cfRule type="cellIs" dxfId="19165" priority="137" operator="equal">
      <formula>"PMS"</formula>
    </cfRule>
    <cfRule type="containsText" dxfId="19164" priority="138" operator="containsText" text="CMS">
      <formula>NOT(ISERROR(SEARCH("CMS",Z13)))</formula>
    </cfRule>
    <cfRule type="cellIs" dxfId="19163" priority="139" operator="equal">
      <formula>0</formula>
    </cfRule>
    <cfRule type="cellIs" dxfId="19162" priority="140" operator="greaterThan">
      <formula>0</formula>
    </cfRule>
  </conditionalFormatting>
  <conditionalFormatting sqref="Z13:Z16">
    <cfRule type="cellIs" dxfId="19161" priority="133" operator="equal">
      <formula>"PMS"</formula>
    </cfRule>
    <cfRule type="containsText" dxfId="19160" priority="134" operator="containsText" text="CMS">
      <formula>NOT(ISERROR(SEARCH("CMS",Z13)))</formula>
    </cfRule>
    <cfRule type="cellIs" dxfId="19159" priority="135" operator="equal">
      <formula>0</formula>
    </cfRule>
    <cfRule type="cellIs" dxfId="19158" priority="136" operator="greaterThan">
      <formula>0</formula>
    </cfRule>
  </conditionalFormatting>
  <conditionalFormatting sqref="F24 F27:F28 F20:F21 F77 F35:F58 F66:F74 F13:F16 F61:F63">
    <cfRule type="cellIs" dxfId="19157" priority="125" operator="equal">
      <formula>"PMS"</formula>
    </cfRule>
    <cfRule type="containsText" dxfId="19156" priority="126" operator="containsText" text="CMS">
      <formula>NOT(ISERROR(SEARCH("CMS",F13)))</formula>
    </cfRule>
    <cfRule type="cellIs" dxfId="19155" priority="127" operator="equal">
      <formula>0</formula>
    </cfRule>
    <cfRule type="cellIs" dxfId="19154" priority="128" operator="greaterThan">
      <formula>0</formula>
    </cfRule>
    <cfRule type="cellIs" dxfId="19153" priority="129" operator="equal">
      <formula>"PMS"</formula>
    </cfRule>
    <cfRule type="containsText" dxfId="19152" priority="130" operator="containsText" text="CMS">
      <formula>NOT(ISERROR(SEARCH("CMS",F13)))</formula>
    </cfRule>
    <cfRule type="cellIs" dxfId="19151" priority="131" operator="equal">
      <formula>0</formula>
    </cfRule>
    <cfRule type="cellIs" dxfId="19150" priority="132" operator="greaterThan">
      <formula>0</formula>
    </cfRule>
  </conditionalFormatting>
  <conditionalFormatting sqref="F77 F66:F74 F61:F63">
    <cfRule type="cellIs" dxfId="19149" priority="121" operator="equal">
      <formula>"PMS"</formula>
    </cfRule>
    <cfRule type="containsText" dxfId="19148" priority="122" operator="containsText" text="CMS">
      <formula>NOT(ISERROR(SEARCH("CMS",F61)))</formula>
    </cfRule>
    <cfRule type="cellIs" dxfId="19147" priority="123" operator="equal">
      <formula>0</formula>
    </cfRule>
    <cfRule type="cellIs" dxfId="19146" priority="124" operator="greaterThan">
      <formula>0</formula>
    </cfRule>
  </conditionalFormatting>
  <conditionalFormatting sqref="F66:F74">
    <cfRule type="cellIs" dxfId="19145" priority="117" operator="equal">
      <formula>"PMS"</formula>
    </cfRule>
    <cfRule type="containsText" dxfId="19144" priority="118" operator="containsText" text="CMS">
      <formula>NOT(ISERROR(SEARCH("CMS",F66)))</formula>
    </cfRule>
    <cfRule type="cellIs" dxfId="19143" priority="119" operator="equal">
      <formula>0</formula>
    </cfRule>
    <cfRule type="cellIs" dxfId="19142" priority="120" operator="greaterThan">
      <formula>0</formula>
    </cfRule>
  </conditionalFormatting>
  <conditionalFormatting sqref="F13:F16">
    <cfRule type="cellIs" dxfId="19141" priority="113" operator="equal">
      <formula>"PMS"</formula>
    </cfRule>
    <cfRule type="containsText" dxfId="19140" priority="114" operator="containsText" text="CMS">
      <formula>NOT(ISERROR(SEARCH("CMS",F13)))</formula>
    </cfRule>
    <cfRule type="cellIs" dxfId="19139" priority="115" operator="equal">
      <formula>0</formula>
    </cfRule>
    <cfRule type="cellIs" dxfId="19138" priority="116" operator="greaterThan">
      <formula>0</formula>
    </cfRule>
  </conditionalFormatting>
  <conditionalFormatting sqref="F13:F16">
    <cfRule type="cellIs" dxfId="19137" priority="109" operator="equal">
      <formula>"PMS"</formula>
    </cfRule>
    <cfRule type="containsText" dxfId="19136" priority="110" operator="containsText" text="CMS">
      <formula>NOT(ISERROR(SEARCH("CMS",F13)))</formula>
    </cfRule>
    <cfRule type="cellIs" dxfId="19135" priority="111" operator="equal">
      <formula>0</formula>
    </cfRule>
    <cfRule type="cellIs" dxfId="19134" priority="112" operator="greaterThan">
      <formula>0</formula>
    </cfRule>
  </conditionalFormatting>
  <conditionalFormatting sqref="F20:F21">
    <cfRule type="cellIs" dxfId="19133" priority="105" operator="equal">
      <formula>"PMS"</formula>
    </cfRule>
    <cfRule type="containsText" dxfId="19132" priority="106" operator="containsText" text="CMS">
      <formula>NOT(ISERROR(SEARCH("CMS",F20)))</formula>
    </cfRule>
    <cfRule type="cellIs" dxfId="19131" priority="107" operator="equal">
      <formula>0</formula>
    </cfRule>
    <cfRule type="cellIs" dxfId="19130" priority="108" operator="greaterThan">
      <formula>0</formula>
    </cfRule>
  </conditionalFormatting>
  <conditionalFormatting sqref="F20:F21">
    <cfRule type="cellIs" dxfId="19129" priority="101" operator="equal">
      <formula>"PMS"</formula>
    </cfRule>
    <cfRule type="containsText" dxfId="19128" priority="102" operator="containsText" text="CMS">
      <formula>NOT(ISERROR(SEARCH("CMS",F20)))</formula>
    </cfRule>
    <cfRule type="cellIs" dxfId="19127" priority="103" operator="equal">
      <formula>0</formula>
    </cfRule>
    <cfRule type="cellIs" dxfId="19126" priority="104" operator="greaterThan">
      <formula>0</formula>
    </cfRule>
  </conditionalFormatting>
  <conditionalFormatting sqref="F24">
    <cfRule type="cellIs" dxfId="19125" priority="97" operator="equal">
      <formula>"PMS"</formula>
    </cfRule>
    <cfRule type="containsText" dxfId="19124" priority="98" operator="containsText" text="CMS">
      <formula>NOT(ISERROR(SEARCH("CMS",F24)))</formula>
    </cfRule>
    <cfRule type="cellIs" dxfId="19123" priority="99" operator="equal">
      <formula>0</formula>
    </cfRule>
    <cfRule type="cellIs" dxfId="19122" priority="100" operator="greaterThan">
      <formula>0</formula>
    </cfRule>
  </conditionalFormatting>
  <conditionalFormatting sqref="F24">
    <cfRule type="cellIs" dxfId="19121" priority="93" operator="equal">
      <formula>"PMS"</formula>
    </cfRule>
    <cfRule type="containsText" dxfId="19120" priority="94" operator="containsText" text="CMS">
      <formula>NOT(ISERROR(SEARCH("CMS",F24)))</formula>
    </cfRule>
    <cfRule type="cellIs" dxfId="19119" priority="95" operator="equal">
      <formula>0</formula>
    </cfRule>
    <cfRule type="cellIs" dxfId="19118" priority="96" operator="greaterThan">
      <formula>0</formula>
    </cfRule>
  </conditionalFormatting>
  <conditionalFormatting sqref="F27:F28">
    <cfRule type="cellIs" dxfId="19117" priority="89" operator="equal">
      <formula>"PMS"</formula>
    </cfRule>
    <cfRule type="containsText" dxfId="19116" priority="90" operator="containsText" text="CMS">
      <formula>NOT(ISERROR(SEARCH("CMS",F27)))</formula>
    </cfRule>
    <cfRule type="cellIs" dxfId="19115" priority="91" operator="equal">
      <formula>0</formula>
    </cfRule>
    <cfRule type="cellIs" dxfId="19114" priority="92" operator="greaterThan">
      <formula>0</formula>
    </cfRule>
  </conditionalFormatting>
  <conditionalFormatting sqref="F27:F28">
    <cfRule type="cellIs" dxfId="19113" priority="85" operator="equal">
      <formula>"PMS"</formula>
    </cfRule>
    <cfRule type="containsText" dxfId="19112" priority="86" operator="containsText" text="CMS">
      <formula>NOT(ISERROR(SEARCH("CMS",F27)))</formula>
    </cfRule>
    <cfRule type="cellIs" dxfId="19111" priority="87" operator="equal">
      <formula>0</formula>
    </cfRule>
    <cfRule type="cellIs" dxfId="19110" priority="88" operator="greaterThan">
      <formula>0</formula>
    </cfRule>
  </conditionalFormatting>
  <conditionalFormatting sqref="F35:F58">
    <cfRule type="cellIs" dxfId="19109" priority="81" operator="equal">
      <formula>"PMS"</formula>
    </cfRule>
    <cfRule type="containsText" dxfId="19108" priority="82" operator="containsText" text="CMS">
      <formula>NOT(ISERROR(SEARCH("CMS",F35)))</formula>
    </cfRule>
    <cfRule type="cellIs" dxfId="19107" priority="83" operator="equal">
      <formula>0</formula>
    </cfRule>
    <cfRule type="cellIs" dxfId="19106" priority="84" operator="greaterThan">
      <formula>0</formula>
    </cfRule>
  </conditionalFormatting>
  <conditionalFormatting sqref="F35:F58">
    <cfRule type="cellIs" dxfId="19105" priority="77" operator="equal">
      <formula>"PMS"</formula>
    </cfRule>
    <cfRule type="containsText" dxfId="19104" priority="78" operator="containsText" text="CMS">
      <formula>NOT(ISERROR(SEARCH("CMS",F35)))</formula>
    </cfRule>
    <cfRule type="cellIs" dxfId="19103" priority="79" operator="equal">
      <formula>0</formula>
    </cfRule>
    <cfRule type="cellIs" dxfId="19102" priority="80" operator="greaterThan">
      <formula>0</formula>
    </cfRule>
  </conditionalFormatting>
  <conditionalFormatting sqref="F13:F15">
    <cfRule type="cellIs" dxfId="19101" priority="73" operator="equal">
      <formula>"PMS"</formula>
    </cfRule>
    <cfRule type="containsText" dxfId="19100" priority="74" operator="containsText" text="CMS">
      <formula>NOT(ISERROR(SEARCH("CMS",F13)))</formula>
    </cfRule>
    <cfRule type="cellIs" dxfId="19099" priority="75" operator="equal">
      <formula>0</formula>
    </cfRule>
    <cfRule type="cellIs" dxfId="19098" priority="76" operator="greaterThan">
      <formula>0</formula>
    </cfRule>
  </conditionalFormatting>
  <conditionalFormatting sqref="F13:F15">
    <cfRule type="cellIs" dxfId="19097" priority="69" operator="equal">
      <formula>"PMS"</formula>
    </cfRule>
    <cfRule type="containsText" dxfId="19096" priority="70" operator="containsText" text="CMS">
      <formula>NOT(ISERROR(SEARCH("CMS",F13)))</formula>
    </cfRule>
    <cfRule type="cellIs" dxfId="19095" priority="71" operator="equal">
      <formula>0</formula>
    </cfRule>
    <cfRule type="cellIs" dxfId="19094" priority="72" operator="greaterThan">
      <formula>0</formula>
    </cfRule>
  </conditionalFormatting>
  <conditionalFormatting sqref="F57">
    <cfRule type="cellIs" dxfId="19093" priority="65" operator="equal">
      <formula>"PMS"</formula>
    </cfRule>
    <cfRule type="containsText" dxfId="19092" priority="66" operator="containsText" text="CMS">
      <formula>NOT(ISERROR(SEARCH("CMS",F57)))</formula>
    </cfRule>
    <cfRule type="cellIs" dxfId="19091" priority="67" operator="equal">
      <formula>0</formula>
    </cfRule>
    <cfRule type="cellIs" dxfId="19090" priority="68" operator="greaterThan">
      <formula>0</formula>
    </cfRule>
  </conditionalFormatting>
  <conditionalFormatting sqref="F57">
    <cfRule type="cellIs" dxfId="19089" priority="61" operator="equal">
      <formula>"PMS"</formula>
    </cfRule>
    <cfRule type="containsText" dxfId="19088" priority="62" operator="containsText" text="CMS">
      <formula>NOT(ISERROR(SEARCH("CMS",F57)))</formula>
    </cfRule>
    <cfRule type="cellIs" dxfId="19087" priority="63" operator="equal">
      <formula>0</formula>
    </cfRule>
    <cfRule type="cellIs" dxfId="19086" priority="64" operator="greaterThan">
      <formula>0</formula>
    </cfRule>
  </conditionalFormatting>
  <conditionalFormatting sqref="F57">
    <cfRule type="cellIs" dxfId="19085" priority="57" operator="equal">
      <formula>"PMS"</formula>
    </cfRule>
    <cfRule type="containsText" dxfId="19084" priority="58" operator="containsText" text="CMS">
      <formula>NOT(ISERROR(SEARCH("CMS",F57)))</formula>
    </cfRule>
    <cfRule type="cellIs" dxfId="19083" priority="59" operator="equal">
      <formula>0</formula>
    </cfRule>
    <cfRule type="cellIs" dxfId="19082" priority="60" operator="greaterThan">
      <formula>0</formula>
    </cfRule>
  </conditionalFormatting>
  <conditionalFormatting sqref="F57">
    <cfRule type="cellIs" dxfId="19081" priority="53" operator="equal">
      <formula>"PMS"</formula>
    </cfRule>
    <cfRule type="containsText" dxfId="19080" priority="54" operator="containsText" text="CMS">
      <formula>NOT(ISERROR(SEARCH("CMS",F57)))</formula>
    </cfRule>
    <cfRule type="cellIs" dxfId="19079" priority="55" operator="equal">
      <formula>0</formula>
    </cfRule>
    <cfRule type="cellIs" dxfId="19078" priority="56" operator="greaterThan">
      <formula>0</formula>
    </cfRule>
  </conditionalFormatting>
  <conditionalFormatting sqref="F58">
    <cfRule type="cellIs" dxfId="19077" priority="49" operator="equal">
      <formula>"PMS"</formula>
    </cfRule>
    <cfRule type="containsText" dxfId="19076" priority="50" operator="containsText" text="CMS">
      <formula>NOT(ISERROR(SEARCH("CMS",F58)))</formula>
    </cfRule>
    <cfRule type="cellIs" dxfId="19075" priority="51" operator="equal">
      <formula>0</formula>
    </cfRule>
    <cfRule type="cellIs" dxfId="19074" priority="52" operator="greaterThan">
      <formula>0</formula>
    </cfRule>
  </conditionalFormatting>
  <conditionalFormatting sqref="F58">
    <cfRule type="cellIs" dxfId="19073" priority="45" operator="equal">
      <formula>"PMS"</formula>
    </cfRule>
    <cfRule type="containsText" dxfId="19072" priority="46" operator="containsText" text="CMS">
      <formula>NOT(ISERROR(SEARCH("CMS",F58)))</formula>
    </cfRule>
    <cfRule type="cellIs" dxfId="19071" priority="47" operator="equal">
      <formula>0</formula>
    </cfRule>
    <cfRule type="cellIs" dxfId="19070" priority="48" operator="greaterThan">
      <formula>0</formula>
    </cfRule>
  </conditionalFormatting>
  <conditionalFormatting sqref="F58">
    <cfRule type="cellIs" dxfId="19069" priority="41" operator="equal">
      <formula>"PMS"</formula>
    </cfRule>
    <cfRule type="containsText" dxfId="19068" priority="42" operator="containsText" text="CMS">
      <formula>NOT(ISERROR(SEARCH("CMS",F58)))</formula>
    </cfRule>
    <cfRule type="cellIs" dxfId="19067" priority="43" operator="equal">
      <formula>0</formula>
    </cfRule>
    <cfRule type="cellIs" dxfId="19066" priority="44" operator="greaterThan">
      <formula>0</formula>
    </cfRule>
  </conditionalFormatting>
  <conditionalFormatting sqref="F58">
    <cfRule type="cellIs" dxfId="19065" priority="37" operator="equal">
      <formula>"PMS"</formula>
    </cfRule>
    <cfRule type="containsText" dxfId="19064" priority="38" operator="containsText" text="CMS">
      <formula>NOT(ISERROR(SEARCH("CMS",F58)))</formula>
    </cfRule>
    <cfRule type="cellIs" dxfId="19063" priority="39" operator="equal">
      <formula>0</formula>
    </cfRule>
    <cfRule type="cellIs" dxfId="19062" priority="40" operator="greaterThan">
      <formula>0</formula>
    </cfRule>
  </conditionalFormatting>
  <conditionalFormatting sqref="F19">
    <cfRule type="cellIs" dxfId="19061" priority="33" operator="equal">
      <formula>"CMS"</formula>
    </cfRule>
    <cfRule type="cellIs" dxfId="19060" priority="34" operator="equal">
      <formula>"PMS"</formula>
    </cfRule>
    <cfRule type="cellIs" dxfId="19059" priority="35" operator="greaterThan">
      <formula>0</formula>
    </cfRule>
    <cfRule type="cellIs" dxfId="19058" priority="36" operator="equal">
      <formula>0</formula>
    </cfRule>
  </conditionalFormatting>
  <conditionalFormatting sqref="F29">
    <cfRule type="cellIs" dxfId="19057" priority="25" operator="equal">
      <formula>"PMS"</formula>
    </cfRule>
    <cfRule type="containsText" dxfId="19056" priority="26" operator="containsText" text="CMS">
      <formula>NOT(ISERROR(SEARCH("CMS",F29)))</formula>
    </cfRule>
    <cfRule type="cellIs" dxfId="19055" priority="27" operator="equal">
      <formula>0</formula>
    </cfRule>
    <cfRule type="cellIs" dxfId="19054" priority="28" operator="greaterThan">
      <formula>0</formula>
    </cfRule>
    <cfRule type="cellIs" dxfId="19053" priority="29" operator="equal">
      <formula>"PMS"</formula>
    </cfRule>
    <cfRule type="containsText" dxfId="19052" priority="30" operator="containsText" text="CMS">
      <formula>NOT(ISERROR(SEARCH("CMS",F29)))</formula>
    </cfRule>
    <cfRule type="cellIs" dxfId="19051" priority="31" operator="equal">
      <formula>0</formula>
    </cfRule>
    <cfRule type="cellIs" dxfId="19050" priority="32" operator="greaterThan">
      <formula>0</formula>
    </cfRule>
  </conditionalFormatting>
  <conditionalFormatting sqref="F32">
    <cfRule type="cellIs" dxfId="19049" priority="17" operator="equal">
      <formula>"PMS"</formula>
    </cfRule>
    <cfRule type="containsText" dxfId="19048" priority="18" operator="containsText" text="CMS">
      <formula>NOT(ISERROR(SEARCH("CMS",F32)))</formula>
    </cfRule>
    <cfRule type="cellIs" dxfId="19047" priority="19" operator="equal">
      <formula>0</formula>
    </cfRule>
    <cfRule type="cellIs" dxfId="19046" priority="20" operator="greaterThan">
      <formula>0</formula>
    </cfRule>
    <cfRule type="cellIs" dxfId="19045" priority="21" operator="equal">
      <formula>"PMS"</formula>
    </cfRule>
    <cfRule type="containsText" dxfId="19044" priority="22" operator="containsText" text="CMS">
      <formula>NOT(ISERROR(SEARCH("CMS",F32)))</formula>
    </cfRule>
    <cfRule type="cellIs" dxfId="19043" priority="23" operator="equal">
      <formula>0</formula>
    </cfRule>
    <cfRule type="cellIs" dxfId="19042" priority="24" operator="greaterThan">
      <formula>0</formula>
    </cfRule>
  </conditionalFormatting>
  <conditionalFormatting sqref="F32">
    <cfRule type="cellIs" dxfId="19041" priority="13" operator="equal">
      <formula>"PMS"</formula>
    </cfRule>
    <cfRule type="containsText" dxfId="19040" priority="14" operator="containsText" text="CMS">
      <formula>NOT(ISERROR(SEARCH("CMS",F32)))</formula>
    </cfRule>
    <cfRule type="cellIs" dxfId="19039" priority="15" operator="equal">
      <formula>0</formula>
    </cfRule>
    <cfRule type="cellIs" dxfId="19038" priority="16" operator="greaterThan">
      <formula>0</formula>
    </cfRule>
  </conditionalFormatting>
  <conditionalFormatting sqref="F32">
    <cfRule type="cellIs" dxfId="19037" priority="9" operator="equal">
      <formula>"PMS"</formula>
    </cfRule>
    <cfRule type="containsText" dxfId="19036" priority="10" operator="containsText" text="CMS">
      <formula>NOT(ISERROR(SEARCH("CMS",F32)))</formula>
    </cfRule>
    <cfRule type="cellIs" dxfId="19035" priority="11" operator="equal">
      <formula>0</formula>
    </cfRule>
    <cfRule type="cellIs" dxfId="19034" priority="12" operator="greaterThan">
      <formula>0</formula>
    </cfRule>
  </conditionalFormatting>
  <conditionalFormatting sqref="Z16">
    <cfRule type="cellIs" dxfId="19033" priority="5" operator="equal">
      <formula>"PMS"</formula>
    </cfRule>
    <cfRule type="containsText" dxfId="19032" priority="6" operator="containsText" text="CMS">
      <formula>NOT(ISERROR(SEARCH("CMS",Z16)))</formula>
    </cfRule>
    <cfRule type="cellIs" dxfId="19031" priority="7" operator="equal">
      <formula>0</formula>
    </cfRule>
    <cfRule type="cellIs" dxfId="19030" priority="8" operator="greaterThan">
      <formula>0</formula>
    </cfRule>
  </conditionalFormatting>
  <conditionalFormatting sqref="Z16">
    <cfRule type="cellIs" dxfId="19029" priority="1" operator="equal">
      <formula>"PMS"</formula>
    </cfRule>
    <cfRule type="containsText" dxfId="19028" priority="2" operator="containsText" text="CMS">
      <formula>NOT(ISERROR(SEARCH("CMS",Z16)))</formula>
    </cfRule>
    <cfRule type="cellIs" dxfId="19027" priority="3" operator="equal">
      <formula>0</formula>
    </cfRule>
    <cfRule type="cellIs" dxfId="1902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8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164A3-8E2F-4A12-884C-0B33D172B3A0}">
  <sheetPr codeName="Sheet113"/>
  <dimension ref="A2:DT137"/>
  <sheetViews>
    <sheetView zoomScale="70" zoomScaleNormal="70" zoomScaleSheetLayoutView="51" zoomScalePageLayoutView="55" workbookViewId="0">
      <pane xSplit="5" ySplit="11" topLeftCell="F12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Y106" sqref="Y10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15,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397.40000000000003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/>
      <c r="P13" s="219"/>
      <c r="Q13" s="71"/>
      <c r="R13" s="71"/>
      <c r="S13" s="71"/>
      <c r="T13" s="71"/>
      <c r="U13" s="71"/>
      <c r="V13" s="71">
        <v>6.3</v>
      </c>
      <c r="W13" s="71">
        <v>6</v>
      </c>
      <c r="X13" s="71">
        <v>6</v>
      </c>
      <c r="Y13" s="71">
        <v>6</v>
      </c>
      <c r="Z13" s="71">
        <v>6</v>
      </c>
      <c r="AA13" s="71">
        <v>5.4</v>
      </c>
      <c r="AB13" s="71">
        <v>6.1</v>
      </c>
      <c r="AC13" s="71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8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6.4</v>
      </c>
      <c r="I14" s="71">
        <v>6.5</v>
      </c>
      <c r="J14" s="71">
        <v>6.6</v>
      </c>
      <c r="K14" s="71">
        <v>6.6</v>
      </c>
      <c r="L14" s="71">
        <v>5.0999999999999996</v>
      </c>
      <c r="M14" s="71"/>
      <c r="N14" s="71"/>
      <c r="O14" s="219"/>
      <c r="P14" s="219"/>
      <c r="Q14" s="71"/>
      <c r="R14" s="71"/>
      <c r="S14" s="71"/>
      <c r="T14" s="71"/>
      <c r="U14" s="71">
        <v>6.6</v>
      </c>
      <c r="V14" s="71">
        <v>6.3</v>
      </c>
      <c r="W14" s="71">
        <v>6</v>
      </c>
      <c r="X14" s="71">
        <v>6</v>
      </c>
      <c r="Y14" s="71">
        <v>6</v>
      </c>
      <c r="Z14" s="71">
        <v>6</v>
      </c>
      <c r="AA14" s="71">
        <v>5.4</v>
      </c>
      <c r="AB14" s="71">
        <v>6.1</v>
      </c>
      <c r="AC14" s="71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6.4</v>
      </c>
      <c r="I15" s="71">
        <v>6.5</v>
      </c>
      <c r="J15" s="71">
        <v>6.6</v>
      </c>
      <c r="K15" s="71">
        <v>6.6</v>
      </c>
      <c r="L15" s="71">
        <v>5.0999999999999996</v>
      </c>
      <c r="M15" s="71">
        <v>6.4</v>
      </c>
      <c r="N15" s="71">
        <v>6.7</v>
      </c>
      <c r="O15" s="219">
        <v>6.9</v>
      </c>
      <c r="P15" s="219">
        <v>6.5</v>
      </c>
      <c r="Q15" s="71">
        <v>6.3</v>
      </c>
      <c r="R15" s="71">
        <v>6.6</v>
      </c>
      <c r="S15" s="71">
        <v>6.8</v>
      </c>
      <c r="T15" s="71">
        <v>6.6</v>
      </c>
      <c r="U15" s="71">
        <v>6.6</v>
      </c>
      <c r="V15" s="71">
        <v>6.3</v>
      </c>
      <c r="W15" s="71">
        <v>5.9</v>
      </c>
      <c r="X15" s="71">
        <v>6</v>
      </c>
      <c r="Y15" s="71">
        <v>6</v>
      </c>
      <c r="Z15" s="71">
        <v>6</v>
      </c>
      <c r="AA15" s="71">
        <v>7.2</v>
      </c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>
        <v>2.7</v>
      </c>
      <c r="M16" s="71">
        <v>6.4</v>
      </c>
      <c r="N16" s="71">
        <v>6.6</v>
      </c>
      <c r="O16" s="71">
        <v>6.9</v>
      </c>
      <c r="P16" s="219">
        <v>6.5</v>
      </c>
      <c r="Q16" s="71">
        <v>6.3</v>
      </c>
      <c r="R16" s="71">
        <v>6.6</v>
      </c>
      <c r="S16" s="71">
        <v>6.8</v>
      </c>
      <c r="T16" s="71">
        <v>6.6</v>
      </c>
      <c r="U16" s="71">
        <v>6.6</v>
      </c>
      <c r="V16" s="71">
        <v>6.3</v>
      </c>
      <c r="W16" s="71">
        <v>6</v>
      </c>
      <c r="X16" s="71">
        <v>6</v>
      </c>
      <c r="Y16" s="71">
        <v>6</v>
      </c>
      <c r="Z16" s="71">
        <v>6</v>
      </c>
      <c r="AA16" s="71">
        <v>5.4</v>
      </c>
      <c r="AB16" s="71">
        <v>6.1</v>
      </c>
      <c r="AC16" s="71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12.8</v>
      </c>
      <c r="I17" s="19">
        <f t="shared" si="1"/>
        <v>13</v>
      </c>
      <c r="J17" s="19">
        <f t="shared" si="1"/>
        <v>13.2</v>
      </c>
      <c r="K17" s="19">
        <f t="shared" si="1"/>
        <v>13.2</v>
      </c>
      <c r="L17" s="19">
        <f t="shared" si="1"/>
        <v>12.899999999999999</v>
      </c>
      <c r="M17" s="19">
        <f t="shared" si="1"/>
        <v>12.8</v>
      </c>
      <c r="N17" s="19">
        <f t="shared" si="1"/>
        <v>13.3</v>
      </c>
      <c r="O17" s="19">
        <f t="shared" si="1"/>
        <v>13.8</v>
      </c>
      <c r="P17" s="19">
        <f t="shared" si="1"/>
        <v>13</v>
      </c>
      <c r="Q17" s="19">
        <f t="shared" si="1"/>
        <v>12.6</v>
      </c>
      <c r="R17" s="19">
        <f t="shared" si="1"/>
        <v>13.2</v>
      </c>
      <c r="S17" s="19">
        <f t="shared" si="1"/>
        <v>13.6</v>
      </c>
      <c r="T17" s="19">
        <f t="shared" si="1"/>
        <v>13.2</v>
      </c>
      <c r="U17" s="19">
        <f t="shared" si="1"/>
        <v>19.799999999999997</v>
      </c>
      <c r="V17" s="19">
        <f t="shared" si="1"/>
        <v>25.2</v>
      </c>
      <c r="W17" s="19">
        <f t="shared" si="1"/>
        <v>23.9</v>
      </c>
      <c r="X17" s="19">
        <f t="shared" si="1"/>
        <v>24</v>
      </c>
      <c r="Y17" s="19">
        <f t="shared" si="1"/>
        <v>24</v>
      </c>
      <c r="Z17" s="19">
        <f t="shared" si="1"/>
        <v>24</v>
      </c>
      <c r="AA17" s="19">
        <f t="shared" si="1"/>
        <v>23.4</v>
      </c>
      <c r="AB17" s="19">
        <f t="shared" si="1"/>
        <v>18.299999999999997</v>
      </c>
      <c r="AC17" s="19">
        <f t="shared" si="1"/>
        <v>18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51.899999999999991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</v>
      </c>
      <c r="G21" s="71"/>
      <c r="H21" s="71"/>
      <c r="I21" s="71"/>
      <c r="J21" s="71"/>
      <c r="K21" s="71"/>
      <c r="L21" s="71"/>
      <c r="M21" s="71"/>
      <c r="N21" s="71"/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</v>
      </c>
      <c r="Z21" s="71">
        <v>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 t="shared" ref="T22" si="4"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3.3</v>
      </c>
      <c r="X22" s="19">
        <f t="shared" si="3"/>
        <v>3.3</v>
      </c>
      <c r="Y22" s="19">
        <f t="shared" si="3"/>
        <v>3</v>
      </c>
      <c r="Z22" s="19">
        <f t="shared" si="3"/>
        <v>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89.099999999999966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3.5</v>
      </c>
      <c r="J24" s="71">
        <v>3</v>
      </c>
      <c r="K24" s="71">
        <v>3.6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3.5</v>
      </c>
      <c r="J25" s="19">
        <f t="shared" si="6"/>
        <v>3</v>
      </c>
      <c r="K25" s="19">
        <f t="shared" si="6"/>
        <v>3.6</v>
      </c>
      <c r="L25" s="19">
        <f t="shared" si="6"/>
        <v>3.8</v>
      </c>
      <c r="M25" s="19">
        <f t="shared" si="6"/>
        <v>3.8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105.19999999999997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>
        <v>3.5</v>
      </c>
      <c r="Q27" s="71">
        <v>3.5</v>
      </c>
      <c r="R27" s="71">
        <v>3.7</v>
      </c>
      <c r="S27" s="71">
        <v>4</v>
      </c>
      <c r="T27" s="71">
        <v>3.8</v>
      </c>
      <c r="U27" s="71">
        <v>3.8</v>
      </c>
      <c r="V27" s="71">
        <v>3.2</v>
      </c>
      <c r="W27" s="71">
        <v>1.5</v>
      </c>
      <c r="X27" s="71">
        <v>1.5</v>
      </c>
      <c r="Y27" s="71">
        <v>1.8</v>
      </c>
      <c r="Z27" s="71">
        <v>1.6</v>
      </c>
      <c r="AA27" s="71">
        <v>1.6</v>
      </c>
      <c r="AB27" s="71">
        <v>2.1</v>
      </c>
      <c r="AC27" s="71">
        <v>1.1000000000000001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2.7</v>
      </c>
      <c r="G28" s="71">
        <v>2.7</v>
      </c>
      <c r="H28" s="71">
        <v>3.3</v>
      </c>
      <c r="I28" s="71">
        <v>3</v>
      </c>
      <c r="J28" s="71">
        <v>3</v>
      </c>
      <c r="K28" s="71">
        <v>3.1</v>
      </c>
      <c r="L28" s="71">
        <v>3.5</v>
      </c>
      <c r="M28" s="71">
        <v>3.4</v>
      </c>
      <c r="N28" s="71">
        <v>3.5</v>
      </c>
      <c r="O28" s="219">
        <v>3.6</v>
      </c>
      <c r="P28" s="71">
        <v>3.5</v>
      </c>
      <c r="Q28" s="71">
        <v>3.5</v>
      </c>
      <c r="R28" s="71">
        <v>3.7</v>
      </c>
      <c r="S28" s="71">
        <v>4</v>
      </c>
      <c r="T28" s="71">
        <v>3.8</v>
      </c>
      <c r="U28" s="71">
        <v>3.8</v>
      </c>
      <c r="V28" s="71">
        <v>3.2</v>
      </c>
      <c r="W28" s="71">
        <v>1.5</v>
      </c>
      <c r="X28" s="71">
        <v>1.5</v>
      </c>
      <c r="Y28" s="71">
        <v>1.8</v>
      </c>
      <c r="Z28" s="71">
        <v>1.6</v>
      </c>
      <c r="AA28" s="71">
        <v>1.6</v>
      </c>
      <c r="AB28" s="71">
        <v>2.1</v>
      </c>
      <c r="AC28" s="71">
        <v>1.1000000000000001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4.8</v>
      </c>
      <c r="X29" s="379">
        <v>4.8</v>
      </c>
      <c r="Y29" s="379">
        <v>4.8</v>
      </c>
      <c r="Z29" s="379">
        <v>4.9000000000000004</v>
      </c>
      <c r="AA29" s="379">
        <v>4.7</v>
      </c>
      <c r="AB29" s="379">
        <v>3.1</v>
      </c>
      <c r="AC29" s="379">
        <v>3.2</v>
      </c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2.7</v>
      </c>
      <c r="G30" s="19">
        <f t="shared" ref="G30:AC30" si="8">SUM(G27:G29)</f>
        <v>2.7</v>
      </c>
      <c r="H30" s="19">
        <f t="shared" si="8"/>
        <v>3.3</v>
      </c>
      <c r="I30" s="19">
        <f t="shared" si="8"/>
        <v>3</v>
      </c>
      <c r="J30" s="19">
        <f t="shared" si="8"/>
        <v>3</v>
      </c>
      <c r="K30" s="19">
        <f t="shared" si="8"/>
        <v>3.1</v>
      </c>
      <c r="L30" s="19">
        <f t="shared" si="8"/>
        <v>3.5</v>
      </c>
      <c r="M30" s="19">
        <f t="shared" si="8"/>
        <v>3.4</v>
      </c>
      <c r="N30" s="19">
        <f t="shared" si="8"/>
        <v>3.5</v>
      </c>
      <c r="O30" s="19">
        <f t="shared" si="8"/>
        <v>3.6</v>
      </c>
      <c r="P30" s="19">
        <f t="shared" si="8"/>
        <v>7</v>
      </c>
      <c r="Q30" s="19">
        <f t="shared" si="8"/>
        <v>7</v>
      </c>
      <c r="R30" s="19">
        <f t="shared" si="8"/>
        <v>7.4</v>
      </c>
      <c r="S30" s="19">
        <f t="shared" si="8"/>
        <v>8</v>
      </c>
      <c r="T30" s="19">
        <f t="shared" si="8"/>
        <v>7.6</v>
      </c>
      <c r="U30" s="19">
        <f t="shared" si="8"/>
        <v>7.6</v>
      </c>
      <c r="V30" s="19">
        <f t="shared" si="8"/>
        <v>6.4</v>
      </c>
      <c r="W30" s="19">
        <f t="shared" si="8"/>
        <v>7.8</v>
      </c>
      <c r="X30" s="19">
        <f t="shared" si="8"/>
        <v>7.8</v>
      </c>
      <c r="Y30" s="19">
        <f t="shared" si="8"/>
        <v>8.4</v>
      </c>
      <c r="Z30" s="19">
        <f t="shared" si="8"/>
        <v>8.1000000000000014</v>
      </c>
      <c r="AA30" s="19">
        <f t="shared" si="8"/>
        <v>7.9</v>
      </c>
      <c r="AB30" s="19">
        <f t="shared" si="8"/>
        <v>7.3000000000000007</v>
      </c>
      <c r="AC30" s="19">
        <f t="shared" si="8"/>
        <v>5.4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259.87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10.72</v>
      </c>
      <c r="G32" s="71">
        <v>10.7</v>
      </c>
      <c r="H32" s="71">
        <v>10.55</v>
      </c>
      <c r="I32" s="71">
        <v>10.16</v>
      </c>
      <c r="J32" s="71">
        <v>9.98</v>
      </c>
      <c r="K32" s="71">
        <v>9.26</v>
      </c>
      <c r="L32" s="71">
        <v>10.18</v>
      </c>
      <c r="M32" s="71">
        <v>11.26</v>
      </c>
      <c r="N32" s="71">
        <v>12.65</v>
      </c>
      <c r="O32" s="71">
        <v>13.7</v>
      </c>
      <c r="P32" s="71">
        <v>13.6</v>
      </c>
      <c r="Q32" s="71">
        <v>13.78</v>
      </c>
      <c r="R32" s="71">
        <v>13.83</v>
      </c>
      <c r="S32" s="71">
        <v>14</v>
      </c>
      <c r="T32" s="71">
        <v>14</v>
      </c>
      <c r="U32" s="71">
        <v>14</v>
      </c>
      <c r="V32" s="71">
        <v>9</v>
      </c>
      <c r="W32" s="71">
        <v>7.8</v>
      </c>
      <c r="X32" s="71">
        <v>7.98</v>
      </c>
      <c r="Y32" s="71">
        <v>10.3</v>
      </c>
      <c r="Z32" s="71">
        <v>8</v>
      </c>
      <c r="AA32" s="71">
        <v>7.35</v>
      </c>
      <c r="AB32" s="71">
        <v>8.81</v>
      </c>
      <c r="AC32" s="71">
        <v>8.26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10.72</v>
      </c>
      <c r="G33" s="19">
        <f t="shared" ref="G33:AC33" si="10">SUM(G32)</f>
        <v>10.7</v>
      </c>
      <c r="H33" s="19">
        <f t="shared" si="10"/>
        <v>10.55</v>
      </c>
      <c r="I33" s="19">
        <f t="shared" si="10"/>
        <v>10.16</v>
      </c>
      <c r="J33" s="19">
        <f t="shared" si="10"/>
        <v>9.98</v>
      </c>
      <c r="K33" s="19">
        <f t="shared" si="10"/>
        <v>9.26</v>
      </c>
      <c r="L33" s="19">
        <f t="shared" si="10"/>
        <v>10.18</v>
      </c>
      <c r="M33" s="19">
        <f t="shared" si="10"/>
        <v>11.26</v>
      </c>
      <c r="N33" s="19">
        <f t="shared" si="10"/>
        <v>12.65</v>
      </c>
      <c r="O33" s="19">
        <f t="shared" si="10"/>
        <v>13.7</v>
      </c>
      <c r="P33" s="19">
        <f t="shared" si="10"/>
        <v>13.6</v>
      </c>
      <c r="Q33" s="19">
        <f t="shared" si="10"/>
        <v>13.78</v>
      </c>
      <c r="R33" s="19">
        <f t="shared" si="10"/>
        <v>13.83</v>
      </c>
      <c r="S33" s="19">
        <f t="shared" si="10"/>
        <v>14</v>
      </c>
      <c r="T33" s="19">
        <f t="shared" si="10"/>
        <v>14</v>
      </c>
      <c r="U33" s="19">
        <f t="shared" si="10"/>
        <v>14</v>
      </c>
      <c r="V33" s="19">
        <f t="shared" si="10"/>
        <v>9</v>
      </c>
      <c r="W33" s="19">
        <f t="shared" si="10"/>
        <v>7.8</v>
      </c>
      <c r="X33" s="19">
        <f t="shared" si="10"/>
        <v>7.98</v>
      </c>
      <c r="Y33" s="19">
        <f t="shared" si="10"/>
        <v>10.3</v>
      </c>
      <c r="Z33" s="19">
        <f t="shared" si="10"/>
        <v>8</v>
      </c>
      <c r="AA33" s="19">
        <f t="shared" si="10"/>
        <v>7.35</v>
      </c>
      <c r="AB33" s="19">
        <f t="shared" si="10"/>
        <v>8.81</v>
      </c>
      <c r="AC33" s="19">
        <f t="shared" si="10"/>
        <v>8.26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25.600000000000009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f>4/5</f>
        <v>0.8</v>
      </c>
      <c r="R44" s="71">
        <f>4/5</f>
        <v>0.8</v>
      </c>
      <c r="S44" s="71">
        <f>4/5</f>
        <v>0.8</v>
      </c>
      <c r="T44" s="71">
        <f>6.5/8</f>
        <v>0.8125</v>
      </c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4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>
        <f>6.5/8</f>
        <v>0.8125</v>
      </c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1"/>
        <v>14</v>
      </c>
      <c r="AG45" s="11">
        <f t="shared" si="12"/>
        <v>0</v>
      </c>
      <c r="AH45" s="11">
        <f t="shared" si="13"/>
        <v>1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>
        <v>0.75</v>
      </c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>
        <v>0.8</v>
      </c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1"/>
        <v>8</v>
      </c>
      <c r="AG49" s="11">
        <f t="shared" si="12"/>
        <v>0</v>
      </c>
      <c r="AH49" s="11">
        <f t="shared" si="13"/>
        <v>1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f>4/5</f>
        <v>0.8</v>
      </c>
      <c r="Q52" s="71">
        <f>4/5</f>
        <v>0.8</v>
      </c>
      <c r="R52" s="71">
        <f>4/5</f>
        <v>0.8</v>
      </c>
      <c r="S52" s="71">
        <f>4/5</f>
        <v>0.8</v>
      </c>
      <c r="T52" s="71">
        <f t="shared" ref="T52:T54" si="14">6.5/8</f>
        <v>0.8125</v>
      </c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5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>
        <f t="shared" ref="P53:P54" si="15">4/5</f>
        <v>0.8</v>
      </c>
      <c r="Q53" s="71">
        <f>4/5</f>
        <v>0.8</v>
      </c>
      <c r="R53" s="71">
        <f>4/5</f>
        <v>0.8</v>
      </c>
      <c r="S53" s="71">
        <f>4/5</f>
        <v>0.8</v>
      </c>
      <c r="T53" s="71">
        <f t="shared" si="14"/>
        <v>0.8125</v>
      </c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5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0.75</v>
      </c>
      <c r="P54" s="71">
        <f t="shared" si="15"/>
        <v>0.8</v>
      </c>
      <c r="Q54" s="71">
        <f>4/5</f>
        <v>0.8</v>
      </c>
      <c r="R54" s="71"/>
      <c r="S54" s="71"/>
      <c r="T54" s="71">
        <f t="shared" si="14"/>
        <v>0.8125</v>
      </c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4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0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>
        <f t="shared" ref="T56:T58" si="16">6.5/8</f>
        <v>0.8125</v>
      </c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>
        <f t="shared" ref="P57:P58" si="17">4/5</f>
        <v>0.8</v>
      </c>
      <c r="Q57" s="71">
        <f t="shared" ref="Q57:S58" si="18">4/5</f>
        <v>0.8</v>
      </c>
      <c r="R57" s="71">
        <f t="shared" si="18"/>
        <v>0.8</v>
      </c>
      <c r="S57" s="71">
        <f t="shared" si="18"/>
        <v>0.8</v>
      </c>
      <c r="T57" s="71">
        <f t="shared" si="16"/>
        <v>0.8125</v>
      </c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5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>
        <f t="shared" si="17"/>
        <v>0.8</v>
      </c>
      <c r="Q58" s="71">
        <f t="shared" si="18"/>
        <v>0.8</v>
      </c>
      <c r="R58" s="71">
        <f t="shared" si="18"/>
        <v>0.8</v>
      </c>
      <c r="S58" s="71">
        <f t="shared" si="18"/>
        <v>0.8</v>
      </c>
      <c r="T58" s="71">
        <f t="shared" si="16"/>
        <v>0.8125</v>
      </c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5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0</v>
      </c>
      <c r="M59" s="19">
        <f t="shared" si="20"/>
        <v>0</v>
      </c>
      <c r="N59" s="19">
        <f t="shared" si="20"/>
        <v>0.8</v>
      </c>
      <c r="O59" s="19">
        <f t="shared" si="20"/>
        <v>1.5</v>
      </c>
      <c r="P59" s="19">
        <f t="shared" si="20"/>
        <v>4</v>
      </c>
      <c r="Q59" s="19">
        <f t="shared" si="20"/>
        <v>4.8</v>
      </c>
      <c r="R59" s="19">
        <f t="shared" si="20"/>
        <v>4</v>
      </c>
      <c r="S59" s="19">
        <f t="shared" si="20"/>
        <v>4</v>
      </c>
      <c r="T59" s="19">
        <f t="shared" si="20"/>
        <v>6.5</v>
      </c>
      <c r="U59" s="19">
        <f t="shared" si="20"/>
        <v>0</v>
      </c>
      <c r="V59" s="19">
        <f t="shared" si="20"/>
        <v>0</v>
      </c>
      <c r="W59" s="19">
        <f>SUM(W35:W58)</f>
        <v>0</v>
      </c>
      <c r="X59" s="19">
        <f t="shared" si="20"/>
        <v>0</v>
      </c>
      <c r="Y59" s="19">
        <f>SUM(Y35:Y58)</f>
        <v>0</v>
      </c>
      <c r="Z59" s="19">
        <f t="shared" si="20"/>
        <v>0</v>
      </c>
      <c r="AA59" s="19">
        <f t="shared" si="20"/>
        <v>0</v>
      </c>
      <c r="AB59" s="19">
        <f t="shared" si="20"/>
        <v>0</v>
      </c>
      <c r="AC59" s="19">
        <f t="shared" si="20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26.42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v>0.47499999999999998</v>
      </c>
      <c r="G61" s="71">
        <v>0.435</v>
      </c>
      <c r="H61" s="71">
        <v>0.42</v>
      </c>
      <c r="I61" s="71">
        <v>0.41</v>
      </c>
      <c r="J61" s="71">
        <v>0</v>
      </c>
      <c r="K61" s="71"/>
      <c r="L61" s="71"/>
      <c r="M61" s="71"/>
      <c r="N61" s="71"/>
      <c r="O61" s="71"/>
      <c r="P61" s="71"/>
      <c r="Q61" s="71"/>
      <c r="R61" s="71">
        <f>1.29/2</f>
        <v>0.64500000000000002</v>
      </c>
      <c r="S61" s="71">
        <f>1.25/2</f>
        <v>0.625</v>
      </c>
      <c r="T61" s="71">
        <f>1.29/2</f>
        <v>0.64500000000000002</v>
      </c>
      <c r="U61" s="71">
        <f>1.26/2</f>
        <v>0.63</v>
      </c>
      <c r="V61" s="71">
        <f>1.25/2</f>
        <v>0.625</v>
      </c>
      <c r="W61" s="71">
        <v>0.64</v>
      </c>
      <c r="X61" s="71">
        <f>1.33/2</f>
        <v>0.66500000000000004</v>
      </c>
      <c r="Y61" s="71">
        <f>1.39/2</f>
        <v>0.69499999999999995</v>
      </c>
      <c r="Z61" s="71">
        <f>1.32/2</f>
        <v>0.66</v>
      </c>
      <c r="AA61" s="71">
        <f>1.24/2</f>
        <v>0.62</v>
      </c>
      <c r="AB61" s="71">
        <f>1.11/2</f>
        <v>0.55500000000000005</v>
      </c>
      <c r="AC61" s="71"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v>0.47499999999999998</v>
      </c>
      <c r="G62" s="71"/>
      <c r="H62" s="380"/>
      <c r="I62" s="71"/>
      <c r="J62" s="71">
        <f>0.76/2</f>
        <v>0.38</v>
      </c>
      <c r="K62" s="71">
        <f>0.76/2</f>
        <v>0.38</v>
      </c>
      <c r="L62" s="71">
        <v>0.41</v>
      </c>
      <c r="M62" s="71">
        <f>0.96/2</f>
        <v>0.48</v>
      </c>
      <c r="N62" s="71">
        <v>0.5</v>
      </c>
      <c r="O62" s="71">
        <f>1.18/2</f>
        <v>0.59</v>
      </c>
      <c r="P62" s="71">
        <f>1.2/2</f>
        <v>0.6</v>
      </c>
      <c r="Q62" s="71">
        <f>1.24/2</f>
        <v>0.62</v>
      </c>
      <c r="R62" s="71">
        <f>1.29/2</f>
        <v>0.64500000000000002</v>
      </c>
      <c r="S62" s="71">
        <f>1.25/2</f>
        <v>0.625</v>
      </c>
      <c r="T62" s="71">
        <f>1.29/2</f>
        <v>0.64500000000000002</v>
      </c>
      <c r="U62" s="71">
        <f>1.26/2</f>
        <v>0.63</v>
      </c>
      <c r="V62" s="71">
        <f>1.25/2</f>
        <v>0.625</v>
      </c>
      <c r="W62" s="71">
        <v>0.64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/>
      <c r="G63" s="71">
        <v>0.435</v>
      </c>
      <c r="H63" s="380">
        <v>0.42</v>
      </c>
      <c r="I63" s="380">
        <v>0.41</v>
      </c>
      <c r="J63" s="71">
        <f>0.76/2</f>
        <v>0.38</v>
      </c>
      <c r="K63" s="71">
        <f>0.78/2</f>
        <v>0.39</v>
      </c>
      <c r="L63" s="71">
        <v>0.41</v>
      </c>
      <c r="M63" s="71">
        <f>0.96/2</f>
        <v>0.48</v>
      </c>
      <c r="N63" s="71">
        <v>0.5</v>
      </c>
      <c r="O63" s="71">
        <f>1.18/2</f>
        <v>0.59</v>
      </c>
      <c r="P63" s="71">
        <f>1.2/2</f>
        <v>0.6</v>
      </c>
      <c r="Q63" s="71">
        <f>1.24/2</f>
        <v>0.62</v>
      </c>
      <c r="R63" s="71"/>
      <c r="S63" s="71"/>
      <c r="T63" s="71"/>
      <c r="U63" s="71"/>
      <c r="V63" s="71"/>
      <c r="W63" s="71"/>
      <c r="X63" s="71">
        <f>1.33/2</f>
        <v>0.66500000000000004</v>
      </c>
      <c r="Y63" s="71">
        <f>1.39/2</f>
        <v>0.69499999999999995</v>
      </c>
      <c r="Z63" s="71">
        <f>1.32/2</f>
        <v>0.66</v>
      </c>
      <c r="AA63" s="71">
        <f>1.24/2</f>
        <v>0.62</v>
      </c>
      <c r="AB63" s="71">
        <f>1.11/2</f>
        <v>0.55500000000000005</v>
      </c>
      <c r="AC63" s="380"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1">SUM(F61:F63)</f>
        <v>0.95</v>
      </c>
      <c r="G64" s="19">
        <f>SUM(G61:G63)</f>
        <v>0.87</v>
      </c>
      <c r="H64" s="19">
        <f>SUM(H61:H63)</f>
        <v>0.84</v>
      </c>
      <c r="I64" s="19">
        <f>SUM(I61:I63)</f>
        <v>0.82</v>
      </c>
      <c r="J64" s="19">
        <f t="shared" ref="J64:AC64" si="22">SUM(J61:J63)</f>
        <v>0.76</v>
      </c>
      <c r="K64" s="19">
        <f>SUM(K61:K63)</f>
        <v>0.77</v>
      </c>
      <c r="L64" s="19">
        <f t="shared" si="22"/>
        <v>0.82</v>
      </c>
      <c r="M64" s="19">
        <f t="shared" si="22"/>
        <v>0.96</v>
      </c>
      <c r="N64" s="19">
        <f t="shared" si="22"/>
        <v>1</v>
      </c>
      <c r="O64" s="19">
        <f t="shared" si="22"/>
        <v>1.18</v>
      </c>
      <c r="P64" s="19">
        <f t="shared" si="22"/>
        <v>1.2</v>
      </c>
      <c r="Q64" s="19">
        <f t="shared" si="22"/>
        <v>1.24</v>
      </c>
      <c r="R64" s="19">
        <f t="shared" si="22"/>
        <v>1.29</v>
      </c>
      <c r="S64" s="19">
        <f t="shared" si="22"/>
        <v>1.25</v>
      </c>
      <c r="T64" s="19">
        <f>SUM(T61:T63)</f>
        <v>1.29</v>
      </c>
      <c r="U64" s="19">
        <f>SUM(U61:U63)</f>
        <v>1.26</v>
      </c>
      <c r="V64" s="19">
        <f>SUM(V61:V63)</f>
        <v>1.25</v>
      </c>
      <c r="W64" s="19">
        <f t="shared" si="22"/>
        <v>1.28</v>
      </c>
      <c r="X64" s="19">
        <f t="shared" si="22"/>
        <v>1.33</v>
      </c>
      <c r="Y64" s="19">
        <f t="shared" si="22"/>
        <v>1.39</v>
      </c>
      <c r="Z64" s="19">
        <f t="shared" si="22"/>
        <v>1.32</v>
      </c>
      <c r="AA64" s="19">
        <f t="shared" si="22"/>
        <v>1.24</v>
      </c>
      <c r="AB64" s="19">
        <f t="shared" si="22"/>
        <v>1.1100000000000001</v>
      </c>
      <c r="AC64" s="19">
        <f t="shared" si="22"/>
        <v>1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94.880000000000024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>
        <f>4.7/7</f>
        <v>0.67142857142857149</v>
      </c>
      <c r="V66" s="71">
        <f>4.5/7</f>
        <v>0.6428571428571429</v>
      </c>
      <c r="W66" s="71">
        <f>4.4/7</f>
        <v>0.62857142857142867</v>
      </c>
      <c r="X66" s="71">
        <f>4.3/7</f>
        <v>0.61428571428571421</v>
      </c>
      <c r="Y66" s="71">
        <f t="shared" ref="Y66:Y71" si="23">5.1/7</f>
        <v>0.72857142857142854</v>
      </c>
      <c r="Z66" s="71">
        <f t="shared" ref="Z66:Z71" si="24">4.9/7</f>
        <v>0.70000000000000007</v>
      </c>
      <c r="AA66" s="71">
        <f t="shared" ref="AA66:AA71" si="25">4.57/7</f>
        <v>0.65285714285714291</v>
      </c>
      <c r="AB66" s="71">
        <f t="shared" ref="AB66:AB71" si="26">4.52/7</f>
        <v>0.64571428571428569</v>
      </c>
      <c r="AC66" s="71">
        <v>0.64500000000000002</v>
      </c>
      <c r="AD66" s="35"/>
      <c r="AE66" s="35"/>
      <c r="AF66" s="11">
        <f t="shared" ref="AF66:AF74" si="27">COUNTIF(F66:AC66,$AF$11)</f>
        <v>0</v>
      </c>
      <c r="AG66" s="11">
        <f t="shared" ref="AG66:AG74" si="28">COUNTIF(G66:AC66,$AG$11)</f>
        <v>0</v>
      </c>
      <c r="AH66" s="11">
        <f t="shared" ref="AH66:AH74" si="29">COUNT(F66:AC66)</f>
        <v>9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0.68200000000000005</v>
      </c>
      <c r="G67" s="71">
        <v>0.65999999999999992</v>
      </c>
      <c r="H67" s="71">
        <v>0.65400000000000003</v>
      </c>
      <c r="I67" s="71">
        <f>2.71/4</f>
        <v>0.67749999999999999</v>
      </c>
      <c r="J67" s="71">
        <f>2.63/4</f>
        <v>0.65749999999999997</v>
      </c>
      <c r="K67" s="71">
        <f>2.79/4</f>
        <v>0.69750000000000001</v>
      </c>
      <c r="L67" s="71">
        <f>2.8/4</f>
        <v>0.7</v>
      </c>
      <c r="M67" s="71">
        <f>3.1/4</f>
        <v>0.77500000000000002</v>
      </c>
      <c r="N67" s="71">
        <f>3.21/4</f>
        <v>0.80249999999999999</v>
      </c>
      <c r="O67" s="71">
        <f>3.7/5</f>
        <v>0.74</v>
      </c>
      <c r="P67" s="71">
        <f>4.4/6</f>
        <v>0.73333333333333339</v>
      </c>
      <c r="Q67" s="71">
        <f>4.8/6</f>
        <v>0.79999999999999993</v>
      </c>
      <c r="R67" s="71">
        <f>4.4/6</f>
        <v>0.73333333333333339</v>
      </c>
      <c r="S67" s="71">
        <f>4.6/6</f>
        <v>0.76666666666666661</v>
      </c>
      <c r="T67" s="71">
        <f>4.9/6</f>
        <v>0.81666666666666676</v>
      </c>
      <c r="U67" s="71">
        <f t="shared" ref="U67:U71" si="30">4.7/7</f>
        <v>0.67142857142857149</v>
      </c>
      <c r="V67" s="71">
        <f t="shared" ref="V67:V71" si="31">4.5/7</f>
        <v>0.6428571428571429</v>
      </c>
      <c r="W67" s="71">
        <f t="shared" ref="W67:W71" si="32">4.4/7</f>
        <v>0.62857142857142867</v>
      </c>
      <c r="X67" s="71">
        <f t="shared" ref="X67:X71" si="33">4.3/7</f>
        <v>0.61428571428571421</v>
      </c>
      <c r="Y67" s="71">
        <f t="shared" si="23"/>
        <v>0.72857142857142854</v>
      </c>
      <c r="Z67" s="71">
        <f t="shared" si="24"/>
        <v>0.70000000000000007</v>
      </c>
      <c r="AA67" s="71">
        <f t="shared" si="25"/>
        <v>0.65285714285714291</v>
      </c>
      <c r="AB67" s="71">
        <f t="shared" si="26"/>
        <v>0.64571428571428569</v>
      </c>
      <c r="AC67" s="71">
        <v>0.64500000000000002</v>
      </c>
      <c r="AD67" s="35"/>
      <c r="AE67" s="35"/>
      <c r="AF67" s="11">
        <f t="shared" si="27"/>
        <v>0</v>
      </c>
      <c r="AG67" s="11">
        <f t="shared" si="28"/>
        <v>0</v>
      </c>
      <c r="AH67" s="11">
        <f t="shared" si="29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v>0.68200000000000005</v>
      </c>
      <c r="G68" s="71">
        <v>0.65999999999999992</v>
      </c>
      <c r="H68" s="71">
        <v>0.65400000000000003</v>
      </c>
      <c r="I68" s="71">
        <f>2.71/4</f>
        <v>0.67749999999999999</v>
      </c>
      <c r="J68" s="71">
        <f>2.63/4</f>
        <v>0.65749999999999997</v>
      </c>
      <c r="K68" s="71">
        <f>2.79/4</f>
        <v>0.69750000000000001</v>
      </c>
      <c r="L68" s="71">
        <f>2.8/4</f>
        <v>0.7</v>
      </c>
      <c r="M68" s="71">
        <f>3.1/4</f>
        <v>0.77500000000000002</v>
      </c>
      <c r="N68" s="71">
        <f>3.21/4</f>
        <v>0.80249999999999999</v>
      </c>
      <c r="O68" s="71">
        <f t="shared" ref="O68:O71" si="34">3.7/5</f>
        <v>0.74</v>
      </c>
      <c r="P68" s="71">
        <f t="shared" ref="P68:R71" si="35">4.4/6</f>
        <v>0.73333333333333339</v>
      </c>
      <c r="Q68" s="71">
        <f t="shared" ref="Q68:Q71" si="36">4.8/6</f>
        <v>0.79999999999999993</v>
      </c>
      <c r="R68" s="71">
        <f t="shared" si="35"/>
        <v>0.73333333333333339</v>
      </c>
      <c r="S68" s="71">
        <f t="shared" ref="S68:S71" si="37">4.6/6</f>
        <v>0.76666666666666661</v>
      </c>
      <c r="T68" s="71">
        <f t="shared" ref="T68:T71" si="38">4.9/6</f>
        <v>0.81666666666666676</v>
      </c>
      <c r="U68" s="71">
        <f t="shared" si="30"/>
        <v>0.67142857142857149</v>
      </c>
      <c r="V68" s="71">
        <f t="shared" si="31"/>
        <v>0.6428571428571429</v>
      </c>
      <c r="W68" s="71">
        <f t="shared" si="32"/>
        <v>0.62857142857142867</v>
      </c>
      <c r="X68" s="71">
        <f t="shared" si="33"/>
        <v>0.61428571428571421</v>
      </c>
      <c r="Y68" s="71">
        <f t="shared" si="23"/>
        <v>0.72857142857142854</v>
      </c>
      <c r="Z68" s="71">
        <f t="shared" si="24"/>
        <v>0.70000000000000007</v>
      </c>
      <c r="AA68" s="71">
        <f t="shared" si="25"/>
        <v>0.65285714285714291</v>
      </c>
      <c r="AB68" s="71">
        <f t="shared" si="26"/>
        <v>0.64571428571428569</v>
      </c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9"/>
        <v>23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v>0.68200000000000005</v>
      </c>
      <c r="G69" s="71">
        <v>0.65999999999999992</v>
      </c>
      <c r="H69" s="71">
        <v>0.65400000000000003</v>
      </c>
      <c r="I69" s="71"/>
      <c r="J69" s="71"/>
      <c r="K69" s="71"/>
      <c r="L69" s="71"/>
      <c r="M69" s="71"/>
      <c r="N69" s="71"/>
      <c r="O69" s="71">
        <f t="shared" si="34"/>
        <v>0.74</v>
      </c>
      <c r="P69" s="71">
        <f t="shared" si="35"/>
        <v>0.73333333333333339</v>
      </c>
      <c r="Q69" s="71">
        <f t="shared" si="36"/>
        <v>0.79999999999999993</v>
      </c>
      <c r="R69" s="71">
        <f t="shared" si="35"/>
        <v>0.73333333333333339</v>
      </c>
      <c r="S69" s="71">
        <f t="shared" si="37"/>
        <v>0.76666666666666661</v>
      </c>
      <c r="T69" s="71">
        <f t="shared" si="38"/>
        <v>0.81666666666666676</v>
      </c>
      <c r="U69" s="71">
        <f t="shared" si="30"/>
        <v>0.67142857142857149</v>
      </c>
      <c r="V69" s="71">
        <f t="shared" si="31"/>
        <v>0.6428571428571429</v>
      </c>
      <c r="W69" s="71">
        <f t="shared" si="32"/>
        <v>0.62857142857142867</v>
      </c>
      <c r="X69" s="71">
        <f t="shared" si="33"/>
        <v>0.61428571428571421</v>
      </c>
      <c r="Y69" s="71">
        <f t="shared" si="23"/>
        <v>0.72857142857142854</v>
      </c>
      <c r="Z69" s="71">
        <f t="shared" si="24"/>
        <v>0.70000000000000007</v>
      </c>
      <c r="AA69" s="71">
        <f t="shared" si="25"/>
        <v>0.65285714285714291</v>
      </c>
      <c r="AB69" s="71">
        <f t="shared" si="26"/>
        <v>0.64571428571428569</v>
      </c>
      <c r="AC69" s="71">
        <v>0.64500000000000002</v>
      </c>
      <c r="AD69" s="35"/>
      <c r="AE69" s="35"/>
      <c r="AF69" s="11">
        <f t="shared" si="27"/>
        <v>0</v>
      </c>
      <c r="AG69" s="11">
        <f t="shared" si="28"/>
        <v>0</v>
      </c>
      <c r="AH69" s="11">
        <f t="shared" si="29"/>
        <v>18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v>0.68200000000000005</v>
      </c>
      <c r="G70" s="71">
        <v>0.65999999999999992</v>
      </c>
      <c r="H70" s="71">
        <v>0.65400000000000003</v>
      </c>
      <c r="I70" s="71">
        <f t="shared" ref="I70:I71" si="39">2.71/4</f>
        <v>0.67749999999999999</v>
      </c>
      <c r="J70" s="71">
        <f t="shared" ref="J70:J71" si="40">2.63/4</f>
        <v>0.65749999999999997</v>
      </c>
      <c r="K70" s="71">
        <f t="shared" ref="K70:K71" si="41">2.79/4</f>
        <v>0.69750000000000001</v>
      </c>
      <c r="L70" s="71">
        <f t="shared" ref="L70:L71" si="42">2.8/4</f>
        <v>0.7</v>
      </c>
      <c r="M70" s="71">
        <f t="shared" ref="M70:M71" si="43">3.1/4</f>
        <v>0.77500000000000002</v>
      </c>
      <c r="N70" s="71">
        <f t="shared" ref="N70:N71" si="44">3.21/4</f>
        <v>0.80249999999999999</v>
      </c>
      <c r="O70" s="71">
        <f t="shared" si="34"/>
        <v>0.74</v>
      </c>
      <c r="P70" s="71">
        <f t="shared" si="35"/>
        <v>0.73333333333333339</v>
      </c>
      <c r="Q70" s="71">
        <f t="shared" si="36"/>
        <v>0.79999999999999993</v>
      </c>
      <c r="R70" s="71">
        <f t="shared" si="35"/>
        <v>0.73333333333333339</v>
      </c>
      <c r="S70" s="71">
        <f t="shared" si="37"/>
        <v>0.76666666666666661</v>
      </c>
      <c r="T70" s="71">
        <f t="shared" si="38"/>
        <v>0.81666666666666676</v>
      </c>
      <c r="U70" s="71">
        <f t="shared" si="30"/>
        <v>0.67142857142857149</v>
      </c>
      <c r="V70" s="71">
        <f t="shared" si="31"/>
        <v>0.6428571428571429</v>
      </c>
      <c r="W70" s="71">
        <f t="shared" si="32"/>
        <v>0.62857142857142867</v>
      </c>
      <c r="X70" s="71">
        <f t="shared" si="33"/>
        <v>0.61428571428571421</v>
      </c>
      <c r="Y70" s="71">
        <f t="shared" si="23"/>
        <v>0.72857142857142854</v>
      </c>
      <c r="Z70" s="71">
        <f t="shared" si="24"/>
        <v>0.70000000000000007</v>
      </c>
      <c r="AA70" s="71">
        <f t="shared" si="25"/>
        <v>0.65285714285714291</v>
      </c>
      <c r="AB70" s="71">
        <f t="shared" si="26"/>
        <v>0.64571428571428569</v>
      </c>
      <c r="AC70" s="71">
        <v>0.64500000000000002</v>
      </c>
      <c r="AD70" s="35"/>
      <c r="AE70" s="35"/>
      <c r="AF70" s="11">
        <f t="shared" si="27"/>
        <v>0</v>
      </c>
      <c r="AG70" s="11">
        <f t="shared" si="28"/>
        <v>0</v>
      </c>
      <c r="AH70" s="11">
        <f t="shared" si="29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v>0.68200000000000005</v>
      </c>
      <c r="G71" s="71">
        <v>0.65999999999999992</v>
      </c>
      <c r="H71" s="71">
        <v>0.65400000000000003</v>
      </c>
      <c r="I71" s="71">
        <f t="shared" si="39"/>
        <v>0.67749999999999999</v>
      </c>
      <c r="J71" s="71">
        <f t="shared" si="40"/>
        <v>0.65749999999999997</v>
      </c>
      <c r="K71" s="71">
        <f t="shared" si="41"/>
        <v>0.69750000000000001</v>
      </c>
      <c r="L71" s="71">
        <f t="shared" si="42"/>
        <v>0.7</v>
      </c>
      <c r="M71" s="71">
        <f t="shared" si="43"/>
        <v>0.77500000000000002</v>
      </c>
      <c r="N71" s="71">
        <f t="shared" si="44"/>
        <v>0.80249999999999999</v>
      </c>
      <c r="O71" s="71">
        <f t="shared" si="34"/>
        <v>0.74</v>
      </c>
      <c r="P71" s="71">
        <f t="shared" si="35"/>
        <v>0.73333333333333339</v>
      </c>
      <c r="Q71" s="71">
        <f t="shared" si="36"/>
        <v>0.79999999999999993</v>
      </c>
      <c r="R71" s="71">
        <f t="shared" si="35"/>
        <v>0.73333333333333339</v>
      </c>
      <c r="S71" s="71">
        <f t="shared" si="37"/>
        <v>0.76666666666666661</v>
      </c>
      <c r="T71" s="71">
        <f t="shared" si="38"/>
        <v>0.81666666666666676</v>
      </c>
      <c r="U71" s="71">
        <f t="shared" si="30"/>
        <v>0.67142857142857149</v>
      </c>
      <c r="V71" s="71">
        <f t="shared" si="31"/>
        <v>0.6428571428571429</v>
      </c>
      <c r="W71" s="71">
        <f t="shared" si="32"/>
        <v>0.62857142857142867</v>
      </c>
      <c r="X71" s="71">
        <f t="shared" si="33"/>
        <v>0.61428571428571421</v>
      </c>
      <c r="Y71" s="71">
        <f t="shared" si="23"/>
        <v>0.72857142857142854</v>
      </c>
      <c r="Z71" s="71">
        <f t="shared" si="24"/>
        <v>0.70000000000000007</v>
      </c>
      <c r="AA71" s="71">
        <f t="shared" si="25"/>
        <v>0.65285714285714291</v>
      </c>
      <c r="AB71" s="71">
        <f t="shared" si="26"/>
        <v>0.64571428571428569</v>
      </c>
      <c r="AC71" s="71">
        <v>0.64500000000000002</v>
      </c>
      <c r="AD71" s="35"/>
      <c r="AE71" s="35"/>
      <c r="AF71" s="11">
        <f t="shared" si="27"/>
        <v>0</v>
      </c>
      <c r="AG71" s="11">
        <f t="shared" si="28"/>
        <v>0</v>
      </c>
      <c r="AH71" s="11">
        <f t="shared" si="29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7"/>
        <v>0</v>
      </c>
      <c r="AG72" s="11">
        <f t="shared" si="28"/>
        <v>0</v>
      </c>
      <c r="AH72" s="11">
        <f t="shared" si="29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7"/>
        <v>24</v>
      </c>
      <c r="AG73" s="11">
        <f t="shared" si="28"/>
        <v>0</v>
      </c>
      <c r="AH73" s="11">
        <f t="shared" si="29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>
        <f>4.4/6</f>
        <v>0.73333333333333339</v>
      </c>
      <c r="Q74" s="71">
        <f>4.8/6</f>
        <v>0.79999999999999993</v>
      </c>
      <c r="R74" s="71">
        <f>4.4/6</f>
        <v>0.73333333333333339</v>
      </c>
      <c r="S74" s="71">
        <f>4.6/6</f>
        <v>0.76666666666666661</v>
      </c>
      <c r="T74" s="71">
        <f>4.9/6</f>
        <v>0.81666666666666676</v>
      </c>
      <c r="U74" s="71">
        <f>4.7/7</f>
        <v>0.67142857142857149</v>
      </c>
      <c r="V74" s="71">
        <f>4.5/7</f>
        <v>0.6428571428571429</v>
      </c>
      <c r="W74" s="71">
        <f>4.4/7</f>
        <v>0.62857142857142867</v>
      </c>
      <c r="X74" s="71">
        <f>4.3/7</f>
        <v>0.61428571428571421</v>
      </c>
      <c r="Y74" s="71">
        <f>5.1/7</f>
        <v>0.72857142857142854</v>
      </c>
      <c r="Z74" s="71">
        <f>4.9/7</f>
        <v>0.70000000000000007</v>
      </c>
      <c r="AA74" s="71">
        <f>4.57/7</f>
        <v>0.65285714285714291</v>
      </c>
      <c r="AB74" s="71">
        <f>4.52/7</f>
        <v>0.64571428571428569</v>
      </c>
      <c r="AC74" s="71">
        <v>0.64500000000000002</v>
      </c>
      <c r="AD74" s="31"/>
      <c r="AE74" s="31"/>
      <c r="AF74" s="11">
        <f t="shared" si="27"/>
        <v>0</v>
      </c>
      <c r="AG74" s="11">
        <f t="shared" si="28"/>
        <v>0</v>
      </c>
      <c r="AH74" s="11">
        <f t="shared" si="29"/>
        <v>14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45">SUM(F66:F74)</f>
        <v>3.41</v>
      </c>
      <c r="G75" s="19">
        <f t="shared" ref="G75:AC75" si="46">SUM(G66:G74)</f>
        <v>3.3</v>
      </c>
      <c r="H75" s="19">
        <f t="shared" si="46"/>
        <v>3.27</v>
      </c>
      <c r="I75" s="19">
        <f t="shared" si="46"/>
        <v>2.71</v>
      </c>
      <c r="J75" s="19">
        <f t="shared" si="46"/>
        <v>2.63</v>
      </c>
      <c r="K75" s="19">
        <f t="shared" si="46"/>
        <v>2.79</v>
      </c>
      <c r="L75" s="19">
        <f>SUM(L66:L74)</f>
        <v>2.8</v>
      </c>
      <c r="M75" s="19">
        <f t="shared" si="46"/>
        <v>3.1</v>
      </c>
      <c r="N75" s="19">
        <f t="shared" si="46"/>
        <v>3.21</v>
      </c>
      <c r="O75" s="19">
        <f t="shared" si="46"/>
        <v>3.7</v>
      </c>
      <c r="P75" s="19">
        <f t="shared" si="46"/>
        <v>4.4000000000000004</v>
      </c>
      <c r="Q75" s="19">
        <f t="shared" si="46"/>
        <v>4.8</v>
      </c>
      <c r="R75" s="19">
        <f t="shared" si="46"/>
        <v>4.4000000000000004</v>
      </c>
      <c r="S75" s="19">
        <f t="shared" si="46"/>
        <v>4.5999999999999996</v>
      </c>
      <c r="T75" s="19">
        <f t="shared" si="46"/>
        <v>4.9000000000000004</v>
      </c>
      <c r="U75" s="19">
        <f t="shared" si="46"/>
        <v>4.7000000000000011</v>
      </c>
      <c r="V75" s="19">
        <f t="shared" si="46"/>
        <v>4.5</v>
      </c>
      <c r="W75" s="19">
        <f t="shared" si="46"/>
        <v>4.4000000000000004</v>
      </c>
      <c r="X75" s="19">
        <f t="shared" si="46"/>
        <v>4.3</v>
      </c>
      <c r="Y75" s="19">
        <f t="shared" si="46"/>
        <v>5.0999999999999996</v>
      </c>
      <c r="Z75" s="19">
        <f t="shared" si="46"/>
        <v>4.9000000000000004</v>
      </c>
      <c r="AA75" s="19">
        <f t="shared" si="46"/>
        <v>4.57</v>
      </c>
      <c r="AB75" s="19">
        <f t="shared" si="46"/>
        <v>4.5200000000000005</v>
      </c>
      <c r="AC75" s="19">
        <f t="shared" si="46"/>
        <v>3.87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20.059999999999999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0.72</v>
      </c>
      <c r="N77" s="71">
        <v>0.74</v>
      </c>
      <c r="O77" s="71">
        <v>0.75</v>
      </c>
      <c r="P77" s="71">
        <v>0.84</v>
      </c>
      <c r="Q77" s="71">
        <v>0.87</v>
      </c>
      <c r="R77" s="71">
        <v>0.92</v>
      </c>
      <c r="S77" s="71">
        <v>0.9</v>
      </c>
      <c r="T77" s="71">
        <v>0.91</v>
      </c>
      <c r="U77" s="71">
        <v>0.93</v>
      </c>
      <c r="V77" s="71">
        <v>0.89</v>
      </c>
      <c r="W77" s="71">
        <v>0.88</v>
      </c>
      <c r="X77" s="71">
        <v>0.86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0.84</v>
      </c>
      <c r="G78" s="71">
        <v>0.81</v>
      </c>
      <c r="H78" s="71">
        <v>0.75</v>
      </c>
      <c r="I78" s="71">
        <v>0.73</v>
      </c>
      <c r="J78" s="380">
        <v>0.7</v>
      </c>
      <c r="K78" s="71">
        <v>0.71</v>
      </c>
      <c r="L78" s="71">
        <v>0.72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0.98</v>
      </c>
      <c r="Z78" s="71">
        <v>0.96</v>
      </c>
      <c r="AA78" s="71">
        <v>0.93</v>
      </c>
      <c r="AB78" s="71">
        <v>0.88</v>
      </c>
      <c r="AC78" s="71">
        <v>0.84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7">SUM(F77:F78)</f>
        <v>0.84</v>
      </c>
      <c r="G79" s="19">
        <f>SUM(G77:G78)</f>
        <v>0.81</v>
      </c>
      <c r="H79" s="19">
        <f>SUM(H77:H78)</f>
        <v>0.75</v>
      </c>
      <c r="I79" s="19">
        <v>0.67</v>
      </c>
      <c r="J79" s="19">
        <f t="shared" ref="J79:AC79" si="48">SUM(J77:J78)</f>
        <v>0.7</v>
      </c>
      <c r="K79" s="19">
        <f t="shared" si="48"/>
        <v>0.71</v>
      </c>
      <c r="L79" s="19">
        <f>SUM(L77:L78)</f>
        <v>0.72</v>
      </c>
      <c r="M79" s="19">
        <f t="shared" si="48"/>
        <v>0.72</v>
      </c>
      <c r="N79" s="19">
        <f t="shared" si="48"/>
        <v>0.74</v>
      </c>
      <c r="O79" s="19">
        <f>SUM(O77:O78)</f>
        <v>0.75</v>
      </c>
      <c r="P79" s="19">
        <f t="shared" si="48"/>
        <v>0.84</v>
      </c>
      <c r="Q79" s="19">
        <f t="shared" si="48"/>
        <v>0.87</v>
      </c>
      <c r="R79" s="19">
        <f t="shared" si="48"/>
        <v>0.92</v>
      </c>
      <c r="S79" s="19">
        <f t="shared" si="48"/>
        <v>0.9</v>
      </c>
      <c r="T79" s="19">
        <f t="shared" si="48"/>
        <v>0.91</v>
      </c>
      <c r="U79" s="19">
        <f t="shared" si="48"/>
        <v>0.93</v>
      </c>
      <c r="V79" s="19">
        <f t="shared" si="48"/>
        <v>0.89</v>
      </c>
      <c r="W79" s="19">
        <f t="shared" si="48"/>
        <v>0.88</v>
      </c>
      <c r="X79" s="19">
        <f t="shared" si="48"/>
        <v>0.86</v>
      </c>
      <c r="Y79" s="19">
        <f t="shared" si="48"/>
        <v>0.98</v>
      </c>
      <c r="Z79" s="19">
        <f t="shared" si="48"/>
        <v>0.96</v>
      </c>
      <c r="AA79" s="19">
        <f t="shared" si="48"/>
        <v>0.93</v>
      </c>
      <c r="AB79" s="19">
        <f t="shared" si="48"/>
        <v>0.88</v>
      </c>
      <c r="AC79" s="19">
        <f t="shared" si="48"/>
        <v>0.84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9">SUM(F17,F22,F25,F30,F33,F59,F64,F75,F79,F81)</f>
        <v>37.620000000000005</v>
      </c>
      <c r="G82" s="28">
        <f t="shared" si="49"/>
        <v>35.380000000000003</v>
      </c>
      <c r="H82" s="28">
        <f t="shared" si="49"/>
        <v>35.31</v>
      </c>
      <c r="I82" s="28">
        <f t="shared" si="49"/>
        <v>33.86</v>
      </c>
      <c r="J82" s="28">
        <f t="shared" si="49"/>
        <v>33.270000000000003</v>
      </c>
      <c r="K82" s="28">
        <f t="shared" si="49"/>
        <v>33.430000000000007</v>
      </c>
      <c r="L82" s="28">
        <f t="shared" si="49"/>
        <v>34.72</v>
      </c>
      <c r="M82" s="28">
        <f t="shared" si="49"/>
        <v>36.04</v>
      </c>
      <c r="N82" s="28">
        <f t="shared" si="49"/>
        <v>39</v>
      </c>
      <c r="O82" s="28">
        <f t="shared" si="49"/>
        <v>45.330000000000005</v>
      </c>
      <c r="P82" s="28">
        <f t="shared" si="49"/>
        <v>51.140000000000008</v>
      </c>
      <c r="Q82" s="28">
        <f t="shared" si="49"/>
        <v>52.189999999999991</v>
      </c>
      <c r="R82" s="28">
        <f t="shared" si="49"/>
        <v>52.14</v>
      </c>
      <c r="S82" s="28">
        <f t="shared" si="49"/>
        <v>53.45</v>
      </c>
      <c r="T82" s="28">
        <f t="shared" si="49"/>
        <v>55.499999999999993</v>
      </c>
      <c r="U82" s="28">
        <f t="shared" si="49"/>
        <v>55.39</v>
      </c>
      <c r="V82" s="28">
        <f t="shared" si="49"/>
        <v>54.339999999999996</v>
      </c>
      <c r="W82" s="28">
        <f t="shared" si="49"/>
        <v>53.16</v>
      </c>
      <c r="X82" s="28">
        <f t="shared" si="49"/>
        <v>53.36999999999999</v>
      </c>
      <c r="Y82" s="28">
        <f t="shared" si="49"/>
        <v>56.97</v>
      </c>
      <c r="Z82" s="28">
        <f t="shared" si="49"/>
        <v>54.080000000000005</v>
      </c>
      <c r="AA82" s="28">
        <f t="shared" si="49"/>
        <v>52.49</v>
      </c>
      <c r="AB82" s="28">
        <f t="shared" si="49"/>
        <v>48.02000000000001</v>
      </c>
      <c r="AC82" s="28">
        <f t="shared" si="49"/>
        <v>44.47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50">SUM(F22,F25)</f>
        <v>6</v>
      </c>
      <c r="G88" s="64">
        <f t="shared" si="50"/>
        <v>3.8</v>
      </c>
      <c r="H88" s="64">
        <f t="shared" si="50"/>
        <v>3.8</v>
      </c>
      <c r="I88" s="64">
        <f t="shared" si="50"/>
        <v>3.5</v>
      </c>
      <c r="J88" s="64">
        <f t="shared" si="50"/>
        <v>3</v>
      </c>
      <c r="K88" s="64">
        <f t="shared" si="50"/>
        <v>3.6</v>
      </c>
      <c r="L88" s="64">
        <f t="shared" si="50"/>
        <v>3.8</v>
      </c>
      <c r="M88" s="64">
        <f t="shared" si="50"/>
        <v>3.8</v>
      </c>
      <c r="N88" s="64">
        <f t="shared" si="50"/>
        <v>3.8</v>
      </c>
      <c r="O88" s="64">
        <f t="shared" si="50"/>
        <v>7.1</v>
      </c>
      <c r="P88" s="64">
        <f t="shared" si="50"/>
        <v>7.1</v>
      </c>
      <c r="Q88" s="64">
        <f t="shared" si="50"/>
        <v>7.1</v>
      </c>
      <c r="R88" s="64">
        <f t="shared" si="50"/>
        <v>7.1</v>
      </c>
      <c r="S88" s="64">
        <f t="shared" si="50"/>
        <v>7.1</v>
      </c>
      <c r="T88" s="64">
        <f t="shared" si="50"/>
        <v>7.1</v>
      </c>
      <c r="U88" s="64">
        <f t="shared" si="50"/>
        <v>7.1</v>
      </c>
      <c r="V88" s="64">
        <f t="shared" si="50"/>
        <v>7.1</v>
      </c>
      <c r="W88" s="64">
        <f t="shared" si="50"/>
        <v>7.1</v>
      </c>
      <c r="X88" s="64">
        <f t="shared" si="50"/>
        <v>7.1</v>
      </c>
      <c r="Y88" s="64">
        <f t="shared" si="50"/>
        <v>6.8</v>
      </c>
      <c r="Z88" s="64">
        <f t="shared" si="50"/>
        <v>6.8</v>
      </c>
      <c r="AA88" s="64">
        <f t="shared" si="50"/>
        <v>7.1</v>
      </c>
      <c r="AB88" s="64">
        <f t="shared" si="50"/>
        <v>7.1</v>
      </c>
      <c r="AC88" s="64">
        <f t="shared" si="50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0.25700000000000001</v>
      </c>
      <c r="G89" s="68">
        <v>0.20100000000000001</v>
      </c>
      <c r="H89" s="68">
        <v>0.20100000000000001</v>
      </c>
      <c r="I89" s="68">
        <v>0.20100000000000001</v>
      </c>
      <c r="J89" s="68">
        <v>0.20899999999999999</v>
      </c>
      <c r="K89" s="68">
        <v>0.21</v>
      </c>
      <c r="L89" s="68">
        <v>0.182</v>
      </c>
      <c r="M89" s="68">
        <v>0.20599999999999999</v>
      </c>
      <c r="N89" s="68">
        <v>0.222</v>
      </c>
      <c r="O89" s="68">
        <v>0.253</v>
      </c>
      <c r="P89" s="68">
        <v>0.23499999999999999</v>
      </c>
      <c r="Q89" s="68">
        <v>0.253</v>
      </c>
      <c r="R89" s="68">
        <v>0.20799999999999999</v>
      </c>
      <c r="S89" s="68">
        <v>0.22700000000000001</v>
      </c>
      <c r="T89" s="68">
        <v>0.25</v>
      </c>
      <c r="U89" s="68">
        <v>0.23599999999999999</v>
      </c>
      <c r="V89" s="68">
        <v>0.23499999999999999</v>
      </c>
      <c r="W89" s="68">
        <v>0.25</v>
      </c>
      <c r="X89" s="68">
        <v>0.23899999999999999</v>
      </c>
      <c r="Y89" s="68">
        <v>0.249</v>
      </c>
      <c r="Z89" s="68">
        <v>0.28000000000000003</v>
      </c>
      <c r="AA89" s="68">
        <v>0.25900000000000001</v>
      </c>
      <c r="AB89" s="68">
        <v>0.216</v>
      </c>
      <c r="AC89" s="68">
        <v>0.17899999999999999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51">F17</f>
        <v>13</v>
      </c>
      <c r="G90" s="64">
        <f t="shared" si="51"/>
        <v>13.2</v>
      </c>
      <c r="H90" s="64">
        <f t="shared" si="51"/>
        <v>12.8</v>
      </c>
      <c r="I90" s="64">
        <f t="shared" si="51"/>
        <v>13</v>
      </c>
      <c r="J90" s="64">
        <f t="shared" si="51"/>
        <v>13.2</v>
      </c>
      <c r="K90" s="64">
        <f t="shared" si="51"/>
        <v>13.2</v>
      </c>
      <c r="L90" s="64">
        <f t="shared" si="51"/>
        <v>12.899999999999999</v>
      </c>
      <c r="M90" s="64">
        <f t="shared" si="51"/>
        <v>12.8</v>
      </c>
      <c r="N90" s="64">
        <f t="shared" si="51"/>
        <v>13.3</v>
      </c>
      <c r="O90" s="64">
        <f t="shared" si="51"/>
        <v>13.8</v>
      </c>
      <c r="P90" s="64">
        <f t="shared" si="51"/>
        <v>13</v>
      </c>
      <c r="Q90" s="64">
        <f t="shared" si="51"/>
        <v>12.6</v>
      </c>
      <c r="R90" s="64">
        <f t="shared" si="51"/>
        <v>13.2</v>
      </c>
      <c r="S90" s="64">
        <f t="shared" si="51"/>
        <v>13.6</v>
      </c>
      <c r="T90" s="64">
        <f t="shared" si="51"/>
        <v>13.2</v>
      </c>
      <c r="U90" s="64">
        <f t="shared" si="51"/>
        <v>19.799999999999997</v>
      </c>
      <c r="V90" s="64">
        <f t="shared" si="51"/>
        <v>25.2</v>
      </c>
      <c r="W90" s="64">
        <f t="shared" si="51"/>
        <v>23.9</v>
      </c>
      <c r="X90" s="64">
        <f t="shared" si="51"/>
        <v>24</v>
      </c>
      <c r="Y90" s="64">
        <f t="shared" si="51"/>
        <v>24</v>
      </c>
      <c r="Z90" s="64">
        <f t="shared" si="51"/>
        <v>24</v>
      </c>
      <c r="AA90" s="64">
        <f t="shared" si="51"/>
        <v>23.4</v>
      </c>
      <c r="AB90" s="64">
        <f t="shared" si="51"/>
        <v>18.299999999999997</v>
      </c>
      <c r="AC90" s="64">
        <f t="shared" si="51"/>
        <v>18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0.53300000000000003</v>
      </c>
      <c r="G91" s="68">
        <v>0.51800000000000002</v>
      </c>
      <c r="H91" s="68">
        <v>0.52</v>
      </c>
      <c r="I91" s="68">
        <v>0.64</v>
      </c>
      <c r="J91" s="68">
        <v>0.76600000000000001</v>
      </c>
      <c r="K91" s="68">
        <v>0.69799999999999995</v>
      </c>
      <c r="L91" s="68">
        <v>0.74099999999999999</v>
      </c>
      <c r="M91" s="68">
        <v>0.64</v>
      </c>
      <c r="N91" s="68">
        <v>0.78</v>
      </c>
      <c r="O91" s="68">
        <v>0.65400000000000003</v>
      </c>
      <c r="P91" s="68">
        <v>0.57599999999999996</v>
      </c>
      <c r="Q91" s="68">
        <v>0.55900000000000005</v>
      </c>
      <c r="R91" s="68">
        <v>0.65100000000000002</v>
      </c>
      <c r="S91" s="68">
        <v>0.78400000000000003</v>
      </c>
      <c r="T91" s="68">
        <v>0.61099999999999999</v>
      </c>
      <c r="U91" s="68">
        <v>0.72899999999999998</v>
      </c>
      <c r="V91" s="68">
        <v>0.67500000000000004</v>
      </c>
      <c r="W91" s="68">
        <v>0.95799999999999996</v>
      </c>
      <c r="X91" s="68">
        <v>0.93100000000000005</v>
      </c>
      <c r="Y91" s="68">
        <v>0.93200000000000005</v>
      </c>
      <c r="Z91" s="68">
        <v>0.99299999999999999</v>
      </c>
      <c r="AA91" s="68">
        <v>0.73</v>
      </c>
      <c r="AB91" s="68">
        <v>0.73399999999999999</v>
      </c>
      <c r="AC91" s="68">
        <v>0.64900000000000002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52">F30</f>
        <v>2.7</v>
      </c>
      <c r="G92" s="65">
        <f t="shared" si="52"/>
        <v>2.7</v>
      </c>
      <c r="H92" s="65">
        <f t="shared" si="52"/>
        <v>3.3</v>
      </c>
      <c r="I92" s="65">
        <f t="shared" si="52"/>
        <v>3</v>
      </c>
      <c r="J92" s="65">
        <f t="shared" si="52"/>
        <v>3</v>
      </c>
      <c r="K92" s="65">
        <f t="shared" si="52"/>
        <v>3.1</v>
      </c>
      <c r="L92" s="65">
        <f t="shared" si="52"/>
        <v>3.5</v>
      </c>
      <c r="M92" s="65">
        <f t="shared" si="52"/>
        <v>3.4</v>
      </c>
      <c r="N92" s="65">
        <f t="shared" si="52"/>
        <v>3.5</v>
      </c>
      <c r="O92" s="65">
        <f t="shared" si="52"/>
        <v>3.6</v>
      </c>
      <c r="P92" s="65">
        <f t="shared" si="52"/>
        <v>7</v>
      </c>
      <c r="Q92" s="65">
        <f t="shared" si="52"/>
        <v>7</v>
      </c>
      <c r="R92" s="65">
        <f t="shared" si="52"/>
        <v>7.4</v>
      </c>
      <c r="S92" s="65">
        <f t="shared" si="52"/>
        <v>8</v>
      </c>
      <c r="T92" s="65">
        <f t="shared" si="52"/>
        <v>7.6</v>
      </c>
      <c r="U92" s="65">
        <f t="shared" si="52"/>
        <v>7.6</v>
      </c>
      <c r="V92" s="65">
        <f t="shared" si="52"/>
        <v>6.4</v>
      </c>
      <c r="W92" s="65">
        <f t="shared" si="52"/>
        <v>7.8</v>
      </c>
      <c r="X92" s="65">
        <f t="shared" si="52"/>
        <v>7.8</v>
      </c>
      <c r="Y92" s="65">
        <f t="shared" si="52"/>
        <v>8.4</v>
      </c>
      <c r="Z92" s="65">
        <f t="shared" si="52"/>
        <v>8.1000000000000014</v>
      </c>
      <c r="AA92" s="65">
        <f t="shared" si="52"/>
        <v>7.9</v>
      </c>
      <c r="AB92" s="65">
        <f t="shared" si="52"/>
        <v>7.3000000000000007</v>
      </c>
      <c r="AC92" s="65">
        <f t="shared" si="52"/>
        <v>5.4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0.18099999999999999</v>
      </c>
      <c r="G93" s="68">
        <v>0.19900000000000001</v>
      </c>
      <c r="H93" s="68">
        <v>0.19900000000000001</v>
      </c>
      <c r="I93" s="68">
        <v>0.186</v>
      </c>
      <c r="J93" s="68">
        <v>0.193</v>
      </c>
      <c r="K93" s="68">
        <v>0.19700000000000001</v>
      </c>
      <c r="L93" s="68">
        <v>0.193</v>
      </c>
      <c r="M93" s="68">
        <v>0.20899999999999999</v>
      </c>
      <c r="N93" s="68">
        <v>0.223</v>
      </c>
      <c r="O93" s="68">
        <v>0.22700000000000001</v>
      </c>
      <c r="P93" s="68">
        <v>0.28699999999999998</v>
      </c>
      <c r="Q93" s="68">
        <v>0.28899999999999998</v>
      </c>
      <c r="R93" s="68">
        <v>0.26600000000000001</v>
      </c>
      <c r="S93" s="68">
        <v>0.26</v>
      </c>
      <c r="T93" s="68">
        <v>0.313</v>
      </c>
      <c r="U93" s="68">
        <v>0.29899999999999999</v>
      </c>
      <c r="V93" s="68">
        <v>0.29799999999999999</v>
      </c>
      <c r="W93" s="68">
        <v>0.32100000000000001</v>
      </c>
      <c r="X93" s="68">
        <v>0.318</v>
      </c>
      <c r="Y93" s="68">
        <v>0.28299999999999997</v>
      </c>
      <c r="Z93" s="68">
        <v>0.28299999999999997</v>
      </c>
      <c r="AA93" s="68">
        <v>0.26700000000000002</v>
      </c>
      <c r="AB93" s="68">
        <v>0.29399999999999998</v>
      </c>
      <c r="AC93" s="68">
        <v>0.26800000000000002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53">F33</f>
        <v>10.72</v>
      </c>
      <c r="G94" s="65">
        <f t="shared" si="53"/>
        <v>10.7</v>
      </c>
      <c r="H94" s="65">
        <f t="shared" si="53"/>
        <v>10.55</v>
      </c>
      <c r="I94" s="65">
        <f t="shared" si="53"/>
        <v>10.16</v>
      </c>
      <c r="J94" s="65">
        <f t="shared" si="53"/>
        <v>9.98</v>
      </c>
      <c r="K94" s="65">
        <f t="shared" si="53"/>
        <v>9.26</v>
      </c>
      <c r="L94" s="65">
        <f t="shared" si="53"/>
        <v>10.18</v>
      </c>
      <c r="M94" s="65">
        <f t="shared" si="53"/>
        <v>11.26</v>
      </c>
      <c r="N94" s="65">
        <f t="shared" si="53"/>
        <v>12.65</v>
      </c>
      <c r="O94" s="65">
        <f t="shared" si="53"/>
        <v>13.7</v>
      </c>
      <c r="P94" s="65">
        <f t="shared" si="53"/>
        <v>13.6</v>
      </c>
      <c r="Q94" s="65">
        <f t="shared" si="53"/>
        <v>13.78</v>
      </c>
      <c r="R94" s="65">
        <f t="shared" si="53"/>
        <v>13.83</v>
      </c>
      <c r="S94" s="65">
        <f t="shared" si="53"/>
        <v>14</v>
      </c>
      <c r="T94" s="65">
        <f t="shared" si="53"/>
        <v>14</v>
      </c>
      <c r="U94" s="65">
        <f t="shared" si="53"/>
        <v>14</v>
      </c>
      <c r="V94" s="65">
        <f t="shared" si="53"/>
        <v>9</v>
      </c>
      <c r="W94" s="65">
        <f t="shared" si="53"/>
        <v>7.8</v>
      </c>
      <c r="X94" s="65">
        <f t="shared" si="53"/>
        <v>7.98</v>
      </c>
      <c r="Y94" s="65">
        <f t="shared" si="53"/>
        <v>10.3</v>
      </c>
      <c r="Z94" s="65">
        <f t="shared" si="53"/>
        <v>8</v>
      </c>
      <c r="AA94" s="65">
        <f t="shared" si="53"/>
        <v>7.35</v>
      </c>
      <c r="AB94" s="65">
        <f t="shared" si="53"/>
        <v>8.81</v>
      </c>
      <c r="AC94" s="65">
        <f t="shared" si="53"/>
        <v>8.26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1.28</v>
      </c>
      <c r="G95" s="68">
        <v>1.3</v>
      </c>
      <c r="H95" s="68">
        <v>1.45</v>
      </c>
      <c r="I95" s="68">
        <v>1.34</v>
      </c>
      <c r="J95" s="68">
        <v>1.22</v>
      </c>
      <c r="K95" s="68">
        <v>1.24</v>
      </c>
      <c r="L95" s="68">
        <v>1.32</v>
      </c>
      <c r="M95" s="68">
        <v>1.24</v>
      </c>
      <c r="N95" s="68">
        <v>1.1499999999999999</v>
      </c>
      <c r="O95" s="68">
        <v>1.3</v>
      </c>
      <c r="P95" s="68">
        <v>1.4</v>
      </c>
      <c r="Q95" s="68">
        <v>1.22</v>
      </c>
      <c r="R95" s="68">
        <v>1.17</v>
      </c>
      <c r="S95" s="68">
        <v>1</v>
      </c>
      <c r="T95" s="68">
        <v>1</v>
      </c>
      <c r="U95" s="68">
        <v>1</v>
      </c>
      <c r="V95" s="68">
        <v>1</v>
      </c>
      <c r="W95" s="68">
        <v>1.2</v>
      </c>
      <c r="X95" s="68">
        <v>1.02</v>
      </c>
      <c r="Y95" s="68">
        <v>1.2</v>
      </c>
      <c r="Z95" s="68">
        <v>1</v>
      </c>
      <c r="AA95" s="68">
        <v>1.1499999999999999</v>
      </c>
      <c r="AB95" s="68">
        <v>1.19</v>
      </c>
      <c r="AC95" s="68">
        <v>1.24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54">F59</f>
        <v>0</v>
      </c>
      <c r="G96" s="64">
        <f t="shared" si="54"/>
        <v>0</v>
      </c>
      <c r="H96" s="64">
        <f t="shared" si="54"/>
        <v>0</v>
      </c>
      <c r="I96" s="64">
        <f t="shared" si="54"/>
        <v>0</v>
      </c>
      <c r="J96" s="64">
        <f t="shared" si="54"/>
        <v>0</v>
      </c>
      <c r="K96" s="64">
        <f t="shared" si="54"/>
        <v>0</v>
      </c>
      <c r="L96" s="64">
        <f t="shared" si="54"/>
        <v>0</v>
      </c>
      <c r="M96" s="64">
        <f t="shared" si="54"/>
        <v>0</v>
      </c>
      <c r="N96" s="64">
        <f t="shared" si="54"/>
        <v>0.8</v>
      </c>
      <c r="O96" s="64">
        <f t="shared" si="54"/>
        <v>1.5</v>
      </c>
      <c r="P96" s="64">
        <f t="shared" si="54"/>
        <v>4</v>
      </c>
      <c r="Q96" s="64">
        <f t="shared" si="54"/>
        <v>4.8</v>
      </c>
      <c r="R96" s="64">
        <f t="shared" si="54"/>
        <v>4</v>
      </c>
      <c r="S96" s="64">
        <f t="shared" si="54"/>
        <v>4</v>
      </c>
      <c r="T96" s="64">
        <f t="shared" si="54"/>
        <v>6.5</v>
      </c>
      <c r="U96" s="64">
        <f t="shared" si="54"/>
        <v>0</v>
      </c>
      <c r="V96" s="64">
        <f t="shared" si="54"/>
        <v>0</v>
      </c>
      <c r="W96" s="64">
        <f t="shared" si="54"/>
        <v>0</v>
      </c>
      <c r="X96" s="64">
        <f t="shared" si="54"/>
        <v>0</v>
      </c>
      <c r="Y96" s="64">
        <f t="shared" si="54"/>
        <v>0</v>
      </c>
      <c r="Z96" s="64">
        <f t="shared" si="54"/>
        <v>0</v>
      </c>
      <c r="AA96" s="64">
        <f t="shared" si="54"/>
        <v>0</v>
      </c>
      <c r="AB96" s="64">
        <f t="shared" si="54"/>
        <v>0</v>
      </c>
      <c r="AC96" s="64">
        <f t="shared" si="5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55">F64</f>
        <v>0.95</v>
      </c>
      <c r="G97" s="64">
        <f t="shared" si="55"/>
        <v>0.87</v>
      </c>
      <c r="H97" s="64">
        <f t="shared" si="55"/>
        <v>0.84</v>
      </c>
      <c r="I97" s="64">
        <f t="shared" si="55"/>
        <v>0.82</v>
      </c>
      <c r="J97" s="64">
        <f t="shared" si="55"/>
        <v>0.76</v>
      </c>
      <c r="K97" s="64">
        <f t="shared" si="55"/>
        <v>0.77</v>
      </c>
      <c r="L97" s="64">
        <f t="shared" si="55"/>
        <v>0.82</v>
      </c>
      <c r="M97" s="64">
        <f t="shared" si="55"/>
        <v>0.96</v>
      </c>
      <c r="N97" s="64">
        <f t="shared" si="55"/>
        <v>1</v>
      </c>
      <c r="O97" s="64">
        <f t="shared" si="55"/>
        <v>1.18</v>
      </c>
      <c r="P97" s="64">
        <f t="shared" si="55"/>
        <v>1.2</v>
      </c>
      <c r="Q97" s="64">
        <f t="shared" si="55"/>
        <v>1.24</v>
      </c>
      <c r="R97" s="64">
        <f t="shared" si="55"/>
        <v>1.29</v>
      </c>
      <c r="S97" s="64">
        <f t="shared" si="55"/>
        <v>1.25</v>
      </c>
      <c r="T97" s="64">
        <f t="shared" si="55"/>
        <v>1.29</v>
      </c>
      <c r="U97" s="64">
        <f t="shared" si="55"/>
        <v>1.26</v>
      </c>
      <c r="V97" s="64">
        <f t="shared" si="55"/>
        <v>1.25</v>
      </c>
      <c r="W97" s="64">
        <f t="shared" si="55"/>
        <v>1.28</v>
      </c>
      <c r="X97" s="64">
        <f t="shared" si="55"/>
        <v>1.33</v>
      </c>
      <c r="Y97" s="64">
        <f t="shared" si="55"/>
        <v>1.39</v>
      </c>
      <c r="Z97" s="64">
        <f t="shared" si="55"/>
        <v>1.32</v>
      </c>
      <c r="AA97" s="64">
        <f t="shared" si="55"/>
        <v>1.24</v>
      </c>
      <c r="AB97" s="64">
        <f t="shared" si="55"/>
        <v>1.1100000000000001</v>
      </c>
      <c r="AC97" s="64">
        <f t="shared" si="55"/>
        <v>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56">F75</f>
        <v>3.41</v>
      </c>
      <c r="G98" s="64">
        <f t="shared" si="56"/>
        <v>3.3</v>
      </c>
      <c r="H98" s="64">
        <f t="shared" si="56"/>
        <v>3.27</v>
      </c>
      <c r="I98" s="64">
        <f t="shared" si="56"/>
        <v>2.71</v>
      </c>
      <c r="J98" s="64">
        <f t="shared" si="56"/>
        <v>2.63</v>
      </c>
      <c r="K98" s="64">
        <f t="shared" si="56"/>
        <v>2.79</v>
      </c>
      <c r="L98" s="64">
        <f t="shared" si="56"/>
        <v>2.8</v>
      </c>
      <c r="M98" s="64">
        <f t="shared" si="56"/>
        <v>3.1</v>
      </c>
      <c r="N98" s="64">
        <f t="shared" si="56"/>
        <v>3.21</v>
      </c>
      <c r="O98" s="64">
        <f t="shared" si="56"/>
        <v>3.7</v>
      </c>
      <c r="P98" s="64">
        <f t="shared" si="56"/>
        <v>4.4000000000000004</v>
      </c>
      <c r="Q98" s="64">
        <f t="shared" si="56"/>
        <v>4.8</v>
      </c>
      <c r="R98" s="64">
        <f t="shared" si="56"/>
        <v>4.4000000000000004</v>
      </c>
      <c r="S98" s="64">
        <f t="shared" si="56"/>
        <v>4.5999999999999996</v>
      </c>
      <c r="T98" s="64">
        <f t="shared" si="56"/>
        <v>4.9000000000000004</v>
      </c>
      <c r="U98" s="64">
        <f t="shared" si="56"/>
        <v>4.7000000000000011</v>
      </c>
      <c r="V98" s="64">
        <f t="shared" si="56"/>
        <v>4.5</v>
      </c>
      <c r="W98" s="64">
        <f t="shared" si="56"/>
        <v>4.4000000000000004</v>
      </c>
      <c r="X98" s="64">
        <f t="shared" si="56"/>
        <v>4.3</v>
      </c>
      <c r="Y98" s="64">
        <f t="shared" si="56"/>
        <v>5.0999999999999996</v>
      </c>
      <c r="Z98" s="64">
        <f t="shared" si="56"/>
        <v>4.9000000000000004</v>
      </c>
      <c r="AA98" s="64">
        <f t="shared" si="56"/>
        <v>4.57</v>
      </c>
      <c r="AB98" s="64">
        <f t="shared" si="56"/>
        <v>4.5200000000000005</v>
      </c>
      <c r="AC98" s="64">
        <f t="shared" si="56"/>
        <v>3.87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57">F79</f>
        <v>0.84</v>
      </c>
      <c r="G99" s="64">
        <f t="shared" si="57"/>
        <v>0.81</v>
      </c>
      <c r="H99" s="64">
        <f t="shared" si="57"/>
        <v>0.75</v>
      </c>
      <c r="I99" s="64">
        <f t="shared" si="57"/>
        <v>0.67</v>
      </c>
      <c r="J99" s="64">
        <f t="shared" si="57"/>
        <v>0.7</v>
      </c>
      <c r="K99" s="64">
        <f t="shared" si="57"/>
        <v>0.71</v>
      </c>
      <c r="L99" s="64">
        <f t="shared" si="57"/>
        <v>0.72</v>
      </c>
      <c r="M99" s="64">
        <f t="shared" si="57"/>
        <v>0.72</v>
      </c>
      <c r="N99" s="64">
        <f t="shared" si="57"/>
        <v>0.74</v>
      </c>
      <c r="O99" s="64">
        <f t="shared" si="57"/>
        <v>0.75</v>
      </c>
      <c r="P99" s="64">
        <f t="shared" si="57"/>
        <v>0.84</v>
      </c>
      <c r="Q99" s="64">
        <f t="shared" si="57"/>
        <v>0.87</v>
      </c>
      <c r="R99" s="64">
        <f t="shared" si="57"/>
        <v>0.92</v>
      </c>
      <c r="S99" s="64">
        <f t="shared" si="57"/>
        <v>0.9</v>
      </c>
      <c r="T99" s="64">
        <f t="shared" si="57"/>
        <v>0.91</v>
      </c>
      <c r="U99" s="64">
        <f t="shared" si="57"/>
        <v>0.93</v>
      </c>
      <c r="V99" s="64">
        <f t="shared" si="57"/>
        <v>0.89</v>
      </c>
      <c r="W99" s="64">
        <f t="shared" si="57"/>
        <v>0.88</v>
      </c>
      <c r="X99" s="64">
        <f t="shared" si="57"/>
        <v>0.86</v>
      </c>
      <c r="Y99" s="64">
        <f t="shared" si="57"/>
        <v>0.98</v>
      </c>
      <c r="Z99" s="64">
        <f t="shared" si="57"/>
        <v>0.96</v>
      </c>
      <c r="AA99" s="64">
        <f t="shared" si="57"/>
        <v>0.93</v>
      </c>
      <c r="AB99" s="64">
        <f t="shared" si="57"/>
        <v>0.88</v>
      </c>
      <c r="AC99" s="64">
        <f t="shared" si="57"/>
        <v>0.84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58">F81</f>
        <v>0</v>
      </c>
      <c r="G100" s="64">
        <f t="shared" si="58"/>
        <v>0</v>
      </c>
      <c r="H100" s="64">
        <f t="shared" si="58"/>
        <v>0</v>
      </c>
      <c r="I100" s="64">
        <f t="shared" si="58"/>
        <v>0</v>
      </c>
      <c r="J100" s="64">
        <f t="shared" si="58"/>
        <v>0</v>
      </c>
      <c r="K100" s="64">
        <f t="shared" si="58"/>
        <v>0</v>
      </c>
      <c r="L100" s="64">
        <f t="shared" si="58"/>
        <v>0</v>
      </c>
      <c r="M100" s="64">
        <f t="shared" si="58"/>
        <v>0</v>
      </c>
      <c r="N100" s="64">
        <f t="shared" si="58"/>
        <v>0</v>
      </c>
      <c r="O100" s="64">
        <f t="shared" si="58"/>
        <v>0</v>
      </c>
      <c r="P100" s="64">
        <f t="shared" si="58"/>
        <v>0</v>
      </c>
      <c r="Q100" s="64">
        <f t="shared" si="58"/>
        <v>0</v>
      </c>
      <c r="R100" s="64">
        <f t="shared" si="58"/>
        <v>0</v>
      </c>
      <c r="S100" s="64">
        <f t="shared" si="58"/>
        <v>0</v>
      </c>
      <c r="T100" s="64">
        <f t="shared" si="58"/>
        <v>0</v>
      </c>
      <c r="U100" s="64">
        <f t="shared" si="58"/>
        <v>0</v>
      </c>
      <c r="V100" s="64">
        <f t="shared" si="58"/>
        <v>0</v>
      </c>
      <c r="W100" s="64">
        <f t="shared" si="58"/>
        <v>0</v>
      </c>
      <c r="X100" s="64">
        <f t="shared" si="58"/>
        <v>0</v>
      </c>
      <c r="Y100" s="64">
        <f t="shared" si="58"/>
        <v>0</v>
      </c>
      <c r="Z100" s="64">
        <f t="shared" si="58"/>
        <v>0</v>
      </c>
      <c r="AA100" s="64">
        <f t="shared" si="58"/>
        <v>0</v>
      </c>
      <c r="AB100" s="64">
        <f t="shared" si="58"/>
        <v>0</v>
      </c>
      <c r="AC100" s="64">
        <f t="shared" si="5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59">SUM(F88,F90,F92,F94,F96:F100,F80)</f>
        <v>37.620000000000005</v>
      </c>
      <c r="G101" s="61">
        <f t="shared" si="59"/>
        <v>35.380000000000003</v>
      </c>
      <c r="H101" s="61">
        <f t="shared" si="59"/>
        <v>35.31</v>
      </c>
      <c r="I101" s="61">
        <f t="shared" si="59"/>
        <v>33.86</v>
      </c>
      <c r="J101" s="61">
        <f t="shared" si="59"/>
        <v>33.270000000000003</v>
      </c>
      <c r="K101" s="61">
        <f t="shared" si="59"/>
        <v>33.430000000000007</v>
      </c>
      <c r="L101" s="61">
        <f t="shared" si="59"/>
        <v>34.72</v>
      </c>
      <c r="M101" s="61">
        <f t="shared" si="59"/>
        <v>36.04</v>
      </c>
      <c r="N101" s="61">
        <f t="shared" si="59"/>
        <v>39</v>
      </c>
      <c r="O101" s="61">
        <f t="shared" si="59"/>
        <v>45.330000000000005</v>
      </c>
      <c r="P101" s="61">
        <f t="shared" si="59"/>
        <v>51.140000000000008</v>
      </c>
      <c r="Q101" s="61">
        <f t="shared" si="59"/>
        <v>52.189999999999991</v>
      </c>
      <c r="R101" s="61">
        <f t="shared" si="59"/>
        <v>52.139999999999993</v>
      </c>
      <c r="S101" s="61">
        <f t="shared" si="59"/>
        <v>53.45</v>
      </c>
      <c r="T101" s="61">
        <f t="shared" si="59"/>
        <v>55.499999999999993</v>
      </c>
      <c r="U101" s="61">
        <f t="shared" si="59"/>
        <v>55.39</v>
      </c>
      <c r="V101" s="61">
        <f t="shared" si="59"/>
        <v>54.339999999999996</v>
      </c>
      <c r="W101" s="61">
        <f t="shared" si="59"/>
        <v>53.16</v>
      </c>
      <c r="X101" s="61">
        <f t="shared" si="59"/>
        <v>53.36999999999999</v>
      </c>
      <c r="Y101" s="61">
        <f t="shared" si="59"/>
        <v>56.97</v>
      </c>
      <c r="Z101" s="61">
        <f t="shared" si="59"/>
        <v>54.080000000000005</v>
      </c>
      <c r="AA101" s="61">
        <f t="shared" si="59"/>
        <v>52.49</v>
      </c>
      <c r="AB101" s="61">
        <f t="shared" si="59"/>
        <v>48.02000000000001</v>
      </c>
      <c r="AC101" s="61">
        <f t="shared" si="59"/>
        <v>44.47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>
        <f>4.38-2.57</f>
        <v>1.81</v>
      </c>
      <c r="G104" s="77">
        <f>4.38-2.57</f>
        <v>1.81</v>
      </c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60">SUM(F102:F104)</f>
        <v>1.81</v>
      </c>
      <c r="G105" s="61">
        <f t="shared" si="60"/>
        <v>1.81</v>
      </c>
      <c r="H105" s="61">
        <f t="shared" si="60"/>
        <v>0</v>
      </c>
      <c r="I105" s="61">
        <f t="shared" si="60"/>
        <v>0</v>
      </c>
      <c r="J105" s="61">
        <f t="shared" si="60"/>
        <v>0</v>
      </c>
      <c r="K105" s="61">
        <f t="shared" si="60"/>
        <v>0</v>
      </c>
      <c r="L105" s="61">
        <f t="shared" si="60"/>
        <v>0</v>
      </c>
      <c r="M105" s="61">
        <f t="shared" si="60"/>
        <v>0</v>
      </c>
      <c r="N105" s="61">
        <f t="shared" si="60"/>
        <v>0</v>
      </c>
      <c r="O105" s="61">
        <f t="shared" si="60"/>
        <v>0</v>
      </c>
      <c r="P105" s="61">
        <f t="shared" si="60"/>
        <v>0</v>
      </c>
      <c r="Q105" s="61">
        <f t="shared" si="60"/>
        <v>0</v>
      </c>
      <c r="R105" s="61">
        <f t="shared" si="60"/>
        <v>0</v>
      </c>
      <c r="S105" s="61">
        <f t="shared" si="60"/>
        <v>0</v>
      </c>
      <c r="T105" s="61">
        <f t="shared" si="60"/>
        <v>0</v>
      </c>
      <c r="U105" s="61">
        <f t="shared" si="60"/>
        <v>0</v>
      </c>
      <c r="V105" s="61">
        <f t="shared" si="60"/>
        <v>0</v>
      </c>
      <c r="W105" s="61">
        <f t="shared" si="60"/>
        <v>0</v>
      </c>
      <c r="X105" s="61">
        <f t="shared" si="60"/>
        <v>0</v>
      </c>
      <c r="Y105" s="61">
        <f t="shared" si="60"/>
        <v>0</v>
      </c>
      <c r="Z105" s="61">
        <f t="shared" si="60"/>
        <v>0</v>
      </c>
      <c r="AA105" s="61">
        <f t="shared" si="60"/>
        <v>0</v>
      </c>
      <c r="AB105" s="61">
        <f t="shared" si="60"/>
        <v>0</v>
      </c>
      <c r="AC105" s="61">
        <f t="shared" si="6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61">F101+F105</f>
        <v>39.430000000000007</v>
      </c>
      <c r="G106" s="62">
        <f t="shared" si="61"/>
        <v>37.190000000000005</v>
      </c>
      <c r="H106" s="62">
        <f t="shared" si="61"/>
        <v>35.31</v>
      </c>
      <c r="I106" s="62">
        <f t="shared" si="61"/>
        <v>33.86</v>
      </c>
      <c r="J106" s="62">
        <f t="shared" si="61"/>
        <v>33.270000000000003</v>
      </c>
      <c r="K106" s="62">
        <f t="shared" si="61"/>
        <v>33.430000000000007</v>
      </c>
      <c r="L106" s="62">
        <f t="shared" si="61"/>
        <v>34.72</v>
      </c>
      <c r="M106" s="62">
        <f t="shared" si="61"/>
        <v>36.04</v>
      </c>
      <c r="N106" s="62">
        <f t="shared" si="61"/>
        <v>39</v>
      </c>
      <c r="O106" s="62">
        <f t="shared" si="61"/>
        <v>45.330000000000005</v>
      </c>
      <c r="P106" s="62">
        <f t="shared" si="61"/>
        <v>51.140000000000008</v>
      </c>
      <c r="Q106" s="62">
        <f t="shared" si="61"/>
        <v>52.189999999999991</v>
      </c>
      <c r="R106" s="62">
        <f t="shared" si="61"/>
        <v>52.139999999999993</v>
      </c>
      <c r="S106" s="62">
        <f t="shared" si="61"/>
        <v>53.45</v>
      </c>
      <c r="T106" s="62">
        <f t="shared" si="61"/>
        <v>55.499999999999993</v>
      </c>
      <c r="U106" s="62">
        <f t="shared" si="61"/>
        <v>55.39</v>
      </c>
      <c r="V106" s="62">
        <f t="shared" si="61"/>
        <v>54.339999999999996</v>
      </c>
      <c r="W106" s="62">
        <f t="shared" si="61"/>
        <v>53.16</v>
      </c>
      <c r="X106" s="62">
        <f t="shared" si="61"/>
        <v>53.36999999999999</v>
      </c>
      <c r="Y106" s="62">
        <f t="shared" si="61"/>
        <v>56.97</v>
      </c>
      <c r="Z106" s="62">
        <f t="shared" si="61"/>
        <v>54.080000000000005</v>
      </c>
      <c r="AA106" s="62">
        <f t="shared" si="61"/>
        <v>52.49</v>
      </c>
      <c r="AB106" s="62">
        <f t="shared" si="61"/>
        <v>48.02000000000001</v>
      </c>
      <c r="AC106" s="62">
        <f t="shared" si="61"/>
        <v>44.47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62">(COUNT(F13:F16))*7.2+(COUNT(F27:F28)*4.9)+(COUNT(F19:F21)*4.5)-F90-F92</f>
        <v>8.1000000000000014</v>
      </c>
      <c r="G107" s="63">
        <f t="shared" si="62"/>
        <v>3.4000000000000012</v>
      </c>
      <c r="H107" s="63">
        <f t="shared" si="62"/>
        <v>3.2</v>
      </c>
      <c r="I107" s="63">
        <f t="shared" si="62"/>
        <v>3.3000000000000007</v>
      </c>
      <c r="J107" s="63">
        <f t="shared" si="62"/>
        <v>3.1000000000000014</v>
      </c>
      <c r="K107" s="63">
        <f t="shared" si="62"/>
        <v>3.0000000000000013</v>
      </c>
      <c r="L107" s="63">
        <f t="shared" si="62"/>
        <v>10.100000000000001</v>
      </c>
      <c r="M107" s="63">
        <f t="shared" si="62"/>
        <v>3.1</v>
      </c>
      <c r="N107" s="63">
        <f t="shared" si="62"/>
        <v>2.5</v>
      </c>
      <c r="O107" s="63">
        <f t="shared" si="62"/>
        <v>6.4</v>
      </c>
      <c r="P107" s="63">
        <f t="shared" si="62"/>
        <v>8.7000000000000028</v>
      </c>
      <c r="Q107" s="63">
        <f t="shared" si="62"/>
        <v>9.1000000000000014</v>
      </c>
      <c r="R107" s="63">
        <f t="shared" si="62"/>
        <v>8.1000000000000032</v>
      </c>
      <c r="S107" s="63">
        <f t="shared" si="62"/>
        <v>7.1000000000000032</v>
      </c>
      <c r="T107" s="63">
        <f t="shared" si="62"/>
        <v>7.9000000000000039</v>
      </c>
      <c r="U107" s="63">
        <f t="shared" si="62"/>
        <v>8.5000000000000089</v>
      </c>
      <c r="V107" s="63">
        <f t="shared" si="62"/>
        <v>11.500000000000002</v>
      </c>
      <c r="W107" s="63">
        <f t="shared" si="62"/>
        <v>11.400000000000002</v>
      </c>
      <c r="X107" s="63">
        <f t="shared" si="62"/>
        <v>11.3</v>
      </c>
      <c r="Y107" s="63">
        <f t="shared" si="62"/>
        <v>10.700000000000001</v>
      </c>
      <c r="Z107" s="63">
        <f t="shared" si="62"/>
        <v>11</v>
      </c>
      <c r="AA107" s="63">
        <f t="shared" si="62"/>
        <v>11.800000000000002</v>
      </c>
      <c r="AB107" s="63">
        <f t="shared" si="62"/>
        <v>10.300000000000008</v>
      </c>
      <c r="AC107" s="63">
        <f t="shared" si="62"/>
        <v>12.500000000000005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6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5.1999999999999993</v>
      </c>
      <c r="G108" s="206">
        <f t="shared" si="63"/>
        <v>2.7000000000000011</v>
      </c>
      <c r="H108" s="206">
        <f t="shared" si="63"/>
        <v>2.5</v>
      </c>
      <c r="I108" s="206">
        <f t="shared" si="63"/>
        <v>2.9000000000000004</v>
      </c>
      <c r="J108" s="206">
        <f t="shared" si="63"/>
        <v>3.2000000000000011</v>
      </c>
      <c r="K108" s="206">
        <f t="shared" si="63"/>
        <v>2.5000000000000013</v>
      </c>
      <c r="L108" s="206">
        <f t="shared" si="63"/>
        <v>9.4000000000000021</v>
      </c>
      <c r="M108" s="206">
        <f t="shared" si="63"/>
        <v>2.3999999999999995</v>
      </c>
      <c r="N108" s="206">
        <f t="shared" si="63"/>
        <v>1.7999999999999998</v>
      </c>
      <c r="O108" s="206">
        <f t="shared" si="63"/>
        <v>2.4000000000000004</v>
      </c>
      <c r="P108" s="206">
        <f t="shared" si="63"/>
        <v>4.7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6.5000000000000009</v>
      </c>
      <c r="R108" s="206">
        <f t="shared" ref="R108:AC108" si="6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4.7</v>
      </c>
      <c r="S108" s="206">
        <f t="shared" si="64"/>
        <v>3.7000000000000011</v>
      </c>
      <c r="T108" s="206">
        <f t="shared" si="64"/>
        <v>4.5000000000000018</v>
      </c>
      <c r="U108" s="206">
        <f t="shared" si="64"/>
        <v>5.1000000000000059</v>
      </c>
      <c r="V108" s="206">
        <f t="shared" si="64"/>
        <v>8.1000000000000014</v>
      </c>
      <c r="W108" s="206">
        <f t="shared" si="64"/>
        <v>8</v>
      </c>
      <c r="X108" s="206">
        <f t="shared" si="64"/>
        <v>7.8999999999999995</v>
      </c>
      <c r="Y108" s="206">
        <f t="shared" si="64"/>
        <v>7.6000000000000014</v>
      </c>
      <c r="Z108" s="206">
        <f t="shared" si="64"/>
        <v>7.8999999999999986</v>
      </c>
      <c r="AA108" s="206">
        <f t="shared" si="64"/>
        <v>8.4000000000000021</v>
      </c>
      <c r="AB108" s="206">
        <f t="shared" si="64"/>
        <v>6.900000000000003</v>
      </c>
      <c r="AC108" s="206">
        <f t="shared" si="64"/>
        <v>9.1000000000000014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60.16</v>
      </c>
      <c r="G109" s="75">
        <v>60.13</v>
      </c>
      <c r="H109" s="75">
        <v>60.12</v>
      </c>
      <c r="I109" s="75">
        <v>60.17</v>
      </c>
      <c r="J109" s="75">
        <v>60.21</v>
      </c>
      <c r="K109" s="75">
        <v>60.12</v>
      </c>
      <c r="L109" s="75">
        <v>60.17</v>
      </c>
      <c r="M109" s="75">
        <v>60.17</v>
      </c>
      <c r="N109" s="75">
        <v>60.13</v>
      </c>
      <c r="O109" s="75">
        <v>60.06</v>
      </c>
      <c r="P109" s="84">
        <v>60.17</v>
      </c>
      <c r="Q109" s="84">
        <v>60.25</v>
      </c>
      <c r="R109" s="84">
        <v>60.19</v>
      </c>
      <c r="S109" s="84">
        <v>60.13</v>
      </c>
      <c r="T109" s="84">
        <v>60.16</v>
      </c>
      <c r="U109" s="75">
        <v>60.18</v>
      </c>
      <c r="V109" s="75">
        <v>60.21</v>
      </c>
      <c r="W109" s="75">
        <v>60.23</v>
      </c>
      <c r="X109" s="75">
        <v>60.29</v>
      </c>
      <c r="Y109" s="75">
        <v>60.33</v>
      </c>
      <c r="Z109" s="75">
        <v>60.19</v>
      </c>
      <c r="AA109" s="75">
        <v>60.27</v>
      </c>
      <c r="AB109" s="75">
        <v>60.21</v>
      </c>
      <c r="AC109" s="75">
        <v>60.32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65">SUM(G117:G124)</f>
        <v>0</v>
      </c>
      <c r="H125" s="44">
        <f t="shared" si="65"/>
        <v>0</v>
      </c>
      <c r="I125" s="44">
        <f t="shared" si="65"/>
        <v>0</v>
      </c>
      <c r="J125" s="44">
        <f t="shared" si="65"/>
        <v>0</v>
      </c>
      <c r="K125" s="44">
        <f t="shared" si="65"/>
        <v>0</v>
      </c>
      <c r="L125" s="44">
        <f t="shared" si="65"/>
        <v>0</v>
      </c>
      <c r="M125" s="44">
        <f t="shared" si="65"/>
        <v>0</v>
      </c>
      <c r="N125" s="44">
        <f t="shared" si="65"/>
        <v>0</v>
      </c>
      <c r="O125" s="44">
        <f t="shared" si="65"/>
        <v>0</v>
      </c>
      <c r="P125" s="44">
        <f t="shared" si="65"/>
        <v>0</v>
      </c>
      <c r="Q125" s="44">
        <f t="shared" si="65"/>
        <v>0</v>
      </c>
      <c r="R125" s="44">
        <f t="shared" si="65"/>
        <v>0</v>
      </c>
      <c r="S125" s="44">
        <f t="shared" si="65"/>
        <v>0</v>
      </c>
      <c r="T125" s="44">
        <f t="shared" si="65"/>
        <v>0</v>
      </c>
      <c r="U125" s="44">
        <f t="shared" si="65"/>
        <v>0</v>
      </c>
      <c r="V125" s="44">
        <f t="shared" si="65"/>
        <v>0</v>
      </c>
      <c r="W125" s="44">
        <f t="shared" si="65"/>
        <v>0</v>
      </c>
      <c r="X125" s="44">
        <f t="shared" si="65"/>
        <v>0</v>
      </c>
      <c r="Y125" s="44">
        <f t="shared" si="65"/>
        <v>0</v>
      </c>
      <c r="Z125" s="44">
        <f t="shared" si="65"/>
        <v>0</v>
      </c>
      <c r="AA125" s="44">
        <f t="shared" si="65"/>
        <v>0</v>
      </c>
      <c r="AB125" s="44">
        <f t="shared" si="65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9025" priority="1551" operator="greaterThan">
      <formula>60.3</formula>
    </cfRule>
  </conditionalFormatting>
  <conditionalFormatting sqref="G53:G55 J56:L56 I13:K14 I57:L58 K15 I15:J16 I53:I56 I40:I50 N51:O52 L13:Q15 M56:O58 I66:S66 I27:AC28 I20:AC21 I74:J74 J35:O50 I67:J72 K16:Q16 I77:AC78 J53:O55 O47:P47 K67:S74 P35:AC58 R13:AC16 J24:AC24 N61:AC63 T66:AC74">
    <cfRule type="cellIs" dxfId="19024" priority="1543" operator="equal">
      <formula>"PMS"</formula>
    </cfRule>
    <cfRule type="containsText" dxfId="19023" priority="1544" operator="containsText" text="CMS">
      <formula>NOT(ISERROR(SEARCH("CMS",G13)))</formula>
    </cfRule>
    <cfRule type="cellIs" dxfId="19022" priority="1545" operator="equal">
      <formula>0</formula>
    </cfRule>
    <cfRule type="cellIs" dxfId="19021" priority="1546" operator="greaterThan">
      <formula>0</formula>
    </cfRule>
    <cfRule type="cellIs" dxfId="19020" priority="1547" operator="equal">
      <formula>"PMS"</formula>
    </cfRule>
    <cfRule type="containsText" dxfId="19019" priority="1548" operator="containsText" text="CMS">
      <formula>NOT(ISERROR(SEARCH("CMS",G13)))</formula>
    </cfRule>
    <cfRule type="cellIs" dxfId="19018" priority="1549" operator="equal">
      <formula>0</formula>
    </cfRule>
    <cfRule type="cellIs" dxfId="19017" priority="1550" operator="greaterThan">
      <formula>0</formula>
    </cfRule>
  </conditionalFormatting>
  <conditionalFormatting sqref="O77:AC78 O61:AC63 O66:AC74">
    <cfRule type="cellIs" dxfId="19016" priority="1539" operator="equal">
      <formula>"PMS"</formula>
    </cfRule>
    <cfRule type="containsText" dxfId="19015" priority="1540" operator="containsText" text="CMS">
      <formula>NOT(ISERROR(SEARCH("CMS",O61)))</formula>
    </cfRule>
    <cfRule type="cellIs" dxfId="19014" priority="1541" operator="equal">
      <formula>0</formula>
    </cfRule>
    <cfRule type="cellIs" dxfId="19013" priority="1542" operator="greaterThan">
      <formula>0</formula>
    </cfRule>
  </conditionalFormatting>
  <conditionalFormatting sqref="P66:AC74">
    <cfRule type="cellIs" dxfId="19012" priority="1535" operator="equal">
      <formula>"PMS"</formula>
    </cfRule>
    <cfRule type="containsText" dxfId="19011" priority="1536" operator="containsText" text="CMS">
      <formula>NOT(ISERROR(SEARCH("CMS",P66)))</formula>
    </cfRule>
    <cfRule type="cellIs" dxfId="19010" priority="1537" operator="equal">
      <formula>0</formula>
    </cfRule>
    <cfRule type="cellIs" dxfId="19009" priority="1538" operator="greaterThan">
      <formula>0</formula>
    </cfRule>
  </conditionalFormatting>
  <conditionalFormatting sqref="O13:AC16">
    <cfRule type="cellIs" dxfId="19008" priority="1531" operator="equal">
      <formula>"PMS"</formula>
    </cfRule>
    <cfRule type="containsText" dxfId="19007" priority="1532" operator="containsText" text="CMS">
      <formula>NOT(ISERROR(SEARCH("CMS",O13)))</formula>
    </cfRule>
    <cfRule type="cellIs" dxfId="19006" priority="1533" operator="equal">
      <formula>0</formula>
    </cfRule>
    <cfRule type="cellIs" dxfId="19005" priority="1534" operator="greaterThan">
      <formula>0</formula>
    </cfRule>
  </conditionalFormatting>
  <conditionalFormatting sqref="P13:AC16">
    <cfRule type="cellIs" dxfId="19004" priority="1527" operator="equal">
      <formula>"PMS"</formula>
    </cfRule>
    <cfRule type="containsText" dxfId="19003" priority="1528" operator="containsText" text="CMS">
      <formula>NOT(ISERROR(SEARCH("CMS",P13)))</formula>
    </cfRule>
    <cfRule type="cellIs" dxfId="19002" priority="1529" operator="equal">
      <formula>0</formula>
    </cfRule>
    <cfRule type="cellIs" dxfId="19001" priority="1530" operator="greaterThan">
      <formula>0</formula>
    </cfRule>
  </conditionalFormatting>
  <conditionalFormatting sqref="O20:AC21">
    <cfRule type="cellIs" dxfId="19000" priority="1523" operator="equal">
      <formula>"PMS"</formula>
    </cfRule>
    <cfRule type="containsText" dxfId="18999" priority="1524" operator="containsText" text="CMS">
      <formula>NOT(ISERROR(SEARCH("CMS",O20)))</formula>
    </cfRule>
    <cfRule type="cellIs" dxfId="18998" priority="1525" operator="equal">
      <formula>0</formula>
    </cfRule>
    <cfRule type="cellIs" dxfId="18997" priority="1526" operator="greaterThan">
      <formula>0</formula>
    </cfRule>
  </conditionalFormatting>
  <conditionalFormatting sqref="P20:AC21">
    <cfRule type="cellIs" dxfId="18996" priority="1519" operator="equal">
      <formula>"PMS"</formula>
    </cfRule>
    <cfRule type="containsText" dxfId="18995" priority="1520" operator="containsText" text="CMS">
      <formula>NOT(ISERROR(SEARCH("CMS",P20)))</formula>
    </cfRule>
    <cfRule type="cellIs" dxfId="18994" priority="1521" operator="equal">
      <formula>0</formula>
    </cfRule>
    <cfRule type="cellIs" dxfId="18993" priority="1522" operator="greaterThan">
      <formula>0</formula>
    </cfRule>
  </conditionalFormatting>
  <conditionalFormatting sqref="O24:AC24">
    <cfRule type="cellIs" dxfId="18992" priority="1515" operator="equal">
      <formula>"PMS"</formula>
    </cfRule>
    <cfRule type="containsText" dxfId="18991" priority="1516" operator="containsText" text="CMS">
      <formula>NOT(ISERROR(SEARCH("CMS",O24)))</formula>
    </cfRule>
    <cfRule type="cellIs" dxfId="18990" priority="1517" operator="equal">
      <formula>0</formula>
    </cfRule>
    <cfRule type="cellIs" dxfId="18989" priority="1518" operator="greaterThan">
      <formula>0</formula>
    </cfRule>
  </conditionalFormatting>
  <conditionalFormatting sqref="P24:AC24">
    <cfRule type="cellIs" dxfId="18988" priority="1511" operator="equal">
      <formula>"PMS"</formula>
    </cfRule>
    <cfRule type="containsText" dxfId="18987" priority="1512" operator="containsText" text="CMS">
      <formula>NOT(ISERROR(SEARCH("CMS",P24)))</formula>
    </cfRule>
    <cfRule type="cellIs" dxfId="18986" priority="1513" operator="equal">
      <formula>0</formula>
    </cfRule>
    <cfRule type="cellIs" dxfId="18985" priority="1514" operator="greaterThan">
      <formula>0</formula>
    </cfRule>
  </conditionalFormatting>
  <conditionalFormatting sqref="O27:AC28">
    <cfRule type="cellIs" dxfId="18984" priority="1507" operator="equal">
      <formula>"PMS"</formula>
    </cfRule>
    <cfRule type="containsText" dxfId="18983" priority="1508" operator="containsText" text="CMS">
      <formula>NOT(ISERROR(SEARCH("CMS",O27)))</formula>
    </cfRule>
    <cfRule type="cellIs" dxfId="18982" priority="1509" operator="equal">
      <formula>0</formula>
    </cfRule>
    <cfRule type="cellIs" dxfId="18981" priority="1510" operator="greaterThan">
      <formula>0</formula>
    </cfRule>
  </conditionalFormatting>
  <conditionalFormatting sqref="P27:AC28">
    <cfRule type="cellIs" dxfId="18980" priority="1503" operator="equal">
      <formula>"PMS"</formula>
    </cfRule>
    <cfRule type="containsText" dxfId="18979" priority="1504" operator="containsText" text="CMS">
      <formula>NOT(ISERROR(SEARCH("CMS",P27)))</formula>
    </cfRule>
    <cfRule type="cellIs" dxfId="18978" priority="1505" operator="equal">
      <formula>0</formula>
    </cfRule>
    <cfRule type="cellIs" dxfId="18977" priority="1506" operator="greaterThan">
      <formula>0</formula>
    </cfRule>
  </conditionalFormatting>
  <conditionalFormatting sqref="P50 R50:S58 O53:Q58 O35:S49 T35:AC58">
    <cfRule type="cellIs" dxfId="18976" priority="1499" operator="equal">
      <formula>"PMS"</formula>
    </cfRule>
    <cfRule type="containsText" dxfId="18975" priority="1500" operator="containsText" text="CMS">
      <formula>NOT(ISERROR(SEARCH("CMS",O35)))</formula>
    </cfRule>
    <cfRule type="cellIs" dxfId="18974" priority="1501" operator="equal">
      <formula>0</formula>
    </cfRule>
    <cfRule type="cellIs" dxfId="18973" priority="1502" operator="greaterThan">
      <formula>0</formula>
    </cfRule>
  </conditionalFormatting>
  <conditionalFormatting sqref="O38:O49 P35:S49 P50 R50:S58 O53:Q58 O47:P47 T35:AC58">
    <cfRule type="cellIs" dxfId="18972" priority="1495" operator="equal">
      <formula>"PMS"</formula>
    </cfRule>
    <cfRule type="containsText" dxfId="18971" priority="1496" operator="containsText" text="CMS">
      <formula>NOT(ISERROR(SEARCH("CMS",O35)))</formula>
    </cfRule>
    <cfRule type="cellIs" dxfId="18970" priority="1497" operator="equal">
      <formula>0</formula>
    </cfRule>
    <cfRule type="cellIs" dxfId="18969" priority="1498" operator="greaterThan">
      <formula>0</formula>
    </cfRule>
  </conditionalFormatting>
  <conditionalFormatting sqref="W14:X16 W13:AC13 AC14:AC15 Z14:AB16">
    <cfRule type="cellIs" dxfId="18968" priority="1491" operator="equal">
      <formula>"PMS"</formula>
    </cfRule>
    <cfRule type="containsText" dxfId="18967" priority="1492" operator="containsText" text="CMS">
      <formula>NOT(ISERROR(SEARCH("CMS",W13)))</formula>
    </cfRule>
    <cfRule type="cellIs" dxfId="18966" priority="1493" operator="equal">
      <formula>0</formula>
    </cfRule>
    <cfRule type="cellIs" dxfId="18965" priority="1494" operator="greaterThan">
      <formula>0</formula>
    </cfRule>
  </conditionalFormatting>
  <conditionalFormatting sqref="W14:X16 W13:AC13 AC14:AC15 Z14:AB16">
    <cfRule type="cellIs" dxfId="18964" priority="1487" operator="equal">
      <formula>"PMS"</formula>
    </cfRule>
    <cfRule type="containsText" dxfId="18963" priority="1488" operator="containsText" text="CMS">
      <formula>NOT(ISERROR(SEARCH("CMS",W13)))</formula>
    </cfRule>
    <cfRule type="cellIs" dxfId="18962" priority="1489" operator="equal">
      <formula>0</formula>
    </cfRule>
    <cfRule type="cellIs" dxfId="18961" priority="1490" operator="greaterThan">
      <formula>0</formula>
    </cfRule>
  </conditionalFormatting>
  <conditionalFormatting sqref="X57:AC57">
    <cfRule type="cellIs" dxfId="18960" priority="1483" operator="equal">
      <formula>"PMS"</formula>
    </cfRule>
    <cfRule type="containsText" dxfId="18959" priority="1484" operator="containsText" text="CMS">
      <formula>NOT(ISERROR(SEARCH("CMS",X57)))</formula>
    </cfRule>
    <cfRule type="cellIs" dxfId="18958" priority="1485" operator="equal">
      <formula>0</formula>
    </cfRule>
    <cfRule type="cellIs" dxfId="18957" priority="1486" operator="greaterThan">
      <formula>0</formula>
    </cfRule>
  </conditionalFormatting>
  <conditionalFormatting sqref="X57:AC57">
    <cfRule type="cellIs" dxfId="18956" priority="1479" operator="equal">
      <formula>"PMS"</formula>
    </cfRule>
    <cfRule type="containsText" dxfId="18955" priority="1480" operator="containsText" text="CMS">
      <formula>NOT(ISERROR(SEARCH("CMS",X57)))</formula>
    </cfRule>
    <cfRule type="cellIs" dxfId="18954" priority="1481" operator="equal">
      <formula>0</formula>
    </cfRule>
    <cfRule type="cellIs" dxfId="18953" priority="1482" operator="greaterThan">
      <formula>0</formula>
    </cfRule>
  </conditionalFormatting>
  <conditionalFormatting sqref="X57:AC57">
    <cfRule type="cellIs" dxfId="18952" priority="1475" operator="equal">
      <formula>"PMS"</formula>
    </cfRule>
    <cfRule type="containsText" dxfId="18951" priority="1476" operator="containsText" text="CMS">
      <formula>NOT(ISERROR(SEARCH("CMS",X57)))</formula>
    </cfRule>
    <cfRule type="cellIs" dxfId="18950" priority="1477" operator="equal">
      <formula>0</formula>
    </cfRule>
    <cfRule type="cellIs" dxfId="18949" priority="1478" operator="greaterThan">
      <formula>0</formula>
    </cfRule>
  </conditionalFormatting>
  <conditionalFormatting sqref="X57:AC57">
    <cfRule type="cellIs" dxfId="18948" priority="1471" operator="equal">
      <formula>"PMS"</formula>
    </cfRule>
    <cfRule type="containsText" dxfId="18947" priority="1472" operator="containsText" text="CMS">
      <formula>NOT(ISERROR(SEARCH("CMS",X57)))</formula>
    </cfRule>
    <cfRule type="cellIs" dxfId="18946" priority="1473" operator="equal">
      <formula>0</formula>
    </cfRule>
    <cfRule type="cellIs" dxfId="18945" priority="1474" operator="greaterThan">
      <formula>0</formula>
    </cfRule>
  </conditionalFormatting>
  <conditionalFormatting sqref="AB58:AC58">
    <cfRule type="cellIs" dxfId="18944" priority="1467" operator="equal">
      <formula>"PMS"</formula>
    </cfRule>
    <cfRule type="containsText" dxfId="18943" priority="1468" operator="containsText" text="CMS">
      <formula>NOT(ISERROR(SEARCH("CMS",AB58)))</formula>
    </cfRule>
    <cfRule type="cellIs" dxfId="18942" priority="1469" operator="equal">
      <formula>0</formula>
    </cfRule>
    <cfRule type="cellIs" dxfId="18941" priority="1470" operator="greaterThan">
      <formula>0</formula>
    </cfRule>
  </conditionalFormatting>
  <conditionalFormatting sqref="AB58:AC58">
    <cfRule type="cellIs" dxfId="18940" priority="1463" operator="equal">
      <formula>"PMS"</formula>
    </cfRule>
    <cfRule type="containsText" dxfId="18939" priority="1464" operator="containsText" text="CMS">
      <formula>NOT(ISERROR(SEARCH("CMS",AB58)))</formula>
    </cfRule>
    <cfRule type="cellIs" dxfId="18938" priority="1465" operator="equal">
      <formula>0</formula>
    </cfRule>
    <cfRule type="cellIs" dxfId="18937" priority="1466" operator="greaterThan">
      <formula>0</formula>
    </cfRule>
  </conditionalFormatting>
  <conditionalFormatting sqref="AB58:AC58">
    <cfRule type="cellIs" dxfId="18936" priority="1459" operator="equal">
      <formula>"PMS"</formula>
    </cfRule>
    <cfRule type="containsText" dxfId="18935" priority="1460" operator="containsText" text="CMS">
      <formula>NOT(ISERROR(SEARCH("CMS",AB58)))</formula>
    </cfRule>
    <cfRule type="cellIs" dxfId="18934" priority="1461" operator="equal">
      <formula>0</formula>
    </cfRule>
    <cfRule type="cellIs" dxfId="18933" priority="1462" operator="greaterThan">
      <formula>0</formula>
    </cfRule>
  </conditionalFormatting>
  <conditionalFormatting sqref="AB58:AC58">
    <cfRule type="cellIs" dxfId="18932" priority="1455" operator="equal">
      <formula>"PMS"</formula>
    </cfRule>
    <cfRule type="containsText" dxfId="18931" priority="1456" operator="containsText" text="CMS">
      <formula>NOT(ISERROR(SEARCH("CMS",AB58)))</formula>
    </cfRule>
    <cfRule type="cellIs" dxfId="18930" priority="1457" operator="equal">
      <formula>0</formula>
    </cfRule>
    <cfRule type="cellIs" dxfId="18929" priority="1458" operator="greaterThan">
      <formula>0</formula>
    </cfRule>
  </conditionalFormatting>
  <conditionalFormatting sqref="AB78">
    <cfRule type="cellIs" dxfId="18928" priority="1451" operator="equal">
      <formula>"PMS"</formula>
    </cfRule>
    <cfRule type="containsText" dxfId="18927" priority="1452" operator="containsText" text="CMS">
      <formula>NOT(ISERROR(SEARCH("CMS",AB78)))</formula>
    </cfRule>
    <cfRule type="cellIs" dxfId="18926" priority="1453" operator="equal">
      <formula>0</formula>
    </cfRule>
    <cfRule type="cellIs" dxfId="18925" priority="1454" operator="greaterThan">
      <formula>0</formula>
    </cfRule>
  </conditionalFormatting>
  <conditionalFormatting sqref="AB78">
    <cfRule type="cellIs" dxfId="18924" priority="1447" operator="equal">
      <formula>"PMS"</formula>
    </cfRule>
    <cfRule type="containsText" dxfId="18923" priority="1448" operator="containsText" text="CMS">
      <formula>NOT(ISERROR(SEARCH("CMS",AB78)))</formula>
    </cfRule>
    <cfRule type="cellIs" dxfId="18922" priority="1449" operator="equal">
      <formula>0</formula>
    </cfRule>
    <cfRule type="cellIs" dxfId="18921" priority="1450" operator="greaterThan">
      <formula>0</formula>
    </cfRule>
  </conditionalFormatting>
  <conditionalFormatting sqref="O44:O49">
    <cfRule type="cellIs" dxfId="18920" priority="1443" operator="equal">
      <formula>"PMS"</formula>
    </cfRule>
    <cfRule type="containsText" dxfId="18919" priority="1444" operator="containsText" text="CMS">
      <formula>NOT(ISERROR(SEARCH("CMS",O44)))</formula>
    </cfRule>
    <cfRule type="cellIs" dxfId="18918" priority="1445" operator="equal">
      <formula>0</formula>
    </cfRule>
    <cfRule type="cellIs" dxfId="18917" priority="1446" operator="greaterThan">
      <formula>0</formula>
    </cfRule>
  </conditionalFormatting>
  <conditionalFormatting sqref="P56 O54:O56">
    <cfRule type="cellIs" dxfId="18916" priority="1439" operator="equal">
      <formula>"PMS"</formula>
    </cfRule>
    <cfRule type="containsText" dxfId="18915" priority="1440" operator="containsText" text="CMS">
      <formula>NOT(ISERROR(SEARCH("CMS",O54)))</formula>
    </cfRule>
    <cfRule type="cellIs" dxfId="18914" priority="1441" operator="equal">
      <formula>0</formula>
    </cfRule>
    <cfRule type="cellIs" dxfId="18913" priority="1442" operator="greaterThan">
      <formula>0</formula>
    </cfRule>
  </conditionalFormatting>
  <conditionalFormatting sqref="O49">
    <cfRule type="cellIs" dxfId="18912" priority="1435" operator="equal">
      <formula>"PMS"</formula>
    </cfRule>
    <cfRule type="containsText" dxfId="18911" priority="1436" operator="containsText" text="CMS">
      <formula>NOT(ISERROR(SEARCH("CMS",O49)))</formula>
    </cfRule>
    <cfRule type="cellIs" dxfId="18910" priority="1437" operator="equal">
      <formula>0</formula>
    </cfRule>
    <cfRule type="cellIs" dxfId="18909" priority="1438" operator="greaterThan">
      <formula>0</formula>
    </cfRule>
  </conditionalFormatting>
  <conditionalFormatting sqref="P56 O54:O57">
    <cfRule type="cellIs" dxfId="18908" priority="1431" operator="equal">
      <formula>"PMS"</formula>
    </cfRule>
    <cfRule type="containsText" dxfId="18907" priority="1432" operator="containsText" text="CMS">
      <formula>NOT(ISERROR(SEARCH("CMS",O54)))</formula>
    </cfRule>
    <cfRule type="cellIs" dxfId="18906" priority="1433" operator="equal">
      <formula>0</formula>
    </cfRule>
    <cfRule type="cellIs" dxfId="18905" priority="1434" operator="greaterThan">
      <formula>0</formula>
    </cfRule>
  </conditionalFormatting>
  <conditionalFormatting sqref="Q24:V24">
    <cfRule type="cellIs" dxfId="18904" priority="1427" operator="equal">
      <formula>"PMS"</formula>
    </cfRule>
    <cfRule type="containsText" dxfId="18903" priority="1428" operator="containsText" text="CMS">
      <formula>NOT(ISERROR(SEARCH("CMS",Q24)))</formula>
    </cfRule>
    <cfRule type="cellIs" dxfId="18902" priority="1429" operator="equal">
      <formula>0</formula>
    </cfRule>
    <cfRule type="cellIs" dxfId="18901" priority="1430" operator="greaterThan">
      <formula>0</formula>
    </cfRule>
  </conditionalFormatting>
  <conditionalFormatting sqref="Q24:V24">
    <cfRule type="cellIs" dxfId="18900" priority="1423" operator="equal">
      <formula>"PMS"</formula>
    </cfRule>
    <cfRule type="containsText" dxfId="18899" priority="1424" operator="containsText" text="CMS">
      <formula>NOT(ISERROR(SEARCH("CMS",Q24)))</formula>
    </cfRule>
    <cfRule type="cellIs" dxfId="18898" priority="1425" operator="equal">
      <formula>0</formula>
    </cfRule>
    <cfRule type="cellIs" dxfId="18897" priority="1426" operator="greaterThan">
      <formula>0</formula>
    </cfRule>
  </conditionalFormatting>
  <conditionalFormatting sqref="Q27:V28">
    <cfRule type="cellIs" dxfId="18896" priority="1419" operator="equal">
      <formula>"PMS"</formula>
    </cfRule>
    <cfRule type="containsText" dxfId="18895" priority="1420" operator="containsText" text="CMS">
      <formula>NOT(ISERROR(SEARCH("CMS",Q27)))</formula>
    </cfRule>
    <cfRule type="cellIs" dxfId="18894" priority="1421" operator="equal">
      <formula>0</formula>
    </cfRule>
    <cfRule type="cellIs" dxfId="18893" priority="1422" operator="greaterThan">
      <formula>0</formula>
    </cfRule>
  </conditionalFormatting>
  <conditionalFormatting sqref="Q27:V28">
    <cfRule type="cellIs" dxfId="18892" priority="1415" operator="equal">
      <formula>"PMS"</formula>
    </cfRule>
    <cfRule type="containsText" dxfId="18891" priority="1416" operator="containsText" text="CMS">
      <formula>NOT(ISERROR(SEARCH("CMS",Q27)))</formula>
    </cfRule>
    <cfRule type="cellIs" dxfId="18890" priority="1417" operator="equal">
      <formula>0</formula>
    </cfRule>
    <cfRule type="cellIs" dxfId="18889" priority="1418" operator="greaterThan">
      <formula>0</formula>
    </cfRule>
  </conditionalFormatting>
  <conditionalFormatting sqref="R27:V28">
    <cfRule type="cellIs" dxfId="18888" priority="1411" operator="equal">
      <formula>"PMS"</formula>
    </cfRule>
    <cfRule type="containsText" dxfId="18887" priority="1412" operator="containsText" text="CMS">
      <formula>NOT(ISERROR(SEARCH("CMS",R27)))</formula>
    </cfRule>
    <cfRule type="cellIs" dxfId="18886" priority="1413" operator="equal">
      <formula>0</formula>
    </cfRule>
    <cfRule type="cellIs" dxfId="18885" priority="1414" operator="greaterThan">
      <formula>0</formula>
    </cfRule>
  </conditionalFormatting>
  <conditionalFormatting sqref="R27:V28">
    <cfRule type="cellIs" dxfId="18884" priority="1407" operator="equal">
      <formula>"PMS"</formula>
    </cfRule>
    <cfRule type="containsText" dxfId="18883" priority="1408" operator="containsText" text="CMS">
      <formula>NOT(ISERROR(SEARCH("CMS",R27)))</formula>
    </cfRule>
    <cfRule type="cellIs" dxfId="18882" priority="1409" operator="equal">
      <formula>0</formula>
    </cfRule>
    <cfRule type="cellIs" dxfId="18881" priority="1410" operator="greaterThan">
      <formula>0</formula>
    </cfRule>
  </conditionalFormatting>
  <conditionalFormatting sqref="P56 O54:O56">
    <cfRule type="cellIs" dxfId="18880" priority="1403" operator="equal">
      <formula>"PMS"</formula>
    </cfRule>
    <cfRule type="containsText" dxfId="18879" priority="1404" operator="containsText" text="CMS">
      <formula>NOT(ISERROR(SEARCH("CMS",O54)))</formula>
    </cfRule>
    <cfRule type="cellIs" dxfId="18878" priority="1405" operator="equal">
      <formula>0</formula>
    </cfRule>
    <cfRule type="cellIs" dxfId="18877" priority="1406" operator="greaterThan">
      <formula>0</formula>
    </cfRule>
  </conditionalFormatting>
  <conditionalFormatting sqref="O44:O45">
    <cfRule type="cellIs" dxfId="18876" priority="1399" operator="equal">
      <formula>"PMS"</formula>
    </cfRule>
    <cfRule type="containsText" dxfId="18875" priority="1400" operator="containsText" text="CMS">
      <formula>NOT(ISERROR(SEARCH("CMS",O44)))</formula>
    </cfRule>
    <cfRule type="cellIs" dxfId="18874" priority="1401" operator="equal">
      <formula>0</formula>
    </cfRule>
    <cfRule type="cellIs" dxfId="18873" priority="1402" operator="greaterThan">
      <formula>0</formula>
    </cfRule>
  </conditionalFormatting>
  <conditionalFormatting sqref="O44:O45">
    <cfRule type="cellIs" dxfId="18872" priority="1395" operator="equal">
      <formula>"PMS"</formula>
    </cfRule>
    <cfRule type="containsText" dxfId="18871" priority="1396" operator="containsText" text="CMS">
      <formula>NOT(ISERROR(SEARCH("CMS",O44)))</formula>
    </cfRule>
    <cfRule type="cellIs" dxfId="18870" priority="1397" operator="equal">
      <formula>0</formula>
    </cfRule>
    <cfRule type="cellIs" dxfId="18869" priority="1398" operator="greaterThan">
      <formula>0</formula>
    </cfRule>
  </conditionalFormatting>
  <conditionalFormatting sqref="O44:O45">
    <cfRule type="cellIs" dxfId="18868" priority="1391" operator="equal">
      <formula>"PMS"</formula>
    </cfRule>
    <cfRule type="containsText" dxfId="18867" priority="1392" operator="containsText" text="CMS">
      <formula>NOT(ISERROR(SEARCH("CMS",O44)))</formula>
    </cfRule>
    <cfRule type="cellIs" dxfId="18866" priority="1393" operator="equal">
      <formula>0</formula>
    </cfRule>
    <cfRule type="cellIs" dxfId="18865" priority="1394" operator="greaterThan">
      <formula>0</formula>
    </cfRule>
  </conditionalFormatting>
  <conditionalFormatting sqref="O46">
    <cfRule type="cellIs" dxfId="18864" priority="1387" operator="equal">
      <formula>"PMS"</formula>
    </cfRule>
    <cfRule type="containsText" dxfId="18863" priority="1388" operator="containsText" text="CMS">
      <formula>NOT(ISERROR(SEARCH("CMS",O46)))</formula>
    </cfRule>
    <cfRule type="cellIs" dxfId="18862" priority="1389" operator="equal">
      <formula>0</formula>
    </cfRule>
    <cfRule type="cellIs" dxfId="18861" priority="1390" operator="greaterThan">
      <formula>0</formula>
    </cfRule>
  </conditionalFormatting>
  <conditionalFormatting sqref="O46">
    <cfRule type="cellIs" dxfId="18860" priority="1383" operator="equal">
      <formula>"PMS"</formula>
    </cfRule>
    <cfRule type="containsText" dxfId="18859" priority="1384" operator="containsText" text="CMS">
      <formula>NOT(ISERROR(SEARCH("CMS",O46)))</formula>
    </cfRule>
    <cfRule type="cellIs" dxfId="18858" priority="1385" operator="equal">
      <formula>0</formula>
    </cfRule>
    <cfRule type="cellIs" dxfId="18857" priority="1386" operator="greaterThan">
      <formula>0</formula>
    </cfRule>
  </conditionalFormatting>
  <conditionalFormatting sqref="O46">
    <cfRule type="cellIs" dxfId="18856" priority="1379" operator="equal">
      <formula>"PMS"</formula>
    </cfRule>
    <cfRule type="containsText" dxfId="18855" priority="1380" operator="containsText" text="CMS">
      <formula>NOT(ISERROR(SEARCH("CMS",O46)))</formula>
    </cfRule>
    <cfRule type="cellIs" dxfId="18854" priority="1381" operator="equal">
      <formula>0</formula>
    </cfRule>
    <cfRule type="cellIs" dxfId="18853" priority="1382" operator="greaterThan">
      <formula>0</formula>
    </cfRule>
  </conditionalFormatting>
  <conditionalFormatting sqref="J19:AC19">
    <cfRule type="cellIs" dxfId="18852" priority="1375" operator="equal">
      <formula>"CMS"</formula>
    </cfRule>
    <cfRule type="cellIs" dxfId="18851" priority="1376" operator="equal">
      <formula>"PMS"</formula>
    </cfRule>
    <cfRule type="cellIs" dxfId="18850" priority="1377" operator="greaterThan">
      <formula>0</formula>
    </cfRule>
    <cfRule type="cellIs" dxfId="18849" priority="1378" operator="equal">
      <formula>0</formula>
    </cfRule>
  </conditionalFormatting>
  <conditionalFormatting sqref="G62:G63">
    <cfRule type="cellIs" dxfId="18848" priority="1371" operator="equal">
      <formula>"CMS"</formula>
    </cfRule>
    <cfRule type="cellIs" dxfId="18847" priority="1372" operator="equal">
      <formula>"PMS"</formula>
    </cfRule>
    <cfRule type="cellIs" dxfId="18846" priority="1373" operator="greaterThan">
      <formula>0</formula>
    </cfRule>
    <cfRule type="cellIs" dxfId="18845" priority="1374" operator="equal">
      <formula>0</formula>
    </cfRule>
  </conditionalFormatting>
  <conditionalFormatting sqref="G77">
    <cfRule type="cellIs" dxfId="18844" priority="1366" operator="equal">
      <formula>"EOC"</formula>
    </cfRule>
    <cfRule type="cellIs" dxfId="18843" priority="1367" operator="equal">
      <formula>"CMS"</formula>
    </cfRule>
    <cfRule type="cellIs" dxfId="18842" priority="1368" operator="equal">
      <formula>"PMS"</formula>
    </cfRule>
    <cfRule type="cellIs" dxfId="18841" priority="1369" operator="greaterThan">
      <formula>0</formula>
    </cfRule>
    <cfRule type="cellIs" dxfId="18840" priority="1370" operator="equal">
      <formula>0</formula>
    </cfRule>
  </conditionalFormatting>
  <conditionalFormatting sqref="F109">
    <cfRule type="cellIs" dxfId="18839" priority="1365" operator="greaterThan">
      <formula>60.3</formula>
    </cfRule>
  </conditionalFormatting>
  <conditionalFormatting sqref="G36:G44 G50 G47">
    <cfRule type="cellIs" dxfId="18838" priority="1357" operator="equal">
      <formula>"PMS"</formula>
    </cfRule>
    <cfRule type="containsText" dxfId="18837" priority="1358" operator="containsText" text="CMS">
      <formula>NOT(ISERROR(SEARCH("CMS",G36)))</formula>
    </cfRule>
    <cfRule type="cellIs" dxfId="18836" priority="1359" operator="equal">
      <formula>0</formula>
    </cfRule>
    <cfRule type="cellIs" dxfId="18835" priority="1360" operator="greaterThan">
      <formula>0</formula>
    </cfRule>
    <cfRule type="cellIs" dxfId="18834" priority="1361" operator="equal">
      <formula>"PMS"</formula>
    </cfRule>
    <cfRule type="containsText" dxfId="18833" priority="1362" operator="containsText" text="CMS">
      <formula>NOT(ISERROR(SEARCH("CMS",G36)))</formula>
    </cfRule>
    <cfRule type="cellIs" dxfId="18832" priority="1363" operator="equal">
      <formula>0</formula>
    </cfRule>
    <cfRule type="cellIs" dxfId="18831" priority="1364" operator="greaterThan">
      <formula>0</formula>
    </cfRule>
  </conditionalFormatting>
  <conditionalFormatting sqref="G36:G44 G50 G47">
    <cfRule type="cellIs" dxfId="18830" priority="1353" operator="equal">
      <formula>"PMS"</formula>
    </cfRule>
    <cfRule type="containsText" dxfId="18829" priority="1354" operator="containsText" text="CMS">
      <formula>NOT(ISERROR(SEARCH("CMS",G36)))</formula>
    </cfRule>
    <cfRule type="cellIs" dxfId="18828" priority="1355" operator="equal">
      <formula>0</formula>
    </cfRule>
    <cfRule type="cellIs" dxfId="18827" priority="1356" operator="greaterThan">
      <formula>0</formula>
    </cfRule>
  </conditionalFormatting>
  <conditionalFormatting sqref="G36:G44 G50 G47">
    <cfRule type="cellIs" dxfId="18826" priority="1349" operator="equal">
      <formula>"PMS"</formula>
    </cfRule>
    <cfRule type="containsText" dxfId="18825" priority="1350" operator="containsText" text="CMS">
      <formula>NOT(ISERROR(SEARCH("CMS",G36)))</formula>
    </cfRule>
    <cfRule type="cellIs" dxfId="18824" priority="1351" operator="equal">
      <formula>0</formula>
    </cfRule>
    <cfRule type="cellIs" dxfId="18823" priority="1352" operator="greaterThan">
      <formula>0</formula>
    </cfRule>
  </conditionalFormatting>
  <conditionalFormatting sqref="I36:I39">
    <cfRule type="cellIs" dxfId="18822" priority="1341" operator="equal">
      <formula>"PMS"</formula>
    </cfRule>
    <cfRule type="containsText" dxfId="18821" priority="1342" operator="containsText" text="CMS">
      <formula>NOT(ISERROR(SEARCH("CMS",I36)))</formula>
    </cfRule>
    <cfRule type="cellIs" dxfId="18820" priority="1343" operator="equal">
      <formula>0</formula>
    </cfRule>
    <cfRule type="cellIs" dxfId="18819" priority="1344" operator="greaterThan">
      <formula>0</formula>
    </cfRule>
    <cfRule type="cellIs" dxfId="18818" priority="1345" operator="equal">
      <formula>"PMS"</formula>
    </cfRule>
    <cfRule type="containsText" dxfId="18817" priority="1346" operator="containsText" text="CMS">
      <formula>NOT(ISERROR(SEARCH("CMS",I36)))</formula>
    </cfRule>
    <cfRule type="cellIs" dxfId="18816" priority="1347" operator="equal">
      <formula>0</formula>
    </cfRule>
    <cfRule type="cellIs" dxfId="18815" priority="1348" operator="greaterThan">
      <formula>0</formula>
    </cfRule>
  </conditionalFormatting>
  <conditionalFormatting sqref="I36:I39">
    <cfRule type="cellIs" dxfId="18814" priority="1337" operator="equal">
      <formula>"PMS"</formula>
    </cfRule>
    <cfRule type="containsText" dxfId="18813" priority="1338" operator="containsText" text="CMS">
      <formula>NOT(ISERROR(SEARCH("CMS",I36)))</formula>
    </cfRule>
    <cfRule type="cellIs" dxfId="18812" priority="1339" operator="equal">
      <formula>0</formula>
    </cfRule>
    <cfRule type="cellIs" dxfId="18811" priority="1340" operator="greaterThan">
      <formula>0</formula>
    </cfRule>
  </conditionalFormatting>
  <conditionalFormatting sqref="I36:I39">
    <cfRule type="cellIs" dxfId="18810" priority="1333" operator="equal">
      <formula>"PMS"</formula>
    </cfRule>
    <cfRule type="containsText" dxfId="18809" priority="1334" operator="containsText" text="CMS">
      <formula>NOT(ISERROR(SEARCH("CMS",I36)))</formula>
    </cfRule>
    <cfRule type="cellIs" dxfId="18808" priority="1335" operator="equal">
      <formula>0</formula>
    </cfRule>
    <cfRule type="cellIs" dxfId="18807" priority="1336" operator="greaterThan">
      <formula>0</formula>
    </cfRule>
  </conditionalFormatting>
  <conditionalFormatting sqref="O49">
    <cfRule type="cellIs" dxfId="18806" priority="1329" operator="equal">
      <formula>"PMS"</formula>
    </cfRule>
    <cfRule type="containsText" dxfId="18805" priority="1330" operator="containsText" text="CMS">
      <formula>NOT(ISERROR(SEARCH("CMS",O49)))</formula>
    </cfRule>
    <cfRule type="cellIs" dxfId="18804" priority="1331" operator="equal">
      <formula>0</formula>
    </cfRule>
    <cfRule type="cellIs" dxfId="18803" priority="1332" operator="greaterThan">
      <formula>0</formula>
    </cfRule>
  </conditionalFormatting>
  <conditionalFormatting sqref="P56 O54:O56">
    <cfRule type="cellIs" dxfId="18802" priority="1325" operator="equal">
      <formula>"PMS"</formula>
    </cfRule>
    <cfRule type="containsText" dxfId="18801" priority="1326" operator="containsText" text="CMS">
      <formula>NOT(ISERROR(SEARCH("CMS",O54)))</formula>
    </cfRule>
    <cfRule type="cellIs" dxfId="18800" priority="1327" operator="equal">
      <formula>0</formula>
    </cfRule>
    <cfRule type="cellIs" dxfId="18799" priority="1328" operator="greaterThan">
      <formula>0</formula>
    </cfRule>
  </conditionalFormatting>
  <conditionalFormatting sqref="O57:P57">
    <cfRule type="cellIs" dxfId="18798" priority="1321" operator="equal">
      <formula>"PMS"</formula>
    </cfRule>
    <cfRule type="containsText" dxfId="18797" priority="1322" operator="containsText" text="CMS">
      <formula>NOT(ISERROR(SEARCH("CMS",O57)))</formula>
    </cfRule>
    <cfRule type="cellIs" dxfId="18796" priority="1323" operator="equal">
      <formula>0</formula>
    </cfRule>
    <cfRule type="cellIs" dxfId="18795" priority="1324" operator="greaterThan">
      <formula>0</formula>
    </cfRule>
  </conditionalFormatting>
  <conditionalFormatting sqref="O49">
    <cfRule type="cellIs" dxfId="18794" priority="1317" operator="equal">
      <formula>"PMS"</formula>
    </cfRule>
    <cfRule type="containsText" dxfId="18793" priority="1318" operator="containsText" text="CMS">
      <formula>NOT(ISERROR(SEARCH("CMS",O49)))</formula>
    </cfRule>
    <cfRule type="cellIs" dxfId="18792" priority="1319" operator="equal">
      <formula>0</formula>
    </cfRule>
    <cfRule type="cellIs" dxfId="18791" priority="1320" operator="greaterThan">
      <formula>0</formula>
    </cfRule>
  </conditionalFormatting>
  <conditionalFormatting sqref="P56 O54:O57">
    <cfRule type="cellIs" dxfId="18790" priority="1313" operator="equal">
      <formula>"PMS"</formula>
    </cfRule>
    <cfRule type="containsText" dxfId="18789" priority="1314" operator="containsText" text="CMS">
      <formula>NOT(ISERROR(SEARCH("CMS",O54)))</formula>
    </cfRule>
    <cfRule type="cellIs" dxfId="18788" priority="1315" operator="equal">
      <formula>0</formula>
    </cfRule>
    <cfRule type="cellIs" dxfId="18787" priority="1316" operator="greaterThan">
      <formula>0</formula>
    </cfRule>
  </conditionalFormatting>
  <conditionalFormatting sqref="O49">
    <cfRule type="cellIs" dxfId="18786" priority="1309" operator="equal">
      <formula>"PMS"</formula>
    </cfRule>
    <cfRule type="containsText" dxfId="18785" priority="1310" operator="containsText" text="CMS">
      <formula>NOT(ISERROR(SEARCH("CMS",O49)))</formula>
    </cfRule>
    <cfRule type="cellIs" dxfId="18784" priority="1311" operator="equal">
      <formula>0</formula>
    </cfRule>
    <cfRule type="cellIs" dxfId="18783" priority="1312" operator="greaterThan">
      <formula>0</formula>
    </cfRule>
  </conditionalFormatting>
  <conditionalFormatting sqref="P56 O54:O57">
    <cfRule type="cellIs" dxfId="18782" priority="1305" operator="equal">
      <formula>"PMS"</formula>
    </cfRule>
    <cfRule type="containsText" dxfId="18781" priority="1306" operator="containsText" text="CMS">
      <formula>NOT(ISERROR(SEARCH("CMS",O54)))</formula>
    </cfRule>
    <cfRule type="cellIs" dxfId="18780" priority="1307" operator="equal">
      <formula>0</formula>
    </cfRule>
    <cfRule type="cellIs" dxfId="18779" priority="1308" operator="greaterThan">
      <formula>0</formula>
    </cfRule>
  </conditionalFormatting>
  <conditionalFormatting sqref="W14:W16">
    <cfRule type="cellIs" dxfId="18778" priority="1301" operator="equal">
      <formula>"PMS"</formula>
    </cfRule>
    <cfRule type="containsText" dxfId="18777" priority="1302" operator="containsText" text="CMS">
      <formula>NOT(ISERROR(SEARCH("CMS",W14)))</formula>
    </cfRule>
    <cfRule type="cellIs" dxfId="18776" priority="1303" operator="equal">
      <formula>0</formula>
    </cfRule>
    <cfRule type="cellIs" dxfId="18775" priority="1304" operator="greaterThan">
      <formula>0</formula>
    </cfRule>
  </conditionalFormatting>
  <conditionalFormatting sqref="W14:W16">
    <cfRule type="cellIs" dxfId="18774" priority="1297" operator="equal">
      <formula>"PMS"</formula>
    </cfRule>
    <cfRule type="containsText" dxfId="18773" priority="1298" operator="containsText" text="CMS">
      <formula>NOT(ISERROR(SEARCH("CMS",W14)))</formula>
    </cfRule>
    <cfRule type="cellIs" dxfId="18772" priority="1299" operator="equal">
      <formula>0</formula>
    </cfRule>
    <cfRule type="cellIs" dxfId="18771" priority="1300" operator="greaterThan">
      <formula>0</formula>
    </cfRule>
  </conditionalFormatting>
  <conditionalFormatting sqref="X16">
    <cfRule type="cellIs" dxfId="18770" priority="1293" operator="equal">
      <formula>"PMS"</formula>
    </cfRule>
    <cfRule type="containsText" dxfId="18769" priority="1294" operator="containsText" text="CMS">
      <formula>NOT(ISERROR(SEARCH("CMS",X16)))</formula>
    </cfRule>
    <cfRule type="cellIs" dxfId="18768" priority="1295" operator="equal">
      <formula>0</formula>
    </cfRule>
    <cfRule type="cellIs" dxfId="18767" priority="1296" operator="greaterThan">
      <formula>0</formula>
    </cfRule>
  </conditionalFormatting>
  <conditionalFormatting sqref="X16">
    <cfRule type="cellIs" dxfId="18766" priority="1289" operator="equal">
      <formula>"PMS"</formula>
    </cfRule>
    <cfRule type="containsText" dxfId="18765" priority="1290" operator="containsText" text="CMS">
      <formula>NOT(ISERROR(SEARCH("CMS",X16)))</formula>
    </cfRule>
    <cfRule type="cellIs" dxfId="18764" priority="1291" operator="equal">
      <formula>0</formula>
    </cfRule>
    <cfRule type="cellIs" dxfId="18763" priority="1292" operator="greaterThan">
      <formula>0</formula>
    </cfRule>
  </conditionalFormatting>
  <conditionalFormatting sqref="O49">
    <cfRule type="cellIs" dxfId="18762" priority="1285" operator="equal">
      <formula>"PMS"</formula>
    </cfRule>
    <cfRule type="containsText" dxfId="18761" priority="1286" operator="containsText" text="CMS">
      <formula>NOT(ISERROR(SEARCH("CMS",O49)))</formula>
    </cfRule>
    <cfRule type="cellIs" dxfId="18760" priority="1287" operator="equal">
      <formula>0</formula>
    </cfRule>
    <cfRule type="cellIs" dxfId="18759" priority="1288" operator="greaterThan">
      <formula>0</formula>
    </cfRule>
  </conditionalFormatting>
  <conditionalFormatting sqref="O56:P56">
    <cfRule type="cellIs" dxfId="18758" priority="1281" operator="equal">
      <formula>"PMS"</formula>
    </cfRule>
    <cfRule type="containsText" dxfId="18757" priority="1282" operator="containsText" text="CMS">
      <formula>NOT(ISERROR(SEARCH("CMS",O56)))</formula>
    </cfRule>
    <cfRule type="cellIs" dxfId="18756" priority="1283" operator="equal">
      <formula>0</formula>
    </cfRule>
    <cfRule type="cellIs" dxfId="18755" priority="1284" operator="greaterThan">
      <formula>0</formula>
    </cfRule>
  </conditionalFormatting>
  <conditionalFormatting sqref="Z14">
    <cfRule type="cellIs" dxfId="18754" priority="1277" operator="equal">
      <formula>"PMS"</formula>
    </cfRule>
    <cfRule type="containsText" dxfId="18753" priority="1278" operator="containsText" text="CMS">
      <formula>NOT(ISERROR(SEARCH("CMS",Z14)))</formula>
    </cfRule>
    <cfRule type="cellIs" dxfId="18752" priority="1279" operator="equal">
      <formula>0</formula>
    </cfRule>
    <cfRule type="cellIs" dxfId="18751" priority="1280" operator="greaterThan">
      <formula>0</formula>
    </cfRule>
  </conditionalFormatting>
  <conditionalFormatting sqref="Z14">
    <cfRule type="cellIs" dxfId="18750" priority="1273" operator="equal">
      <formula>"PMS"</formula>
    </cfRule>
    <cfRule type="containsText" dxfId="18749" priority="1274" operator="containsText" text="CMS">
      <formula>NOT(ISERROR(SEARCH("CMS",Z14)))</formula>
    </cfRule>
    <cfRule type="cellIs" dxfId="18748" priority="1275" operator="equal">
      <formula>0</formula>
    </cfRule>
    <cfRule type="cellIs" dxfId="18747" priority="1276" operator="greaterThan">
      <formula>0</formula>
    </cfRule>
  </conditionalFormatting>
  <conditionalFormatting sqref="Z15">
    <cfRule type="cellIs" dxfId="18746" priority="1269" operator="equal">
      <formula>"PMS"</formula>
    </cfRule>
    <cfRule type="containsText" dxfId="18745" priority="1270" operator="containsText" text="CMS">
      <formula>NOT(ISERROR(SEARCH("CMS",Z15)))</formula>
    </cfRule>
    <cfRule type="cellIs" dxfId="18744" priority="1271" operator="equal">
      <formula>0</formula>
    </cfRule>
    <cfRule type="cellIs" dxfId="18743" priority="1272" operator="greaterThan">
      <formula>0</formula>
    </cfRule>
  </conditionalFormatting>
  <conditionalFormatting sqref="Z15">
    <cfRule type="cellIs" dxfId="18742" priority="1265" operator="equal">
      <formula>"PMS"</formula>
    </cfRule>
    <cfRule type="containsText" dxfId="18741" priority="1266" operator="containsText" text="CMS">
      <formula>NOT(ISERROR(SEARCH("CMS",Z15)))</formula>
    </cfRule>
    <cfRule type="cellIs" dxfId="18740" priority="1267" operator="equal">
      <formula>0</formula>
    </cfRule>
    <cfRule type="cellIs" dxfId="18739" priority="1268" operator="greaterThan">
      <formula>0</formula>
    </cfRule>
  </conditionalFormatting>
  <conditionalFormatting sqref="Z16">
    <cfRule type="cellIs" dxfId="18738" priority="1261" operator="equal">
      <formula>"PMS"</formula>
    </cfRule>
    <cfRule type="containsText" dxfId="18737" priority="1262" operator="containsText" text="CMS">
      <formula>NOT(ISERROR(SEARCH("CMS",Z16)))</formula>
    </cfRule>
    <cfRule type="cellIs" dxfId="18736" priority="1263" operator="equal">
      <formula>0</formula>
    </cfRule>
    <cfRule type="cellIs" dxfId="18735" priority="1264" operator="greaterThan">
      <formula>0</formula>
    </cfRule>
  </conditionalFormatting>
  <conditionalFormatting sqref="Z16">
    <cfRule type="cellIs" dxfId="18734" priority="1257" operator="equal">
      <formula>"PMS"</formula>
    </cfRule>
    <cfRule type="containsText" dxfId="18733" priority="1258" operator="containsText" text="CMS">
      <formula>NOT(ISERROR(SEARCH("CMS",Z16)))</formula>
    </cfRule>
    <cfRule type="cellIs" dxfId="18732" priority="1259" operator="equal">
      <formula>0</formula>
    </cfRule>
    <cfRule type="cellIs" dxfId="18731" priority="1260" operator="greaterThan">
      <formula>0</formula>
    </cfRule>
  </conditionalFormatting>
  <conditionalFormatting sqref="AA13:AA16">
    <cfRule type="cellIs" dxfId="18730" priority="1253" operator="equal">
      <formula>"PMS"</formula>
    </cfRule>
    <cfRule type="containsText" dxfId="18729" priority="1254" operator="containsText" text="CMS">
      <formula>NOT(ISERROR(SEARCH("CMS",AA13)))</formula>
    </cfRule>
    <cfRule type="cellIs" dxfId="18728" priority="1255" operator="equal">
      <formula>0</formula>
    </cfRule>
    <cfRule type="cellIs" dxfId="18727" priority="1256" operator="greaterThan">
      <formula>0</formula>
    </cfRule>
  </conditionalFormatting>
  <conditionalFormatting sqref="AA13:AA16">
    <cfRule type="cellIs" dxfId="18726" priority="1249" operator="equal">
      <formula>"PMS"</formula>
    </cfRule>
    <cfRule type="containsText" dxfId="18725" priority="1250" operator="containsText" text="CMS">
      <formula>NOT(ISERROR(SEARCH("CMS",AA13)))</formula>
    </cfRule>
    <cfRule type="cellIs" dxfId="18724" priority="1251" operator="equal">
      <formula>0</formula>
    </cfRule>
    <cfRule type="cellIs" dxfId="18723" priority="1252" operator="greaterThan">
      <formula>0</formula>
    </cfRule>
  </conditionalFormatting>
  <conditionalFormatting sqref="Z15:AA15">
    <cfRule type="cellIs" dxfId="18722" priority="1245" operator="equal">
      <formula>"PMS"</formula>
    </cfRule>
    <cfRule type="containsText" dxfId="18721" priority="1246" operator="containsText" text="CMS">
      <formula>NOT(ISERROR(SEARCH("CMS",Z15)))</formula>
    </cfRule>
    <cfRule type="cellIs" dxfId="18720" priority="1247" operator="equal">
      <formula>0</formula>
    </cfRule>
    <cfRule type="cellIs" dxfId="18719" priority="1248" operator="greaterThan">
      <formula>0</formula>
    </cfRule>
  </conditionalFormatting>
  <conditionalFormatting sqref="Z15:AA15">
    <cfRule type="cellIs" dxfId="18718" priority="1241" operator="equal">
      <formula>"PMS"</formula>
    </cfRule>
    <cfRule type="containsText" dxfId="18717" priority="1242" operator="containsText" text="CMS">
      <formula>NOT(ISERROR(SEARCH("CMS",Z15)))</formula>
    </cfRule>
    <cfRule type="cellIs" dxfId="18716" priority="1243" operator="equal">
      <formula>0</formula>
    </cfRule>
    <cfRule type="cellIs" dxfId="18715" priority="1244" operator="greaterThan">
      <formula>0</formula>
    </cfRule>
  </conditionalFormatting>
  <conditionalFormatting sqref="Z16:AA16">
    <cfRule type="cellIs" dxfId="18714" priority="1237" operator="equal">
      <formula>"PMS"</formula>
    </cfRule>
    <cfRule type="containsText" dxfId="18713" priority="1238" operator="containsText" text="CMS">
      <formula>NOT(ISERROR(SEARCH("CMS",Z16)))</formula>
    </cfRule>
    <cfRule type="cellIs" dxfId="18712" priority="1239" operator="equal">
      <formula>0</formula>
    </cfRule>
    <cfRule type="cellIs" dxfId="18711" priority="1240" operator="greaterThan">
      <formula>0</formula>
    </cfRule>
  </conditionalFormatting>
  <conditionalFormatting sqref="Z16:AA16">
    <cfRule type="cellIs" dxfId="18710" priority="1233" operator="equal">
      <formula>"PMS"</formula>
    </cfRule>
    <cfRule type="containsText" dxfId="18709" priority="1234" operator="containsText" text="CMS">
      <formula>NOT(ISERROR(SEARCH("CMS",Z16)))</formula>
    </cfRule>
    <cfRule type="cellIs" dxfId="18708" priority="1235" operator="equal">
      <formula>0</formula>
    </cfRule>
    <cfRule type="cellIs" dxfId="18707" priority="1236" operator="greaterThan">
      <formula>0</formula>
    </cfRule>
  </conditionalFormatting>
  <conditionalFormatting sqref="AA27">
    <cfRule type="cellIs" dxfId="18706" priority="1229" operator="equal">
      <formula>"PMS"</formula>
    </cfRule>
    <cfRule type="containsText" dxfId="18705" priority="1230" operator="containsText" text="CMS">
      <formula>NOT(ISERROR(SEARCH("CMS",AA27)))</formula>
    </cfRule>
    <cfRule type="cellIs" dxfId="18704" priority="1231" operator="equal">
      <formula>0</formula>
    </cfRule>
    <cfRule type="cellIs" dxfId="18703" priority="1232" operator="greaterThan">
      <formula>0</formula>
    </cfRule>
  </conditionalFormatting>
  <conditionalFormatting sqref="AA27">
    <cfRule type="cellIs" dxfId="18702" priority="1225" operator="equal">
      <formula>"PMS"</formula>
    </cfRule>
    <cfRule type="containsText" dxfId="18701" priority="1226" operator="containsText" text="CMS">
      <formula>NOT(ISERROR(SEARCH("CMS",AA27)))</formula>
    </cfRule>
    <cfRule type="cellIs" dxfId="18700" priority="1227" operator="equal">
      <formula>0</formula>
    </cfRule>
    <cfRule type="cellIs" dxfId="18699" priority="1228" operator="greaterThan">
      <formula>0</formula>
    </cfRule>
  </conditionalFormatting>
  <conditionalFormatting sqref="AA28">
    <cfRule type="cellIs" dxfId="18698" priority="1221" operator="equal">
      <formula>"PMS"</formula>
    </cfRule>
    <cfRule type="containsText" dxfId="18697" priority="1222" operator="containsText" text="CMS">
      <formula>NOT(ISERROR(SEARCH("CMS",AA28)))</formula>
    </cfRule>
    <cfRule type="cellIs" dxfId="18696" priority="1223" operator="equal">
      <formula>0</formula>
    </cfRule>
    <cfRule type="cellIs" dxfId="18695" priority="1224" operator="greaterThan">
      <formula>0</formula>
    </cfRule>
  </conditionalFormatting>
  <conditionalFormatting sqref="AA28">
    <cfRule type="cellIs" dxfId="18694" priority="1217" operator="equal">
      <formula>"PMS"</formula>
    </cfRule>
    <cfRule type="containsText" dxfId="18693" priority="1218" operator="containsText" text="CMS">
      <formula>NOT(ISERROR(SEARCH("CMS",AA28)))</formula>
    </cfRule>
    <cfRule type="cellIs" dxfId="18692" priority="1219" operator="equal">
      <formula>0</formula>
    </cfRule>
    <cfRule type="cellIs" dxfId="18691" priority="1220" operator="greaterThan">
      <formula>0</formula>
    </cfRule>
  </conditionalFormatting>
  <conditionalFormatting sqref="AB14">
    <cfRule type="cellIs" dxfId="18690" priority="1213" operator="equal">
      <formula>"PMS"</formula>
    </cfRule>
    <cfRule type="containsText" dxfId="18689" priority="1214" operator="containsText" text="CMS">
      <formula>NOT(ISERROR(SEARCH("CMS",AB14)))</formula>
    </cfRule>
    <cfRule type="cellIs" dxfId="18688" priority="1215" operator="equal">
      <formula>0</formula>
    </cfRule>
    <cfRule type="cellIs" dxfId="18687" priority="1216" operator="greaterThan">
      <formula>0</formula>
    </cfRule>
  </conditionalFormatting>
  <conditionalFormatting sqref="AB14">
    <cfRule type="cellIs" dxfId="18686" priority="1209" operator="equal">
      <formula>"PMS"</formula>
    </cfRule>
    <cfRule type="containsText" dxfId="18685" priority="1210" operator="containsText" text="CMS">
      <formula>NOT(ISERROR(SEARCH("CMS",AB14)))</formula>
    </cfRule>
    <cfRule type="cellIs" dxfId="18684" priority="1211" operator="equal">
      <formula>0</formula>
    </cfRule>
    <cfRule type="cellIs" dxfId="18683" priority="1212" operator="greaterThan">
      <formula>0</formula>
    </cfRule>
  </conditionalFormatting>
  <conditionalFormatting sqref="AB15">
    <cfRule type="cellIs" dxfId="18682" priority="1205" operator="equal">
      <formula>"PMS"</formula>
    </cfRule>
    <cfRule type="containsText" dxfId="18681" priority="1206" operator="containsText" text="CMS">
      <formula>NOT(ISERROR(SEARCH("CMS",AB15)))</formula>
    </cfRule>
    <cfRule type="cellIs" dxfId="18680" priority="1207" operator="equal">
      <formula>0</formula>
    </cfRule>
    <cfRule type="cellIs" dxfId="18679" priority="1208" operator="greaterThan">
      <formula>0</formula>
    </cfRule>
  </conditionalFormatting>
  <conditionalFormatting sqref="AB15">
    <cfRule type="cellIs" dxfId="18678" priority="1201" operator="equal">
      <formula>"PMS"</formula>
    </cfRule>
    <cfRule type="containsText" dxfId="18677" priority="1202" operator="containsText" text="CMS">
      <formula>NOT(ISERROR(SEARCH("CMS",AB15)))</formula>
    </cfRule>
    <cfRule type="cellIs" dxfId="18676" priority="1203" operator="equal">
      <formula>0</formula>
    </cfRule>
    <cfRule type="cellIs" dxfId="18675" priority="1204" operator="greaterThan">
      <formula>0</formula>
    </cfRule>
  </conditionalFormatting>
  <conditionalFormatting sqref="AB16">
    <cfRule type="cellIs" dxfId="18674" priority="1197" operator="equal">
      <formula>"PMS"</formula>
    </cfRule>
    <cfRule type="containsText" dxfId="18673" priority="1198" operator="containsText" text="CMS">
      <formula>NOT(ISERROR(SEARCH("CMS",AB16)))</formula>
    </cfRule>
    <cfRule type="cellIs" dxfId="18672" priority="1199" operator="equal">
      <formula>0</formula>
    </cfRule>
    <cfRule type="cellIs" dxfId="18671" priority="1200" operator="greaterThan">
      <formula>0</formula>
    </cfRule>
  </conditionalFormatting>
  <conditionalFormatting sqref="AB16">
    <cfRule type="cellIs" dxfId="18670" priority="1193" operator="equal">
      <formula>"PMS"</formula>
    </cfRule>
    <cfRule type="containsText" dxfId="18669" priority="1194" operator="containsText" text="CMS">
      <formula>NOT(ISERROR(SEARCH("CMS",AB16)))</formula>
    </cfRule>
    <cfRule type="cellIs" dxfId="18668" priority="1195" operator="equal">
      <formula>0</formula>
    </cfRule>
    <cfRule type="cellIs" dxfId="18667" priority="1196" operator="greaterThan">
      <formula>0</formula>
    </cfRule>
  </conditionalFormatting>
  <conditionalFormatting sqref="W14">
    <cfRule type="cellIs" dxfId="18666" priority="1181" operator="equal">
      <formula>"PMS"</formula>
    </cfRule>
    <cfRule type="containsText" dxfId="18665" priority="1182" operator="containsText" text="CMS">
      <formula>NOT(ISERROR(SEARCH("CMS",W14)))</formula>
    </cfRule>
    <cfRule type="cellIs" dxfId="18664" priority="1183" operator="equal">
      <formula>0</formula>
    </cfRule>
    <cfRule type="cellIs" dxfId="18663" priority="1184" operator="greaterThan">
      <formula>0</formula>
    </cfRule>
  </conditionalFormatting>
  <conditionalFormatting sqref="W14">
    <cfRule type="cellIs" dxfId="18662" priority="1177" operator="equal">
      <formula>"PMS"</formula>
    </cfRule>
    <cfRule type="containsText" dxfId="18661" priority="1178" operator="containsText" text="CMS">
      <formula>NOT(ISERROR(SEARCH("CMS",W14)))</formula>
    </cfRule>
    <cfRule type="cellIs" dxfId="18660" priority="1179" operator="equal">
      <formula>0</formula>
    </cfRule>
    <cfRule type="cellIs" dxfId="18659" priority="1180" operator="greaterThan">
      <formula>0</formula>
    </cfRule>
  </conditionalFormatting>
  <conditionalFormatting sqref="W15">
    <cfRule type="cellIs" dxfId="18658" priority="1173" operator="equal">
      <formula>"PMS"</formula>
    </cfRule>
    <cfRule type="containsText" dxfId="18657" priority="1174" operator="containsText" text="CMS">
      <formula>NOT(ISERROR(SEARCH("CMS",W15)))</formula>
    </cfRule>
    <cfRule type="cellIs" dxfId="18656" priority="1175" operator="equal">
      <formula>0</formula>
    </cfRule>
    <cfRule type="cellIs" dxfId="18655" priority="1176" operator="greaterThan">
      <formula>0</formula>
    </cfRule>
  </conditionalFormatting>
  <conditionalFormatting sqref="W15">
    <cfRule type="cellIs" dxfId="18654" priority="1169" operator="equal">
      <formula>"PMS"</formula>
    </cfRule>
    <cfRule type="containsText" dxfId="18653" priority="1170" operator="containsText" text="CMS">
      <formula>NOT(ISERROR(SEARCH("CMS",W15)))</formula>
    </cfRule>
    <cfRule type="cellIs" dxfId="18652" priority="1171" operator="equal">
      <formula>0</formula>
    </cfRule>
    <cfRule type="cellIs" dxfId="18651" priority="1172" operator="greaterThan">
      <formula>0</formula>
    </cfRule>
  </conditionalFormatting>
  <conditionalFormatting sqref="W16">
    <cfRule type="cellIs" dxfId="18650" priority="1165" operator="equal">
      <formula>"PMS"</formula>
    </cfRule>
    <cfRule type="containsText" dxfId="18649" priority="1166" operator="containsText" text="CMS">
      <formula>NOT(ISERROR(SEARCH("CMS",W16)))</formula>
    </cfRule>
    <cfRule type="cellIs" dxfId="18648" priority="1167" operator="equal">
      <formula>0</formula>
    </cfRule>
    <cfRule type="cellIs" dxfId="18647" priority="1168" operator="greaterThan">
      <formula>0</formula>
    </cfRule>
  </conditionalFormatting>
  <conditionalFormatting sqref="W16">
    <cfRule type="cellIs" dxfId="18646" priority="1161" operator="equal">
      <formula>"PMS"</formula>
    </cfRule>
    <cfRule type="containsText" dxfId="18645" priority="1162" operator="containsText" text="CMS">
      <formula>NOT(ISERROR(SEARCH("CMS",W16)))</formula>
    </cfRule>
    <cfRule type="cellIs" dxfId="18644" priority="1163" operator="equal">
      <formula>0</formula>
    </cfRule>
    <cfRule type="cellIs" dxfId="18643" priority="1164" operator="greaterThan">
      <formula>0</formula>
    </cfRule>
  </conditionalFormatting>
  <conditionalFormatting sqref="G56">
    <cfRule type="cellIs" dxfId="18642" priority="1153" operator="equal">
      <formula>"PMS"</formula>
    </cfRule>
    <cfRule type="containsText" dxfId="18641" priority="1154" operator="containsText" text="CMS">
      <formula>NOT(ISERROR(SEARCH("CMS",G56)))</formula>
    </cfRule>
    <cfRule type="cellIs" dxfId="18640" priority="1155" operator="equal">
      <formula>0</formula>
    </cfRule>
    <cfRule type="cellIs" dxfId="18639" priority="1156" operator="greaterThan">
      <formula>0</formula>
    </cfRule>
    <cfRule type="cellIs" dxfId="18638" priority="1157" operator="equal">
      <formula>"PMS"</formula>
    </cfRule>
    <cfRule type="containsText" dxfId="18637" priority="1158" operator="containsText" text="CMS">
      <formula>NOT(ISERROR(SEARCH("CMS",G56)))</formula>
    </cfRule>
    <cfRule type="cellIs" dxfId="18636" priority="1159" operator="equal">
      <formula>0</formula>
    </cfRule>
    <cfRule type="cellIs" dxfId="18635" priority="1160" operator="greaterThan">
      <formula>0</formula>
    </cfRule>
  </conditionalFormatting>
  <conditionalFormatting sqref="G56">
    <cfRule type="cellIs" dxfId="18634" priority="1149" operator="equal">
      <formula>"PMS"</formula>
    </cfRule>
    <cfRule type="containsText" dxfId="18633" priority="1150" operator="containsText" text="CMS">
      <formula>NOT(ISERROR(SEARCH("CMS",G56)))</formula>
    </cfRule>
    <cfRule type="cellIs" dxfId="18632" priority="1151" operator="equal">
      <formula>0</formula>
    </cfRule>
    <cfRule type="cellIs" dxfId="18631" priority="1152" operator="greaterThan">
      <formula>0</formula>
    </cfRule>
  </conditionalFormatting>
  <conditionalFormatting sqref="G56">
    <cfRule type="cellIs" dxfId="18630" priority="1145" operator="equal">
      <formula>"PMS"</formula>
    </cfRule>
    <cfRule type="containsText" dxfId="18629" priority="1146" operator="containsText" text="CMS">
      <formula>NOT(ISERROR(SEARCH("CMS",G56)))</formula>
    </cfRule>
    <cfRule type="cellIs" dxfId="18628" priority="1147" operator="equal">
      <formula>0</formula>
    </cfRule>
    <cfRule type="cellIs" dxfId="18627" priority="1148" operator="greaterThan">
      <formula>0</formula>
    </cfRule>
  </conditionalFormatting>
  <conditionalFormatting sqref="G13:G14">
    <cfRule type="cellIs" dxfId="18626" priority="1137" operator="equal">
      <formula>"PMS"</formula>
    </cfRule>
    <cfRule type="containsText" dxfId="18625" priority="1138" operator="containsText" text="CMS">
      <formula>NOT(ISERROR(SEARCH("CMS",G13)))</formula>
    </cfRule>
    <cfRule type="cellIs" dxfId="18624" priority="1139" operator="equal">
      <formula>0</formula>
    </cfRule>
    <cfRule type="cellIs" dxfId="18623" priority="1140" operator="greaterThan">
      <formula>0</formula>
    </cfRule>
    <cfRule type="cellIs" dxfId="18622" priority="1141" operator="equal">
      <formula>"PMS"</formula>
    </cfRule>
    <cfRule type="containsText" dxfId="18621" priority="1142" operator="containsText" text="CMS">
      <formula>NOT(ISERROR(SEARCH("CMS",G13)))</formula>
    </cfRule>
    <cfRule type="cellIs" dxfId="18620" priority="1143" operator="equal">
      <formula>0</formula>
    </cfRule>
    <cfRule type="cellIs" dxfId="18619" priority="1144" operator="greaterThan">
      <formula>0</formula>
    </cfRule>
  </conditionalFormatting>
  <conditionalFormatting sqref="G13:G14">
    <cfRule type="cellIs" dxfId="18618" priority="1133" operator="equal">
      <formula>"PMS"</formula>
    </cfRule>
    <cfRule type="containsText" dxfId="18617" priority="1134" operator="containsText" text="CMS">
      <formula>NOT(ISERROR(SEARCH("CMS",G13)))</formula>
    </cfRule>
    <cfRule type="cellIs" dxfId="18616" priority="1135" operator="equal">
      <formula>0</formula>
    </cfRule>
    <cfRule type="cellIs" dxfId="18615" priority="1136" operator="greaterThan">
      <formula>0</formula>
    </cfRule>
  </conditionalFormatting>
  <conditionalFormatting sqref="G13:G14">
    <cfRule type="cellIs" dxfId="18614" priority="1129" operator="equal">
      <formula>"PMS"</formula>
    </cfRule>
    <cfRule type="containsText" dxfId="18613" priority="1130" operator="containsText" text="CMS">
      <formula>NOT(ISERROR(SEARCH("CMS",G13)))</formula>
    </cfRule>
    <cfRule type="cellIs" dxfId="18612" priority="1131" operator="equal">
      <formula>0</formula>
    </cfRule>
    <cfRule type="cellIs" dxfId="18611" priority="1132" operator="greaterThan">
      <formula>0</formula>
    </cfRule>
  </conditionalFormatting>
  <conditionalFormatting sqref="G13:G14">
    <cfRule type="cellIs" dxfId="18610" priority="1125" operator="equal">
      <formula>"PMS"</formula>
    </cfRule>
    <cfRule type="containsText" dxfId="18609" priority="1126" operator="containsText" text="CMS">
      <formula>NOT(ISERROR(SEARCH("CMS",G13)))</formula>
    </cfRule>
    <cfRule type="cellIs" dxfId="18608" priority="1127" operator="equal">
      <formula>0</formula>
    </cfRule>
    <cfRule type="cellIs" dxfId="18607" priority="1128" operator="greaterThan">
      <formula>0</formula>
    </cfRule>
  </conditionalFormatting>
  <conditionalFormatting sqref="G13:G14">
    <cfRule type="cellIs" dxfId="18606" priority="1121" operator="equal">
      <formula>"PMS"</formula>
    </cfRule>
    <cfRule type="containsText" dxfId="18605" priority="1122" operator="containsText" text="CMS">
      <formula>NOT(ISERROR(SEARCH("CMS",G13)))</formula>
    </cfRule>
    <cfRule type="cellIs" dxfId="18604" priority="1123" operator="equal">
      <formula>0</formula>
    </cfRule>
    <cfRule type="cellIs" dxfId="18603" priority="1124" operator="greaterThan">
      <formula>0</formula>
    </cfRule>
  </conditionalFormatting>
  <conditionalFormatting sqref="G20">
    <cfRule type="cellIs" dxfId="18602" priority="1113" operator="equal">
      <formula>"PMS"</formula>
    </cfRule>
    <cfRule type="containsText" dxfId="18601" priority="1114" operator="containsText" text="CMS">
      <formula>NOT(ISERROR(SEARCH("CMS",G20)))</formula>
    </cfRule>
    <cfRule type="cellIs" dxfId="18600" priority="1115" operator="equal">
      <formula>0</formula>
    </cfRule>
    <cfRule type="cellIs" dxfId="18599" priority="1116" operator="greaterThan">
      <formula>0</formula>
    </cfRule>
    <cfRule type="cellIs" dxfId="18598" priority="1117" operator="equal">
      <formula>"PMS"</formula>
    </cfRule>
    <cfRule type="containsText" dxfId="18597" priority="1118" operator="containsText" text="CMS">
      <formula>NOT(ISERROR(SEARCH("CMS",G20)))</formula>
    </cfRule>
    <cfRule type="cellIs" dxfId="18596" priority="1119" operator="equal">
      <formula>0</formula>
    </cfRule>
    <cfRule type="cellIs" dxfId="18595" priority="1120" operator="greaterThan">
      <formula>0</formula>
    </cfRule>
  </conditionalFormatting>
  <conditionalFormatting sqref="G20">
    <cfRule type="cellIs" dxfId="18594" priority="1109" operator="equal">
      <formula>"PMS"</formula>
    </cfRule>
    <cfRule type="containsText" dxfId="18593" priority="1110" operator="containsText" text="CMS">
      <formula>NOT(ISERROR(SEARCH("CMS",G20)))</formula>
    </cfRule>
    <cfRule type="cellIs" dxfId="18592" priority="1111" operator="equal">
      <formula>0</formula>
    </cfRule>
    <cfRule type="cellIs" dxfId="18591" priority="1112" operator="greaterThan">
      <formula>0</formula>
    </cfRule>
  </conditionalFormatting>
  <conditionalFormatting sqref="G20">
    <cfRule type="cellIs" dxfId="18590" priority="1105" operator="equal">
      <formula>"PMS"</formula>
    </cfRule>
    <cfRule type="containsText" dxfId="18589" priority="1106" operator="containsText" text="CMS">
      <formula>NOT(ISERROR(SEARCH("CMS",G20)))</formula>
    </cfRule>
    <cfRule type="cellIs" dxfId="18588" priority="1107" operator="equal">
      <formula>0</formula>
    </cfRule>
    <cfRule type="cellIs" dxfId="18587" priority="1108" operator="greaterThan">
      <formula>0</formula>
    </cfRule>
  </conditionalFormatting>
  <conditionalFormatting sqref="G27:G29 J29 M29 P29 S29 V29 AB29">
    <cfRule type="cellIs" dxfId="18586" priority="1097" operator="equal">
      <formula>"PMS"</formula>
    </cfRule>
    <cfRule type="containsText" dxfId="18585" priority="1098" operator="containsText" text="CMS">
      <formula>NOT(ISERROR(SEARCH("CMS",G27)))</formula>
    </cfRule>
    <cfRule type="cellIs" dxfId="18584" priority="1099" operator="equal">
      <formula>0</formula>
    </cfRule>
    <cfRule type="cellIs" dxfId="18583" priority="1100" operator="greaterThan">
      <formula>0</formula>
    </cfRule>
    <cfRule type="cellIs" dxfId="18582" priority="1101" operator="equal">
      <formula>"PMS"</formula>
    </cfRule>
    <cfRule type="containsText" dxfId="18581" priority="1102" operator="containsText" text="CMS">
      <formula>NOT(ISERROR(SEARCH("CMS",G27)))</formula>
    </cfRule>
    <cfRule type="cellIs" dxfId="18580" priority="1103" operator="equal">
      <formula>0</formula>
    </cfRule>
    <cfRule type="cellIs" dxfId="18579" priority="1104" operator="greaterThan">
      <formula>0</formula>
    </cfRule>
  </conditionalFormatting>
  <conditionalFormatting sqref="G27:G29 J29 M29 P29 S29 V29 AB29">
    <cfRule type="cellIs" dxfId="18578" priority="1093" operator="equal">
      <formula>"PMS"</formula>
    </cfRule>
    <cfRule type="containsText" dxfId="18577" priority="1094" operator="containsText" text="CMS">
      <formula>NOT(ISERROR(SEARCH("CMS",G27)))</formula>
    </cfRule>
    <cfRule type="cellIs" dxfId="18576" priority="1095" operator="equal">
      <formula>0</formula>
    </cfRule>
    <cfRule type="cellIs" dxfId="18575" priority="1096" operator="greaterThan">
      <formula>0</formula>
    </cfRule>
  </conditionalFormatting>
  <conditionalFormatting sqref="G27:G29 J29 M29 P29 S29 V29 AB29">
    <cfRule type="cellIs" dxfId="18574" priority="1089" operator="equal">
      <formula>"PMS"</formula>
    </cfRule>
    <cfRule type="containsText" dxfId="18573" priority="1090" operator="containsText" text="CMS">
      <formula>NOT(ISERROR(SEARCH("CMS",G27)))</formula>
    </cfRule>
    <cfRule type="cellIs" dxfId="18572" priority="1091" operator="equal">
      <formula>0</formula>
    </cfRule>
    <cfRule type="cellIs" dxfId="18571" priority="1092" operator="greaterThan">
      <formula>0</formula>
    </cfRule>
  </conditionalFormatting>
  <conditionalFormatting sqref="G45:G46">
    <cfRule type="cellIs" dxfId="18570" priority="1081" operator="equal">
      <formula>"PMS"</formula>
    </cfRule>
    <cfRule type="containsText" dxfId="18569" priority="1082" operator="containsText" text="CMS">
      <formula>NOT(ISERROR(SEARCH("CMS",G45)))</formula>
    </cfRule>
    <cfRule type="cellIs" dxfId="18568" priority="1083" operator="equal">
      <formula>0</formula>
    </cfRule>
    <cfRule type="cellIs" dxfId="18567" priority="1084" operator="greaterThan">
      <formula>0</formula>
    </cfRule>
    <cfRule type="cellIs" dxfId="18566" priority="1085" operator="equal">
      <formula>"PMS"</formula>
    </cfRule>
    <cfRule type="containsText" dxfId="18565" priority="1086" operator="containsText" text="CMS">
      <formula>NOT(ISERROR(SEARCH("CMS",G45)))</formula>
    </cfRule>
    <cfRule type="cellIs" dxfId="18564" priority="1087" operator="equal">
      <formula>0</formula>
    </cfRule>
    <cfRule type="cellIs" dxfId="18563" priority="1088" operator="greaterThan">
      <formula>0</formula>
    </cfRule>
  </conditionalFormatting>
  <conditionalFormatting sqref="G45:G46">
    <cfRule type="cellIs" dxfId="18562" priority="1077" operator="equal">
      <formula>"PMS"</formula>
    </cfRule>
    <cfRule type="containsText" dxfId="18561" priority="1078" operator="containsText" text="CMS">
      <formula>NOT(ISERROR(SEARCH("CMS",G45)))</formula>
    </cfRule>
    <cfRule type="cellIs" dxfId="18560" priority="1079" operator="equal">
      <formula>0</formula>
    </cfRule>
    <cfRule type="cellIs" dxfId="18559" priority="1080" operator="greaterThan">
      <formula>0</formula>
    </cfRule>
  </conditionalFormatting>
  <conditionalFormatting sqref="G45:G46">
    <cfRule type="cellIs" dxfId="18558" priority="1073" operator="equal">
      <formula>"PMS"</formula>
    </cfRule>
    <cfRule type="containsText" dxfId="18557" priority="1074" operator="containsText" text="CMS">
      <formula>NOT(ISERROR(SEARCH("CMS",G45)))</formula>
    </cfRule>
    <cfRule type="cellIs" dxfId="18556" priority="1075" operator="equal">
      <formula>0</formula>
    </cfRule>
    <cfRule type="cellIs" dxfId="18555" priority="1076" operator="greaterThan">
      <formula>0</formula>
    </cfRule>
  </conditionalFormatting>
  <conditionalFormatting sqref="I62">
    <cfRule type="cellIs" dxfId="18554" priority="1065" operator="equal">
      <formula>"PMS"</formula>
    </cfRule>
    <cfRule type="containsText" dxfId="18553" priority="1066" operator="containsText" text="CMS">
      <formula>NOT(ISERROR(SEARCH("CMS",I62)))</formula>
    </cfRule>
    <cfRule type="cellIs" dxfId="18552" priority="1067" operator="equal">
      <formula>0</formula>
    </cfRule>
    <cfRule type="cellIs" dxfId="18551" priority="1068" operator="greaterThan">
      <formula>0</formula>
    </cfRule>
    <cfRule type="cellIs" dxfId="18550" priority="1069" operator="equal">
      <formula>"PMS"</formula>
    </cfRule>
    <cfRule type="containsText" dxfId="18549" priority="1070" operator="containsText" text="CMS">
      <formula>NOT(ISERROR(SEARCH("CMS",I62)))</formula>
    </cfRule>
    <cfRule type="cellIs" dxfId="18548" priority="1071" operator="equal">
      <formula>0</formula>
    </cfRule>
    <cfRule type="cellIs" dxfId="18547" priority="1072" operator="greaterThan">
      <formula>0</formula>
    </cfRule>
  </conditionalFormatting>
  <conditionalFormatting sqref="O48">
    <cfRule type="cellIs" dxfId="18546" priority="1061" operator="equal">
      <formula>"PMS"</formula>
    </cfRule>
    <cfRule type="containsText" dxfId="18545" priority="1062" operator="containsText" text="CMS">
      <formula>NOT(ISERROR(SEARCH("CMS",O48)))</formula>
    </cfRule>
    <cfRule type="cellIs" dxfId="18544" priority="1063" operator="equal">
      <formula>0</formula>
    </cfRule>
    <cfRule type="cellIs" dxfId="18543" priority="1064" operator="greaterThan">
      <formula>0</formula>
    </cfRule>
  </conditionalFormatting>
  <conditionalFormatting sqref="O48">
    <cfRule type="cellIs" dxfId="18542" priority="1057" operator="equal">
      <formula>"PMS"</formula>
    </cfRule>
    <cfRule type="containsText" dxfId="18541" priority="1058" operator="containsText" text="CMS">
      <formula>NOT(ISERROR(SEARCH("CMS",O48)))</formula>
    </cfRule>
    <cfRule type="cellIs" dxfId="18540" priority="1059" operator="equal">
      <formula>0</formula>
    </cfRule>
    <cfRule type="cellIs" dxfId="18539" priority="1060" operator="greaterThan">
      <formula>0</formula>
    </cfRule>
  </conditionalFormatting>
  <conditionalFormatting sqref="O48">
    <cfRule type="cellIs" dxfId="18538" priority="1053" operator="equal">
      <formula>"PMS"</formula>
    </cfRule>
    <cfRule type="containsText" dxfId="18537" priority="1054" operator="containsText" text="CMS">
      <formula>NOT(ISERROR(SEARCH("CMS",O48)))</formula>
    </cfRule>
    <cfRule type="cellIs" dxfId="18536" priority="1055" operator="equal">
      <formula>0</formula>
    </cfRule>
    <cfRule type="cellIs" dxfId="18535" priority="1056" operator="greaterThan">
      <formula>0</formula>
    </cfRule>
  </conditionalFormatting>
  <conditionalFormatting sqref="O48">
    <cfRule type="cellIs" dxfId="18534" priority="1049" operator="equal">
      <formula>"PMS"</formula>
    </cfRule>
    <cfRule type="containsText" dxfId="18533" priority="1050" operator="containsText" text="CMS">
      <formula>NOT(ISERROR(SEARCH("CMS",O48)))</formula>
    </cfRule>
    <cfRule type="cellIs" dxfId="18532" priority="1051" operator="equal">
      <formula>0</formula>
    </cfRule>
    <cfRule type="cellIs" dxfId="18531" priority="1052" operator="greaterThan">
      <formula>0</formula>
    </cfRule>
  </conditionalFormatting>
  <conditionalFormatting sqref="O56:P56">
    <cfRule type="cellIs" dxfId="18530" priority="1045" operator="equal">
      <formula>"PMS"</formula>
    </cfRule>
    <cfRule type="containsText" dxfId="18529" priority="1046" operator="containsText" text="CMS">
      <formula>NOT(ISERROR(SEARCH("CMS",O56)))</formula>
    </cfRule>
    <cfRule type="cellIs" dxfId="18528" priority="1047" operator="equal">
      <formula>0</formula>
    </cfRule>
    <cfRule type="cellIs" dxfId="18527" priority="1048" operator="greaterThan">
      <formula>0</formula>
    </cfRule>
  </conditionalFormatting>
  <conditionalFormatting sqref="O56:P56">
    <cfRule type="cellIs" dxfId="18526" priority="1041" operator="equal">
      <formula>"PMS"</formula>
    </cfRule>
    <cfRule type="containsText" dxfId="18525" priority="1042" operator="containsText" text="CMS">
      <formula>NOT(ISERROR(SEARCH("CMS",O56)))</formula>
    </cfRule>
    <cfRule type="cellIs" dxfId="18524" priority="1043" operator="equal">
      <formula>0</formula>
    </cfRule>
    <cfRule type="cellIs" dxfId="18523" priority="1044" operator="greaterThan">
      <formula>0</formula>
    </cfRule>
  </conditionalFormatting>
  <conditionalFormatting sqref="O56:P56">
    <cfRule type="cellIs" dxfId="18522" priority="1037" operator="equal">
      <formula>"PMS"</formula>
    </cfRule>
    <cfRule type="containsText" dxfId="18521" priority="1038" operator="containsText" text="CMS">
      <formula>NOT(ISERROR(SEARCH("CMS",O56)))</formula>
    </cfRule>
    <cfRule type="cellIs" dxfId="18520" priority="1039" operator="equal">
      <formula>0</formula>
    </cfRule>
    <cfRule type="cellIs" dxfId="18519" priority="1040" operator="greaterThan">
      <formula>0</formula>
    </cfRule>
  </conditionalFormatting>
  <conditionalFormatting sqref="O56:P56">
    <cfRule type="cellIs" dxfId="18518" priority="1033" operator="equal">
      <formula>"PMS"</formula>
    </cfRule>
    <cfRule type="containsText" dxfId="18517" priority="1034" operator="containsText" text="CMS">
      <formula>NOT(ISERROR(SEARCH("CMS",O56)))</formula>
    </cfRule>
    <cfRule type="cellIs" dxfId="18516" priority="1035" operator="equal">
      <formula>0</formula>
    </cfRule>
    <cfRule type="cellIs" dxfId="18515" priority="1036" operator="greaterThan">
      <formula>0</formula>
    </cfRule>
  </conditionalFormatting>
  <conditionalFormatting sqref="O57:P57">
    <cfRule type="cellIs" dxfId="18514" priority="1029" operator="equal">
      <formula>"PMS"</formula>
    </cfRule>
    <cfRule type="containsText" dxfId="18513" priority="1030" operator="containsText" text="CMS">
      <formula>NOT(ISERROR(SEARCH("CMS",O57)))</formula>
    </cfRule>
    <cfRule type="cellIs" dxfId="18512" priority="1031" operator="equal">
      <formula>0</formula>
    </cfRule>
    <cfRule type="cellIs" dxfId="18511" priority="1032" operator="greaterThan">
      <formula>0</formula>
    </cfRule>
  </conditionalFormatting>
  <conditionalFormatting sqref="O57:P57">
    <cfRule type="cellIs" dxfId="18510" priority="1025" operator="equal">
      <formula>"PMS"</formula>
    </cfRule>
    <cfRule type="containsText" dxfId="18509" priority="1026" operator="containsText" text="CMS">
      <formula>NOT(ISERROR(SEARCH("CMS",O57)))</formula>
    </cfRule>
    <cfRule type="cellIs" dxfId="18508" priority="1027" operator="equal">
      <formula>0</formula>
    </cfRule>
    <cfRule type="cellIs" dxfId="18507" priority="1028" operator="greaterThan">
      <formula>0</formula>
    </cfRule>
  </conditionalFormatting>
  <conditionalFormatting sqref="O57:P57">
    <cfRule type="cellIs" dxfId="18506" priority="1021" operator="equal">
      <formula>"PMS"</formula>
    </cfRule>
    <cfRule type="containsText" dxfId="18505" priority="1022" operator="containsText" text="CMS">
      <formula>NOT(ISERROR(SEARCH("CMS",O57)))</formula>
    </cfRule>
    <cfRule type="cellIs" dxfId="18504" priority="1023" operator="equal">
      <formula>0</formula>
    </cfRule>
    <cfRule type="cellIs" dxfId="18503" priority="1024" operator="greaterThan">
      <formula>0</formula>
    </cfRule>
  </conditionalFormatting>
  <conditionalFormatting sqref="O57:P57">
    <cfRule type="cellIs" dxfId="18502" priority="1017" operator="equal">
      <formula>"PMS"</formula>
    </cfRule>
    <cfRule type="containsText" dxfId="18501" priority="1018" operator="containsText" text="CMS">
      <formula>NOT(ISERROR(SEARCH("CMS",O57)))</formula>
    </cfRule>
    <cfRule type="cellIs" dxfId="18500" priority="1019" operator="equal">
      <formula>0</formula>
    </cfRule>
    <cfRule type="cellIs" dxfId="18499" priority="1020" operator="greaterThan">
      <formula>0</formula>
    </cfRule>
  </conditionalFormatting>
  <conditionalFormatting sqref="G48:G49">
    <cfRule type="cellIs" dxfId="18498" priority="1009" operator="equal">
      <formula>"PMS"</formula>
    </cfRule>
    <cfRule type="containsText" dxfId="18497" priority="1010" operator="containsText" text="CMS">
      <formula>NOT(ISERROR(SEARCH("CMS",G48)))</formula>
    </cfRule>
    <cfRule type="cellIs" dxfId="18496" priority="1011" operator="equal">
      <formula>0</formula>
    </cfRule>
    <cfRule type="cellIs" dxfId="18495" priority="1012" operator="greaterThan">
      <formula>0</formula>
    </cfRule>
    <cfRule type="cellIs" dxfId="18494" priority="1013" operator="equal">
      <formula>"PMS"</formula>
    </cfRule>
    <cfRule type="containsText" dxfId="18493" priority="1014" operator="containsText" text="CMS">
      <formula>NOT(ISERROR(SEARCH("CMS",G48)))</formula>
    </cfRule>
    <cfRule type="cellIs" dxfId="18492" priority="1015" operator="equal">
      <formula>0</formula>
    </cfRule>
    <cfRule type="cellIs" dxfId="18491" priority="1016" operator="greaterThan">
      <formula>0</formula>
    </cfRule>
  </conditionalFormatting>
  <conditionalFormatting sqref="G48:G49">
    <cfRule type="cellIs" dxfId="18490" priority="1005" operator="equal">
      <formula>"PMS"</formula>
    </cfRule>
    <cfRule type="containsText" dxfId="18489" priority="1006" operator="containsText" text="CMS">
      <formula>NOT(ISERROR(SEARCH("CMS",G48)))</formula>
    </cfRule>
    <cfRule type="cellIs" dxfId="18488" priority="1007" operator="equal">
      <formula>0</formula>
    </cfRule>
    <cfRule type="cellIs" dxfId="18487" priority="1008" operator="greaterThan">
      <formula>0</formula>
    </cfRule>
  </conditionalFormatting>
  <conditionalFormatting sqref="G48:G49">
    <cfRule type="cellIs" dxfId="18486" priority="1001" operator="equal">
      <formula>"PMS"</formula>
    </cfRule>
    <cfRule type="containsText" dxfId="18485" priority="1002" operator="containsText" text="CMS">
      <formula>NOT(ISERROR(SEARCH("CMS",G48)))</formula>
    </cfRule>
    <cfRule type="cellIs" dxfId="18484" priority="1003" operator="equal">
      <formula>0</formula>
    </cfRule>
    <cfRule type="cellIs" dxfId="18483" priority="1004" operator="greaterThan">
      <formula>0</formula>
    </cfRule>
  </conditionalFormatting>
  <conditionalFormatting sqref="G74 G66:G72">
    <cfRule type="cellIs" dxfId="18482" priority="993" operator="equal">
      <formula>"PMS"</formula>
    </cfRule>
    <cfRule type="containsText" dxfId="18481" priority="994" operator="containsText" text="CMS">
      <formula>NOT(ISERROR(SEARCH("CMS",G66)))</formula>
    </cfRule>
    <cfRule type="cellIs" dxfId="18480" priority="995" operator="equal">
      <formula>0</formula>
    </cfRule>
    <cfRule type="cellIs" dxfId="18479" priority="996" operator="greaterThan">
      <formula>0</formula>
    </cfRule>
    <cfRule type="cellIs" dxfId="18478" priority="997" operator="equal">
      <formula>"PMS"</formula>
    </cfRule>
    <cfRule type="containsText" dxfId="18477" priority="998" operator="containsText" text="CMS">
      <formula>NOT(ISERROR(SEARCH("CMS",G66)))</formula>
    </cfRule>
    <cfRule type="cellIs" dxfId="18476" priority="999" operator="equal">
      <formula>0</formula>
    </cfRule>
    <cfRule type="cellIs" dxfId="18475" priority="1000" operator="greaterThan">
      <formula>0</formula>
    </cfRule>
  </conditionalFormatting>
  <conditionalFormatting sqref="P56 O53:O58">
    <cfRule type="cellIs" dxfId="18474" priority="989" operator="equal">
      <formula>"PMS"</formula>
    </cfRule>
    <cfRule type="containsText" dxfId="18473" priority="990" operator="containsText" text="CMS">
      <formula>NOT(ISERROR(SEARCH("CMS",O53)))</formula>
    </cfRule>
    <cfRule type="cellIs" dxfId="18472" priority="991" operator="equal">
      <formula>0</formula>
    </cfRule>
    <cfRule type="cellIs" dxfId="18471" priority="992" operator="greaterThan">
      <formula>0</formula>
    </cfRule>
  </conditionalFormatting>
  <conditionalFormatting sqref="G35 I24 I35 I73:J73 G73">
    <cfRule type="cellIs" dxfId="18470" priority="981" operator="equal">
      <formula>"PMS"</formula>
    </cfRule>
    <cfRule type="containsText" dxfId="18469" priority="982" operator="containsText" text="CMS">
      <formula>NOT(ISERROR(SEARCH("CMS",G24)))</formula>
    </cfRule>
    <cfRule type="cellIs" dxfId="18468" priority="983" operator="equal">
      <formula>0</formula>
    </cfRule>
    <cfRule type="cellIs" dxfId="18467" priority="984" operator="greaterThan">
      <formula>0</formula>
    </cfRule>
    <cfRule type="cellIs" dxfId="18466" priority="985" operator="equal">
      <formula>"PMS"</formula>
    </cfRule>
    <cfRule type="containsText" dxfId="18465" priority="986" operator="containsText" text="CMS">
      <formula>NOT(ISERROR(SEARCH("CMS",G24)))</formula>
    </cfRule>
    <cfRule type="cellIs" dxfId="18464" priority="987" operator="equal">
      <formula>0</formula>
    </cfRule>
    <cfRule type="cellIs" dxfId="18463" priority="988" operator="greaterThan">
      <formula>0</formula>
    </cfRule>
  </conditionalFormatting>
  <conditionalFormatting sqref="I73:J73 G73">
    <cfRule type="cellIs" dxfId="18462" priority="977" operator="equal">
      <formula>"PMS"</formula>
    </cfRule>
    <cfRule type="containsText" dxfId="18461" priority="978" operator="containsText" text="CMS">
      <formula>NOT(ISERROR(SEARCH("CMS",G73)))</formula>
    </cfRule>
    <cfRule type="cellIs" dxfId="18460" priority="979" operator="equal">
      <formula>0</formula>
    </cfRule>
    <cfRule type="cellIs" dxfId="18459" priority="980" operator="greaterThan">
      <formula>0</formula>
    </cfRule>
  </conditionalFormatting>
  <conditionalFormatting sqref="I73:J73 G73">
    <cfRule type="cellIs" dxfId="18458" priority="973" operator="equal">
      <formula>"PMS"</formula>
    </cfRule>
    <cfRule type="containsText" dxfId="18457" priority="974" operator="containsText" text="CMS">
      <formula>NOT(ISERROR(SEARCH("CMS",G73)))</formula>
    </cfRule>
    <cfRule type="cellIs" dxfId="18456" priority="975" operator="equal">
      <formula>0</formula>
    </cfRule>
    <cfRule type="cellIs" dxfId="18455" priority="976" operator="greaterThan">
      <formula>0</formula>
    </cfRule>
  </conditionalFormatting>
  <conditionalFormatting sqref="I24">
    <cfRule type="cellIs" dxfId="18454" priority="969" operator="equal">
      <formula>"PMS"</formula>
    </cfRule>
    <cfRule type="containsText" dxfId="18453" priority="970" operator="containsText" text="CMS">
      <formula>NOT(ISERROR(SEARCH("CMS",I24)))</formula>
    </cfRule>
    <cfRule type="cellIs" dxfId="18452" priority="971" operator="equal">
      <formula>0</formula>
    </cfRule>
    <cfRule type="cellIs" dxfId="18451" priority="972" operator="greaterThan">
      <formula>0</formula>
    </cfRule>
  </conditionalFormatting>
  <conditionalFormatting sqref="I24">
    <cfRule type="cellIs" dxfId="18450" priority="965" operator="equal">
      <formula>"PMS"</formula>
    </cfRule>
    <cfRule type="containsText" dxfId="18449" priority="966" operator="containsText" text="CMS">
      <formula>NOT(ISERROR(SEARCH("CMS",I24)))</formula>
    </cfRule>
    <cfRule type="cellIs" dxfId="18448" priority="967" operator="equal">
      <formula>0</formula>
    </cfRule>
    <cfRule type="cellIs" dxfId="18447" priority="968" operator="greaterThan">
      <formula>0</formula>
    </cfRule>
  </conditionalFormatting>
  <conditionalFormatting sqref="G35 I35">
    <cfRule type="cellIs" dxfId="18446" priority="961" operator="equal">
      <formula>"PMS"</formula>
    </cfRule>
    <cfRule type="containsText" dxfId="18445" priority="962" operator="containsText" text="CMS">
      <formula>NOT(ISERROR(SEARCH("CMS",G35)))</formula>
    </cfRule>
    <cfRule type="cellIs" dxfId="18444" priority="963" operator="equal">
      <formula>0</formula>
    </cfRule>
    <cfRule type="cellIs" dxfId="18443" priority="964" operator="greaterThan">
      <formula>0</formula>
    </cfRule>
  </conditionalFormatting>
  <conditionalFormatting sqref="G35 I35">
    <cfRule type="cellIs" dxfId="18442" priority="957" operator="equal">
      <formula>"PMS"</formula>
    </cfRule>
    <cfRule type="containsText" dxfId="18441" priority="958" operator="containsText" text="CMS">
      <formula>NOT(ISERROR(SEARCH("CMS",G35)))</formula>
    </cfRule>
    <cfRule type="cellIs" dxfId="18440" priority="959" operator="equal">
      <formula>0</formula>
    </cfRule>
    <cfRule type="cellIs" dxfId="18439" priority="960" operator="greaterThan">
      <formula>0</formula>
    </cfRule>
  </conditionalFormatting>
  <conditionalFormatting sqref="G19 I19">
    <cfRule type="cellIs" dxfId="18438" priority="949" operator="equal">
      <formula>"PMS"</formula>
    </cfRule>
    <cfRule type="containsText" dxfId="18437" priority="950" operator="containsText" text="CMS">
      <formula>NOT(ISERROR(SEARCH("CMS",G19)))</formula>
    </cfRule>
    <cfRule type="cellIs" dxfId="18436" priority="951" operator="equal">
      <formula>0</formula>
    </cfRule>
    <cfRule type="cellIs" dxfId="18435" priority="952" operator="greaterThan">
      <formula>0</formula>
    </cfRule>
    <cfRule type="cellIs" dxfId="18434" priority="953" operator="equal">
      <formula>"PMS"</formula>
    </cfRule>
    <cfRule type="containsText" dxfId="18433" priority="954" operator="containsText" text="CMS">
      <formula>NOT(ISERROR(SEARCH("CMS",G19)))</formula>
    </cfRule>
    <cfRule type="cellIs" dxfId="18432" priority="955" operator="equal">
      <formula>0</formula>
    </cfRule>
    <cfRule type="cellIs" dxfId="18431" priority="956" operator="greaterThan">
      <formula>0</formula>
    </cfRule>
  </conditionalFormatting>
  <conditionalFormatting sqref="G19 I19">
    <cfRule type="cellIs" dxfId="18430" priority="945" operator="equal">
      <formula>"PMS"</formula>
    </cfRule>
    <cfRule type="containsText" dxfId="18429" priority="946" operator="containsText" text="CMS">
      <formula>NOT(ISERROR(SEARCH("CMS",G19)))</formula>
    </cfRule>
    <cfRule type="cellIs" dxfId="18428" priority="947" operator="equal">
      <formula>0</formula>
    </cfRule>
    <cfRule type="cellIs" dxfId="18427" priority="948" operator="greaterThan">
      <formula>0</formula>
    </cfRule>
  </conditionalFormatting>
  <conditionalFormatting sqref="G19 I19">
    <cfRule type="cellIs" dxfId="18426" priority="941" operator="equal">
      <formula>"PMS"</formula>
    </cfRule>
    <cfRule type="containsText" dxfId="18425" priority="942" operator="containsText" text="CMS">
      <formula>NOT(ISERROR(SEARCH("CMS",G19)))</formula>
    </cfRule>
    <cfRule type="cellIs" dxfId="18424" priority="943" operator="equal">
      <formula>0</formula>
    </cfRule>
    <cfRule type="cellIs" dxfId="18423" priority="944" operator="greaterThan">
      <formula>0</formula>
    </cfRule>
  </conditionalFormatting>
  <conditionalFormatting sqref="O54:O55">
    <cfRule type="cellIs" dxfId="18422" priority="937" operator="equal">
      <formula>"PMS"</formula>
    </cfRule>
    <cfRule type="containsText" dxfId="18421" priority="938" operator="containsText" text="CMS">
      <formula>NOT(ISERROR(SEARCH("CMS",O54)))</formula>
    </cfRule>
    <cfRule type="cellIs" dxfId="18420" priority="939" operator="equal">
      <formula>0</formula>
    </cfRule>
    <cfRule type="cellIs" dxfId="18419" priority="940" operator="greaterThan">
      <formula>0</formula>
    </cfRule>
  </conditionalFormatting>
  <conditionalFormatting sqref="K61 K63">
    <cfRule type="cellIs" dxfId="18418" priority="929" operator="equal">
      <formula>"PMS"</formula>
    </cfRule>
    <cfRule type="containsText" dxfId="18417" priority="930" operator="containsText" text="CMS">
      <formula>NOT(ISERROR(SEARCH("CMS",K61)))</formula>
    </cfRule>
    <cfRule type="cellIs" dxfId="18416" priority="931" operator="equal">
      <formula>0</formula>
    </cfRule>
    <cfRule type="cellIs" dxfId="18415" priority="932" operator="greaterThan">
      <formula>0</formula>
    </cfRule>
    <cfRule type="cellIs" dxfId="18414" priority="933" operator="equal">
      <formula>"PMS"</formula>
    </cfRule>
    <cfRule type="containsText" dxfId="18413" priority="934" operator="containsText" text="CMS">
      <formula>NOT(ISERROR(SEARCH("CMS",K61)))</formula>
    </cfRule>
    <cfRule type="cellIs" dxfId="18412" priority="935" operator="equal">
      <formula>0</formula>
    </cfRule>
    <cfRule type="cellIs" dxfId="18411" priority="936" operator="greaterThan">
      <formula>0</formula>
    </cfRule>
  </conditionalFormatting>
  <conditionalFormatting sqref="O47:P47">
    <cfRule type="cellIs" dxfId="18410" priority="925" operator="equal">
      <formula>"PMS"</formula>
    </cfRule>
    <cfRule type="containsText" dxfId="18409" priority="926" operator="containsText" text="CMS">
      <formula>NOT(ISERROR(SEARCH("CMS",O47)))</formula>
    </cfRule>
    <cfRule type="cellIs" dxfId="18408" priority="927" operator="equal">
      <formula>0</formula>
    </cfRule>
    <cfRule type="cellIs" dxfId="18407" priority="928" operator="greaterThan">
      <formula>0</formula>
    </cfRule>
  </conditionalFormatting>
  <conditionalFormatting sqref="O16:P16">
    <cfRule type="cellIs" dxfId="18406" priority="921" operator="equal">
      <formula>"PMS"</formula>
    </cfRule>
    <cfRule type="containsText" dxfId="18405" priority="922" operator="containsText" text="CMS">
      <formula>NOT(ISERROR(SEARCH("CMS",O16)))</formula>
    </cfRule>
    <cfRule type="cellIs" dxfId="18404" priority="923" operator="equal">
      <formula>0</formula>
    </cfRule>
    <cfRule type="cellIs" dxfId="18403" priority="924" operator="greaterThan">
      <formula>0</formula>
    </cfRule>
  </conditionalFormatting>
  <conditionalFormatting sqref="P57">
    <cfRule type="cellIs" dxfId="18402" priority="917" operator="equal">
      <formula>"PMS"</formula>
    </cfRule>
    <cfRule type="containsText" dxfId="18401" priority="918" operator="containsText" text="CMS">
      <formula>NOT(ISERROR(SEARCH("CMS",P57)))</formula>
    </cfRule>
    <cfRule type="cellIs" dxfId="18400" priority="919" operator="equal">
      <formula>0</formula>
    </cfRule>
    <cfRule type="cellIs" dxfId="18399" priority="920" operator="greaterThan">
      <formula>0</formula>
    </cfRule>
  </conditionalFormatting>
  <conditionalFormatting sqref="P57">
    <cfRule type="cellIs" dxfId="18398" priority="913" operator="equal">
      <formula>"PMS"</formula>
    </cfRule>
    <cfRule type="containsText" dxfId="18397" priority="914" operator="containsText" text="CMS">
      <formula>NOT(ISERROR(SEARCH("CMS",P57)))</formula>
    </cfRule>
    <cfRule type="cellIs" dxfId="18396" priority="915" operator="equal">
      <formula>0</formula>
    </cfRule>
    <cfRule type="cellIs" dxfId="18395" priority="916" operator="greaterThan">
      <formula>0</formula>
    </cfRule>
  </conditionalFormatting>
  <conditionalFormatting sqref="P57">
    <cfRule type="cellIs" dxfId="18394" priority="909" operator="equal">
      <formula>"PMS"</formula>
    </cfRule>
    <cfRule type="containsText" dxfId="18393" priority="910" operator="containsText" text="CMS">
      <formula>NOT(ISERROR(SEARCH("CMS",P57)))</formula>
    </cfRule>
    <cfRule type="cellIs" dxfId="18392" priority="911" operator="equal">
      <formula>0</formula>
    </cfRule>
    <cfRule type="cellIs" dxfId="18391" priority="912" operator="greaterThan">
      <formula>0</formula>
    </cfRule>
  </conditionalFormatting>
  <conditionalFormatting sqref="P57:P58">
    <cfRule type="cellIs" dxfId="18390" priority="905" operator="equal">
      <formula>"PMS"</formula>
    </cfRule>
    <cfRule type="containsText" dxfId="18389" priority="906" operator="containsText" text="CMS">
      <formula>NOT(ISERROR(SEARCH("CMS",P57)))</formula>
    </cfRule>
    <cfRule type="cellIs" dxfId="18388" priority="907" operator="equal">
      <formula>0</formula>
    </cfRule>
    <cfRule type="cellIs" dxfId="18387" priority="908" operator="greaterThan">
      <formula>0</formula>
    </cfRule>
  </conditionalFormatting>
  <conditionalFormatting sqref="AB24">
    <cfRule type="cellIs" dxfId="18386" priority="901" operator="equal">
      <formula>"PMS"</formula>
    </cfRule>
    <cfRule type="containsText" dxfId="18385" priority="902" operator="containsText" text="CMS">
      <formula>NOT(ISERROR(SEARCH("CMS",AB24)))</formula>
    </cfRule>
    <cfRule type="cellIs" dxfId="18384" priority="903" operator="equal">
      <formula>0</formula>
    </cfRule>
    <cfRule type="cellIs" dxfId="18383" priority="904" operator="greaterThan">
      <formula>0</formula>
    </cfRule>
  </conditionalFormatting>
  <conditionalFormatting sqref="AB24">
    <cfRule type="cellIs" dxfId="18382" priority="897" operator="equal">
      <formula>"PMS"</formula>
    </cfRule>
    <cfRule type="containsText" dxfId="18381" priority="898" operator="containsText" text="CMS">
      <formula>NOT(ISERROR(SEARCH("CMS",AB24)))</formula>
    </cfRule>
    <cfRule type="cellIs" dxfId="18380" priority="899" operator="equal">
      <formula>0</formula>
    </cfRule>
    <cfRule type="cellIs" dxfId="18379" priority="900" operator="greaterThan">
      <formula>0</formula>
    </cfRule>
  </conditionalFormatting>
  <conditionalFormatting sqref="I29 L29 O29 R29 AA29 X29:Y29 T29:U29">
    <cfRule type="cellIs" dxfId="18378" priority="889" operator="equal">
      <formula>"PMS"</formula>
    </cfRule>
    <cfRule type="containsText" dxfId="18377" priority="890" operator="containsText" text="CMS">
      <formula>NOT(ISERROR(SEARCH("CMS",I29)))</formula>
    </cfRule>
    <cfRule type="cellIs" dxfId="18376" priority="891" operator="equal">
      <formula>0</formula>
    </cfRule>
    <cfRule type="cellIs" dxfId="18375" priority="892" operator="greaterThan">
      <formula>0</formula>
    </cfRule>
    <cfRule type="cellIs" dxfId="18374" priority="893" operator="equal">
      <formula>"PMS"</formula>
    </cfRule>
    <cfRule type="containsText" dxfId="18373" priority="894" operator="containsText" text="CMS">
      <formula>NOT(ISERROR(SEARCH("CMS",I29)))</formula>
    </cfRule>
    <cfRule type="cellIs" dxfId="18372" priority="895" operator="equal">
      <formula>0</formula>
    </cfRule>
    <cfRule type="cellIs" dxfId="18371" priority="896" operator="greaterThan">
      <formula>0</formula>
    </cfRule>
  </conditionalFormatting>
  <conditionalFormatting sqref="I29 L29 O29 R29 AA29 X29:Y29 T29:U29">
    <cfRule type="cellIs" dxfId="18370" priority="885" operator="equal">
      <formula>"PMS"</formula>
    </cfRule>
    <cfRule type="containsText" dxfId="18369" priority="886" operator="containsText" text="CMS">
      <formula>NOT(ISERROR(SEARCH("CMS",I29)))</formula>
    </cfRule>
    <cfRule type="cellIs" dxfId="18368" priority="887" operator="equal">
      <formula>0</formula>
    </cfRule>
    <cfRule type="cellIs" dxfId="18367" priority="888" operator="greaterThan">
      <formula>0</formula>
    </cfRule>
  </conditionalFormatting>
  <conditionalFormatting sqref="I29 L29 O29 R29 AA29 X29:Y29 T29:U29">
    <cfRule type="cellIs" dxfId="18366" priority="881" operator="equal">
      <formula>"PMS"</formula>
    </cfRule>
    <cfRule type="containsText" dxfId="18365" priority="882" operator="containsText" text="CMS">
      <formula>NOT(ISERROR(SEARCH("CMS",I29)))</formula>
    </cfRule>
    <cfRule type="cellIs" dxfId="18364" priority="883" operator="equal">
      <formula>0</formula>
    </cfRule>
    <cfRule type="cellIs" dxfId="18363" priority="884" operator="greaterThan">
      <formula>0</formula>
    </cfRule>
  </conditionalFormatting>
  <conditionalFormatting sqref="K29 N29 Q29 W29 Z29 AC29">
    <cfRule type="cellIs" dxfId="18362" priority="873" operator="equal">
      <formula>"PMS"</formula>
    </cfRule>
    <cfRule type="containsText" dxfId="18361" priority="874" operator="containsText" text="CMS">
      <formula>NOT(ISERROR(SEARCH("CMS",K29)))</formula>
    </cfRule>
    <cfRule type="cellIs" dxfId="18360" priority="875" operator="equal">
      <formula>0</formula>
    </cfRule>
    <cfRule type="cellIs" dxfId="18359" priority="876" operator="greaterThan">
      <formula>0</formula>
    </cfRule>
    <cfRule type="cellIs" dxfId="18358" priority="877" operator="equal">
      <formula>"PMS"</formula>
    </cfRule>
    <cfRule type="containsText" dxfId="18357" priority="878" operator="containsText" text="CMS">
      <formula>NOT(ISERROR(SEARCH("CMS",K29)))</formula>
    </cfRule>
    <cfRule type="cellIs" dxfId="18356" priority="879" operator="equal">
      <formula>0</formula>
    </cfRule>
    <cfRule type="cellIs" dxfId="18355" priority="880" operator="greaterThan">
      <formula>0</formula>
    </cfRule>
  </conditionalFormatting>
  <conditionalFormatting sqref="G81:AC81">
    <cfRule type="cellIs" dxfId="18354" priority="865" operator="equal">
      <formula>"PMS"</formula>
    </cfRule>
    <cfRule type="containsText" dxfId="18353" priority="866" operator="containsText" text="CMS">
      <formula>NOT(ISERROR(SEARCH("CMS",G81)))</formula>
    </cfRule>
    <cfRule type="cellIs" dxfId="18352" priority="867" operator="equal">
      <formula>0</formula>
    </cfRule>
    <cfRule type="cellIs" dxfId="18351" priority="868" operator="greaterThan">
      <formula>0</formula>
    </cfRule>
    <cfRule type="cellIs" dxfId="18350" priority="869" operator="equal">
      <formula>"PMS"</formula>
    </cfRule>
    <cfRule type="containsText" dxfId="18349" priority="870" operator="containsText" text="CMS">
      <formula>NOT(ISERROR(SEARCH("CMS",G81)))</formula>
    </cfRule>
    <cfRule type="cellIs" dxfId="18348" priority="871" operator="equal">
      <formula>0</formula>
    </cfRule>
    <cfRule type="cellIs" dxfId="18347" priority="872" operator="greaterThan">
      <formula>0</formula>
    </cfRule>
  </conditionalFormatting>
  <conditionalFormatting sqref="G81:AC81">
    <cfRule type="cellIs" dxfId="18346" priority="861" operator="equal">
      <formula>"PMS"</formula>
    </cfRule>
    <cfRule type="containsText" dxfId="18345" priority="862" operator="containsText" text="CMS">
      <formula>NOT(ISERROR(SEARCH("CMS",G81)))</formula>
    </cfRule>
    <cfRule type="cellIs" dxfId="18344" priority="863" operator="equal">
      <formula>0</formula>
    </cfRule>
    <cfRule type="cellIs" dxfId="18343" priority="864" operator="greaterThan">
      <formula>0</formula>
    </cfRule>
  </conditionalFormatting>
  <conditionalFormatting sqref="G51:G52 I51:M52">
    <cfRule type="cellIs" dxfId="18342" priority="853" operator="equal">
      <formula>"PMS"</formula>
    </cfRule>
    <cfRule type="containsText" dxfId="18341" priority="854" operator="containsText" text="CMS">
      <formula>NOT(ISERROR(SEARCH("CMS",G51)))</formula>
    </cfRule>
    <cfRule type="cellIs" dxfId="18340" priority="855" operator="equal">
      <formula>0</formula>
    </cfRule>
    <cfRule type="cellIs" dxfId="18339" priority="856" operator="greaterThan">
      <formula>0</formula>
    </cfRule>
    <cfRule type="cellIs" dxfId="18338" priority="857" operator="equal">
      <formula>"PMS"</formula>
    </cfRule>
    <cfRule type="containsText" dxfId="18337" priority="858" operator="containsText" text="CMS">
      <formula>NOT(ISERROR(SEARCH("CMS",G51)))</formula>
    </cfRule>
    <cfRule type="cellIs" dxfId="18336" priority="859" operator="equal">
      <formula>0</formula>
    </cfRule>
    <cfRule type="cellIs" dxfId="18335" priority="860" operator="greaterThan">
      <formula>0</formula>
    </cfRule>
  </conditionalFormatting>
  <conditionalFormatting sqref="G51:G52 I51:M52">
    <cfRule type="cellIs" dxfId="18334" priority="849" operator="equal">
      <formula>"PMS"</formula>
    </cfRule>
    <cfRule type="containsText" dxfId="18333" priority="850" operator="containsText" text="CMS">
      <formula>NOT(ISERROR(SEARCH("CMS",G51)))</formula>
    </cfRule>
    <cfRule type="cellIs" dxfId="18332" priority="851" operator="equal">
      <formula>0</formula>
    </cfRule>
    <cfRule type="cellIs" dxfId="18331" priority="852" operator="greaterThan">
      <formula>0</formula>
    </cfRule>
  </conditionalFormatting>
  <conditionalFormatting sqref="G51:G52 I51:M52">
    <cfRule type="cellIs" dxfId="18330" priority="845" operator="equal">
      <formula>"PMS"</formula>
    </cfRule>
    <cfRule type="containsText" dxfId="18329" priority="846" operator="containsText" text="CMS">
      <formula>NOT(ISERROR(SEARCH("CMS",G51)))</formula>
    </cfRule>
    <cfRule type="cellIs" dxfId="18328" priority="847" operator="equal">
      <formula>0</formula>
    </cfRule>
    <cfRule type="cellIs" dxfId="18327" priority="848" operator="greaterThan">
      <formula>0</formula>
    </cfRule>
  </conditionalFormatting>
  <conditionalFormatting sqref="G57:G58">
    <cfRule type="cellIs" dxfId="18326" priority="837" operator="equal">
      <formula>"PMS"</formula>
    </cfRule>
    <cfRule type="containsText" dxfId="18325" priority="838" operator="containsText" text="CMS">
      <formula>NOT(ISERROR(SEARCH("CMS",G57)))</formula>
    </cfRule>
    <cfRule type="cellIs" dxfId="18324" priority="839" operator="equal">
      <formula>0</formula>
    </cfRule>
    <cfRule type="cellIs" dxfId="18323" priority="840" operator="greaterThan">
      <formula>0</formula>
    </cfRule>
    <cfRule type="cellIs" dxfId="18322" priority="841" operator="equal">
      <formula>"PMS"</formula>
    </cfRule>
    <cfRule type="containsText" dxfId="18321" priority="842" operator="containsText" text="CMS">
      <formula>NOT(ISERROR(SEARCH("CMS",G57)))</formula>
    </cfRule>
    <cfRule type="cellIs" dxfId="18320" priority="843" operator="equal">
      <formula>0</formula>
    </cfRule>
    <cfRule type="cellIs" dxfId="18319" priority="844" operator="greaterThan">
      <formula>0</formula>
    </cfRule>
  </conditionalFormatting>
  <conditionalFormatting sqref="G57:G58">
    <cfRule type="cellIs" dxfId="18318" priority="833" operator="equal">
      <formula>"PMS"</formula>
    </cfRule>
    <cfRule type="containsText" dxfId="18317" priority="834" operator="containsText" text="CMS">
      <formula>NOT(ISERROR(SEARCH("CMS",G57)))</formula>
    </cfRule>
    <cfRule type="cellIs" dxfId="18316" priority="835" operator="equal">
      <formula>0</formula>
    </cfRule>
    <cfRule type="cellIs" dxfId="18315" priority="836" operator="greaterThan">
      <formula>0</formula>
    </cfRule>
  </conditionalFormatting>
  <conditionalFormatting sqref="G57:G58">
    <cfRule type="cellIs" dxfId="18314" priority="829" operator="equal">
      <formula>"PMS"</formula>
    </cfRule>
    <cfRule type="containsText" dxfId="18313" priority="830" operator="containsText" text="CMS">
      <formula>NOT(ISERROR(SEARCH("CMS",G57)))</formula>
    </cfRule>
    <cfRule type="cellIs" dxfId="18312" priority="831" operator="equal">
      <formula>0</formula>
    </cfRule>
    <cfRule type="cellIs" dxfId="18311" priority="832" operator="greaterThan">
      <formula>0</formula>
    </cfRule>
  </conditionalFormatting>
  <conditionalFormatting sqref="G32 I32:AC32">
    <cfRule type="cellIs" dxfId="18310" priority="821" operator="equal">
      <formula>"PMS"</formula>
    </cfRule>
    <cfRule type="containsText" dxfId="18309" priority="822" operator="containsText" text="CMS">
      <formula>NOT(ISERROR(SEARCH("CMS",G32)))</formula>
    </cfRule>
    <cfRule type="cellIs" dxfId="18308" priority="823" operator="equal">
      <formula>0</formula>
    </cfRule>
    <cfRule type="cellIs" dxfId="18307" priority="824" operator="greaterThan">
      <formula>0</formula>
    </cfRule>
    <cfRule type="cellIs" dxfId="18306" priority="825" operator="equal">
      <formula>"PMS"</formula>
    </cfRule>
    <cfRule type="containsText" dxfId="18305" priority="826" operator="containsText" text="CMS">
      <formula>NOT(ISERROR(SEARCH("CMS",G32)))</formula>
    </cfRule>
    <cfRule type="cellIs" dxfId="18304" priority="827" operator="equal">
      <formula>0</formula>
    </cfRule>
    <cfRule type="cellIs" dxfId="18303" priority="828" operator="greaterThan">
      <formula>0</formula>
    </cfRule>
  </conditionalFormatting>
  <conditionalFormatting sqref="G32 I32:AC32">
    <cfRule type="cellIs" dxfId="18302" priority="817" operator="equal">
      <formula>"PMS"</formula>
    </cfRule>
    <cfRule type="containsText" dxfId="18301" priority="818" operator="containsText" text="CMS">
      <formula>NOT(ISERROR(SEARCH("CMS",G32)))</formula>
    </cfRule>
    <cfRule type="cellIs" dxfId="18300" priority="819" operator="equal">
      <formula>0</formula>
    </cfRule>
    <cfRule type="cellIs" dxfId="18299" priority="820" operator="greaterThan">
      <formula>0</formula>
    </cfRule>
  </conditionalFormatting>
  <conditionalFormatting sqref="G32 I32:AC32">
    <cfRule type="cellIs" dxfId="18298" priority="813" operator="equal">
      <formula>"PMS"</formula>
    </cfRule>
    <cfRule type="containsText" dxfId="18297" priority="814" operator="containsText" text="CMS">
      <formula>NOT(ISERROR(SEARCH("CMS",G32)))</formula>
    </cfRule>
    <cfRule type="cellIs" dxfId="18296" priority="815" operator="equal">
      <formula>0</formula>
    </cfRule>
    <cfRule type="cellIs" dxfId="18295" priority="816" operator="greaterThan">
      <formula>0</formula>
    </cfRule>
  </conditionalFormatting>
  <conditionalFormatting sqref="F81">
    <cfRule type="cellIs" dxfId="18294" priority="805" operator="equal">
      <formula>"PMS"</formula>
    </cfRule>
    <cfRule type="containsText" dxfId="18293" priority="806" operator="containsText" text="CMS">
      <formula>NOT(ISERROR(SEARCH("CMS",F81)))</formula>
    </cfRule>
    <cfRule type="cellIs" dxfId="18292" priority="807" operator="equal">
      <formula>0</formula>
    </cfRule>
    <cfRule type="cellIs" dxfId="18291" priority="808" operator="greaterThan">
      <formula>0</formula>
    </cfRule>
    <cfRule type="cellIs" dxfId="18290" priority="809" operator="equal">
      <formula>"PMS"</formula>
    </cfRule>
    <cfRule type="containsText" dxfId="18289" priority="810" operator="containsText" text="CMS">
      <formula>NOT(ISERROR(SEARCH("CMS",F81)))</formula>
    </cfRule>
    <cfRule type="cellIs" dxfId="18288" priority="811" operator="equal">
      <formula>0</formula>
    </cfRule>
    <cfRule type="cellIs" dxfId="18287" priority="812" operator="greaterThan">
      <formula>0</formula>
    </cfRule>
  </conditionalFormatting>
  <conditionalFormatting sqref="F81">
    <cfRule type="cellIs" dxfId="18286" priority="801" operator="equal">
      <formula>"PMS"</formula>
    </cfRule>
    <cfRule type="containsText" dxfId="18285" priority="802" operator="containsText" text="CMS">
      <formula>NOT(ISERROR(SEARCH("CMS",F81)))</formula>
    </cfRule>
    <cfRule type="cellIs" dxfId="18284" priority="803" operator="equal">
      <formula>0</formula>
    </cfRule>
    <cfRule type="cellIs" dxfId="18283" priority="804" operator="greaterThan">
      <formula>0</formula>
    </cfRule>
  </conditionalFormatting>
  <conditionalFormatting sqref="H13:H16">
    <cfRule type="cellIs" dxfId="18282" priority="793" operator="equal">
      <formula>"PMS"</formula>
    </cfRule>
    <cfRule type="containsText" dxfId="18281" priority="794" operator="containsText" text="CMS">
      <formula>NOT(ISERROR(SEARCH("CMS",H13)))</formula>
    </cfRule>
    <cfRule type="cellIs" dxfId="18280" priority="795" operator="equal">
      <formula>0</formula>
    </cfRule>
    <cfRule type="cellIs" dxfId="18279" priority="796" operator="greaterThan">
      <formula>0</formula>
    </cfRule>
    <cfRule type="cellIs" dxfId="18278" priority="797" operator="equal">
      <formula>"PMS"</formula>
    </cfRule>
    <cfRule type="containsText" dxfId="18277" priority="798" operator="containsText" text="CMS">
      <formula>NOT(ISERROR(SEARCH("CMS",H13)))</formula>
    </cfRule>
    <cfRule type="cellIs" dxfId="18276" priority="799" operator="equal">
      <formula>0</formula>
    </cfRule>
    <cfRule type="cellIs" dxfId="18275" priority="800" operator="greaterThan">
      <formula>0</formula>
    </cfRule>
  </conditionalFormatting>
  <conditionalFormatting sqref="H13:H16">
    <cfRule type="cellIs" dxfId="18274" priority="789" operator="equal">
      <formula>"PMS"</formula>
    </cfRule>
    <cfRule type="containsText" dxfId="18273" priority="790" operator="containsText" text="CMS">
      <formula>NOT(ISERROR(SEARCH("CMS",H13)))</formula>
    </cfRule>
    <cfRule type="cellIs" dxfId="18272" priority="791" operator="equal">
      <formula>0</formula>
    </cfRule>
    <cfRule type="cellIs" dxfId="18271" priority="792" operator="greaterThan">
      <formula>0</formula>
    </cfRule>
  </conditionalFormatting>
  <conditionalFormatting sqref="H13:H16">
    <cfRule type="cellIs" dxfId="18270" priority="785" operator="equal">
      <formula>"PMS"</formula>
    </cfRule>
    <cfRule type="containsText" dxfId="18269" priority="786" operator="containsText" text="CMS">
      <formula>NOT(ISERROR(SEARCH("CMS",H13)))</formula>
    </cfRule>
    <cfRule type="cellIs" dxfId="18268" priority="787" operator="equal">
      <formula>0</formula>
    </cfRule>
    <cfRule type="cellIs" dxfId="18267" priority="788" operator="greaterThan">
      <formula>0</formula>
    </cfRule>
  </conditionalFormatting>
  <conditionalFormatting sqref="H13">
    <cfRule type="cellIs" dxfId="18266" priority="781" operator="equal">
      <formula>"PMS"</formula>
    </cfRule>
    <cfRule type="containsText" dxfId="18265" priority="782" operator="containsText" text="CMS">
      <formula>NOT(ISERROR(SEARCH("CMS",H13)))</formula>
    </cfRule>
    <cfRule type="cellIs" dxfId="18264" priority="783" operator="equal">
      <formula>0</formula>
    </cfRule>
    <cfRule type="cellIs" dxfId="18263" priority="784" operator="greaterThan">
      <formula>0</formula>
    </cfRule>
  </conditionalFormatting>
  <conditionalFormatting sqref="H13">
    <cfRule type="cellIs" dxfId="18262" priority="777" operator="equal">
      <formula>"PMS"</formula>
    </cfRule>
    <cfRule type="containsText" dxfId="18261" priority="778" operator="containsText" text="CMS">
      <formula>NOT(ISERROR(SEARCH("CMS",H13)))</formula>
    </cfRule>
    <cfRule type="cellIs" dxfId="18260" priority="779" operator="equal">
      <formula>0</formula>
    </cfRule>
    <cfRule type="cellIs" dxfId="18259" priority="780" operator="greaterThan">
      <formula>0</formula>
    </cfRule>
  </conditionalFormatting>
  <conditionalFormatting sqref="H20:H21">
    <cfRule type="cellIs" dxfId="18258" priority="769" operator="equal">
      <formula>"PMS"</formula>
    </cfRule>
    <cfRule type="containsText" dxfId="18257" priority="770" operator="containsText" text="CMS">
      <formula>NOT(ISERROR(SEARCH("CMS",H20)))</formula>
    </cfRule>
    <cfRule type="cellIs" dxfId="18256" priority="771" operator="equal">
      <formula>0</formula>
    </cfRule>
    <cfRule type="cellIs" dxfId="18255" priority="772" operator="greaterThan">
      <formula>0</formula>
    </cfRule>
    <cfRule type="cellIs" dxfId="18254" priority="773" operator="equal">
      <formula>"PMS"</formula>
    </cfRule>
    <cfRule type="containsText" dxfId="18253" priority="774" operator="containsText" text="CMS">
      <formula>NOT(ISERROR(SEARCH("CMS",H20)))</formula>
    </cfRule>
    <cfRule type="cellIs" dxfId="18252" priority="775" operator="equal">
      <formula>0</formula>
    </cfRule>
    <cfRule type="cellIs" dxfId="18251" priority="776" operator="greaterThan">
      <formula>0</formula>
    </cfRule>
  </conditionalFormatting>
  <conditionalFormatting sqref="H20:H21">
    <cfRule type="cellIs" dxfId="18250" priority="765" operator="equal">
      <formula>"PMS"</formula>
    </cfRule>
    <cfRule type="containsText" dxfId="18249" priority="766" operator="containsText" text="CMS">
      <formula>NOT(ISERROR(SEARCH("CMS",H20)))</formula>
    </cfRule>
    <cfRule type="cellIs" dxfId="18248" priority="767" operator="equal">
      <formula>0</formula>
    </cfRule>
    <cfRule type="cellIs" dxfId="18247" priority="768" operator="greaterThan">
      <formula>0</formula>
    </cfRule>
  </conditionalFormatting>
  <conditionalFormatting sqref="H20:H21">
    <cfRule type="cellIs" dxfId="18246" priority="761" operator="equal">
      <formula>"PMS"</formula>
    </cfRule>
    <cfRule type="containsText" dxfId="18245" priority="762" operator="containsText" text="CMS">
      <formula>NOT(ISERROR(SEARCH("CMS",H20)))</formula>
    </cfRule>
    <cfRule type="cellIs" dxfId="18244" priority="763" operator="equal">
      <formula>0</formula>
    </cfRule>
    <cfRule type="cellIs" dxfId="18243" priority="764" operator="greaterThan">
      <formula>0</formula>
    </cfRule>
  </conditionalFormatting>
  <conditionalFormatting sqref="H19">
    <cfRule type="cellIs" dxfId="18242" priority="757" operator="equal">
      <formula>"CMS"</formula>
    </cfRule>
    <cfRule type="cellIs" dxfId="18241" priority="758" operator="equal">
      <formula>"PMS"</formula>
    </cfRule>
    <cfRule type="cellIs" dxfId="18240" priority="759" operator="greaterThan">
      <formula>0</formula>
    </cfRule>
    <cfRule type="cellIs" dxfId="18239" priority="760" operator="equal">
      <formula>0</formula>
    </cfRule>
  </conditionalFormatting>
  <conditionalFormatting sqref="H24">
    <cfRule type="cellIs" dxfId="18238" priority="749" operator="equal">
      <formula>"PMS"</formula>
    </cfRule>
    <cfRule type="containsText" dxfId="18237" priority="750" operator="containsText" text="CMS">
      <formula>NOT(ISERROR(SEARCH("CMS",H24)))</formula>
    </cfRule>
    <cfRule type="cellIs" dxfId="18236" priority="751" operator="equal">
      <formula>0</formula>
    </cfRule>
    <cfRule type="cellIs" dxfId="18235" priority="752" operator="greaterThan">
      <formula>0</formula>
    </cfRule>
    <cfRule type="cellIs" dxfId="18234" priority="753" operator="equal">
      <formula>"PMS"</formula>
    </cfRule>
    <cfRule type="containsText" dxfId="18233" priority="754" operator="containsText" text="CMS">
      <formula>NOT(ISERROR(SEARCH("CMS",H24)))</formula>
    </cfRule>
    <cfRule type="cellIs" dxfId="18232" priority="755" operator="equal">
      <formula>0</formula>
    </cfRule>
    <cfRule type="cellIs" dxfId="18231" priority="756" operator="greaterThan">
      <formula>0</formula>
    </cfRule>
  </conditionalFormatting>
  <conditionalFormatting sqref="H24">
    <cfRule type="cellIs" dxfId="18230" priority="745" operator="equal">
      <formula>"PMS"</formula>
    </cfRule>
    <cfRule type="containsText" dxfId="18229" priority="746" operator="containsText" text="CMS">
      <formula>NOT(ISERROR(SEARCH("CMS",H24)))</formula>
    </cfRule>
    <cfRule type="cellIs" dxfId="18228" priority="747" operator="equal">
      <formula>0</formula>
    </cfRule>
    <cfRule type="cellIs" dxfId="18227" priority="748" operator="greaterThan">
      <formula>0</formula>
    </cfRule>
  </conditionalFormatting>
  <conditionalFormatting sqref="H24">
    <cfRule type="cellIs" dxfId="18226" priority="741" operator="equal">
      <formula>"PMS"</formula>
    </cfRule>
    <cfRule type="containsText" dxfId="18225" priority="742" operator="containsText" text="CMS">
      <formula>NOT(ISERROR(SEARCH("CMS",H24)))</formula>
    </cfRule>
    <cfRule type="cellIs" dxfId="18224" priority="743" operator="equal">
      <formula>0</formula>
    </cfRule>
    <cfRule type="cellIs" dxfId="18223" priority="744" operator="greaterThan">
      <formula>0</formula>
    </cfRule>
  </conditionalFormatting>
  <conditionalFormatting sqref="H27:H28">
    <cfRule type="cellIs" dxfId="18222" priority="733" operator="equal">
      <formula>"PMS"</formula>
    </cfRule>
    <cfRule type="containsText" dxfId="18221" priority="734" operator="containsText" text="CMS">
      <formula>NOT(ISERROR(SEARCH("CMS",H27)))</formula>
    </cfRule>
    <cfRule type="cellIs" dxfId="18220" priority="735" operator="equal">
      <formula>0</formula>
    </cfRule>
    <cfRule type="cellIs" dxfId="18219" priority="736" operator="greaterThan">
      <formula>0</formula>
    </cfRule>
    <cfRule type="cellIs" dxfId="18218" priority="737" operator="equal">
      <formula>"PMS"</formula>
    </cfRule>
    <cfRule type="containsText" dxfId="18217" priority="738" operator="containsText" text="CMS">
      <formula>NOT(ISERROR(SEARCH("CMS",H27)))</formula>
    </cfRule>
    <cfRule type="cellIs" dxfId="18216" priority="739" operator="equal">
      <formula>0</formula>
    </cfRule>
    <cfRule type="cellIs" dxfId="18215" priority="740" operator="greaterThan">
      <formula>0</formula>
    </cfRule>
  </conditionalFormatting>
  <conditionalFormatting sqref="H27:H28">
    <cfRule type="cellIs" dxfId="18214" priority="729" operator="equal">
      <formula>"PMS"</formula>
    </cfRule>
    <cfRule type="containsText" dxfId="18213" priority="730" operator="containsText" text="CMS">
      <formula>NOT(ISERROR(SEARCH("CMS",H27)))</formula>
    </cfRule>
    <cfRule type="cellIs" dxfId="18212" priority="731" operator="equal">
      <formula>0</formula>
    </cfRule>
    <cfRule type="cellIs" dxfId="18211" priority="732" operator="greaterThan">
      <formula>0</formula>
    </cfRule>
  </conditionalFormatting>
  <conditionalFormatting sqref="H27:H28">
    <cfRule type="cellIs" dxfId="18210" priority="725" operator="equal">
      <formula>"PMS"</formula>
    </cfRule>
    <cfRule type="containsText" dxfId="18209" priority="726" operator="containsText" text="CMS">
      <formula>NOT(ISERROR(SEARCH("CMS",H27)))</formula>
    </cfRule>
    <cfRule type="cellIs" dxfId="18208" priority="727" operator="equal">
      <formula>0</formula>
    </cfRule>
    <cfRule type="cellIs" dxfId="18207" priority="728" operator="greaterThan">
      <formula>0</formula>
    </cfRule>
  </conditionalFormatting>
  <conditionalFormatting sqref="H29">
    <cfRule type="cellIs" dxfId="18206" priority="717" operator="equal">
      <formula>"PMS"</formula>
    </cfRule>
    <cfRule type="containsText" dxfId="18205" priority="718" operator="containsText" text="CMS">
      <formula>NOT(ISERROR(SEARCH("CMS",H29)))</formula>
    </cfRule>
    <cfRule type="cellIs" dxfId="18204" priority="719" operator="equal">
      <formula>0</formula>
    </cfRule>
    <cfRule type="cellIs" dxfId="18203" priority="720" operator="greaterThan">
      <formula>0</formula>
    </cfRule>
    <cfRule type="cellIs" dxfId="18202" priority="721" operator="equal">
      <formula>"PMS"</formula>
    </cfRule>
    <cfRule type="containsText" dxfId="18201" priority="722" operator="containsText" text="CMS">
      <formula>NOT(ISERROR(SEARCH("CMS",H29)))</formula>
    </cfRule>
    <cfRule type="cellIs" dxfId="18200" priority="723" operator="equal">
      <formula>0</formula>
    </cfRule>
    <cfRule type="cellIs" dxfId="18199" priority="724" operator="greaterThan">
      <formula>0</formula>
    </cfRule>
  </conditionalFormatting>
  <conditionalFormatting sqref="H32">
    <cfRule type="cellIs" dxfId="18198" priority="709" operator="equal">
      <formula>"PMS"</formula>
    </cfRule>
    <cfRule type="containsText" dxfId="18197" priority="710" operator="containsText" text="CMS">
      <formula>NOT(ISERROR(SEARCH("CMS",H32)))</formula>
    </cfRule>
    <cfRule type="cellIs" dxfId="18196" priority="711" operator="equal">
      <formula>0</formula>
    </cfRule>
    <cfRule type="cellIs" dxfId="18195" priority="712" operator="greaterThan">
      <formula>0</formula>
    </cfRule>
    <cfRule type="cellIs" dxfId="18194" priority="713" operator="equal">
      <formula>"PMS"</formula>
    </cfRule>
    <cfRule type="containsText" dxfId="18193" priority="714" operator="containsText" text="CMS">
      <formula>NOT(ISERROR(SEARCH("CMS",H32)))</formula>
    </cfRule>
    <cfRule type="cellIs" dxfId="18192" priority="715" operator="equal">
      <formula>0</formula>
    </cfRule>
    <cfRule type="cellIs" dxfId="18191" priority="716" operator="greaterThan">
      <formula>0</formula>
    </cfRule>
  </conditionalFormatting>
  <conditionalFormatting sqref="H32">
    <cfRule type="cellIs" dxfId="18190" priority="705" operator="equal">
      <formula>"PMS"</formula>
    </cfRule>
    <cfRule type="containsText" dxfId="18189" priority="706" operator="containsText" text="CMS">
      <formula>NOT(ISERROR(SEARCH("CMS",H32)))</formula>
    </cfRule>
    <cfRule type="cellIs" dxfId="18188" priority="707" operator="equal">
      <formula>0</formula>
    </cfRule>
    <cfRule type="cellIs" dxfId="18187" priority="708" operator="greaterThan">
      <formula>0</formula>
    </cfRule>
  </conditionalFormatting>
  <conditionalFormatting sqref="H32">
    <cfRule type="cellIs" dxfId="18186" priority="701" operator="equal">
      <formula>"PMS"</formula>
    </cfRule>
    <cfRule type="containsText" dxfId="18185" priority="702" operator="containsText" text="CMS">
      <formula>NOT(ISERROR(SEARCH("CMS",H32)))</formula>
    </cfRule>
    <cfRule type="cellIs" dxfId="18184" priority="703" operator="equal">
      <formula>0</formula>
    </cfRule>
    <cfRule type="cellIs" dxfId="18183" priority="704" operator="greaterThan">
      <formula>0</formula>
    </cfRule>
  </conditionalFormatting>
  <conditionalFormatting sqref="H35:H58">
    <cfRule type="cellIs" dxfId="18182" priority="693" operator="equal">
      <formula>"PMS"</formula>
    </cfRule>
    <cfRule type="containsText" dxfId="18181" priority="694" operator="containsText" text="CMS">
      <formula>NOT(ISERROR(SEARCH("CMS",H35)))</formula>
    </cfRule>
    <cfRule type="cellIs" dxfId="18180" priority="695" operator="equal">
      <formula>0</formula>
    </cfRule>
    <cfRule type="cellIs" dxfId="18179" priority="696" operator="greaterThan">
      <formula>0</formula>
    </cfRule>
    <cfRule type="cellIs" dxfId="18178" priority="697" operator="equal">
      <formula>"PMS"</formula>
    </cfRule>
    <cfRule type="containsText" dxfId="18177" priority="698" operator="containsText" text="CMS">
      <formula>NOT(ISERROR(SEARCH("CMS",H35)))</formula>
    </cfRule>
    <cfRule type="cellIs" dxfId="18176" priority="699" operator="equal">
      <formula>0</formula>
    </cfRule>
    <cfRule type="cellIs" dxfId="18175" priority="700" operator="greaterThan">
      <formula>0</formula>
    </cfRule>
  </conditionalFormatting>
  <conditionalFormatting sqref="H35:H58">
    <cfRule type="cellIs" dxfId="18174" priority="689" operator="equal">
      <formula>"PMS"</formula>
    </cfRule>
    <cfRule type="containsText" dxfId="18173" priority="690" operator="containsText" text="CMS">
      <formula>NOT(ISERROR(SEARCH("CMS",H35)))</formula>
    </cfRule>
    <cfRule type="cellIs" dxfId="18172" priority="691" operator="equal">
      <formula>0</formula>
    </cfRule>
    <cfRule type="cellIs" dxfId="18171" priority="692" operator="greaterThan">
      <formula>0</formula>
    </cfRule>
  </conditionalFormatting>
  <conditionalFormatting sqref="H35:H58">
    <cfRule type="cellIs" dxfId="18170" priority="685" operator="equal">
      <formula>"PMS"</formula>
    </cfRule>
    <cfRule type="containsText" dxfId="18169" priority="686" operator="containsText" text="CMS">
      <formula>NOT(ISERROR(SEARCH("CMS",H35)))</formula>
    </cfRule>
    <cfRule type="cellIs" dxfId="18168" priority="687" operator="equal">
      <formula>0</formula>
    </cfRule>
    <cfRule type="cellIs" dxfId="18167" priority="688" operator="greaterThan">
      <formula>0</formula>
    </cfRule>
  </conditionalFormatting>
  <conditionalFormatting sqref="H57">
    <cfRule type="cellIs" dxfId="18166" priority="681" operator="equal">
      <formula>"PMS"</formula>
    </cfRule>
    <cfRule type="containsText" dxfId="18165" priority="682" operator="containsText" text="CMS">
      <formula>NOT(ISERROR(SEARCH("CMS",H57)))</formula>
    </cfRule>
    <cfRule type="cellIs" dxfId="18164" priority="683" operator="equal">
      <formula>0</formula>
    </cfRule>
    <cfRule type="cellIs" dxfId="18163" priority="684" operator="greaterThan">
      <formula>0</formula>
    </cfRule>
  </conditionalFormatting>
  <conditionalFormatting sqref="H57">
    <cfRule type="cellIs" dxfId="18162" priority="677" operator="equal">
      <formula>"PMS"</formula>
    </cfRule>
    <cfRule type="containsText" dxfId="18161" priority="678" operator="containsText" text="CMS">
      <formula>NOT(ISERROR(SEARCH("CMS",H57)))</formula>
    </cfRule>
    <cfRule type="cellIs" dxfId="18160" priority="679" operator="equal">
      <formula>0</formula>
    </cfRule>
    <cfRule type="cellIs" dxfId="18159" priority="680" operator="greaterThan">
      <formula>0</formula>
    </cfRule>
  </conditionalFormatting>
  <conditionalFormatting sqref="H57">
    <cfRule type="cellIs" dxfId="18158" priority="673" operator="equal">
      <formula>"PMS"</formula>
    </cfRule>
    <cfRule type="containsText" dxfId="18157" priority="674" operator="containsText" text="CMS">
      <formula>NOT(ISERROR(SEARCH("CMS",H57)))</formula>
    </cfRule>
    <cfRule type="cellIs" dxfId="18156" priority="675" operator="equal">
      <formula>0</formula>
    </cfRule>
    <cfRule type="cellIs" dxfId="18155" priority="676" operator="greaterThan">
      <formula>0</formula>
    </cfRule>
  </conditionalFormatting>
  <conditionalFormatting sqref="H57">
    <cfRule type="cellIs" dxfId="18154" priority="669" operator="equal">
      <formula>"PMS"</formula>
    </cfRule>
    <cfRule type="containsText" dxfId="18153" priority="670" operator="containsText" text="CMS">
      <formula>NOT(ISERROR(SEARCH("CMS",H57)))</formula>
    </cfRule>
    <cfRule type="cellIs" dxfId="18152" priority="671" operator="equal">
      <formula>0</formula>
    </cfRule>
    <cfRule type="cellIs" dxfId="18151" priority="672" operator="greaterThan">
      <formula>0</formula>
    </cfRule>
  </conditionalFormatting>
  <conditionalFormatting sqref="H58">
    <cfRule type="cellIs" dxfId="18150" priority="665" operator="equal">
      <formula>"PMS"</formula>
    </cfRule>
    <cfRule type="containsText" dxfId="18149" priority="666" operator="containsText" text="CMS">
      <formula>NOT(ISERROR(SEARCH("CMS",H58)))</formula>
    </cfRule>
    <cfRule type="cellIs" dxfId="18148" priority="667" operator="equal">
      <formula>0</formula>
    </cfRule>
    <cfRule type="cellIs" dxfId="18147" priority="668" operator="greaterThan">
      <formula>0</formula>
    </cfRule>
  </conditionalFormatting>
  <conditionalFormatting sqref="H58">
    <cfRule type="cellIs" dxfId="18146" priority="661" operator="equal">
      <formula>"PMS"</formula>
    </cfRule>
    <cfRule type="containsText" dxfId="18145" priority="662" operator="containsText" text="CMS">
      <formula>NOT(ISERROR(SEARCH("CMS",H58)))</formula>
    </cfRule>
    <cfRule type="cellIs" dxfId="18144" priority="663" operator="equal">
      <formula>0</formula>
    </cfRule>
    <cfRule type="cellIs" dxfId="18143" priority="664" operator="greaterThan">
      <formula>0</formula>
    </cfRule>
  </conditionalFormatting>
  <conditionalFormatting sqref="H58">
    <cfRule type="cellIs" dxfId="18142" priority="657" operator="equal">
      <formula>"PMS"</formula>
    </cfRule>
    <cfRule type="containsText" dxfId="18141" priority="658" operator="containsText" text="CMS">
      <formula>NOT(ISERROR(SEARCH("CMS",H58)))</formula>
    </cfRule>
    <cfRule type="cellIs" dxfId="18140" priority="659" operator="equal">
      <formula>0</formula>
    </cfRule>
    <cfRule type="cellIs" dxfId="18139" priority="660" operator="greaterThan">
      <formula>0</formula>
    </cfRule>
  </conditionalFormatting>
  <conditionalFormatting sqref="H58">
    <cfRule type="cellIs" dxfId="18138" priority="653" operator="equal">
      <formula>"PMS"</formula>
    </cfRule>
    <cfRule type="containsText" dxfId="18137" priority="654" operator="containsText" text="CMS">
      <formula>NOT(ISERROR(SEARCH("CMS",H58)))</formula>
    </cfRule>
    <cfRule type="cellIs" dxfId="18136" priority="655" operator="equal">
      <formula>0</formula>
    </cfRule>
    <cfRule type="cellIs" dxfId="18135" priority="656" operator="greaterThan">
      <formula>0</formula>
    </cfRule>
  </conditionalFormatting>
  <conditionalFormatting sqref="H62">
    <cfRule type="cellIs" dxfId="18134" priority="645" operator="equal">
      <formula>"PMS"</formula>
    </cfRule>
    <cfRule type="containsText" dxfId="18133" priority="646" operator="containsText" text="CMS">
      <formula>NOT(ISERROR(SEARCH("CMS",H62)))</formula>
    </cfRule>
    <cfRule type="cellIs" dxfId="18132" priority="647" operator="equal">
      <formula>0</formula>
    </cfRule>
    <cfRule type="cellIs" dxfId="18131" priority="648" operator="greaterThan">
      <formula>0</formula>
    </cfRule>
    <cfRule type="cellIs" dxfId="18130" priority="649" operator="equal">
      <formula>"PMS"</formula>
    </cfRule>
    <cfRule type="containsText" dxfId="18129" priority="650" operator="containsText" text="CMS">
      <formula>NOT(ISERROR(SEARCH("CMS",H62)))</formula>
    </cfRule>
    <cfRule type="cellIs" dxfId="18128" priority="651" operator="equal">
      <formula>0</formula>
    </cfRule>
    <cfRule type="cellIs" dxfId="18127" priority="652" operator="greaterThan">
      <formula>0</formula>
    </cfRule>
  </conditionalFormatting>
  <conditionalFormatting sqref="H62">
    <cfRule type="cellIs" dxfId="18126" priority="641" operator="equal">
      <formula>"PMS"</formula>
    </cfRule>
    <cfRule type="containsText" dxfId="18125" priority="642" operator="containsText" text="CMS">
      <formula>NOT(ISERROR(SEARCH("CMS",H62)))</formula>
    </cfRule>
    <cfRule type="cellIs" dxfId="18124" priority="643" operator="equal">
      <formula>0</formula>
    </cfRule>
    <cfRule type="cellIs" dxfId="18123" priority="644" operator="greaterThan">
      <formula>0</formula>
    </cfRule>
  </conditionalFormatting>
  <conditionalFormatting sqref="H66:H74">
    <cfRule type="cellIs" dxfId="18122" priority="633" operator="equal">
      <formula>"PMS"</formula>
    </cfRule>
    <cfRule type="containsText" dxfId="18121" priority="634" operator="containsText" text="CMS">
      <formula>NOT(ISERROR(SEARCH("CMS",H66)))</formula>
    </cfRule>
    <cfRule type="cellIs" dxfId="18120" priority="635" operator="equal">
      <formula>0</formula>
    </cfRule>
    <cfRule type="cellIs" dxfId="18119" priority="636" operator="greaterThan">
      <formula>0</formula>
    </cfRule>
    <cfRule type="cellIs" dxfId="18118" priority="637" operator="equal">
      <formula>"PMS"</formula>
    </cfRule>
    <cfRule type="containsText" dxfId="18117" priority="638" operator="containsText" text="CMS">
      <formula>NOT(ISERROR(SEARCH("CMS",H66)))</formula>
    </cfRule>
    <cfRule type="cellIs" dxfId="18116" priority="639" operator="equal">
      <formula>0</formula>
    </cfRule>
    <cfRule type="cellIs" dxfId="18115" priority="640" operator="greaterThan">
      <formula>0</formula>
    </cfRule>
  </conditionalFormatting>
  <conditionalFormatting sqref="H66:H74">
    <cfRule type="cellIs" dxfId="18114" priority="629" operator="equal">
      <formula>"PMS"</formula>
    </cfRule>
    <cfRule type="containsText" dxfId="18113" priority="630" operator="containsText" text="CMS">
      <formula>NOT(ISERROR(SEARCH("CMS",H66)))</formula>
    </cfRule>
    <cfRule type="cellIs" dxfId="18112" priority="631" operator="equal">
      <formula>0</formula>
    </cfRule>
    <cfRule type="cellIs" dxfId="18111" priority="632" operator="greaterThan">
      <formula>0</formula>
    </cfRule>
  </conditionalFormatting>
  <conditionalFormatting sqref="H66:H74">
    <cfRule type="cellIs" dxfId="18110" priority="625" operator="equal">
      <formula>"PMS"</formula>
    </cfRule>
    <cfRule type="containsText" dxfId="18109" priority="626" operator="containsText" text="CMS">
      <formula>NOT(ISERROR(SEARCH("CMS",H66)))</formula>
    </cfRule>
    <cfRule type="cellIs" dxfId="18108" priority="627" operator="equal">
      <formula>0</formula>
    </cfRule>
    <cfRule type="cellIs" dxfId="18107" priority="628" operator="greaterThan">
      <formula>0</formula>
    </cfRule>
  </conditionalFormatting>
  <conditionalFormatting sqref="H77:H78">
    <cfRule type="cellIs" dxfId="18106" priority="617" operator="equal">
      <formula>"PMS"</formula>
    </cfRule>
    <cfRule type="containsText" dxfId="18105" priority="618" operator="containsText" text="CMS">
      <formula>NOT(ISERROR(SEARCH("CMS",H77)))</formula>
    </cfRule>
    <cfRule type="cellIs" dxfId="18104" priority="619" operator="equal">
      <formula>0</formula>
    </cfRule>
    <cfRule type="cellIs" dxfId="18103" priority="620" operator="greaterThan">
      <formula>0</formula>
    </cfRule>
    <cfRule type="cellIs" dxfId="18102" priority="621" operator="equal">
      <formula>"PMS"</formula>
    </cfRule>
    <cfRule type="containsText" dxfId="18101" priority="622" operator="containsText" text="CMS">
      <formula>NOT(ISERROR(SEARCH("CMS",H77)))</formula>
    </cfRule>
    <cfRule type="cellIs" dxfId="18100" priority="623" operator="equal">
      <formula>0</formula>
    </cfRule>
    <cfRule type="cellIs" dxfId="18099" priority="624" operator="greaterThan">
      <formula>0</formula>
    </cfRule>
  </conditionalFormatting>
  <conditionalFormatting sqref="H77:H78">
    <cfRule type="cellIs" dxfId="18098" priority="613" operator="equal">
      <formula>"PMS"</formula>
    </cfRule>
    <cfRule type="containsText" dxfId="18097" priority="614" operator="containsText" text="CMS">
      <formula>NOT(ISERROR(SEARCH("CMS",H77)))</formula>
    </cfRule>
    <cfRule type="cellIs" dxfId="18096" priority="615" operator="equal">
      <formula>0</formula>
    </cfRule>
    <cfRule type="cellIs" dxfId="18095" priority="616" operator="greaterThan">
      <formula>0</formula>
    </cfRule>
  </conditionalFormatting>
  <conditionalFormatting sqref="O56:O57">
    <cfRule type="cellIs" dxfId="18094" priority="609" operator="equal">
      <formula>"PMS"</formula>
    </cfRule>
    <cfRule type="containsText" dxfId="18093" priority="610" operator="containsText" text="CMS">
      <formula>NOT(ISERROR(SEARCH("CMS",O56)))</formula>
    </cfRule>
    <cfRule type="cellIs" dxfId="18092" priority="611" operator="equal">
      <formula>0</formula>
    </cfRule>
    <cfRule type="cellIs" dxfId="18091" priority="612" operator="greaterThan">
      <formula>0</formula>
    </cfRule>
  </conditionalFormatting>
  <conditionalFormatting sqref="O56:O57">
    <cfRule type="cellIs" dxfId="18090" priority="605" operator="equal">
      <formula>"PMS"</formula>
    </cfRule>
    <cfRule type="containsText" dxfId="18089" priority="606" operator="containsText" text="CMS">
      <formula>NOT(ISERROR(SEARCH("CMS",O56)))</formula>
    </cfRule>
    <cfRule type="cellIs" dxfId="18088" priority="607" operator="equal">
      <formula>0</formula>
    </cfRule>
    <cfRule type="cellIs" dxfId="18087" priority="608" operator="greaterThan">
      <formula>0</formula>
    </cfRule>
  </conditionalFormatting>
  <conditionalFormatting sqref="O56:O57">
    <cfRule type="cellIs" dxfId="18086" priority="601" operator="equal">
      <formula>"PMS"</formula>
    </cfRule>
    <cfRule type="containsText" dxfId="18085" priority="602" operator="containsText" text="CMS">
      <formula>NOT(ISERROR(SEARCH("CMS",O56)))</formula>
    </cfRule>
    <cfRule type="cellIs" dxfId="18084" priority="603" operator="equal">
      <formula>0</formula>
    </cfRule>
    <cfRule type="cellIs" dxfId="18083" priority="604" operator="greaterThan">
      <formula>0</formula>
    </cfRule>
  </conditionalFormatting>
  <conditionalFormatting sqref="O56:O57">
    <cfRule type="cellIs" dxfId="18082" priority="597" operator="equal">
      <formula>"PMS"</formula>
    </cfRule>
    <cfRule type="containsText" dxfId="18081" priority="598" operator="containsText" text="CMS">
      <formula>NOT(ISERROR(SEARCH("CMS",O56)))</formula>
    </cfRule>
    <cfRule type="cellIs" dxfId="18080" priority="599" operator="equal">
      <formula>0</formula>
    </cfRule>
    <cfRule type="cellIs" dxfId="18079" priority="600" operator="greaterThan">
      <formula>0</formula>
    </cfRule>
  </conditionalFormatting>
  <conditionalFormatting sqref="O56:O57">
    <cfRule type="cellIs" dxfId="18078" priority="593" operator="equal">
      <formula>"PMS"</formula>
    </cfRule>
    <cfRule type="containsText" dxfId="18077" priority="594" operator="containsText" text="CMS">
      <formula>NOT(ISERROR(SEARCH("CMS",O56)))</formula>
    </cfRule>
    <cfRule type="cellIs" dxfId="18076" priority="595" operator="equal">
      <formula>0</formula>
    </cfRule>
    <cfRule type="cellIs" dxfId="18075" priority="596" operator="greaterThan">
      <formula>0</formula>
    </cfRule>
  </conditionalFormatting>
  <conditionalFormatting sqref="O56:O57">
    <cfRule type="cellIs" dxfId="18074" priority="589" operator="equal">
      <formula>"PMS"</formula>
    </cfRule>
    <cfRule type="containsText" dxfId="18073" priority="590" operator="containsText" text="CMS">
      <formula>NOT(ISERROR(SEARCH("CMS",O56)))</formula>
    </cfRule>
    <cfRule type="cellIs" dxfId="18072" priority="591" operator="equal">
      <formula>0</formula>
    </cfRule>
    <cfRule type="cellIs" dxfId="18071" priority="592" operator="greaterThan">
      <formula>0</formula>
    </cfRule>
  </conditionalFormatting>
  <conditionalFormatting sqref="O56:O57">
    <cfRule type="cellIs" dxfId="18070" priority="585" operator="equal">
      <formula>"PMS"</formula>
    </cfRule>
    <cfRule type="containsText" dxfId="18069" priority="586" operator="containsText" text="CMS">
      <formula>NOT(ISERROR(SEARCH("CMS",O56)))</formula>
    </cfRule>
    <cfRule type="cellIs" dxfId="18068" priority="587" operator="equal">
      <formula>0</formula>
    </cfRule>
    <cfRule type="cellIs" dxfId="18067" priority="588" operator="greaterThan">
      <formula>0</formula>
    </cfRule>
  </conditionalFormatting>
  <conditionalFormatting sqref="O56:O57">
    <cfRule type="cellIs" dxfId="18066" priority="581" operator="equal">
      <formula>"PMS"</formula>
    </cfRule>
    <cfRule type="containsText" dxfId="18065" priority="582" operator="containsText" text="CMS">
      <formula>NOT(ISERROR(SEARCH("CMS",O56)))</formula>
    </cfRule>
    <cfRule type="cellIs" dxfId="18064" priority="583" operator="equal">
      <formula>0</formula>
    </cfRule>
    <cfRule type="cellIs" dxfId="18063" priority="584" operator="greaterThan">
      <formula>0</formula>
    </cfRule>
  </conditionalFormatting>
  <conditionalFormatting sqref="O56:O57">
    <cfRule type="cellIs" dxfId="18062" priority="577" operator="equal">
      <formula>"PMS"</formula>
    </cfRule>
    <cfRule type="containsText" dxfId="18061" priority="578" operator="containsText" text="CMS">
      <formula>NOT(ISERROR(SEARCH("CMS",O56)))</formula>
    </cfRule>
    <cfRule type="cellIs" dxfId="18060" priority="579" operator="equal">
      <formula>0</formula>
    </cfRule>
    <cfRule type="cellIs" dxfId="18059" priority="580" operator="greaterThan">
      <formula>0</formula>
    </cfRule>
  </conditionalFormatting>
  <conditionalFormatting sqref="O56:O57">
    <cfRule type="cellIs" dxfId="18058" priority="573" operator="equal">
      <formula>"PMS"</formula>
    </cfRule>
    <cfRule type="containsText" dxfId="18057" priority="574" operator="containsText" text="CMS">
      <formula>NOT(ISERROR(SEARCH("CMS",O56)))</formula>
    </cfRule>
    <cfRule type="cellIs" dxfId="18056" priority="575" operator="equal">
      <formula>0</formula>
    </cfRule>
    <cfRule type="cellIs" dxfId="18055" priority="576" operator="greaterThan">
      <formula>0</formula>
    </cfRule>
  </conditionalFormatting>
  <conditionalFormatting sqref="O56:O57">
    <cfRule type="cellIs" dxfId="18054" priority="569" operator="equal">
      <formula>"PMS"</formula>
    </cfRule>
    <cfRule type="containsText" dxfId="18053" priority="570" operator="containsText" text="CMS">
      <formula>NOT(ISERROR(SEARCH("CMS",O56)))</formula>
    </cfRule>
    <cfRule type="cellIs" dxfId="18052" priority="571" operator="equal">
      <formula>0</formula>
    </cfRule>
    <cfRule type="cellIs" dxfId="18051" priority="572" operator="greaterThan">
      <formula>0</formula>
    </cfRule>
  </conditionalFormatting>
  <conditionalFormatting sqref="O56:O57">
    <cfRule type="cellIs" dxfId="18050" priority="565" operator="equal">
      <formula>"PMS"</formula>
    </cfRule>
    <cfRule type="containsText" dxfId="18049" priority="566" operator="containsText" text="CMS">
      <formula>NOT(ISERROR(SEARCH("CMS",O56)))</formula>
    </cfRule>
    <cfRule type="cellIs" dxfId="18048" priority="567" operator="equal">
      <formula>0</formula>
    </cfRule>
    <cfRule type="cellIs" dxfId="18047" priority="568" operator="greaterThan">
      <formula>0</formula>
    </cfRule>
  </conditionalFormatting>
  <conditionalFormatting sqref="R77">
    <cfRule type="cellIs" dxfId="18046" priority="561" operator="equal">
      <formula>"PMS"</formula>
    </cfRule>
    <cfRule type="containsText" dxfId="18045" priority="562" operator="containsText" text="CMS">
      <formula>NOT(ISERROR(SEARCH("CMS",R77)))</formula>
    </cfRule>
    <cfRule type="cellIs" dxfId="18044" priority="563" operator="equal">
      <formula>0</formula>
    </cfRule>
    <cfRule type="cellIs" dxfId="18043" priority="564" operator="greaterThan">
      <formula>0</formula>
    </cfRule>
  </conditionalFormatting>
  <conditionalFormatting sqref="G15:G16">
    <cfRule type="cellIs" dxfId="18042" priority="553" operator="equal">
      <formula>"PMS"</formula>
    </cfRule>
    <cfRule type="containsText" dxfId="18041" priority="554" operator="containsText" text="CMS">
      <formula>NOT(ISERROR(SEARCH("CMS",G15)))</formula>
    </cfRule>
    <cfRule type="cellIs" dxfId="18040" priority="555" operator="equal">
      <formula>0</formula>
    </cfRule>
    <cfRule type="cellIs" dxfId="18039" priority="556" operator="greaterThan">
      <formula>0</formula>
    </cfRule>
    <cfRule type="cellIs" dxfId="18038" priority="557" operator="equal">
      <formula>"PMS"</formula>
    </cfRule>
    <cfRule type="containsText" dxfId="18037" priority="558" operator="containsText" text="CMS">
      <formula>NOT(ISERROR(SEARCH("CMS",G15)))</formula>
    </cfRule>
    <cfRule type="cellIs" dxfId="18036" priority="559" operator="equal">
      <formula>0</formula>
    </cfRule>
    <cfRule type="cellIs" dxfId="18035" priority="560" operator="greaterThan">
      <formula>0</formula>
    </cfRule>
  </conditionalFormatting>
  <conditionalFormatting sqref="G15:G16">
    <cfRule type="cellIs" dxfId="18034" priority="549" operator="equal">
      <formula>"PMS"</formula>
    </cfRule>
    <cfRule type="containsText" dxfId="18033" priority="550" operator="containsText" text="CMS">
      <formula>NOT(ISERROR(SEARCH("CMS",G15)))</formula>
    </cfRule>
    <cfRule type="cellIs" dxfId="18032" priority="551" operator="equal">
      <formula>0</formula>
    </cfRule>
    <cfRule type="cellIs" dxfId="18031" priority="552" operator="greaterThan">
      <formula>0</formula>
    </cfRule>
  </conditionalFormatting>
  <conditionalFormatting sqref="G15:G16">
    <cfRule type="cellIs" dxfId="18030" priority="545" operator="equal">
      <formula>"PMS"</formula>
    </cfRule>
    <cfRule type="containsText" dxfId="18029" priority="546" operator="containsText" text="CMS">
      <formula>NOT(ISERROR(SEARCH("CMS",G15)))</formula>
    </cfRule>
    <cfRule type="cellIs" dxfId="18028" priority="547" operator="equal">
      <formula>0</formula>
    </cfRule>
    <cfRule type="cellIs" dxfId="18027" priority="548" operator="greaterThan">
      <formula>0</formula>
    </cfRule>
  </conditionalFormatting>
  <conditionalFormatting sqref="G21">
    <cfRule type="cellIs" dxfId="18026" priority="537" operator="equal">
      <formula>"PMS"</formula>
    </cfRule>
    <cfRule type="containsText" dxfId="18025" priority="538" operator="containsText" text="CMS">
      <formula>NOT(ISERROR(SEARCH("CMS",G21)))</formula>
    </cfRule>
    <cfRule type="cellIs" dxfId="18024" priority="539" operator="equal">
      <formula>0</formula>
    </cfRule>
    <cfRule type="cellIs" dxfId="18023" priority="540" operator="greaterThan">
      <formula>0</formula>
    </cfRule>
    <cfRule type="cellIs" dxfId="18022" priority="541" operator="equal">
      <formula>"PMS"</formula>
    </cfRule>
    <cfRule type="containsText" dxfId="18021" priority="542" operator="containsText" text="CMS">
      <formula>NOT(ISERROR(SEARCH("CMS",G21)))</formula>
    </cfRule>
    <cfRule type="cellIs" dxfId="18020" priority="543" operator="equal">
      <formula>0</formula>
    </cfRule>
    <cfRule type="cellIs" dxfId="18019" priority="544" operator="greaterThan">
      <formula>0</formula>
    </cfRule>
  </conditionalFormatting>
  <conditionalFormatting sqref="G21">
    <cfRule type="cellIs" dxfId="18018" priority="533" operator="equal">
      <formula>"PMS"</formula>
    </cfRule>
    <cfRule type="containsText" dxfId="18017" priority="534" operator="containsText" text="CMS">
      <formula>NOT(ISERROR(SEARCH("CMS",G21)))</formula>
    </cfRule>
    <cfRule type="cellIs" dxfId="18016" priority="535" operator="equal">
      <formula>0</formula>
    </cfRule>
    <cfRule type="cellIs" dxfId="18015" priority="536" operator="greaterThan">
      <formula>0</formula>
    </cfRule>
  </conditionalFormatting>
  <conditionalFormatting sqref="G21">
    <cfRule type="cellIs" dxfId="18014" priority="529" operator="equal">
      <formula>"PMS"</formula>
    </cfRule>
    <cfRule type="containsText" dxfId="18013" priority="530" operator="containsText" text="CMS">
      <formula>NOT(ISERROR(SEARCH("CMS",G21)))</formula>
    </cfRule>
    <cfRule type="cellIs" dxfId="18012" priority="531" operator="equal">
      <formula>0</formula>
    </cfRule>
    <cfRule type="cellIs" dxfId="18011" priority="532" operator="greaterThan">
      <formula>0</formula>
    </cfRule>
  </conditionalFormatting>
  <conditionalFormatting sqref="G61:J61 L61:M61 H63:J63 L63">
    <cfRule type="cellIs" dxfId="18010" priority="521" operator="equal">
      <formula>"PMS"</formula>
    </cfRule>
    <cfRule type="containsText" dxfId="18009" priority="522" operator="containsText" text="CMS">
      <formula>NOT(ISERROR(SEARCH("CMS",G61)))</formula>
    </cfRule>
    <cfRule type="cellIs" dxfId="18008" priority="523" operator="equal">
      <formula>0</formula>
    </cfRule>
    <cfRule type="cellIs" dxfId="18007" priority="524" operator="greaterThan">
      <formula>0</formula>
    </cfRule>
    <cfRule type="cellIs" dxfId="18006" priority="525" operator="equal">
      <formula>"PMS"</formula>
    </cfRule>
    <cfRule type="containsText" dxfId="18005" priority="526" operator="containsText" text="CMS">
      <formula>NOT(ISERROR(SEARCH("CMS",G61)))</formula>
    </cfRule>
    <cfRule type="cellIs" dxfId="18004" priority="527" operator="equal">
      <formula>0</formula>
    </cfRule>
    <cfRule type="cellIs" dxfId="18003" priority="528" operator="greaterThan">
      <formula>0</formula>
    </cfRule>
  </conditionalFormatting>
  <conditionalFormatting sqref="G61:J61 L61:M61 H63:J63 L63">
    <cfRule type="cellIs" dxfId="18002" priority="517" operator="equal">
      <formula>"PMS"</formula>
    </cfRule>
    <cfRule type="containsText" dxfId="18001" priority="518" operator="containsText" text="CMS">
      <formula>NOT(ISERROR(SEARCH("CMS",G61)))</formula>
    </cfRule>
    <cfRule type="cellIs" dxfId="18000" priority="519" operator="equal">
      <formula>0</formula>
    </cfRule>
    <cfRule type="cellIs" dxfId="17999" priority="520" operator="greaterThan">
      <formula>0</formula>
    </cfRule>
  </conditionalFormatting>
  <conditionalFormatting sqref="G78">
    <cfRule type="cellIs" dxfId="17998" priority="509" operator="equal">
      <formula>"PMS"</formula>
    </cfRule>
    <cfRule type="containsText" dxfId="17997" priority="510" operator="containsText" text="CMS">
      <formula>NOT(ISERROR(SEARCH("CMS",G78)))</formula>
    </cfRule>
    <cfRule type="cellIs" dxfId="17996" priority="511" operator="equal">
      <formula>0</formula>
    </cfRule>
    <cfRule type="cellIs" dxfId="17995" priority="512" operator="greaterThan">
      <formula>0</formula>
    </cfRule>
    <cfRule type="cellIs" dxfId="17994" priority="513" operator="equal">
      <formula>"PMS"</formula>
    </cfRule>
    <cfRule type="containsText" dxfId="17993" priority="514" operator="containsText" text="CMS">
      <formula>NOT(ISERROR(SEARCH("CMS",G78)))</formula>
    </cfRule>
    <cfRule type="cellIs" dxfId="17992" priority="515" operator="equal">
      <formula>0</formula>
    </cfRule>
    <cfRule type="cellIs" dxfId="17991" priority="516" operator="greaterThan">
      <formula>0</formula>
    </cfRule>
  </conditionalFormatting>
  <conditionalFormatting sqref="G78">
    <cfRule type="cellIs" dxfId="17990" priority="505" operator="equal">
      <formula>"PMS"</formula>
    </cfRule>
    <cfRule type="containsText" dxfId="17989" priority="506" operator="containsText" text="CMS">
      <formula>NOT(ISERROR(SEARCH("CMS",G78)))</formula>
    </cfRule>
    <cfRule type="cellIs" dxfId="17988" priority="507" operator="equal">
      <formula>0</formula>
    </cfRule>
    <cfRule type="cellIs" dxfId="17987" priority="508" operator="greaterThan">
      <formula>0</formula>
    </cfRule>
  </conditionalFormatting>
  <conditionalFormatting sqref="G24">
    <cfRule type="cellIs" dxfId="17986" priority="497" operator="equal">
      <formula>"PMS"</formula>
    </cfRule>
    <cfRule type="containsText" dxfId="17985" priority="498" operator="containsText" text="CMS">
      <formula>NOT(ISERROR(SEARCH("CMS",G24)))</formula>
    </cfRule>
    <cfRule type="cellIs" dxfId="17984" priority="499" operator="equal">
      <formula>0</formula>
    </cfRule>
    <cfRule type="cellIs" dxfId="17983" priority="500" operator="greaterThan">
      <formula>0</formula>
    </cfRule>
    <cfRule type="cellIs" dxfId="17982" priority="501" operator="equal">
      <formula>"PMS"</formula>
    </cfRule>
    <cfRule type="containsText" dxfId="17981" priority="502" operator="containsText" text="CMS">
      <formula>NOT(ISERROR(SEARCH("CMS",G24)))</formula>
    </cfRule>
    <cfRule type="cellIs" dxfId="17980" priority="503" operator="equal">
      <formula>0</formula>
    </cfRule>
    <cfRule type="cellIs" dxfId="17979" priority="504" operator="greaterThan">
      <formula>0</formula>
    </cfRule>
  </conditionalFormatting>
  <conditionalFormatting sqref="G24">
    <cfRule type="cellIs" dxfId="17978" priority="493" operator="equal">
      <formula>"PMS"</formula>
    </cfRule>
    <cfRule type="containsText" dxfId="17977" priority="494" operator="containsText" text="CMS">
      <formula>NOT(ISERROR(SEARCH("CMS",G24)))</formula>
    </cfRule>
    <cfRule type="cellIs" dxfId="17976" priority="495" operator="equal">
      <formula>0</formula>
    </cfRule>
    <cfRule type="cellIs" dxfId="17975" priority="496" operator="greaterThan">
      <formula>0</formula>
    </cfRule>
  </conditionalFormatting>
  <conditionalFormatting sqref="G24">
    <cfRule type="cellIs" dxfId="17974" priority="489" operator="equal">
      <formula>"PMS"</formula>
    </cfRule>
    <cfRule type="containsText" dxfId="17973" priority="490" operator="containsText" text="CMS">
      <formula>NOT(ISERROR(SEARCH("CMS",G24)))</formula>
    </cfRule>
    <cfRule type="cellIs" dxfId="17972" priority="491" operator="equal">
      <formula>0</formula>
    </cfRule>
    <cfRule type="cellIs" dxfId="17971" priority="492" operator="greaterThan">
      <formula>0</formula>
    </cfRule>
  </conditionalFormatting>
  <conditionalFormatting sqref="O56:O57">
    <cfRule type="cellIs" dxfId="17970" priority="485" operator="equal">
      <formula>"PMS"</formula>
    </cfRule>
    <cfRule type="containsText" dxfId="17969" priority="486" operator="containsText" text="CMS">
      <formula>NOT(ISERROR(SEARCH("CMS",O56)))</formula>
    </cfRule>
    <cfRule type="cellIs" dxfId="17968" priority="487" operator="equal">
      <formula>0</formula>
    </cfRule>
    <cfRule type="cellIs" dxfId="17967" priority="488" operator="greaterThan">
      <formula>0</formula>
    </cfRule>
  </conditionalFormatting>
  <conditionalFormatting sqref="O56:O57">
    <cfRule type="cellIs" dxfId="17966" priority="481" operator="equal">
      <formula>"PMS"</formula>
    </cfRule>
    <cfRule type="containsText" dxfId="17965" priority="482" operator="containsText" text="CMS">
      <formula>NOT(ISERROR(SEARCH("CMS",O56)))</formula>
    </cfRule>
    <cfRule type="cellIs" dxfId="17964" priority="483" operator="equal">
      <formula>0</formula>
    </cfRule>
    <cfRule type="cellIs" dxfId="17963" priority="484" operator="greaterThan">
      <formula>0</formula>
    </cfRule>
  </conditionalFormatting>
  <conditionalFormatting sqref="O56:O57">
    <cfRule type="cellIs" dxfId="17962" priority="477" operator="equal">
      <formula>"PMS"</formula>
    </cfRule>
    <cfRule type="containsText" dxfId="17961" priority="478" operator="containsText" text="CMS">
      <formula>NOT(ISERROR(SEARCH("CMS",O56)))</formula>
    </cfRule>
    <cfRule type="cellIs" dxfId="17960" priority="479" operator="equal">
      <formula>0</formula>
    </cfRule>
    <cfRule type="cellIs" dxfId="17959" priority="480" operator="greaterThan">
      <formula>0</formula>
    </cfRule>
  </conditionalFormatting>
  <conditionalFormatting sqref="O56:O57">
    <cfRule type="cellIs" dxfId="17958" priority="473" operator="equal">
      <formula>"PMS"</formula>
    </cfRule>
    <cfRule type="containsText" dxfId="17957" priority="474" operator="containsText" text="CMS">
      <formula>NOT(ISERROR(SEARCH("CMS",O56)))</formula>
    </cfRule>
    <cfRule type="cellIs" dxfId="17956" priority="475" operator="equal">
      <formula>0</formula>
    </cfRule>
    <cfRule type="cellIs" dxfId="17955" priority="476" operator="greaterThan">
      <formula>0</formula>
    </cfRule>
  </conditionalFormatting>
  <conditionalFormatting sqref="O56">
    <cfRule type="cellIs" dxfId="17954" priority="469" operator="equal">
      <formula>"PMS"</formula>
    </cfRule>
    <cfRule type="containsText" dxfId="17953" priority="470" operator="containsText" text="CMS">
      <formula>NOT(ISERROR(SEARCH("CMS",O56)))</formula>
    </cfRule>
    <cfRule type="cellIs" dxfId="17952" priority="471" operator="equal">
      <formula>0</formula>
    </cfRule>
    <cfRule type="cellIs" dxfId="17951" priority="472" operator="greaterThan">
      <formula>0</formula>
    </cfRule>
  </conditionalFormatting>
  <conditionalFormatting sqref="O56">
    <cfRule type="cellIs" dxfId="17950" priority="465" operator="equal">
      <formula>"PMS"</formula>
    </cfRule>
    <cfRule type="containsText" dxfId="17949" priority="466" operator="containsText" text="CMS">
      <formula>NOT(ISERROR(SEARCH("CMS",O56)))</formula>
    </cfRule>
    <cfRule type="cellIs" dxfId="17948" priority="467" operator="equal">
      <formula>0</formula>
    </cfRule>
    <cfRule type="cellIs" dxfId="17947" priority="468" operator="greaterThan">
      <formula>0</formula>
    </cfRule>
  </conditionalFormatting>
  <conditionalFormatting sqref="O56">
    <cfRule type="cellIs" dxfId="17946" priority="461" operator="equal">
      <formula>"PMS"</formula>
    </cfRule>
    <cfRule type="containsText" dxfId="17945" priority="462" operator="containsText" text="CMS">
      <formula>NOT(ISERROR(SEARCH("CMS",O56)))</formula>
    </cfRule>
    <cfRule type="cellIs" dxfId="17944" priority="463" operator="equal">
      <formula>0</formula>
    </cfRule>
    <cfRule type="cellIs" dxfId="17943" priority="464" operator="greaterThan">
      <formula>0</formula>
    </cfRule>
  </conditionalFormatting>
  <conditionalFormatting sqref="O56">
    <cfRule type="cellIs" dxfId="17942" priority="457" operator="equal">
      <formula>"PMS"</formula>
    </cfRule>
    <cfRule type="containsText" dxfId="17941" priority="458" operator="containsText" text="CMS">
      <formula>NOT(ISERROR(SEARCH("CMS",O56)))</formula>
    </cfRule>
    <cfRule type="cellIs" dxfId="17940" priority="459" operator="equal">
      <formula>0</formula>
    </cfRule>
    <cfRule type="cellIs" dxfId="17939" priority="460" operator="greaterThan">
      <formula>0</formula>
    </cfRule>
  </conditionalFormatting>
  <conditionalFormatting sqref="O56">
    <cfRule type="cellIs" dxfId="17938" priority="453" operator="equal">
      <formula>"PMS"</formula>
    </cfRule>
    <cfRule type="containsText" dxfId="17937" priority="454" operator="containsText" text="CMS">
      <formula>NOT(ISERROR(SEARCH("CMS",O56)))</formula>
    </cfRule>
    <cfRule type="cellIs" dxfId="17936" priority="455" operator="equal">
      <formula>0</formula>
    </cfRule>
    <cfRule type="cellIs" dxfId="17935" priority="456" operator="greaterThan">
      <formula>0</formula>
    </cfRule>
  </conditionalFormatting>
  <conditionalFormatting sqref="P57:P58">
    <cfRule type="cellIs" dxfId="17934" priority="449" operator="equal">
      <formula>"PMS"</formula>
    </cfRule>
    <cfRule type="containsText" dxfId="17933" priority="450" operator="containsText" text="CMS">
      <formula>NOT(ISERROR(SEARCH("CMS",P57)))</formula>
    </cfRule>
    <cfRule type="cellIs" dxfId="17932" priority="451" operator="equal">
      <formula>0</formula>
    </cfRule>
    <cfRule type="cellIs" dxfId="17931" priority="452" operator="greaterThan">
      <formula>0</formula>
    </cfRule>
  </conditionalFormatting>
  <conditionalFormatting sqref="L62">
    <cfRule type="cellIs" dxfId="17930" priority="429" operator="equal">
      <formula>"PMS"</formula>
    </cfRule>
    <cfRule type="containsText" dxfId="17929" priority="430" operator="containsText" text="CMS">
      <formula>NOT(ISERROR(SEARCH("CMS",L62)))</formula>
    </cfRule>
    <cfRule type="cellIs" dxfId="17928" priority="431" operator="equal">
      <formula>0</formula>
    </cfRule>
    <cfRule type="cellIs" dxfId="17927" priority="432" operator="greaterThan">
      <formula>0</formula>
    </cfRule>
    <cfRule type="cellIs" dxfId="17926" priority="433" operator="equal">
      <formula>"PMS"</formula>
    </cfRule>
    <cfRule type="containsText" dxfId="17925" priority="434" operator="containsText" text="CMS">
      <formula>NOT(ISERROR(SEARCH("CMS",L62)))</formula>
    </cfRule>
    <cfRule type="cellIs" dxfId="17924" priority="435" operator="equal">
      <formula>0</formula>
    </cfRule>
    <cfRule type="cellIs" dxfId="17923" priority="436" operator="greaterThan">
      <formula>0</formula>
    </cfRule>
  </conditionalFormatting>
  <conditionalFormatting sqref="L62">
    <cfRule type="cellIs" dxfId="17922" priority="425" operator="equal">
      <formula>"PMS"</formula>
    </cfRule>
    <cfRule type="containsText" dxfId="17921" priority="426" operator="containsText" text="CMS">
      <formula>NOT(ISERROR(SEARCH("CMS",L62)))</formula>
    </cfRule>
    <cfRule type="cellIs" dxfId="17920" priority="427" operator="equal">
      <formula>0</formula>
    </cfRule>
    <cfRule type="cellIs" dxfId="17919" priority="428" operator="greaterThan">
      <formula>0</formula>
    </cfRule>
  </conditionalFormatting>
  <conditionalFormatting sqref="M62:M63">
    <cfRule type="cellIs" dxfId="17918" priority="417" operator="equal">
      <formula>"PMS"</formula>
    </cfRule>
    <cfRule type="containsText" dxfId="17917" priority="418" operator="containsText" text="CMS">
      <formula>NOT(ISERROR(SEARCH("CMS",M62)))</formula>
    </cfRule>
    <cfRule type="cellIs" dxfId="17916" priority="419" operator="equal">
      <formula>0</formula>
    </cfRule>
    <cfRule type="cellIs" dxfId="17915" priority="420" operator="greaterThan">
      <formula>0</formula>
    </cfRule>
    <cfRule type="cellIs" dxfId="17914" priority="421" operator="equal">
      <formula>"PMS"</formula>
    </cfRule>
    <cfRule type="containsText" dxfId="17913" priority="422" operator="containsText" text="CMS">
      <formula>NOT(ISERROR(SEARCH("CMS",M62)))</formula>
    </cfRule>
    <cfRule type="cellIs" dxfId="17912" priority="423" operator="equal">
      <formula>0</formula>
    </cfRule>
    <cfRule type="cellIs" dxfId="17911" priority="424" operator="greaterThan">
      <formula>0</formula>
    </cfRule>
  </conditionalFormatting>
  <conditionalFormatting sqref="M62:M63">
    <cfRule type="cellIs" dxfId="17910" priority="413" operator="equal">
      <formula>"PMS"</formula>
    </cfRule>
    <cfRule type="containsText" dxfId="17909" priority="414" operator="containsText" text="CMS">
      <formula>NOT(ISERROR(SEARCH("CMS",M62)))</formula>
    </cfRule>
    <cfRule type="cellIs" dxfId="17908" priority="415" operator="equal">
      <formula>0</formula>
    </cfRule>
    <cfRule type="cellIs" dxfId="17907" priority="416" operator="greaterThan">
      <formula>0</formula>
    </cfRule>
  </conditionalFormatting>
  <conditionalFormatting sqref="Z13:Z16">
    <cfRule type="cellIs" dxfId="17906" priority="409" operator="equal">
      <formula>"PMS"</formula>
    </cfRule>
    <cfRule type="containsText" dxfId="17905" priority="410" operator="containsText" text="CMS">
      <formula>NOT(ISERROR(SEARCH("CMS",Z13)))</formula>
    </cfRule>
    <cfRule type="cellIs" dxfId="17904" priority="411" operator="equal">
      <formula>0</formula>
    </cfRule>
    <cfRule type="cellIs" dxfId="17903" priority="412" operator="greaterThan">
      <formula>0</formula>
    </cfRule>
  </conditionalFormatting>
  <conditionalFormatting sqref="Z13:Z16">
    <cfRule type="cellIs" dxfId="17902" priority="405" operator="equal">
      <formula>"PMS"</formula>
    </cfRule>
    <cfRule type="containsText" dxfId="17901" priority="406" operator="containsText" text="CMS">
      <formula>NOT(ISERROR(SEARCH("CMS",Z13)))</formula>
    </cfRule>
    <cfRule type="cellIs" dxfId="17900" priority="407" operator="equal">
      <formula>0</formula>
    </cfRule>
    <cfRule type="cellIs" dxfId="17899" priority="408" operator="greaterThan">
      <formula>0</formula>
    </cfRule>
  </conditionalFormatting>
  <conditionalFormatting sqref="Z16">
    <cfRule type="cellIs" dxfId="17898" priority="277" operator="equal">
      <formula>"PMS"</formula>
    </cfRule>
    <cfRule type="containsText" dxfId="17897" priority="278" operator="containsText" text="CMS">
      <formula>NOT(ISERROR(SEARCH("CMS",Z16)))</formula>
    </cfRule>
    <cfRule type="cellIs" dxfId="17896" priority="279" operator="equal">
      <formula>0</formula>
    </cfRule>
    <cfRule type="cellIs" dxfId="17895" priority="280" operator="greaterThan">
      <formula>0</formula>
    </cfRule>
  </conditionalFormatting>
  <conditionalFormatting sqref="Z16">
    <cfRule type="cellIs" dxfId="17894" priority="273" operator="equal">
      <formula>"PMS"</formula>
    </cfRule>
    <cfRule type="containsText" dxfId="17893" priority="274" operator="containsText" text="CMS">
      <formula>NOT(ISERROR(SEARCH("CMS",Z16)))</formula>
    </cfRule>
    <cfRule type="cellIs" dxfId="17892" priority="275" operator="equal">
      <formula>0</formula>
    </cfRule>
    <cfRule type="cellIs" dxfId="17891" priority="276" operator="greaterThan">
      <formula>0</formula>
    </cfRule>
  </conditionalFormatting>
  <conditionalFormatting sqref="F24 F27:F28 F20:F21 F77:F78 F13:F16 F35:F58 F61:F63 F66:F74">
    <cfRule type="cellIs" dxfId="17890" priority="265" operator="equal">
      <formula>"PMS"</formula>
    </cfRule>
    <cfRule type="containsText" dxfId="17889" priority="266" operator="containsText" text="CMS">
      <formula>NOT(ISERROR(SEARCH("CMS",F13)))</formula>
    </cfRule>
    <cfRule type="cellIs" dxfId="17888" priority="267" operator="equal">
      <formula>0</formula>
    </cfRule>
    <cfRule type="cellIs" dxfId="17887" priority="268" operator="greaterThan">
      <formula>0</formula>
    </cfRule>
    <cfRule type="cellIs" dxfId="17886" priority="269" operator="equal">
      <formula>"PMS"</formula>
    </cfRule>
    <cfRule type="containsText" dxfId="17885" priority="270" operator="containsText" text="CMS">
      <formula>NOT(ISERROR(SEARCH("CMS",F13)))</formula>
    </cfRule>
    <cfRule type="cellIs" dxfId="17884" priority="271" operator="equal">
      <formula>0</formula>
    </cfRule>
    <cfRule type="cellIs" dxfId="17883" priority="272" operator="greaterThan">
      <formula>0</formula>
    </cfRule>
  </conditionalFormatting>
  <conditionalFormatting sqref="F77:F78 F61:F63 F66:F74">
    <cfRule type="cellIs" dxfId="17882" priority="261" operator="equal">
      <formula>"PMS"</formula>
    </cfRule>
    <cfRule type="containsText" dxfId="17881" priority="262" operator="containsText" text="CMS">
      <formula>NOT(ISERROR(SEARCH("CMS",F61)))</formula>
    </cfRule>
    <cfRule type="cellIs" dxfId="17880" priority="263" operator="equal">
      <formula>0</formula>
    </cfRule>
    <cfRule type="cellIs" dxfId="17879" priority="264" operator="greaterThan">
      <formula>0</formula>
    </cfRule>
  </conditionalFormatting>
  <conditionalFormatting sqref="F66:F74">
    <cfRule type="cellIs" dxfId="17878" priority="257" operator="equal">
      <formula>"PMS"</formula>
    </cfRule>
    <cfRule type="containsText" dxfId="17877" priority="258" operator="containsText" text="CMS">
      <formula>NOT(ISERROR(SEARCH("CMS",F66)))</formula>
    </cfRule>
    <cfRule type="cellIs" dxfId="17876" priority="259" operator="equal">
      <formula>0</formula>
    </cfRule>
    <cfRule type="cellIs" dxfId="17875" priority="260" operator="greaterThan">
      <formula>0</formula>
    </cfRule>
  </conditionalFormatting>
  <conditionalFormatting sqref="F13:F16">
    <cfRule type="cellIs" dxfId="17874" priority="253" operator="equal">
      <formula>"PMS"</formula>
    </cfRule>
    <cfRule type="containsText" dxfId="17873" priority="254" operator="containsText" text="CMS">
      <formula>NOT(ISERROR(SEARCH("CMS",F13)))</formula>
    </cfRule>
    <cfRule type="cellIs" dxfId="17872" priority="255" operator="equal">
      <formula>0</formula>
    </cfRule>
    <cfRule type="cellIs" dxfId="17871" priority="256" operator="greaterThan">
      <formula>0</formula>
    </cfRule>
  </conditionalFormatting>
  <conditionalFormatting sqref="F13:F16">
    <cfRule type="cellIs" dxfId="17870" priority="249" operator="equal">
      <formula>"PMS"</formula>
    </cfRule>
    <cfRule type="containsText" dxfId="17869" priority="250" operator="containsText" text="CMS">
      <formula>NOT(ISERROR(SEARCH("CMS",F13)))</formula>
    </cfRule>
    <cfRule type="cellIs" dxfId="17868" priority="251" operator="equal">
      <formula>0</formula>
    </cfRule>
    <cfRule type="cellIs" dxfId="17867" priority="252" operator="greaterThan">
      <formula>0</formula>
    </cfRule>
  </conditionalFormatting>
  <conditionalFormatting sqref="F20:F21">
    <cfRule type="cellIs" dxfId="17866" priority="245" operator="equal">
      <formula>"PMS"</formula>
    </cfRule>
    <cfRule type="containsText" dxfId="17865" priority="246" operator="containsText" text="CMS">
      <formula>NOT(ISERROR(SEARCH("CMS",F20)))</formula>
    </cfRule>
    <cfRule type="cellIs" dxfId="17864" priority="247" operator="equal">
      <formula>0</formula>
    </cfRule>
    <cfRule type="cellIs" dxfId="17863" priority="248" operator="greaterThan">
      <formula>0</formula>
    </cfRule>
  </conditionalFormatting>
  <conditionalFormatting sqref="F20:F21">
    <cfRule type="cellIs" dxfId="17862" priority="241" operator="equal">
      <formula>"PMS"</formula>
    </cfRule>
    <cfRule type="containsText" dxfId="17861" priority="242" operator="containsText" text="CMS">
      <formula>NOT(ISERROR(SEARCH("CMS",F20)))</formula>
    </cfRule>
    <cfRule type="cellIs" dxfId="17860" priority="243" operator="equal">
      <formula>0</formula>
    </cfRule>
    <cfRule type="cellIs" dxfId="17859" priority="244" operator="greaterThan">
      <formula>0</formula>
    </cfRule>
  </conditionalFormatting>
  <conditionalFormatting sqref="F24">
    <cfRule type="cellIs" dxfId="17858" priority="237" operator="equal">
      <formula>"PMS"</formula>
    </cfRule>
    <cfRule type="containsText" dxfId="17857" priority="238" operator="containsText" text="CMS">
      <formula>NOT(ISERROR(SEARCH("CMS",F24)))</formula>
    </cfRule>
    <cfRule type="cellIs" dxfId="17856" priority="239" operator="equal">
      <formula>0</formula>
    </cfRule>
    <cfRule type="cellIs" dxfId="17855" priority="240" operator="greaterThan">
      <formula>0</formula>
    </cfRule>
  </conditionalFormatting>
  <conditionalFormatting sqref="F24">
    <cfRule type="cellIs" dxfId="17854" priority="233" operator="equal">
      <formula>"PMS"</formula>
    </cfRule>
    <cfRule type="containsText" dxfId="17853" priority="234" operator="containsText" text="CMS">
      <formula>NOT(ISERROR(SEARCH("CMS",F24)))</formula>
    </cfRule>
    <cfRule type="cellIs" dxfId="17852" priority="235" operator="equal">
      <formula>0</formula>
    </cfRule>
    <cfRule type="cellIs" dxfId="17851" priority="236" operator="greaterThan">
      <formula>0</formula>
    </cfRule>
  </conditionalFormatting>
  <conditionalFormatting sqref="F27:F28">
    <cfRule type="cellIs" dxfId="17850" priority="229" operator="equal">
      <formula>"PMS"</formula>
    </cfRule>
    <cfRule type="containsText" dxfId="17849" priority="230" operator="containsText" text="CMS">
      <formula>NOT(ISERROR(SEARCH("CMS",F27)))</formula>
    </cfRule>
    <cfRule type="cellIs" dxfId="17848" priority="231" operator="equal">
      <formula>0</formula>
    </cfRule>
    <cfRule type="cellIs" dxfId="17847" priority="232" operator="greaterThan">
      <formula>0</formula>
    </cfRule>
  </conditionalFormatting>
  <conditionalFormatting sqref="F27:F28">
    <cfRule type="cellIs" dxfId="17846" priority="225" operator="equal">
      <formula>"PMS"</formula>
    </cfRule>
    <cfRule type="containsText" dxfId="17845" priority="226" operator="containsText" text="CMS">
      <formula>NOT(ISERROR(SEARCH("CMS",F27)))</formula>
    </cfRule>
    <cfRule type="cellIs" dxfId="17844" priority="227" operator="equal">
      <formula>0</formula>
    </cfRule>
    <cfRule type="cellIs" dxfId="17843" priority="228" operator="greaterThan">
      <formula>0</formula>
    </cfRule>
  </conditionalFormatting>
  <conditionalFormatting sqref="F35:F58">
    <cfRule type="cellIs" dxfId="17842" priority="221" operator="equal">
      <formula>"PMS"</formula>
    </cfRule>
    <cfRule type="containsText" dxfId="17841" priority="222" operator="containsText" text="CMS">
      <formula>NOT(ISERROR(SEARCH("CMS",F35)))</formula>
    </cfRule>
    <cfRule type="cellIs" dxfId="17840" priority="223" operator="equal">
      <formula>0</formula>
    </cfRule>
    <cfRule type="cellIs" dxfId="17839" priority="224" operator="greaterThan">
      <formula>0</formula>
    </cfRule>
  </conditionalFormatting>
  <conditionalFormatting sqref="F35:F58">
    <cfRule type="cellIs" dxfId="17838" priority="217" operator="equal">
      <formula>"PMS"</formula>
    </cfRule>
    <cfRule type="containsText" dxfId="17837" priority="218" operator="containsText" text="CMS">
      <formula>NOT(ISERROR(SEARCH("CMS",F35)))</formula>
    </cfRule>
    <cfRule type="cellIs" dxfId="17836" priority="219" operator="equal">
      <formula>0</formula>
    </cfRule>
    <cfRule type="cellIs" dxfId="17835" priority="220" operator="greaterThan">
      <formula>0</formula>
    </cfRule>
  </conditionalFormatting>
  <conditionalFormatting sqref="F13:F15">
    <cfRule type="cellIs" dxfId="17834" priority="213" operator="equal">
      <formula>"PMS"</formula>
    </cfRule>
    <cfRule type="containsText" dxfId="17833" priority="214" operator="containsText" text="CMS">
      <formula>NOT(ISERROR(SEARCH("CMS",F13)))</formula>
    </cfRule>
    <cfRule type="cellIs" dxfId="17832" priority="215" operator="equal">
      <formula>0</formula>
    </cfRule>
    <cfRule type="cellIs" dxfId="17831" priority="216" operator="greaterThan">
      <formula>0</formula>
    </cfRule>
  </conditionalFormatting>
  <conditionalFormatting sqref="F13:F15">
    <cfRule type="cellIs" dxfId="17830" priority="209" operator="equal">
      <formula>"PMS"</formula>
    </cfRule>
    <cfRule type="containsText" dxfId="17829" priority="210" operator="containsText" text="CMS">
      <formula>NOT(ISERROR(SEARCH("CMS",F13)))</formula>
    </cfRule>
    <cfRule type="cellIs" dxfId="17828" priority="211" operator="equal">
      <formula>0</formula>
    </cfRule>
    <cfRule type="cellIs" dxfId="17827" priority="212" operator="greaterThan">
      <formula>0</formula>
    </cfRule>
  </conditionalFormatting>
  <conditionalFormatting sqref="F57">
    <cfRule type="cellIs" dxfId="17826" priority="205" operator="equal">
      <formula>"PMS"</formula>
    </cfRule>
    <cfRule type="containsText" dxfId="17825" priority="206" operator="containsText" text="CMS">
      <formula>NOT(ISERROR(SEARCH("CMS",F57)))</formula>
    </cfRule>
    <cfRule type="cellIs" dxfId="17824" priority="207" operator="equal">
      <formula>0</formula>
    </cfRule>
    <cfRule type="cellIs" dxfId="17823" priority="208" operator="greaterThan">
      <formula>0</formula>
    </cfRule>
  </conditionalFormatting>
  <conditionalFormatting sqref="F57">
    <cfRule type="cellIs" dxfId="17822" priority="201" operator="equal">
      <formula>"PMS"</formula>
    </cfRule>
    <cfRule type="containsText" dxfId="17821" priority="202" operator="containsText" text="CMS">
      <formula>NOT(ISERROR(SEARCH("CMS",F57)))</formula>
    </cfRule>
    <cfRule type="cellIs" dxfId="17820" priority="203" operator="equal">
      <formula>0</formula>
    </cfRule>
    <cfRule type="cellIs" dxfId="17819" priority="204" operator="greaterThan">
      <formula>0</formula>
    </cfRule>
  </conditionalFormatting>
  <conditionalFormatting sqref="F57">
    <cfRule type="cellIs" dxfId="17818" priority="197" operator="equal">
      <formula>"PMS"</formula>
    </cfRule>
    <cfRule type="containsText" dxfId="17817" priority="198" operator="containsText" text="CMS">
      <formula>NOT(ISERROR(SEARCH("CMS",F57)))</formula>
    </cfRule>
    <cfRule type="cellIs" dxfId="17816" priority="199" operator="equal">
      <formula>0</formula>
    </cfRule>
    <cfRule type="cellIs" dxfId="17815" priority="200" operator="greaterThan">
      <formula>0</formula>
    </cfRule>
  </conditionalFormatting>
  <conditionalFormatting sqref="F57">
    <cfRule type="cellIs" dxfId="17814" priority="193" operator="equal">
      <formula>"PMS"</formula>
    </cfRule>
    <cfRule type="containsText" dxfId="17813" priority="194" operator="containsText" text="CMS">
      <formula>NOT(ISERROR(SEARCH("CMS",F57)))</formula>
    </cfRule>
    <cfRule type="cellIs" dxfId="17812" priority="195" operator="equal">
      <formula>0</formula>
    </cfRule>
    <cfRule type="cellIs" dxfId="17811" priority="196" operator="greaterThan">
      <formula>0</formula>
    </cfRule>
  </conditionalFormatting>
  <conditionalFormatting sqref="F58">
    <cfRule type="cellIs" dxfId="17810" priority="189" operator="equal">
      <formula>"PMS"</formula>
    </cfRule>
    <cfRule type="containsText" dxfId="17809" priority="190" operator="containsText" text="CMS">
      <formula>NOT(ISERROR(SEARCH("CMS",F58)))</formula>
    </cfRule>
    <cfRule type="cellIs" dxfId="17808" priority="191" operator="equal">
      <formula>0</formula>
    </cfRule>
    <cfRule type="cellIs" dxfId="17807" priority="192" operator="greaterThan">
      <formula>0</formula>
    </cfRule>
  </conditionalFormatting>
  <conditionalFormatting sqref="F58">
    <cfRule type="cellIs" dxfId="17806" priority="185" operator="equal">
      <formula>"PMS"</formula>
    </cfRule>
    <cfRule type="containsText" dxfId="17805" priority="186" operator="containsText" text="CMS">
      <formula>NOT(ISERROR(SEARCH("CMS",F58)))</formula>
    </cfRule>
    <cfRule type="cellIs" dxfId="17804" priority="187" operator="equal">
      <formula>0</formula>
    </cfRule>
    <cfRule type="cellIs" dxfId="17803" priority="188" operator="greaterThan">
      <formula>0</formula>
    </cfRule>
  </conditionalFormatting>
  <conditionalFormatting sqref="F58">
    <cfRule type="cellIs" dxfId="17802" priority="181" operator="equal">
      <formula>"PMS"</formula>
    </cfRule>
    <cfRule type="containsText" dxfId="17801" priority="182" operator="containsText" text="CMS">
      <formula>NOT(ISERROR(SEARCH("CMS",F58)))</formula>
    </cfRule>
    <cfRule type="cellIs" dxfId="17800" priority="183" operator="equal">
      <formula>0</formula>
    </cfRule>
    <cfRule type="cellIs" dxfId="17799" priority="184" operator="greaterThan">
      <formula>0</formula>
    </cfRule>
  </conditionalFormatting>
  <conditionalFormatting sqref="F58">
    <cfRule type="cellIs" dxfId="17798" priority="177" operator="equal">
      <formula>"PMS"</formula>
    </cfRule>
    <cfRule type="containsText" dxfId="17797" priority="178" operator="containsText" text="CMS">
      <formula>NOT(ISERROR(SEARCH("CMS",F58)))</formula>
    </cfRule>
    <cfRule type="cellIs" dxfId="17796" priority="179" operator="equal">
      <formula>0</formula>
    </cfRule>
    <cfRule type="cellIs" dxfId="17795" priority="180" operator="greaterThan">
      <formula>0</formula>
    </cfRule>
  </conditionalFormatting>
  <conditionalFormatting sqref="F19">
    <cfRule type="cellIs" dxfId="17794" priority="173" operator="equal">
      <formula>"CMS"</formula>
    </cfRule>
    <cfRule type="cellIs" dxfId="17793" priority="174" operator="equal">
      <formula>"PMS"</formula>
    </cfRule>
    <cfRule type="cellIs" dxfId="17792" priority="175" operator="greaterThan">
      <formula>0</formula>
    </cfRule>
    <cfRule type="cellIs" dxfId="17791" priority="176" operator="equal">
      <formula>0</formula>
    </cfRule>
  </conditionalFormatting>
  <conditionalFormatting sqref="F29">
    <cfRule type="cellIs" dxfId="17790" priority="165" operator="equal">
      <formula>"PMS"</formula>
    </cfRule>
    <cfRule type="containsText" dxfId="17789" priority="166" operator="containsText" text="CMS">
      <formula>NOT(ISERROR(SEARCH("CMS",F29)))</formula>
    </cfRule>
    <cfRule type="cellIs" dxfId="17788" priority="167" operator="equal">
      <formula>0</formula>
    </cfRule>
    <cfRule type="cellIs" dxfId="17787" priority="168" operator="greaterThan">
      <formula>0</formula>
    </cfRule>
    <cfRule type="cellIs" dxfId="17786" priority="169" operator="equal">
      <formula>"PMS"</formula>
    </cfRule>
    <cfRule type="containsText" dxfId="17785" priority="170" operator="containsText" text="CMS">
      <formula>NOT(ISERROR(SEARCH("CMS",F29)))</formula>
    </cfRule>
    <cfRule type="cellIs" dxfId="17784" priority="171" operator="equal">
      <formula>0</formula>
    </cfRule>
    <cfRule type="cellIs" dxfId="17783" priority="172" operator="greaterThan">
      <formula>0</formula>
    </cfRule>
  </conditionalFormatting>
  <conditionalFormatting sqref="F32">
    <cfRule type="cellIs" dxfId="17782" priority="157" operator="equal">
      <formula>"PMS"</formula>
    </cfRule>
    <cfRule type="containsText" dxfId="17781" priority="158" operator="containsText" text="CMS">
      <formula>NOT(ISERROR(SEARCH("CMS",F32)))</formula>
    </cfRule>
    <cfRule type="cellIs" dxfId="17780" priority="159" operator="equal">
      <formula>0</formula>
    </cfRule>
    <cfRule type="cellIs" dxfId="17779" priority="160" operator="greaterThan">
      <formula>0</formula>
    </cfRule>
    <cfRule type="cellIs" dxfId="17778" priority="161" operator="equal">
      <formula>"PMS"</formula>
    </cfRule>
    <cfRule type="containsText" dxfId="17777" priority="162" operator="containsText" text="CMS">
      <formula>NOT(ISERROR(SEARCH("CMS",F32)))</formula>
    </cfRule>
    <cfRule type="cellIs" dxfId="17776" priority="163" operator="equal">
      <formula>0</formula>
    </cfRule>
    <cfRule type="cellIs" dxfId="17775" priority="164" operator="greaterThan">
      <formula>0</formula>
    </cfRule>
  </conditionalFormatting>
  <conditionalFormatting sqref="F32">
    <cfRule type="cellIs" dxfId="17774" priority="153" operator="equal">
      <formula>"PMS"</formula>
    </cfRule>
    <cfRule type="containsText" dxfId="17773" priority="154" operator="containsText" text="CMS">
      <formula>NOT(ISERROR(SEARCH("CMS",F32)))</formula>
    </cfRule>
    <cfRule type="cellIs" dxfId="17772" priority="155" operator="equal">
      <formula>0</formula>
    </cfRule>
    <cfRule type="cellIs" dxfId="17771" priority="156" operator="greaterThan">
      <formula>0</formula>
    </cfRule>
  </conditionalFormatting>
  <conditionalFormatting sqref="F32">
    <cfRule type="cellIs" dxfId="17770" priority="149" operator="equal">
      <formula>"PMS"</formula>
    </cfRule>
    <cfRule type="containsText" dxfId="17769" priority="150" operator="containsText" text="CMS">
      <formula>NOT(ISERROR(SEARCH("CMS",F32)))</formula>
    </cfRule>
    <cfRule type="cellIs" dxfId="17768" priority="151" operator="equal">
      <formula>0</formula>
    </cfRule>
    <cfRule type="cellIs" dxfId="17767" priority="152" operator="greaterThan">
      <formula>0</formula>
    </cfRule>
  </conditionalFormatting>
  <conditionalFormatting sqref="J62:K62">
    <cfRule type="cellIs" dxfId="17766" priority="141" operator="equal">
      <formula>"PMS"</formula>
    </cfRule>
    <cfRule type="containsText" dxfId="17765" priority="142" operator="containsText" text="CMS">
      <formula>NOT(ISERROR(SEARCH("CMS",J62)))</formula>
    </cfRule>
    <cfRule type="cellIs" dxfId="17764" priority="143" operator="equal">
      <formula>0</formula>
    </cfRule>
    <cfRule type="cellIs" dxfId="17763" priority="144" operator="greaterThan">
      <formula>0</formula>
    </cfRule>
    <cfRule type="cellIs" dxfId="17762" priority="145" operator="equal">
      <formula>"PMS"</formula>
    </cfRule>
    <cfRule type="containsText" dxfId="17761" priority="146" operator="containsText" text="CMS">
      <formula>NOT(ISERROR(SEARCH("CMS",J62)))</formula>
    </cfRule>
    <cfRule type="cellIs" dxfId="17760" priority="147" operator="equal">
      <formula>0</formula>
    </cfRule>
    <cfRule type="cellIs" dxfId="17759" priority="148" operator="greaterThan">
      <formula>0</formula>
    </cfRule>
  </conditionalFormatting>
  <conditionalFormatting sqref="J62:K62">
    <cfRule type="cellIs" dxfId="17758" priority="137" operator="equal">
      <formula>"PMS"</formula>
    </cfRule>
    <cfRule type="containsText" dxfId="17757" priority="138" operator="containsText" text="CMS">
      <formula>NOT(ISERROR(SEARCH("CMS",J62)))</formula>
    </cfRule>
    <cfRule type="cellIs" dxfId="17756" priority="139" operator="equal">
      <formula>0</formula>
    </cfRule>
    <cfRule type="cellIs" dxfId="17755" priority="140" operator="greaterThan">
      <formula>0</formula>
    </cfRule>
  </conditionalFormatting>
  <conditionalFormatting sqref="O54:O55">
    <cfRule type="cellIs" dxfId="17754" priority="133" operator="equal">
      <formula>"PMS"</formula>
    </cfRule>
    <cfRule type="containsText" dxfId="17753" priority="134" operator="containsText" text="CMS">
      <formula>NOT(ISERROR(SEARCH("CMS",O54)))</formula>
    </cfRule>
    <cfRule type="cellIs" dxfId="17752" priority="135" operator="equal">
      <formula>0</formula>
    </cfRule>
    <cfRule type="cellIs" dxfId="17751" priority="136" operator="greaterThan">
      <formula>0</formula>
    </cfRule>
  </conditionalFormatting>
  <conditionalFormatting sqref="O54:O55">
    <cfRule type="cellIs" dxfId="17750" priority="129" operator="equal">
      <formula>"PMS"</formula>
    </cfRule>
    <cfRule type="containsText" dxfId="17749" priority="130" operator="containsText" text="CMS">
      <formula>NOT(ISERROR(SEARCH("CMS",O54)))</formula>
    </cfRule>
    <cfRule type="cellIs" dxfId="17748" priority="131" operator="equal">
      <formula>0</formula>
    </cfRule>
    <cfRule type="cellIs" dxfId="17747" priority="132" operator="greaterThan">
      <formula>0</formula>
    </cfRule>
  </conditionalFormatting>
  <conditionalFormatting sqref="O54:O55">
    <cfRule type="cellIs" dxfId="17746" priority="125" operator="equal">
      <formula>"PMS"</formula>
    </cfRule>
    <cfRule type="containsText" dxfId="17745" priority="126" operator="containsText" text="CMS">
      <formula>NOT(ISERROR(SEARCH("CMS",O54)))</formula>
    </cfRule>
    <cfRule type="cellIs" dxfId="17744" priority="127" operator="equal">
      <formula>0</formula>
    </cfRule>
    <cfRule type="cellIs" dxfId="17743" priority="128" operator="greaterThan">
      <formula>0</formula>
    </cfRule>
  </conditionalFormatting>
  <conditionalFormatting sqref="O54:O55">
    <cfRule type="cellIs" dxfId="17742" priority="121" operator="equal">
      <formula>"PMS"</formula>
    </cfRule>
    <cfRule type="containsText" dxfId="17741" priority="122" operator="containsText" text="CMS">
      <formula>NOT(ISERROR(SEARCH("CMS",O54)))</formula>
    </cfRule>
    <cfRule type="cellIs" dxfId="17740" priority="123" operator="equal">
      <formula>0</formula>
    </cfRule>
    <cfRule type="cellIs" dxfId="17739" priority="124" operator="greaterThan">
      <formula>0</formula>
    </cfRule>
  </conditionalFormatting>
  <conditionalFormatting sqref="O54:O55">
    <cfRule type="cellIs" dxfId="17738" priority="117" operator="equal">
      <formula>"PMS"</formula>
    </cfRule>
    <cfRule type="containsText" dxfId="17737" priority="118" operator="containsText" text="CMS">
      <formula>NOT(ISERROR(SEARCH("CMS",O54)))</formula>
    </cfRule>
    <cfRule type="cellIs" dxfId="17736" priority="119" operator="equal">
      <formula>0</formula>
    </cfRule>
    <cfRule type="cellIs" dxfId="17735" priority="120" operator="greaterThan">
      <formula>0</formula>
    </cfRule>
  </conditionalFormatting>
  <conditionalFormatting sqref="O54:O55">
    <cfRule type="cellIs" dxfId="17734" priority="113" operator="equal">
      <formula>"PMS"</formula>
    </cfRule>
    <cfRule type="containsText" dxfId="17733" priority="114" operator="containsText" text="CMS">
      <formula>NOT(ISERROR(SEARCH("CMS",O54)))</formula>
    </cfRule>
    <cfRule type="cellIs" dxfId="17732" priority="115" operator="equal">
      <formula>0</formula>
    </cfRule>
    <cfRule type="cellIs" dxfId="17731" priority="116" operator="greaterThan">
      <formula>0</formula>
    </cfRule>
  </conditionalFormatting>
  <conditionalFormatting sqref="O53">
    <cfRule type="cellIs" dxfId="17730" priority="109" operator="equal">
      <formula>"PMS"</formula>
    </cfRule>
    <cfRule type="containsText" dxfId="17729" priority="110" operator="containsText" text="CMS">
      <formula>NOT(ISERROR(SEARCH("CMS",O53)))</formula>
    </cfRule>
    <cfRule type="cellIs" dxfId="17728" priority="111" operator="equal">
      <formula>0</formula>
    </cfRule>
    <cfRule type="cellIs" dxfId="17727" priority="112" operator="greaterThan">
      <formula>0</formula>
    </cfRule>
  </conditionalFormatting>
  <conditionalFormatting sqref="O53">
    <cfRule type="cellIs" dxfId="17726" priority="105" operator="equal">
      <formula>"PMS"</formula>
    </cfRule>
    <cfRule type="containsText" dxfId="17725" priority="106" operator="containsText" text="CMS">
      <formula>NOT(ISERROR(SEARCH("CMS",O53)))</formula>
    </cfRule>
    <cfRule type="cellIs" dxfId="17724" priority="107" operator="equal">
      <formula>0</formula>
    </cfRule>
    <cfRule type="cellIs" dxfId="17723" priority="108" operator="greaterThan">
      <formula>0</formula>
    </cfRule>
  </conditionalFormatting>
  <conditionalFormatting sqref="O53">
    <cfRule type="cellIs" dxfId="17722" priority="101" operator="equal">
      <formula>"PMS"</formula>
    </cfRule>
    <cfRule type="containsText" dxfId="17721" priority="102" operator="containsText" text="CMS">
      <formula>NOT(ISERROR(SEARCH("CMS",O53)))</formula>
    </cfRule>
    <cfRule type="cellIs" dxfId="17720" priority="103" operator="equal">
      <formula>0</formula>
    </cfRule>
    <cfRule type="cellIs" dxfId="17719" priority="104" operator="greaterThan">
      <formula>0</formula>
    </cfRule>
  </conditionalFormatting>
  <conditionalFormatting sqref="O53">
    <cfRule type="cellIs" dxfId="17718" priority="97" operator="equal">
      <formula>"PMS"</formula>
    </cfRule>
    <cfRule type="containsText" dxfId="17717" priority="98" operator="containsText" text="CMS">
      <formula>NOT(ISERROR(SEARCH("CMS",O53)))</formula>
    </cfRule>
    <cfRule type="cellIs" dxfId="17716" priority="99" operator="equal">
      <formula>0</formula>
    </cfRule>
    <cfRule type="cellIs" dxfId="17715" priority="100" operator="greaterThan">
      <formula>0</formula>
    </cfRule>
  </conditionalFormatting>
  <conditionalFormatting sqref="O53">
    <cfRule type="cellIs" dxfId="17714" priority="93" operator="equal">
      <formula>"PMS"</formula>
    </cfRule>
    <cfRule type="containsText" dxfId="17713" priority="94" operator="containsText" text="CMS">
      <formula>NOT(ISERROR(SEARCH("CMS",O53)))</formula>
    </cfRule>
    <cfRule type="cellIs" dxfId="17712" priority="95" operator="equal">
      <formula>0</formula>
    </cfRule>
    <cfRule type="cellIs" dxfId="17711" priority="96" operator="greaterThan">
      <formula>0</formula>
    </cfRule>
  </conditionalFormatting>
  <conditionalFormatting sqref="O53">
    <cfRule type="cellIs" dxfId="17710" priority="89" operator="equal">
      <formula>"PMS"</formula>
    </cfRule>
    <cfRule type="containsText" dxfId="17709" priority="90" operator="containsText" text="CMS">
      <formula>NOT(ISERROR(SEARCH("CMS",O53)))</formula>
    </cfRule>
    <cfRule type="cellIs" dxfId="17708" priority="91" operator="equal">
      <formula>0</formula>
    </cfRule>
    <cfRule type="cellIs" dxfId="17707" priority="92" operator="greaterThan">
      <formula>0</formula>
    </cfRule>
  </conditionalFormatting>
  <conditionalFormatting sqref="O53">
    <cfRule type="cellIs" dxfId="17706" priority="85" operator="equal">
      <formula>"PMS"</formula>
    </cfRule>
    <cfRule type="containsText" dxfId="17705" priority="86" operator="containsText" text="CMS">
      <formula>NOT(ISERROR(SEARCH("CMS",O53)))</formula>
    </cfRule>
    <cfRule type="cellIs" dxfId="17704" priority="87" operator="equal">
      <formula>0</formula>
    </cfRule>
    <cfRule type="cellIs" dxfId="17703" priority="88" operator="greaterThan">
      <formula>0</formula>
    </cfRule>
  </conditionalFormatting>
  <conditionalFormatting sqref="O53">
    <cfRule type="cellIs" dxfId="17702" priority="81" operator="equal">
      <formula>"PMS"</formula>
    </cfRule>
    <cfRule type="containsText" dxfId="17701" priority="82" operator="containsText" text="CMS">
      <formula>NOT(ISERROR(SEARCH("CMS",O53)))</formula>
    </cfRule>
    <cfRule type="cellIs" dxfId="17700" priority="83" operator="equal">
      <formula>0</formula>
    </cfRule>
    <cfRule type="cellIs" dxfId="17699" priority="84" operator="greaterThan">
      <formula>0</formula>
    </cfRule>
  </conditionalFormatting>
  <conditionalFormatting sqref="O53">
    <cfRule type="cellIs" dxfId="17698" priority="77" operator="equal">
      <formula>"PMS"</formula>
    </cfRule>
    <cfRule type="containsText" dxfId="17697" priority="78" operator="containsText" text="CMS">
      <formula>NOT(ISERROR(SEARCH("CMS",O53)))</formula>
    </cfRule>
    <cfRule type="cellIs" dxfId="17696" priority="79" operator="equal">
      <formula>0</formula>
    </cfRule>
    <cfRule type="cellIs" dxfId="17695" priority="80" operator="greaterThan">
      <formula>0</formula>
    </cfRule>
  </conditionalFormatting>
  <conditionalFormatting sqref="O53">
    <cfRule type="cellIs" dxfId="17694" priority="73" operator="equal">
      <formula>"PMS"</formula>
    </cfRule>
    <cfRule type="containsText" dxfId="17693" priority="74" operator="containsText" text="CMS">
      <formula>NOT(ISERROR(SEARCH("CMS",O53)))</formula>
    </cfRule>
    <cfRule type="cellIs" dxfId="17692" priority="75" operator="equal">
      <formula>0</formula>
    </cfRule>
    <cfRule type="cellIs" dxfId="17691" priority="76" operator="greaterThan">
      <formula>0</formula>
    </cfRule>
  </conditionalFormatting>
  <conditionalFormatting sqref="O53">
    <cfRule type="cellIs" dxfId="17690" priority="69" operator="equal">
      <formula>"PMS"</formula>
    </cfRule>
    <cfRule type="containsText" dxfId="17689" priority="70" operator="containsText" text="CMS">
      <formula>NOT(ISERROR(SEARCH("CMS",O53)))</formula>
    </cfRule>
    <cfRule type="cellIs" dxfId="17688" priority="71" operator="equal">
      <formula>0</formula>
    </cfRule>
    <cfRule type="cellIs" dxfId="17687" priority="72" operator="greaterThan">
      <formula>0</formula>
    </cfRule>
  </conditionalFormatting>
  <conditionalFormatting sqref="O53">
    <cfRule type="cellIs" dxfId="17686" priority="65" operator="equal">
      <formula>"PMS"</formula>
    </cfRule>
    <cfRule type="containsText" dxfId="17685" priority="66" operator="containsText" text="CMS">
      <formula>NOT(ISERROR(SEARCH("CMS",O53)))</formula>
    </cfRule>
    <cfRule type="cellIs" dxfId="17684" priority="67" operator="equal">
      <formula>0</formula>
    </cfRule>
    <cfRule type="cellIs" dxfId="17683" priority="68" operator="greaterThan">
      <formula>0</formula>
    </cfRule>
  </conditionalFormatting>
  <conditionalFormatting sqref="O53">
    <cfRule type="cellIs" dxfId="17682" priority="61" operator="equal">
      <formula>"PMS"</formula>
    </cfRule>
    <cfRule type="containsText" dxfId="17681" priority="62" operator="containsText" text="CMS">
      <formula>NOT(ISERROR(SEARCH("CMS",O53)))</formula>
    </cfRule>
    <cfRule type="cellIs" dxfId="17680" priority="63" operator="equal">
      <formula>0</formula>
    </cfRule>
    <cfRule type="cellIs" dxfId="17679" priority="64" operator="greaterThan">
      <formula>0</formula>
    </cfRule>
  </conditionalFormatting>
  <conditionalFormatting sqref="P52:P54">
    <cfRule type="cellIs" dxfId="17678" priority="57" operator="equal">
      <formula>"PMS"</formula>
    </cfRule>
    <cfRule type="containsText" dxfId="17677" priority="58" operator="containsText" text="CMS">
      <formula>NOT(ISERROR(SEARCH("CMS",P52)))</formula>
    </cfRule>
    <cfRule type="cellIs" dxfId="17676" priority="59" operator="equal">
      <formula>0</formula>
    </cfRule>
    <cfRule type="cellIs" dxfId="17675" priority="60" operator="greaterThan">
      <formula>0</formula>
    </cfRule>
  </conditionalFormatting>
  <conditionalFormatting sqref="P52:P54">
    <cfRule type="cellIs" dxfId="17674" priority="53" operator="equal">
      <formula>"PMS"</formula>
    </cfRule>
    <cfRule type="containsText" dxfId="17673" priority="54" operator="containsText" text="CMS">
      <formula>NOT(ISERROR(SEARCH("CMS",P52)))</formula>
    </cfRule>
    <cfRule type="cellIs" dxfId="17672" priority="55" operator="equal">
      <formula>0</formula>
    </cfRule>
    <cfRule type="cellIs" dxfId="17671" priority="56" operator="greaterThan">
      <formula>0</formula>
    </cfRule>
  </conditionalFormatting>
  <conditionalFormatting sqref="P52:P54">
    <cfRule type="cellIs" dxfId="17670" priority="49" operator="equal">
      <formula>"PMS"</formula>
    </cfRule>
    <cfRule type="containsText" dxfId="17669" priority="50" operator="containsText" text="CMS">
      <formula>NOT(ISERROR(SEARCH("CMS",P52)))</formula>
    </cfRule>
    <cfRule type="cellIs" dxfId="17668" priority="51" operator="equal">
      <formula>0</formula>
    </cfRule>
    <cfRule type="cellIs" dxfId="17667" priority="52" operator="greaterThan">
      <formula>0</formula>
    </cfRule>
  </conditionalFormatting>
  <conditionalFormatting sqref="P52:P54">
    <cfRule type="cellIs" dxfId="17666" priority="45" operator="equal">
      <formula>"PMS"</formula>
    </cfRule>
    <cfRule type="containsText" dxfId="17665" priority="46" operator="containsText" text="CMS">
      <formula>NOT(ISERROR(SEARCH("CMS",P52)))</formula>
    </cfRule>
    <cfRule type="cellIs" dxfId="17664" priority="47" operator="equal">
      <formula>0</formula>
    </cfRule>
    <cfRule type="cellIs" dxfId="17663" priority="48" operator="greaterThan">
      <formula>0</formula>
    </cfRule>
  </conditionalFormatting>
  <conditionalFormatting sqref="P57:P58">
    <cfRule type="cellIs" dxfId="17662" priority="41" operator="equal">
      <formula>"PMS"</formula>
    </cfRule>
    <cfRule type="containsText" dxfId="17661" priority="42" operator="containsText" text="CMS">
      <formula>NOT(ISERROR(SEARCH("CMS",P57)))</formula>
    </cfRule>
    <cfRule type="cellIs" dxfId="17660" priority="43" operator="equal">
      <formula>0</formula>
    </cfRule>
    <cfRule type="cellIs" dxfId="17659" priority="44" operator="greaterThan">
      <formula>0</formula>
    </cfRule>
  </conditionalFormatting>
  <conditionalFormatting sqref="P57:P58">
    <cfRule type="cellIs" dxfId="17658" priority="37" operator="equal">
      <formula>"PMS"</formula>
    </cfRule>
    <cfRule type="containsText" dxfId="17657" priority="38" operator="containsText" text="CMS">
      <formula>NOT(ISERROR(SEARCH("CMS",P57)))</formula>
    </cfRule>
    <cfRule type="cellIs" dxfId="17656" priority="39" operator="equal">
      <formula>0</formula>
    </cfRule>
    <cfRule type="cellIs" dxfId="17655" priority="40" operator="greaterThan">
      <formula>0</formula>
    </cfRule>
  </conditionalFormatting>
  <conditionalFormatting sqref="P57:P58">
    <cfRule type="cellIs" dxfId="17654" priority="33" operator="equal">
      <formula>"PMS"</formula>
    </cfRule>
    <cfRule type="containsText" dxfId="17653" priority="34" operator="containsText" text="CMS">
      <formula>NOT(ISERROR(SEARCH("CMS",P57)))</formula>
    </cfRule>
    <cfRule type="cellIs" dxfId="17652" priority="35" operator="equal">
      <formula>0</formula>
    </cfRule>
    <cfRule type="cellIs" dxfId="17651" priority="36" operator="greaterThan">
      <formula>0</formula>
    </cfRule>
  </conditionalFormatting>
  <conditionalFormatting sqref="P57:P58">
    <cfRule type="cellIs" dxfId="17650" priority="29" operator="equal">
      <formula>"PMS"</formula>
    </cfRule>
    <cfRule type="containsText" dxfId="17649" priority="30" operator="containsText" text="CMS">
      <formula>NOT(ISERROR(SEARCH("CMS",P57)))</formula>
    </cfRule>
    <cfRule type="cellIs" dxfId="17648" priority="31" operator="equal">
      <formula>0</formula>
    </cfRule>
    <cfRule type="cellIs" dxfId="17647" priority="32" operator="greaterThan">
      <formula>0</formula>
    </cfRule>
  </conditionalFormatting>
  <conditionalFormatting sqref="O47">
    <cfRule type="cellIs" dxfId="17646" priority="25" operator="equal">
      <formula>"PMS"</formula>
    </cfRule>
    <cfRule type="containsText" dxfId="17645" priority="26" operator="containsText" text="CMS">
      <formula>NOT(ISERROR(SEARCH("CMS",O47)))</formula>
    </cfRule>
    <cfRule type="cellIs" dxfId="17644" priority="27" operator="equal">
      <formula>0</formula>
    </cfRule>
    <cfRule type="cellIs" dxfId="17643" priority="28" operator="greaterThan">
      <formula>0</formula>
    </cfRule>
  </conditionalFormatting>
  <conditionalFormatting sqref="O47">
    <cfRule type="cellIs" dxfId="17642" priority="21" operator="equal">
      <formula>"PMS"</formula>
    </cfRule>
    <cfRule type="containsText" dxfId="17641" priority="22" operator="containsText" text="CMS">
      <formula>NOT(ISERROR(SEARCH("CMS",O47)))</formula>
    </cfRule>
    <cfRule type="cellIs" dxfId="17640" priority="23" operator="equal">
      <formula>0</formula>
    </cfRule>
    <cfRule type="cellIs" dxfId="17639" priority="24" operator="greaterThan">
      <formula>0</formula>
    </cfRule>
  </conditionalFormatting>
  <conditionalFormatting sqref="O47">
    <cfRule type="cellIs" dxfId="17638" priority="17" operator="equal">
      <formula>"PMS"</formula>
    </cfRule>
    <cfRule type="containsText" dxfId="17637" priority="18" operator="containsText" text="CMS">
      <formula>NOT(ISERROR(SEARCH("CMS",O47)))</formula>
    </cfRule>
    <cfRule type="cellIs" dxfId="17636" priority="19" operator="equal">
      <formula>0</formula>
    </cfRule>
    <cfRule type="cellIs" dxfId="17635" priority="20" operator="greaterThan">
      <formula>0</formula>
    </cfRule>
  </conditionalFormatting>
  <conditionalFormatting sqref="P57:P58">
    <cfRule type="cellIs" dxfId="17634" priority="13" operator="equal">
      <formula>"PMS"</formula>
    </cfRule>
    <cfRule type="containsText" dxfId="17633" priority="14" operator="containsText" text="CMS">
      <formula>NOT(ISERROR(SEARCH("CMS",P57)))</formula>
    </cfRule>
    <cfRule type="cellIs" dxfId="17632" priority="15" operator="equal">
      <formula>0</formula>
    </cfRule>
    <cfRule type="cellIs" dxfId="17631" priority="16" operator="greaterThan">
      <formula>0</formula>
    </cfRule>
  </conditionalFormatting>
  <conditionalFormatting sqref="P57:P58">
    <cfRule type="cellIs" dxfId="17630" priority="9" operator="equal">
      <formula>"PMS"</formula>
    </cfRule>
    <cfRule type="containsText" dxfId="17629" priority="10" operator="containsText" text="CMS">
      <formula>NOT(ISERROR(SEARCH("CMS",P57)))</formula>
    </cfRule>
    <cfRule type="cellIs" dxfId="17628" priority="11" operator="equal">
      <formula>0</formula>
    </cfRule>
    <cfRule type="cellIs" dxfId="17627" priority="12" operator="greaterThan">
      <formula>0</formula>
    </cfRule>
  </conditionalFormatting>
  <conditionalFormatting sqref="P57:P58">
    <cfRule type="cellIs" dxfId="17626" priority="5" operator="equal">
      <formula>"PMS"</formula>
    </cfRule>
    <cfRule type="containsText" dxfId="17625" priority="6" operator="containsText" text="CMS">
      <formula>NOT(ISERROR(SEARCH("CMS",P57)))</formula>
    </cfRule>
    <cfRule type="cellIs" dxfId="17624" priority="7" operator="equal">
      <formula>0</formula>
    </cfRule>
    <cfRule type="cellIs" dxfId="17623" priority="8" operator="greaterThan">
      <formula>0</formula>
    </cfRule>
  </conditionalFormatting>
  <conditionalFormatting sqref="P57:P58">
    <cfRule type="cellIs" dxfId="17622" priority="1" operator="equal">
      <formula>"PMS"</formula>
    </cfRule>
    <cfRule type="containsText" dxfId="17621" priority="2" operator="containsText" text="CMS">
      <formula>NOT(ISERROR(SEARCH("CMS",P57)))</formula>
    </cfRule>
    <cfRule type="cellIs" dxfId="17620" priority="3" operator="equal">
      <formula>0</formula>
    </cfRule>
    <cfRule type="cellIs" dxfId="1761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26441-F53A-466B-AB79-002409F18075}">
  <sheetPr codeName="Sheet114"/>
  <dimension ref="A2:DT137"/>
  <sheetViews>
    <sheetView zoomScale="70" zoomScaleNormal="70" zoomScaleSheetLayoutView="51" zoomScalePageLayoutView="55" workbookViewId="0">
      <pane xSplit="5" ySplit="11" topLeftCell="F61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P98" sqref="P9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16,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379.59999999999997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5.5</v>
      </c>
      <c r="G13" s="71">
        <v>6.1</v>
      </c>
      <c r="H13" s="71">
        <v>6.1</v>
      </c>
      <c r="I13" s="71">
        <v>6</v>
      </c>
      <c r="J13" s="71">
        <v>5.9</v>
      </c>
      <c r="K13" s="71">
        <v>5.9</v>
      </c>
      <c r="L13" s="71">
        <v>6.1</v>
      </c>
      <c r="M13" s="71">
        <v>6.3</v>
      </c>
      <c r="N13" s="71"/>
      <c r="O13" s="219"/>
      <c r="P13" s="219"/>
      <c r="Q13" s="71"/>
      <c r="R13" s="71">
        <v>5.9</v>
      </c>
      <c r="S13" s="71">
        <v>6</v>
      </c>
      <c r="T13" s="71">
        <v>6</v>
      </c>
      <c r="U13" s="71">
        <v>6.1</v>
      </c>
      <c r="V13" s="71">
        <v>6.5</v>
      </c>
      <c r="W13" s="71">
        <v>7</v>
      </c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7.1</v>
      </c>
      <c r="G14" s="71"/>
      <c r="H14" s="71"/>
      <c r="I14" s="71"/>
      <c r="J14" s="71"/>
      <c r="K14" s="71"/>
      <c r="L14" s="71"/>
      <c r="M14" s="71"/>
      <c r="N14" s="71"/>
      <c r="O14" s="219"/>
      <c r="P14" s="219"/>
      <c r="Q14" s="71">
        <v>6.1</v>
      </c>
      <c r="R14" s="71">
        <v>5.9</v>
      </c>
      <c r="S14" s="71">
        <v>6</v>
      </c>
      <c r="T14" s="71">
        <v>6</v>
      </c>
      <c r="U14" s="71">
        <v>6.1</v>
      </c>
      <c r="V14" s="71">
        <v>6.5</v>
      </c>
      <c r="W14" s="71"/>
      <c r="X14" s="71">
        <v>1.4</v>
      </c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8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>
        <v>6.2</v>
      </c>
      <c r="O15" s="219">
        <v>6.2</v>
      </c>
      <c r="P15" s="219">
        <v>6.3</v>
      </c>
      <c r="Q15" s="71">
        <v>6.1</v>
      </c>
      <c r="R15" s="71">
        <v>5.9</v>
      </c>
      <c r="S15" s="71">
        <v>6</v>
      </c>
      <c r="T15" s="71">
        <v>6</v>
      </c>
      <c r="U15" s="71">
        <v>6.1</v>
      </c>
      <c r="V15" s="71">
        <v>6.5</v>
      </c>
      <c r="W15" s="71">
        <v>5.9</v>
      </c>
      <c r="X15" s="71">
        <v>6.3</v>
      </c>
      <c r="Y15" s="71">
        <v>6.6</v>
      </c>
      <c r="Z15" s="71">
        <v>6.6</v>
      </c>
      <c r="AA15" s="71">
        <v>6.5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5.3</v>
      </c>
      <c r="G16" s="71">
        <v>6.1</v>
      </c>
      <c r="H16" s="71">
        <v>6.2</v>
      </c>
      <c r="I16" s="71">
        <v>6.1</v>
      </c>
      <c r="J16" s="71">
        <v>6</v>
      </c>
      <c r="K16" s="71">
        <v>6</v>
      </c>
      <c r="L16" s="71">
        <v>6.2</v>
      </c>
      <c r="M16" s="71">
        <v>6.4</v>
      </c>
      <c r="N16" s="71">
        <v>6.2</v>
      </c>
      <c r="O16" s="71">
        <v>6.2</v>
      </c>
      <c r="P16" s="219">
        <v>6.3</v>
      </c>
      <c r="Q16" s="71">
        <v>6.1</v>
      </c>
      <c r="R16" s="71">
        <v>5.9</v>
      </c>
      <c r="S16" s="71">
        <v>6</v>
      </c>
      <c r="T16" s="71">
        <v>6</v>
      </c>
      <c r="U16" s="71">
        <v>6.1</v>
      </c>
      <c r="V16" s="71">
        <v>6.5</v>
      </c>
      <c r="W16" s="71">
        <v>5.9</v>
      </c>
      <c r="X16" s="71">
        <v>6.3</v>
      </c>
      <c r="Y16" s="71">
        <v>6.6</v>
      </c>
      <c r="Z16" s="71">
        <v>6.6</v>
      </c>
      <c r="AA16" s="71">
        <v>6.5</v>
      </c>
      <c r="AB16" s="71">
        <v>6.6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17.899999999999999</v>
      </c>
      <c r="G17" s="19">
        <f t="shared" ref="G17:AC17" si="1">SUM(G13:G16)</f>
        <v>12.2</v>
      </c>
      <c r="H17" s="19">
        <f t="shared" si="1"/>
        <v>12.3</v>
      </c>
      <c r="I17" s="19">
        <f t="shared" si="1"/>
        <v>12.1</v>
      </c>
      <c r="J17" s="19">
        <f t="shared" si="1"/>
        <v>11.9</v>
      </c>
      <c r="K17" s="19">
        <f t="shared" si="1"/>
        <v>11.9</v>
      </c>
      <c r="L17" s="19">
        <f t="shared" si="1"/>
        <v>12.3</v>
      </c>
      <c r="M17" s="19">
        <f t="shared" si="1"/>
        <v>12.7</v>
      </c>
      <c r="N17" s="19">
        <f t="shared" si="1"/>
        <v>12.4</v>
      </c>
      <c r="O17" s="19">
        <f t="shared" si="1"/>
        <v>12.4</v>
      </c>
      <c r="P17" s="19">
        <f t="shared" si="1"/>
        <v>12.6</v>
      </c>
      <c r="Q17" s="19">
        <f t="shared" si="1"/>
        <v>18.299999999999997</v>
      </c>
      <c r="R17" s="19">
        <f t="shared" si="1"/>
        <v>23.6</v>
      </c>
      <c r="S17" s="19">
        <f t="shared" si="1"/>
        <v>24</v>
      </c>
      <c r="T17" s="19">
        <f t="shared" si="1"/>
        <v>24</v>
      </c>
      <c r="U17" s="19">
        <f t="shared" si="1"/>
        <v>24.4</v>
      </c>
      <c r="V17" s="19">
        <f t="shared" si="1"/>
        <v>26</v>
      </c>
      <c r="W17" s="19">
        <f t="shared" si="1"/>
        <v>18.8</v>
      </c>
      <c r="X17" s="19">
        <f t="shared" si="1"/>
        <v>14</v>
      </c>
      <c r="Y17" s="19">
        <f t="shared" si="1"/>
        <v>13.2</v>
      </c>
      <c r="Z17" s="19">
        <f t="shared" si="1"/>
        <v>13.2</v>
      </c>
      <c r="AA17" s="19">
        <f t="shared" si="1"/>
        <v>13</v>
      </c>
      <c r="AB17" s="19">
        <f t="shared" si="1"/>
        <v>13.2</v>
      </c>
      <c r="AC17" s="19">
        <f t="shared" si="1"/>
        <v>13.2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22.8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1</v>
      </c>
      <c r="G21" s="71"/>
      <c r="H21" s="71"/>
      <c r="I21" s="71"/>
      <c r="J21" s="71"/>
      <c r="K21" s="71"/>
      <c r="L21" s="71"/>
      <c r="M21" s="71"/>
      <c r="N21" s="71"/>
      <c r="O21" s="219"/>
      <c r="P21" s="71"/>
      <c r="Q21" s="71"/>
      <c r="R21" s="71"/>
      <c r="S21" s="71"/>
      <c r="T21" s="71"/>
      <c r="U21" s="71"/>
      <c r="V21" s="71"/>
      <c r="W21" s="71">
        <v>2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8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1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2</v>
      </c>
      <c r="X22" s="19">
        <f t="shared" si="3"/>
        <v>3.3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84.59999999999998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3.2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</v>
      </c>
      <c r="T24" s="71">
        <v>3</v>
      </c>
      <c r="U24" s="71">
        <v>3.2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3.2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3.8</v>
      </c>
      <c r="J25" s="19">
        <f t="shared" si="6"/>
        <v>3.8</v>
      </c>
      <c r="K25" s="19">
        <f t="shared" si="6"/>
        <v>3.8</v>
      </c>
      <c r="L25" s="19">
        <f t="shared" si="6"/>
        <v>3.8</v>
      </c>
      <c r="M25" s="19">
        <f t="shared" si="6"/>
        <v>3.8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</v>
      </c>
      <c r="T25" s="19">
        <f t="shared" si="6"/>
        <v>3</v>
      </c>
      <c r="U25" s="19">
        <f t="shared" si="6"/>
        <v>3.2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86.499999999999986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>
        <v>2.8</v>
      </c>
      <c r="X27" s="71">
        <v>4</v>
      </c>
      <c r="Y27" s="71">
        <v>4</v>
      </c>
      <c r="Z27" s="71">
        <v>4</v>
      </c>
      <c r="AA27" s="71">
        <v>3.8</v>
      </c>
      <c r="AB27" s="71">
        <v>4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1.1000000000000001</v>
      </c>
      <c r="G28" s="71">
        <v>2.4</v>
      </c>
      <c r="H28" s="71">
        <v>4.0999999999999996</v>
      </c>
      <c r="I28" s="71">
        <v>1.9</v>
      </c>
      <c r="J28" s="71">
        <v>1.9</v>
      </c>
      <c r="K28" s="71">
        <v>2.1</v>
      </c>
      <c r="L28" s="71">
        <v>2.1</v>
      </c>
      <c r="M28" s="71">
        <v>2</v>
      </c>
      <c r="N28" s="71">
        <v>2.1</v>
      </c>
      <c r="O28" s="219">
        <v>2</v>
      </c>
      <c r="P28" s="71">
        <v>3.2</v>
      </c>
      <c r="Q28" s="71">
        <v>2</v>
      </c>
      <c r="R28" s="71">
        <v>1.5</v>
      </c>
      <c r="S28" s="71">
        <v>1</v>
      </c>
      <c r="T28" s="71">
        <v>1</v>
      </c>
      <c r="U28" s="71">
        <v>1</v>
      </c>
      <c r="V28" s="71">
        <v>3.3</v>
      </c>
      <c r="W28" s="71">
        <v>2.8</v>
      </c>
      <c r="X28" s="71">
        <v>4</v>
      </c>
      <c r="Y28" s="71">
        <v>4</v>
      </c>
      <c r="Z28" s="71">
        <v>4</v>
      </c>
      <c r="AA28" s="71">
        <v>3.8</v>
      </c>
      <c r="AB28" s="71">
        <v>4</v>
      </c>
      <c r="AC28" s="71">
        <v>3.6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>
        <v>2.4</v>
      </c>
      <c r="G29" s="379">
        <v>2.4</v>
      </c>
      <c r="H29" s="379">
        <v>2.4</v>
      </c>
      <c r="I29" s="379">
        <v>2.4</v>
      </c>
      <c r="J29" s="379">
        <v>2.4</v>
      </c>
      <c r="K29" s="379">
        <v>2.4</v>
      </c>
      <c r="L29" s="379">
        <v>2.4</v>
      </c>
      <c r="M29" s="379">
        <v>2.4</v>
      </c>
      <c r="N29" s="379">
        <v>2.4</v>
      </c>
      <c r="O29" s="379">
        <v>4.8</v>
      </c>
      <c r="P29" s="379">
        <v>4.8</v>
      </c>
      <c r="Q29" s="379">
        <v>3.6</v>
      </c>
      <c r="R29" s="379">
        <v>4.8</v>
      </c>
      <c r="S29" s="379">
        <v>4.8</v>
      </c>
      <c r="T29" s="379">
        <v>4.8</v>
      </c>
      <c r="U29" s="379">
        <v>4.8</v>
      </c>
      <c r="V29" s="379">
        <v>0.3</v>
      </c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3.5</v>
      </c>
      <c r="G30" s="19">
        <f t="shared" ref="G30:AC30" si="8">SUM(G27:G29)</f>
        <v>4.8</v>
      </c>
      <c r="H30" s="19">
        <f t="shared" si="8"/>
        <v>6.5</v>
      </c>
      <c r="I30" s="19">
        <f t="shared" si="8"/>
        <v>4.3</v>
      </c>
      <c r="J30" s="19">
        <f t="shared" si="8"/>
        <v>4.3</v>
      </c>
      <c r="K30" s="19">
        <f t="shared" si="8"/>
        <v>4.5</v>
      </c>
      <c r="L30" s="19">
        <f t="shared" si="8"/>
        <v>4.5</v>
      </c>
      <c r="M30" s="19">
        <f t="shared" si="8"/>
        <v>4.4000000000000004</v>
      </c>
      <c r="N30" s="19">
        <f t="shared" si="8"/>
        <v>4.5</v>
      </c>
      <c r="O30" s="19">
        <f t="shared" si="8"/>
        <v>6.8</v>
      </c>
      <c r="P30" s="19">
        <f t="shared" si="8"/>
        <v>8</v>
      </c>
      <c r="Q30" s="19">
        <f t="shared" si="8"/>
        <v>5.6</v>
      </c>
      <c r="R30" s="19">
        <f t="shared" si="8"/>
        <v>6.3</v>
      </c>
      <c r="S30" s="19">
        <f t="shared" si="8"/>
        <v>5.8</v>
      </c>
      <c r="T30" s="19">
        <f t="shared" si="8"/>
        <v>5.8</v>
      </c>
      <c r="U30" s="19">
        <f t="shared" si="8"/>
        <v>5.8</v>
      </c>
      <c r="V30" s="19">
        <f t="shared" si="8"/>
        <v>3.5999999999999996</v>
      </c>
      <c r="W30" s="19">
        <f t="shared" si="8"/>
        <v>5.6</v>
      </c>
      <c r="X30" s="19">
        <f t="shared" si="8"/>
        <v>8</v>
      </c>
      <c r="Y30" s="19">
        <f t="shared" si="8"/>
        <v>8</v>
      </c>
      <c r="Z30" s="19">
        <f t="shared" si="8"/>
        <v>8</v>
      </c>
      <c r="AA30" s="19">
        <f t="shared" si="8"/>
        <v>7.6</v>
      </c>
      <c r="AB30" s="19">
        <f t="shared" si="8"/>
        <v>8</v>
      </c>
      <c r="AC30" s="19">
        <f t="shared" si="8"/>
        <v>6.6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250.67000000000002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7.35</v>
      </c>
      <c r="G32" s="71">
        <v>11.67</v>
      </c>
      <c r="H32" s="71">
        <v>10.8</v>
      </c>
      <c r="I32" s="71">
        <v>9.77</v>
      </c>
      <c r="J32" s="71">
        <v>9.4600000000000009</v>
      </c>
      <c r="K32" s="71">
        <v>8.92</v>
      </c>
      <c r="L32" s="71">
        <v>8.7799999999999994</v>
      </c>
      <c r="M32" s="71">
        <v>9.93</v>
      </c>
      <c r="N32" s="71">
        <v>9.8000000000000007</v>
      </c>
      <c r="O32" s="71">
        <v>9.85</v>
      </c>
      <c r="P32" s="71">
        <v>9.92</v>
      </c>
      <c r="Q32" s="71">
        <v>9.92</v>
      </c>
      <c r="R32" s="71">
        <v>8.94</v>
      </c>
      <c r="S32" s="71">
        <v>7.52</v>
      </c>
      <c r="T32" s="71">
        <v>7.55</v>
      </c>
      <c r="U32" s="71">
        <v>7.53</v>
      </c>
      <c r="V32" s="71">
        <v>9.3000000000000007</v>
      </c>
      <c r="W32" s="71">
        <v>12.85</v>
      </c>
      <c r="X32" s="71">
        <v>13.75</v>
      </c>
      <c r="Y32" s="71">
        <v>13.74</v>
      </c>
      <c r="Z32" s="71">
        <v>13.73</v>
      </c>
      <c r="AA32" s="71">
        <v>13.82</v>
      </c>
      <c r="AB32" s="71">
        <v>12.15</v>
      </c>
      <c r="AC32" s="71">
        <v>13.62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7.35</v>
      </c>
      <c r="G33" s="19">
        <f t="shared" ref="G33:AC33" si="10">SUM(G32)</f>
        <v>11.67</v>
      </c>
      <c r="H33" s="19">
        <f t="shared" si="10"/>
        <v>10.8</v>
      </c>
      <c r="I33" s="19">
        <f t="shared" si="10"/>
        <v>9.77</v>
      </c>
      <c r="J33" s="19">
        <f t="shared" si="10"/>
        <v>9.4600000000000009</v>
      </c>
      <c r="K33" s="19">
        <f t="shared" si="10"/>
        <v>8.92</v>
      </c>
      <c r="L33" s="19">
        <f t="shared" si="10"/>
        <v>8.7799999999999994</v>
      </c>
      <c r="M33" s="19">
        <f t="shared" si="10"/>
        <v>9.93</v>
      </c>
      <c r="N33" s="19">
        <f t="shared" si="10"/>
        <v>9.8000000000000007</v>
      </c>
      <c r="O33" s="19">
        <f t="shared" si="10"/>
        <v>9.85</v>
      </c>
      <c r="P33" s="19">
        <f t="shared" si="10"/>
        <v>9.92</v>
      </c>
      <c r="Q33" s="19">
        <f t="shared" si="10"/>
        <v>9.92</v>
      </c>
      <c r="R33" s="19">
        <f t="shared" si="10"/>
        <v>8.94</v>
      </c>
      <c r="S33" s="19">
        <f t="shared" si="10"/>
        <v>7.52</v>
      </c>
      <c r="T33" s="19">
        <f t="shared" si="10"/>
        <v>7.55</v>
      </c>
      <c r="U33" s="19">
        <f t="shared" si="10"/>
        <v>7.53</v>
      </c>
      <c r="V33" s="19">
        <f t="shared" si="10"/>
        <v>9.3000000000000007</v>
      </c>
      <c r="W33" s="19">
        <f t="shared" si="10"/>
        <v>12.85</v>
      </c>
      <c r="X33" s="19">
        <f t="shared" si="10"/>
        <v>13.75</v>
      </c>
      <c r="Y33" s="19">
        <f t="shared" si="10"/>
        <v>13.74</v>
      </c>
      <c r="Z33" s="19">
        <f t="shared" si="10"/>
        <v>13.73</v>
      </c>
      <c r="AA33" s="19">
        <f t="shared" si="10"/>
        <v>13.82</v>
      </c>
      <c r="AB33" s="19">
        <f t="shared" si="10"/>
        <v>12.15</v>
      </c>
      <c r="AC33" s="19">
        <f t="shared" si="10"/>
        <v>13.62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29.160000000000011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4.8/6</f>
        <v>0.79999999999999993</v>
      </c>
      <c r="Q44" s="71">
        <f>4.8/6</f>
        <v>0.79999999999999993</v>
      </c>
      <c r="R44" s="71"/>
      <c r="S44" s="71"/>
      <c r="T44" s="71"/>
      <c r="U44" s="71"/>
      <c r="V44" s="71"/>
      <c r="W44" s="71"/>
      <c r="X44" s="71"/>
      <c r="Y44" s="71">
        <f>5.6/7</f>
        <v>0.79999999999999993</v>
      </c>
      <c r="Z44" s="71">
        <f>3.12/4</f>
        <v>0.78</v>
      </c>
      <c r="AA44" s="71">
        <f>2.3/3</f>
        <v>0.76666666666666661</v>
      </c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5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>
        <v>0.8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>
        <v>0.8</v>
      </c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>
        <f>2.31/3</f>
        <v>0.77</v>
      </c>
      <c r="Y47" s="71">
        <f>5.6/7</f>
        <v>0.79999999999999993</v>
      </c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2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>
        <f>4.8/6</f>
        <v>0.79999999999999993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>
        <f>2.31/3</f>
        <v>0.77</v>
      </c>
      <c r="Y49" s="71">
        <f>5.6/7</f>
        <v>0.79999999999999993</v>
      </c>
      <c r="Z49" s="71"/>
      <c r="AA49" s="71"/>
      <c r="AB49" s="71"/>
      <c r="AC49" s="71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2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f>2.33/3</f>
        <v>0.77666666666666673</v>
      </c>
      <c r="O52" s="71">
        <f>3.9/5</f>
        <v>0.78</v>
      </c>
      <c r="P52" s="71">
        <f t="shared" ref="P52:P54" si="14">4.8/6</f>
        <v>0.79999999999999993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3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0.8</v>
      </c>
      <c r="N53" s="71">
        <f t="shared" ref="N53:N54" si="15">2.33/3</f>
        <v>0.77666666666666673</v>
      </c>
      <c r="O53" s="71">
        <f t="shared" ref="O53:O54" si="16">3.9/5</f>
        <v>0.78</v>
      </c>
      <c r="P53" s="71">
        <f t="shared" si="14"/>
        <v>0.79999999999999993</v>
      </c>
      <c r="Q53" s="71"/>
      <c r="R53" s="71"/>
      <c r="S53" s="71"/>
      <c r="T53" s="71"/>
      <c r="U53" s="71"/>
      <c r="V53" s="71"/>
      <c r="W53" s="71"/>
      <c r="X53" s="71"/>
      <c r="Y53" s="71">
        <f>5.6/7</f>
        <v>0.79999999999999993</v>
      </c>
      <c r="Z53" s="71">
        <f>3.12/4</f>
        <v>0.78</v>
      </c>
      <c r="AA53" s="71">
        <f>2.3/3</f>
        <v>0.76666666666666661</v>
      </c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7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f t="shared" si="15"/>
        <v>0.77666666666666673</v>
      </c>
      <c r="O54" s="71">
        <f t="shared" si="16"/>
        <v>0.78</v>
      </c>
      <c r="P54" s="71">
        <f t="shared" si="14"/>
        <v>0.79999999999999993</v>
      </c>
      <c r="Q54" s="71"/>
      <c r="R54" s="71"/>
      <c r="S54" s="71"/>
      <c r="T54" s="71"/>
      <c r="U54" s="71"/>
      <c r="V54" s="71"/>
      <c r="W54" s="71"/>
      <c r="X54" s="71"/>
      <c r="Y54" s="71">
        <f>5.6/7</f>
        <v>0.79999999999999993</v>
      </c>
      <c r="Z54" s="71">
        <f>3.12/4</f>
        <v>0.78</v>
      </c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5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>
        <f>2.31/3</f>
        <v>0.77</v>
      </c>
      <c r="Y55" s="71">
        <f>5.6/7</f>
        <v>0.79999999999999993</v>
      </c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2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>
        <f>4.8/6</f>
        <v>0.79999999999999993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2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ref="O57:O58" si="17">3.9/5</f>
        <v>0.78</v>
      </c>
      <c r="P57" s="71">
        <f t="shared" ref="P57:P58" si="18">4.8/6</f>
        <v>0.79999999999999993</v>
      </c>
      <c r="Q57" s="71"/>
      <c r="R57" s="71"/>
      <c r="S57" s="71"/>
      <c r="T57" s="71"/>
      <c r="U57" s="71"/>
      <c r="V57" s="71"/>
      <c r="W57" s="71"/>
      <c r="X57" s="71"/>
      <c r="Y57" s="71">
        <f>5.6/7</f>
        <v>0.79999999999999993</v>
      </c>
      <c r="Z57" s="71">
        <f>3.12/4</f>
        <v>0.78</v>
      </c>
      <c r="AA57" s="71">
        <f>2.3/3</f>
        <v>0.76666666666666661</v>
      </c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5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>
        <f t="shared" si="17"/>
        <v>0.78</v>
      </c>
      <c r="P58" s="71">
        <f t="shared" si="18"/>
        <v>0.79999999999999993</v>
      </c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2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0</v>
      </c>
      <c r="M59" s="19">
        <f t="shared" si="20"/>
        <v>0.8</v>
      </c>
      <c r="N59" s="19">
        <f t="shared" si="20"/>
        <v>2.33</v>
      </c>
      <c r="O59" s="19">
        <f t="shared" si="20"/>
        <v>3.9000000000000004</v>
      </c>
      <c r="P59" s="19">
        <f t="shared" si="20"/>
        <v>4.8</v>
      </c>
      <c r="Q59" s="19">
        <f t="shared" si="20"/>
        <v>4</v>
      </c>
      <c r="R59" s="19">
        <f t="shared" si="20"/>
        <v>0</v>
      </c>
      <c r="S59" s="19">
        <f t="shared" si="20"/>
        <v>0</v>
      </c>
      <c r="T59" s="19">
        <f t="shared" si="20"/>
        <v>0</v>
      </c>
      <c r="U59" s="19">
        <f t="shared" si="20"/>
        <v>0</v>
      </c>
      <c r="V59" s="19">
        <f t="shared" si="20"/>
        <v>0</v>
      </c>
      <c r="W59" s="19">
        <f>SUM(W35:W58)</f>
        <v>0</v>
      </c>
      <c r="X59" s="19">
        <f t="shared" si="20"/>
        <v>2.31</v>
      </c>
      <c r="Y59" s="19">
        <f>SUM(Y35:Y58)</f>
        <v>5.6</v>
      </c>
      <c r="Z59" s="19">
        <f t="shared" si="20"/>
        <v>3.12</v>
      </c>
      <c r="AA59" s="19">
        <f t="shared" si="20"/>
        <v>2.2999999999999998</v>
      </c>
      <c r="AB59" s="19">
        <f t="shared" si="20"/>
        <v>0</v>
      </c>
      <c r="AC59" s="19">
        <f t="shared" si="20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24.44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v>0.45500000000000002</v>
      </c>
      <c r="G61" s="71">
        <v>0.44500000000000001</v>
      </c>
      <c r="H61" s="71">
        <v>0.40500000000000003</v>
      </c>
      <c r="I61" s="71">
        <f>0.78/2</f>
        <v>0.39</v>
      </c>
      <c r="J61" s="71">
        <f>0.77/2</f>
        <v>0.38500000000000001</v>
      </c>
      <c r="K61" s="71">
        <f>0.78/2</f>
        <v>0.39</v>
      </c>
      <c r="L61" s="71">
        <f>0.82/2</f>
        <v>0.41</v>
      </c>
      <c r="M61" s="71">
        <f>0.98/2</f>
        <v>0.49</v>
      </c>
      <c r="N61" s="71">
        <f>0.99/2</f>
        <v>0.495</v>
      </c>
      <c r="O61" s="71">
        <f>1.08/2</f>
        <v>0.54</v>
      </c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>
        <f>1.33/2</f>
        <v>0.66500000000000004</v>
      </c>
      <c r="AB61" s="71">
        <f>1.17/2</f>
        <v>0.58499999999999996</v>
      </c>
      <c r="AC61" s="71">
        <f>0.99/2</f>
        <v>0.495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13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/>
      <c r="G62" s="71"/>
      <c r="H62" s="380"/>
      <c r="I62" s="71"/>
      <c r="J62" s="71"/>
      <c r="K62" s="71"/>
      <c r="L62" s="71"/>
      <c r="M62" s="71"/>
      <c r="N62" s="71"/>
      <c r="O62" s="71"/>
      <c r="P62" s="71">
        <f t="shared" ref="P62:R63" si="21">1.03/2</f>
        <v>0.51500000000000001</v>
      </c>
      <c r="Q62" s="71">
        <f t="shared" si="21"/>
        <v>0.51500000000000001</v>
      </c>
      <c r="R62" s="71">
        <f t="shared" si="21"/>
        <v>0.51500000000000001</v>
      </c>
      <c r="S62" s="71">
        <f>1.02/2</f>
        <v>0.51</v>
      </c>
      <c r="T62" s="71">
        <v>0.5</v>
      </c>
      <c r="U62" s="71">
        <f>0.98/2</f>
        <v>0.49</v>
      </c>
      <c r="V62" s="71">
        <f>0.99/2</f>
        <v>0.495</v>
      </c>
      <c r="W62" s="71">
        <f>0.97/2</f>
        <v>0.48499999999999999</v>
      </c>
      <c r="X62" s="71">
        <f>1.17/2</f>
        <v>0.58499999999999996</v>
      </c>
      <c r="Y62" s="71">
        <f>1.46/2</f>
        <v>0.73</v>
      </c>
      <c r="Z62" s="71">
        <f>1.46/2</f>
        <v>0.73</v>
      </c>
      <c r="AA62" s="71">
        <f>1.33/2</f>
        <v>0.66500000000000004</v>
      </c>
      <c r="AB62" s="71">
        <f>1.17/2</f>
        <v>0.58499999999999996</v>
      </c>
      <c r="AC62" s="71">
        <f>0.99/2</f>
        <v>0.495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>
        <v>0.45500000000000002</v>
      </c>
      <c r="G63" s="71">
        <v>0.44500000000000001</v>
      </c>
      <c r="H63" s="380">
        <v>0.40500000000000003</v>
      </c>
      <c r="I63" s="71">
        <f>0.78/2</f>
        <v>0.39</v>
      </c>
      <c r="J63" s="71">
        <f>0.77/2</f>
        <v>0.38500000000000001</v>
      </c>
      <c r="K63" s="71">
        <f>0.78/2</f>
        <v>0.39</v>
      </c>
      <c r="L63" s="71">
        <f>0.82/2</f>
        <v>0.41</v>
      </c>
      <c r="M63" s="71">
        <f>0.98/2</f>
        <v>0.49</v>
      </c>
      <c r="N63" s="71">
        <f>0.99/2</f>
        <v>0.495</v>
      </c>
      <c r="O63" s="71">
        <f>1.08/2</f>
        <v>0.54</v>
      </c>
      <c r="P63" s="71">
        <f t="shared" si="21"/>
        <v>0.51500000000000001</v>
      </c>
      <c r="Q63" s="71">
        <f t="shared" si="21"/>
        <v>0.51500000000000001</v>
      </c>
      <c r="R63" s="71">
        <f t="shared" si="21"/>
        <v>0.51500000000000001</v>
      </c>
      <c r="S63" s="71">
        <f>1.02/2</f>
        <v>0.51</v>
      </c>
      <c r="T63" s="71">
        <v>0.5</v>
      </c>
      <c r="U63" s="71">
        <f>0.98/2</f>
        <v>0.49</v>
      </c>
      <c r="V63" s="71">
        <f>0.99/2</f>
        <v>0.495</v>
      </c>
      <c r="W63" s="71">
        <f>0.97/2</f>
        <v>0.48499999999999999</v>
      </c>
      <c r="X63" s="71">
        <f>1.17/2</f>
        <v>0.58499999999999996</v>
      </c>
      <c r="Y63" s="71">
        <f>1.46/2</f>
        <v>0.73</v>
      </c>
      <c r="Z63" s="71">
        <f>1.46/2</f>
        <v>0.73</v>
      </c>
      <c r="AA63" s="71">
        <v>0</v>
      </c>
      <c r="AB63" s="71"/>
      <c r="AC63" s="71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22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2">SUM(F61:F63)</f>
        <v>0.91</v>
      </c>
      <c r="G64" s="19">
        <f>SUM(G61:G63)</f>
        <v>0.89</v>
      </c>
      <c r="H64" s="19">
        <f>SUM(H61:H63)</f>
        <v>0.81</v>
      </c>
      <c r="I64" s="19">
        <f>SUM(I61:I63)</f>
        <v>0.78</v>
      </c>
      <c r="J64" s="19">
        <f t="shared" ref="J64:AC64" si="23">SUM(J61:J63)</f>
        <v>0.77</v>
      </c>
      <c r="K64" s="19">
        <f>SUM(K61:K63)</f>
        <v>0.78</v>
      </c>
      <c r="L64" s="19">
        <f t="shared" si="23"/>
        <v>0.82</v>
      </c>
      <c r="M64" s="19">
        <f t="shared" si="23"/>
        <v>0.98</v>
      </c>
      <c r="N64" s="19">
        <f t="shared" si="23"/>
        <v>0.99</v>
      </c>
      <c r="O64" s="19">
        <f t="shared" si="23"/>
        <v>1.08</v>
      </c>
      <c r="P64" s="19">
        <f t="shared" si="23"/>
        <v>1.03</v>
      </c>
      <c r="Q64" s="19">
        <f t="shared" si="23"/>
        <v>1.03</v>
      </c>
      <c r="R64" s="19">
        <f t="shared" si="23"/>
        <v>1.03</v>
      </c>
      <c r="S64" s="19">
        <f t="shared" si="23"/>
        <v>1.02</v>
      </c>
      <c r="T64" s="19">
        <f>SUM(T61:T63)</f>
        <v>1</v>
      </c>
      <c r="U64" s="19">
        <f>SUM(U61:U63)</f>
        <v>0.98</v>
      </c>
      <c r="V64" s="19">
        <f>SUM(V61:V63)</f>
        <v>0.99</v>
      </c>
      <c r="W64" s="19">
        <f t="shared" si="23"/>
        <v>0.97</v>
      </c>
      <c r="X64" s="19">
        <f t="shared" si="23"/>
        <v>1.17</v>
      </c>
      <c r="Y64" s="19">
        <f t="shared" si="23"/>
        <v>1.46</v>
      </c>
      <c r="Z64" s="19">
        <f t="shared" si="23"/>
        <v>1.46</v>
      </c>
      <c r="AA64" s="19">
        <f t="shared" si="23"/>
        <v>1.33</v>
      </c>
      <c r="AB64" s="19">
        <f t="shared" si="23"/>
        <v>1.17</v>
      </c>
      <c r="AC64" s="19">
        <f t="shared" si="23"/>
        <v>0.99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88.488333333333358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>
        <v>0.57166666666666666</v>
      </c>
      <c r="G66" s="71">
        <v>0.55500000000000005</v>
      </c>
      <c r="H66" s="71">
        <v>0.63</v>
      </c>
      <c r="I66" s="71">
        <f>3.07/5</f>
        <v>0.61399999999999999</v>
      </c>
      <c r="J66" s="71">
        <f>3.09/5</f>
        <v>0.61799999999999999</v>
      </c>
      <c r="K66" s="71">
        <f>3.08/5</f>
        <v>0.61599999999999999</v>
      </c>
      <c r="L66" s="71"/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>
        <v>0</v>
      </c>
      <c r="T66" s="71">
        <v>0</v>
      </c>
      <c r="U66" s="71">
        <v>0</v>
      </c>
      <c r="V66" s="71">
        <v>0</v>
      </c>
      <c r="W66" s="71">
        <v>0</v>
      </c>
      <c r="X66" s="71">
        <v>0</v>
      </c>
      <c r="Y66" s="71">
        <v>0</v>
      </c>
      <c r="Z66" s="71"/>
      <c r="AA66" s="71"/>
      <c r="AB66" s="71"/>
      <c r="AC66" s="71"/>
      <c r="AD66" s="35"/>
      <c r="AE66" s="35"/>
      <c r="AF66" s="11">
        <f t="shared" ref="AF66:AF74" si="24">COUNTIF(F66:AC66,$AF$11)</f>
        <v>0</v>
      </c>
      <c r="AG66" s="11">
        <f t="shared" ref="AG66:AG74" si="25">COUNTIF(G66:AC66,$AG$11)</f>
        <v>0</v>
      </c>
      <c r="AH66" s="11">
        <f t="shared" ref="AH66:AH74" si="26">COUNT(F66:AC66)</f>
        <v>19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0.57166666666666666</v>
      </c>
      <c r="G67" s="71">
        <v>0.55500000000000005</v>
      </c>
      <c r="H67" s="71"/>
      <c r="I67" s="71"/>
      <c r="J67" s="71"/>
      <c r="K67" s="71"/>
      <c r="L67" s="71"/>
      <c r="M67" s="71">
        <f>2.35/4</f>
        <v>0.58750000000000002</v>
      </c>
      <c r="N67" s="71">
        <f>3.73/5</f>
        <v>0.746</v>
      </c>
      <c r="O67" s="71">
        <f>4.05/5</f>
        <v>0.80999999999999994</v>
      </c>
      <c r="P67" s="71">
        <f>4.45/6</f>
        <v>0.7416666666666667</v>
      </c>
      <c r="Q67" s="71">
        <v>0.7</v>
      </c>
      <c r="R67" s="71">
        <v>0.7</v>
      </c>
      <c r="S67" s="71">
        <f>4.48/6</f>
        <v>0.7466666666666667</v>
      </c>
      <c r="T67" s="71">
        <f>3.9/6</f>
        <v>0.65</v>
      </c>
      <c r="U67" s="71">
        <f>4.14/5</f>
        <v>0.82799999999999996</v>
      </c>
      <c r="V67" s="71">
        <f>3.91/5</f>
        <v>0.78200000000000003</v>
      </c>
      <c r="W67" s="71">
        <f>3.89/5</f>
        <v>0.77800000000000002</v>
      </c>
      <c r="X67" s="71">
        <f>3.74/5</f>
        <v>0.748</v>
      </c>
      <c r="Y67" s="71">
        <f>4.69/6</f>
        <v>0.78166666666666673</v>
      </c>
      <c r="Z67" s="71">
        <f>4.62/6</f>
        <v>0.77</v>
      </c>
      <c r="AA67" s="71">
        <f>4.4/6</f>
        <v>0.73333333333333339</v>
      </c>
      <c r="AB67" s="71">
        <f>4.4/6</f>
        <v>0.73333333333333339</v>
      </c>
      <c r="AC67" s="71">
        <f>3.8/5</f>
        <v>0.76</v>
      </c>
      <c r="AD67" s="35"/>
      <c r="AE67" s="35"/>
      <c r="AF67" s="11">
        <f t="shared" si="24"/>
        <v>0</v>
      </c>
      <c r="AG67" s="11">
        <f t="shared" si="25"/>
        <v>0</v>
      </c>
      <c r="AH67" s="11">
        <f t="shared" si="26"/>
        <v>19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>
        <f t="shared" ref="N68:N71" si="27">3.73/5</f>
        <v>0.746</v>
      </c>
      <c r="O68" s="71">
        <f t="shared" ref="O68:O71" si="28">4.05/5</f>
        <v>0.80999999999999994</v>
      </c>
      <c r="P68" s="71">
        <f t="shared" ref="P68:P71" si="29">4.45/6</f>
        <v>0.7416666666666667</v>
      </c>
      <c r="Q68" s="71">
        <v>0.73</v>
      </c>
      <c r="R68" s="71">
        <v>0.73</v>
      </c>
      <c r="S68" s="71">
        <f t="shared" ref="S68:S71" si="30">4.48/6</f>
        <v>0.7466666666666667</v>
      </c>
      <c r="T68" s="71">
        <f t="shared" ref="T68:T71" si="31">3.9/6</f>
        <v>0.65</v>
      </c>
      <c r="U68" s="71">
        <f>4.14/5</f>
        <v>0.82799999999999996</v>
      </c>
      <c r="V68" s="71">
        <f>3.91/5</f>
        <v>0.78200000000000003</v>
      </c>
      <c r="W68" s="71">
        <f>3.89/5</f>
        <v>0.77800000000000002</v>
      </c>
      <c r="X68" s="71">
        <f>3.74/5</f>
        <v>0.748</v>
      </c>
      <c r="Y68" s="71">
        <f>4.69/6</f>
        <v>0.78166666666666673</v>
      </c>
      <c r="Z68" s="71">
        <f t="shared" ref="Z68:Z71" si="32">4.62/6</f>
        <v>0.77</v>
      </c>
      <c r="AA68" s="71">
        <f t="shared" ref="AA68:AA71" si="33">4.4/6</f>
        <v>0.73333333333333339</v>
      </c>
      <c r="AB68" s="71">
        <f>4.4/6</f>
        <v>0.73333333333333339</v>
      </c>
      <c r="AC68" s="71">
        <f>3.8/5</f>
        <v>0.76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6"/>
        <v>16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v>0.57166666666666666</v>
      </c>
      <c r="G69" s="71">
        <v>0.55500000000000005</v>
      </c>
      <c r="H69" s="71">
        <v>0.63</v>
      </c>
      <c r="I69" s="71">
        <f t="shared" ref="I69:I71" si="34">3.07/5</f>
        <v>0.61399999999999999</v>
      </c>
      <c r="J69" s="71">
        <f t="shared" ref="J69:J71" si="35">3.09/5</f>
        <v>0.61799999999999999</v>
      </c>
      <c r="K69" s="71">
        <f t="shared" ref="K69:K71" si="36">3.08/5</f>
        <v>0.61599999999999999</v>
      </c>
      <c r="L69" s="71"/>
      <c r="M69" s="71">
        <f>2.35/4</f>
        <v>0.58750000000000002</v>
      </c>
      <c r="N69" s="71">
        <f t="shared" si="27"/>
        <v>0.746</v>
      </c>
      <c r="O69" s="71">
        <f t="shared" si="28"/>
        <v>0.80999999999999994</v>
      </c>
      <c r="P69" s="71">
        <f t="shared" si="29"/>
        <v>0.7416666666666667</v>
      </c>
      <c r="Q69" s="71">
        <f t="shared" ref="Q69:R71" si="37">4.45/6</f>
        <v>0.7416666666666667</v>
      </c>
      <c r="R69" s="71">
        <f t="shared" si="37"/>
        <v>0.7416666666666667</v>
      </c>
      <c r="S69" s="71">
        <f t="shared" si="30"/>
        <v>0.7466666666666667</v>
      </c>
      <c r="T69" s="71">
        <f t="shared" si="31"/>
        <v>0.65</v>
      </c>
      <c r="U69" s="71"/>
      <c r="V69" s="71"/>
      <c r="W69" s="71"/>
      <c r="X69" s="71"/>
      <c r="Y69" s="71">
        <f>4.69/6</f>
        <v>0.78166666666666673</v>
      </c>
      <c r="Z69" s="71">
        <f t="shared" si="32"/>
        <v>0.77</v>
      </c>
      <c r="AA69" s="71">
        <f t="shared" si="33"/>
        <v>0.73333333333333339</v>
      </c>
      <c r="AB69" s="71">
        <f>4.4/6</f>
        <v>0.73333333333333339</v>
      </c>
      <c r="AC69" s="71">
        <v>0</v>
      </c>
      <c r="AD69" s="35"/>
      <c r="AE69" s="35"/>
      <c r="AF69" s="11">
        <f t="shared" si="24"/>
        <v>0</v>
      </c>
      <c r="AG69" s="11">
        <f t="shared" si="25"/>
        <v>0</v>
      </c>
      <c r="AH69" s="11">
        <f t="shared" si="26"/>
        <v>19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v>0.57166666666666666</v>
      </c>
      <c r="G70" s="71">
        <v>0.55500000000000005</v>
      </c>
      <c r="H70" s="71">
        <v>0.63</v>
      </c>
      <c r="I70" s="71">
        <f t="shared" si="34"/>
        <v>0.61399999999999999</v>
      </c>
      <c r="J70" s="71">
        <f t="shared" si="35"/>
        <v>0.61799999999999999</v>
      </c>
      <c r="K70" s="71">
        <f t="shared" si="36"/>
        <v>0.61599999999999999</v>
      </c>
      <c r="L70" s="71"/>
      <c r="M70" s="71">
        <f>2.35/4</f>
        <v>0.58750000000000002</v>
      </c>
      <c r="N70" s="71">
        <f t="shared" si="27"/>
        <v>0.746</v>
      </c>
      <c r="O70" s="71">
        <f t="shared" si="28"/>
        <v>0.80999999999999994</v>
      </c>
      <c r="P70" s="71">
        <f t="shared" si="29"/>
        <v>0.7416666666666667</v>
      </c>
      <c r="Q70" s="71">
        <f t="shared" si="37"/>
        <v>0.7416666666666667</v>
      </c>
      <c r="R70" s="71">
        <f t="shared" si="37"/>
        <v>0.7416666666666667</v>
      </c>
      <c r="S70" s="71">
        <f t="shared" si="30"/>
        <v>0.7466666666666667</v>
      </c>
      <c r="T70" s="71">
        <f t="shared" si="31"/>
        <v>0.65</v>
      </c>
      <c r="U70" s="71">
        <f>4.14/5</f>
        <v>0.82799999999999996</v>
      </c>
      <c r="V70" s="71">
        <f>3.91/5</f>
        <v>0.78200000000000003</v>
      </c>
      <c r="W70" s="71">
        <f>3.89/5</f>
        <v>0.77800000000000002</v>
      </c>
      <c r="X70" s="71">
        <f>3.74/5</f>
        <v>0.748</v>
      </c>
      <c r="Y70" s="71">
        <f>4.69/6</f>
        <v>0.78166666666666673</v>
      </c>
      <c r="Z70" s="71">
        <f t="shared" si="32"/>
        <v>0.77</v>
      </c>
      <c r="AA70" s="71">
        <f t="shared" si="33"/>
        <v>0.73333333333333339</v>
      </c>
      <c r="AB70" s="71">
        <f>4.4/6</f>
        <v>0.73333333333333339</v>
      </c>
      <c r="AC70" s="71">
        <f t="shared" ref="AC70:AC71" si="38">3.8/5</f>
        <v>0.76</v>
      </c>
      <c r="AD70" s="35"/>
      <c r="AE70" s="35"/>
      <c r="AF70" s="11">
        <f t="shared" si="24"/>
        <v>0</v>
      </c>
      <c r="AG70" s="11">
        <f t="shared" si="25"/>
        <v>0</v>
      </c>
      <c r="AH70" s="11">
        <f t="shared" si="26"/>
        <v>23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v>0.57166666666666666</v>
      </c>
      <c r="G71" s="71">
        <v>0.55500000000000005</v>
      </c>
      <c r="H71" s="71">
        <v>0.63</v>
      </c>
      <c r="I71" s="71">
        <f t="shared" si="34"/>
        <v>0.61399999999999999</v>
      </c>
      <c r="J71" s="71">
        <f t="shared" si="35"/>
        <v>0.61799999999999999</v>
      </c>
      <c r="K71" s="71">
        <f t="shared" si="36"/>
        <v>0.61599999999999999</v>
      </c>
      <c r="L71" s="71"/>
      <c r="M71" s="71">
        <f>2.35/4</f>
        <v>0.58750000000000002</v>
      </c>
      <c r="N71" s="71">
        <f t="shared" si="27"/>
        <v>0.746</v>
      </c>
      <c r="O71" s="71">
        <f t="shared" si="28"/>
        <v>0.80999999999999994</v>
      </c>
      <c r="P71" s="71">
        <f t="shared" si="29"/>
        <v>0.7416666666666667</v>
      </c>
      <c r="Q71" s="71">
        <f t="shared" si="37"/>
        <v>0.7416666666666667</v>
      </c>
      <c r="R71" s="71">
        <f t="shared" si="37"/>
        <v>0.7416666666666667</v>
      </c>
      <c r="S71" s="71">
        <f t="shared" si="30"/>
        <v>0.7466666666666667</v>
      </c>
      <c r="T71" s="71">
        <f t="shared" si="31"/>
        <v>0.65</v>
      </c>
      <c r="U71" s="71">
        <f>4.14/5</f>
        <v>0.82799999999999996</v>
      </c>
      <c r="V71" s="71">
        <f>3.91/5</f>
        <v>0.78200000000000003</v>
      </c>
      <c r="W71" s="71">
        <f>3.89/5</f>
        <v>0.77800000000000002</v>
      </c>
      <c r="X71" s="71">
        <f>3.74/5</f>
        <v>0.748</v>
      </c>
      <c r="Y71" s="71">
        <f>4.69/6</f>
        <v>0.78166666666666673</v>
      </c>
      <c r="Z71" s="71">
        <f t="shared" si="32"/>
        <v>0.77</v>
      </c>
      <c r="AA71" s="71">
        <f t="shared" si="33"/>
        <v>0.73333333333333339</v>
      </c>
      <c r="AB71" s="71">
        <f>4.4/6</f>
        <v>0.73333333333333339</v>
      </c>
      <c r="AC71" s="71">
        <f t="shared" si="38"/>
        <v>0.76</v>
      </c>
      <c r="AD71" s="35"/>
      <c r="AE71" s="35"/>
      <c r="AF71" s="11">
        <f t="shared" si="24"/>
        <v>0</v>
      </c>
      <c r="AG71" s="11">
        <f t="shared" si="25"/>
        <v>0</v>
      </c>
      <c r="AH71" s="11">
        <f t="shared" si="26"/>
        <v>23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4"/>
        <v>0</v>
      </c>
      <c r="AG72" s="11">
        <f t="shared" si="25"/>
        <v>0</v>
      </c>
      <c r="AH72" s="11">
        <f t="shared" si="26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4"/>
        <v>24</v>
      </c>
      <c r="AG73" s="11">
        <f t="shared" si="25"/>
        <v>0</v>
      </c>
      <c r="AH73" s="11">
        <f t="shared" si="26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v>0.57166666666666666</v>
      </c>
      <c r="G74" s="71">
        <v>0.55500000000000005</v>
      </c>
      <c r="H74" s="71">
        <v>0.63</v>
      </c>
      <c r="I74" s="71">
        <f>3.07/5</f>
        <v>0.61399999999999999</v>
      </c>
      <c r="J74" s="71">
        <f>3.09/5</f>
        <v>0.61799999999999999</v>
      </c>
      <c r="K74" s="71">
        <f>3.08/5</f>
        <v>0.61599999999999999</v>
      </c>
      <c r="L74" s="71"/>
      <c r="M74" s="71">
        <v>0</v>
      </c>
      <c r="N74" s="71">
        <v>0</v>
      </c>
      <c r="O74" s="71">
        <v>0</v>
      </c>
      <c r="P74" s="71">
        <f>4.45/6</f>
        <v>0.7416666666666667</v>
      </c>
      <c r="Q74" s="71">
        <f>4.45/6</f>
        <v>0.7416666666666667</v>
      </c>
      <c r="R74" s="71">
        <f>4.45/6</f>
        <v>0.7416666666666667</v>
      </c>
      <c r="S74" s="71">
        <f>4.45/6</f>
        <v>0.7416666666666667</v>
      </c>
      <c r="T74" s="71">
        <v>0.65</v>
      </c>
      <c r="U74" s="71">
        <f>4.14/5</f>
        <v>0.82799999999999996</v>
      </c>
      <c r="V74" s="71">
        <f>3.91/5</f>
        <v>0.78200000000000003</v>
      </c>
      <c r="W74" s="71">
        <f>3.89/5</f>
        <v>0.77800000000000002</v>
      </c>
      <c r="X74" s="71">
        <f>3.74/5</f>
        <v>0.748</v>
      </c>
      <c r="Y74" s="71">
        <f>4.69/6</f>
        <v>0.78166666666666673</v>
      </c>
      <c r="Z74" s="71">
        <f>4.62/6</f>
        <v>0.77</v>
      </c>
      <c r="AA74" s="71">
        <f>4.4/6</f>
        <v>0.73333333333333339</v>
      </c>
      <c r="AB74" s="71">
        <f>4.4/6</f>
        <v>0.73333333333333339</v>
      </c>
      <c r="AC74" s="71">
        <f>3.8/5</f>
        <v>0.76</v>
      </c>
      <c r="AD74" s="31"/>
      <c r="AE74" s="31"/>
      <c r="AF74" s="11">
        <f t="shared" si="24"/>
        <v>0</v>
      </c>
      <c r="AG74" s="11">
        <f t="shared" si="25"/>
        <v>0</v>
      </c>
      <c r="AH74" s="11">
        <f t="shared" si="26"/>
        <v>23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9">SUM(F66:F74)</f>
        <v>3.43</v>
      </c>
      <c r="G75" s="19">
        <f t="shared" ref="G75:AC75" si="40">SUM(G66:G74)</f>
        <v>3.3300000000000005</v>
      </c>
      <c r="H75" s="19">
        <f t="shared" si="40"/>
        <v>3.15</v>
      </c>
      <c r="I75" s="19">
        <f t="shared" si="40"/>
        <v>3.07</v>
      </c>
      <c r="J75" s="19">
        <f t="shared" si="40"/>
        <v>3.09</v>
      </c>
      <c r="K75" s="19">
        <f t="shared" si="40"/>
        <v>3.08</v>
      </c>
      <c r="L75" s="19">
        <f>SUM(L66:L74)</f>
        <v>0</v>
      </c>
      <c r="M75" s="19">
        <f t="shared" si="40"/>
        <v>2.35</v>
      </c>
      <c r="N75" s="19">
        <f t="shared" si="40"/>
        <v>3.73</v>
      </c>
      <c r="O75" s="19">
        <f t="shared" si="40"/>
        <v>4.05</v>
      </c>
      <c r="P75" s="19">
        <f t="shared" si="40"/>
        <v>4.45</v>
      </c>
      <c r="Q75" s="19">
        <f t="shared" si="40"/>
        <v>4.3966666666666665</v>
      </c>
      <c r="R75" s="19">
        <f t="shared" si="40"/>
        <v>4.3966666666666665</v>
      </c>
      <c r="S75" s="19">
        <f t="shared" si="40"/>
        <v>4.4749999999999996</v>
      </c>
      <c r="T75" s="19">
        <f t="shared" si="40"/>
        <v>3.9</v>
      </c>
      <c r="U75" s="19">
        <f t="shared" si="40"/>
        <v>4.1399999999999997</v>
      </c>
      <c r="V75" s="19">
        <f t="shared" si="40"/>
        <v>3.91</v>
      </c>
      <c r="W75" s="19">
        <f t="shared" si="40"/>
        <v>3.89</v>
      </c>
      <c r="X75" s="19">
        <f t="shared" si="40"/>
        <v>3.74</v>
      </c>
      <c r="Y75" s="19">
        <f t="shared" si="40"/>
        <v>4.6900000000000004</v>
      </c>
      <c r="Z75" s="19">
        <f t="shared" si="40"/>
        <v>4.62</v>
      </c>
      <c r="AA75" s="19">
        <f t="shared" si="40"/>
        <v>4.4000000000000004</v>
      </c>
      <c r="AB75" s="19">
        <f t="shared" si="40"/>
        <v>4.4000000000000004</v>
      </c>
      <c r="AC75" s="19">
        <f t="shared" si="40"/>
        <v>3.8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19.86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>
        <v>0.79</v>
      </c>
      <c r="P77" s="71">
        <v>0.82</v>
      </c>
      <c r="Q77" s="71">
        <v>0.83</v>
      </c>
      <c r="R77" s="71">
        <v>0.85</v>
      </c>
      <c r="S77" s="71">
        <v>0.86</v>
      </c>
      <c r="T77" s="71">
        <v>0.88</v>
      </c>
      <c r="U77" s="71">
        <v>0.85</v>
      </c>
      <c r="V77" s="71">
        <v>0.87</v>
      </c>
      <c r="W77" s="71">
        <v>0.86</v>
      </c>
      <c r="X77" s="71">
        <v>0.86</v>
      </c>
      <c r="Y77" s="71">
        <v>1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0.73</v>
      </c>
      <c r="I78" s="71">
        <v>0.71</v>
      </c>
      <c r="J78" s="380">
        <v>0.68</v>
      </c>
      <c r="K78" s="71">
        <v>0.78</v>
      </c>
      <c r="L78" s="71">
        <v>0.72</v>
      </c>
      <c r="M78" s="71">
        <v>0.68</v>
      </c>
      <c r="N78" s="71">
        <v>0.74</v>
      </c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>
        <v>1</v>
      </c>
      <c r="AA78" s="71">
        <v>0.98</v>
      </c>
      <c r="AB78" s="71">
        <v>0.93</v>
      </c>
      <c r="AC78" s="71">
        <v>0.88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1">SUM(F77:F78)</f>
        <v>0.79</v>
      </c>
      <c r="G79" s="19">
        <f>SUM(G77:G78)</f>
        <v>0.77</v>
      </c>
      <c r="H79" s="19">
        <f>SUM(H77:H78)</f>
        <v>0.73</v>
      </c>
      <c r="I79" s="19">
        <f>SUM(I77:I78)</f>
        <v>0.71</v>
      </c>
      <c r="J79" s="19">
        <f t="shared" ref="J79:AC79" si="42">SUM(J77:J78)</f>
        <v>0.68</v>
      </c>
      <c r="K79" s="19">
        <f t="shared" si="42"/>
        <v>0.78</v>
      </c>
      <c r="L79" s="19">
        <f>SUM(L77:L78)</f>
        <v>0.72</v>
      </c>
      <c r="M79" s="19">
        <f t="shared" si="42"/>
        <v>0.68</v>
      </c>
      <c r="N79" s="19">
        <f t="shared" si="42"/>
        <v>0.74</v>
      </c>
      <c r="O79" s="19">
        <f>SUM(O77:O78)</f>
        <v>0.79</v>
      </c>
      <c r="P79" s="19">
        <f t="shared" si="42"/>
        <v>0.82</v>
      </c>
      <c r="Q79" s="19">
        <f t="shared" si="42"/>
        <v>0.83</v>
      </c>
      <c r="R79" s="19">
        <f t="shared" si="42"/>
        <v>0.85</v>
      </c>
      <c r="S79" s="19">
        <f t="shared" si="42"/>
        <v>0.86</v>
      </c>
      <c r="T79" s="19">
        <f t="shared" si="42"/>
        <v>0.88</v>
      </c>
      <c r="U79" s="19">
        <f t="shared" si="42"/>
        <v>0.85</v>
      </c>
      <c r="V79" s="19">
        <f t="shared" si="42"/>
        <v>0.87</v>
      </c>
      <c r="W79" s="19">
        <f t="shared" si="42"/>
        <v>0.86</v>
      </c>
      <c r="X79" s="19">
        <f t="shared" si="42"/>
        <v>0.86</v>
      </c>
      <c r="Y79" s="19">
        <f t="shared" si="42"/>
        <v>1</v>
      </c>
      <c r="Z79" s="19">
        <f t="shared" si="42"/>
        <v>1</v>
      </c>
      <c r="AA79" s="19">
        <f t="shared" si="42"/>
        <v>0.98</v>
      </c>
      <c r="AB79" s="19">
        <f t="shared" si="42"/>
        <v>0.93</v>
      </c>
      <c r="AC79" s="19">
        <f t="shared" si="42"/>
        <v>0.88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3">SUM(F17,F22,F25,F30,F33,F59,F64,F75,F79,F81)</f>
        <v>38.079999999999991</v>
      </c>
      <c r="G82" s="28">
        <f t="shared" si="43"/>
        <v>37.46</v>
      </c>
      <c r="H82" s="28">
        <f t="shared" si="43"/>
        <v>38.090000000000003</v>
      </c>
      <c r="I82" s="28">
        <f t="shared" si="43"/>
        <v>34.53</v>
      </c>
      <c r="J82" s="28">
        <f t="shared" si="43"/>
        <v>34</v>
      </c>
      <c r="K82" s="28">
        <f t="shared" si="43"/>
        <v>33.76</v>
      </c>
      <c r="L82" s="28">
        <f t="shared" si="43"/>
        <v>30.92</v>
      </c>
      <c r="M82" s="28">
        <f t="shared" si="43"/>
        <v>35.64</v>
      </c>
      <c r="N82" s="28">
        <f t="shared" si="43"/>
        <v>38.29</v>
      </c>
      <c r="O82" s="28">
        <f t="shared" si="43"/>
        <v>42.669999999999995</v>
      </c>
      <c r="P82" s="28">
        <f t="shared" si="43"/>
        <v>45.42</v>
      </c>
      <c r="Q82" s="28">
        <f t="shared" si="43"/>
        <v>47.876666666666665</v>
      </c>
      <c r="R82" s="28">
        <f t="shared" si="43"/>
        <v>48.916666666666671</v>
      </c>
      <c r="S82" s="28">
        <f t="shared" si="43"/>
        <v>46.674999999999997</v>
      </c>
      <c r="T82" s="28">
        <f t="shared" si="43"/>
        <v>46.129999999999995</v>
      </c>
      <c r="U82" s="28">
        <f t="shared" si="43"/>
        <v>46.9</v>
      </c>
      <c r="V82" s="28">
        <f t="shared" si="43"/>
        <v>48.470000000000006</v>
      </c>
      <c r="W82" s="28">
        <f t="shared" si="43"/>
        <v>48.77</v>
      </c>
      <c r="X82" s="28">
        <f t="shared" si="43"/>
        <v>50.930000000000007</v>
      </c>
      <c r="Y82" s="28">
        <f t="shared" si="43"/>
        <v>54.79</v>
      </c>
      <c r="Z82" s="28">
        <f t="shared" si="43"/>
        <v>52.23</v>
      </c>
      <c r="AA82" s="28">
        <f t="shared" si="43"/>
        <v>50.529999999999994</v>
      </c>
      <c r="AB82" s="28">
        <f t="shared" si="43"/>
        <v>46.95</v>
      </c>
      <c r="AC82" s="28">
        <f t="shared" si="43"/>
        <v>42.39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44">SUM(F22,F25)</f>
        <v>4.2</v>
      </c>
      <c r="G88" s="64">
        <f t="shared" si="44"/>
        <v>3.8</v>
      </c>
      <c r="H88" s="64">
        <f t="shared" si="44"/>
        <v>3.8</v>
      </c>
      <c r="I88" s="64">
        <f t="shared" si="44"/>
        <v>3.8</v>
      </c>
      <c r="J88" s="64">
        <f t="shared" si="44"/>
        <v>3.8</v>
      </c>
      <c r="K88" s="64">
        <f t="shared" si="44"/>
        <v>3.8</v>
      </c>
      <c r="L88" s="64">
        <f t="shared" si="44"/>
        <v>3.8</v>
      </c>
      <c r="M88" s="64">
        <f t="shared" si="44"/>
        <v>3.8</v>
      </c>
      <c r="N88" s="64">
        <f t="shared" si="44"/>
        <v>3.8</v>
      </c>
      <c r="O88" s="64">
        <f t="shared" si="44"/>
        <v>3.8</v>
      </c>
      <c r="P88" s="64">
        <f t="shared" si="44"/>
        <v>3.8</v>
      </c>
      <c r="Q88" s="64">
        <f t="shared" si="44"/>
        <v>3.8</v>
      </c>
      <c r="R88" s="64">
        <f t="shared" si="44"/>
        <v>3.8</v>
      </c>
      <c r="S88" s="64">
        <f t="shared" si="44"/>
        <v>3</v>
      </c>
      <c r="T88" s="64">
        <f t="shared" si="44"/>
        <v>3</v>
      </c>
      <c r="U88" s="64">
        <f t="shared" si="44"/>
        <v>3.2</v>
      </c>
      <c r="V88" s="64">
        <f t="shared" si="44"/>
        <v>3.8</v>
      </c>
      <c r="W88" s="64">
        <f t="shared" si="44"/>
        <v>5.8</v>
      </c>
      <c r="X88" s="64">
        <f t="shared" si="44"/>
        <v>7.1</v>
      </c>
      <c r="Y88" s="64">
        <f t="shared" si="44"/>
        <v>7.1</v>
      </c>
      <c r="Z88" s="64">
        <f t="shared" si="44"/>
        <v>7.1</v>
      </c>
      <c r="AA88" s="64">
        <f t="shared" si="44"/>
        <v>7.1</v>
      </c>
      <c r="AB88" s="64">
        <f t="shared" si="44"/>
        <v>7.1</v>
      </c>
      <c r="AC88" s="64">
        <f t="shared" si="44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0.16700000000000001</v>
      </c>
      <c r="G89" s="68">
        <v>0.161</v>
      </c>
      <c r="H89" s="68">
        <v>0.21299999999999999</v>
      </c>
      <c r="I89" s="68">
        <v>0.20200000000000001</v>
      </c>
      <c r="J89" s="68">
        <v>0.18</v>
      </c>
      <c r="K89" s="68">
        <v>0.18</v>
      </c>
      <c r="L89" s="68">
        <v>0.187</v>
      </c>
      <c r="M89" s="68">
        <v>0.19900000000000001</v>
      </c>
      <c r="N89" s="68">
        <v>0.24399999999999999</v>
      </c>
      <c r="O89" s="68">
        <v>0.26</v>
      </c>
      <c r="P89" s="68">
        <v>0.20300000000000001</v>
      </c>
      <c r="Q89" s="68">
        <v>0.192</v>
      </c>
      <c r="R89" s="68">
        <v>0.218</v>
      </c>
      <c r="S89" s="68">
        <v>0.17199999999999999</v>
      </c>
      <c r="T89" s="68">
        <v>0.20100000000000001</v>
      </c>
      <c r="U89" s="68">
        <v>0.255</v>
      </c>
      <c r="V89" s="68">
        <v>0.21299999999999999</v>
      </c>
      <c r="W89" s="68">
        <v>0.22800000000000001</v>
      </c>
      <c r="X89" s="68">
        <v>0.21</v>
      </c>
      <c r="Y89" s="68">
        <v>0.22320000000000001</v>
      </c>
      <c r="Z89" s="68">
        <v>0.245</v>
      </c>
      <c r="AA89" s="68">
        <v>0.20699999999999999</v>
      </c>
      <c r="AB89" s="68">
        <v>0.25800000000000001</v>
      </c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45">F17</f>
        <v>17.899999999999999</v>
      </c>
      <c r="G90" s="64">
        <f t="shared" si="45"/>
        <v>12.2</v>
      </c>
      <c r="H90" s="64">
        <f t="shared" si="45"/>
        <v>12.3</v>
      </c>
      <c r="I90" s="64">
        <f t="shared" si="45"/>
        <v>12.1</v>
      </c>
      <c r="J90" s="64">
        <f t="shared" si="45"/>
        <v>11.9</v>
      </c>
      <c r="K90" s="64">
        <f t="shared" si="45"/>
        <v>11.9</v>
      </c>
      <c r="L90" s="64">
        <f t="shared" si="45"/>
        <v>12.3</v>
      </c>
      <c r="M90" s="64">
        <f t="shared" si="45"/>
        <v>12.7</v>
      </c>
      <c r="N90" s="64">
        <f t="shared" si="45"/>
        <v>12.4</v>
      </c>
      <c r="O90" s="64">
        <f t="shared" si="45"/>
        <v>12.4</v>
      </c>
      <c r="P90" s="64">
        <f t="shared" si="45"/>
        <v>12.6</v>
      </c>
      <c r="Q90" s="64">
        <f t="shared" si="45"/>
        <v>18.299999999999997</v>
      </c>
      <c r="R90" s="64">
        <f t="shared" si="45"/>
        <v>23.6</v>
      </c>
      <c r="S90" s="64">
        <f t="shared" si="45"/>
        <v>24</v>
      </c>
      <c r="T90" s="64">
        <f t="shared" si="45"/>
        <v>24</v>
      </c>
      <c r="U90" s="64">
        <f t="shared" si="45"/>
        <v>24.4</v>
      </c>
      <c r="V90" s="64">
        <f t="shared" si="45"/>
        <v>26</v>
      </c>
      <c r="W90" s="64">
        <f t="shared" si="45"/>
        <v>18.8</v>
      </c>
      <c r="X90" s="64">
        <f t="shared" si="45"/>
        <v>14</v>
      </c>
      <c r="Y90" s="64">
        <f t="shared" si="45"/>
        <v>13.2</v>
      </c>
      <c r="Z90" s="64">
        <f t="shared" si="45"/>
        <v>13.2</v>
      </c>
      <c r="AA90" s="64">
        <f t="shared" si="45"/>
        <v>13</v>
      </c>
      <c r="AB90" s="64">
        <f t="shared" si="45"/>
        <v>13.2</v>
      </c>
      <c r="AC90" s="64">
        <f t="shared" si="45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0.66800000000000004</v>
      </c>
      <c r="G91" s="68">
        <v>0.505</v>
      </c>
      <c r="H91" s="68">
        <v>0.78900000000000003</v>
      </c>
      <c r="I91" s="68">
        <v>0.77900000000000003</v>
      </c>
      <c r="J91" s="68">
        <v>0.60299999999999998</v>
      </c>
      <c r="K91" s="68">
        <v>0.53100000000000003</v>
      </c>
      <c r="L91" s="68">
        <v>0.57299999999999995</v>
      </c>
      <c r="M91" s="68">
        <v>0.58799999999999997</v>
      </c>
      <c r="N91" s="68">
        <v>0.71399999999999997</v>
      </c>
      <c r="O91" s="68">
        <v>0.60499999999999998</v>
      </c>
      <c r="P91" s="68">
        <v>0.53700000000000003</v>
      </c>
      <c r="Q91" s="68">
        <v>0.86099999999999999</v>
      </c>
      <c r="R91" s="68">
        <v>0.98799999999999999</v>
      </c>
      <c r="S91" s="68">
        <v>0.998</v>
      </c>
      <c r="T91" s="68">
        <v>0.70699999999999996</v>
      </c>
      <c r="U91" s="68">
        <v>0.70299999999999996</v>
      </c>
      <c r="V91" s="68">
        <v>0.77700000000000002</v>
      </c>
      <c r="W91" s="68">
        <v>0.79300000000000004</v>
      </c>
      <c r="X91" s="68">
        <v>0.88900000000000001</v>
      </c>
      <c r="Y91" s="68">
        <v>0.754</v>
      </c>
      <c r="Z91" s="68">
        <v>0.74299999999999999</v>
      </c>
      <c r="AA91" s="68">
        <v>0.55100000000000005</v>
      </c>
      <c r="AB91" s="68">
        <v>0.70599999999999996</v>
      </c>
      <c r="AC91" s="68">
        <v>0.77300000000000002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6">F30</f>
        <v>3.5</v>
      </c>
      <c r="G92" s="65">
        <f t="shared" si="46"/>
        <v>4.8</v>
      </c>
      <c r="H92" s="65">
        <f t="shared" si="46"/>
        <v>6.5</v>
      </c>
      <c r="I92" s="65">
        <f t="shared" si="46"/>
        <v>4.3</v>
      </c>
      <c r="J92" s="65">
        <f t="shared" si="46"/>
        <v>4.3</v>
      </c>
      <c r="K92" s="65">
        <f t="shared" si="46"/>
        <v>4.5</v>
      </c>
      <c r="L92" s="65">
        <f t="shared" si="46"/>
        <v>4.5</v>
      </c>
      <c r="M92" s="65">
        <f t="shared" si="46"/>
        <v>4.4000000000000004</v>
      </c>
      <c r="N92" s="65">
        <f t="shared" si="46"/>
        <v>4.5</v>
      </c>
      <c r="O92" s="65">
        <f t="shared" si="46"/>
        <v>6.8</v>
      </c>
      <c r="P92" s="65">
        <f t="shared" si="46"/>
        <v>8</v>
      </c>
      <c r="Q92" s="65">
        <f t="shared" si="46"/>
        <v>5.6</v>
      </c>
      <c r="R92" s="65">
        <f t="shared" si="46"/>
        <v>6.3</v>
      </c>
      <c r="S92" s="65">
        <f t="shared" si="46"/>
        <v>5.8</v>
      </c>
      <c r="T92" s="65">
        <f t="shared" si="46"/>
        <v>5.8</v>
      </c>
      <c r="U92" s="65">
        <f t="shared" si="46"/>
        <v>5.8</v>
      </c>
      <c r="V92" s="65">
        <f t="shared" si="46"/>
        <v>3.5999999999999996</v>
      </c>
      <c r="W92" s="65">
        <f t="shared" si="46"/>
        <v>5.6</v>
      </c>
      <c r="X92" s="65">
        <f t="shared" si="46"/>
        <v>8</v>
      </c>
      <c r="Y92" s="65">
        <f t="shared" si="46"/>
        <v>8</v>
      </c>
      <c r="Z92" s="65">
        <f t="shared" si="46"/>
        <v>8</v>
      </c>
      <c r="AA92" s="65">
        <f t="shared" si="46"/>
        <v>7.6</v>
      </c>
      <c r="AB92" s="65">
        <f t="shared" si="46"/>
        <v>8</v>
      </c>
      <c r="AC92" s="65">
        <f t="shared" si="46"/>
        <v>6.6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0.26800000000000002</v>
      </c>
      <c r="G93" s="68">
        <v>0.26800000000000002</v>
      </c>
      <c r="H93" s="68">
        <v>0.20599999999999999</v>
      </c>
      <c r="I93" s="68">
        <v>0.221</v>
      </c>
      <c r="J93" s="68">
        <v>0.219</v>
      </c>
      <c r="K93" s="68">
        <v>0.20599999999999999</v>
      </c>
      <c r="L93" s="68">
        <v>0.20100000000000001</v>
      </c>
      <c r="M93" s="68">
        <v>0.19600000000000001</v>
      </c>
      <c r="N93" s="68">
        <v>0.218</v>
      </c>
      <c r="O93" s="68">
        <v>0.223</v>
      </c>
      <c r="P93" s="68">
        <v>0.189</v>
      </c>
      <c r="Q93" s="68">
        <v>0.20300000000000001</v>
      </c>
      <c r="R93" s="68">
        <v>0.20300000000000001</v>
      </c>
      <c r="S93" s="68">
        <v>0.20300000000000001</v>
      </c>
      <c r="T93" s="68">
        <v>0.19400000000000001</v>
      </c>
      <c r="U93" s="68">
        <v>0.20200000000000001</v>
      </c>
      <c r="V93" s="68">
        <v>0.187</v>
      </c>
      <c r="W93" s="68">
        <v>0.224</v>
      </c>
      <c r="X93" s="68">
        <v>0.24099999999999999</v>
      </c>
      <c r="Y93" s="68">
        <v>0.27100000000000002</v>
      </c>
      <c r="Z93" s="68">
        <v>0.27</v>
      </c>
      <c r="AA93" s="68">
        <v>0.27</v>
      </c>
      <c r="AB93" s="68">
        <v>0.25</v>
      </c>
      <c r="AC93" s="68">
        <v>0.27500000000000002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7">F33</f>
        <v>7.35</v>
      </c>
      <c r="G94" s="65">
        <f t="shared" si="47"/>
        <v>11.67</v>
      </c>
      <c r="H94" s="65">
        <f t="shared" si="47"/>
        <v>10.8</v>
      </c>
      <c r="I94" s="65">
        <f t="shared" si="47"/>
        <v>9.77</v>
      </c>
      <c r="J94" s="65">
        <f t="shared" si="47"/>
        <v>9.4600000000000009</v>
      </c>
      <c r="K94" s="65">
        <f t="shared" si="47"/>
        <v>8.92</v>
      </c>
      <c r="L94" s="65">
        <f t="shared" si="47"/>
        <v>8.7799999999999994</v>
      </c>
      <c r="M94" s="65">
        <f t="shared" si="47"/>
        <v>9.93</v>
      </c>
      <c r="N94" s="65">
        <f t="shared" si="47"/>
        <v>9.8000000000000007</v>
      </c>
      <c r="O94" s="65">
        <f t="shared" si="47"/>
        <v>9.85</v>
      </c>
      <c r="P94" s="65">
        <f t="shared" si="47"/>
        <v>9.92</v>
      </c>
      <c r="Q94" s="65">
        <f t="shared" si="47"/>
        <v>9.92</v>
      </c>
      <c r="R94" s="65">
        <f t="shared" si="47"/>
        <v>8.94</v>
      </c>
      <c r="S94" s="65">
        <f t="shared" si="47"/>
        <v>7.52</v>
      </c>
      <c r="T94" s="65">
        <f t="shared" si="47"/>
        <v>7.55</v>
      </c>
      <c r="U94" s="65">
        <f t="shared" si="47"/>
        <v>7.53</v>
      </c>
      <c r="V94" s="65">
        <f t="shared" si="47"/>
        <v>9.3000000000000007</v>
      </c>
      <c r="W94" s="65">
        <f t="shared" si="47"/>
        <v>12.85</v>
      </c>
      <c r="X94" s="65">
        <f t="shared" si="47"/>
        <v>13.75</v>
      </c>
      <c r="Y94" s="65">
        <f t="shared" si="47"/>
        <v>13.74</v>
      </c>
      <c r="Z94" s="65">
        <f t="shared" si="47"/>
        <v>13.73</v>
      </c>
      <c r="AA94" s="65">
        <f t="shared" si="47"/>
        <v>13.82</v>
      </c>
      <c r="AB94" s="65">
        <f t="shared" si="47"/>
        <v>12.15</v>
      </c>
      <c r="AC94" s="65">
        <f t="shared" si="47"/>
        <v>13.62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1.1499999999999999</v>
      </c>
      <c r="G95" s="68">
        <v>1.33</v>
      </c>
      <c r="H95" s="68">
        <v>1.2</v>
      </c>
      <c r="I95" s="68">
        <v>1.23</v>
      </c>
      <c r="J95" s="68">
        <v>1.04</v>
      </c>
      <c r="K95" s="68">
        <v>1.08</v>
      </c>
      <c r="L95" s="68">
        <v>1.22</v>
      </c>
      <c r="M95" s="68">
        <v>1.07</v>
      </c>
      <c r="N95" s="68">
        <v>1.2</v>
      </c>
      <c r="O95" s="68">
        <v>1.1499999999999999</v>
      </c>
      <c r="P95" s="68">
        <v>1.08</v>
      </c>
      <c r="Q95" s="68">
        <v>1.18</v>
      </c>
      <c r="R95" s="68">
        <v>1.06</v>
      </c>
      <c r="S95" s="68">
        <v>0.98</v>
      </c>
      <c r="T95" s="68">
        <v>0.95</v>
      </c>
      <c r="U95" s="68">
        <v>0.97</v>
      </c>
      <c r="V95" s="68">
        <v>1.2</v>
      </c>
      <c r="W95" s="68">
        <v>1.1499999999999999</v>
      </c>
      <c r="X95" s="68">
        <v>1.25</v>
      </c>
      <c r="Y95" s="68">
        <v>1.26</v>
      </c>
      <c r="Z95" s="68">
        <v>1.27</v>
      </c>
      <c r="AA95" s="68">
        <v>1.18</v>
      </c>
      <c r="AB95" s="68">
        <v>1.35</v>
      </c>
      <c r="AC95" s="68">
        <v>1.38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8">F59</f>
        <v>0</v>
      </c>
      <c r="G96" s="64">
        <f t="shared" si="48"/>
        <v>0</v>
      </c>
      <c r="H96" s="64">
        <f t="shared" si="48"/>
        <v>0</v>
      </c>
      <c r="I96" s="64">
        <f t="shared" si="48"/>
        <v>0</v>
      </c>
      <c r="J96" s="64">
        <f t="shared" si="48"/>
        <v>0</v>
      </c>
      <c r="K96" s="64">
        <f t="shared" si="48"/>
        <v>0</v>
      </c>
      <c r="L96" s="64">
        <f t="shared" si="48"/>
        <v>0</v>
      </c>
      <c r="M96" s="64">
        <f t="shared" si="48"/>
        <v>0.8</v>
      </c>
      <c r="N96" s="64">
        <f t="shared" si="48"/>
        <v>2.33</v>
      </c>
      <c r="O96" s="64">
        <f t="shared" si="48"/>
        <v>3.9000000000000004</v>
      </c>
      <c r="P96" s="64">
        <f t="shared" si="48"/>
        <v>4.8</v>
      </c>
      <c r="Q96" s="64">
        <f t="shared" si="48"/>
        <v>4</v>
      </c>
      <c r="R96" s="64">
        <f t="shared" si="48"/>
        <v>0</v>
      </c>
      <c r="S96" s="64">
        <f t="shared" si="48"/>
        <v>0</v>
      </c>
      <c r="T96" s="64">
        <f t="shared" si="48"/>
        <v>0</v>
      </c>
      <c r="U96" s="64">
        <f t="shared" si="48"/>
        <v>0</v>
      </c>
      <c r="V96" s="64">
        <f t="shared" si="48"/>
        <v>0</v>
      </c>
      <c r="W96" s="64">
        <f t="shared" si="48"/>
        <v>0</v>
      </c>
      <c r="X96" s="64">
        <f t="shared" si="48"/>
        <v>2.31</v>
      </c>
      <c r="Y96" s="64">
        <f t="shared" si="48"/>
        <v>5.6</v>
      </c>
      <c r="Z96" s="64">
        <f t="shared" si="48"/>
        <v>3.12</v>
      </c>
      <c r="AA96" s="64">
        <f t="shared" si="48"/>
        <v>2.2999999999999998</v>
      </c>
      <c r="AB96" s="64">
        <f t="shared" si="48"/>
        <v>0</v>
      </c>
      <c r="AC96" s="64">
        <f t="shared" si="48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9">F64</f>
        <v>0.91</v>
      </c>
      <c r="G97" s="64">
        <f t="shared" si="49"/>
        <v>0.89</v>
      </c>
      <c r="H97" s="64">
        <f t="shared" si="49"/>
        <v>0.81</v>
      </c>
      <c r="I97" s="64">
        <f t="shared" si="49"/>
        <v>0.78</v>
      </c>
      <c r="J97" s="64">
        <f t="shared" si="49"/>
        <v>0.77</v>
      </c>
      <c r="K97" s="64">
        <f t="shared" si="49"/>
        <v>0.78</v>
      </c>
      <c r="L97" s="64">
        <f t="shared" si="49"/>
        <v>0.82</v>
      </c>
      <c r="M97" s="64">
        <f t="shared" si="49"/>
        <v>0.98</v>
      </c>
      <c r="N97" s="64">
        <f t="shared" si="49"/>
        <v>0.99</v>
      </c>
      <c r="O97" s="64">
        <f t="shared" si="49"/>
        <v>1.08</v>
      </c>
      <c r="P97" s="64">
        <f t="shared" si="49"/>
        <v>1.03</v>
      </c>
      <c r="Q97" s="64">
        <f t="shared" si="49"/>
        <v>1.03</v>
      </c>
      <c r="R97" s="64">
        <f t="shared" si="49"/>
        <v>1.03</v>
      </c>
      <c r="S97" s="64">
        <f t="shared" si="49"/>
        <v>1.02</v>
      </c>
      <c r="T97" s="64">
        <f t="shared" si="49"/>
        <v>1</v>
      </c>
      <c r="U97" s="64">
        <f t="shared" si="49"/>
        <v>0.98</v>
      </c>
      <c r="V97" s="64">
        <f t="shared" si="49"/>
        <v>0.99</v>
      </c>
      <c r="W97" s="64">
        <f t="shared" si="49"/>
        <v>0.97</v>
      </c>
      <c r="X97" s="64">
        <f t="shared" si="49"/>
        <v>1.17</v>
      </c>
      <c r="Y97" s="64">
        <f t="shared" si="49"/>
        <v>1.46</v>
      </c>
      <c r="Z97" s="64">
        <f t="shared" si="49"/>
        <v>1.46</v>
      </c>
      <c r="AA97" s="64">
        <f t="shared" si="49"/>
        <v>1.33</v>
      </c>
      <c r="AB97" s="64">
        <f t="shared" si="49"/>
        <v>1.17</v>
      </c>
      <c r="AC97" s="64">
        <f t="shared" si="49"/>
        <v>0.99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50">F75</f>
        <v>3.43</v>
      </c>
      <c r="G98" s="64">
        <f t="shared" si="50"/>
        <v>3.3300000000000005</v>
      </c>
      <c r="H98" s="64">
        <f t="shared" si="50"/>
        <v>3.15</v>
      </c>
      <c r="I98" s="64">
        <f t="shared" si="50"/>
        <v>3.07</v>
      </c>
      <c r="J98" s="64">
        <f t="shared" si="50"/>
        <v>3.09</v>
      </c>
      <c r="K98" s="64">
        <f t="shared" si="50"/>
        <v>3.08</v>
      </c>
      <c r="L98" s="64">
        <f t="shared" si="50"/>
        <v>0</v>
      </c>
      <c r="M98" s="64">
        <f t="shared" si="50"/>
        <v>2.35</v>
      </c>
      <c r="N98" s="64">
        <f t="shared" si="50"/>
        <v>3.73</v>
      </c>
      <c r="O98" s="64">
        <f t="shared" si="50"/>
        <v>4.05</v>
      </c>
      <c r="P98" s="64">
        <f t="shared" si="50"/>
        <v>4.45</v>
      </c>
      <c r="Q98" s="64">
        <f t="shared" si="50"/>
        <v>4.3966666666666665</v>
      </c>
      <c r="R98" s="64">
        <f t="shared" si="50"/>
        <v>4.3966666666666665</v>
      </c>
      <c r="S98" s="64">
        <f t="shared" si="50"/>
        <v>4.4749999999999996</v>
      </c>
      <c r="T98" s="64">
        <f t="shared" si="50"/>
        <v>3.9</v>
      </c>
      <c r="U98" s="64">
        <f t="shared" si="50"/>
        <v>4.1399999999999997</v>
      </c>
      <c r="V98" s="64">
        <f t="shared" si="50"/>
        <v>3.91</v>
      </c>
      <c r="W98" s="64">
        <f t="shared" si="50"/>
        <v>3.89</v>
      </c>
      <c r="X98" s="64">
        <f t="shared" si="50"/>
        <v>3.74</v>
      </c>
      <c r="Y98" s="64">
        <f t="shared" si="50"/>
        <v>4.6900000000000004</v>
      </c>
      <c r="Z98" s="64">
        <f t="shared" si="50"/>
        <v>4.62</v>
      </c>
      <c r="AA98" s="64">
        <f t="shared" si="50"/>
        <v>4.4000000000000004</v>
      </c>
      <c r="AB98" s="64">
        <f t="shared" si="50"/>
        <v>4.4000000000000004</v>
      </c>
      <c r="AC98" s="64">
        <f t="shared" si="50"/>
        <v>3.8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51">F79</f>
        <v>0.79</v>
      </c>
      <c r="G99" s="64">
        <f t="shared" si="51"/>
        <v>0.77</v>
      </c>
      <c r="H99" s="64">
        <f t="shared" si="51"/>
        <v>0.73</v>
      </c>
      <c r="I99" s="64">
        <f t="shared" si="51"/>
        <v>0.71</v>
      </c>
      <c r="J99" s="64">
        <f t="shared" si="51"/>
        <v>0.68</v>
      </c>
      <c r="K99" s="64">
        <f t="shared" si="51"/>
        <v>0.78</v>
      </c>
      <c r="L99" s="64">
        <f t="shared" si="51"/>
        <v>0.72</v>
      </c>
      <c r="M99" s="64">
        <f t="shared" si="51"/>
        <v>0.68</v>
      </c>
      <c r="N99" s="64">
        <f t="shared" si="51"/>
        <v>0.74</v>
      </c>
      <c r="O99" s="64">
        <f t="shared" si="51"/>
        <v>0.79</v>
      </c>
      <c r="P99" s="64">
        <f t="shared" si="51"/>
        <v>0.82</v>
      </c>
      <c r="Q99" s="64">
        <f t="shared" si="51"/>
        <v>0.83</v>
      </c>
      <c r="R99" s="64">
        <f t="shared" si="51"/>
        <v>0.85</v>
      </c>
      <c r="S99" s="64">
        <f t="shared" si="51"/>
        <v>0.86</v>
      </c>
      <c r="T99" s="64">
        <f t="shared" si="51"/>
        <v>0.88</v>
      </c>
      <c r="U99" s="64">
        <f t="shared" si="51"/>
        <v>0.85</v>
      </c>
      <c r="V99" s="64">
        <f t="shared" si="51"/>
        <v>0.87</v>
      </c>
      <c r="W99" s="64">
        <f t="shared" si="51"/>
        <v>0.86</v>
      </c>
      <c r="X99" s="64">
        <f t="shared" si="51"/>
        <v>0.86</v>
      </c>
      <c r="Y99" s="64">
        <f t="shared" si="51"/>
        <v>1</v>
      </c>
      <c r="Z99" s="64">
        <f t="shared" si="51"/>
        <v>1</v>
      </c>
      <c r="AA99" s="64">
        <f t="shared" si="51"/>
        <v>0.98</v>
      </c>
      <c r="AB99" s="64">
        <f t="shared" si="51"/>
        <v>0.93</v>
      </c>
      <c r="AC99" s="64">
        <f t="shared" si="51"/>
        <v>0.88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52">F81</f>
        <v>0</v>
      </c>
      <c r="G100" s="64">
        <f t="shared" si="52"/>
        <v>0</v>
      </c>
      <c r="H100" s="64">
        <f t="shared" si="52"/>
        <v>0</v>
      </c>
      <c r="I100" s="64">
        <f t="shared" si="52"/>
        <v>0</v>
      </c>
      <c r="J100" s="64">
        <f t="shared" si="52"/>
        <v>0</v>
      </c>
      <c r="K100" s="64">
        <f t="shared" si="52"/>
        <v>0</v>
      </c>
      <c r="L100" s="64">
        <f t="shared" si="52"/>
        <v>0</v>
      </c>
      <c r="M100" s="64">
        <f t="shared" si="52"/>
        <v>0</v>
      </c>
      <c r="N100" s="64">
        <f t="shared" si="52"/>
        <v>0</v>
      </c>
      <c r="O100" s="64">
        <f t="shared" si="52"/>
        <v>0</v>
      </c>
      <c r="P100" s="64">
        <f t="shared" si="52"/>
        <v>0</v>
      </c>
      <c r="Q100" s="64">
        <f t="shared" si="52"/>
        <v>0</v>
      </c>
      <c r="R100" s="64">
        <f t="shared" si="52"/>
        <v>0</v>
      </c>
      <c r="S100" s="64">
        <f t="shared" si="52"/>
        <v>0</v>
      </c>
      <c r="T100" s="64">
        <f t="shared" si="52"/>
        <v>0</v>
      </c>
      <c r="U100" s="64">
        <f t="shared" si="52"/>
        <v>0</v>
      </c>
      <c r="V100" s="64">
        <f t="shared" si="52"/>
        <v>0</v>
      </c>
      <c r="W100" s="64">
        <f t="shared" si="52"/>
        <v>0</v>
      </c>
      <c r="X100" s="64">
        <f t="shared" si="52"/>
        <v>0</v>
      </c>
      <c r="Y100" s="64">
        <f t="shared" si="52"/>
        <v>0</v>
      </c>
      <c r="Z100" s="64">
        <f t="shared" si="52"/>
        <v>0</v>
      </c>
      <c r="AA100" s="64">
        <f t="shared" si="52"/>
        <v>0</v>
      </c>
      <c r="AB100" s="64">
        <f t="shared" si="52"/>
        <v>0</v>
      </c>
      <c r="AC100" s="64">
        <f t="shared" si="5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53">SUM(F88,F90,F92,F94,F96:F100,F80)</f>
        <v>38.079999999999991</v>
      </c>
      <c r="G101" s="61">
        <f t="shared" si="53"/>
        <v>37.46</v>
      </c>
      <c r="H101" s="61">
        <f t="shared" si="53"/>
        <v>38.090000000000003</v>
      </c>
      <c r="I101" s="61">
        <f t="shared" si="53"/>
        <v>34.53</v>
      </c>
      <c r="J101" s="61">
        <f t="shared" si="53"/>
        <v>34</v>
      </c>
      <c r="K101" s="61">
        <f t="shared" si="53"/>
        <v>33.76</v>
      </c>
      <c r="L101" s="61">
        <f t="shared" si="53"/>
        <v>30.92</v>
      </c>
      <c r="M101" s="61">
        <f t="shared" si="53"/>
        <v>35.64</v>
      </c>
      <c r="N101" s="61">
        <f t="shared" si="53"/>
        <v>38.29</v>
      </c>
      <c r="O101" s="61">
        <f t="shared" si="53"/>
        <v>42.669999999999995</v>
      </c>
      <c r="P101" s="61">
        <f t="shared" si="53"/>
        <v>45.42</v>
      </c>
      <c r="Q101" s="61">
        <f t="shared" si="53"/>
        <v>47.876666666666665</v>
      </c>
      <c r="R101" s="61">
        <f t="shared" si="53"/>
        <v>48.916666666666671</v>
      </c>
      <c r="S101" s="61">
        <f t="shared" si="53"/>
        <v>46.674999999999997</v>
      </c>
      <c r="T101" s="61">
        <f t="shared" si="53"/>
        <v>46.129999999999995</v>
      </c>
      <c r="U101" s="61">
        <f t="shared" si="53"/>
        <v>46.9</v>
      </c>
      <c r="V101" s="61">
        <f t="shared" si="53"/>
        <v>48.470000000000006</v>
      </c>
      <c r="W101" s="61">
        <f t="shared" si="53"/>
        <v>48.77</v>
      </c>
      <c r="X101" s="61">
        <f t="shared" si="53"/>
        <v>50.930000000000007</v>
      </c>
      <c r="Y101" s="61">
        <f t="shared" si="53"/>
        <v>54.79</v>
      </c>
      <c r="Z101" s="61">
        <f t="shared" si="53"/>
        <v>52.23</v>
      </c>
      <c r="AA101" s="61">
        <f t="shared" si="53"/>
        <v>50.529999999999994</v>
      </c>
      <c r="AB101" s="61">
        <f t="shared" si="53"/>
        <v>46.949999999999996</v>
      </c>
      <c r="AC101" s="61">
        <f t="shared" si="53"/>
        <v>42.39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54">SUM(F102:F104)</f>
        <v>0</v>
      </c>
      <c r="G105" s="61">
        <f t="shared" si="54"/>
        <v>0</v>
      </c>
      <c r="H105" s="61">
        <f t="shared" si="54"/>
        <v>0</v>
      </c>
      <c r="I105" s="61">
        <f t="shared" si="54"/>
        <v>0</v>
      </c>
      <c r="J105" s="61">
        <f t="shared" si="54"/>
        <v>0</v>
      </c>
      <c r="K105" s="61">
        <f t="shared" si="54"/>
        <v>0</v>
      </c>
      <c r="L105" s="61">
        <f t="shared" si="54"/>
        <v>0</v>
      </c>
      <c r="M105" s="61">
        <f t="shared" si="54"/>
        <v>0</v>
      </c>
      <c r="N105" s="61">
        <f t="shared" si="54"/>
        <v>0</v>
      </c>
      <c r="O105" s="61">
        <f t="shared" si="54"/>
        <v>0</v>
      </c>
      <c r="P105" s="61">
        <f t="shared" si="54"/>
        <v>0</v>
      </c>
      <c r="Q105" s="61">
        <f t="shared" si="54"/>
        <v>0</v>
      </c>
      <c r="R105" s="61">
        <f t="shared" si="54"/>
        <v>0</v>
      </c>
      <c r="S105" s="61">
        <f t="shared" si="54"/>
        <v>0</v>
      </c>
      <c r="T105" s="61">
        <f t="shared" si="54"/>
        <v>0</v>
      </c>
      <c r="U105" s="61">
        <f t="shared" si="54"/>
        <v>0</v>
      </c>
      <c r="V105" s="61">
        <f t="shared" si="54"/>
        <v>0</v>
      </c>
      <c r="W105" s="61">
        <f t="shared" si="54"/>
        <v>0</v>
      </c>
      <c r="X105" s="61">
        <f t="shared" si="54"/>
        <v>0</v>
      </c>
      <c r="Y105" s="61">
        <f t="shared" si="54"/>
        <v>0</v>
      </c>
      <c r="Z105" s="61">
        <f t="shared" si="54"/>
        <v>0</v>
      </c>
      <c r="AA105" s="61">
        <f t="shared" si="54"/>
        <v>0</v>
      </c>
      <c r="AB105" s="61">
        <f t="shared" si="54"/>
        <v>0</v>
      </c>
      <c r="AC105" s="61">
        <f t="shared" si="5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55">F101+F105</f>
        <v>38.079999999999991</v>
      </c>
      <c r="G106" s="62">
        <f t="shared" si="55"/>
        <v>37.46</v>
      </c>
      <c r="H106" s="62">
        <f t="shared" si="55"/>
        <v>38.090000000000003</v>
      </c>
      <c r="I106" s="62">
        <f t="shared" si="55"/>
        <v>34.53</v>
      </c>
      <c r="J106" s="62">
        <f t="shared" si="55"/>
        <v>34</v>
      </c>
      <c r="K106" s="62">
        <f t="shared" si="55"/>
        <v>33.76</v>
      </c>
      <c r="L106" s="62">
        <f t="shared" si="55"/>
        <v>30.92</v>
      </c>
      <c r="M106" s="62">
        <f t="shared" si="55"/>
        <v>35.64</v>
      </c>
      <c r="N106" s="62">
        <f t="shared" si="55"/>
        <v>38.29</v>
      </c>
      <c r="O106" s="62">
        <f t="shared" si="55"/>
        <v>42.669999999999995</v>
      </c>
      <c r="P106" s="62">
        <f t="shared" si="55"/>
        <v>45.42</v>
      </c>
      <c r="Q106" s="62">
        <f t="shared" si="55"/>
        <v>47.876666666666665</v>
      </c>
      <c r="R106" s="62">
        <f t="shared" si="55"/>
        <v>48.916666666666671</v>
      </c>
      <c r="S106" s="62">
        <f t="shared" si="55"/>
        <v>46.674999999999997</v>
      </c>
      <c r="T106" s="62">
        <f t="shared" si="55"/>
        <v>46.129999999999995</v>
      </c>
      <c r="U106" s="62">
        <f t="shared" si="55"/>
        <v>46.9</v>
      </c>
      <c r="V106" s="62">
        <f t="shared" si="55"/>
        <v>48.470000000000006</v>
      </c>
      <c r="W106" s="62">
        <f t="shared" si="55"/>
        <v>48.77</v>
      </c>
      <c r="X106" s="62">
        <f t="shared" si="55"/>
        <v>50.930000000000007</v>
      </c>
      <c r="Y106" s="62">
        <f t="shared" si="55"/>
        <v>54.79</v>
      </c>
      <c r="Z106" s="62">
        <f t="shared" si="55"/>
        <v>52.23</v>
      </c>
      <c r="AA106" s="62">
        <f t="shared" si="55"/>
        <v>50.529999999999994</v>
      </c>
      <c r="AB106" s="62">
        <f t="shared" si="55"/>
        <v>46.949999999999996</v>
      </c>
      <c r="AC106" s="62">
        <f t="shared" si="55"/>
        <v>42.39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56">(COUNT(F13:F16))*7.2+(COUNT(F27:F28)*4.9)+(COUNT(F19:F21)*4.5)-F90-F92</f>
        <v>9.6000000000000014</v>
      </c>
      <c r="G107" s="63">
        <f t="shared" si="56"/>
        <v>2.3000000000000016</v>
      </c>
      <c r="H107" s="63">
        <f t="shared" si="56"/>
        <v>0.5</v>
      </c>
      <c r="I107" s="63">
        <f t="shared" si="56"/>
        <v>2.9000000000000012</v>
      </c>
      <c r="J107" s="63">
        <f t="shared" si="56"/>
        <v>3.1000000000000005</v>
      </c>
      <c r="K107" s="63">
        <f t="shared" si="56"/>
        <v>2.9000000000000004</v>
      </c>
      <c r="L107" s="63">
        <f t="shared" si="56"/>
        <v>2.5</v>
      </c>
      <c r="M107" s="63">
        <f t="shared" si="56"/>
        <v>2.2000000000000011</v>
      </c>
      <c r="N107" s="63">
        <f t="shared" si="56"/>
        <v>2.4000000000000004</v>
      </c>
      <c r="O107" s="63">
        <f t="shared" si="56"/>
        <v>0.10000000000000053</v>
      </c>
      <c r="P107" s="63">
        <f t="shared" si="56"/>
        <v>-1.2999999999999989</v>
      </c>
      <c r="Q107" s="63">
        <f t="shared" si="56"/>
        <v>2.6000000000000032</v>
      </c>
      <c r="R107" s="63">
        <f t="shared" si="56"/>
        <v>3.8000000000000016</v>
      </c>
      <c r="S107" s="63">
        <f t="shared" si="56"/>
        <v>3.900000000000003</v>
      </c>
      <c r="T107" s="63">
        <f t="shared" si="56"/>
        <v>3.900000000000003</v>
      </c>
      <c r="U107" s="63">
        <f t="shared" si="56"/>
        <v>3.5000000000000044</v>
      </c>
      <c r="V107" s="63">
        <f t="shared" si="56"/>
        <v>4.1000000000000032</v>
      </c>
      <c r="W107" s="63">
        <f t="shared" si="56"/>
        <v>11.500000000000005</v>
      </c>
      <c r="X107" s="63">
        <f t="shared" si="56"/>
        <v>13.900000000000006</v>
      </c>
      <c r="Y107" s="63">
        <f t="shared" si="56"/>
        <v>7.5000000000000036</v>
      </c>
      <c r="Z107" s="63">
        <f t="shared" si="56"/>
        <v>7.5000000000000036</v>
      </c>
      <c r="AA107" s="63">
        <f t="shared" si="56"/>
        <v>8.1000000000000032</v>
      </c>
      <c r="AB107" s="63">
        <f t="shared" si="56"/>
        <v>7.5000000000000036</v>
      </c>
      <c r="AC107" s="63">
        <f t="shared" si="56"/>
        <v>8.9000000000000039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5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8.5000000000000036</v>
      </c>
      <c r="G108" s="206">
        <f t="shared" si="57"/>
        <v>1.6000000000000014</v>
      </c>
      <c r="H108" s="206">
        <f t="shared" si="57"/>
        <v>-0.20000000000000018</v>
      </c>
      <c r="I108" s="206">
        <f t="shared" si="57"/>
        <v>2.2000000000000011</v>
      </c>
      <c r="J108" s="206">
        <f t="shared" si="57"/>
        <v>2.4000000000000004</v>
      </c>
      <c r="K108" s="206">
        <f t="shared" si="57"/>
        <v>2.2000000000000002</v>
      </c>
      <c r="L108" s="206">
        <f t="shared" si="57"/>
        <v>1.7999999999999998</v>
      </c>
      <c r="M108" s="206">
        <f t="shared" si="57"/>
        <v>1.5000000000000009</v>
      </c>
      <c r="N108" s="206">
        <f t="shared" si="57"/>
        <v>1.7000000000000002</v>
      </c>
      <c r="O108" s="206">
        <f t="shared" si="57"/>
        <v>-0.59999999999999964</v>
      </c>
      <c r="P108" s="206">
        <f t="shared" si="57"/>
        <v>-1.9999999999999991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3.3000000000000052</v>
      </c>
      <c r="R108" s="206">
        <f t="shared" ref="R108:AC108" si="5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4.0999999999999996</v>
      </c>
      <c r="S108" s="206">
        <f t="shared" si="58"/>
        <v>5</v>
      </c>
      <c r="T108" s="206">
        <f t="shared" si="58"/>
        <v>5</v>
      </c>
      <c r="U108" s="206">
        <f t="shared" si="58"/>
        <v>4.4000000000000021</v>
      </c>
      <c r="V108" s="206">
        <f t="shared" si="58"/>
        <v>4.4000000000000012</v>
      </c>
      <c r="W108" s="206">
        <f t="shared" si="58"/>
        <v>9.4000000000000021</v>
      </c>
      <c r="X108" s="206">
        <f t="shared" si="58"/>
        <v>10.5</v>
      </c>
      <c r="Y108" s="206">
        <f t="shared" si="58"/>
        <v>4.1000000000000014</v>
      </c>
      <c r="Z108" s="206">
        <f t="shared" si="58"/>
        <v>4.1000000000000014</v>
      </c>
      <c r="AA108" s="206">
        <f t="shared" si="58"/>
        <v>4.7</v>
      </c>
      <c r="AB108" s="206">
        <f t="shared" si="58"/>
        <v>4.1000000000000014</v>
      </c>
      <c r="AC108" s="206">
        <f t="shared" si="58"/>
        <v>4.8000000000000016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60.36</v>
      </c>
      <c r="G109" s="75">
        <v>60.32</v>
      </c>
      <c r="H109" s="75">
        <v>60.27</v>
      </c>
      <c r="I109" s="75">
        <v>60.31</v>
      </c>
      <c r="J109" s="75">
        <v>60.3</v>
      </c>
      <c r="K109" s="75">
        <v>60.29</v>
      </c>
      <c r="L109" s="75">
        <v>60.3</v>
      </c>
      <c r="M109" s="75">
        <v>60.3</v>
      </c>
      <c r="N109" s="75">
        <v>60.28</v>
      </c>
      <c r="O109" s="75">
        <v>60.26</v>
      </c>
      <c r="P109" s="84">
        <v>60.35</v>
      </c>
      <c r="Q109" s="84">
        <v>60.18</v>
      </c>
      <c r="R109" s="84">
        <v>60.41</v>
      </c>
      <c r="S109" s="84">
        <v>60.55</v>
      </c>
      <c r="T109" s="84">
        <v>60.52</v>
      </c>
      <c r="U109" s="75">
        <v>60.39</v>
      </c>
      <c r="V109" s="75">
        <v>60.2</v>
      </c>
      <c r="W109" s="75">
        <v>60.3</v>
      </c>
      <c r="X109" s="75">
        <v>60.14</v>
      </c>
      <c r="Y109" s="75">
        <v>60.12</v>
      </c>
      <c r="Z109" s="75">
        <v>60.11</v>
      </c>
      <c r="AA109" s="75">
        <v>60.17</v>
      </c>
      <c r="AB109" s="75">
        <v>60.16</v>
      </c>
      <c r="AC109" s="75">
        <v>60.16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59">SUM(G117:G124)</f>
        <v>0</v>
      </c>
      <c r="H125" s="44">
        <f t="shared" si="59"/>
        <v>0</v>
      </c>
      <c r="I125" s="44">
        <f t="shared" si="59"/>
        <v>0</v>
      </c>
      <c r="J125" s="44">
        <f t="shared" si="59"/>
        <v>0</v>
      </c>
      <c r="K125" s="44">
        <f t="shared" si="59"/>
        <v>0</v>
      </c>
      <c r="L125" s="44">
        <f t="shared" si="59"/>
        <v>0</v>
      </c>
      <c r="M125" s="44">
        <f t="shared" si="59"/>
        <v>0</v>
      </c>
      <c r="N125" s="44">
        <f t="shared" si="59"/>
        <v>0</v>
      </c>
      <c r="O125" s="44">
        <f t="shared" si="59"/>
        <v>0</v>
      </c>
      <c r="P125" s="44">
        <f t="shared" si="59"/>
        <v>0</v>
      </c>
      <c r="Q125" s="44">
        <f t="shared" si="59"/>
        <v>0</v>
      </c>
      <c r="R125" s="44">
        <f t="shared" si="59"/>
        <v>0</v>
      </c>
      <c r="S125" s="44">
        <f t="shared" si="59"/>
        <v>0</v>
      </c>
      <c r="T125" s="44">
        <f t="shared" si="59"/>
        <v>0</v>
      </c>
      <c r="U125" s="44">
        <f t="shared" si="59"/>
        <v>0</v>
      </c>
      <c r="V125" s="44">
        <f t="shared" si="59"/>
        <v>0</v>
      </c>
      <c r="W125" s="44">
        <f t="shared" si="59"/>
        <v>0</v>
      </c>
      <c r="X125" s="44">
        <f t="shared" si="59"/>
        <v>0</v>
      </c>
      <c r="Y125" s="44">
        <f t="shared" si="59"/>
        <v>0</v>
      </c>
      <c r="Z125" s="44">
        <f t="shared" si="59"/>
        <v>0</v>
      </c>
      <c r="AA125" s="44">
        <f t="shared" si="59"/>
        <v>0</v>
      </c>
      <c r="AB125" s="44">
        <f t="shared" si="59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7618" priority="1579" operator="greaterThan">
      <formula>60.3</formula>
    </cfRule>
  </conditionalFormatting>
  <conditionalFormatting sqref="G53:G55 J56:L56 I13:K14 I57:L58 K15 I15:J16 I53:I56 I40:I50 N51:O52 L13:Q15 I66:K66 I27:AC28 I20:AC21 J35:O50 K16:Q16 R13:AC16 J24:AC24 I67:J72 I74:J74 K67:K74 J53:O55 M56:O58 I77:AC78 P35:AC58 L66:AC74 N61:AC63">
    <cfRule type="cellIs" dxfId="17617" priority="1571" operator="equal">
      <formula>"PMS"</formula>
    </cfRule>
    <cfRule type="containsText" dxfId="17616" priority="1572" operator="containsText" text="CMS">
      <formula>NOT(ISERROR(SEARCH("CMS",G13)))</formula>
    </cfRule>
    <cfRule type="cellIs" dxfId="17615" priority="1573" operator="equal">
      <formula>0</formula>
    </cfRule>
    <cfRule type="cellIs" dxfId="17614" priority="1574" operator="greaterThan">
      <formula>0</formula>
    </cfRule>
    <cfRule type="cellIs" dxfId="17613" priority="1575" operator="equal">
      <formula>"PMS"</formula>
    </cfRule>
    <cfRule type="containsText" dxfId="17612" priority="1576" operator="containsText" text="CMS">
      <formula>NOT(ISERROR(SEARCH("CMS",G13)))</formula>
    </cfRule>
    <cfRule type="cellIs" dxfId="17611" priority="1577" operator="equal">
      <formula>0</formula>
    </cfRule>
    <cfRule type="cellIs" dxfId="17610" priority="1578" operator="greaterThan">
      <formula>0</formula>
    </cfRule>
  </conditionalFormatting>
  <conditionalFormatting sqref="O77:AC78 O66:AC74 O61:AC63">
    <cfRule type="cellIs" dxfId="17609" priority="1567" operator="equal">
      <formula>"PMS"</formula>
    </cfRule>
    <cfRule type="containsText" dxfId="17608" priority="1568" operator="containsText" text="CMS">
      <formula>NOT(ISERROR(SEARCH("CMS",O61)))</formula>
    </cfRule>
    <cfRule type="cellIs" dxfId="17607" priority="1569" operator="equal">
      <formula>0</formula>
    </cfRule>
    <cfRule type="cellIs" dxfId="17606" priority="1570" operator="greaterThan">
      <formula>0</formula>
    </cfRule>
  </conditionalFormatting>
  <conditionalFormatting sqref="P66:AC74">
    <cfRule type="cellIs" dxfId="17605" priority="1563" operator="equal">
      <formula>"PMS"</formula>
    </cfRule>
    <cfRule type="containsText" dxfId="17604" priority="1564" operator="containsText" text="CMS">
      <formula>NOT(ISERROR(SEARCH("CMS",P66)))</formula>
    </cfRule>
    <cfRule type="cellIs" dxfId="17603" priority="1565" operator="equal">
      <formula>0</formula>
    </cfRule>
    <cfRule type="cellIs" dxfId="17602" priority="1566" operator="greaterThan">
      <formula>0</formula>
    </cfRule>
  </conditionalFormatting>
  <conditionalFormatting sqref="O13:AC16">
    <cfRule type="cellIs" dxfId="17601" priority="1559" operator="equal">
      <formula>"PMS"</formula>
    </cfRule>
    <cfRule type="containsText" dxfId="17600" priority="1560" operator="containsText" text="CMS">
      <formula>NOT(ISERROR(SEARCH("CMS",O13)))</formula>
    </cfRule>
    <cfRule type="cellIs" dxfId="17599" priority="1561" operator="equal">
      <formula>0</formula>
    </cfRule>
    <cfRule type="cellIs" dxfId="17598" priority="1562" operator="greaterThan">
      <formula>0</formula>
    </cfRule>
  </conditionalFormatting>
  <conditionalFormatting sqref="P13:AC16">
    <cfRule type="cellIs" dxfId="17597" priority="1555" operator="equal">
      <formula>"PMS"</formula>
    </cfRule>
    <cfRule type="containsText" dxfId="17596" priority="1556" operator="containsText" text="CMS">
      <formula>NOT(ISERROR(SEARCH("CMS",P13)))</formula>
    </cfRule>
    <cfRule type="cellIs" dxfId="17595" priority="1557" operator="equal">
      <formula>0</formula>
    </cfRule>
    <cfRule type="cellIs" dxfId="17594" priority="1558" operator="greaterThan">
      <formula>0</formula>
    </cfRule>
  </conditionalFormatting>
  <conditionalFormatting sqref="O20:AC21">
    <cfRule type="cellIs" dxfId="17593" priority="1551" operator="equal">
      <formula>"PMS"</formula>
    </cfRule>
    <cfRule type="containsText" dxfId="17592" priority="1552" operator="containsText" text="CMS">
      <formula>NOT(ISERROR(SEARCH("CMS",O20)))</formula>
    </cfRule>
    <cfRule type="cellIs" dxfId="17591" priority="1553" operator="equal">
      <formula>0</formula>
    </cfRule>
    <cfRule type="cellIs" dxfId="17590" priority="1554" operator="greaterThan">
      <formula>0</formula>
    </cfRule>
  </conditionalFormatting>
  <conditionalFormatting sqref="P20:AC21">
    <cfRule type="cellIs" dxfId="17589" priority="1547" operator="equal">
      <formula>"PMS"</formula>
    </cfRule>
    <cfRule type="containsText" dxfId="17588" priority="1548" operator="containsText" text="CMS">
      <formula>NOT(ISERROR(SEARCH("CMS",P20)))</formula>
    </cfRule>
    <cfRule type="cellIs" dxfId="17587" priority="1549" operator="equal">
      <formula>0</formula>
    </cfRule>
    <cfRule type="cellIs" dxfId="17586" priority="1550" operator="greaterThan">
      <formula>0</formula>
    </cfRule>
  </conditionalFormatting>
  <conditionalFormatting sqref="O24:AC24">
    <cfRule type="cellIs" dxfId="17585" priority="1543" operator="equal">
      <formula>"PMS"</formula>
    </cfRule>
    <cfRule type="containsText" dxfId="17584" priority="1544" operator="containsText" text="CMS">
      <formula>NOT(ISERROR(SEARCH("CMS",O24)))</formula>
    </cfRule>
    <cfRule type="cellIs" dxfId="17583" priority="1545" operator="equal">
      <formula>0</formula>
    </cfRule>
    <cfRule type="cellIs" dxfId="17582" priority="1546" operator="greaterThan">
      <formula>0</formula>
    </cfRule>
  </conditionalFormatting>
  <conditionalFormatting sqref="P24:AC24">
    <cfRule type="cellIs" dxfId="17581" priority="1539" operator="equal">
      <formula>"PMS"</formula>
    </cfRule>
    <cfRule type="containsText" dxfId="17580" priority="1540" operator="containsText" text="CMS">
      <formula>NOT(ISERROR(SEARCH("CMS",P24)))</formula>
    </cfRule>
    <cfRule type="cellIs" dxfId="17579" priority="1541" operator="equal">
      <formula>0</formula>
    </cfRule>
    <cfRule type="cellIs" dxfId="17578" priority="1542" operator="greaterThan">
      <formula>0</formula>
    </cfRule>
  </conditionalFormatting>
  <conditionalFormatting sqref="O27:AC28">
    <cfRule type="cellIs" dxfId="17577" priority="1535" operator="equal">
      <formula>"PMS"</formula>
    </cfRule>
    <cfRule type="containsText" dxfId="17576" priority="1536" operator="containsText" text="CMS">
      <formula>NOT(ISERROR(SEARCH("CMS",O27)))</formula>
    </cfRule>
    <cfRule type="cellIs" dxfId="17575" priority="1537" operator="equal">
      <formula>0</formula>
    </cfRule>
    <cfRule type="cellIs" dxfId="17574" priority="1538" operator="greaterThan">
      <formula>0</formula>
    </cfRule>
  </conditionalFormatting>
  <conditionalFormatting sqref="P27:AC28">
    <cfRule type="cellIs" dxfId="17573" priority="1531" operator="equal">
      <formula>"PMS"</formula>
    </cfRule>
    <cfRule type="containsText" dxfId="17572" priority="1532" operator="containsText" text="CMS">
      <formula>NOT(ISERROR(SEARCH("CMS",P27)))</formula>
    </cfRule>
    <cfRule type="cellIs" dxfId="17571" priority="1533" operator="equal">
      <formula>0</formula>
    </cfRule>
    <cfRule type="cellIs" dxfId="17570" priority="1534" operator="greaterThan">
      <formula>0</formula>
    </cfRule>
  </conditionalFormatting>
  <conditionalFormatting sqref="P50 R50:S58 P52:P54 O53:Q58 O35:S49 T35:AC58">
    <cfRule type="cellIs" dxfId="17569" priority="1527" operator="equal">
      <formula>"PMS"</formula>
    </cfRule>
    <cfRule type="containsText" dxfId="17568" priority="1528" operator="containsText" text="CMS">
      <formula>NOT(ISERROR(SEARCH("CMS",O35)))</formula>
    </cfRule>
    <cfRule type="cellIs" dxfId="17567" priority="1529" operator="equal">
      <formula>0</formula>
    </cfRule>
    <cfRule type="cellIs" dxfId="17566" priority="1530" operator="greaterThan">
      <formula>0</formula>
    </cfRule>
  </conditionalFormatting>
  <conditionalFormatting sqref="O38:O49 P50 R50:S58 P52:P54 O53:Q58 P35:S49 T35:AC58">
    <cfRule type="cellIs" dxfId="17565" priority="1523" operator="equal">
      <formula>"PMS"</formula>
    </cfRule>
    <cfRule type="containsText" dxfId="17564" priority="1524" operator="containsText" text="CMS">
      <formula>NOT(ISERROR(SEARCH("CMS",O35)))</formula>
    </cfRule>
    <cfRule type="cellIs" dxfId="17563" priority="1525" operator="equal">
      <formula>0</formula>
    </cfRule>
    <cfRule type="cellIs" dxfId="17562" priority="1526" operator="greaterThan">
      <formula>0</formula>
    </cfRule>
  </conditionalFormatting>
  <conditionalFormatting sqref="W14:X16 W13:AC13 AC14:AC15 Z14:AB16">
    <cfRule type="cellIs" dxfId="17561" priority="1519" operator="equal">
      <formula>"PMS"</formula>
    </cfRule>
    <cfRule type="containsText" dxfId="17560" priority="1520" operator="containsText" text="CMS">
      <formula>NOT(ISERROR(SEARCH("CMS",W13)))</formula>
    </cfRule>
    <cfRule type="cellIs" dxfId="17559" priority="1521" operator="equal">
      <formula>0</formula>
    </cfRule>
    <cfRule type="cellIs" dxfId="17558" priority="1522" operator="greaterThan">
      <formula>0</formula>
    </cfRule>
  </conditionalFormatting>
  <conditionalFormatting sqref="W14:X16 W13:AC13 AC14:AC15 Z14:AB16">
    <cfRule type="cellIs" dxfId="17557" priority="1515" operator="equal">
      <formula>"PMS"</formula>
    </cfRule>
    <cfRule type="containsText" dxfId="17556" priority="1516" operator="containsText" text="CMS">
      <formula>NOT(ISERROR(SEARCH("CMS",W13)))</formula>
    </cfRule>
    <cfRule type="cellIs" dxfId="17555" priority="1517" operator="equal">
      <formula>0</formula>
    </cfRule>
    <cfRule type="cellIs" dxfId="17554" priority="1518" operator="greaterThan">
      <formula>0</formula>
    </cfRule>
  </conditionalFormatting>
  <conditionalFormatting sqref="X57:AC57">
    <cfRule type="cellIs" dxfId="17553" priority="1511" operator="equal">
      <formula>"PMS"</formula>
    </cfRule>
    <cfRule type="containsText" dxfId="17552" priority="1512" operator="containsText" text="CMS">
      <formula>NOT(ISERROR(SEARCH("CMS",X57)))</formula>
    </cfRule>
    <cfRule type="cellIs" dxfId="17551" priority="1513" operator="equal">
      <formula>0</formula>
    </cfRule>
    <cfRule type="cellIs" dxfId="17550" priority="1514" operator="greaterThan">
      <formula>0</formula>
    </cfRule>
  </conditionalFormatting>
  <conditionalFormatting sqref="X57:AC57">
    <cfRule type="cellIs" dxfId="17549" priority="1507" operator="equal">
      <formula>"PMS"</formula>
    </cfRule>
    <cfRule type="containsText" dxfId="17548" priority="1508" operator="containsText" text="CMS">
      <formula>NOT(ISERROR(SEARCH("CMS",X57)))</formula>
    </cfRule>
    <cfRule type="cellIs" dxfId="17547" priority="1509" operator="equal">
      <formula>0</formula>
    </cfRule>
    <cfRule type="cellIs" dxfId="17546" priority="1510" operator="greaterThan">
      <formula>0</formula>
    </cfRule>
  </conditionalFormatting>
  <conditionalFormatting sqref="X57:AC57">
    <cfRule type="cellIs" dxfId="17545" priority="1503" operator="equal">
      <formula>"PMS"</formula>
    </cfRule>
    <cfRule type="containsText" dxfId="17544" priority="1504" operator="containsText" text="CMS">
      <formula>NOT(ISERROR(SEARCH("CMS",X57)))</formula>
    </cfRule>
    <cfRule type="cellIs" dxfId="17543" priority="1505" operator="equal">
      <formula>0</formula>
    </cfRule>
    <cfRule type="cellIs" dxfId="17542" priority="1506" operator="greaterThan">
      <formula>0</formula>
    </cfRule>
  </conditionalFormatting>
  <conditionalFormatting sqref="X57:AC57">
    <cfRule type="cellIs" dxfId="17541" priority="1499" operator="equal">
      <formula>"PMS"</formula>
    </cfRule>
    <cfRule type="containsText" dxfId="17540" priority="1500" operator="containsText" text="CMS">
      <formula>NOT(ISERROR(SEARCH("CMS",X57)))</formula>
    </cfRule>
    <cfRule type="cellIs" dxfId="17539" priority="1501" operator="equal">
      <formula>0</formula>
    </cfRule>
    <cfRule type="cellIs" dxfId="17538" priority="1502" operator="greaterThan">
      <formula>0</formula>
    </cfRule>
  </conditionalFormatting>
  <conditionalFormatting sqref="AB58:AC58">
    <cfRule type="cellIs" dxfId="17537" priority="1495" operator="equal">
      <formula>"PMS"</formula>
    </cfRule>
    <cfRule type="containsText" dxfId="17536" priority="1496" operator="containsText" text="CMS">
      <formula>NOT(ISERROR(SEARCH("CMS",AB58)))</formula>
    </cfRule>
    <cfRule type="cellIs" dxfId="17535" priority="1497" operator="equal">
      <formula>0</formula>
    </cfRule>
    <cfRule type="cellIs" dxfId="17534" priority="1498" operator="greaterThan">
      <formula>0</formula>
    </cfRule>
  </conditionalFormatting>
  <conditionalFormatting sqref="AB58:AC58">
    <cfRule type="cellIs" dxfId="17533" priority="1491" operator="equal">
      <formula>"PMS"</formula>
    </cfRule>
    <cfRule type="containsText" dxfId="17532" priority="1492" operator="containsText" text="CMS">
      <formula>NOT(ISERROR(SEARCH("CMS",AB58)))</formula>
    </cfRule>
    <cfRule type="cellIs" dxfId="17531" priority="1493" operator="equal">
      <formula>0</formula>
    </cfRule>
    <cfRule type="cellIs" dxfId="17530" priority="1494" operator="greaterThan">
      <formula>0</formula>
    </cfRule>
  </conditionalFormatting>
  <conditionalFormatting sqref="AB58:AC58">
    <cfRule type="cellIs" dxfId="17529" priority="1487" operator="equal">
      <formula>"PMS"</formula>
    </cfRule>
    <cfRule type="containsText" dxfId="17528" priority="1488" operator="containsText" text="CMS">
      <formula>NOT(ISERROR(SEARCH("CMS",AB58)))</formula>
    </cfRule>
    <cfRule type="cellIs" dxfId="17527" priority="1489" operator="equal">
      <formula>0</formula>
    </cfRule>
    <cfRule type="cellIs" dxfId="17526" priority="1490" operator="greaterThan">
      <formula>0</formula>
    </cfRule>
  </conditionalFormatting>
  <conditionalFormatting sqref="AB58:AC58">
    <cfRule type="cellIs" dxfId="17525" priority="1483" operator="equal">
      <formula>"PMS"</formula>
    </cfRule>
    <cfRule type="containsText" dxfId="17524" priority="1484" operator="containsText" text="CMS">
      <formula>NOT(ISERROR(SEARCH("CMS",AB58)))</formula>
    </cfRule>
    <cfRule type="cellIs" dxfId="17523" priority="1485" operator="equal">
      <formula>0</formula>
    </cfRule>
    <cfRule type="cellIs" dxfId="17522" priority="1486" operator="greaterThan">
      <formula>0</formula>
    </cfRule>
  </conditionalFormatting>
  <conditionalFormatting sqref="AB78">
    <cfRule type="cellIs" dxfId="17521" priority="1479" operator="equal">
      <formula>"PMS"</formula>
    </cfRule>
    <cfRule type="containsText" dxfId="17520" priority="1480" operator="containsText" text="CMS">
      <formula>NOT(ISERROR(SEARCH("CMS",AB78)))</formula>
    </cfRule>
    <cfRule type="cellIs" dxfId="17519" priority="1481" operator="equal">
      <formula>0</formula>
    </cfRule>
    <cfRule type="cellIs" dxfId="17518" priority="1482" operator="greaterThan">
      <formula>0</formula>
    </cfRule>
  </conditionalFormatting>
  <conditionalFormatting sqref="AB78">
    <cfRule type="cellIs" dxfId="17517" priority="1475" operator="equal">
      <formula>"PMS"</formula>
    </cfRule>
    <cfRule type="containsText" dxfId="17516" priority="1476" operator="containsText" text="CMS">
      <formula>NOT(ISERROR(SEARCH("CMS",AB78)))</formula>
    </cfRule>
    <cfRule type="cellIs" dxfId="17515" priority="1477" operator="equal">
      <formula>0</formula>
    </cfRule>
    <cfRule type="cellIs" dxfId="17514" priority="1478" operator="greaterThan">
      <formula>0</formula>
    </cfRule>
  </conditionalFormatting>
  <conditionalFormatting sqref="O44:O49">
    <cfRule type="cellIs" dxfId="17513" priority="1471" operator="equal">
      <formula>"PMS"</formula>
    </cfRule>
    <cfRule type="containsText" dxfId="17512" priority="1472" operator="containsText" text="CMS">
      <formula>NOT(ISERROR(SEARCH("CMS",O44)))</formula>
    </cfRule>
    <cfRule type="cellIs" dxfId="17511" priority="1473" operator="equal">
      <formula>0</formula>
    </cfRule>
    <cfRule type="cellIs" dxfId="17510" priority="1474" operator="greaterThan">
      <formula>0</formula>
    </cfRule>
  </conditionalFormatting>
  <conditionalFormatting sqref="P56 O54:O56">
    <cfRule type="cellIs" dxfId="17509" priority="1467" operator="equal">
      <formula>"PMS"</formula>
    </cfRule>
    <cfRule type="containsText" dxfId="17508" priority="1468" operator="containsText" text="CMS">
      <formula>NOT(ISERROR(SEARCH("CMS",O54)))</formula>
    </cfRule>
    <cfRule type="cellIs" dxfId="17507" priority="1469" operator="equal">
      <formula>0</formula>
    </cfRule>
    <cfRule type="cellIs" dxfId="17506" priority="1470" operator="greaterThan">
      <formula>0</formula>
    </cfRule>
  </conditionalFormatting>
  <conditionalFormatting sqref="O49">
    <cfRule type="cellIs" dxfId="17505" priority="1463" operator="equal">
      <formula>"PMS"</formula>
    </cfRule>
    <cfRule type="containsText" dxfId="17504" priority="1464" operator="containsText" text="CMS">
      <formula>NOT(ISERROR(SEARCH("CMS",O49)))</formula>
    </cfRule>
    <cfRule type="cellIs" dxfId="17503" priority="1465" operator="equal">
      <formula>0</formula>
    </cfRule>
    <cfRule type="cellIs" dxfId="17502" priority="1466" operator="greaterThan">
      <formula>0</formula>
    </cfRule>
  </conditionalFormatting>
  <conditionalFormatting sqref="P56 O54:O57">
    <cfRule type="cellIs" dxfId="17501" priority="1459" operator="equal">
      <formula>"PMS"</formula>
    </cfRule>
    <cfRule type="containsText" dxfId="17500" priority="1460" operator="containsText" text="CMS">
      <formula>NOT(ISERROR(SEARCH("CMS",O54)))</formula>
    </cfRule>
    <cfRule type="cellIs" dxfId="17499" priority="1461" operator="equal">
      <formula>0</formula>
    </cfRule>
    <cfRule type="cellIs" dxfId="17498" priority="1462" operator="greaterThan">
      <formula>0</formula>
    </cfRule>
  </conditionalFormatting>
  <conditionalFormatting sqref="Q24:V24">
    <cfRule type="cellIs" dxfId="17497" priority="1455" operator="equal">
      <formula>"PMS"</formula>
    </cfRule>
    <cfRule type="containsText" dxfId="17496" priority="1456" operator="containsText" text="CMS">
      <formula>NOT(ISERROR(SEARCH("CMS",Q24)))</formula>
    </cfRule>
    <cfRule type="cellIs" dxfId="17495" priority="1457" operator="equal">
      <formula>0</formula>
    </cfRule>
    <cfRule type="cellIs" dxfId="17494" priority="1458" operator="greaterThan">
      <formula>0</formula>
    </cfRule>
  </conditionalFormatting>
  <conditionalFormatting sqref="Q24:V24">
    <cfRule type="cellIs" dxfId="17493" priority="1451" operator="equal">
      <formula>"PMS"</formula>
    </cfRule>
    <cfRule type="containsText" dxfId="17492" priority="1452" operator="containsText" text="CMS">
      <formula>NOT(ISERROR(SEARCH("CMS",Q24)))</formula>
    </cfRule>
    <cfRule type="cellIs" dxfId="17491" priority="1453" operator="equal">
      <formula>0</formula>
    </cfRule>
    <cfRule type="cellIs" dxfId="17490" priority="1454" operator="greaterThan">
      <formula>0</formula>
    </cfRule>
  </conditionalFormatting>
  <conditionalFormatting sqref="Q27:V28">
    <cfRule type="cellIs" dxfId="17489" priority="1447" operator="equal">
      <formula>"PMS"</formula>
    </cfRule>
    <cfRule type="containsText" dxfId="17488" priority="1448" operator="containsText" text="CMS">
      <formula>NOT(ISERROR(SEARCH("CMS",Q27)))</formula>
    </cfRule>
    <cfRule type="cellIs" dxfId="17487" priority="1449" operator="equal">
      <formula>0</formula>
    </cfRule>
    <cfRule type="cellIs" dxfId="17486" priority="1450" operator="greaterThan">
      <formula>0</formula>
    </cfRule>
  </conditionalFormatting>
  <conditionalFormatting sqref="Q27:V28">
    <cfRule type="cellIs" dxfId="17485" priority="1443" operator="equal">
      <formula>"PMS"</formula>
    </cfRule>
    <cfRule type="containsText" dxfId="17484" priority="1444" operator="containsText" text="CMS">
      <formula>NOT(ISERROR(SEARCH("CMS",Q27)))</formula>
    </cfRule>
    <cfRule type="cellIs" dxfId="17483" priority="1445" operator="equal">
      <formula>0</formula>
    </cfRule>
    <cfRule type="cellIs" dxfId="17482" priority="1446" operator="greaterThan">
      <formula>0</formula>
    </cfRule>
  </conditionalFormatting>
  <conditionalFormatting sqref="R27:V28">
    <cfRule type="cellIs" dxfId="17481" priority="1439" operator="equal">
      <formula>"PMS"</formula>
    </cfRule>
    <cfRule type="containsText" dxfId="17480" priority="1440" operator="containsText" text="CMS">
      <formula>NOT(ISERROR(SEARCH("CMS",R27)))</formula>
    </cfRule>
    <cfRule type="cellIs" dxfId="17479" priority="1441" operator="equal">
      <formula>0</formula>
    </cfRule>
    <cfRule type="cellIs" dxfId="17478" priority="1442" operator="greaterThan">
      <formula>0</formula>
    </cfRule>
  </conditionalFormatting>
  <conditionalFormatting sqref="R27:V28">
    <cfRule type="cellIs" dxfId="17477" priority="1435" operator="equal">
      <formula>"PMS"</formula>
    </cfRule>
    <cfRule type="containsText" dxfId="17476" priority="1436" operator="containsText" text="CMS">
      <formula>NOT(ISERROR(SEARCH("CMS",R27)))</formula>
    </cfRule>
    <cfRule type="cellIs" dxfId="17475" priority="1437" operator="equal">
      <formula>0</formula>
    </cfRule>
    <cfRule type="cellIs" dxfId="17474" priority="1438" operator="greaterThan">
      <formula>0</formula>
    </cfRule>
  </conditionalFormatting>
  <conditionalFormatting sqref="P56 O54:O56">
    <cfRule type="cellIs" dxfId="17473" priority="1431" operator="equal">
      <formula>"PMS"</formula>
    </cfRule>
    <cfRule type="containsText" dxfId="17472" priority="1432" operator="containsText" text="CMS">
      <formula>NOT(ISERROR(SEARCH("CMS",O54)))</formula>
    </cfRule>
    <cfRule type="cellIs" dxfId="17471" priority="1433" operator="equal">
      <formula>0</formula>
    </cfRule>
    <cfRule type="cellIs" dxfId="17470" priority="1434" operator="greaterThan">
      <formula>0</formula>
    </cfRule>
  </conditionalFormatting>
  <conditionalFormatting sqref="O44:O45">
    <cfRule type="cellIs" dxfId="17469" priority="1427" operator="equal">
      <formula>"PMS"</formula>
    </cfRule>
    <cfRule type="containsText" dxfId="17468" priority="1428" operator="containsText" text="CMS">
      <formula>NOT(ISERROR(SEARCH("CMS",O44)))</formula>
    </cfRule>
    <cfRule type="cellIs" dxfId="17467" priority="1429" operator="equal">
      <formula>0</formula>
    </cfRule>
    <cfRule type="cellIs" dxfId="17466" priority="1430" operator="greaterThan">
      <formula>0</formula>
    </cfRule>
  </conditionalFormatting>
  <conditionalFormatting sqref="O44:O45">
    <cfRule type="cellIs" dxfId="17465" priority="1423" operator="equal">
      <formula>"PMS"</formula>
    </cfRule>
    <cfRule type="containsText" dxfId="17464" priority="1424" operator="containsText" text="CMS">
      <formula>NOT(ISERROR(SEARCH("CMS",O44)))</formula>
    </cfRule>
    <cfRule type="cellIs" dxfId="17463" priority="1425" operator="equal">
      <formula>0</formula>
    </cfRule>
    <cfRule type="cellIs" dxfId="17462" priority="1426" operator="greaterThan">
      <formula>0</formula>
    </cfRule>
  </conditionalFormatting>
  <conditionalFormatting sqref="O44:O45">
    <cfRule type="cellIs" dxfId="17461" priority="1419" operator="equal">
      <formula>"PMS"</formula>
    </cfRule>
    <cfRule type="containsText" dxfId="17460" priority="1420" operator="containsText" text="CMS">
      <formula>NOT(ISERROR(SEARCH("CMS",O44)))</formula>
    </cfRule>
    <cfRule type="cellIs" dxfId="17459" priority="1421" operator="equal">
      <formula>0</formula>
    </cfRule>
    <cfRule type="cellIs" dxfId="17458" priority="1422" operator="greaterThan">
      <formula>0</formula>
    </cfRule>
  </conditionalFormatting>
  <conditionalFormatting sqref="O46">
    <cfRule type="cellIs" dxfId="17457" priority="1415" operator="equal">
      <formula>"PMS"</formula>
    </cfRule>
    <cfRule type="containsText" dxfId="17456" priority="1416" operator="containsText" text="CMS">
      <formula>NOT(ISERROR(SEARCH("CMS",O46)))</formula>
    </cfRule>
    <cfRule type="cellIs" dxfId="17455" priority="1417" operator="equal">
      <formula>0</formula>
    </cfRule>
    <cfRule type="cellIs" dxfId="17454" priority="1418" operator="greaterThan">
      <formula>0</formula>
    </cfRule>
  </conditionalFormatting>
  <conditionalFormatting sqref="O46">
    <cfRule type="cellIs" dxfId="17453" priority="1411" operator="equal">
      <formula>"PMS"</formula>
    </cfRule>
    <cfRule type="containsText" dxfId="17452" priority="1412" operator="containsText" text="CMS">
      <formula>NOT(ISERROR(SEARCH("CMS",O46)))</formula>
    </cfRule>
    <cfRule type="cellIs" dxfId="17451" priority="1413" operator="equal">
      <formula>0</formula>
    </cfRule>
    <cfRule type="cellIs" dxfId="17450" priority="1414" operator="greaterThan">
      <formula>0</formula>
    </cfRule>
  </conditionalFormatting>
  <conditionalFormatting sqref="O46">
    <cfRule type="cellIs" dxfId="17449" priority="1407" operator="equal">
      <formula>"PMS"</formula>
    </cfRule>
    <cfRule type="containsText" dxfId="17448" priority="1408" operator="containsText" text="CMS">
      <formula>NOT(ISERROR(SEARCH("CMS",O46)))</formula>
    </cfRule>
    <cfRule type="cellIs" dxfId="17447" priority="1409" operator="equal">
      <formula>0</formula>
    </cfRule>
    <cfRule type="cellIs" dxfId="17446" priority="1410" operator="greaterThan">
      <formula>0</formula>
    </cfRule>
  </conditionalFormatting>
  <conditionalFormatting sqref="J19:AC19">
    <cfRule type="cellIs" dxfId="17445" priority="1403" operator="equal">
      <formula>"CMS"</formula>
    </cfRule>
    <cfRule type="cellIs" dxfId="17444" priority="1404" operator="equal">
      <formula>"PMS"</formula>
    </cfRule>
    <cfRule type="cellIs" dxfId="17443" priority="1405" operator="greaterThan">
      <formula>0</formula>
    </cfRule>
    <cfRule type="cellIs" dxfId="17442" priority="1406" operator="equal">
      <formula>0</formula>
    </cfRule>
  </conditionalFormatting>
  <conditionalFormatting sqref="G62:G63">
    <cfRule type="cellIs" dxfId="17441" priority="1399" operator="equal">
      <formula>"CMS"</formula>
    </cfRule>
    <cfRule type="cellIs" dxfId="17440" priority="1400" operator="equal">
      <formula>"PMS"</formula>
    </cfRule>
    <cfRule type="cellIs" dxfId="17439" priority="1401" operator="greaterThan">
      <formula>0</formula>
    </cfRule>
    <cfRule type="cellIs" dxfId="17438" priority="1402" operator="equal">
      <formula>0</formula>
    </cfRule>
  </conditionalFormatting>
  <conditionalFormatting sqref="G77">
    <cfRule type="cellIs" dxfId="17437" priority="1394" operator="equal">
      <formula>"EOC"</formula>
    </cfRule>
    <cfRule type="cellIs" dxfId="17436" priority="1395" operator="equal">
      <formula>"CMS"</formula>
    </cfRule>
    <cfRule type="cellIs" dxfId="17435" priority="1396" operator="equal">
      <formula>"PMS"</formula>
    </cfRule>
    <cfRule type="cellIs" dxfId="17434" priority="1397" operator="greaterThan">
      <formula>0</formula>
    </cfRule>
    <cfRule type="cellIs" dxfId="17433" priority="1398" operator="equal">
      <formula>0</formula>
    </cfRule>
  </conditionalFormatting>
  <conditionalFormatting sqref="F109">
    <cfRule type="cellIs" dxfId="17432" priority="1393" operator="greaterThan">
      <formula>60.3</formula>
    </cfRule>
  </conditionalFormatting>
  <conditionalFormatting sqref="G36:G44 G50 G47">
    <cfRule type="cellIs" dxfId="17431" priority="1385" operator="equal">
      <formula>"PMS"</formula>
    </cfRule>
    <cfRule type="containsText" dxfId="17430" priority="1386" operator="containsText" text="CMS">
      <formula>NOT(ISERROR(SEARCH("CMS",G36)))</formula>
    </cfRule>
    <cfRule type="cellIs" dxfId="17429" priority="1387" operator="equal">
      <formula>0</formula>
    </cfRule>
    <cfRule type="cellIs" dxfId="17428" priority="1388" operator="greaterThan">
      <formula>0</formula>
    </cfRule>
    <cfRule type="cellIs" dxfId="17427" priority="1389" operator="equal">
      <formula>"PMS"</formula>
    </cfRule>
    <cfRule type="containsText" dxfId="17426" priority="1390" operator="containsText" text="CMS">
      <formula>NOT(ISERROR(SEARCH("CMS",G36)))</formula>
    </cfRule>
    <cfRule type="cellIs" dxfId="17425" priority="1391" operator="equal">
      <formula>0</formula>
    </cfRule>
    <cfRule type="cellIs" dxfId="17424" priority="1392" operator="greaterThan">
      <formula>0</formula>
    </cfRule>
  </conditionalFormatting>
  <conditionalFormatting sqref="G36:G44 G50 G47">
    <cfRule type="cellIs" dxfId="17423" priority="1381" operator="equal">
      <formula>"PMS"</formula>
    </cfRule>
    <cfRule type="containsText" dxfId="17422" priority="1382" operator="containsText" text="CMS">
      <formula>NOT(ISERROR(SEARCH("CMS",G36)))</formula>
    </cfRule>
    <cfRule type="cellIs" dxfId="17421" priority="1383" operator="equal">
      <formula>0</formula>
    </cfRule>
    <cfRule type="cellIs" dxfId="17420" priority="1384" operator="greaterThan">
      <formula>0</formula>
    </cfRule>
  </conditionalFormatting>
  <conditionalFormatting sqref="G36:G44 G50 G47">
    <cfRule type="cellIs" dxfId="17419" priority="1377" operator="equal">
      <formula>"PMS"</formula>
    </cfRule>
    <cfRule type="containsText" dxfId="17418" priority="1378" operator="containsText" text="CMS">
      <formula>NOT(ISERROR(SEARCH("CMS",G36)))</formula>
    </cfRule>
    <cfRule type="cellIs" dxfId="17417" priority="1379" operator="equal">
      <formula>0</formula>
    </cfRule>
    <cfRule type="cellIs" dxfId="17416" priority="1380" operator="greaterThan">
      <formula>0</formula>
    </cfRule>
  </conditionalFormatting>
  <conditionalFormatting sqref="I36:I39">
    <cfRule type="cellIs" dxfId="17415" priority="1369" operator="equal">
      <formula>"PMS"</formula>
    </cfRule>
    <cfRule type="containsText" dxfId="17414" priority="1370" operator="containsText" text="CMS">
      <formula>NOT(ISERROR(SEARCH("CMS",I36)))</formula>
    </cfRule>
    <cfRule type="cellIs" dxfId="17413" priority="1371" operator="equal">
      <formula>0</formula>
    </cfRule>
    <cfRule type="cellIs" dxfId="17412" priority="1372" operator="greaterThan">
      <formula>0</formula>
    </cfRule>
    <cfRule type="cellIs" dxfId="17411" priority="1373" operator="equal">
      <formula>"PMS"</formula>
    </cfRule>
    <cfRule type="containsText" dxfId="17410" priority="1374" operator="containsText" text="CMS">
      <formula>NOT(ISERROR(SEARCH("CMS",I36)))</formula>
    </cfRule>
    <cfRule type="cellIs" dxfId="17409" priority="1375" operator="equal">
      <formula>0</formula>
    </cfRule>
    <cfRule type="cellIs" dxfId="17408" priority="1376" operator="greaterThan">
      <formula>0</formula>
    </cfRule>
  </conditionalFormatting>
  <conditionalFormatting sqref="I36:I39">
    <cfRule type="cellIs" dxfId="17407" priority="1365" operator="equal">
      <formula>"PMS"</formula>
    </cfRule>
    <cfRule type="containsText" dxfId="17406" priority="1366" operator="containsText" text="CMS">
      <formula>NOT(ISERROR(SEARCH("CMS",I36)))</formula>
    </cfRule>
    <cfRule type="cellIs" dxfId="17405" priority="1367" operator="equal">
      <formula>0</formula>
    </cfRule>
    <cfRule type="cellIs" dxfId="17404" priority="1368" operator="greaterThan">
      <formula>0</formula>
    </cfRule>
  </conditionalFormatting>
  <conditionalFormatting sqref="I36:I39">
    <cfRule type="cellIs" dxfId="17403" priority="1361" operator="equal">
      <formula>"PMS"</formula>
    </cfRule>
    <cfRule type="containsText" dxfId="17402" priority="1362" operator="containsText" text="CMS">
      <formula>NOT(ISERROR(SEARCH("CMS",I36)))</formula>
    </cfRule>
    <cfRule type="cellIs" dxfId="17401" priority="1363" operator="equal">
      <formula>0</formula>
    </cfRule>
    <cfRule type="cellIs" dxfId="17400" priority="1364" operator="greaterThan">
      <formula>0</formula>
    </cfRule>
  </conditionalFormatting>
  <conditionalFormatting sqref="O49">
    <cfRule type="cellIs" dxfId="17399" priority="1357" operator="equal">
      <formula>"PMS"</formula>
    </cfRule>
    <cfRule type="containsText" dxfId="17398" priority="1358" operator="containsText" text="CMS">
      <formula>NOT(ISERROR(SEARCH("CMS",O49)))</formula>
    </cfRule>
    <cfRule type="cellIs" dxfId="17397" priority="1359" operator="equal">
      <formula>0</formula>
    </cfRule>
    <cfRule type="cellIs" dxfId="17396" priority="1360" operator="greaterThan">
      <formula>0</formula>
    </cfRule>
  </conditionalFormatting>
  <conditionalFormatting sqref="P56 O54:O56">
    <cfRule type="cellIs" dxfId="17395" priority="1353" operator="equal">
      <formula>"PMS"</formula>
    </cfRule>
    <cfRule type="containsText" dxfId="17394" priority="1354" operator="containsText" text="CMS">
      <formula>NOT(ISERROR(SEARCH("CMS",O54)))</formula>
    </cfRule>
    <cfRule type="cellIs" dxfId="17393" priority="1355" operator="equal">
      <formula>0</formula>
    </cfRule>
    <cfRule type="cellIs" dxfId="17392" priority="1356" operator="greaterThan">
      <formula>0</formula>
    </cfRule>
  </conditionalFormatting>
  <conditionalFormatting sqref="O57:P57">
    <cfRule type="cellIs" dxfId="17391" priority="1349" operator="equal">
      <formula>"PMS"</formula>
    </cfRule>
    <cfRule type="containsText" dxfId="17390" priority="1350" operator="containsText" text="CMS">
      <formula>NOT(ISERROR(SEARCH("CMS",O57)))</formula>
    </cfRule>
    <cfRule type="cellIs" dxfId="17389" priority="1351" operator="equal">
      <formula>0</formula>
    </cfRule>
    <cfRule type="cellIs" dxfId="17388" priority="1352" operator="greaterThan">
      <formula>0</formula>
    </cfRule>
  </conditionalFormatting>
  <conditionalFormatting sqref="O49">
    <cfRule type="cellIs" dxfId="17387" priority="1345" operator="equal">
      <formula>"PMS"</formula>
    </cfRule>
    <cfRule type="containsText" dxfId="17386" priority="1346" operator="containsText" text="CMS">
      <formula>NOT(ISERROR(SEARCH("CMS",O49)))</formula>
    </cfRule>
    <cfRule type="cellIs" dxfId="17385" priority="1347" operator="equal">
      <formula>0</formula>
    </cfRule>
    <cfRule type="cellIs" dxfId="17384" priority="1348" operator="greaterThan">
      <formula>0</formula>
    </cfRule>
  </conditionalFormatting>
  <conditionalFormatting sqref="P56 O54:O57">
    <cfRule type="cellIs" dxfId="17383" priority="1341" operator="equal">
      <formula>"PMS"</formula>
    </cfRule>
    <cfRule type="containsText" dxfId="17382" priority="1342" operator="containsText" text="CMS">
      <formula>NOT(ISERROR(SEARCH("CMS",O54)))</formula>
    </cfRule>
    <cfRule type="cellIs" dxfId="17381" priority="1343" operator="equal">
      <formula>0</formula>
    </cfRule>
    <cfRule type="cellIs" dxfId="17380" priority="1344" operator="greaterThan">
      <formula>0</formula>
    </cfRule>
  </conditionalFormatting>
  <conditionalFormatting sqref="O49">
    <cfRule type="cellIs" dxfId="17379" priority="1337" operator="equal">
      <formula>"PMS"</formula>
    </cfRule>
    <cfRule type="containsText" dxfId="17378" priority="1338" operator="containsText" text="CMS">
      <formula>NOT(ISERROR(SEARCH("CMS",O49)))</formula>
    </cfRule>
    <cfRule type="cellIs" dxfId="17377" priority="1339" operator="equal">
      <formula>0</formula>
    </cfRule>
    <cfRule type="cellIs" dxfId="17376" priority="1340" operator="greaterThan">
      <formula>0</formula>
    </cfRule>
  </conditionalFormatting>
  <conditionalFormatting sqref="P56 O54:O57">
    <cfRule type="cellIs" dxfId="17375" priority="1333" operator="equal">
      <formula>"PMS"</formula>
    </cfRule>
    <cfRule type="containsText" dxfId="17374" priority="1334" operator="containsText" text="CMS">
      <formula>NOT(ISERROR(SEARCH("CMS",O54)))</formula>
    </cfRule>
    <cfRule type="cellIs" dxfId="17373" priority="1335" operator="equal">
      <formula>0</formula>
    </cfRule>
    <cfRule type="cellIs" dxfId="17372" priority="1336" operator="greaterThan">
      <formula>0</formula>
    </cfRule>
  </conditionalFormatting>
  <conditionalFormatting sqref="W14:W16">
    <cfRule type="cellIs" dxfId="17371" priority="1329" operator="equal">
      <formula>"PMS"</formula>
    </cfRule>
    <cfRule type="containsText" dxfId="17370" priority="1330" operator="containsText" text="CMS">
      <formula>NOT(ISERROR(SEARCH("CMS",W14)))</formula>
    </cfRule>
    <cfRule type="cellIs" dxfId="17369" priority="1331" operator="equal">
      <formula>0</formula>
    </cfRule>
    <cfRule type="cellIs" dxfId="17368" priority="1332" operator="greaterThan">
      <formula>0</formula>
    </cfRule>
  </conditionalFormatting>
  <conditionalFormatting sqref="W14:W16">
    <cfRule type="cellIs" dxfId="17367" priority="1325" operator="equal">
      <formula>"PMS"</formula>
    </cfRule>
    <cfRule type="containsText" dxfId="17366" priority="1326" operator="containsText" text="CMS">
      <formula>NOT(ISERROR(SEARCH("CMS",W14)))</formula>
    </cfRule>
    <cfRule type="cellIs" dxfId="17365" priority="1327" operator="equal">
      <formula>0</formula>
    </cfRule>
    <cfRule type="cellIs" dxfId="17364" priority="1328" operator="greaterThan">
      <formula>0</formula>
    </cfRule>
  </conditionalFormatting>
  <conditionalFormatting sqref="X16">
    <cfRule type="cellIs" dxfId="17363" priority="1321" operator="equal">
      <formula>"PMS"</formula>
    </cfRule>
    <cfRule type="containsText" dxfId="17362" priority="1322" operator="containsText" text="CMS">
      <formula>NOT(ISERROR(SEARCH("CMS",X16)))</formula>
    </cfRule>
    <cfRule type="cellIs" dxfId="17361" priority="1323" operator="equal">
      <formula>0</formula>
    </cfRule>
    <cfRule type="cellIs" dxfId="17360" priority="1324" operator="greaterThan">
      <formula>0</formula>
    </cfRule>
  </conditionalFormatting>
  <conditionalFormatting sqref="X16">
    <cfRule type="cellIs" dxfId="17359" priority="1317" operator="equal">
      <formula>"PMS"</formula>
    </cfRule>
    <cfRule type="containsText" dxfId="17358" priority="1318" operator="containsText" text="CMS">
      <formula>NOT(ISERROR(SEARCH("CMS",X16)))</formula>
    </cfRule>
    <cfRule type="cellIs" dxfId="17357" priority="1319" operator="equal">
      <formula>0</formula>
    </cfRule>
    <cfRule type="cellIs" dxfId="17356" priority="1320" operator="greaterThan">
      <formula>0</formula>
    </cfRule>
  </conditionalFormatting>
  <conditionalFormatting sqref="O49">
    <cfRule type="cellIs" dxfId="17355" priority="1313" operator="equal">
      <formula>"PMS"</formula>
    </cfRule>
    <cfRule type="containsText" dxfId="17354" priority="1314" operator="containsText" text="CMS">
      <formula>NOT(ISERROR(SEARCH("CMS",O49)))</formula>
    </cfRule>
    <cfRule type="cellIs" dxfId="17353" priority="1315" operator="equal">
      <formula>0</formula>
    </cfRule>
    <cfRule type="cellIs" dxfId="17352" priority="1316" operator="greaterThan">
      <formula>0</formula>
    </cfRule>
  </conditionalFormatting>
  <conditionalFormatting sqref="O56:P56">
    <cfRule type="cellIs" dxfId="17351" priority="1309" operator="equal">
      <formula>"PMS"</formula>
    </cfRule>
    <cfRule type="containsText" dxfId="17350" priority="1310" operator="containsText" text="CMS">
      <formula>NOT(ISERROR(SEARCH("CMS",O56)))</formula>
    </cfRule>
    <cfRule type="cellIs" dxfId="17349" priority="1311" operator="equal">
      <formula>0</formula>
    </cfRule>
    <cfRule type="cellIs" dxfId="17348" priority="1312" operator="greaterThan">
      <formula>0</formula>
    </cfRule>
  </conditionalFormatting>
  <conditionalFormatting sqref="Z14">
    <cfRule type="cellIs" dxfId="17347" priority="1305" operator="equal">
      <formula>"PMS"</formula>
    </cfRule>
    <cfRule type="containsText" dxfId="17346" priority="1306" operator="containsText" text="CMS">
      <formula>NOT(ISERROR(SEARCH("CMS",Z14)))</formula>
    </cfRule>
    <cfRule type="cellIs" dxfId="17345" priority="1307" operator="equal">
      <formula>0</formula>
    </cfRule>
    <cfRule type="cellIs" dxfId="17344" priority="1308" operator="greaterThan">
      <formula>0</formula>
    </cfRule>
  </conditionalFormatting>
  <conditionalFormatting sqref="Z14">
    <cfRule type="cellIs" dxfId="17343" priority="1301" operator="equal">
      <formula>"PMS"</formula>
    </cfRule>
    <cfRule type="containsText" dxfId="17342" priority="1302" operator="containsText" text="CMS">
      <formula>NOT(ISERROR(SEARCH("CMS",Z14)))</formula>
    </cfRule>
    <cfRule type="cellIs" dxfId="17341" priority="1303" operator="equal">
      <formula>0</formula>
    </cfRule>
    <cfRule type="cellIs" dxfId="17340" priority="1304" operator="greaterThan">
      <formula>0</formula>
    </cfRule>
  </conditionalFormatting>
  <conditionalFormatting sqref="Z15">
    <cfRule type="cellIs" dxfId="17339" priority="1297" operator="equal">
      <formula>"PMS"</formula>
    </cfRule>
    <cfRule type="containsText" dxfId="17338" priority="1298" operator="containsText" text="CMS">
      <formula>NOT(ISERROR(SEARCH("CMS",Z15)))</formula>
    </cfRule>
    <cfRule type="cellIs" dxfId="17337" priority="1299" operator="equal">
      <formula>0</formula>
    </cfRule>
    <cfRule type="cellIs" dxfId="17336" priority="1300" operator="greaterThan">
      <formula>0</formula>
    </cfRule>
  </conditionalFormatting>
  <conditionalFormatting sqref="Z15">
    <cfRule type="cellIs" dxfId="17335" priority="1293" operator="equal">
      <formula>"PMS"</formula>
    </cfRule>
    <cfRule type="containsText" dxfId="17334" priority="1294" operator="containsText" text="CMS">
      <formula>NOT(ISERROR(SEARCH("CMS",Z15)))</formula>
    </cfRule>
    <cfRule type="cellIs" dxfId="17333" priority="1295" operator="equal">
      <formula>0</formula>
    </cfRule>
    <cfRule type="cellIs" dxfId="17332" priority="1296" operator="greaterThan">
      <formula>0</formula>
    </cfRule>
  </conditionalFormatting>
  <conditionalFormatting sqref="Z16">
    <cfRule type="cellIs" dxfId="17331" priority="1289" operator="equal">
      <formula>"PMS"</formula>
    </cfRule>
    <cfRule type="containsText" dxfId="17330" priority="1290" operator="containsText" text="CMS">
      <formula>NOT(ISERROR(SEARCH("CMS",Z16)))</formula>
    </cfRule>
    <cfRule type="cellIs" dxfId="17329" priority="1291" operator="equal">
      <formula>0</formula>
    </cfRule>
    <cfRule type="cellIs" dxfId="17328" priority="1292" operator="greaterThan">
      <formula>0</formula>
    </cfRule>
  </conditionalFormatting>
  <conditionalFormatting sqref="Z16">
    <cfRule type="cellIs" dxfId="17327" priority="1285" operator="equal">
      <formula>"PMS"</formula>
    </cfRule>
    <cfRule type="containsText" dxfId="17326" priority="1286" operator="containsText" text="CMS">
      <formula>NOT(ISERROR(SEARCH("CMS",Z16)))</formula>
    </cfRule>
    <cfRule type="cellIs" dxfId="17325" priority="1287" operator="equal">
      <formula>0</formula>
    </cfRule>
    <cfRule type="cellIs" dxfId="17324" priority="1288" operator="greaterThan">
      <formula>0</formula>
    </cfRule>
  </conditionalFormatting>
  <conditionalFormatting sqref="AA13:AA16">
    <cfRule type="cellIs" dxfId="17323" priority="1281" operator="equal">
      <formula>"PMS"</formula>
    </cfRule>
    <cfRule type="containsText" dxfId="17322" priority="1282" operator="containsText" text="CMS">
      <formula>NOT(ISERROR(SEARCH("CMS",AA13)))</formula>
    </cfRule>
    <cfRule type="cellIs" dxfId="17321" priority="1283" operator="equal">
      <formula>0</formula>
    </cfRule>
    <cfRule type="cellIs" dxfId="17320" priority="1284" operator="greaterThan">
      <formula>0</formula>
    </cfRule>
  </conditionalFormatting>
  <conditionalFormatting sqref="AA13:AA16">
    <cfRule type="cellIs" dxfId="17319" priority="1277" operator="equal">
      <formula>"PMS"</formula>
    </cfRule>
    <cfRule type="containsText" dxfId="17318" priority="1278" operator="containsText" text="CMS">
      <formula>NOT(ISERROR(SEARCH("CMS",AA13)))</formula>
    </cfRule>
    <cfRule type="cellIs" dxfId="17317" priority="1279" operator="equal">
      <formula>0</formula>
    </cfRule>
    <cfRule type="cellIs" dxfId="17316" priority="1280" operator="greaterThan">
      <formula>0</formula>
    </cfRule>
  </conditionalFormatting>
  <conditionalFormatting sqref="Z15:AA15">
    <cfRule type="cellIs" dxfId="17315" priority="1273" operator="equal">
      <formula>"PMS"</formula>
    </cfRule>
    <cfRule type="containsText" dxfId="17314" priority="1274" operator="containsText" text="CMS">
      <formula>NOT(ISERROR(SEARCH("CMS",Z15)))</formula>
    </cfRule>
    <cfRule type="cellIs" dxfId="17313" priority="1275" operator="equal">
      <formula>0</formula>
    </cfRule>
    <cfRule type="cellIs" dxfId="17312" priority="1276" operator="greaterThan">
      <formula>0</formula>
    </cfRule>
  </conditionalFormatting>
  <conditionalFormatting sqref="Z15:AA15">
    <cfRule type="cellIs" dxfId="17311" priority="1269" operator="equal">
      <formula>"PMS"</formula>
    </cfRule>
    <cfRule type="containsText" dxfId="17310" priority="1270" operator="containsText" text="CMS">
      <formula>NOT(ISERROR(SEARCH("CMS",Z15)))</formula>
    </cfRule>
    <cfRule type="cellIs" dxfId="17309" priority="1271" operator="equal">
      <formula>0</formula>
    </cfRule>
    <cfRule type="cellIs" dxfId="17308" priority="1272" operator="greaterThan">
      <formula>0</formula>
    </cfRule>
  </conditionalFormatting>
  <conditionalFormatting sqref="Z16:AA16">
    <cfRule type="cellIs" dxfId="17307" priority="1265" operator="equal">
      <formula>"PMS"</formula>
    </cfRule>
    <cfRule type="containsText" dxfId="17306" priority="1266" operator="containsText" text="CMS">
      <formula>NOT(ISERROR(SEARCH("CMS",Z16)))</formula>
    </cfRule>
    <cfRule type="cellIs" dxfId="17305" priority="1267" operator="equal">
      <formula>0</formula>
    </cfRule>
    <cfRule type="cellIs" dxfId="17304" priority="1268" operator="greaterThan">
      <formula>0</formula>
    </cfRule>
  </conditionalFormatting>
  <conditionalFormatting sqref="Z16:AA16">
    <cfRule type="cellIs" dxfId="17303" priority="1261" operator="equal">
      <formula>"PMS"</formula>
    </cfRule>
    <cfRule type="containsText" dxfId="17302" priority="1262" operator="containsText" text="CMS">
      <formula>NOT(ISERROR(SEARCH("CMS",Z16)))</formula>
    </cfRule>
    <cfRule type="cellIs" dxfId="17301" priority="1263" operator="equal">
      <formula>0</formula>
    </cfRule>
    <cfRule type="cellIs" dxfId="17300" priority="1264" operator="greaterThan">
      <formula>0</formula>
    </cfRule>
  </conditionalFormatting>
  <conditionalFormatting sqref="AA27">
    <cfRule type="cellIs" dxfId="17299" priority="1257" operator="equal">
      <formula>"PMS"</formula>
    </cfRule>
    <cfRule type="containsText" dxfId="17298" priority="1258" operator="containsText" text="CMS">
      <formula>NOT(ISERROR(SEARCH("CMS",AA27)))</formula>
    </cfRule>
    <cfRule type="cellIs" dxfId="17297" priority="1259" operator="equal">
      <formula>0</formula>
    </cfRule>
    <cfRule type="cellIs" dxfId="17296" priority="1260" operator="greaterThan">
      <formula>0</formula>
    </cfRule>
  </conditionalFormatting>
  <conditionalFormatting sqref="AA27">
    <cfRule type="cellIs" dxfId="17295" priority="1253" operator="equal">
      <formula>"PMS"</formula>
    </cfRule>
    <cfRule type="containsText" dxfId="17294" priority="1254" operator="containsText" text="CMS">
      <formula>NOT(ISERROR(SEARCH("CMS",AA27)))</formula>
    </cfRule>
    <cfRule type="cellIs" dxfId="17293" priority="1255" operator="equal">
      <formula>0</formula>
    </cfRule>
    <cfRule type="cellIs" dxfId="17292" priority="1256" operator="greaterThan">
      <formula>0</formula>
    </cfRule>
  </conditionalFormatting>
  <conditionalFormatting sqref="AA28">
    <cfRule type="cellIs" dxfId="17291" priority="1249" operator="equal">
      <formula>"PMS"</formula>
    </cfRule>
    <cfRule type="containsText" dxfId="17290" priority="1250" operator="containsText" text="CMS">
      <formula>NOT(ISERROR(SEARCH("CMS",AA28)))</formula>
    </cfRule>
    <cfRule type="cellIs" dxfId="17289" priority="1251" operator="equal">
      <formula>0</formula>
    </cfRule>
    <cfRule type="cellIs" dxfId="17288" priority="1252" operator="greaterThan">
      <formula>0</formula>
    </cfRule>
  </conditionalFormatting>
  <conditionalFormatting sqref="AA28">
    <cfRule type="cellIs" dxfId="17287" priority="1245" operator="equal">
      <formula>"PMS"</formula>
    </cfRule>
    <cfRule type="containsText" dxfId="17286" priority="1246" operator="containsText" text="CMS">
      <formula>NOT(ISERROR(SEARCH("CMS",AA28)))</formula>
    </cfRule>
    <cfRule type="cellIs" dxfId="17285" priority="1247" operator="equal">
      <formula>0</formula>
    </cfRule>
    <cfRule type="cellIs" dxfId="17284" priority="1248" operator="greaterThan">
      <formula>0</formula>
    </cfRule>
  </conditionalFormatting>
  <conditionalFormatting sqref="AB14">
    <cfRule type="cellIs" dxfId="17283" priority="1241" operator="equal">
      <formula>"PMS"</formula>
    </cfRule>
    <cfRule type="containsText" dxfId="17282" priority="1242" operator="containsText" text="CMS">
      <formula>NOT(ISERROR(SEARCH("CMS",AB14)))</formula>
    </cfRule>
    <cfRule type="cellIs" dxfId="17281" priority="1243" operator="equal">
      <formula>0</formula>
    </cfRule>
    <cfRule type="cellIs" dxfId="17280" priority="1244" operator="greaterThan">
      <formula>0</formula>
    </cfRule>
  </conditionalFormatting>
  <conditionalFormatting sqref="AB14">
    <cfRule type="cellIs" dxfId="17279" priority="1237" operator="equal">
      <formula>"PMS"</formula>
    </cfRule>
    <cfRule type="containsText" dxfId="17278" priority="1238" operator="containsText" text="CMS">
      <formula>NOT(ISERROR(SEARCH("CMS",AB14)))</formula>
    </cfRule>
    <cfRule type="cellIs" dxfId="17277" priority="1239" operator="equal">
      <formula>0</formula>
    </cfRule>
    <cfRule type="cellIs" dxfId="17276" priority="1240" operator="greaterThan">
      <formula>0</formula>
    </cfRule>
  </conditionalFormatting>
  <conditionalFormatting sqref="AB15">
    <cfRule type="cellIs" dxfId="17275" priority="1233" operator="equal">
      <formula>"PMS"</formula>
    </cfRule>
    <cfRule type="containsText" dxfId="17274" priority="1234" operator="containsText" text="CMS">
      <formula>NOT(ISERROR(SEARCH("CMS",AB15)))</formula>
    </cfRule>
    <cfRule type="cellIs" dxfId="17273" priority="1235" operator="equal">
      <formula>0</formula>
    </cfRule>
    <cfRule type="cellIs" dxfId="17272" priority="1236" operator="greaterThan">
      <formula>0</formula>
    </cfRule>
  </conditionalFormatting>
  <conditionalFormatting sqref="AB15">
    <cfRule type="cellIs" dxfId="17271" priority="1229" operator="equal">
      <formula>"PMS"</formula>
    </cfRule>
    <cfRule type="containsText" dxfId="17270" priority="1230" operator="containsText" text="CMS">
      <formula>NOT(ISERROR(SEARCH("CMS",AB15)))</formula>
    </cfRule>
    <cfRule type="cellIs" dxfId="17269" priority="1231" operator="equal">
      <formula>0</formula>
    </cfRule>
    <cfRule type="cellIs" dxfId="17268" priority="1232" operator="greaterThan">
      <formula>0</formula>
    </cfRule>
  </conditionalFormatting>
  <conditionalFormatting sqref="AB16">
    <cfRule type="cellIs" dxfId="17267" priority="1225" operator="equal">
      <formula>"PMS"</formula>
    </cfRule>
    <cfRule type="containsText" dxfId="17266" priority="1226" operator="containsText" text="CMS">
      <formula>NOT(ISERROR(SEARCH("CMS",AB16)))</formula>
    </cfRule>
    <cfRule type="cellIs" dxfId="17265" priority="1227" operator="equal">
      <formula>0</formula>
    </cfRule>
    <cfRule type="cellIs" dxfId="17264" priority="1228" operator="greaterThan">
      <formula>0</formula>
    </cfRule>
  </conditionalFormatting>
  <conditionalFormatting sqref="AB16">
    <cfRule type="cellIs" dxfId="17263" priority="1221" operator="equal">
      <formula>"PMS"</formula>
    </cfRule>
    <cfRule type="containsText" dxfId="17262" priority="1222" operator="containsText" text="CMS">
      <formula>NOT(ISERROR(SEARCH("CMS",AB16)))</formula>
    </cfRule>
    <cfRule type="cellIs" dxfId="17261" priority="1223" operator="equal">
      <formula>0</formula>
    </cfRule>
    <cfRule type="cellIs" dxfId="17260" priority="1224" operator="greaterThan">
      <formula>0</formula>
    </cfRule>
  </conditionalFormatting>
  <conditionalFormatting sqref="W14">
    <cfRule type="cellIs" dxfId="17259" priority="1217" operator="equal">
      <formula>"PMS"</formula>
    </cfRule>
    <cfRule type="containsText" dxfId="17258" priority="1218" operator="containsText" text="CMS">
      <formula>NOT(ISERROR(SEARCH("CMS",W14)))</formula>
    </cfRule>
    <cfRule type="cellIs" dxfId="17257" priority="1219" operator="equal">
      <formula>0</formula>
    </cfRule>
    <cfRule type="cellIs" dxfId="17256" priority="1220" operator="greaterThan">
      <formula>0</formula>
    </cfRule>
  </conditionalFormatting>
  <conditionalFormatting sqref="W14">
    <cfRule type="cellIs" dxfId="17255" priority="1213" operator="equal">
      <formula>"PMS"</formula>
    </cfRule>
    <cfRule type="containsText" dxfId="17254" priority="1214" operator="containsText" text="CMS">
      <formula>NOT(ISERROR(SEARCH("CMS",W14)))</formula>
    </cfRule>
    <cfRule type="cellIs" dxfId="17253" priority="1215" operator="equal">
      <formula>0</formula>
    </cfRule>
    <cfRule type="cellIs" dxfId="17252" priority="1216" operator="greaterThan">
      <formula>0</formula>
    </cfRule>
  </conditionalFormatting>
  <conditionalFormatting sqref="W15">
    <cfRule type="cellIs" dxfId="17251" priority="1209" operator="equal">
      <formula>"PMS"</formula>
    </cfRule>
    <cfRule type="containsText" dxfId="17250" priority="1210" operator="containsText" text="CMS">
      <formula>NOT(ISERROR(SEARCH("CMS",W15)))</formula>
    </cfRule>
    <cfRule type="cellIs" dxfId="17249" priority="1211" operator="equal">
      <formula>0</formula>
    </cfRule>
    <cfRule type="cellIs" dxfId="17248" priority="1212" operator="greaterThan">
      <formula>0</formula>
    </cfRule>
  </conditionalFormatting>
  <conditionalFormatting sqref="W15">
    <cfRule type="cellIs" dxfId="17247" priority="1205" operator="equal">
      <formula>"PMS"</formula>
    </cfRule>
    <cfRule type="containsText" dxfId="17246" priority="1206" operator="containsText" text="CMS">
      <formula>NOT(ISERROR(SEARCH("CMS",W15)))</formula>
    </cfRule>
    <cfRule type="cellIs" dxfId="17245" priority="1207" operator="equal">
      <formula>0</formula>
    </cfRule>
    <cfRule type="cellIs" dxfId="17244" priority="1208" operator="greaterThan">
      <formula>0</formula>
    </cfRule>
  </conditionalFormatting>
  <conditionalFormatting sqref="W16">
    <cfRule type="cellIs" dxfId="17243" priority="1201" operator="equal">
      <formula>"PMS"</formula>
    </cfRule>
    <cfRule type="containsText" dxfId="17242" priority="1202" operator="containsText" text="CMS">
      <formula>NOT(ISERROR(SEARCH("CMS",W16)))</formula>
    </cfRule>
    <cfRule type="cellIs" dxfId="17241" priority="1203" operator="equal">
      <formula>0</formula>
    </cfRule>
    <cfRule type="cellIs" dxfId="17240" priority="1204" operator="greaterThan">
      <formula>0</formula>
    </cfRule>
  </conditionalFormatting>
  <conditionalFormatting sqref="W16">
    <cfRule type="cellIs" dxfId="17239" priority="1197" operator="equal">
      <formula>"PMS"</formula>
    </cfRule>
    <cfRule type="containsText" dxfId="17238" priority="1198" operator="containsText" text="CMS">
      <formula>NOT(ISERROR(SEARCH("CMS",W16)))</formula>
    </cfRule>
    <cfRule type="cellIs" dxfId="17237" priority="1199" operator="equal">
      <formula>0</formula>
    </cfRule>
    <cfRule type="cellIs" dxfId="17236" priority="1200" operator="greaterThan">
      <formula>0</formula>
    </cfRule>
  </conditionalFormatting>
  <conditionalFormatting sqref="G56">
    <cfRule type="cellIs" dxfId="17235" priority="1189" operator="equal">
      <formula>"PMS"</formula>
    </cfRule>
    <cfRule type="containsText" dxfId="17234" priority="1190" operator="containsText" text="CMS">
      <formula>NOT(ISERROR(SEARCH("CMS",G56)))</formula>
    </cfRule>
    <cfRule type="cellIs" dxfId="17233" priority="1191" operator="equal">
      <formula>0</formula>
    </cfRule>
    <cfRule type="cellIs" dxfId="17232" priority="1192" operator="greaterThan">
      <formula>0</formula>
    </cfRule>
    <cfRule type="cellIs" dxfId="17231" priority="1193" operator="equal">
      <formula>"PMS"</formula>
    </cfRule>
    <cfRule type="containsText" dxfId="17230" priority="1194" operator="containsText" text="CMS">
      <formula>NOT(ISERROR(SEARCH("CMS",G56)))</formula>
    </cfRule>
    <cfRule type="cellIs" dxfId="17229" priority="1195" operator="equal">
      <formula>0</formula>
    </cfRule>
    <cfRule type="cellIs" dxfId="17228" priority="1196" operator="greaterThan">
      <formula>0</formula>
    </cfRule>
  </conditionalFormatting>
  <conditionalFormatting sqref="G56">
    <cfRule type="cellIs" dxfId="17227" priority="1185" operator="equal">
      <formula>"PMS"</formula>
    </cfRule>
    <cfRule type="containsText" dxfId="17226" priority="1186" operator="containsText" text="CMS">
      <formula>NOT(ISERROR(SEARCH("CMS",G56)))</formula>
    </cfRule>
    <cfRule type="cellIs" dxfId="17225" priority="1187" operator="equal">
      <formula>0</formula>
    </cfRule>
    <cfRule type="cellIs" dxfId="17224" priority="1188" operator="greaterThan">
      <formula>0</formula>
    </cfRule>
  </conditionalFormatting>
  <conditionalFormatting sqref="G56">
    <cfRule type="cellIs" dxfId="17223" priority="1181" operator="equal">
      <formula>"PMS"</formula>
    </cfRule>
    <cfRule type="containsText" dxfId="17222" priority="1182" operator="containsText" text="CMS">
      <formula>NOT(ISERROR(SEARCH("CMS",G56)))</formula>
    </cfRule>
    <cfRule type="cellIs" dxfId="17221" priority="1183" operator="equal">
      <formula>0</formula>
    </cfRule>
    <cfRule type="cellIs" dxfId="17220" priority="1184" operator="greaterThan">
      <formula>0</formula>
    </cfRule>
  </conditionalFormatting>
  <conditionalFormatting sqref="G13:G14">
    <cfRule type="cellIs" dxfId="17219" priority="1173" operator="equal">
      <formula>"PMS"</formula>
    </cfRule>
    <cfRule type="containsText" dxfId="17218" priority="1174" operator="containsText" text="CMS">
      <formula>NOT(ISERROR(SEARCH("CMS",G13)))</formula>
    </cfRule>
    <cfRule type="cellIs" dxfId="17217" priority="1175" operator="equal">
      <formula>0</formula>
    </cfRule>
    <cfRule type="cellIs" dxfId="17216" priority="1176" operator="greaterThan">
      <formula>0</formula>
    </cfRule>
    <cfRule type="cellIs" dxfId="17215" priority="1177" operator="equal">
      <formula>"PMS"</formula>
    </cfRule>
    <cfRule type="containsText" dxfId="17214" priority="1178" operator="containsText" text="CMS">
      <formula>NOT(ISERROR(SEARCH("CMS",G13)))</formula>
    </cfRule>
    <cfRule type="cellIs" dxfId="17213" priority="1179" operator="equal">
      <formula>0</formula>
    </cfRule>
    <cfRule type="cellIs" dxfId="17212" priority="1180" operator="greaterThan">
      <formula>0</formula>
    </cfRule>
  </conditionalFormatting>
  <conditionalFormatting sqref="G13:G14">
    <cfRule type="cellIs" dxfId="17211" priority="1169" operator="equal">
      <formula>"PMS"</formula>
    </cfRule>
    <cfRule type="containsText" dxfId="17210" priority="1170" operator="containsText" text="CMS">
      <formula>NOT(ISERROR(SEARCH("CMS",G13)))</formula>
    </cfRule>
    <cfRule type="cellIs" dxfId="17209" priority="1171" operator="equal">
      <formula>0</formula>
    </cfRule>
    <cfRule type="cellIs" dxfId="17208" priority="1172" operator="greaterThan">
      <formula>0</formula>
    </cfRule>
  </conditionalFormatting>
  <conditionalFormatting sqref="G13:G14">
    <cfRule type="cellIs" dxfId="17207" priority="1165" operator="equal">
      <formula>"PMS"</formula>
    </cfRule>
    <cfRule type="containsText" dxfId="17206" priority="1166" operator="containsText" text="CMS">
      <formula>NOT(ISERROR(SEARCH("CMS",G13)))</formula>
    </cfRule>
    <cfRule type="cellIs" dxfId="17205" priority="1167" operator="equal">
      <formula>0</formula>
    </cfRule>
    <cfRule type="cellIs" dxfId="17204" priority="1168" operator="greaterThan">
      <formula>0</formula>
    </cfRule>
  </conditionalFormatting>
  <conditionalFormatting sqref="G13:G14">
    <cfRule type="cellIs" dxfId="17203" priority="1161" operator="equal">
      <formula>"PMS"</formula>
    </cfRule>
    <cfRule type="containsText" dxfId="17202" priority="1162" operator="containsText" text="CMS">
      <formula>NOT(ISERROR(SEARCH("CMS",G13)))</formula>
    </cfRule>
    <cfRule type="cellIs" dxfId="17201" priority="1163" operator="equal">
      <formula>0</formula>
    </cfRule>
    <cfRule type="cellIs" dxfId="17200" priority="1164" operator="greaterThan">
      <formula>0</formula>
    </cfRule>
  </conditionalFormatting>
  <conditionalFormatting sqref="G13:G14">
    <cfRule type="cellIs" dxfId="17199" priority="1157" operator="equal">
      <formula>"PMS"</formula>
    </cfRule>
    <cfRule type="containsText" dxfId="17198" priority="1158" operator="containsText" text="CMS">
      <formula>NOT(ISERROR(SEARCH("CMS",G13)))</formula>
    </cfRule>
    <cfRule type="cellIs" dxfId="17197" priority="1159" operator="equal">
      <formula>0</formula>
    </cfRule>
    <cfRule type="cellIs" dxfId="17196" priority="1160" operator="greaterThan">
      <formula>0</formula>
    </cfRule>
  </conditionalFormatting>
  <conditionalFormatting sqref="G20">
    <cfRule type="cellIs" dxfId="17195" priority="1149" operator="equal">
      <formula>"PMS"</formula>
    </cfRule>
    <cfRule type="containsText" dxfId="17194" priority="1150" operator="containsText" text="CMS">
      <formula>NOT(ISERROR(SEARCH("CMS",G20)))</formula>
    </cfRule>
    <cfRule type="cellIs" dxfId="17193" priority="1151" operator="equal">
      <formula>0</formula>
    </cfRule>
    <cfRule type="cellIs" dxfId="17192" priority="1152" operator="greaterThan">
      <formula>0</formula>
    </cfRule>
    <cfRule type="cellIs" dxfId="17191" priority="1153" operator="equal">
      <formula>"PMS"</formula>
    </cfRule>
    <cfRule type="containsText" dxfId="17190" priority="1154" operator="containsText" text="CMS">
      <formula>NOT(ISERROR(SEARCH("CMS",G20)))</formula>
    </cfRule>
    <cfRule type="cellIs" dxfId="17189" priority="1155" operator="equal">
      <formula>0</formula>
    </cfRule>
    <cfRule type="cellIs" dxfId="17188" priority="1156" operator="greaterThan">
      <formula>0</formula>
    </cfRule>
  </conditionalFormatting>
  <conditionalFormatting sqref="G20">
    <cfRule type="cellIs" dxfId="17187" priority="1145" operator="equal">
      <formula>"PMS"</formula>
    </cfRule>
    <cfRule type="containsText" dxfId="17186" priority="1146" operator="containsText" text="CMS">
      <formula>NOT(ISERROR(SEARCH("CMS",G20)))</formula>
    </cfRule>
    <cfRule type="cellIs" dxfId="17185" priority="1147" operator="equal">
      <formula>0</formula>
    </cfRule>
    <cfRule type="cellIs" dxfId="17184" priority="1148" operator="greaterThan">
      <formula>0</formula>
    </cfRule>
  </conditionalFormatting>
  <conditionalFormatting sqref="G20">
    <cfRule type="cellIs" dxfId="17183" priority="1141" operator="equal">
      <formula>"PMS"</formula>
    </cfRule>
    <cfRule type="containsText" dxfId="17182" priority="1142" operator="containsText" text="CMS">
      <formula>NOT(ISERROR(SEARCH("CMS",G20)))</formula>
    </cfRule>
    <cfRule type="cellIs" dxfId="17181" priority="1143" operator="equal">
      <formula>0</formula>
    </cfRule>
    <cfRule type="cellIs" dxfId="17180" priority="1144" operator="greaterThan">
      <formula>0</formula>
    </cfRule>
  </conditionalFormatting>
  <conditionalFormatting sqref="G27:G29 J29 M29 P29 S29 V29 AB29">
    <cfRule type="cellIs" dxfId="17179" priority="1133" operator="equal">
      <formula>"PMS"</formula>
    </cfRule>
    <cfRule type="containsText" dxfId="17178" priority="1134" operator="containsText" text="CMS">
      <formula>NOT(ISERROR(SEARCH("CMS",G27)))</formula>
    </cfRule>
    <cfRule type="cellIs" dxfId="17177" priority="1135" operator="equal">
      <formula>0</formula>
    </cfRule>
    <cfRule type="cellIs" dxfId="17176" priority="1136" operator="greaterThan">
      <formula>0</formula>
    </cfRule>
    <cfRule type="cellIs" dxfId="17175" priority="1137" operator="equal">
      <formula>"PMS"</formula>
    </cfRule>
    <cfRule type="containsText" dxfId="17174" priority="1138" operator="containsText" text="CMS">
      <formula>NOT(ISERROR(SEARCH("CMS",G27)))</formula>
    </cfRule>
    <cfRule type="cellIs" dxfId="17173" priority="1139" operator="equal">
      <formula>0</formula>
    </cfRule>
    <cfRule type="cellIs" dxfId="17172" priority="1140" operator="greaterThan">
      <formula>0</formula>
    </cfRule>
  </conditionalFormatting>
  <conditionalFormatting sqref="G27:G29 J29 M29 P29 S29 V29 AB29">
    <cfRule type="cellIs" dxfId="17171" priority="1129" operator="equal">
      <formula>"PMS"</formula>
    </cfRule>
    <cfRule type="containsText" dxfId="17170" priority="1130" operator="containsText" text="CMS">
      <formula>NOT(ISERROR(SEARCH("CMS",G27)))</formula>
    </cfRule>
    <cfRule type="cellIs" dxfId="17169" priority="1131" operator="equal">
      <formula>0</formula>
    </cfRule>
    <cfRule type="cellIs" dxfId="17168" priority="1132" operator="greaterThan">
      <formula>0</formula>
    </cfRule>
  </conditionalFormatting>
  <conditionalFormatting sqref="G27:G29 J29 M29 P29 S29 V29 AB29">
    <cfRule type="cellIs" dxfId="17167" priority="1125" operator="equal">
      <formula>"PMS"</formula>
    </cfRule>
    <cfRule type="containsText" dxfId="17166" priority="1126" operator="containsText" text="CMS">
      <formula>NOT(ISERROR(SEARCH("CMS",G27)))</formula>
    </cfRule>
    <cfRule type="cellIs" dxfId="17165" priority="1127" operator="equal">
      <formula>0</formula>
    </cfRule>
    <cfRule type="cellIs" dxfId="17164" priority="1128" operator="greaterThan">
      <formula>0</formula>
    </cfRule>
  </conditionalFormatting>
  <conditionalFormatting sqref="G45:G46">
    <cfRule type="cellIs" dxfId="17163" priority="1117" operator="equal">
      <formula>"PMS"</formula>
    </cfRule>
    <cfRule type="containsText" dxfId="17162" priority="1118" operator="containsText" text="CMS">
      <formula>NOT(ISERROR(SEARCH("CMS",G45)))</formula>
    </cfRule>
    <cfRule type="cellIs" dxfId="17161" priority="1119" operator="equal">
      <formula>0</formula>
    </cfRule>
    <cfRule type="cellIs" dxfId="17160" priority="1120" operator="greaterThan">
      <formula>0</formula>
    </cfRule>
    <cfRule type="cellIs" dxfId="17159" priority="1121" operator="equal">
      <formula>"PMS"</formula>
    </cfRule>
    <cfRule type="containsText" dxfId="17158" priority="1122" operator="containsText" text="CMS">
      <formula>NOT(ISERROR(SEARCH("CMS",G45)))</formula>
    </cfRule>
    <cfRule type="cellIs" dxfId="17157" priority="1123" operator="equal">
      <formula>0</formula>
    </cfRule>
    <cfRule type="cellIs" dxfId="17156" priority="1124" operator="greaterThan">
      <formula>0</formula>
    </cfRule>
  </conditionalFormatting>
  <conditionalFormatting sqref="G45:G46">
    <cfRule type="cellIs" dxfId="17155" priority="1113" operator="equal">
      <formula>"PMS"</formula>
    </cfRule>
    <cfRule type="containsText" dxfId="17154" priority="1114" operator="containsText" text="CMS">
      <formula>NOT(ISERROR(SEARCH("CMS",G45)))</formula>
    </cfRule>
    <cfRule type="cellIs" dxfId="17153" priority="1115" operator="equal">
      <formula>0</formula>
    </cfRule>
    <cfRule type="cellIs" dxfId="17152" priority="1116" operator="greaterThan">
      <formula>0</formula>
    </cfRule>
  </conditionalFormatting>
  <conditionalFormatting sqref="G45:G46">
    <cfRule type="cellIs" dxfId="17151" priority="1109" operator="equal">
      <formula>"PMS"</formula>
    </cfRule>
    <cfRule type="containsText" dxfId="17150" priority="1110" operator="containsText" text="CMS">
      <formula>NOT(ISERROR(SEARCH("CMS",G45)))</formula>
    </cfRule>
    <cfRule type="cellIs" dxfId="17149" priority="1111" operator="equal">
      <formula>0</formula>
    </cfRule>
    <cfRule type="cellIs" dxfId="17148" priority="1112" operator="greaterThan">
      <formula>0</formula>
    </cfRule>
  </conditionalFormatting>
  <conditionalFormatting sqref="I62">
    <cfRule type="cellIs" dxfId="17147" priority="1101" operator="equal">
      <formula>"PMS"</formula>
    </cfRule>
    <cfRule type="containsText" dxfId="17146" priority="1102" operator="containsText" text="CMS">
      <formula>NOT(ISERROR(SEARCH("CMS",I62)))</formula>
    </cfRule>
    <cfRule type="cellIs" dxfId="17145" priority="1103" operator="equal">
      <formula>0</formula>
    </cfRule>
    <cfRule type="cellIs" dxfId="17144" priority="1104" operator="greaterThan">
      <formula>0</formula>
    </cfRule>
    <cfRule type="cellIs" dxfId="17143" priority="1105" operator="equal">
      <formula>"PMS"</formula>
    </cfRule>
    <cfRule type="containsText" dxfId="17142" priority="1106" operator="containsText" text="CMS">
      <formula>NOT(ISERROR(SEARCH("CMS",I62)))</formula>
    </cfRule>
    <cfRule type="cellIs" dxfId="17141" priority="1107" operator="equal">
      <formula>0</formula>
    </cfRule>
    <cfRule type="cellIs" dxfId="17140" priority="1108" operator="greaterThan">
      <formula>0</formula>
    </cfRule>
  </conditionalFormatting>
  <conditionalFormatting sqref="O48">
    <cfRule type="cellIs" dxfId="17139" priority="1097" operator="equal">
      <formula>"PMS"</formula>
    </cfRule>
    <cfRule type="containsText" dxfId="17138" priority="1098" operator="containsText" text="CMS">
      <formula>NOT(ISERROR(SEARCH("CMS",O48)))</formula>
    </cfRule>
    <cfRule type="cellIs" dxfId="17137" priority="1099" operator="equal">
      <formula>0</formula>
    </cfRule>
    <cfRule type="cellIs" dxfId="17136" priority="1100" operator="greaterThan">
      <formula>0</formula>
    </cfRule>
  </conditionalFormatting>
  <conditionalFormatting sqref="O48">
    <cfRule type="cellIs" dxfId="17135" priority="1093" operator="equal">
      <formula>"PMS"</formula>
    </cfRule>
    <cfRule type="containsText" dxfId="17134" priority="1094" operator="containsText" text="CMS">
      <formula>NOT(ISERROR(SEARCH("CMS",O48)))</formula>
    </cfRule>
    <cfRule type="cellIs" dxfId="17133" priority="1095" operator="equal">
      <formula>0</formula>
    </cfRule>
    <cfRule type="cellIs" dxfId="17132" priority="1096" operator="greaterThan">
      <formula>0</formula>
    </cfRule>
  </conditionalFormatting>
  <conditionalFormatting sqref="O48">
    <cfRule type="cellIs" dxfId="17131" priority="1089" operator="equal">
      <formula>"PMS"</formula>
    </cfRule>
    <cfRule type="containsText" dxfId="17130" priority="1090" operator="containsText" text="CMS">
      <formula>NOT(ISERROR(SEARCH("CMS",O48)))</formula>
    </cfRule>
    <cfRule type="cellIs" dxfId="17129" priority="1091" operator="equal">
      <formula>0</formula>
    </cfRule>
    <cfRule type="cellIs" dxfId="17128" priority="1092" operator="greaterThan">
      <formula>0</formula>
    </cfRule>
  </conditionalFormatting>
  <conditionalFormatting sqref="O48">
    <cfRule type="cellIs" dxfId="17127" priority="1085" operator="equal">
      <formula>"PMS"</formula>
    </cfRule>
    <cfRule type="containsText" dxfId="17126" priority="1086" operator="containsText" text="CMS">
      <formula>NOT(ISERROR(SEARCH("CMS",O48)))</formula>
    </cfRule>
    <cfRule type="cellIs" dxfId="17125" priority="1087" operator="equal">
      <formula>0</formula>
    </cfRule>
    <cfRule type="cellIs" dxfId="17124" priority="1088" operator="greaterThan">
      <formula>0</formula>
    </cfRule>
  </conditionalFormatting>
  <conditionalFormatting sqref="O56:P56">
    <cfRule type="cellIs" dxfId="17123" priority="1081" operator="equal">
      <formula>"PMS"</formula>
    </cfRule>
    <cfRule type="containsText" dxfId="17122" priority="1082" operator="containsText" text="CMS">
      <formula>NOT(ISERROR(SEARCH("CMS",O56)))</formula>
    </cfRule>
    <cfRule type="cellIs" dxfId="17121" priority="1083" operator="equal">
      <formula>0</formula>
    </cfRule>
    <cfRule type="cellIs" dxfId="17120" priority="1084" operator="greaterThan">
      <formula>0</formula>
    </cfRule>
  </conditionalFormatting>
  <conditionalFormatting sqref="O56:P56">
    <cfRule type="cellIs" dxfId="17119" priority="1077" operator="equal">
      <formula>"PMS"</formula>
    </cfRule>
    <cfRule type="containsText" dxfId="17118" priority="1078" operator="containsText" text="CMS">
      <formula>NOT(ISERROR(SEARCH("CMS",O56)))</formula>
    </cfRule>
    <cfRule type="cellIs" dxfId="17117" priority="1079" operator="equal">
      <formula>0</formula>
    </cfRule>
    <cfRule type="cellIs" dxfId="17116" priority="1080" operator="greaterThan">
      <formula>0</formula>
    </cfRule>
  </conditionalFormatting>
  <conditionalFormatting sqref="O56:P56">
    <cfRule type="cellIs" dxfId="17115" priority="1073" operator="equal">
      <formula>"PMS"</formula>
    </cfRule>
    <cfRule type="containsText" dxfId="17114" priority="1074" operator="containsText" text="CMS">
      <formula>NOT(ISERROR(SEARCH("CMS",O56)))</formula>
    </cfRule>
    <cfRule type="cellIs" dxfId="17113" priority="1075" operator="equal">
      <formula>0</formula>
    </cfRule>
    <cfRule type="cellIs" dxfId="17112" priority="1076" operator="greaterThan">
      <formula>0</formula>
    </cfRule>
  </conditionalFormatting>
  <conditionalFormatting sqref="O56:P56">
    <cfRule type="cellIs" dxfId="17111" priority="1069" operator="equal">
      <formula>"PMS"</formula>
    </cfRule>
    <cfRule type="containsText" dxfId="17110" priority="1070" operator="containsText" text="CMS">
      <formula>NOT(ISERROR(SEARCH("CMS",O56)))</formula>
    </cfRule>
    <cfRule type="cellIs" dxfId="17109" priority="1071" operator="equal">
      <formula>0</formula>
    </cfRule>
    <cfRule type="cellIs" dxfId="17108" priority="1072" operator="greaterThan">
      <formula>0</formula>
    </cfRule>
  </conditionalFormatting>
  <conditionalFormatting sqref="O57:P57">
    <cfRule type="cellIs" dxfId="17107" priority="1065" operator="equal">
      <formula>"PMS"</formula>
    </cfRule>
    <cfRule type="containsText" dxfId="17106" priority="1066" operator="containsText" text="CMS">
      <formula>NOT(ISERROR(SEARCH("CMS",O57)))</formula>
    </cfRule>
    <cfRule type="cellIs" dxfId="17105" priority="1067" operator="equal">
      <formula>0</formula>
    </cfRule>
    <cfRule type="cellIs" dxfId="17104" priority="1068" operator="greaterThan">
      <formula>0</formula>
    </cfRule>
  </conditionalFormatting>
  <conditionalFormatting sqref="O57:P57">
    <cfRule type="cellIs" dxfId="17103" priority="1061" operator="equal">
      <formula>"PMS"</formula>
    </cfRule>
    <cfRule type="containsText" dxfId="17102" priority="1062" operator="containsText" text="CMS">
      <formula>NOT(ISERROR(SEARCH("CMS",O57)))</formula>
    </cfRule>
    <cfRule type="cellIs" dxfId="17101" priority="1063" operator="equal">
      <formula>0</formula>
    </cfRule>
    <cfRule type="cellIs" dxfId="17100" priority="1064" operator="greaterThan">
      <formula>0</formula>
    </cfRule>
  </conditionalFormatting>
  <conditionalFormatting sqref="O57:P57">
    <cfRule type="cellIs" dxfId="17099" priority="1057" operator="equal">
      <formula>"PMS"</formula>
    </cfRule>
    <cfRule type="containsText" dxfId="17098" priority="1058" operator="containsText" text="CMS">
      <formula>NOT(ISERROR(SEARCH("CMS",O57)))</formula>
    </cfRule>
    <cfRule type="cellIs" dxfId="17097" priority="1059" operator="equal">
      <formula>0</formula>
    </cfRule>
    <cfRule type="cellIs" dxfId="17096" priority="1060" operator="greaterThan">
      <formula>0</formula>
    </cfRule>
  </conditionalFormatting>
  <conditionalFormatting sqref="O57:P57">
    <cfRule type="cellIs" dxfId="17095" priority="1053" operator="equal">
      <formula>"PMS"</formula>
    </cfRule>
    <cfRule type="containsText" dxfId="17094" priority="1054" operator="containsText" text="CMS">
      <formula>NOT(ISERROR(SEARCH("CMS",O57)))</formula>
    </cfRule>
    <cfRule type="cellIs" dxfId="17093" priority="1055" operator="equal">
      <formula>0</formula>
    </cfRule>
    <cfRule type="cellIs" dxfId="17092" priority="1056" operator="greaterThan">
      <formula>0</formula>
    </cfRule>
  </conditionalFormatting>
  <conditionalFormatting sqref="G48:G49">
    <cfRule type="cellIs" dxfId="17091" priority="1045" operator="equal">
      <formula>"PMS"</formula>
    </cfRule>
    <cfRule type="containsText" dxfId="17090" priority="1046" operator="containsText" text="CMS">
      <formula>NOT(ISERROR(SEARCH("CMS",G48)))</formula>
    </cfRule>
    <cfRule type="cellIs" dxfId="17089" priority="1047" operator="equal">
      <formula>0</formula>
    </cfRule>
    <cfRule type="cellIs" dxfId="17088" priority="1048" operator="greaterThan">
      <formula>0</formula>
    </cfRule>
    <cfRule type="cellIs" dxfId="17087" priority="1049" operator="equal">
      <formula>"PMS"</formula>
    </cfRule>
    <cfRule type="containsText" dxfId="17086" priority="1050" operator="containsText" text="CMS">
      <formula>NOT(ISERROR(SEARCH("CMS",G48)))</formula>
    </cfRule>
    <cfRule type="cellIs" dxfId="17085" priority="1051" operator="equal">
      <formula>0</formula>
    </cfRule>
    <cfRule type="cellIs" dxfId="17084" priority="1052" operator="greaterThan">
      <formula>0</formula>
    </cfRule>
  </conditionalFormatting>
  <conditionalFormatting sqref="G48:G49">
    <cfRule type="cellIs" dxfId="17083" priority="1041" operator="equal">
      <formula>"PMS"</formula>
    </cfRule>
    <cfRule type="containsText" dxfId="17082" priority="1042" operator="containsText" text="CMS">
      <formula>NOT(ISERROR(SEARCH("CMS",G48)))</formula>
    </cfRule>
    <cfRule type="cellIs" dxfId="17081" priority="1043" operator="equal">
      <formula>0</formula>
    </cfRule>
    <cfRule type="cellIs" dxfId="17080" priority="1044" operator="greaterThan">
      <formula>0</formula>
    </cfRule>
  </conditionalFormatting>
  <conditionalFormatting sqref="G48:G49">
    <cfRule type="cellIs" dxfId="17079" priority="1037" operator="equal">
      <formula>"PMS"</formula>
    </cfRule>
    <cfRule type="containsText" dxfId="17078" priority="1038" operator="containsText" text="CMS">
      <formula>NOT(ISERROR(SEARCH("CMS",G48)))</formula>
    </cfRule>
    <cfRule type="cellIs" dxfId="17077" priority="1039" operator="equal">
      <formula>0</formula>
    </cfRule>
    <cfRule type="cellIs" dxfId="17076" priority="1040" operator="greaterThan">
      <formula>0</formula>
    </cfRule>
  </conditionalFormatting>
  <conditionalFormatting sqref="G74 G66:G72">
    <cfRule type="cellIs" dxfId="17075" priority="1029" operator="equal">
      <formula>"PMS"</formula>
    </cfRule>
    <cfRule type="containsText" dxfId="17074" priority="1030" operator="containsText" text="CMS">
      <formula>NOT(ISERROR(SEARCH("CMS",G66)))</formula>
    </cfRule>
    <cfRule type="cellIs" dxfId="17073" priority="1031" operator="equal">
      <formula>0</formula>
    </cfRule>
    <cfRule type="cellIs" dxfId="17072" priority="1032" operator="greaterThan">
      <formula>0</formula>
    </cfRule>
    <cfRule type="cellIs" dxfId="17071" priority="1033" operator="equal">
      <formula>"PMS"</formula>
    </cfRule>
    <cfRule type="containsText" dxfId="17070" priority="1034" operator="containsText" text="CMS">
      <formula>NOT(ISERROR(SEARCH("CMS",G66)))</formula>
    </cfRule>
    <cfRule type="cellIs" dxfId="17069" priority="1035" operator="equal">
      <formula>0</formula>
    </cfRule>
    <cfRule type="cellIs" dxfId="17068" priority="1036" operator="greaterThan">
      <formula>0</formula>
    </cfRule>
  </conditionalFormatting>
  <conditionalFormatting sqref="P56 O53:O58">
    <cfRule type="cellIs" dxfId="17067" priority="1025" operator="equal">
      <formula>"PMS"</formula>
    </cfRule>
    <cfRule type="containsText" dxfId="17066" priority="1026" operator="containsText" text="CMS">
      <formula>NOT(ISERROR(SEARCH("CMS",O53)))</formula>
    </cfRule>
    <cfRule type="cellIs" dxfId="17065" priority="1027" operator="equal">
      <formula>0</formula>
    </cfRule>
    <cfRule type="cellIs" dxfId="17064" priority="1028" operator="greaterThan">
      <formula>0</formula>
    </cfRule>
  </conditionalFormatting>
  <conditionalFormatting sqref="G35 I24 I35 I73:J73 G73">
    <cfRule type="cellIs" dxfId="17063" priority="1017" operator="equal">
      <formula>"PMS"</formula>
    </cfRule>
    <cfRule type="containsText" dxfId="17062" priority="1018" operator="containsText" text="CMS">
      <formula>NOT(ISERROR(SEARCH("CMS",G24)))</formula>
    </cfRule>
    <cfRule type="cellIs" dxfId="17061" priority="1019" operator="equal">
      <formula>0</formula>
    </cfRule>
    <cfRule type="cellIs" dxfId="17060" priority="1020" operator="greaterThan">
      <formula>0</formula>
    </cfRule>
    <cfRule type="cellIs" dxfId="17059" priority="1021" operator="equal">
      <formula>"PMS"</formula>
    </cfRule>
    <cfRule type="containsText" dxfId="17058" priority="1022" operator="containsText" text="CMS">
      <formula>NOT(ISERROR(SEARCH("CMS",G24)))</formula>
    </cfRule>
    <cfRule type="cellIs" dxfId="17057" priority="1023" operator="equal">
      <formula>0</formula>
    </cfRule>
    <cfRule type="cellIs" dxfId="17056" priority="1024" operator="greaterThan">
      <formula>0</formula>
    </cfRule>
  </conditionalFormatting>
  <conditionalFormatting sqref="I73:J73 G73">
    <cfRule type="cellIs" dxfId="17055" priority="1013" operator="equal">
      <formula>"PMS"</formula>
    </cfRule>
    <cfRule type="containsText" dxfId="17054" priority="1014" operator="containsText" text="CMS">
      <formula>NOT(ISERROR(SEARCH("CMS",G73)))</formula>
    </cfRule>
    <cfRule type="cellIs" dxfId="17053" priority="1015" operator="equal">
      <formula>0</formula>
    </cfRule>
    <cfRule type="cellIs" dxfId="17052" priority="1016" operator="greaterThan">
      <formula>0</formula>
    </cfRule>
  </conditionalFormatting>
  <conditionalFormatting sqref="I73:J73 G73">
    <cfRule type="cellIs" dxfId="17051" priority="1009" operator="equal">
      <formula>"PMS"</formula>
    </cfRule>
    <cfRule type="containsText" dxfId="17050" priority="1010" operator="containsText" text="CMS">
      <formula>NOT(ISERROR(SEARCH("CMS",G73)))</formula>
    </cfRule>
    <cfRule type="cellIs" dxfId="17049" priority="1011" operator="equal">
      <formula>0</formula>
    </cfRule>
    <cfRule type="cellIs" dxfId="17048" priority="1012" operator="greaterThan">
      <formula>0</formula>
    </cfRule>
  </conditionalFormatting>
  <conditionalFormatting sqref="I24">
    <cfRule type="cellIs" dxfId="17047" priority="1005" operator="equal">
      <formula>"PMS"</formula>
    </cfRule>
    <cfRule type="containsText" dxfId="17046" priority="1006" operator="containsText" text="CMS">
      <formula>NOT(ISERROR(SEARCH("CMS",I24)))</formula>
    </cfRule>
    <cfRule type="cellIs" dxfId="17045" priority="1007" operator="equal">
      <formula>0</formula>
    </cfRule>
    <cfRule type="cellIs" dxfId="17044" priority="1008" operator="greaterThan">
      <formula>0</formula>
    </cfRule>
  </conditionalFormatting>
  <conditionalFormatting sqref="I24">
    <cfRule type="cellIs" dxfId="17043" priority="1001" operator="equal">
      <formula>"PMS"</formula>
    </cfRule>
    <cfRule type="containsText" dxfId="17042" priority="1002" operator="containsText" text="CMS">
      <formula>NOT(ISERROR(SEARCH("CMS",I24)))</formula>
    </cfRule>
    <cfRule type="cellIs" dxfId="17041" priority="1003" operator="equal">
      <formula>0</formula>
    </cfRule>
    <cfRule type="cellIs" dxfId="17040" priority="1004" operator="greaterThan">
      <formula>0</formula>
    </cfRule>
  </conditionalFormatting>
  <conditionalFormatting sqref="G35 I35">
    <cfRule type="cellIs" dxfId="17039" priority="997" operator="equal">
      <formula>"PMS"</formula>
    </cfRule>
    <cfRule type="containsText" dxfId="17038" priority="998" operator="containsText" text="CMS">
      <formula>NOT(ISERROR(SEARCH("CMS",G35)))</formula>
    </cfRule>
    <cfRule type="cellIs" dxfId="17037" priority="999" operator="equal">
      <formula>0</formula>
    </cfRule>
    <cfRule type="cellIs" dxfId="17036" priority="1000" operator="greaterThan">
      <formula>0</formula>
    </cfRule>
  </conditionalFormatting>
  <conditionalFormatting sqref="G35 I35">
    <cfRule type="cellIs" dxfId="17035" priority="993" operator="equal">
      <formula>"PMS"</formula>
    </cfRule>
    <cfRule type="containsText" dxfId="17034" priority="994" operator="containsText" text="CMS">
      <formula>NOT(ISERROR(SEARCH("CMS",G35)))</formula>
    </cfRule>
    <cfRule type="cellIs" dxfId="17033" priority="995" operator="equal">
      <formula>0</formula>
    </cfRule>
    <cfRule type="cellIs" dxfId="17032" priority="996" operator="greaterThan">
      <formula>0</formula>
    </cfRule>
  </conditionalFormatting>
  <conditionalFormatting sqref="G19 I19">
    <cfRule type="cellIs" dxfId="17031" priority="985" operator="equal">
      <formula>"PMS"</formula>
    </cfRule>
    <cfRule type="containsText" dxfId="17030" priority="986" operator="containsText" text="CMS">
      <formula>NOT(ISERROR(SEARCH("CMS",G19)))</formula>
    </cfRule>
    <cfRule type="cellIs" dxfId="17029" priority="987" operator="equal">
      <formula>0</formula>
    </cfRule>
    <cfRule type="cellIs" dxfId="17028" priority="988" operator="greaterThan">
      <formula>0</formula>
    </cfRule>
    <cfRule type="cellIs" dxfId="17027" priority="989" operator="equal">
      <formula>"PMS"</formula>
    </cfRule>
    <cfRule type="containsText" dxfId="17026" priority="990" operator="containsText" text="CMS">
      <formula>NOT(ISERROR(SEARCH("CMS",G19)))</formula>
    </cfRule>
    <cfRule type="cellIs" dxfId="17025" priority="991" operator="equal">
      <formula>0</formula>
    </cfRule>
    <cfRule type="cellIs" dxfId="17024" priority="992" operator="greaterThan">
      <formula>0</formula>
    </cfRule>
  </conditionalFormatting>
  <conditionalFormatting sqref="G19 I19">
    <cfRule type="cellIs" dxfId="17023" priority="981" operator="equal">
      <formula>"PMS"</formula>
    </cfRule>
    <cfRule type="containsText" dxfId="17022" priority="982" operator="containsText" text="CMS">
      <formula>NOT(ISERROR(SEARCH("CMS",G19)))</formula>
    </cfRule>
    <cfRule type="cellIs" dxfId="17021" priority="983" operator="equal">
      <formula>0</formula>
    </cfRule>
    <cfRule type="cellIs" dxfId="17020" priority="984" operator="greaterThan">
      <formula>0</formula>
    </cfRule>
  </conditionalFormatting>
  <conditionalFormatting sqref="G19 I19">
    <cfRule type="cellIs" dxfId="17019" priority="977" operator="equal">
      <formula>"PMS"</formula>
    </cfRule>
    <cfRule type="containsText" dxfId="17018" priority="978" operator="containsText" text="CMS">
      <formula>NOT(ISERROR(SEARCH("CMS",G19)))</formula>
    </cfRule>
    <cfRule type="cellIs" dxfId="17017" priority="979" operator="equal">
      <formula>0</formula>
    </cfRule>
    <cfRule type="cellIs" dxfId="17016" priority="980" operator="greaterThan">
      <formula>0</formula>
    </cfRule>
  </conditionalFormatting>
  <conditionalFormatting sqref="O54:O55">
    <cfRule type="cellIs" dxfId="17015" priority="973" operator="equal">
      <formula>"PMS"</formula>
    </cfRule>
    <cfRule type="containsText" dxfId="17014" priority="974" operator="containsText" text="CMS">
      <formula>NOT(ISERROR(SEARCH("CMS",O54)))</formula>
    </cfRule>
    <cfRule type="cellIs" dxfId="17013" priority="975" operator="equal">
      <formula>0</formula>
    </cfRule>
    <cfRule type="cellIs" dxfId="17012" priority="976" operator="greaterThan">
      <formula>0</formula>
    </cfRule>
  </conditionalFormatting>
  <conditionalFormatting sqref="K61 K63">
    <cfRule type="cellIs" dxfId="17011" priority="965" operator="equal">
      <formula>"PMS"</formula>
    </cfRule>
    <cfRule type="containsText" dxfId="17010" priority="966" operator="containsText" text="CMS">
      <formula>NOT(ISERROR(SEARCH("CMS",K61)))</formula>
    </cfRule>
    <cfRule type="cellIs" dxfId="17009" priority="967" operator="equal">
      <formula>0</formula>
    </cfRule>
    <cfRule type="cellIs" dxfId="17008" priority="968" operator="greaterThan">
      <formula>0</formula>
    </cfRule>
    <cfRule type="cellIs" dxfId="17007" priority="969" operator="equal">
      <formula>"PMS"</formula>
    </cfRule>
    <cfRule type="containsText" dxfId="17006" priority="970" operator="containsText" text="CMS">
      <formula>NOT(ISERROR(SEARCH("CMS",K61)))</formula>
    </cfRule>
    <cfRule type="cellIs" dxfId="17005" priority="971" operator="equal">
      <formula>0</formula>
    </cfRule>
    <cfRule type="cellIs" dxfId="17004" priority="972" operator="greaterThan">
      <formula>0</formula>
    </cfRule>
  </conditionalFormatting>
  <conditionalFormatting sqref="O47:P47">
    <cfRule type="cellIs" dxfId="17003" priority="961" operator="equal">
      <formula>"PMS"</formula>
    </cfRule>
    <cfRule type="containsText" dxfId="17002" priority="962" operator="containsText" text="CMS">
      <formula>NOT(ISERROR(SEARCH("CMS",O47)))</formula>
    </cfRule>
    <cfRule type="cellIs" dxfId="17001" priority="963" operator="equal">
      <formula>0</formula>
    </cfRule>
    <cfRule type="cellIs" dxfId="17000" priority="964" operator="greaterThan">
      <formula>0</formula>
    </cfRule>
  </conditionalFormatting>
  <conditionalFormatting sqref="O16:P16">
    <cfRule type="cellIs" dxfId="16999" priority="957" operator="equal">
      <formula>"PMS"</formula>
    </cfRule>
    <cfRule type="containsText" dxfId="16998" priority="958" operator="containsText" text="CMS">
      <formula>NOT(ISERROR(SEARCH("CMS",O16)))</formula>
    </cfRule>
    <cfRule type="cellIs" dxfId="16997" priority="959" operator="equal">
      <formula>0</formula>
    </cfRule>
    <cfRule type="cellIs" dxfId="16996" priority="960" operator="greaterThan">
      <formula>0</formula>
    </cfRule>
  </conditionalFormatting>
  <conditionalFormatting sqref="P57">
    <cfRule type="cellIs" dxfId="16995" priority="953" operator="equal">
      <formula>"PMS"</formula>
    </cfRule>
    <cfRule type="containsText" dxfId="16994" priority="954" operator="containsText" text="CMS">
      <formula>NOT(ISERROR(SEARCH("CMS",P57)))</formula>
    </cfRule>
    <cfRule type="cellIs" dxfId="16993" priority="955" operator="equal">
      <formula>0</formula>
    </cfRule>
    <cfRule type="cellIs" dxfId="16992" priority="956" operator="greaterThan">
      <formula>0</formula>
    </cfRule>
  </conditionalFormatting>
  <conditionalFormatting sqref="P57">
    <cfRule type="cellIs" dxfId="16991" priority="949" operator="equal">
      <formula>"PMS"</formula>
    </cfRule>
    <cfRule type="containsText" dxfId="16990" priority="950" operator="containsText" text="CMS">
      <formula>NOT(ISERROR(SEARCH("CMS",P57)))</formula>
    </cfRule>
    <cfRule type="cellIs" dxfId="16989" priority="951" operator="equal">
      <formula>0</formula>
    </cfRule>
    <cfRule type="cellIs" dxfId="16988" priority="952" operator="greaterThan">
      <formula>0</formula>
    </cfRule>
  </conditionalFormatting>
  <conditionalFormatting sqref="P57">
    <cfRule type="cellIs" dxfId="16987" priority="945" operator="equal">
      <formula>"PMS"</formula>
    </cfRule>
    <cfRule type="containsText" dxfId="16986" priority="946" operator="containsText" text="CMS">
      <formula>NOT(ISERROR(SEARCH("CMS",P57)))</formula>
    </cfRule>
    <cfRule type="cellIs" dxfId="16985" priority="947" operator="equal">
      <formula>0</formula>
    </cfRule>
    <cfRule type="cellIs" dxfId="16984" priority="948" operator="greaterThan">
      <formula>0</formula>
    </cfRule>
  </conditionalFormatting>
  <conditionalFormatting sqref="P57:P58">
    <cfRule type="cellIs" dxfId="16983" priority="941" operator="equal">
      <formula>"PMS"</formula>
    </cfRule>
    <cfRule type="containsText" dxfId="16982" priority="942" operator="containsText" text="CMS">
      <formula>NOT(ISERROR(SEARCH("CMS",P57)))</formula>
    </cfRule>
    <cfRule type="cellIs" dxfId="16981" priority="943" operator="equal">
      <formula>0</formula>
    </cfRule>
    <cfRule type="cellIs" dxfId="16980" priority="944" operator="greaterThan">
      <formula>0</formula>
    </cfRule>
  </conditionalFormatting>
  <conditionalFormatting sqref="AB24">
    <cfRule type="cellIs" dxfId="16979" priority="937" operator="equal">
      <formula>"PMS"</formula>
    </cfRule>
    <cfRule type="containsText" dxfId="16978" priority="938" operator="containsText" text="CMS">
      <formula>NOT(ISERROR(SEARCH("CMS",AB24)))</formula>
    </cfRule>
    <cfRule type="cellIs" dxfId="16977" priority="939" operator="equal">
      <formula>0</formula>
    </cfRule>
    <cfRule type="cellIs" dxfId="16976" priority="940" operator="greaterThan">
      <formula>0</formula>
    </cfRule>
  </conditionalFormatting>
  <conditionalFormatting sqref="AB24">
    <cfRule type="cellIs" dxfId="16975" priority="933" operator="equal">
      <formula>"PMS"</formula>
    </cfRule>
    <cfRule type="containsText" dxfId="16974" priority="934" operator="containsText" text="CMS">
      <formula>NOT(ISERROR(SEARCH("CMS",AB24)))</formula>
    </cfRule>
    <cfRule type="cellIs" dxfId="16973" priority="935" operator="equal">
      <formula>0</formula>
    </cfRule>
    <cfRule type="cellIs" dxfId="16972" priority="936" operator="greaterThan">
      <formula>0</formula>
    </cfRule>
  </conditionalFormatting>
  <conditionalFormatting sqref="I29 L29 O29 R29 AA29 X29:Y29 T29:U29">
    <cfRule type="cellIs" dxfId="16971" priority="925" operator="equal">
      <formula>"PMS"</formula>
    </cfRule>
    <cfRule type="containsText" dxfId="16970" priority="926" operator="containsText" text="CMS">
      <formula>NOT(ISERROR(SEARCH("CMS",I29)))</formula>
    </cfRule>
    <cfRule type="cellIs" dxfId="16969" priority="927" operator="equal">
      <formula>0</formula>
    </cfRule>
    <cfRule type="cellIs" dxfId="16968" priority="928" operator="greaterThan">
      <formula>0</formula>
    </cfRule>
    <cfRule type="cellIs" dxfId="16967" priority="929" operator="equal">
      <formula>"PMS"</formula>
    </cfRule>
    <cfRule type="containsText" dxfId="16966" priority="930" operator="containsText" text="CMS">
      <formula>NOT(ISERROR(SEARCH("CMS",I29)))</formula>
    </cfRule>
    <cfRule type="cellIs" dxfId="16965" priority="931" operator="equal">
      <formula>0</formula>
    </cfRule>
    <cfRule type="cellIs" dxfId="16964" priority="932" operator="greaterThan">
      <formula>0</formula>
    </cfRule>
  </conditionalFormatting>
  <conditionalFormatting sqref="I29 L29 O29 R29 AA29 X29:Y29 T29:U29">
    <cfRule type="cellIs" dxfId="16963" priority="921" operator="equal">
      <formula>"PMS"</formula>
    </cfRule>
    <cfRule type="containsText" dxfId="16962" priority="922" operator="containsText" text="CMS">
      <formula>NOT(ISERROR(SEARCH("CMS",I29)))</formula>
    </cfRule>
    <cfRule type="cellIs" dxfId="16961" priority="923" operator="equal">
      <formula>0</formula>
    </cfRule>
    <cfRule type="cellIs" dxfId="16960" priority="924" operator="greaterThan">
      <formula>0</formula>
    </cfRule>
  </conditionalFormatting>
  <conditionalFormatting sqref="I29 L29 O29 R29 AA29 X29:Y29 T29:U29">
    <cfRule type="cellIs" dxfId="16959" priority="917" operator="equal">
      <formula>"PMS"</formula>
    </cfRule>
    <cfRule type="containsText" dxfId="16958" priority="918" operator="containsText" text="CMS">
      <formula>NOT(ISERROR(SEARCH("CMS",I29)))</formula>
    </cfRule>
    <cfRule type="cellIs" dxfId="16957" priority="919" operator="equal">
      <formula>0</formula>
    </cfRule>
    <cfRule type="cellIs" dxfId="16956" priority="920" operator="greaterThan">
      <formula>0</formula>
    </cfRule>
  </conditionalFormatting>
  <conditionalFormatting sqref="K29 N29 Q29 W29 Z29 AC29">
    <cfRule type="cellIs" dxfId="16955" priority="909" operator="equal">
      <formula>"PMS"</formula>
    </cfRule>
    <cfRule type="containsText" dxfId="16954" priority="910" operator="containsText" text="CMS">
      <formula>NOT(ISERROR(SEARCH("CMS",K29)))</formula>
    </cfRule>
    <cfRule type="cellIs" dxfId="16953" priority="911" operator="equal">
      <formula>0</formula>
    </cfRule>
    <cfRule type="cellIs" dxfId="16952" priority="912" operator="greaterThan">
      <formula>0</formula>
    </cfRule>
    <cfRule type="cellIs" dxfId="16951" priority="913" operator="equal">
      <formula>"PMS"</formula>
    </cfRule>
    <cfRule type="containsText" dxfId="16950" priority="914" operator="containsText" text="CMS">
      <formula>NOT(ISERROR(SEARCH("CMS",K29)))</formula>
    </cfRule>
    <cfRule type="cellIs" dxfId="16949" priority="915" operator="equal">
      <formula>0</formula>
    </cfRule>
    <cfRule type="cellIs" dxfId="16948" priority="916" operator="greaterThan">
      <formula>0</formula>
    </cfRule>
  </conditionalFormatting>
  <conditionalFormatting sqref="G81:AC81">
    <cfRule type="cellIs" dxfId="16947" priority="901" operator="equal">
      <formula>"PMS"</formula>
    </cfRule>
    <cfRule type="containsText" dxfId="16946" priority="902" operator="containsText" text="CMS">
      <formula>NOT(ISERROR(SEARCH("CMS",G81)))</formula>
    </cfRule>
    <cfRule type="cellIs" dxfId="16945" priority="903" operator="equal">
      <formula>0</formula>
    </cfRule>
    <cfRule type="cellIs" dxfId="16944" priority="904" operator="greaterThan">
      <formula>0</formula>
    </cfRule>
    <cfRule type="cellIs" dxfId="16943" priority="905" operator="equal">
      <formula>"PMS"</formula>
    </cfRule>
    <cfRule type="containsText" dxfId="16942" priority="906" operator="containsText" text="CMS">
      <formula>NOT(ISERROR(SEARCH("CMS",G81)))</formula>
    </cfRule>
    <cfRule type="cellIs" dxfId="16941" priority="907" operator="equal">
      <formula>0</formula>
    </cfRule>
    <cfRule type="cellIs" dxfId="16940" priority="908" operator="greaterThan">
      <formula>0</formula>
    </cfRule>
  </conditionalFormatting>
  <conditionalFormatting sqref="G81:AC81">
    <cfRule type="cellIs" dxfId="16939" priority="897" operator="equal">
      <formula>"PMS"</formula>
    </cfRule>
    <cfRule type="containsText" dxfId="16938" priority="898" operator="containsText" text="CMS">
      <formula>NOT(ISERROR(SEARCH("CMS",G81)))</formula>
    </cfRule>
    <cfRule type="cellIs" dxfId="16937" priority="899" operator="equal">
      <formula>0</formula>
    </cfRule>
    <cfRule type="cellIs" dxfId="16936" priority="900" operator="greaterThan">
      <formula>0</formula>
    </cfRule>
  </conditionalFormatting>
  <conditionalFormatting sqref="G51:G52 I51:M52">
    <cfRule type="cellIs" dxfId="16935" priority="889" operator="equal">
      <formula>"PMS"</formula>
    </cfRule>
    <cfRule type="containsText" dxfId="16934" priority="890" operator="containsText" text="CMS">
      <formula>NOT(ISERROR(SEARCH("CMS",G51)))</formula>
    </cfRule>
    <cfRule type="cellIs" dxfId="16933" priority="891" operator="equal">
      <formula>0</formula>
    </cfRule>
    <cfRule type="cellIs" dxfId="16932" priority="892" operator="greaterThan">
      <formula>0</formula>
    </cfRule>
    <cfRule type="cellIs" dxfId="16931" priority="893" operator="equal">
      <formula>"PMS"</formula>
    </cfRule>
    <cfRule type="containsText" dxfId="16930" priority="894" operator="containsText" text="CMS">
      <formula>NOT(ISERROR(SEARCH("CMS",G51)))</formula>
    </cfRule>
    <cfRule type="cellIs" dxfId="16929" priority="895" operator="equal">
      <formula>0</formula>
    </cfRule>
    <cfRule type="cellIs" dxfId="16928" priority="896" operator="greaterThan">
      <formula>0</formula>
    </cfRule>
  </conditionalFormatting>
  <conditionalFormatting sqref="G51:G52 I51:M52">
    <cfRule type="cellIs" dxfId="16927" priority="885" operator="equal">
      <formula>"PMS"</formula>
    </cfRule>
    <cfRule type="containsText" dxfId="16926" priority="886" operator="containsText" text="CMS">
      <formula>NOT(ISERROR(SEARCH("CMS",G51)))</formula>
    </cfRule>
    <cfRule type="cellIs" dxfId="16925" priority="887" operator="equal">
      <formula>0</formula>
    </cfRule>
    <cfRule type="cellIs" dxfId="16924" priority="888" operator="greaterThan">
      <formula>0</formula>
    </cfRule>
  </conditionalFormatting>
  <conditionalFormatting sqref="G51:G52 I51:M52">
    <cfRule type="cellIs" dxfId="16923" priority="881" operator="equal">
      <formula>"PMS"</formula>
    </cfRule>
    <cfRule type="containsText" dxfId="16922" priority="882" operator="containsText" text="CMS">
      <formula>NOT(ISERROR(SEARCH("CMS",G51)))</formula>
    </cfRule>
    <cfRule type="cellIs" dxfId="16921" priority="883" operator="equal">
      <formula>0</formula>
    </cfRule>
    <cfRule type="cellIs" dxfId="16920" priority="884" operator="greaterThan">
      <formula>0</formula>
    </cfRule>
  </conditionalFormatting>
  <conditionalFormatting sqref="G57:G58">
    <cfRule type="cellIs" dxfId="16919" priority="873" operator="equal">
      <formula>"PMS"</formula>
    </cfRule>
    <cfRule type="containsText" dxfId="16918" priority="874" operator="containsText" text="CMS">
      <formula>NOT(ISERROR(SEARCH("CMS",G57)))</formula>
    </cfRule>
    <cfRule type="cellIs" dxfId="16917" priority="875" operator="equal">
      <formula>0</formula>
    </cfRule>
    <cfRule type="cellIs" dxfId="16916" priority="876" operator="greaterThan">
      <formula>0</formula>
    </cfRule>
    <cfRule type="cellIs" dxfId="16915" priority="877" operator="equal">
      <formula>"PMS"</formula>
    </cfRule>
    <cfRule type="containsText" dxfId="16914" priority="878" operator="containsText" text="CMS">
      <formula>NOT(ISERROR(SEARCH("CMS",G57)))</formula>
    </cfRule>
    <cfRule type="cellIs" dxfId="16913" priority="879" operator="equal">
      <formula>0</formula>
    </cfRule>
    <cfRule type="cellIs" dxfId="16912" priority="880" operator="greaterThan">
      <formula>0</formula>
    </cfRule>
  </conditionalFormatting>
  <conditionalFormatting sqref="G57:G58">
    <cfRule type="cellIs" dxfId="16911" priority="869" operator="equal">
      <formula>"PMS"</formula>
    </cfRule>
    <cfRule type="containsText" dxfId="16910" priority="870" operator="containsText" text="CMS">
      <formula>NOT(ISERROR(SEARCH("CMS",G57)))</formula>
    </cfRule>
    <cfRule type="cellIs" dxfId="16909" priority="871" operator="equal">
      <formula>0</formula>
    </cfRule>
    <cfRule type="cellIs" dxfId="16908" priority="872" operator="greaterThan">
      <formula>0</formula>
    </cfRule>
  </conditionalFormatting>
  <conditionalFormatting sqref="G57:G58">
    <cfRule type="cellIs" dxfId="16907" priority="865" operator="equal">
      <formula>"PMS"</formula>
    </cfRule>
    <cfRule type="containsText" dxfId="16906" priority="866" operator="containsText" text="CMS">
      <formula>NOT(ISERROR(SEARCH("CMS",G57)))</formula>
    </cfRule>
    <cfRule type="cellIs" dxfId="16905" priority="867" operator="equal">
      <formula>0</formula>
    </cfRule>
    <cfRule type="cellIs" dxfId="16904" priority="868" operator="greaterThan">
      <formula>0</formula>
    </cfRule>
  </conditionalFormatting>
  <conditionalFormatting sqref="G32 I32:AC32">
    <cfRule type="cellIs" dxfId="16903" priority="857" operator="equal">
      <formula>"PMS"</formula>
    </cfRule>
    <cfRule type="containsText" dxfId="16902" priority="858" operator="containsText" text="CMS">
      <formula>NOT(ISERROR(SEARCH("CMS",G32)))</formula>
    </cfRule>
    <cfRule type="cellIs" dxfId="16901" priority="859" operator="equal">
      <formula>0</formula>
    </cfRule>
    <cfRule type="cellIs" dxfId="16900" priority="860" operator="greaterThan">
      <formula>0</formula>
    </cfRule>
    <cfRule type="cellIs" dxfId="16899" priority="861" operator="equal">
      <formula>"PMS"</formula>
    </cfRule>
    <cfRule type="containsText" dxfId="16898" priority="862" operator="containsText" text="CMS">
      <formula>NOT(ISERROR(SEARCH("CMS",G32)))</formula>
    </cfRule>
    <cfRule type="cellIs" dxfId="16897" priority="863" operator="equal">
      <formula>0</formula>
    </cfRule>
    <cfRule type="cellIs" dxfId="16896" priority="864" operator="greaterThan">
      <formula>0</formula>
    </cfRule>
  </conditionalFormatting>
  <conditionalFormatting sqref="G32 I32:AC32">
    <cfRule type="cellIs" dxfId="16895" priority="853" operator="equal">
      <formula>"PMS"</formula>
    </cfRule>
    <cfRule type="containsText" dxfId="16894" priority="854" operator="containsText" text="CMS">
      <formula>NOT(ISERROR(SEARCH("CMS",G32)))</formula>
    </cfRule>
    <cfRule type="cellIs" dxfId="16893" priority="855" operator="equal">
      <formula>0</formula>
    </cfRule>
    <cfRule type="cellIs" dxfId="16892" priority="856" operator="greaterThan">
      <formula>0</formula>
    </cfRule>
  </conditionalFormatting>
  <conditionalFormatting sqref="G32 I32:AC32">
    <cfRule type="cellIs" dxfId="16891" priority="849" operator="equal">
      <formula>"PMS"</formula>
    </cfRule>
    <cfRule type="containsText" dxfId="16890" priority="850" operator="containsText" text="CMS">
      <formula>NOT(ISERROR(SEARCH("CMS",G32)))</formula>
    </cfRule>
    <cfRule type="cellIs" dxfId="16889" priority="851" operator="equal">
      <formula>0</formula>
    </cfRule>
    <cfRule type="cellIs" dxfId="16888" priority="852" operator="greaterThan">
      <formula>0</formula>
    </cfRule>
  </conditionalFormatting>
  <conditionalFormatting sqref="F81">
    <cfRule type="cellIs" dxfId="16887" priority="841" operator="equal">
      <formula>"PMS"</formula>
    </cfRule>
    <cfRule type="containsText" dxfId="16886" priority="842" operator="containsText" text="CMS">
      <formula>NOT(ISERROR(SEARCH("CMS",F81)))</formula>
    </cfRule>
    <cfRule type="cellIs" dxfId="16885" priority="843" operator="equal">
      <formula>0</formula>
    </cfRule>
    <cfRule type="cellIs" dxfId="16884" priority="844" operator="greaterThan">
      <formula>0</formula>
    </cfRule>
    <cfRule type="cellIs" dxfId="16883" priority="845" operator="equal">
      <formula>"PMS"</formula>
    </cfRule>
    <cfRule type="containsText" dxfId="16882" priority="846" operator="containsText" text="CMS">
      <formula>NOT(ISERROR(SEARCH("CMS",F81)))</formula>
    </cfRule>
    <cfRule type="cellIs" dxfId="16881" priority="847" operator="equal">
      <formula>0</formula>
    </cfRule>
    <cfRule type="cellIs" dxfId="16880" priority="848" operator="greaterThan">
      <formula>0</formula>
    </cfRule>
  </conditionalFormatting>
  <conditionalFormatting sqref="F81">
    <cfRule type="cellIs" dxfId="16879" priority="837" operator="equal">
      <formula>"PMS"</formula>
    </cfRule>
    <cfRule type="containsText" dxfId="16878" priority="838" operator="containsText" text="CMS">
      <formula>NOT(ISERROR(SEARCH("CMS",F81)))</formula>
    </cfRule>
    <cfRule type="cellIs" dxfId="16877" priority="839" operator="equal">
      <formula>0</formula>
    </cfRule>
    <cfRule type="cellIs" dxfId="16876" priority="840" operator="greaterThan">
      <formula>0</formula>
    </cfRule>
  </conditionalFormatting>
  <conditionalFormatting sqref="H13:H16">
    <cfRule type="cellIs" dxfId="16875" priority="829" operator="equal">
      <formula>"PMS"</formula>
    </cfRule>
    <cfRule type="containsText" dxfId="16874" priority="830" operator="containsText" text="CMS">
      <formula>NOT(ISERROR(SEARCH("CMS",H13)))</formula>
    </cfRule>
    <cfRule type="cellIs" dxfId="16873" priority="831" operator="equal">
      <formula>0</formula>
    </cfRule>
    <cfRule type="cellIs" dxfId="16872" priority="832" operator="greaterThan">
      <formula>0</formula>
    </cfRule>
    <cfRule type="cellIs" dxfId="16871" priority="833" operator="equal">
      <formula>"PMS"</formula>
    </cfRule>
    <cfRule type="containsText" dxfId="16870" priority="834" operator="containsText" text="CMS">
      <formula>NOT(ISERROR(SEARCH("CMS",H13)))</formula>
    </cfRule>
    <cfRule type="cellIs" dxfId="16869" priority="835" operator="equal">
      <formula>0</formula>
    </cfRule>
    <cfRule type="cellIs" dxfId="16868" priority="836" operator="greaterThan">
      <formula>0</formula>
    </cfRule>
  </conditionalFormatting>
  <conditionalFormatting sqref="H13:H16">
    <cfRule type="cellIs" dxfId="16867" priority="825" operator="equal">
      <formula>"PMS"</formula>
    </cfRule>
    <cfRule type="containsText" dxfId="16866" priority="826" operator="containsText" text="CMS">
      <formula>NOT(ISERROR(SEARCH("CMS",H13)))</formula>
    </cfRule>
    <cfRule type="cellIs" dxfId="16865" priority="827" operator="equal">
      <formula>0</formula>
    </cfRule>
    <cfRule type="cellIs" dxfId="16864" priority="828" operator="greaterThan">
      <formula>0</formula>
    </cfRule>
  </conditionalFormatting>
  <conditionalFormatting sqref="H13:H16">
    <cfRule type="cellIs" dxfId="16863" priority="821" operator="equal">
      <formula>"PMS"</formula>
    </cfRule>
    <cfRule type="containsText" dxfId="16862" priority="822" operator="containsText" text="CMS">
      <formula>NOT(ISERROR(SEARCH("CMS",H13)))</formula>
    </cfRule>
    <cfRule type="cellIs" dxfId="16861" priority="823" operator="equal">
      <formula>0</formula>
    </cfRule>
    <cfRule type="cellIs" dxfId="16860" priority="824" operator="greaterThan">
      <formula>0</formula>
    </cfRule>
  </conditionalFormatting>
  <conditionalFormatting sqref="H13">
    <cfRule type="cellIs" dxfId="16859" priority="817" operator="equal">
      <formula>"PMS"</formula>
    </cfRule>
    <cfRule type="containsText" dxfId="16858" priority="818" operator="containsText" text="CMS">
      <formula>NOT(ISERROR(SEARCH("CMS",H13)))</formula>
    </cfRule>
    <cfRule type="cellIs" dxfId="16857" priority="819" operator="equal">
      <formula>0</formula>
    </cfRule>
    <cfRule type="cellIs" dxfId="16856" priority="820" operator="greaterThan">
      <formula>0</formula>
    </cfRule>
  </conditionalFormatting>
  <conditionalFormatting sqref="H13">
    <cfRule type="cellIs" dxfId="16855" priority="813" operator="equal">
      <formula>"PMS"</formula>
    </cfRule>
    <cfRule type="containsText" dxfId="16854" priority="814" operator="containsText" text="CMS">
      <formula>NOT(ISERROR(SEARCH("CMS",H13)))</formula>
    </cfRule>
    <cfRule type="cellIs" dxfId="16853" priority="815" operator="equal">
      <formula>0</formula>
    </cfRule>
    <cfRule type="cellIs" dxfId="16852" priority="816" operator="greaterThan">
      <formula>0</formula>
    </cfRule>
  </conditionalFormatting>
  <conditionalFormatting sqref="H20:H21">
    <cfRule type="cellIs" dxfId="16851" priority="805" operator="equal">
      <formula>"PMS"</formula>
    </cfRule>
    <cfRule type="containsText" dxfId="16850" priority="806" operator="containsText" text="CMS">
      <formula>NOT(ISERROR(SEARCH("CMS",H20)))</formula>
    </cfRule>
    <cfRule type="cellIs" dxfId="16849" priority="807" operator="equal">
      <formula>0</formula>
    </cfRule>
    <cfRule type="cellIs" dxfId="16848" priority="808" operator="greaterThan">
      <formula>0</formula>
    </cfRule>
    <cfRule type="cellIs" dxfId="16847" priority="809" operator="equal">
      <formula>"PMS"</formula>
    </cfRule>
    <cfRule type="containsText" dxfId="16846" priority="810" operator="containsText" text="CMS">
      <formula>NOT(ISERROR(SEARCH("CMS",H20)))</formula>
    </cfRule>
    <cfRule type="cellIs" dxfId="16845" priority="811" operator="equal">
      <formula>0</formula>
    </cfRule>
    <cfRule type="cellIs" dxfId="16844" priority="812" operator="greaterThan">
      <formula>0</formula>
    </cfRule>
  </conditionalFormatting>
  <conditionalFormatting sqref="H20:H21">
    <cfRule type="cellIs" dxfId="16843" priority="801" operator="equal">
      <formula>"PMS"</formula>
    </cfRule>
    <cfRule type="containsText" dxfId="16842" priority="802" operator="containsText" text="CMS">
      <formula>NOT(ISERROR(SEARCH("CMS",H20)))</formula>
    </cfRule>
    <cfRule type="cellIs" dxfId="16841" priority="803" operator="equal">
      <formula>0</formula>
    </cfRule>
    <cfRule type="cellIs" dxfId="16840" priority="804" operator="greaterThan">
      <formula>0</formula>
    </cfRule>
  </conditionalFormatting>
  <conditionalFormatting sqref="H20:H21">
    <cfRule type="cellIs" dxfId="16839" priority="797" operator="equal">
      <formula>"PMS"</formula>
    </cfRule>
    <cfRule type="containsText" dxfId="16838" priority="798" operator="containsText" text="CMS">
      <formula>NOT(ISERROR(SEARCH("CMS",H20)))</formula>
    </cfRule>
    <cfRule type="cellIs" dxfId="16837" priority="799" operator="equal">
      <formula>0</formula>
    </cfRule>
    <cfRule type="cellIs" dxfId="16836" priority="800" operator="greaterThan">
      <formula>0</formula>
    </cfRule>
  </conditionalFormatting>
  <conditionalFormatting sqref="H19">
    <cfRule type="cellIs" dxfId="16835" priority="793" operator="equal">
      <formula>"CMS"</formula>
    </cfRule>
    <cfRule type="cellIs" dxfId="16834" priority="794" operator="equal">
      <formula>"PMS"</formula>
    </cfRule>
    <cfRule type="cellIs" dxfId="16833" priority="795" operator="greaterThan">
      <formula>0</formula>
    </cfRule>
    <cfRule type="cellIs" dxfId="16832" priority="796" operator="equal">
      <formula>0</formula>
    </cfRule>
  </conditionalFormatting>
  <conditionalFormatting sqref="H24">
    <cfRule type="cellIs" dxfId="16831" priority="785" operator="equal">
      <formula>"PMS"</formula>
    </cfRule>
    <cfRule type="containsText" dxfId="16830" priority="786" operator="containsText" text="CMS">
      <formula>NOT(ISERROR(SEARCH("CMS",H24)))</formula>
    </cfRule>
    <cfRule type="cellIs" dxfId="16829" priority="787" operator="equal">
      <formula>0</formula>
    </cfRule>
    <cfRule type="cellIs" dxfId="16828" priority="788" operator="greaterThan">
      <formula>0</formula>
    </cfRule>
    <cfRule type="cellIs" dxfId="16827" priority="789" operator="equal">
      <formula>"PMS"</formula>
    </cfRule>
    <cfRule type="containsText" dxfId="16826" priority="790" operator="containsText" text="CMS">
      <formula>NOT(ISERROR(SEARCH("CMS",H24)))</formula>
    </cfRule>
    <cfRule type="cellIs" dxfId="16825" priority="791" operator="equal">
      <formula>0</formula>
    </cfRule>
    <cfRule type="cellIs" dxfId="16824" priority="792" operator="greaterThan">
      <formula>0</formula>
    </cfRule>
  </conditionalFormatting>
  <conditionalFormatting sqref="H24">
    <cfRule type="cellIs" dxfId="16823" priority="781" operator="equal">
      <formula>"PMS"</formula>
    </cfRule>
    <cfRule type="containsText" dxfId="16822" priority="782" operator="containsText" text="CMS">
      <formula>NOT(ISERROR(SEARCH("CMS",H24)))</formula>
    </cfRule>
    <cfRule type="cellIs" dxfId="16821" priority="783" operator="equal">
      <formula>0</formula>
    </cfRule>
    <cfRule type="cellIs" dxfId="16820" priority="784" operator="greaterThan">
      <formula>0</formula>
    </cfRule>
  </conditionalFormatting>
  <conditionalFormatting sqref="H24">
    <cfRule type="cellIs" dxfId="16819" priority="777" operator="equal">
      <formula>"PMS"</formula>
    </cfRule>
    <cfRule type="containsText" dxfId="16818" priority="778" operator="containsText" text="CMS">
      <formula>NOT(ISERROR(SEARCH("CMS",H24)))</formula>
    </cfRule>
    <cfRule type="cellIs" dxfId="16817" priority="779" operator="equal">
      <formula>0</formula>
    </cfRule>
    <cfRule type="cellIs" dxfId="16816" priority="780" operator="greaterThan">
      <formula>0</formula>
    </cfRule>
  </conditionalFormatting>
  <conditionalFormatting sqref="H27:H28">
    <cfRule type="cellIs" dxfId="16815" priority="769" operator="equal">
      <formula>"PMS"</formula>
    </cfRule>
    <cfRule type="containsText" dxfId="16814" priority="770" operator="containsText" text="CMS">
      <formula>NOT(ISERROR(SEARCH("CMS",H27)))</formula>
    </cfRule>
    <cfRule type="cellIs" dxfId="16813" priority="771" operator="equal">
      <formula>0</formula>
    </cfRule>
    <cfRule type="cellIs" dxfId="16812" priority="772" operator="greaterThan">
      <formula>0</formula>
    </cfRule>
    <cfRule type="cellIs" dxfId="16811" priority="773" operator="equal">
      <formula>"PMS"</formula>
    </cfRule>
    <cfRule type="containsText" dxfId="16810" priority="774" operator="containsText" text="CMS">
      <formula>NOT(ISERROR(SEARCH("CMS",H27)))</formula>
    </cfRule>
    <cfRule type="cellIs" dxfId="16809" priority="775" operator="equal">
      <formula>0</formula>
    </cfRule>
    <cfRule type="cellIs" dxfId="16808" priority="776" operator="greaterThan">
      <formula>0</formula>
    </cfRule>
  </conditionalFormatting>
  <conditionalFormatting sqref="H27:H28">
    <cfRule type="cellIs" dxfId="16807" priority="765" operator="equal">
      <formula>"PMS"</formula>
    </cfRule>
    <cfRule type="containsText" dxfId="16806" priority="766" operator="containsText" text="CMS">
      <formula>NOT(ISERROR(SEARCH("CMS",H27)))</formula>
    </cfRule>
    <cfRule type="cellIs" dxfId="16805" priority="767" operator="equal">
      <formula>0</formula>
    </cfRule>
    <cfRule type="cellIs" dxfId="16804" priority="768" operator="greaterThan">
      <formula>0</formula>
    </cfRule>
  </conditionalFormatting>
  <conditionalFormatting sqref="H27:H28">
    <cfRule type="cellIs" dxfId="16803" priority="761" operator="equal">
      <formula>"PMS"</formula>
    </cfRule>
    <cfRule type="containsText" dxfId="16802" priority="762" operator="containsText" text="CMS">
      <formula>NOT(ISERROR(SEARCH("CMS",H27)))</formula>
    </cfRule>
    <cfRule type="cellIs" dxfId="16801" priority="763" operator="equal">
      <formula>0</formula>
    </cfRule>
    <cfRule type="cellIs" dxfId="16800" priority="764" operator="greaterThan">
      <formula>0</formula>
    </cfRule>
  </conditionalFormatting>
  <conditionalFormatting sqref="H29">
    <cfRule type="cellIs" dxfId="16799" priority="753" operator="equal">
      <formula>"PMS"</formula>
    </cfRule>
    <cfRule type="containsText" dxfId="16798" priority="754" operator="containsText" text="CMS">
      <formula>NOT(ISERROR(SEARCH("CMS",H29)))</formula>
    </cfRule>
    <cfRule type="cellIs" dxfId="16797" priority="755" operator="equal">
      <formula>0</formula>
    </cfRule>
    <cfRule type="cellIs" dxfId="16796" priority="756" operator="greaterThan">
      <formula>0</formula>
    </cfRule>
    <cfRule type="cellIs" dxfId="16795" priority="757" operator="equal">
      <formula>"PMS"</formula>
    </cfRule>
    <cfRule type="containsText" dxfId="16794" priority="758" operator="containsText" text="CMS">
      <formula>NOT(ISERROR(SEARCH("CMS",H29)))</formula>
    </cfRule>
    <cfRule type="cellIs" dxfId="16793" priority="759" operator="equal">
      <formula>0</formula>
    </cfRule>
    <cfRule type="cellIs" dxfId="16792" priority="760" operator="greaterThan">
      <formula>0</formula>
    </cfRule>
  </conditionalFormatting>
  <conditionalFormatting sqref="H32">
    <cfRule type="cellIs" dxfId="16791" priority="745" operator="equal">
      <formula>"PMS"</formula>
    </cfRule>
    <cfRule type="containsText" dxfId="16790" priority="746" operator="containsText" text="CMS">
      <formula>NOT(ISERROR(SEARCH("CMS",H32)))</formula>
    </cfRule>
    <cfRule type="cellIs" dxfId="16789" priority="747" operator="equal">
      <formula>0</formula>
    </cfRule>
    <cfRule type="cellIs" dxfId="16788" priority="748" operator="greaterThan">
      <formula>0</formula>
    </cfRule>
    <cfRule type="cellIs" dxfId="16787" priority="749" operator="equal">
      <formula>"PMS"</formula>
    </cfRule>
    <cfRule type="containsText" dxfId="16786" priority="750" operator="containsText" text="CMS">
      <formula>NOT(ISERROR(SEARCH("CMS",H32)))</formula>
    </cfRule>
    <cfRule type="cellIs" dxfId="16785" priority="751" operator="equal">
      <formula>0</formula>
    </cfRule>
    <cfRule type="cellIs" dxfId="16784" priority="752" operator="greaterThan">
      <formula>0</formula>
    </cfRule>
  </conditionalFormatting>
  <conditionalFormatting sqref="H32">
    <cfRule type="cellIs" dxfId="16783" priority="741" operator="equal">
      <formula>"PMS"</formula>
    </cfRule>
    <cfRule type="containsText" dxfId="16782" priority="742" operator="containsText" text="CMS">
      <formula>NOT(ISERROR(SEARCH("CMS",H32)))</formula>
    </cfRule>
    <cfRule type="cellIs" dxfId="16781" priority="743" operator="equal">
      <formula>0</formula>
    </cfRule>
    <cfRule type="cellIs" dxfId="16780" priority="744" operator="greaterThan">
      <formula>0</formula>
    </cfRule>
  </conditionalFormatting>
  <conditionalFormatting sqref="H32">
    <cfRule type="cellIs" dxfId="16779" priority="737" operator="equal">
      <formula>"PMS"</formula>
    </cfRule>
    <cfRule type="containsText" dxfId="16778" priority="738" operator="containsText" text="CMS">
      <formula>NOT(ISERROR(SEARCH("CMS",H32)))</formula>
    </cfRule>
    <cfRule type="cellIs" dxfId="16777" priority="739" operator="equal">
      <formula>0</formula>
    </cfRule>
    <cfRule type="cellIs" dxfId="16776" priority="740" operator="greaterThan">
      <formula>0</formula>
    </cfRule>
  </conditionalFormatting>
  <conditionalFormatting sqref="H35:H58">
    <cfRule type="cellIs" dxfId="16775" priority="729" operator="equal">
      <formula>"PMS"</formula>
    </cfRule>
    <cfRule type="containsText" dxfId="16774" priority="730" operator="containsText" text="CMS">
      <formula>NOT(ISERROR(SEARCH("CMS",H35)))</formula>
    </cfRule>
    <cfRule type="cellIs" dxfId="16773" priority="731" operator="equal">
      <formula>0</formula>
    </cfRule>
    <cfRule type="cellIs" dxfId="16772" priority="732" operator="greaterThan">
      <formula>0</formula>
    </cfRule>
    <cfRule type="cellIs" dxfId="16771" priority="733" operator="equal">
      <formula>"PMS"</formula>
    </cfRule>
    <cfRule type="containsText" dxfId="16770" priority="734" operator="containsText" text="CMS">
      <formula>NOT(ISERROR(SEARCH("CMS",H35)))</formula>
    </cfRule>
    <cfRule type="cellIs" dxfId="16769" priority="735" operator="equal">
      <formula>0</formula>
    </cfRule>
    <cfRule type="cellIs" dxfId="16768" priority="736" operator="greaterThan">
      <formula>0</formula>
    </cfRule>
  </conditionalFormatting>
  <conditionalFormatting sqref="H35:H58">
    <cfRule type="cellIs" dxfId="16767" priority="725" operator="equal">
      <formula>"PMS"</formula>
    </cfRule>
    <cfRule type="containsText" dxfId="16766" priority="726" operator="containsText" text="CMS">
      <formula>NOT(ISERROR(SEARCH("CMS",H35)))</formula>
    </cfRule>
    <cfRule type="cellIs" dxfId="16765" priority="727" operator="equal">
      <formula>0</formula>
    </cfRule>
    <cfRule type="cellIs" dxfId="16764" priority="728" operator="greaterThan">
      <formula>0</formula>
    </cfRule>
  </conditionalFormatting>
  <conditionalFormatting sqref="H35:H58">
    <cfRule type="cellIs" dxfId="16763" priority="721" operator="equal">
      <formula>"PMS"</formula>
    </cfRule>
    <cfRule type="containsText" dxfId="16762" priority="722" operator="containsText" text="CMS">
      <formula>NOT(ISERROR(SEARCH("CMS",H35)))</formula>
    </cfRule>
    <cfRule type="cellIs" dxfId="16761" priority="723" operator="equal">
      <formula>0</formula>
    </cfRule>
    <cfRule type="cellIs" dxfId="16760" priority="724" operator="greaterThan">
      <formula>0</formula>
    </cfRule>
  </conditionalFormatting>
  <conditionalFormatting sqref="H57">
    <cfRule type="cellIs" dxfId="16759" priority="717" operator="equal">
      <formula>"PMS"</formula>
    </cfRule>
    <cfRule type="containsText" dxfId="16758" priority="718" operator="containsText" text="CMS">
      <formula>NOT(ISERROR(SEARCH("CMS",H57)))</formula>
    </cfRule>
    <cfRule type="cellIs" dxfId="16757" priority="719" operator="equal">
      <formula>0</formula>
    </cfRule>
    <cfRule type="cellIs" dxfId="16756" priority="720" operator="greaterThan">
      <formula>0</formula>
    </cfRule>
  </conditionalFormatting>
  <conditionalFormatting sqref="H57">
    <cfRule type="cellIs" dxfId="16755" priority="713" operator="equal">
      <formula>"PMS"</formula>
    </cfRule>
    <cfRule type="containsText" dxfId="16754" priority="714" operator="containsText" text="CMS">
      <formula>NOT(ISERROR(SEARCH("CMS",H57)))</formula>
    </cfRule>
    <cfRule type="cellIs" dxfId="16753" priority="715" operator="equal">
      <formula>0</formula>
    </cfRule>
    <cfRule type="cellIs" dxfId="16752" priority="716" operator="greaterThan">
      <formula>0</formula>
    </cfRule>
  </conditionalFormatting>
  <conditionalFormatting sqref="H57">
    <cfRule type="cellIs" dxfId="16751" priority="709" operator="equal">
      <formula>"PMS"</formula>
    </cfRule>
    <cfRule type="containsText" dxfId="16750" priority="710" operator="containsText" text="CMS">
      <formula>NOT(ISERROR(SEARCH("CMS",H57)))</formula>
    </cfRule>
    <cfRule type="cellIs" dxfId="16749" priority="711" operator="equal">
      <formula>0</formula>
    </cfRule>
    <cfRule type="cellIs" dxfId="16748" priority="712" operator="greaterThan">
      <formula>0</formula>
    </cfRule>
  </conditionalFormatting>
  <conditionalFormatting sqref="H57">
    <cfRule type="cellIs" dxfId="16747" priority="705" operator="equal">
      <formula>"PMS"</formula>
    </cfRule>
    <cfRule type="containsText" dxfId="16746" priority="706" operator="containsText" text="CMS">
      <formula>NOT(ISERROR(SEARCH("CMS",H57)))</formula>
    </cfRule>
    <cfRule type="cellIs" dxfId="16745" priority="707" operator="equal">
      <formula>0</formula>
    </cfRule>
    <cfRule type="cellIs" dxfId="16744" priority="708" operator="greaterThan">
      <formula>0</formula>
    </cfRule>
  </conditionalFormatting>
  <conditionalFormatting sqref="H58">
    <cfRule type="cellIs" dxfId="16743" priority="701" operator="equal">
      <formula>"PMS"</formula>
    </cfRule>
    <cfRule type="containsText" dxfId="16742" priority="702" operator="containsText" text="CMS">
      <formula>NOT(ISERROR(SEARCH("CMS",H58)))</formula>
    </cfRule>
    <cfRule type="cellIs" dxfId="16741" priority="703" operator="equal">
      <formula>0</formula>
    </cfRule>
    <cfRule type="cellIs" dxfId="16740" priority="704" operator="greaterThan">
      <formula>0</formula>
    </cfRule>
  </conditionalFormatting>
  <conditionalFormatting sqref="H58">
    <cfRule type="cellIs" dxfId="16739" priority="697" operator="equal">
      <formula>"PMS"</formula>
    </cfRule>
    <cfRule type="containsText" dxfId="16738" priority="698" operator="containsText" text="CMS">
      <formula>NOT(ISERROR(SEARCH("CMS",H58)))</formula>
    </cfRule>
    <cfRule type="cellIs" dxfId="16737" priority="699" operator="equal">
      <formula>0</formula>
    </cfRule>
    <cfRule type="cellIs" dxfId="16736" priority="700" operator="greaterThan">
      <formula>0</formula>
    </cfRule>
  </conditionalFormatting>
  <conditionalFormatting sqref="H58">
    <cfRule type="cellIs" dxfId="16735" priority="693" operator="equal">
      <formula>"PMS"</formula>
    </cfRule>
    <cfRule type="containsText" dxfId="16734" priority="694" operator="containsText" text="CMS">
      <formula>NOT(ISERROR(SEARCH("CMS",H58)))</formula>
    </cfRule>
    <cfRule type="cellIs" dxfId="16733" priority="695" operator="equal">
      <formula>0</formula>
    </cfRule>
    <cfRule type="cellIs" dxfId="16732" priority="696" operator="greaterThan">
      <formula>0</formula>
    </cfRule>
  </conditionalFormatting>
  <conditionalFormatting sqref="H58">
    <cfRule type="cellIs" dxfId="16731" priority="689" operator="equal">
      <formula>"PMS"</formula>
    </cfRule>
    <cfRule type="containsText" dxfId="16730" priority="690" operator="containsText" text="CMS">
      <formula>NOT(ISERROR(SEARCH("CMS",H58)))</formula>
    </cfRule>
    <cfRule type="cellIs" dxfId="16729" priority="691" operator="equal">
      <formula>0</formula>
    </cfRule>
    <cfRule type="cellIs" dxfId="16728" priority="692" operator="greaterThan">
      <formula>0</formula>
    </cfRule>
  </conditionalFormatting>
  <conditionalFormatting sqref="H62">
    <cfRule type="cellIs" dxfId="16727" priority="681" operator="equal">
      <formula>"PMS"</formula>
    </cfRule>
    <cfRule type="containsText" dxfId="16726" priority="682" operator="containsText" text="CMS">
      <formula>NOT(ISERROR(SEARCH("CMS",H62)))</formula>
    </cfRule>
    <cfRule type="cellIs" dxfId="16725" priority="683" operator="equal">
      <formula>0</formula>
    </cfRule>
    <cfRule type="cellIs" dxfId="16724" priority="684" operator="greaterThan">
      <formula>0</formula>
    </cfRule>
    <cfRule type="cellIs" dxfId="16723" priority="685" operator="equal">
      <formula>"PMS"</formula>
    </cfRule>
    <cfRule type="containsText" dxfId="16722" priority="686" operator="containsText" text="CMS">
      <formula>NOT(ISERROR(SEARCH("CMS",H62)))</formula>
    </cfRule>
    <cfRule type="cellIs" dxfId="16721" priority="687" operator="equal">
      <formula>0</formula>
    </cfRule>
    <cfRule type="cellIs" dxfId="16720" priority="688" operator="greaterThan">
      <formula>0</formula>
    </cfRule>
  </conditionalFormatting>
  <conditionalFormatting sqref="H62">
    <cfRule type="cellIs" dxfId="16719" priority="677" operator="equal">
      <formula>"PMS"</formula>
    </cfRule>
    <cfRule type="containsText" dxfId="16718" priority="678" operator="containsText" text="CMS">
      <formula>NOT(ISERROR(SEARCH("CMS",H62)))</formula>
    </cfRule>
    <cfRule type="cellIs" dxfId="16717" priority="679" operator="equal">
      <formula>0</formula>
    </cfRule>
    <cfRule type="cellIs" dxfId="16716" priority="680" operator="greaterThan">
      <formula>0</formula>
    </cfRule>
  </conditionalFormatting>
  <conditionalFormatting sqref="H66:H74">
    <cfRule type="cellIs" dxfId="16715" priority="669" operator="equal">
      <formula>"PMS"</formula>
    </cfRule>
    <cfRule type="containsText" dxfId="16714" priority="670" operator="containsText" text="CMS">
      <formula>NOT(ISERROR(SEARCH("CMS",H66)))</formula>
    </cfRule>
    <cfRule type="cellIs" dxfId="16713" priority="671" operator="equal">
      <formula>0</formula>
    </cfRule>
    <cfRule type="cellIs" dxfId="16712" priority="672" operator="greaterThan">
      <formula>0</formula>
    </cfRule>
    <cfRule type="cellIs" dxfId="16711" priority="673" operator="equal">
      <formula>"PMS"</formula>
    </cfRule>
    <cfRule type="containsText" dxfId="16710" priority="674" operator="containsText" text="CMS">
      <formula>NOT(ISERROR(SEARCH("CMS",H66)))</formula>
    </cfRule>
    <cfRule type="cellIs" dxfId="16709" priority="675" operator="equal">
      <formula>0</formula>
    </cfRule>
    <cfRule type="cellIs" dxfId="16708" priority="676" operator="greaterThan">
      <formula>0</formula>
    </cfRule>
  </conditionalFormatting>
  <conditionalFormatting sqref="H66:H74">
    <cfRule type="cellIs" dxfId="16707" priority="665" operator="equal">
      <formula>"PMS"</formula>
    </cfRule>
    <cfRule type="containsText" dxfId="16706" priority="666" operator="containsText" text="CMS">
      <formula>NOT(ISERROR(SEARCH("CMS",H66)))</formula>
    </cfRule>
    <cfRule type="cellIs" dxfId="16705" priority="667" operator="equal">
      <formula>0</formula>
    </cfRule>
    <cfRule type="cellIs" dxfId="16704" priority="668" operator="greaterThan">
      <formula>0</formula>
    </cfRule>
  </conditionalFormatting>
  <conditionalFormatting sqref="H66:H74">
    <cfRule type="cellIs" dxfId="16703" priority="661" operator="equal">
      <formula>"PMS"</formula>
    </cfRule>
    <cfRule type="containsText" dxfId="16702" priority="662" operator="containsText" text="CMS">
      <formula>NOT(ISERROR(SEARCH("CMS",H66)))</formula>
    </cfRule>
    <cfRule type="cellIs" dxfId="16701" priority="663" operator="equal">
      <formula>0</formula>
    </cfRule>
    <cfRule type="cellIs" dxfId="16700" priority="664" operator="greaterThan">
      <formula>0</formula>
    </cfRule>
  </conditionalFormatting>
  <conditionalFormatting sqref="H77:H78">
    <cfRule type="cellIs" dxfId="16699" priority="653" operator="equal">
      <formula>"PMS"</formula>
    </cfRule>
    <cfRule type="containsText" dxfId="16698" priority="654" operator="containsText" text="CMS">
      <formula>NOT(ISERROR(SEARCH("CMS",H77)))</formula>
    </cfRule>
    <cfRule type="cellIs" dxfId="16697" priority="655" operator="equal">
      <formula>0</formula>
    </cfRule>
    <cfRule type="cellIs" dxfId="16696" priority="656" operator="greaterThan">
      <formula>0</formula>
    </cfRule>
    <cfRule type="cellIs" dxfId="16695" priority="657" operator="equal">
      <formula>"PMS"</formula>
    </cfRule>
    <cfRule type="containsText" dxfId="16694" priority="658" operator="containsText" text="CMS">
      <formula>NOT(ISERROR(SEARCH("CMS",H77)))</formula>
    </cfRule>
    <cfRule type="cellIs" dxfId="16693" priority="659" operator="equal">
      <formula>0</formula>
    </cfRule>
    <cfRule type="cellIs" dxfId="16692" priority="660" operator="greaterThan">
      <formula>0</formula>
    </cfRule>
  </conditionalFormatting>
  <conditionalFormatting sqref="H77:H78">
    <cfRule type="cellIs" dxfId="16691" priority="649" operator="equal">
      <formula>"PMS"</formula>
    </cfRule>
    <cfRule type="containsText" dxfId="16690" priority="650" operator="containsText" text="CMS">
      <formula>NOT(ISERROR(SEARCH("CMS",H77)))</formula>
    </cfRule>
    <cfRule type="cellIs" dxfId="16689" priority="651" operator="equal">
      <formula>0</formula>
    </cfRule>
    <cfRule type="cellIs" dxfId="16688" priority="652" operator="greaterThan">
      <formula>0</formula>
    </cfRule>
  </conditionalFormatting>
  <conditionalFormatting sqref="O56:O57">
    <cfRule type="cellIs" dxfId="16687" priority="645" operator="equal">
      <formula>"PMS"</formula>
    </cfRule>
    <cfRule type="containsText" dxfId="16686" priority="646" operator="containsText" text="CMS">
      <formula>NOT(ISERROR(SEARCH("CMS",O56)))</formula>
    </cfRule>
    <cfRule type="cellIs" dxfId="16685" priority="647" operator="equal">
      <formula>0</formula>
    </cfRule>
    <cfRule type="cellIs" dxfId="16684" priority="648" operator="greaterThan">
      <formula>0</formula>
    </cfRule>
  </conditionalFormatting>
  <conditionalFormatting sqref="O56:O57">
    <cfRule type="cellIs" dxfId="16683" priority="641" operator="equal">
      <formula>"PMS"</formula>
    </cfRule>
    <cfRule type="containsText" dxfId="16682" priority="642" operator="containsText" text="CMS">
      <formula>NOT(ISERROR(SEARCH("CMS",O56)))</formula>
    </cfRule>
    <cfRule type="cellIs" dxfId="16681" priority="643" operator="equal">
      <formula>0</formula>
    </cfRule>
    <cfRule type="cellIs" dxfId="16680" priority="644" operator="greaterThan">
      <formula>0</formula>
    </cfRule>
  </conditionalFormatting>
  <conditionalFormatting sqref="O56:O57">
    <cfRule type="cellIs" dxfId="16679" priority="637" operator="equal">
      <formula>"PMS"</formula>
    </cfRule>
    <cfRule type="containsText" dxfId="16678" priority="638" operator="containsText" text="CMS">
      <formula>NOT(ISERROR(SEARCH("CMS",O56)))</formula>
    </cfRule>
    <cfRule type="cellIs" dxfId="16677" priority="639" operator="equal">
      <formula>0</formula>
    </cfRule>
    <cfRule type="cellIs" dxfId="16676" priority="640" operator="greaterThan">
      <formula>0</formula>
    </cfRule>
  </conditionalFormatting>
  <conditionalFormatting sqref="O56:O57">
    <cfRule type="cellIs" dxfId="16675" priority="633" operator="equal">
      <formula>"PMS"</formula>
    </cfRule>
    <cfRule type="containsText" dxfId="16674" priority="634" operator="containsText" text="CMS">
      <formula>NOT(ISERROR(SEARCH("CMS",O56)))</formula>
    </cfRule>
    <cfRule type="cellIs" dxfId="16673" priority="635" operator="equal">
      <formula>0</formula>
    </cfRule>
    <cfRule type="cellIs" dxfId="16672" priority="636" operator="greaterThan">
      <formula>0</formula>
    </cfRule>
  </conditionalFormatting>
  <conditionalFormatting sqref="O56:O57">
    <cfRule type="cellIs" dxfId="16671" priority="629" operator="equal">
      <formula>"PMS"</formula>
    </cfRule>
    <cfRule type="containsText" dxfId="16670" priority="630" operator="containsText" text="CMS">
      <formula>NOT(ISERROR(SEARCH("CMS",O56)))</formula>
    </cfRule>
    <cfRule type="cellIs" dxfId="16669" priority="631" operator="equal">
      <formula>0</formula>
    </cfRule>
    <cfRule type="cellIs" dxfId="16668" priority="632" operator="greaterThan">
      <formula>0</formula>
    </cfRule>
  </conditionalFormatting>
  <conditionalFormatting sqref="O56:O57">
    <cfRule type="cellIs" dxfId="16667" priority="625" operator="equal">
      <formula>"PMS"</formula>
    </cfRule>
    <cfRule type="containsText" dxfId="16666" priority="626" operator="containsText" text="CMS">
      <formula>NOT(ISERROR(SEARCH("CMS",O56)))</formula>
    </cfRule>
    <cfRule type="cellIs" dxfId="16665" priority="627" operator="equal">
      <formula>0</formula>
    </cfRule>
    <cfRule type="cellIs" dxfId="16664" priority="628" operator="greaterThan">
      <formula>0</formula>
    </cfRule>
  </conditionalFormatting>
  <conditionalFormatting sqref="O56:O57">
    <cfRule type="cellIs" dxfId="16663" priority="621" operator="equal">
      <formula>"PMS"</formula>
    </cfRule>
    <cfRule type="containsText" dxfId="16662" priority="622" operator="containsText" text="CMS">
      <formula>NOT(ISERROR(SEARCH("CMS",O56)))</formula>
    </cfRule>
    <cfRule type="cellIs" dxfId="16661" priority="623" operator="equal">
      <formula>0</formula>
    </cfRule>
    <cfRule type="cellIs" dxfId="16660" priority="624" operator="greaterThan">
      <formula>0</formula>
    </cfRule>
  </conditionalFormatting>
  <conditionalFormatting sqref="O56:O57">
    <cfRule type="cellIs" dxfId="16659" priority="617" operator="equal">
      <formula>"PMS"</formula>
    </cfRule>
    <cfRule type="containsText" dxfId="16658" priority="618" operator="containsText" text="CMS">
      <formula>NOT(ISERROR(SEARCH("CMS",O56)))</formula>
    </cfRule>
    <cfRule type="cellIs" dxfId="16657" priority="619" operator="equal">
      <formula>0</formula>
    </cfRule>
    <cfRule type="cellIs" dxfId="16656" priority="620" operator="greaterThan">
      <formula>0</formula>
    </cfRule>
  </conditionalFormatting>
  <conditionalFormatting sqref="O56:O57">
    <cfRule type="cellIs" dxfId="16655" priority="613" operator="equal">
      <formula>"PMS"</formula>
    </cfRule>
    <cfRule type="containsText" dxfId="16654" priority="614" operator="containsText" text="CMS">
      <formula>NOT(ISERROR(SEARCH("CMS",O56)))</formula>
    </cfRule>
    <cfRule type="cellIs" dxfId="16653" priority="615" operator="equal">
      <formula>0</formula>
    </cfRule>
    <cfRule type="cellIs" dxfId="16652" priority="616" operator="greaterThan">
      <formula>0</formula>
    </cfRule>
  </conditionalFormatting>
  <conditionalFormatting sqref="O56:O57">
    <cfRule type="cellIs" dxfId="16651" priority="609" operator="equal">
      <formula>"PMS"</formula>
    </cfRule>
    <cfRule type="containsText" dxfId="16650" priority="610" operator="containsText" text="CMS">
      <formula>NOT(ISERROR(SEARCH("CMS",O56)))</formula>
    </cfRule>
    <cfRule type="cellIs" dxfId="16649" priority="611" operator="equal">
      <formula>0</formula>
    </cfRule>
    <cfRule type="cellIs" dxfId="16648" priority="612" operator="greaterThan">
      <formula>0</formula>
    </cfRule>
  </conditionalFormatting>
  <conditionalFormatting sqref="O56:O57">
    <cfRule type="cellIs" dxfId="16647" priority="605" operator="equal">
      <formula>"PMS"</formula>
    </cfRule>
    <cfRule type="containsText" dxfId="16646" priority="606" operator="containsText" text="CMS">
      <formula>NOT(ISERROR(SEARCH("CMS",O56)))</formula>
    </cfRule>
    <cfRule type="cellIs" dxfId="16645" priority="607" operator="equal">
      <formula>0</formula>
    </cfRule>
    <cfRule type="cellIs" dxfId="16644" priority="608" operator="greaterThan">
      <formula>0</formula>
    </cfRule>
  </conditionalFormatting>
  <conditionalFormatting sqref="O56:O57">
    <cfRule type="cellIs" dxfId="16643" priority="601" operator="equal">
      <formula>"PMS"</formula>
    </cfRule>
    <cfRule type="containsText" dxfId="16642" priority="602" operator="containsText" text="CMS">
      <formula>NOT(ISERROR(SEARCH("CMS",O56)))</formula>
    </cfRule>
    <cfRule type="cellIs" dxfId="16641" priority="603" operator="equal">
      <formula>0</formula>
    </cfRule>
    <cfRule type="cellIs" dxfId="16640" priority="604" operator="greaterThan">
      <formula>0</formula>
    </cfRule>
  </conditionalFormatting>
  <conditionalFormatting sqref="R77">
    <cfRule type="cellIs" dxfId="16639" priority="597" operator="equal">
      <formula>"PMS"</formula>
    </cfRule>
    <cfRule type="containsText" dxfId="16638" priority="598" operator="containsText" text="CMS">
      <formula>NOT(ISERROR(SEARCH("CMS",R77)))</formula>
    </cfRule>
    <cfRule type="cellIs" dxfId="16637" priority="599" operator="equal">
      <formula>0</formula>
    </cfRule>
    <cfRule type="cellIs" dxfId="16636" priority="600" operator="greaterThan">
      <formula>0</formula>
    </cfRule>
  </conditionalFormatting>
  <conditionalFormatting sqref="G15:G16">
    <cfRule type="cellIs" dxfId="16635" priority="589" operator="equal">
      <formula>"PMS"</formula>
    </cfRule>
    <cfRule type="containsText" dxfId="16634" priority="590" operator="containsText" text="CMS">
      <formula>NOT(ISERROR(SEARCH("CMS",G15)))</formula>
    </cfRule>
    <cfRule type="cellIs" dxfId="16633" priority="591" operator="equal">
      <formula>0</formula>
    </cfRule>
    <cfRule type="cellIs" dxfId="16632" priority="592" operator="greaterThan">
      <formula>0</formula>
    </cfRule>
    <cfRule type="cellIs" dxfId="16631" priority="593" operator="equal">
      <formula>"PMS"</formula>
    </cfRule>
    <cfRule type="containsText" dxfId="16630" priority="594" operator="containsText" text="CMS">
      <formula>NOT(ISERROR(SEARCH("CMS",G15)))</formula>
    </cfRule>
    <cfRule type="cellIs" dxfId="16629" priority="595" operator="equal">
      <formula>0</formula>
    </cfRule>
    <cfRule type="cellIs" dxfId="16628" priority="596" operator="greaterThan">
      <formula>0</formula>
    </cfRule>
  </conditionalFormatting>
  <conditionalFormatting sqref="G15:G16">
    <cfRule type="cellIs" dxfId="16627" priority="585" operator="equal">
      <formula>"PMS"</formula>
    </cfRule>
    <cfRule type="containsText" dxfId="16626" priority="586" operator="containsText" text="CMS">
      <formula>NOT(ISERROR(SEARCH("CMS",G15)))</formula>
    </cfRule>
    <cfRule type="cellIs" dxfId="16625" priority="587" operator="equal">
      <formula>0</formula>
    </cfRule>
    <cfRule type="cellIs" dxfId="16624" priority="588" operator="greaterThan">
      <formula>0</formula>
    </cfRule>
  </conditionalFormatting>
  <conditionalFormatting sqref="G15:G16">
    <cfRule type="cellIs" dxfId="16623" priority="581" operator="equal">
      <formula>"PMS"</formula>
    </cfRule>
    <cfRule type="containsText" dxfId="16622" priority="582" operator="containsText" text="CMS">
      <formula>NOT(ISERROR(SEARCH("CMS",G15)))</formula>
    </cfRule>
    <cfRule type="cellIs" dxfId="16621" priority="583" operator="equal">
      <formula>0</formula>
    </cfRule>
    <cfRule type="cellIs" dxfId="16620" priority="584" operator="greaterThan">
      <formula>0</formula>
    </cfRule>
  </conditionalFormatting>
  <conditionalFormatting sqref="G21">
    <cfRule type="cellIs" dxfId="16619" priority="573" operator="equal">
      <formula>"PMS"</formula>
    </cfRule>
    <cfRule type="containsText" dxfId="16618" priority="574" operator="containsText" text="CMS">
      <formula>NOT(ISERROR(SEARCH("CMS",G21)))</formula>
    </cfRule>
    <cfRule type="cellIs" dxfId="16617" priority="575" operator="equal">
      <formula>0</formula>
    </cfRule>
    <cfRule type="cellIs" dxfId="16616" priority="576" operator="greaterThan">
      <formula>0</formula>
    </cfRule>
    <cfRule type="cellIs" dxfId="16615" priority="577" operator="equal">
      <formula>"PMS"</formula>
    </cfRule>
    <cfRule type="containsText" dxfId="16614" priority="578" operator="containsText" text="CMS">
      <formula>NOT(ISERROR(SEARCH("CMS",G21)))</formula>
    </cfRule>
    <cfRule type="cellIs" dxfId="16613" priority="579" operator="equal">
      <formula>0</formula>
    </cfRule>
    <cfRule type="cellIs" dxfId="16612" priority="580" operator="greaterThan">
      <formula>0</formula>
    </cfRule>
  </conditionalFormatting>
  <conditionalFormatting sqref="G21">
    <cfRule type="cellIs" dxfId="16611" priority="569" operator="equal">
      <formula>"PMS"</formula>
    </cfRule>
    <cfRule type="containsText" dxfId="16610" priority="570" operator="containsText" text="CMS">
      <formula>NOT(ISERROR(SEARCH("CMS",G21)))</formula>
    </cfRule>
    <cfRule type="cellIs" dxfId="16609" priority="571" operator="equal">
      <formula>0</formula>
    </cfRule>
    <cfRule type="cellIs" dxfId="16608" priority="572" operator="greaterThan">
      <formula>0</formula>
    </cfRule>
  </conditionalFormatting>
  <conditionalFormatting sqref="G21">
    <cfRule type="cellIs" dxfId="16607" priority="565" operator="equal">
      <formula>"PMS"</formula>
    </cfRule>
    <cfRule type="containsText" dxfId="16606" priority="566" operator="containsText" text="CMS">
      <formula>NOT(ISERROR(SEARCH("CMS",G21)))</formula>
    </cfRule>
    <cfRule type="cellIs" dxfId="16605" priority="567" operator="equal">
      <formula>0</formula>
    </cfRule>
    <cfRule type="cellIs" dxfId="16604" priority="568" operator="greaterThan">
      <formula>0</formula>
    </cfRule>
  </conditionalFormatting>
  <conditionalFormatting sqref="G61:J61 L61:M61 H63:J63 L63:M63">
    <cfRule type="cellIs" dxfId="16603" priority="557" operator="equal">
      <formula>"PMS"</formula>
    </cfRule>
    <cfRule type="containsText" dxfId="16602" priority="558" operator="containsText" text="CMS">
      <formula>NOT(ISERROR(SEARCH("CMS",G61)))</formula>
    </cfRule>
    <cfRule type="cellIs" dxfId="16601" priority="559" operator="equal">
      <formula>0</formula>
    </cfRule>
    <cfRule type="cellIs" dxfId="16600" priority="560" operator="greaterThan">
      <formula>0</formula>
    </cfRule>
    <cfRule type="cellIs" dxfId="16599" priority="561" operator="equal">
      <formula>"PMS"</formula>
    </cfRule>
    <cfRule type="containsText" dxfId="16598" priority="562" operator="containsText" text="CMS">
      <formula>NOT(ISERROR(SEARCH("CMS",G61)))</formula>
    </cfRule>
    <cfRule type="cellIs" dxfId="16597" priority="563" operator="equal">
      <formula>0</formula>
    </cfRule>
    <cfRule type="cellIs" dxfId="16596" priority="564" operator="greaterThan">
      <formula>0</formula>
    </cfRule>
  </conditionalFormatting>
  <conditionalFormatting sqref="G61:J61 L61:M61 H63:J63 L63:M63">
    <cfRule type="cellIs" dxfId="16595" priority="553" operator="equal">
      <formula>"PMS"</formula>
    </cfRule>
    <cfRule type="containsText" dxfId="16594" priority="554" operator="containsText" text="CMS">
      <formula>NOT(ISERROR(SEARCH("CMS",G61)))</formula>
    </cfRule>
    <cfRule type="cellIs" dxfId="16593" priority="555" operator="equal">
      <formula>0</formula>
    </cfRule>
    <cfRule type="cellIs" dxfId="16592" priority="556" operator="greaterThan">
      <formula>0</formula>
    </cfRule>
  </conditionalFormatting>
  <conditionalFormatting sqref="G78">
    <cfRule type="cellIs" dxfId="16591" priority="545" operator="equal">
      <formula>"PMS"</formula>
    </cfRule>
    <cfRule type="containsText" dxfId="16590" priority="546" operator="containsText" text="CMS">
      <formula>NOT(ISERROR(SEARCH("CMS",G78)))</formula>
    </cfRule>
    <cfRule type="cellIs" dxfId="16589" priority="547" operator="equal">
      <formula>0</formula>
    </cfRule>
    <cfRule type="cellIs" dxfId="16588" priority="548" operator="greaterThan">
      <formula>0</formula>
    </cfRule>
    <cfRule type="cellIs" dxfId="16587" priority="549" operator="equal">
      <formula>"PMS"</formula>
    </cfRule>
    <cfRule type="containsText" dxfId="16586" priority="550" operator="containsText" text="CMS">
      <formula>NOT(ISERROR(SEARCH("CMS",G78)))</formula>
    </cfRule>
    <cfRule type="cellIs" dxfId="16585" priority="551" operator="equal">
      <formula>0</formula>
    </cfRule>
    <cfRule type="cellIs" dxfId="16584" priority="552" operator="greaterThan">
      <formula>0</formula>
    </cfRule>
  </conditionalFormatting>
  <conditionalFormatting sqref="G78">
    <cfRule type="cellIs" dxfId="16583" priority="541" operator="equal">
      <formula>"PMS"</formula>
    </cfRule>
    <cfRule type="containsText" dxfId="16582" priority="542" operator="containsText" text="CMS">
      <formula>NOT(ISERROR(SEARCH("CMS",G78)))</formula>
    </cfRule>
    <cfRule type="cellIs" dxfId="16581" priority="543" operator="equal">
      <formula>0</formula>
    </cfRule>
    <cfRule type="cellIs" dxfId="16580" priority="544" operator="greaterThan">
      <formula>0</formula>
    </cfRule>
  </conditionalFormatting>
  <conditionalFormatting sqref="G24">
    <cfRule type="cellIs" dxfId="16579" priority="533" operator="equal">
      <formula>"PMS"</formula>
    </cfRule>
    <cfRule type="containsText" dxfId="16578" priority="534" operator="containsText" text="CMS">
      <formula>NOT(ISERROR(SEARCH("CMS",G24)))</formula>
    </cfRule>
    <cfRule type="cellIs" dxfId="16577" priority="535" operator="equal">
      <formula>0</formula>
    </cfRule>
    <cfRule type="cellIs" dxfId="16576" priority="536" operator="greaterThan">
      <formula>0</formula>
    </cfRule>
    <cfRule type="cellIs" dxfId="16575" priority="537" operator="equal">
      <formula>"PMS"</formula>
    </cfRule>
    <cfRule type="containsText" dxfId="16574" priority="538" operator="containsText" text="CMS">
      <formula>NOT(ISERROR(SEARCH("CMS",G24)))</formula>
    </cfRule>
    <cfRule type="cellIs" dxfId="16573" priority="539" operator="equal">
      <formula>0</formula>
    </cfRule>
    <cfRule type="cellIs" dxfId="16572" priority="540" operator="greaterThan">
      <formula>0</formula>
    </cfRule>
  </conditionalFormatting>
  <conditionalFormatting sqref="G24">
    <cfRule type="cellIs" dxfId="16571" priority="529" operator="equal">
      <formula>"PMS"</formula>
    </cfRule>
    <cfRule type="containsText" dxfId="16570" priority="530" operator="containsText" text="CMS">
      <formula>NOT(ISERROR(SEARCH("CMS",G24)))</formula>
    </cfRule>
    <cfRule type="cellIs" dxfId="16569" priority="531" operator="equal">
      <formula>0</formula>
    </cfRule>
    <cfRule type="cellIs" dxfId="16568" priority="532" operator="greaterThan">
      <formula>0</formula>
    </cfRule>
  </conditionalFormatting>
  <conditionalFormatting sqref="G24">
    <cfRule type="cellIs" dxfId="16567" priority="525" operator="equal">
      <formula>"PMS"</formula>
    </cfRule>
    <cfRule type="containsText" dxfId="16566" priority="526" operator="containsText" text="CMS">
      <formula>NOT(ISERROR(SEARCH("CMS",G24)))</formula>
    </cfRule>
    <cfRule type="cellIs" dxfId="16565" priority="527" operator="equal">
      <formula>0</formula>
    </cfRule>
    <cfRule type="cellIs" dxfId="16564" priority="528" operator="greaterThan">
      <formula>0</formula>
    </cfRule>
  </conditionalFormatting>
  <conditionalFormatting sqref="O56:O57">
    <cfRule type="cellIs" dxfId="16563" priority="521" operator="equal">
      <formula>"PMS"</formula>
    </cfRule>
    <cfRule type="containsText" dxfId="16562" priority="522" operator="containsText" text="CMS">
      <formula>NOT(ISERROR(SEARCH("CMS",O56)))</formula>
    </cfRule>
    <cfRule type="cellIs" dxfId="16561" priority="523" operator="equal">
      <formula>0</formula>
    </cfRule>
    <cfRule type="cellIs" dxfId="16560" priority="524" operator="greaterThan">
      <formula>0</formula>
    </cfRule>
  </conditionalFormatting>
  <conditionalFormatting sqref="O56:O57">
    <cfRule type="cellIs" dxfId="16559" priority="517" operator="equal">
      <formula>"PMS"</formula>
    </cfRule>
    <cfRule type="containsText" dxfId="16558" priority="518" operator="containsText" text="CMS">
      <formula>NOT(ISERROR(SEARCH("CMS",O56)))</formula>
    </cfRule>
    <cfRule type="cellIs" dxfId="16557" priority="519" operator="equal">
      <formula>0</formula>
    </cfRule>
    <cfRule type="cellIs" dxfId="16556" priority="520" operator="greaterThan">
      <formula>0</formula>
    </cfRule>
  </conditionalFormatting>
  <conditionalFormatting sqref="O56:O57">
    <cfRule type="cellIs" dxfId="16555" priority="513" operator="equal">
      <formula>"PMS"</formula>
    </cfRule>
    <cfRule type="containsText" dxfId="16554" priority="514" operator="containsText" text="CMS">
      <formula>NOT(ISERROR(SEARCH("CMS",O56)))</formula>
    </cfRule>
    <cfRule type="cellIs" dxfId="16553" priority="515" operator="equal">
      <formula>0</formula>
    </cfRule>
    <cfRule type="cellIs" dxfId="16552" priority="516" operator="greaterThan">
      <formula>0</formula>
    </cfRule>
  </conditionalFormatting>
  <conditionalFormatting sqref="O56:O57">
    <cfRule type="cellIs" dxfId="16551" priority="509" operator="equal">
      <formula>"PMS"</formula>
    </cfRule>
    <cfRule type="containsText" dxfId="16550" priority="510" operator="containsText" text="CMS">
      <formula>NOT(ISERROR(SEARCH("CMS",O56)))</formula>
    </cfRule>
    <cfRule type="cellIs" dxfId="16549" priority="511" operator="equal">
      <formula>0</formula>
    </cfRule>
    <cfRule type="cellIs" dxfId="16548" priority="512" operator="greaterThan">
      <formula>0</formula>
    </cfRule>
  </conditionalFormatting>
  <conditionalFormatting sqref="O56">
    <cfRule type="cellIs" dxfId="16547" priority="505" operator="equal">
      <formula>"PMS"</formula>
    </cfRule>
    <cfRule type="containsText" dxfId="16546" priority="506" operator="containsText" text="CMS">
      <formula>NOT(ISERROR(SEARCH("CMS",O56)))</formula>
    </cfRule>
    <cfRule type="cellIs" dxfId="16545" priority="507" operator="equal">
      <formula>0</formula>
    </cfRule>
    <cfRule type="cellIs" dxfId="16544" priority="508" operator="greaterThan">
      <formula>0</formula>
    </cfRule>
  </conditionalFormatting>
  <conditionalFormatting sqref="O56">
    <cfRule type="cellIs" dxfId="16543" priority="501" operator="equal">
      <formula>"PMS"</formula>
    </cfRule>
    <cfRule type="containsText" dxfId="16542" priority="502" operator="containsText" text="CMS">
      <formula>NOT(ISERROR(SEARCH("CMS",O56)))</formula>
    </cfRule>
    <cfRule type="cellIs" dxfId="16541" priority="503" operator="equal">
      <formula>0</formula>
    </cfRule>
    <cfRule type="cellIs" dxfId="16540" priority="504" operator="greaterThan">
      <formula>0</formula>
    </cfRule>
  </conditionalFormatting>
  <conditionalFormatting sqref="O56">
    <cfRule type="cellIs" dxfId="16539" priority="497" operator="equal">
      <formula>"PMS"</formula>
    </cfRule>
    <cfRule type="containsText" dxfId="16538" priority="498" operator="containsText" text="CMS">
      <formula>NOT(ISERROR(SEARCH("CMS",O56)))</formula>
    </cfRule>
    <cfRule type="cellIs" dxfId="16537" priority="499" operator="equal">
      <formula>0</formula>
    </cfRule>
    <cfRule type="cellIs" dxfId="16536" priority="500" operator="greaterThan">
      <formula>0</formula>
    </cfRule>
  </conditionalFormatting>
  <conditionalFormatting sqref="O56">
    <cfRule type="cellIs" dxfId="16535" priority="493" operator="equal">
      <formula>"PMS"</formula>
    </cfRule>
    <cfRule type="containsText" dxfId="16534" priority="494" operator="containsText" text="CMS">
      <formula>NOT(ISERROR(SEARCH("CMS",O56)))</formula>
    </cfRule>
    <cfRule type="cellIs" dxfId="16533" priority="495" operator="equal">
      <formula>0</formula>
    </cfRule>
    <cfRule type="cellIs" dxfId="16532" priority="496" operator="greaterThan">
      <formula>0</formula>
    </cfRule>
  </conditionalFormatting>
  <conditionalFormatting sqref="O56">
    <cfRule type="cellIs" dxfId="16531" priority="489" operator="equal">
      <formula>"PMS"</formula>
    </cfRule>
    <cfRule type="containsText" dxfId="16530" priority="490" operator="containsText" text="CMS">
      <formula>NOT(ISERROR(SEARCH("CMS",O56)))</formula>
    </cfRule>
    <cfRule type="cellIs" dxfId="16529" priority="491" operator="equal">
      <formula>0</formula>
    </cfRule>
    <cfRule type="cellIs" dxfId="16528" priority="492" operator="greaterThan">
      <formula>0</formula>
    </cfRule>
  </conditionalFormatting>
  <conditionalFormatting sqref="P57:P58">
    <cfRule type="cellIs" dxfId="16527" priority="485" operator="equal">
      <formula>"PMS"</formula>
    </cfRule>
    <cfRule type="containsText" dxfId="16526" priority="486" operator="containsText" text="CMS">
      <formula>NOT(ISERROR(SEARCH("CMS",P57)))</formula>
    </cfRule>
    <cfRule type="cellIs" dxfId="16525" priority="487" operator="equal">
      <formula>0</formula>
    </cfRule>
    <cfRule type="cellIs" dxfId="16524" priority="488" operator="greaterThan">
      <formula>0</formula>
    </cfRule>
  </conditionalFormatting>
  <conditionalFormatting sqref="L62">
    <cfRule type="cellIs" dxfId="16523" priority="477" operator="equal">
      <formula>"PMS"</formula>
    </cfRule>
    <cfRule type="containsText" dxfId="16522" priority="478" operator="containsText" text="CMS">
      <formula>NOT(ISERROR(SEARCH("CMS",L62)))</formula>
    </cfRule>
    <cfRule type="cellIs" dxfId="16521" priority="479" operator="equal">
      <formula>0</formula>
    </cfRule>
    <cfRule type="cellIs" dxfId="16520" priority="480" operator="greaterThan">
      <formula>0</formula>
    </cfRule>
    <cfRule type="cellIs" dxfId="16519" priority="481" operator="equal">
      <formula>"PMS"</formula>
    </cfRule>
    <cfRule type="containsText" dxfId="16518" priority="482" operator="containsText" text="CMS">
      <formula>NOT(ISERROR(SEARCH("CMS",L62)))</formula>
    </cfRule>
    <cfRule type="cellIs" dxfId="16517" priority="483" operator="equal">
      <formula>0</formula>
    </cfRule>
    <cfRule type="cellIs" dxfId="16516" priority="484" operator="greaterThan">
      <formula>0</formula>
    </cfRule>
  </conditionalFormatting>
  <conditionalFormatting sqref="L62">
    <cfRule type="cellIs" dxfId="16515" priority="473" operator="equal">
      <formula>"PMS"</formula>
    </cfRule>
    <cfRule type="containsText" dxfId="16514" priority="474" operator="containsText" text="CMS">
      <formula>NOT(ISERROR(SEARCH("CMS",L62)))</formula>
    </cfRule>
    <cfRule type="cellIs" dxfId="16513" priority="475" operator="equal">
      <formula>0</formula>
    </cfRule>
    <cfRule type="cellIs" dxfId="16512" priority="476" operator="greaterThan">
      <formula>0</formula>
    </cfRule>
  </conditionalFormatting>
  <conditionalFormatting sqref="M62">
    <cfRule type="cellIs" dxfId="16511" priority="465" operator="equal">
      <formula>"PMS"</formula>
    </cfRule>
    <cfRule type="containsText" dxfId="16510" priority="466" operator="containsText" text="CMS">
      <formula>NOT(ISERROR(SEARCH("CMS",M62)))</formula>
    </cfRule>
    <cfRule type="cellIs" dxfId="16509" priority="467" operator="equal">
      <formula>0</formula>
    </cfRule>
    <cfRule type="cellIs" dxfId="16508" priority="468" operator="greaterThan">
      <formula>0</formula>
    </cfRule>
    <cfRule type="cellIs" dxfId="16507" priority="469" operator="equal">
      <formula>"PMS"</formula>
    </cfRule>
    <cfRule type="containsText" dxfId="16506" priority="470" operator="containsText" text="CMS">
      <formula>NOT(ISERROR(SEARCH("CMS",M62)))</formula>
    </cfRule>
    <cfRule type="cellIs" dxfId="16505" priority="471" operator="equal">
      <formula>0</formula>
    </cfRule>
    <cfRule type="cellIs" dxfId="16504" priority="472" operator="greaterThan">
      <formula>0</formula>
    </cfRule>
  </conditionalFormatting>
  <conditionalFormatting sqref="M62">
    <cfRule type="cellIs" dxfId="16503" priority="461" operator="equal">
      <formula>"PMS"</formula>
    </cfRule>
    <cfRule type="containsText" dxfId="16502" priority="462" operator="containsText" text="CMS">
      <formula>NOT(ISERROR(SEARCH("CMS",M62)))</formula>
    </cfRule>
    <cfRule type="cellIs" dxfId="16501" priority="463" operator="equal">
      <formula>0</formula>
    </cfRule>
    <cfRule type="cellIs" dxfId="16500" priority="464" operator="greaterThan">
      <formula>0</formula>
    </cfRule>
  </conditionalFormatting>
  <conditionalFormatting sqref="Z13:Z16">
    <cfRule type="cellIs" dxfId="16499" priority="457" operator="equal">
      <formula>"PMS"</formula>
    </cfRule>
    <cfRule type="containsText" dxfId="16498" priority="458" operator="containsText" text="CMS">
      <formula>NOT(ISERROR(SEARCH("CMS",Z13)))</formula>
    </cfRule>
    <cfRule type="cellIs" dxfId="16497" priority="459" operator="equal">
      <formula>0</formula>
    </cfRule>
    <cfRule type="cellIs" dxfId="16496" priority="460" operator="greaterThan">
      <formula>0</formula>
    </cfRule>
  </conditionalFormatting>
  <conditionalFormatting sqref="Z13:Z16">
    <cfRule type="cellIs" dxfId="16495" priority="453" operator="equal">
      <formula>"PMS"</formula>
    </cfRule>
    <cfRule type="containsText" dxfId="16494" priority="454" operator="containsText" text="CMS">
      <formula>NOT(ISERROR(SEARCH("CMS",Z13)))</formula>
    </cfRule>
    <cfRule type="cellIs" dxfId="16493" priority="455" operator="equal">
      <formula>0</formula>
    </cfRule>
    <cfRule type="cellIs" dxfId="16492" priority="456" operator="greaterThan">
      <formula>0</formula>
    </cfRule>
  </conditionalFormatting>
  <conditionalFormatting sqref="Z16">
    <cfRule type="cellIs" dxfId="16491" priority="449" operator="equal">
      <formula>"PMS"</formula>
    </cfRule>
    <cfRule type="containsText" dxfId="16490" priority="450" operator="containsText" text="CMS">
      <formula>NOT(ISERROR(SEARCH("CMS",Z16)))</formula>
    </cfRule>
    <cfRule type="cellIs" dxfId="16489" priority="451" operator="equal">
      <formula>0</formula>
    </cfRule>
    <cfRule type="cellIs" dxfId="16488" priority="452" operator="greaterThan">
      <formula>0</formula>
    </cfRule>
  </conditionalFormatting>
  <conditionalFormatting sqref="Z16">
    <cfRule type="cellIs" dxfId="16487" priority="445" operator="equal">
      <formula>"PMS"</formula>
    </cfRule>
    <cfRule type="containsText" dxfId="16486" priority="446" operator="containsText" text="CMS">
      <formula>NOT(ISERROR(SEARCH("CMS",Z16)))</formula>
    </cfRule>
    <cfRule type="cellIs" dxfId="16485" priority="447" operator="equal">
      <formula>0</formula>
    </cfRule>
    <cfRule type="cellIs" dxfId="16484" priority="448" operator="greaterThan">
      <formula>0</formula>
    </cfRule>
  </conditionalFormatting>
  <conditionalFormatting sqref="J62:K62">
    <cfRule type="cellIs" dxfId="16483" priority="313" operator="equal">
      <formula>"PMS"</formula>
    </cfRule>
    <cfRule type="containsText" dxfId="16482" priority="314" operator="containsText" text="CMS">
      <formula>NOT(ISERROR(SEARCH("CMS",J62)))</formula>
    </cfRule>
    <cfRule type="cellIs" dxfId="16481" priority="315" operator="equal">
      <formula>0</formula>
    </cfRule>
    <cfRule type="cellIs" dxfId="16480" priority="316" operator="greaterThan">
      <formula>0</formula>
    </cfRule>
    <cfRule type="cellIs" dxfId="16479" priority="317" operator="equal">
      <formula>"PMS"</formula>
    </cfRule>
    <cfRule type="containsText" dxfId="16478" priority="318" operator="containsText" text="CMS">
      <formula>NOT(ISERROR(SEARCH("CMS",J62)))</formula>
    </cfRule>
    <cfRule type="cellIs" dxfId="16477" priority="319" operator="equal">
      <formula>0</formula>
    </cfRule>
    <cfRule type="cellIs" dxfId="16476" priority="320" operator="greaterThan">
      <formula>0</formula>
    </cfRule>
  </conditionalFormatting>
  <conditionalFormatting sqref="J62:K62">
    <cfRule type="cellIs" dxfId="16475" priority="309" operator="equal">
      <formula>"PMS"</formula>
    </cfRule>
    <cfRule type="containsText" dxfId="16474" priority="310" operator="containsText" text="CMS">
      <formula>NOT(ISERROR(SEARCH("CMS",J62)))</formula>
    </cfRule>
    <cfRule type="cellIs" dxfId="16473" priority="311" operator="equal">
      <formula>0</formula>
    </cfRule>
    <cfRule type="cellIs" dxfId="16472" priority="312" operator="greaterThan">
      <formula>0</formula>
    </cfRule>
  </conditionalFormatting>
  <conditionalFormatting sqref="O54:O55">
    <cfRule type="cellIs" dxfId="16471" priority="305" operator="equal">
      <formula>"PMS"</formula>
    </cfRule>
    <cfRule type="containsText" dxfId="16470" priority="306" operator="containsText" text="CMS">
      <formula>NOT(ISERROR(SEARCH("CMS",O54)))</formula>
    </cfRule>
    <cfRule type="cellIs" dxfId="16469" priority="307" operator="equal">
      <formula>0</formula>
    </cfRule>
    <cfRule type="cellIs" dxfId="16468" priority="308" operator="greaterThan">
      <formula>0</formula>
    </cfRule>
  </conditionalFormatting>
  <conditionalFormatting sqref="O54:O55">
    <cfRule type="cellIs" dxfId="16467" priority="301" operator="equal">
      <formula>"PMS"</formula>
    </cfRule>
    <cfRule type="containsText" dxfId="16466" priority="302" operator="containsText" text="CMS">
      <formula>NOT(ISERROR(SEARCH("CMS",O54)))</formula>
    </cfRule>
    <cfRule type="cellIs" dxfId="16465" priority="303" operator="equal">
      <formula>0</formula>
    </cfRule>
    <cfRule type="cellIs" dxfId="16464" priority="304" operator="greaterThan">
      <formula>0</formula>
    </cfRule>
  </conditionalFormatting>
  <conditionalFormatting sqref="O54:O55">
    <cfRule type="cellIs" dxfId="16463" priority="297" operator="equal">
      <formula>"PMS"</formula>
    </cfRule>
    <cfRule type="containsText" dxfId="16462" priority="298" operator="containsText" text="CMS">
      <formula>NOT(ISERROR(SEARCH("CMS",O54)))</formula>
    </cfRule>
    <cfRule type="cellIs" dxfId="16461" priority="299" operator="equal">
      <formula>0</formula>
    </cfRule>
    <cfRule type="cellIs" dxfId="16460" priority="300" operator="greaterThan">
      <formula>0</formula>
    </cfRule>
  </conditionalFormatting>
  <conditionalFormatting sqref="O54:O55">
    <cfRule type="cellIs" dxfId="16459" priority="293" operator="equal">
      <formula>"PMS"</formula>
    </cfRule>
    <cfRule type="containsText" dxfId="16458" priority="294" operator="containsText" text="CMS">
      <formula>NOT(ISERROR(SEARCH("CMS",O54)))</formula>
    </cfRule>
    <cfRule type="cellIs" dxfId="16457" priority="295" operator="equal">
      <formula>0</formula>
    </cfRule>
    <cfRule type="cellIs" dxfId="16456" priority="296" operator="greaterThan">
      <formula>0</formula>
    </cfRule>
  </conditionalFormatting>
  <conditionalFormatting sqref="O54:O55">
    <cfRule type="cellIs" dxfId="16455" priority="289" operator="equal">
      <formula>"PMS"</formula>
    </cfRule>
    <cfRule type="containsText" dxfId="16454" priority="290" operator="containsText" text="CMS">
      <formula>NOT(ISERROR(SEARCH("CMS",O54)))</formula>
    </cfRule>
    <cfRule type="cellIs" dxfId="16453" priority="291" operator="equal">
      <formula>0</formula>
    </cfRule>
    <cfRule type="cellIs" dxfId="16452" priority="292" operator="greaterThan">
      <formula>0</formula>
    </cfRule>
  </conditionalFormatting>
  <conditionalFormatting sqref="O54:O55">
    <cfRule type="cellIs" dxfId="16451" priority="285" operator="equal">
      <formula>"PMS"</formula>
    </cfRule>
    <cfRule type="containsText" dxfId="16450" priority="286" operator="containsText" text="CMS">
      <formula>NOT(ISERROR(SEARCH("CMS",O54)))</formula>
    </cfRule>
    <cfRule type="cellIs" dxfId="16449" priority="287" operator="equal">
      <formula>0</formula>
    </cfRule>
    <cfRule type="cellIs" dxfId="16448" priority="288" operator="greaterThan">
      <formula>0</formula>
    </cfRule>
  </conditionalFormatting>
  <conditionalFormatting sqref="O53">
    <cfRule type="cellIs" dxfId="16447" priority="281" operator="equal">
      <formula>"PMS"</formula>
    </cfRule>
    <cfRule type="containsText" dxfId="16446" priority="282" operator="containsText" text="CMS">
      <formula>NOT(ISERROR(SEARCH("CMS",O53)))</formula>
    </cfRule>
    <cfRule type="cellIs" dxfId="16445" priority="283" operator="equal">
      <formula>0</formula>
    </cfRule>
    <cfRule type="cellIs" dxfId="16444" priority="284" operator="greaterThan">
      <formula>0</formula>
    </cfRule>
  </conditionalFormatting>
  <conditionalFormatting sqref="O53">
    <cfRule type="cellIs" dxfId="16443" priority="277" operator="equal">
      <formula>"PMS"</formula>
    </cfRule>
    <cfRule type="containsText" dxfId="16442" priority="278" operator="containsText" text="CMS">
      <formula>NOT(ISERROR(SEARCH("CMS",O53)))</formula>
    </cfRule>
    <cfRule type="cellIs" dxfId="16441" priority="279" operator="equal">
      <formula>0</formula>
    </cfRule>
    <cfRule type="cellIs" dxfId="16440" priority="280" operator="greaterThan">
      <formula>0</formula>
    </cfRule>
  </conditionalFormatting>
  <conditionalFormatting sqref="O53">
    <cfRule type="cellIs" dxfId="16439" priority="273" operator="equal">
      <formula>"PMS"</formula>
    </cfRule>
    <cfRule type="containsText" dxfId="16438" priority="274" operator="containsText" text="CMS">
      <formula>NOT(ISERROR(SEARCH("CMS",O53)))</formula>
    </cfRule>
    <cfRule type="cellIs" dxfId="16437" priority="275" operator="equal">
      <formula>0</formula>
    </cfRule>
    <cfRule type="cellIs" dxfId="16436" priority="276" operator="greaterThan">
      <formula>0</formula>
    </cfRule>
  </conditionalFormatting>
  <conditionalFormatting sqref="O53">
    <cfRule type="cellIs" dxfId="16435" priority="269" operator="equal">
      <formula>"PMS"</formula>
    </cfRule>
    <cfRule type="containsText" dxfId="16434" priority="270" operator="containsText" text="CMS">
      <formula>NOT(ISERROR(SEARCH("CMS",O53)))</formula>
    </cfRule>
    <cfRule type="cellIs" dxfId="16433" priority="271" operator="equal">
      <formula>0</formula>
    </cfRule>
    <cfRule type="cellIs" dxfId="16432" priority="272" operator="greaterThan">
      <formula>0</formula>
    </cfRule>
  </conditionalFormatting>
  <conditionalFormatting sqref="O53">
    <cfRule type="cellIs" dxfId="16431" priority="265" operator="equal">
      <formula>"PMS"</formula>
    </cfRule>
    <cfRule type="containsText" dxfId="16430" priority="266" operator="containsText" text="CMS">
      <formula>NOT(ISERROR(SEARCH("CMS",O53)))</formula>
    </cfRule>
    <cfRule type="cellIs" dxfId="16429" priority="267" operator="equal">
      <formula>0</formula>
    </cfRule>
    <cfRule type="cellIs" dxfId="16428" priority="268" operator="greaterThan">
      <formula>0</formula>
    </cfRule>
  </conditionalFormatting>
  <conditionalFormatting sqref="O53">
    <cfRule type="cellIs" dxfId="16427" priority="261" operator="equal">
      <formula>"PMS"</formula>
    </cfRule>
    <cfRule type="containsText" dxfId="16426" priority="262" operator="containsText" text="CMS">
      <formula>NOT(ISERROR(SEARCH("CMS",O53)))</formula>
    </cfRule>
    <cfRule type="cellIs" dxfId="16425" priority="263" operator="equal">
      <formula>0</formula>
    </cfRule>
    <cfRule type="cellIs" dxfId="16424" priority="264" operator="greaterThan">
      <formula>0</formula>
    </cfRule>
  </conditionalFormatting>
  <conditionalFormatting sqref="O53">
    <cfRule type="cellIs" dxfId="16423" priority="257" operator="equal">
      <formula>"PMS"</formula>
    </cfRule>
    <cfRule type="containsText" dxfId="16422" priority="258" operator="containsText" text="CMS">
      <formula>NOT(ISERROR(SEARCH("CMS",O53)))</formula>
    </cfRule>
    <cfRule type="cellIs" dxfId="16421" priority="259" operator="equal">
      <formula>0</formula>
    </cfRule>
    <cfRule type="cellIs" dxfId="16420" priority="260" operator="greaterThan">
      <formula>0</formula>
    </cfRule>
  </conditionalFormatting>
  <conditionalFormatting sqref="O53">
    <cfRule type="cellIs" dxfId="16419" priority="253" operator="equal">
      <formula>"PMS"</formula>
    </cfRule>
    <cfRule type="containsText" dxfId="16418" priority="254" operator="containsText" text="CMS">
      <formula>NOT(ISERROR(SEARCH("CMS",O53)))</formula>
    </cfRule>
    <cfRule type="cellIs" dxfId="16417" priority="255" operator="equal">
      <formula>0</formula>
    </cfRule>
    <cfRule type="cellIs" dxfId="16416" priority="256" operator="greaterThan">
      <formula>0</formula>
    </cfRule>
  </conditionalFormatting>
  <conditionalFormatting sqref="O53">
    <cfRule type="cellIs" dxfId="16415" priority="249" operator="equal">
      <formula>"PMS"</formula>
    </cfRule>
    <cfRule type="containsText" dxfId="16414" priority="250" operator="containsText" text="CMS">
      <formula>NOT(ISERROR(SEARCH("CMS",O53)))</formula>
    </cfRule>
    <cfRule type="cellIs" dxfId="16413" priority="251" operator="equal">
      <formula>0</formula>
    </cfRule>
    <cfRule type="cellIs" dxfId="16412" priority="252" operator="greaterThan">
      <formula>0</formula>
    </cfRule>
  </conditionalFormatting>
  <conditionalFormatting sqref="O53">
    <cfRule type="cellIs" dxfId="16411" priority="245" operator="equal">
      <formula>"PMS"</formula>
    </cfRule>
    <cfRule type="containsText" dxfId="16410" priority="246" operator="containsText" text="CMS">
      <formula>NOT(ISERROR(SEARCH("CMS",O53)))</formula>
    </cfRule>
    <cfRule type="cellIs" dxfId="16409" priority="247" operator="equal">
      <formula>0</formula>
    </cfRule>
    <cfRule type="cellIs" dxfId="16408" priority="248" operator="greaterThan">
      <formula>0</formula>
    </cfRule>
  </conditionalFormatting>
  <conditionalFormatting sqref="O53">
    <cfRule type="cellIs" dxfId="16407" priority="241" operator="equal">
      <formula>"PMS"</formula>
    </cfRule>
    <cfRule type="containsText" dxfId="16406" priority="242" operator="containsText" text="CMS">
      <formula>NOT(ISERROR(SEARCH("CMS",O53)))</formula>
    </cfRule>
    <cfRule type="cellIs" dxfId="16405" priority="243" operator="equal">
      <formula>0</formula>
    </cfRule>
    <cfRule type="cellIs" dxfId="16404" priority="244" operator="greaterThan">
      <formula>0</formula>
    </cfRule>
  </conditionalFormatting>
  <conditionalFormatting sqref="O53">
    <cfRule type="cellIs" dxfId="16403" priority="237" operator="equal">
      <formula>"PMS"</formula>
    </cfRule>
    <cfRule type="containsText" dxfId="16402" priority="238" operator="containsText" text="CMS">
      <formula>NOT(ISERROR(SEARCH("CMS",O53)))</formula>
    </cfRule>
    <cfRule type="cellIs" dxfId="16401" priority="239" operator="equal">
      <formula>0</formula>
    </cfRule>
    <cfRule type="cellIs" dxfId="16400" priority="240" operator="greaterThan">
      <formula>0</formula>
    </cfRule>
  </conditionalFormatting>
  <conditionalFormatting sqref="O53">
    <cfRule type="cellIs" dxfId="16399" priority="233" operator="equal">
      <formula>"PMS"</formula>
    </cfRule>
    <cfRule type="containsText" dxfId="16398" priority="234" operator="containsText" text="CMS">
      <formula>NOT(ISERROR(SEARCH("CMS",O53)))</formula>
    </cfRule>
    <cfRule type="cellIs" dxfId="16397" priority="235" operator="equal">
      <formula>0</formula>
    </cfRule>
    <cfRule type="cellIs" dxfId="16396" priority="236" operator="greaterThan">
      <formula>0</formula>
    </cfRule>
  </conditionalFormatting>
  <conditionalFormatting sqref="P52:P54">
    <cfRule type="cellIs" dxfId="16395" priority="229" operator="equal">
      <formula>"PMS"</formula>
    </cfRule>
    <cfRule type="containsText" dxfId="16394" priority="230" operator="containsText" text="CMS">
      <formula>NOT(ISERROR(SEARCH("CMS",P52)))</formula>
    </cfRule>
    <cfRule type="cellIs" dxfId="16393" priority="231" operator="equal">
      <formula>0</formula>
    </cfRule>
    <cfRule type="cellIs" dxfId="16392" priority="232" operator="greaterThan">
      <formula>0</formula>
    </cfRule>
  </conditionalFormatting>
  <conditionalFormatting sqref="P52:P54">
    <cfRule type="cellIs" dxfId="16391" priority="225" operator="equal">
      <formula>"PMS"</formula>
    </cfRule>
    <cfRule type="containsText" dxfId="16390" priority="226" operator="containsText" text="CMS">
      <formula>NOT(ISERROR(SEARCH("CMS",P52)))</formula>
    </cfRule>
    <cfRule type="cellIs" dxfId="16389" priority="227" operator="equal">
      <formula>0</formula>
    </cfRule>
    <cfRule type="cellIs" dxfId="16388" priority="228" operator="greaterThan">
      <formula>0</formula>
    </cfRule>
  </conditionalFormatting>
  <conditionalFormatting sqref="P52:P54">
    <cfRule type="cellIs" dxfId="16387" priority="221" operator="equal">
      <formula>"PMS"</formula>
    </cfRule>
    <cfRule type="containsText" dxfId="16386" priority="222" operator="containsText" text="CMS">
      <formula>NOT(ISERROR(SEARCH("CMS",P52)))</formula>
    </cfRule>
    <cfRule type="cellIs" dxfId="16385" priority="223" operator="equal">
      <formula>0</formula>
    </cfRule>
    <cfRule type="cellIs" dxfId="16384" priority="224" operator="greaterThan">
      <formula>0</formula>
    </cfRule>
  </conditionalFormatting>
  <conditionalFormatting sqref="P52:P54">
    <cfRule type="cellIs" dxfId="16383" priority="217" operator="equal">
      <formula>"PMS"</formula>
    </cfRule>
    <cfRule type="containsText" dxfId="16382" priority="218" operator="containsText" text="CMS">
      <formula>NOT(ISERROR(SEARCH("CMS",P52)))</formula>
    </cfRule>
    <cfRule type="cellIs" dxfId="16381" priority="219" operator="equal">
      <formula>0</formula>
    </cfRule>
    <cfRule type="cellIs" dxfId="16380" priority="220" operator="greaterThan">
      <formula>0</formula>
    </cfRule>
  </conditionalFormatting>
  <conditionalFormatting sqref="P57:P58">
    <cfRule type="cellIs" dxfId="16379" priority="213" operator="equal">
      <formula>"PMS"</formula>
    </cfRule>
    <cfRule type="containsText" dxfId="16378" priority="214" operator="containsText" text="CMS">
      <formula>NOT(ISERROR(SEARCH("CMS",P57)))</formula>
    </cfRule>
    <cfRule type="cellIs" dxfId="16377" priority="215" operator="equal">
      <formula>0</formula>
    </cfRule>
    <cfRule type="cellIs" dxfId="16376" priority="216" operator="greaterThan">
      <formula>0</formula>
    </cfRule>
  </conditionalFormatting>
  <conditionalFormatting sqref="P57:P58">
    <cfRule type="cellIs" dxfId="16375" priority="209" operator="equal">
      <formula>"PMS"</formula>
    </cfRule>
    <cfRule type="containsText" dxfId="16374" priority="210" operator="containsText" text="CMS">
      <formula>NOT(ISERROR(SEARCH("CMS",P57)))</formula>
    </cfRule>
    <cfRule type="cellIs" dxfId="16373" priority="211" operator="equal">
      <formula>0</formula>
    </cfRule>
    <cfRule type="cellIs" dxfId="16372" priority="212" operator="greaterThan">
      <formula>0</formula>
    </cfRule>
  </conditionalFormatting>
  <conditionalFormatting sqref="P57:P58">
    <cfRule type="cellIs" dxfId="16371" priority="205" operator="equal">
      <formula>"PMS"</formula>
    </cfRule>
    <cfRule type="containsText" dxfId="16370" priority="206" operator="containsText" text="CMS">
      <formula>NOT(ISERROR(SEARCH("CMS",P57)))</formula>
    </cfRule>
    <cfRule type="cellIs" dxfId="16369" priority="207" operator="equal">
      <formula>0</formula>
    </cfRule>
    <cfRule type="cellIs" dxfId="16368" priority="208" operator="greaterThan">
      <formula>0</formula>
    </cfRule>
  </conditionalFormatting>
  <conditionalFormatting sqref="P57:P58">
    <cfRule type="cellIs" dxfId="16367" priority="201" operator="equal">
      <formula>"PMS"</formula>
    </cfRule>
    <cfRule type="containsText" dxfId="16366" priority="202" operator="containsText" text="CMS">
      <formula>NOT(ISERROR(SEARCH("CMS",P57)))</formula>
    </cfRule>
    <cfRule type="cellIs" dxfId="16365" priority="203" operator="equal">
      <formula>0</formula>
    </cfRule>
    <cfRule type="cellIs" dxfId="16364" priority="204" operator="greaterThan">
      <formula>0</formula>
    </cfRule>
  </conditionalFormatting>
  <conditionalFormatting sqref="O47">
    <cfRule type="cellIs" dxfId="16363" priority="197" operator="equal">
      <formula>"PMS"</formula>
    </cfRule>
    <cfRule type="containsText" dxfId="16362" priority="198" operator="containsText" text="CMS">
      <formula>NOT(ISERROR(SEARCH("CMS",O47)))</formula>
    </cfRule>
    <cfRule type="cellIs" dxfId="16361" priority="199" operator="equal">
      <formula>0</formula>
    </cfRule>
    <cfRule type="cellIs" dxfId="16360" priority="200" operator="greaterThan">
      <formula>0</formula>
    </cfRule>
  </conditionalFormatting>
  <conditionalFormatting sqref="O47">
    <cfRule type="cellIs" dxfId="16359" priority="193" operator="equal">
      <formula>"PMS"</formula>
    </cfRule>
    <cfRule type="containsText" dxfId="16358" priority="194" operator="containsText" text="CMS">
      <formula>NOT(ISERROR(SEARCH("CMS",O47)))</formula>
    </cfRule>
    <cfRule type="cellIs" dxfId="16357" priority="195" operator="equal">
      <formula>0</formula>
    </cfRule>
    <cfRule type="cellIs" dxfId="16356" priority="196" operator="greaterThan">
      <formula>0</formula>
    </cfRule>
  </conditionalFormatting>
  <conditionalFormatting sqref="O47">
    <cfRule type="cellIs" dxfId="16355" priority="189" operator="equal">
      <formula>"PMS"</formula>
    </cfRule>
    <cfRule type="containsText" dxfId="16354" priority="190" operator="containsText" text="CMS">
      <formula>NOT(ISERROR(SEARCH("CMS",O47)))</formula>
    </cfRule>
    <cfRule type="cellIs" dxfId="16353" priority="191" operator="equal">
      <formula>0</formula>
    </cfRule>
    <cfRule type="cellIs" dxfId="16352" priority="192" operator="greaterThan">
      <formula>0</formula>
    </cfRule>
  </conditionalFormatting>
  <conditionalFormatting sqref="P57:P58">
    <cfRule type="cellIs" dxfId="16351" priority="185" operator="equal">
      <formula>"PMS"</formula>
    </cfRule>
    <cfRule type="containsText" dxfId="16350" priority="186" operator="containsText" text="CMS">
      <formula>NOT(ISERROR(SEARCH("CMS",P57)))</formula>
    </cfRule>
    <cfRule type="cellIs" dxfId="16349" priority="187" operator="equal">
      <formula>0</formula>
    </cfRule>
    <cfRule type="cellIs" dxfId="16348" priority="188" operator="greaterThan">
      <formula>0</formula>
    </cfRule>
  </conditionalFormatting>
  <conditionalFormatting sqref="P57:P58">
    <cfRule type="cellIs" dxfId="16347" priority="181" operator="equal">
      <formula>"PMS"</formula>
    </cfRule>
    <cfRule type="containsText" dxfId="16346" priority="182" operator="containsText" text="CMS">
      <formula>NOT(ISERROR(SEARCH("CMS",P57)))</formula>
    </cfRule>
    <cfRule type="cellIs" dxfId="16345" priority="183" operator="equal">
      <formula>0</formula>
    </cfRule>
    <cfRule type="cellIs" dxfId="16344" priority="184" operator="greaterThan">
      <formula>0</formula>
    </cfRule>
  </conditionalFormatting>
  <conditionalFormatting sqref="P57:P58">
    <cfRule type="cellIs" dxfId="16343" priority="177" operator="equal">
      <formula>"PMS"</formula>
    </cfRule>
    <cfRule type="containsText" dxfId="16342" priority="178" operator="containsText" text="CMS">
      <formula>NOT(ISERROR(SEARCH("CMS",P57)))</formula>
    </cfRule>
    <cfRule type="cellIs" dxfId="16341" priority="179" operator="equal">
      <formula>0</formula>
    </cfRule>
    <cfRule type="cellIs" dxfId="16340" priority="180" operator="greaterThan">
      <formula>0</formula>
    </cfRule>
  </conditionalFormatting>
  <conditionalFormatting sqref="P57:P58">
    <cfRule type="cellIs" dxfId="16339" priority="173" operator="equal">
      <formula>"PMS"</formula>
    </cfRule>
    <cfRule type="containsText" dxfId="16338" priority="174" operator="containsText" text="CMS">
      <formula>NOT(ISERROR(SEARCH("CMS",P57)))</formula>
    </cfRule>
    <cfRule type="cellIs" dxfId="16337" priority="175" operator="equal">
      <formula>0</formula>
    </cfRule>
    <cfRule type="cellIs" dxfId="16336" priority="176" operator="greaterThan">
      <formula>0</formula>
    </cfRule>
  </conditionalFormatting>
  <conditionalFormatting sqref="F27:F28 F20:F21 F77:F78 F35:F58 F13:F16 F24 F61:F63 F66:F74">
    <cfRule type="cellIs" dxfId="16335" priority="165" operator="equal">
      <formula>"PMS"</formula>
    </cfRule>
    <cfRule type="containsText" dxfId="16334" priority="166" operator="containsText" text="CMS">
      <formula>NOT(ISERROR(SEARCH("CMS",F13)))</formula>
    </cfRule>
    <cfRule type="cellIs" dxfId="16333" priority="167" operator="equal">
      <formula>0</formula>
    </cfRule>
    <cfRule type="cellIs" dxfId="16332" priority="168" operator="greaterThan">
      <formula>0</formula>
    </cfRule>
    <cfRule type="cellIs" dxfId="16331" priority="169" operator="equal">
      <formula>"PMS"</formula>
    </cfRule>
    <cfRule type="containsText" dxfId="16330" priority="170" operator="containsText" text="CMS">
      <formula>NOT(ISERROR(SEARCH("CMS",F13)))</formula>
    </cfRule>
    <cfRule type="cellIs" dxfId="16329" priority="171" operator="equal">
      <formula>0</formula>
    </cfRule>
    <cfRule type="cellIs" dxfId="16328" priority="172" operator="greaterThan">
      <formula>0</formula>
    </cfRule>
  </conditionalFormatting>
  <conditionalFormatting sqref="F77:F78 F61:F63 F66:F74">
    <cfRule type="cellIs" dxfId="16327" priority="161" operator="equal">
      <formula>"PMS"</formula>
    </cfRule>
    <cfRule type="containsText" dxfId="16326" priority="162" operator="containsText" text="CMS">
      <formula>NOT(ISERROR(SEARCH("CMS",F61)))</formula>
    </cfRule>
    <cfRule type="cellIs" dxfId="16325" priority="163" operator="equal">
      <formula>0</formula>
    </cfRule>
    <cfRule type="cellIs" dxfId="16324" priority="164" operator="greaterThan">
      <formula>0</formula>
    </cfRule>
  </conditionalFormatting>
  <conditionalFormatting sqref="F66:F74">
    <cfRule type="cellIs" dxfId="16323" priority="157" operator="equal">
      <formula>"PMS"</formula>
    </cfRule>
    <cfRule type="containsText" dxfId="16322" priority="158" operator="containsText" text="CMS">
      <formula>NOT(ISERROR(SEARCH("CMS",F66)))</formula>
    </cfRule>
    <cfRule type="cellIs" dxfId="16321" priority="159" operator="equal">
      <formula>0</formula>
    </cfRule>
    <cfRule type="cellIs" dxfId="16320" priority="160" operator="greaterThan">
      <formula>0</formula>
    </cfRule>
  </conditionalFormatting>
  <conditionalFormatting sqref="F13:F16">
    <cfRule type="cellIs" dxfId="16319" priority="153" operator="equal">
      <formula>"PMS"</formula>
    </cfRule>
    <cfRule type="containsText" dxfId="16318" priority="154" operator="containsText" text="CMS">
      <formula>NOT(ISERROR(SEARCH("CMS",F13)))</formula>
    </cfRule>
    <cfRule type="cellIs" dxfId="16317" priority="155" operator="equal">
      <formula>0</formula>
    </cfRule>
    <cfRule type="cellIs" dxfId="16316" priority="156" operator="greaterThan">
      <formula>0</formula>
    </cfRule>
  </conditionalFormatting>
  <conditionalFormatting sqref="F13:F16">
    <cfRule type="cellIs" dxfId="16315" priority="149" operator="equal">
      <formula>"PMS"</formula>
    </cfRule>
    <cfRule type="containsText" dxfId="16314" priority="150" operator="containsText" text="CMS">
      <formula>NOT(ISERROR(SEARCH("CMS",F13)))</formula>
    </cfRule>
    <cfRule type="cellIs" dxfId="16313" priority="151" operator="equal">
      <formula>0</formula>
    </cfRule>
    <cfRule type="cellIs" dxfId="16312" priority="152" operator="greaterThan">
      <formula>0</formula>
    </cfRule>
  </conditionalFormatting>
  <conditionalFormatting sqref="F20:F21">
    <cfRule type="cellIs" dxfId="16311" priority="145" operator="equal">
      <formula>"PMS"</formula>
    </cfRule>
    <cfRule type="containsText" dxfId="16310" priority="146" operator="containsText" text="CMS">
      <formula>NOT(ISERROR(SEARCH("CMS",F20)))</formula>
    </cfRule>
    <cfRule type="cellIs" dxfId="16309" priority="147" operator="equal">
      <formula>0</formula>
    </cfRule>
    <cfRule type="cellIs" dxfId="16308" priority="148" operator="greaterThan">
      <formula>0</formula>
    </cfRule>
  </conditionalFormatting>
  <conditionalFormatting sqref="F20:F21">
    <cfRule type="cellIs" dxfId="16307" priority="141" operator="equal">
      <formula>"PMS"</formula>
    </cfRule>
    <cfRule type="containsText" dxfId="16306" priority="142" operator="containsText" text="CMS">
      <formula>NOT(ISERROR(SEARCH("CMS",F20)))</formula>
    </cfRule>
    <cfRule type="cellIs" dxfId="16305" priority="143" operator="equal">
      <formula>0</formula>
    </cfRule>
    <cfRule type="cellIs" dxfId="16304" priority="144" operator="greaterThan">
      <formula>0</formula>
    </cfRule>
  </conditionalFormatting>
  <conditionalFormatting sqref="F24">
    <cfRule type="cellIs" dxfId="16303" priority="137" operator="equal">
      <formula>"PMS"</formula>
    </cfRule>
    <cfRule type="containsText" dxfId="16302" priority="138" operator="containsText" text="CMS">
      <formula>NOT(ISERROR(SEARCH("CMS",F24)))</formula>
    </cfRule>
    <cfRule type="cellIs" dxfId="16301" priority="139" operator="equal">
      <formula>0</formula>
    </cfRule>
    <cfRule type="cellIs" dxfId="16300" priority="140" operator="greaterThan">
      <formula>0</formula>
    </cfRule>
  </conditionalFormatting>
  <conditionalFormatting sqref="F24">
    <cfRule type="cellIs" dxfId="16299" priority="133" operator="equal">
      <formula>"PMS"</formula>
    </cfRule>
    <cfRule type="containsText" dxfId="16298" priority="134" operator="containsText" text="CMS">
      <formula>NOT(ISERROR(SEARCH("CMS",F24)))</formula>
    </cfRule>
    <cfRule type="cellIs" dxfId="16297" priority="135" operator="equal">
      <formula>0</formula>
    </cfRule>
    <cfRule type="cellIs" dxfId="16296" priority="136" operator="greaterThan">
      <formula>0</formula>
    </cfRule>
  </conditionalFormatting>
  <conditionalFormatting sqref="F27:F28">
    <cfRule type="cellIs" dxfId="16295" priority="129" operator="equal">
      <formula>"PMS"</formula>
    </cfRule>
    <cfRule type="containsText" dxfId="16294" priority="130" operator="containsText" text="CMS">
      <formula>NOT(ISERROR(SEARCH("CMS",F27)))</formula>
    </cfRule>
    <cfRule type="cellIs" dxfId="16293" priority="131" operator="equal">
      <formula>0</formula>
    </cfRule>
    <cfRule type="cellIs" dxfId="16292" priority="132" operator="greaterThan">
      <formula>0</formula>
    </cfRule>
  </conditionalFormatting>
  <conditionalFormatting sqref="F27:F28">
    <cfRule type="cellIs" dxfId="16291" priority="125" operator="equal">
      <formula>"PMS"</formula>
    </cfRule>
    <cfRule type="containsText" dxfId="16290" priority="126" operator="containsText" text="CMS">
      <formula>NOT(ISERROR(SEARCH("CMS",F27)))</formula>
    </cfRule>
    <cfRule type="cellIs" dxfId="16289" priority="127" operator="equal">
      <formula>0</formula>
    </cfRule>
    <cfRule type="cellIs" dxfId="16288" priority="128" operator="greaterThan">
      <formula>0</formula>
    </cfRule>
  </conditionalFormatting>
  <conditionalFormatting sqref="F35:F58">
    <cfRule type="cellIs" dxfId="16287" priority="121" operator="equal">
      <formula>"PMS"</formula>
    </cfRule>
    <cfRule type="containsText" dxfId="16286" priority="122" operator="containsText" text="CMS">
      <formula>NOT(ISERROR(SEARCH("CMS",F35)))</formula>
    </cfRule>
    <cfRule type="cellIs" dxfId="16285" priority="123" operator="equal">
      <formula>0</formula>
    </cfRule>
    <cfRule type="cellIs" dxfId="16284" priority="124" operator="greaterThan">
      <formula>0</formula>
    </cfRule>
  </conditionalFormatting>
  <conditionalFormatting sqref="F35:F58">
    <cfRule type="cellIs" dxfId="16283" priority="117" operator="equal">
      <formula>"PMS"</formula>
    </cfRule>
    <cfRule type="containsText" dxfId="16282" priority="118" operator="containsText" text="CMS">
      <formula>NOT(ISERROR(SEARCH("CMS",F35)))</formula>
    </cfRule>
    <cfRule type="cellIs" dxfId="16281" priority="119" operator="equal">
      <formula>0</formula>
    </cfRule>
    <cfRule type="cellIs" dxfId="16280" priority="120" operator="greaterThan">
      <formula>0</formula>
    </cfRule>
  </conditionalFormatting>
  <conditionalFormatting sqref="F13:F15">
    <cfRule type="cellIs" dxfId="16279" priority="113" operator="equal">
      <formula>"PMS"</formula>
    </cfRule>
    <cfRule type="containsText" dxfId="16278" priority="114" operator="containsText" text="CMS">
      <formula>NOT(ISERROR(SEARCH("CMS",F13)))</formula>
    </cfRule>
    <cfRule type="cellIs" dxfId="16277" priority="115" operator="equal">
      <formula>0</formula>
    </cfRule>
    <cfRule type="cellIs" dxfId="16276" priority="116" operator="greaterThan">
      <formula>0</formula>
    </cfRule>
  </conditionalFormatting>
  <conditionalFormatting sqref="F13:F15">
    <cfRule type="cellIs" dxfId="16275" priority="109" operator="equal">
      <formula>"PMS"</formula>
    </cfRule>
    <cfRule type="containsText" dxfId="16274" priority="110" operator="containsText" text="CMS">
      <formula>NOT(ISERROR(SEARCH("CMS",F13)))</formula>
    </cfRule>
    <cfRule type="cellIs" dxfId="16273" priority="111" operator="equal">
      <formula>0</formula>
    </cfRule>
    <cfRule type="cellIs" dxfId="16272" priority="112" operator="greaterThan">
      <formula>0</formula>
    </cfRule>
  </conditionalFormatting>
  <conditionalFormatting sqref="F57">
    <cfRule type="cellIs" dxfId="16271" priority="105" operator="equal">
      <formula>"PMS"</formula>
    </cfRule>
    <cfRule type="containsText" dxfId="16270" priority="106" operator="containsText" text="CMS">
      <formula>NOT(ISERROR(SEARCH("CMS",F57)))</formula>
    </cfRule>
    <cfRule type="cellIs" dxfId="16269" priority="107" operator="equal">
      <formula>0</formula>
    </cfRule>
    <cfRule type="cellIs" dxfId="16268" priority="108" operator="greaterThan">
      <formula>0</formula>
    </cfRule>
  </conditionalFormatting>
  <conditionalFormatting sqref="F57">
    <cfRule type="cellIs" dxfId="16267" priority="101" operator="equal">
      <formula>"PMS"</formula>
    </cfRule>
    <cfRule type="containsText" dxfId="16266" priority="102" operator="containsText" text="CMS">
      <formula>NOT(ISERROR(SEARCH("CMS",F57)))</formula>
    </cfRule>
    <cfRule type="cellIs" dxfId="16265" priority="103" operator="equal">
      <formula>0</formula>
    </cfRule>
    <cfRule type="cellIs" dxfId="16264" priority="104" operator="greaterThan">
      <formula>0</formula>
    </cfRule>
  </conditionalFormatting>
  <conditionalFormatting sqref="F57">
    <cfRule type="cellIs" dxfId="16263" priority="97" operator="equal">
      <formula>"PMS"</formula>
    </cfRule>
    <cfRule type="containsText" dxfId="16262" priority="98" operator="containsText" text="CMS">
      <formula>NOT(ISERROR(SEARCH("CMS",F57)))</formula>
    </cfRule>
    <cfRule type="cellIs" dxfId="16261" priority="99" operator="equal">
      <formula>0</formula>
    </cfRule>
    <cfRule type="cellIs" dxfId="16260" priority="100" operator="greaterThan">
      <formula>0</formula>
    </cfRule>
  </conditionalFormatting>
  <conditionalFormatting sqref="F57">
    <cfRule type="cellIs" dxfId="16259" priority="93" operator="equal">
      <formula>"PMS"</formula>
    </cfRule>
    <cfRule type="containsText" dxfId="16258" priority="94" operator="containsText" text="CMS">
      <formula>NOT(ISERROR(SEARCH("CMS",F57)))</formula>
    </cfRule>
    <cfRule type="cellIs" dxfId="16257" priority="95" operator="equal">
      <formula>0</formula>
    </cfRule>
    <cfRule type="cellIs" dxfId="16256" priority="96" operator="greaterThan">
      <formula>0</formula>
    </cfRule>
  </conditionalFormatting>
  <conditionalFormatting sqref="F58">
    <cfRule type="cellIs" dxfId="16255" priority="89" operator="equal">
      <formula>"PMS"</formula>
    </cfRule>
    <cfRule type="containsText" dxfId="16254" priority="90" operator="containsText" text="CMS">
      <formula>NOT(ISERROR(SEARCH("CMS",F58)))</formula>
    </cfRule>
    <cfRule type="cellIs" dxfId="16253" priority="91" operator="equal">
      <formula>0</formula>
    </cfRule>
    <cfRule type="cellIs" dxfId="16252" priority="92" operator="greaterThan">
      <formula>0</formula>
    </cfRule>
  </conditionalFormatting>
  <conditionalFormatting sqref="F58">
    <cfRule type="cellIs" dxfId="16251" priority="85" operator="equal">
      <formula>"PMS"</formula>
    </cfRule>
    <cfRule type="containsText" dxfId="16250" priority="86" operator="containsText" text="CMS">
      <formula>NOT(ISERROR(SEARCH("CMS",F58)))</formula>
    </cfRule>
    <cfRule type="cellIs" dxfId="16249" priority="87" operator="equal">
      <formula>0</formula>
    </cfRule>
    <cfRule type="cellIs" dxfId="16248" priority="88" operator="greaterThan">
      <formula>0</formula>
    </cfRule>
  </conditionalFormatting>
  <conditionalFormatting sqref="F58">
    <cfRule type="cellIs" dxfId="16247" priority="81" operator="equal">
      <formula>"PMS"</formula>
    </cfRule>
    <cfRule type="containsText" dxfId="16246" priority="82" operator="containsText" text="CMS">
      <formula>NOT(ISERROR(SEARCH("CMS",F58)))</formula>
    </cfRule>
    <cfRule type="cellIs" dxfId="16245" priority="83" operator="equal">
      <formula>0</formula>
    </cfRule>
    <cfRule type="cellIs" dxfId="16244" priority="84" operator="greaterThan">
      <formula>0</formula>
    </cfRule>
  </conditionalFormatting>
  <conditionalFormatting sqref="F58">
    <cfRule type="cellIs" dxfId="16243" priority="77" operator="equal">
      <formula>"PMS"</formula>
    </cfRule>
    <cfRule type="containsText" dxfId="16242" priority="78" operator="containsText" text="CMS">
      <formula>NOT(ISERROR(SEARCH("CMS",F58)))</formula>
    </cfRule>
    <cfRule type="cellIs" dxfId="16241" priority="79" operator="equal">
      <formula>0</formula>
    </cfRule>
    <cfRule type="cellIs" dxfId="16240" priority="80" operator="greaterThan">
      <formula>0</formula>
    </cfRule>
  </conditionalFormatting>
  <conditionalFormatting sqref="F19">
    <cfRule type="cellIs" dxfId="16239" priority="73" operator="equal">
      <formula>"CMS"</formula>
    </cfRule>
    <cfRule type="cellIs" dxfId="16238" priority="74" operator="equal">
      <formula>"PMS"</formula>
    </cfRule>
    <cfRule type="cellIs" dxfId="16237" priority="75" operator="greaterThan">
      <formula>0</formula>
    </cfRule>
    <cfRule type="cellIs" dxfId="16236" priority="76" operator="equal">
      <formula>0</formula>
    </cfRule>
  </conditionalFormatting>
  <conditionalFormatting sqref="F29">
    <cfRule type="cellIs" dxfId="16235" priority="65" operator="equal">
      <formula>"PMS"</formula>
    </cfRule>
    <cfRule type="containsText" dxfId="16234" priority="66" operator="containsText" text="CMS">
      <formula>NOT(ISERROR(SEARCH("CMS",F29)))</formula>
    </cfRule>
    <cfRule type="cellIs" dxfId="16233" priority="67" operator="equal">
      <formula>0</formula>
    </cfRule>
    <cfRule type="cellIs" dxfId="16232" priority="68" operator="greaterThan">
      <formula>0</formula>
    </cfRule>
    <cfRule type="cellIs" dxfId="16231" priority="69" operator="equal">
      <formula>"PMS"</formula>
    </cfRule>
    <cfRule type="containsText" dxfId="16230" priority="70" operator="containsText" text="CMS">
      <formula>NOT(ISERROR(SEARCH("CMS",F29)))</formula>
    </cfRule>
    <cfRule type="cellIs" dxfId="16229" priority="71" operator="equal">
      <formula>0</formula>
    </cfRule>
    <cfRule type="cellIs" dxfId="16228" priority="72" operator="greaterThan">
      <formula>0</formula>
    </cfRule>
  </conditionalFormatting>
  <conditionalFormatting sqref="F32">
    <cfRule type="cellIs" dxfId="16227" priority="57" operator="equal">
      <formula>"PMS"</formula>
    </cfRule>
    <cfRule type="containsText" dxfId="16226" priority="58" operator="containsText" text="CMS">
      <formula>NOT(ISERROR(SEARCH("CMS",F32)))</formula>
    </cfRule>
    <cfRule type="cellIs" dxfId="16225" priority="59" operator="equal">
      <formula>0</formula>
    </cfRule>
    <cfRule type="cellIs" dxfId="16224" priority="60" operator="greaterThan">
      <formula>0</formula>
    </cfRule>
    <cfRule type="cellIs" dxfId="16223" priority="61" operator="equal">
      <formula>"PMS"</formula>
    </cfRule>
    <cfRule type="containsText" dxfId="16222" priority="62" operator="containsText" text="CMS">
      <formula>NOT(ISERROR(SEARCH("CMS",F32)))</formula>
    </cfRule>
    <cfRule type="cellIs" dxfId="16221" priority="63" operator="equal">
      <formula>0</formula>
    </cfRule>
    <cfRule type="cellIs" dxfId="16220" priority="64" operator="greaterThan">
      <formula>0</formula>
    </cfRule>
  </conditionalFormatting>
  <conditionalFormatting sqref="F32">
    <cfRule type="cellIs" dxfId="16219" priority="53" operator="equal">
      <formula>"PMS"</formula>
    </cfRule>
    <cfRule type="containsText" dxfId="16218" priority="54" operator="containsText" text="CMS">
      <formula>NOT(ISERROR(SEARCH("CMS",F32)))</formula>
    </cfRule>
    <cfRule type="cellIs" dxfId="16217" priority="55" operator="equal">
      <formula>0</formula>
    </cfRule>
    <cfRule type="cellIs" dxfId="16216" priority="56" operator="greaterThan">
      <formula>0</formula>
    </cfRule>
  </conditionalFormatting>
  <conditionalFormatting sqref="F32">
    <cfRule type="cellIs" dxfId="16215" priority="49" operator="equal">
      <formula>"PMS"</formula>
    </cfRule>
    <cfRule type="containsText" dxfId="16214" priority="50" operator="containsText" text="CMS">
      <formula>NOT(ISERROR(SEARCH("CMS",F32)))</formula>
    </cfRule>
    <cfRule type="cellIs" dxfId="16213" priority="51" operator="equal">
      <formula>0</formula>
    </cfRule>
    <cfRule type="cellIs" dxfId="16212" priority="52" operator="greaterThan">
      <formula>0</formula>
    </cfRule>
  </conditionalFormatting>
  <conditionalFormatting sqref="P44">
    <cfRule type="cellIs" dxfId="16211" priority="45" operator="equal">
      <formula>"PMS"</formula>
    </cfRule>
    <cfRule type="containsText" dxfId="16210" priority="46" operator="containsText" text="CMS">
      <formula>NOT(ISERROR(SEARCH("CMS",P44)))</formula>
    </cfRule>
    <cfRule type="cellIs" dxfId="16209" priority="47" operator="equal">
      <formula>0</formula>
    </cfRule>
    <cfRule type="cellIs" dxfId="16208" priority="48" operator="greaterThan">
      <formula>0</formula>
    </cfRule>
  </conditionalFormatting>
  <conditionalFormatting sqref="P44">
    <cfRule type="cellIs" dxfId="16207" priority="41" operator="equal">
      <formula>"PMS"</formula>
    </cfRule>
    <cfRule type="containsText" dxfId="16206" priority="42" operator="containsText" text="CMS">
      <formula>NOT(ISERROR(SEARCH("CMS",P44)))</formula>
    </cfRule>
    <cfRule type="cellIs" dxfId="16205" priority="43" operator="equal">
      <formula>0</formula>
    </cfRule>
    <cfRule type="cellIs" dxfId="16204" priority="44" operator="greaterThan">
      <formula>0</formula>
    </cfRule>
  </conditionalFormatting>
  <conditionalFormatting sqref="P44">
    <cfRule type="cellIs" dxfId="16203" priority="37" operator="equal">
      <formula>"PMS"</formula>
    </cfRule>
    <cfRule type="containsText" dxfId="16202" priority="38" operator="containsText" text="CMS">
      <formula>NOT(ISERROR(SEARCH("CMS",P44)))</formula>
    </cfRule>
    <cfRule type="cellIs" dxfId="16201" priority="39" operator="equal">
      <formula>0</formula>
    </cfRule>
    <cfRule type="cellIs" dxfId="16200" priority="40" operator="greaterThan">
      <formula>0</formula>
    </cfRule>
  </conditionalFormatting>
  <conditionalFormatting sqref="P44">
    <cfRule type="cellIs" dxfId="16199" priority="33" operator="equal">
      <formula>"PMS"</formula>
    </cfRule>
    <cfRule type="containsText" dxfId="16198" priority="34" operator="containsText" text="CMS">
      <formula>NOT(ISERROR(SEARCH("CMS",P44)))</formula>
    </cfRule>
    <cfRule type="cellIs" dxfId="16197" priority="35" operator="equal">
      <formula>0</formula>
    </cfRule>
    <cfRule type="cellIs" dxfId="16196" priority="36" operator="greaterThan">
      <formula>0</formula>
    </cfRule>
  </conditionalFormatting>
  <conditionalFormatting sqref="P52:P54">
    <cfRule type="cellIs" dxfId="16195" priority="29" operator="equal">
      <formula>"PMS"</formula>
    </cfRule>
    <cfRule type="containsText" dxfId="16194" priority="30" operator="containsText" text="CMS">
      <formula>NOT(ISERROR(SEARCH("CMS",P52)))</formula>
    </cfRule>
    <cfRule type="cellIs" dxfId="16193" priority="31" operator="equal">
      <formula>0</formula>
    </cfRule>
    <cfRule type="cellIs" dxfId="16192" priority="32" operator="greaterThan">
      <formula>0</formula>
    </cfRule>
  </conditionalFormatting>
  <conditionalFormatting sqref="P52:P54">
    <cfRule type="cellIs" dxfId="16191" priority="25" operator="equal">
      <formula>"PMS"</formula>
    </cfRule>
    <cfRule type="containsText" dxfId="16190" priority="26" operator="containsText" text="CMS">
      <formula>NOT(ISERROR(SEARCH("CMS",P52)))</formula>
    </cfRule>
    <cfRule type="cellIs" dxfId="16189" priority="27" operator="equal">
      <formula>0</formula>
    </cfRule>
    <cfRule type="cellIs" dxfId="16188" priority="28" operator="greaterThan">
      <formula>0</formula>
    </cfRule>
  </conditionalFormatting>
  <conditionalFormatting sqref="P52:P54">
    <cfRule type="cellIs" dxfId="16187" priority="21" operator="equal">
      <formula>"PMS"</formula>
    </cfRule>
    <cfRule type="containsText" dxfId="16186" priority="22" operator="containsText" text="CMS">
      <formula>NOT(ISERROR(SEARCH("CMS",P52)))</formula>
    </cfRule>
    <cfRule type="cellIs" dxfId="16185" priority="23" operator="equal">
      <formula>0</formula>
    </cfRule>
    <cfRule type="cellIs" dxfId="16184" priority="24" operator="greaterThan">
      <formula>0</formula>
    </cfRule>
  </conditionalFormatting>
  <conditionalFormatting sqref="P52:P54">
    <cfRule type="cellIs" dxfId="16183" priority="17" operator="equal">
      <formula>"PMS"</formula>
    </cfRule>
    <cfRule type="containsText" dxfId="16182" priority="18" operator="containsText" text="CMS">
      <formula>NOT(ISERROR(SEARCH("CMS",P52)))</formula>
    </cfRule>
    <cfRule type="cellIs" dxfId="16181" priority="19" operator="equal">
      <formula>0</formula>
    </cfRule>
    <cfRule type="cellIs" dxfId="16180" priority="20" operator="greaterThan">
      <formula>0</formula>
    </cfRule>
  </conditionalFormatting>
  <conditionalFormatting sqref="P57:P58">
    <cfRule type="cellIs" dxfId="16179" priority="13" operator="equal">
      <formula>"PMS"</formula>
    </cfRule>
    <cfRule type="containsText" dxfId="16178" priority="14" operator="containsText" text="CMS">
      <formula>NOT(ISERROR(SEARCH("CMS",P57)))</formula>
    </cfRule>
    <cfRule type="cellIs" dxfId="16177" priority="15" operator="equal">
      <formula>0</formula>
    </cfRule>
    <cfRule type="cellIs" dxfId="16176" priority="16" operator="greaterThan">
      <formula>0</formula>
    </cfRule>
  </conditionalFormatting>
  <conditionalFormatting sqref="P57:P58">
    <cfRule type="cellIs" dxfId="16175" priority="9" operator="equal">
      <formula>"PMS"</formula>
    </cfRule>
    <cfRule type="containsText" dxfId="16174" priority="10" operator="containsText" text="CMS">
      <formula>NOT(ISERROR(SEARCH("CMS",P57)))</formula>
    </cfRule>
    <cfRule type="cellIs" dxfId="16173" priority="11" operator="equal">
      <formula>0</formula>
    </cfRule>
    <cfRule type="cellIs" dxfId="16172" priority="12" operator="greaterThan">
      <formula>0</formula>
    </cfRule>
  </conditionalFormatting>
  <conditionalFormatting sqref="P57:P58">
    <cfRule type="cellIs" dxfId="16171" priority="5" operator="equal">
      <formula>"PMS"</formula>
    </cfRule>
    <cfRule type="containsText" dxfId="16170" priority="6" operator="containsText" text="CMS">
      <formula>NOT(ISERROR(SEARCH("CMS",P57)))</formula>
    </cfRule>
    <cfRule type="cellIs" dxfId="16169" priority="7" operator="equal">
      <formula>0</formula>
    </cfRule>
    <cfRule type="cellIs" dxfId="16168" priority="8" operator="greaterThan">
      <formula>0</formula>
    </cfRule>
  </conditionalFormatting>
  <conditionalFormatting sqref="P57:P58">
    <cfRule type="cellIs" dxfId="16167" priority="1" operator="equal">
      <formula>"PMS"</formula>
    </cfRule>
    <cfRule type="containsText" dxfId="16166" priority="2" operator="containsText" text="CMS">
      <formula>NOT(ISERROR(SEARCH("CMS",P57)))</formula>
    </cfRule>
    <cfRule type="cellIs" dxfId="16165" priority="3" operator="equal">
      <formula>0</formula>
    </cfRule>
    <cfRule type="cellIs" dxfId="1616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3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1C1D4-BA78-4084-A904-0D4300EF6F92}">
  <sheetPr codeName="Sheet115"/>
  <dimension ref="A2:DT137"/>
  <sheetViews>
    <sheetView zoomScale="70" zoomScaleNormal="70" zoomScaleSheetLayoutView="51" zoomScalePageLayoutView="55" workbookViewId="0">
      <pane xSplit="5" ySplit="11" topLeftCell="F74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X101" sqref="X10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17,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427.99999999999989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6.3</v>
      </c>
      <c r="H13" s="71">
        <v>6.6</v>
      </c>
      <c r="I13" s="71">
        <v>6.5</v>
      </c>
      <c r="J13" s="71">
        <v>6.7</v>
      </c>
      <c r="K13" s="71">
        <v>6.6</v>
      </c>
      <c r="L13" s="71">
        <v>6.8</v>
      </c>
      <c r="M13" s="71">
        <v>6.3</v>
      </c>
      <c r="N13" s="71">
        <v>6.7</v>
      </c>
      <c r="O13" s="219">
        <v>6.6</v>
      </c>
      <c r="P13" s="219">
        <v>6.6</v>
      </c>
      <c r="Q13" s="71">
        <v>6.7</v>
      </c>
      <c r="R13" s="71">
        <v>6.5</v>
      </c>
      <c r="S13" s="71">
        <v>6.7</v>
      </c>
      <c r="T13" s="71">
        <v>6.4</v>
      </c>
      <c r="U13" s="71">
        <v>6.6</v>
      </c>
      <c r="V13" s="71">
        <v>6.5</v>
      </c>
      <c r="W13" s="71">
        <v>6.4</v>
      </c>
      <c r="X13" s="71">
        <v>6.2</v>
      </c>
      <c r="Y13" s="71">
        <v>6.5</v>
      </c>
      <c r="Z13" s="71">
        <v>6.7</v>
      </c>
      <c r="AA13" s="71">
        <v>7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/>
      <c r="P14" s="219"/>
      <c r="Q14" s="71"/>
      <c r="R14" s="71">
        <v>6.5</v>
      </c>
      <c r="S14" s="71">
        <v>6.7</v>
      </c>
      <c r="T14" s="71">
        <v>6.4</v>
      </c>
      <c r="U14" s="71">
        <v>6.6</v>
      </c>
      <c r="V14" s="71">
        <v>6.5</v>
      </c>
      <c r="W14" s="71">
        <v>6.4</v>
      </c>
      <c r="X14" s="71">
        <v>6.2</v>
      </c>
      <c r="Y14" s="71">
        <v>6.5</v>
      </c>
      <c r="Z14" s="71">
        <v>1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6.3</v>
      </c>
      <c r="H15" s="71">
        <v>6.6</v>
      </c>
      <c r="I15" s="71">
        <v>6.5</v>
      </c>
      <c r="J15" s="71">
        <v>6.7</v>
      </c>
      <c r="K15" s="71">
        <v>6.6</v>
      </c>
      <c r="L15" s="71">
        <v>6.8</v>
      </c>
      <c r="M15" s="71">
        <v>6.3</v>
      </c>
      <c r="N15" s="71">
        <v>6.7</v>
      </c>
      <c r="O15" s="219">
        <v>6.6</v>
      </c>
      <c r="P15" s="219">
        <v>6.6</v>
      </c>
      <c r="Q15" s="71">
        <v>6.7</v>
      </c>
      <c r="R15" s="71">
        <v>6.5</v>
      </c>
      <c r="S15" s="71">
        <v>6.7</v>
      </c>
      <c r="T15" s="71">
        <v>6.4</v>
      </c>
      <c r="U15" s="71">
        <v>6.6</v>
      </c>
      <c r="V15" s="71">
        <v>6.5</v>
      </c>
      <c r="W15" s="71">
        <v>6.4</v>
      </c>
      <c r="X15" s="71">
        <v>6.2</v>
      </c>
      <c r="Y15" s="71">
        <v>6.5</v>
      </c>
      <c r="Z15" s="71">
        <v>6.7</v>
      </c>
      <c r="AA15" s="71">
        <v>6</v>
      </c>
      <c r="AB15" s="71">
        <v>6.4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0</v>
      </c>
      <c r="P16" s="219">
        <v>6.6</v>
      </c>
      <c r="Q16" s="71">
        <v>6.7</v>
      </c>
      <c r="R16" s="71"/>
      <c r="S16" s="71"/>
      <c r="T16" s="71">
        <v>2.8</v>
      </c>
      <c r="U16" s="71">
        <v>6.6</v>
      </c>
      <c r="V16" s="71">
        <v>6.5</v>
      </c>
      <c r="W16" s="71">
        <v>6.4</v>
      </c>
      <c r="X16" s="71">
        <v>6.2</v>
      </c>
      <c r="Y16" s="71">
        <v>6.5</v>
      </c>
      <c r="Z16" s="71">
        <v>6.7</v>
      </c>
      <c r="AA16" s="71">
        <v>6</v>
      </c>
      <c r="AB16" s="71">
        <v>6.4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12.6</v>
      </c>
      <c r="H17" s="19">
        <f t="shared" si="0"/>
        <v>13.2</v>
      </c>
      <c r="I17" s="19">
        <f t="shared" si="0"/>
        <v>13</v>
      </c>
      <c r="J17" s="19">
        <f t="shared" si="0"/>
        <v>13.4</v>
      </c>
      <c r="K17" s="19">
        <f t="shared" si="0"/>
        <v>13.2</v>
      </c>
      <c r="L17" s="19">
        <f t="shared" si="0"/>
        <v>13.6</v>
      </c>
      <c r="M17" s="19">
        <f t="shared" si="0"/>
        <v>12.6</v>
      </c>
      <c r="N17" s="19">
        <f t="shared" si="0"/>
        <v>13.4</v>
      </c>
      <c r="O17" s="19">
        <f t="shared" si="0"/>
        <v>13.2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19.5</v>
      </c>
      <c r="S17" s="19">
        <f t="shared" si="0"/>
        <v>20.100000000000001</v>
      </c>
      <c r="T17" s="19">
        <f t="shared" si="0"/>
        <v>22.000000000000004</v>
      </c>
      <c r="U17" s="19">
        <f t="shared" si="0"/>
        <v>26.4</v>
      </c>
      <c r="V17" s="19">
        <f t="shared" si="0"/>
        <v>26</v>
      </c>
      <c r="W17" s="19">
        <f t="shared" si="0"/>
        <v>25.6</v>
      </c>
      <c r="X17" s="19">
        <f t="shared" si="0"/>
        <v>24.8</v>
      </c>
      <c r="Y17" s="19">
        <f t="shared" si="0"/>
        <v>26</v>
      </c>
      <c r="Z17" s="19">
        <f t="shared" si="0"/>
        <v>21.1</v>
      </c>
      <c r="AA17" s="19">
        <f t="shared" si="0"/>
        <v>19</v>
      </c>
      <c r="AB17" s="19">
        <f t="shared" si="0"/>
        <v>12.8</v>
      </c>
      <c r="AC17" s="19">
        <f t="shared" si="0"/>
        <v>13.4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78.499999999999972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2.8</v>
      </c>
      <c r="H21" s="71">
        <v>3.3</v>
      </c>
      <c r="I21" s="71">
        <v>2.9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3.5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2.8</v>
      </c>
      <c r="H22" s="19">
        <f t="shared" si="1"/>
        <v>3.3</v>
      </c>
      <c r="I22" s="19">
        <f t="shared" si="1"/>
        <v>2.9</v>
      </c>
      <c r="J22" s="19">
        <f t="shared" si="1"/>
        <v>3.3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3.5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53.499999999999986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0</v>
      </c>
      <c r="O24" s="219">
        <v>3.8</v>
      </c>
      <c r="P24" s="219">
        <v>3.8</v>
      </c>
      <c r="Q24" s="71">
        <v>3.8</v>
      </c>
      <c r="R24" s="71">
        <v>3.8</v>
      </c>
      <c r="S24" s="71">
        <v>0.9</v>
      </c>
      <c r="T24" s="71">
        <v>3.8</v>
      </c>
      <c r="U24" s="71">
        <v>3.8</v>
      </c>
      <c r="V24" s="71">
        <v>4</v>
      </c>
      <c r="W24" s="71">
        <v>3.8</v>
      </c>
      <c r="X24" s="71">
        <v>3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0.9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3.8</v>
      </c>
      <c r="X25" s="19">
        <f t="shared" si="3"/>
        <v>3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129.89999999999998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3.5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4</v>
      </c>
      <c r="P27" s="71">
        <v>4</v>
      </c>
      <c r="Q27" s="71">
        <v>4.2</v>
      </c>
      <c r="R27" s="71">
        <v>3.9</v>
      </c>
      <c r="S27" s="71">
        <v>4.0999999999999996</v>
      </c>
      <c r="T27" s="71">
        <v>3.9</v>
      </c>
      <c r="U27" s="71">
        <v>3.8</v>
      </c>
      <c r="V27" s="71">
        <v>3.7</v>
      </c>
      <c r="W27" s="71">
        <v>3</v>
      </c>
      <c r="X27" s="71">
        <v>2.5</v>
      </c>
      <c r="Y27" s="71">
        <v>3.4</v>
      </c>
      <c r="Z27" s="71">
        <v>4.0999999999999996</v>
      </c>
      <c r="AA27" s="71">
        <v>3.6</v>
      </c>
      <c r="AB27" s="71">
        <v>3.9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1</v>
      </c>
      <c r="G28" s="71">
        <v>2.8</v>
      </c>
      <c r="H28" s="71">
        <v>0</v>
      </c>
      <c r="I28" s="71">
        <v>0</v>
      </c>
      <c r="J28" s="71">
        <v>0</v>
      </c>
      <c r="K28" s="71">
        <v>0</v>
      </c>
      <c r="L28" s="71">
        <v>4</v>
      </c>
      <c r="M28" s="71">
        <v>3.6</v>
      </c>
      <c r="N28" s="71">
        <v>3.8</v>
      </c>
      <c r="O28" s="219">
        <v>4</v>
      </c>
      <c r="P28" s="71">
        <v>4</v>
      </c>
      <c r="Q28" s="71">
        <v>4.2</v>
      </c>
      <c r="R28" s="71">
        <v>3.9</v>
      </c>
      <c r="S28" s="71">
        <v>4.0999999999999996</v>
      </c>
      <c r="T28" s="71">
        <v>3.9</v>
      </c>
      <c r="U28" s="71">
        <v>3.8</v>
      </c>
      <c r="V28" s="71">
        <v>3.7</v>
      </c>
      <c r="W28" s="71">
        <v>3</v>
      </c>
      <c r="X28" s="71">
        <v>2.5</v>
      </c>
      <c r="Y28" s="71">
        <v>3.4</v>
      </c>
      <c r="Z28" s="71">
        <v>4.0999999999999996</v>
      </c>
      <c r="AA28" s="71">
        <v>3.6</v>
      </c>
      <c r="AB28" s="71">
        <v>3.9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4.5</v>
      </c>
      <c r="G30" s="19">
        <f t="shared" si="4"/>
        <v>2.8</v>
      </c>
      <c r="H30" s="19">
        <f t="shared" si="4"/>
        <v>0</v>
      </c>
      <c r="I30" s="19">
        <f t="shared" si="4"/>
        <v>0</v>
      </c>
      <c r="J30" s="19">
        <f t="shared" si="4"/>
        <v>0</v>
      </c>
      <c r="K30" s="19">
        <f t="shared" si="4"/>
        <v>0</v>
      </c>
      <c r="L30" s="19">
        <f t="shared" si="4"/>
        <v>4</v>
      </c>
      <c r="M30" s="19">
        <f t="shared" si="4"/>
        <v>3.6</v>
      </c>
      <c r="N30" s="19">
        <f t="shared" si="4"/>
        <v>3.8</v>
      </c>
      <c r="O30" s="19">
        <f t="shared" si="4"/>
        <v>8</v>
      </c>
      <c r="P30" s="19">
        <f t="shared" si="4"/>
        <v>8</v>
      </c>
      <c r="Q30" s="19">
        <f t="shared" si="4"/>
        <v>8.4</v>
      </c>
      <c r="R30" s="19">
        <f t="shared" si="4"/>
        <v>7.8</v>
      </c>
      <c r="S30" s="19">
        <f t="shared" si="4"/>
        <v>8.1999999999999993</v>
      </c>
      <c r="T30" s="19">
        <f t="shared" si="4"/>
        <v>7.8</v>
      </c>
      <c r="U30" s="19">
        <f t="shared" si="4"/>
        <v>7.6</v>
      </c>
      <c r="V30" s="19">
        <f t="shared" si="4"/>
        <v>7.4</v>
      </c>
      <c r="W30" s="19">
        <f t="shared" si="4"/>
        <v>6</v>
      </c>
      <c r="X30" s="19">
        <f t="shared" si="4"/>
        <v>5</v>
      </c>
      <c r="Y30" s="19">
        <f t="shared" si="4"/>
        <v>6.8</v>
      </c>
      <c r="Z30" s="19">
        <f t="shared" si="4"/>
        <v>8.1999999999999993</v>
      </c>
      <c r="AA30" s="19">
        <f t="shared" si="4"/>
        <v>7.2</v>
      </c>
      <c r="AB30" s="19">
        <f t="shared" si="4"/>
        <v>7.8</v>
      </c>
      <c r="AC30" s="19">
        <f t="shared" si="4"/>
        <v>7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310.85000000000002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12.48</v>
      </c>
      <c r="G32" s="71">
        <v>11.7</v>
      </c>
      <c r="H32" s="71">
        <v>12.24</v>
      </c>
      <c r="I32" s="71">
        <v>11.72</v>
      </c>
      <c r="J32" s="71">
        <v>11.46</v>
      </c>
      <c r="K32" s="71">
        <v>12.68</v>
      </c>
      <c r="L32" s="71">
        <v>12.13</v>
      </c>
      <c r="M32" s="71">
        <v>13.66</v>
      </c>
      <c r="N32" s="71">
        <v>13.68</v>
      </c>
      <c r="O32" s="71">
        <v>13.9</v>
      </c>
      <c r="P32" s="71">
        <v>13.88</v>
      </c>
      <c r="Q32" s="71">
        <v>13.79</v>
      </c>
      <c r="R32" s="71">
        <v>13.77</v>
      </c>
      <c r="S32" s="71">
        <v>13.87</v>
      </c>
      <c r="T32" s="71">
        <v>13.9</v>
      </c>
      <c r="U32" s="71">
        <v>12.88</v>
      </c>
      <c r="V32" s="71">
        <v>13.03</v>
      </c>
      <c r="W32" s="71">
        <v>12.45</v>
      </c>
      <c r="X32" s="71">
        <v>12.55</v>
      </c>
      <c r="Y32" s="71">
        <v>12.4</v>
      </c>
      <c r="Z32" s="71">
        <v>13.07</v>
      </c>
      <c r="AA32" s="71">
        <v>13.09</v>
      </c>
      <c r="AB32" s="71">
        <v>13.98</v>
      </c>
      <c r="AC32" s="71">
        <v>12.54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12.48</v>
      </c>
      <c r="G33" s="19">
        <f t="shared" si="5"/>
        <v>11.7</v>
      </c>
      <c r="H33" s="19">
        <f t="shared" si="5"/>
        <v>12.24</v>
      </c>
      <c r="I33" s="19">
        <f t="shared" si="5"/>
        <v>11.72</v>
      </c>
      <c r="J33" s="19">
        <f t="shared" si="5"/>
        <v>11.46</v>
      </c>
      <c r="K33" s="19">
        <f t="shared" si="5"/>
        <v>12.68</v>
      </c>
      <c r="L33" s="19">
        <f t="shared" si="5"/>
        <v>12.13</v>
      </c>
      <c r="M33" s="19">
        <f t="shared" si="5"/>
        <v>13.66</v>
      </c>
      <c r="N33" s="19">
        <f t="shared" si="5"/>
        <v>13.68</v>
      </c>
      <c r="O33" s="19">
        <f t="shared" si="5"/>
        <v>13.9</v>
      </c>
      <c r="P33" s="19">
        <f t="shared" si="5"/>
        <v>13.88</v>
      </c>
      <c r="Q33" s="19">
        <f t="shared" si="5"/>
        <v>13.79</v>
      </c>
      <c r="R33" s="19">
        <f t="shared" si="5"/>
        <v>13.77</v>
      </c>
      <c r="S33" s="19">
        <f t="shared" si="5"/>
        <v>13.87</v>
      </c>
      <c r="T33" s="19">
        <f t="shared" si="5"/>
        <v>13.9</v>
      </c>
      <c r="U33" s="19">
        <f t="shared" si="5"/>
        <v>12.88</v>
      </c>
      <c r="V33" s="19">
        <f t="shared" si="5"/>
        <v>13.03</v>
      </c>
      <c r="W33" s="19">
        <f t="shared" si="5"/>
        <v>12.45</v>
      </c>
      <c r="X33" s="19">
        <f t="shared" si="5"/>
        <v>12.55</v>
      </c>
      <c r="Y33" s="19">
        <f t="shared" si="5"/>
        <v>12.4</v>
      </c>
      <c r="Z33" s="19">
        <f t="shared" si="5"/>
        <v>13.07</v>
      </c>
      <c r="AA33" s="19">
        <f t="shared" si="5"/>
        <v>13.09</v>
      </c>
      <c r="AB33" s="19">
        <f t="shared" si="5"/>
        <v>13.98</v>
      </c>
      <c r="AC33" s="19">
        <f t="shared" si="5"/>
        <v>12.54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14.100000000000003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>
        <v>0.7</v>
      </c>
      <c r="S44" s="71">
        <v>0.8</v>
      </c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2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219">
        <v>0</v>
      </c>
      <c r="P45" s="71">
        <v>0</v>
      </c>
      <c r="Q45" s="71">
        <v>0</v>
      </c>
      <c r="R45" s="71">
        <v>0</v>
      </c>
      <c r="S45" s="71">
        <v>0.8</v>
      </c>
      <c r="T45" s="71">
        <v>0.7</v>
      </c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>
        <v>1</v>
      </c>
      <c r="AF45" s="11">
        <f t="shared" si="6"/>
        <v>0</v>
      </c>
      <c r="AG45" s="11">
        <f t="shared" si="7"/>
        <v>0</v>
      </c>
      <c r="AH45" s="11">
        <f t="shared" si="8"/>
        <v>15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>
        <v>0.8</v>
      </c>
      <c r="T46" s="71">
        <v>0.8</v>
      </c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2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0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>
        <v>0.8</v>
      </c>
      <c r="T48" s="71">
        <v>0.8</v>
      </c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2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>
        <v>0.8</v>
      </c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1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0.75</v>
      </c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1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>
        <v>0.8</v>
      </c>
      <c r="AC53" s="71">
        <v>0</v>
      </c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2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>
        <v>0.8</v>
      </c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1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0.8</v>
      </c>
      <c r="S56" s="71">
        <v>0.8</v>
      </c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2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v>0.8</v>
      </c>
      <c r="R57" s="71">
        <v>0.8</v>
      </c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2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>
        <v>0.75</v>
      </c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1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</v>
      </c>
      <c r="J59" s="19">
        <f t="shared" si="9"/>
        <v>0</v>
      </c>
      <c r="K59" s="19">
        <f t="shared" si="9"/>
        <v>0</v>
      </c>
      <c r="L59" s="19">
        <f t="shared" si="9"/>
        <v>0</v>
      </c>
      <c r="M59" s="19">
        <f t="shared" si="9"/>
        <v>0</v>
      </c>
      <c r="N59" s="19">
        <f t="shared" si="9"/>
        <v>0.8</v>
      </c>
      <c r="O59" s="19">
        <f t="shared" si="9"/>
        <v>1.5</v>
      </c>
      <c r="P59" s="19">
        <f t="shared" si="9"/>
        <v>0</v>
      </c>
      <c r="Q59" s="19">
        <f t="shared" si="9"/>
        <v>0.8</v>
      </c>
      <c r="R59" s="19">
        <f t="shared" si="9"/>
        <v>2.2999999999999998</v>
      </c>
      <c r="S59" s="19">
        <f t="shared" si="9"/>
        <v>4</v>
      </c>
      <c r="T59" s="19">
        <f t="shared" si="9"/>
        <v>3.0999999999999996</v>
      </c>
      <c r="U59" s="19">
        <f t="shared" si="9"/>
        <v>0</v>
      </c>
      <c r="V59" s="19">
        <f t="shared" si="9"/>
        <v>0</v>
      </c>
      <c r="W59" s="19">
        <f>SUM(W35:W58)</f>
        <v>0</v>
      </c>
      <c r="X59" s="19">
        <f t="shared" si="9"/>
        <v>0</v>
      </c>
      <c r="Y59" s="19">
        <f>SUM(Y35:Y58)</f>
        <v>0</v>
      </c>
      <c r="Z59" s="19">
        <f t="shared" si="9"/>
        <v>0</v>
      </c>
      <c r="AA59" s="19">
        <f t="shared" si="9"/>
        <v>0</v>
      </c>
      <c r="AB59" s="19">
        <f t="shared" si="9"/>
        <v>1.6</v>
      </c>
      <c r="AC59" s="19">
        <f t="shared" si="9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28.390000000000004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0.89/2</f>
        <v>0.44500000000000001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f>1.38/2</f>
        <v>0.69</v>
      </c>
      <c r="S61" s="71">
        <f>1.22/2</f>
        <v>0.61</v>
      </c>
      <c r="T61" s="71">
        <f>1.33/2</f>
        <v>0.66500000000000004</v>
      </c>
      <c r="U61" s="71">
        <f>1.34/2</f>
        <v>0.67</v>
      </c>
      <c r="V61" s="71">
        <f>1.32/2</f>
        <v>0.66</v>
      </c>
      <c r="W61" s="71">
        <f>1.35/2</f>
        <v>0.67500000000000004</v>
      </c>
      <c r="X61" s="71">
        <f>1.33/2</f>
        <v>0.66500000000000004</v>
      </c>
      <c r="Y61" s="71">
        <f>1.64/3</f>
        <v>0.54666666666666663</v>
      </c>
      <c r="Z61" s="71">
        <f>1.6/3</f>
        <v>0.53333333333333333</v>
      </c>
      <c r="AA61" s="71">
        <f>1.46/2</f>
        <v>0.73</v>
      </c>
      <c r="AB61" s="71">
        <f>1.28/2</f>
        <v>0.64</v>
      </c>
      <c r="AC61" s="71">
        <f>1.13/2</f>
        <v>0.56499999999999995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0.84/2</f>
        <v>0.42</v>
      </c>
      <c r="H62" s="380">
        <f>0.78/2</f>
        <v>0.39</v>
      </c>
      <c r="I62" s="71">
        <v>0.38500000000000001</v>
      </c>
      <c r="J62" s="71">
        <v>0.38</v>
      </c>
      <c r="K62" s="71">
        <v>0.43</v>
      </c>
      <c r="L62" s="71">
        <v>0.54</v>
      </c>
      <c r="M62" s="71">
        <f>1.11/2</f>
        <v>0.55500000000000005</v>
      </c>
      <c r="N62" s="71">
        <f>0.99/2</f>
        <v>0.495</v>
      </c>
      <c r="O62" s="71">
        <f>1.2/2</f>
        <v>0.6</v>
      </c>
      <c r="P62" s="71">
        <f>1.33/2</f>
        <v>0.66500000000000004</v>
      </c>
      <c r="Q62" s="71">
        <f>1.4/2</f>
        <v>0.7</v>
      </c>
      <c r="R62" s="71"/>
      <c r="S62" s="71"/>
      <c r="T62" s="71"/>
      <c r="U62" s="71"/>
      <c r="V62" s="71"/>
      <c r="W62" s="71"/>
      <c r="X62" s="71">
        <f>1.33/2</f>
        <v>0.66500000000000004</v>
      </c>
      <c r="Y62" s="71">
        <f>1.64/3</f>
        <v>0.54666666666666663</v>
      </c>
      <c r="Z62" s="71">
        <f>1.6/3</f>
        <v>0.53333333333333333</v>
      </c>
      <c r="AA62" s="71">
        <f>1.46/2</f>
        <v>0.73</v>
      </c>
      <c r="AB62" s="71">
        <f>1.28/2</f>
        <v>0.64</v>
      </c>
      <c r="AC62" s="71">
        <f>1.13/2</f>
        <v>0.56499999999999995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/>
      <c r="G63" s="71">
        <f>0.84/2</f>
        <v>0.42</v>
      </c>
      <c r="H63" s="380">
        <f>0.78/2</f>
        <v>0.39</v>
      </c>
      <c r="I63" s="380">
        <v>0.38500000000000001</v>
      </c>
      <c r="J63" s="71">
        <v>0.38</v>
      </c>
      <c r="K63" s="71">
        <v>0.43</v>
      </c>
      <c r="L63" s="71">
        <v>0.54</v>
      </c>
      <c r="M63" s="71">
        <f>1.11/2</f>
        <v>0.55500000000000005</v>
      </c>
      <c r="N63" s="71">
        <f>0.99/2</f>
        <v>0.495</v>
      </c>
      <c r="O63" s="71">
        <f>1.2/2</f>
        <v>0.6</v>
      </c>
      <c r="P63" s="71">
        <f>1.33/2</f>
        <v>0.66500000000000004</v>
      </c>
      <c r="Q63" s="71">
        <f>1.4/2</f>
        <v>0.7</v>
      </c>
      <c r="R63" s="71">
        <f>1.38/2</f>
        <v>0.69</v>
      </c>
      <c r="S63" s="71">
        <f>1.22/2</f>
        <v>0.61</v>
      </c>
      <c r="T63" s="71">
        <f>1.33/2</f>
        <v>0.66500000000000004</v>
      </c>
      <c r="U63" s="71">
        <f>1.34/2</f>
        <v>0.67</v>
      </c>
      <c r="V63" s="71">
        <f>1.32/2</f>
        <v>0.66</v>
      </c>
      <c r="W63" s="71">
        <f>1.35/2</f>
        <v>0.67500000000000004</v>
      </c>
      <c r="X63" s="71"/>
      <c r="Y63" s="71">
        <f>1.64/3</f>
        <v>0.54666666666666663</v>
      </c>
      <c r="Z63" s="71">
        <f>1.6/3</f>
        <v>0.53333333333333333</v>
      </c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0.89</v>
      </c>
      <c r="G64" s="19">
        <f>SUM(G61:G63)</f>
        <v>0.84</v>
      </c>
      <c r="H64" s="19">
        <f>SUM(H61:H63)</f>
        <v>0.78</v>
      </c>
      <c r="I64" s="19">
        <f>SUM(I61:I63)</f>
        <v>0.77</v>
      </c>
      <c r="J64" s="19">
        <f t="shared" ref="J64:AC64" si="11">SUM(J61:J63)</f>
        <v>0.76</v>
      </c>
      <c r="K64" s="19">
        <f>SUM(K61:K63)</f>
        <v>0.86</v>
      </c>
      <c r="L64" s="19">
        <f t="shared" si="11"/>
        <v>1.08</v>
      </c>
      <c r="M64" s="19">
        <f t="shared" si="11"/>
        <v>1.1100000000000001</v>
      </c>
      <c r="N64" s="19">
        <f t="shared" si="11"/>
        <v>0.99</v>
      </c>
      <c r="O64" s="19">
        <f t="shared" si="11"/>
        <v>1.2</v>
      </c>
      <c r="P64" s="19">
        <f t="shared" si="11"/>
        <v>1.33</v>
      </c>
      <c r="Q64" s="19">
        <f t="shared" si="11"/>
        <v>1.4</v>
      </c>
      <c r="R64" s="19">
        <f t="shared" si="11"/>
        <v>1.38</v>
      </c>
      <c r="S64" s="19">
        <f t="shared" si="11"/>
        <v>1.22</v>
      </c>
      <c r="T64" s="19">
        <f>SUM(T61:T63)</f>
        <v>1.33</v>
      </c>
      <c r="U64" s="19">
        <f>SUM(U61:U63)</f>
        <v>1.34</v>
      </c>
      <c r="V64" s="19">
        <f>SUM(V61:V63)</f>
        <v>1.32</v>
      </c>
      <c r="W64" s="19">
        <f t="shared" si="11"/>
        <v>1.35</v>
      </c>
      <c r="X64" s="19">
        <f t="shared" si="11"/>
        <v>1.33</v>
      </c>
      <c r="Y64" s="19">
        <f t="shared" si="11"/>
        <v>1.64</v>
      </c>
      <c r="Z64" s="19">
        <f t="shared" si="11"/>
        <v>1.6</v>
      </c>
      <c r="AA64" s="19">
        <f t="shared" si="11"/>
        <v>1.46</v>
      </c>
      <c r="AB64" s="19">
        <f t="shared" si="11"/>
        <v>1.28</v>
      </c>
      <c r="AC64" s="19">
        <f t="shared" si="11"/>
        <v>1.1299999999999999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69.649999999999963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>
        <f>5.6/7</f>
        <v>0.79999999999999993</v>
      </c>
      <c r="Z66" s="71">
        <f>5.6/7</f>
        <v>0.79999999999999993</v>
      </c>
      <c r="AA66" s="71">
        <f>5.6/7</f>
        <v>0.79999999999999993</v>
      </c>
      <c r="AB66" s="71">
        <f>4.9/7</f>
        <v>0.70000000000000007</v>
      </c>
      <c r="AC66" s="71"/>
      <c r="AD66" s="35"/>
      <c r="AE66" s="35"/>
      <c r="AF66" s="11">
        <f t="shared" ref="AF66:AF74" si="12">COUNTIF(F66:AC66,$AF$11)</f>
        <v>0</v>
      </c>
      <c r="AG66" s="11">
        <f t="shared" ref="AG66:AG74" si="13">COUNTIF(G66:AC66,$AG$11)</f>
        <v>0</v>
      </c>
      <c r="AH66" s="11">
        <f t="shared" ref="AH66:AH74" si="14">COUNT(F66:AC66)</f>
        <v>4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3.5/5</f>
        <v>0.7</v>
      </c>
      <c r="G67" s="71">
        <f>3.3/5</f>
        <v>0.65999999999999992</v>
      </c>
      <c r="H67" s="71">
        <f>3.2/5</f>
        <v>0.64</v>
      </c>
      <c r="I67" s="71">
        <v>0.61599999999999999</v>
      </c>
      <c r="J67" s="71">
        <v>0.76</v>
      </c>
      <c r="K67" s="71">
        <v>0.77500000000000002</v>
      </c>
      <c r="L67" s="71">
        <v>0.73799999999999999</v>
      </c>
      <c r="M67" s="71">
        <v>0.73799999999999999</v>
      </c>
      <c r="N67" s="71">
        <f>3.65/5</f>
        <v>0.73</v>
      </c>
      <c r="O67" s="71">
        <f>4.2/6</f>
        <v>0.70000000000000007</v>
      </c>
      <c r="P67" s="71"/>
      <c r="Q67" s="71"/>
      <c r="R67" s="71"/>
      <c r="S67" s="71"/>
      <c r="T67" s="71"/>
      <c r="U67" s="71"/>
      <c r="V67" s="71"/>
      <c r="W67" s="71">
        <f>4.1/5</f>
        <v>0.82</v>
      </c>
      <c r="X67" s="71">
        <f>5/6</f>
        <v>0.83333333333333337</v>
      </c>
      <c r="Y67" s="71">
        <f t="shared" ref="Y67:Y71" si="15">5.6/7</f>
        <v>0.79999999999999993</v>
      </c>
      <c r="Z67" s="71">
        <f t="shared" ref="Z67:AA71" si="16">5.6/7</f>
        <v>0.79999999999999993</v>
      </c>
      <c r="AA67" s="71">
        <f t="shared" si="16"/>
        <v>0.79999999999999993</v>
      </c>
      <c r="AB67" s="71">
        <f t="shared" ref="AB67:AB71" si="17">4.9/7</f>
        <v>0.70000000000000007</v>
      </c>
      <c r="AC67" s="71">
        <f>4.4/6</f>
        <v>0.73333333333333339</v>
      </c>
      <c r="AD67" s="35"/>
      <c r="AE67" s="35"/>
      <c r="AF67" s="11">
        <f t="shared" si="12"/>
        <v>0</v>
      </c>
      <c r="AG67" s="11">
        <f t="shared" si="13"/>
        <v>0</v>
      </c>
      <c r="AH67" s="11">
        <f t="shared" si="14"/>
        <v>17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3.5/5</f>
        <v>0.7</v>
      </c>
      <c r="G68" s="71">
        <f>3.3/5</f>
        <v>0.65999999999999992</v>
      </c>
      <c r="H68" s="71">
        <f>3.2/5</f>
        <v>0.64</v>
      </c>
      <c r="I68" s="71">
        <v>0.61599999999999999</v>
      </c>
      <c r="J68" s="71"/>
      <c r="K68" s="71"/>
      <c r="L68" s="71"/>
      <c r="M68" s="71"/>
      <c r="N68" s="71"/>
      <c r="O68" s="71">
        <f t="shared" ref="O68:O71" si="18">4.2/6</f>
        <v>0.70000000000000007</v>
      </c>
      <c r="P68" s="71"/>
      <c r="Q68" s="71"/>
      <c r="R68" s="71"/>
      <c r="S68" s="71"/>
      <c r="T68" s="71"/>
      <c r="U68" s="71"/>
      <c r="V68" s="71"/>
      <c r="W68" s="71"/>
      <c r="X68" s="71">
        <f t="shared" ref="X68:X71" si="19">5/6</f>
        <v>0.83333333333333337</v>
      </c>
      <c r="Y68" s="71">
        <f t="shared" si="15"/>
        <v>0.79999999999999993</v>
      </c>
      <c r="Z68" s="71">
        <f t="shared" si="16"/>
        <v>0.79999999999999993</v>
      </c>
      <c r="AA68" s="71">
        <f t="shared" si="16"/>
        <v>0.79999999999999993</v>
      </c>
      <c r="AB68" s="71">
        <f t="shared" si="17"/>
        <v>0.70000000000000007</v>
      </c>
      <c r="AC68" s="71">
        <f t="shared" ref="AC68:AC71" si="20">4.4/6</f>
        <v>0.73333333333333339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4"/>
        <v>11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0.73799999999999999</v>
      </c>
      <c r="M69" s="71">
        <v>0.73799999999999999</v>
      </c>
      <c r="N69" s="71">
        <f t="shared" ref="N69:N71" si="21">3.65/5</f>
        <v>0.73</v>
      </c>
      <c r="O69" s="71">
        <f t="shared" si="18"/>
        <v>0.70000000000000007</v>
      </c>
      <c r="P69" s="71"/>
      <c r="Q69" s="71"/>
      <c r="R69" s="71"/>
      <c r="S69" s="71"/>
      <c r="T69" s="71"/>
      <c r="U69" s="71"/>
      <c r="V69" s="71"/>
      <c r="W69" s="71">
        <f>4.1/5</f>
        <v>0.82</v>
      </c>
      <c r="X69" s="71">
        <f t="shared" si="19"/>
        <v>0.83333333333333337</v>
      </c>
      <c r="Y69" s="71">
        <f t="shared" si="15"/>
        <v>0.79999999999999993</v>
      </c>
      <c r="Z69" s="71">
        <f t="shared" si="16"/>
        <v>0.79999999999999993</v>
      </c>
      <c r="AA69" s="71">
        <f t="shared" si="16"/>
        <v>0.79999999999999993</v>
      </c>
      <c r="AB69" s="71">
        <f t="shared" si="17"/>
        <v>0.70000000000000007</v>
      </c>
      <c r="AC69" s="71">
        <f t="shared" si="20"/>
        <v>0.73333333333333339</v>
      </c>
      <c r="AD69" s="35"/>
      <c r="AE69" s="35"/>
      <c r="AF69" s="11">
        <f t="shared" si="12"/>
        <v>0</v>
      </c>
      <c r="AG69" s="11">
        <f t="shared" si="13"/>
        <v>0</v>
      </c>
      <c r="AH69" s="11">
        <f t="shared" si="14"/>
        <v>17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ref="F70:F71" si="22">3.5/5</f>
        <v>0.7</v>
      </c>
      <c r="G70" s="71">
        <f t="shared" ref="G70:G71" si="23">3.3/5</f>
        <v>0.65999999999999992</v>
      </c>
      <c r="H70" s="71">
        <f t="shared" ref="H70:H71" si="24">3.2/5</f>
        <v>0.64</v>
      </c>
      <c r="I70" s="71">
        <v>0.61599999999999999</v>
      </c>
      <c r="J70" s="71">
        <v>0.76</v>
      </c>
      <c r="K70" s="71">
        <v>0.77500000000000002</v>
      </c>
      <c r="L70" s="71">
        <v>0.73799999999999999</v>
      </c>
      <c r="M70" s="71">
        <v>0.73799999999999999</v>
      </c>
      <c r="N70" s="71">
        <f t="shared" si="21"/>
        <v>0.73</v>
      </c>
      <c r="O70" s="71">
        <f t="shared" si="18"/>
        <v>0.70000000000000007</v>
      </c>
      <c r="P70" s="71"/>
      <c r="Q70" s="71"/>
      <c r="R70" s="71"/>
      <c r="S70" s="71"/>
      <c r="T70" s="71"/>
      <c r="U70" s="71"/>
      <c r="V70" s="71"/>
      <c r="W70" s="71">
        <f>4.1/5</f>
        <v>0.82</v>
      </c>
      <c r="X70" s="71">
        <f t="shared" si="19"/>
        <v>0.83333333333333337</v>
      </c>
      <c r="Y70" s="71">
        <f t="shared" si="15"/>
        <v>0.79999999999999993</v>
      </c>
      <c r="Z70" s="71">
        <f t="shared" si="16"/>
        <v>0.79999999999999993</v>
      </c>
      <c r="AA70" s="71">
        <f t="shared" si="16"/>
        <v>0.79999999999999993</v>
      </c>
      <c r="AB70" s="71">
        <f t="shared" si="17"/>
        <v>0.70000000000000007</v>
      </c>
      <c r="AC70" s="71">
        <f t="shared" si="20"/>
        <v>0.73333333333333339</v>
      </c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17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2"/>
        <v>0.7</v>
      </c>
      <c r="G71" s="71">
        <f t="shared" si="23"/>
        <v>0.65999999999999992</v>
      </c>
      <c r="H71" s="71">
        <f t="shared" si="24"/>
        <v>0.64</v>
      </c>
      <c r="I71" s="71">
        <v>0.61599999999999999</v>
      </c>
      <c r="J71" s="71">
        <v>0.76</v>
      </c>
      <c r="K71" s="71">
        <v>0.77500000000000002</v>
      </c>
      <c r="L71" s="71">
        <v>0.73799999999999999</v>
      </c>
      <c r="M71" s="71">
        <v>0.73799999999999999</v>
      </c>
      <c r="N71" s="71">
        <f t="shared" si="21"/>
        <v>0.73</v>
      </c>
      <c r="O71" s="71">
        <f t="shared" si="18"/>
        <v>0.70000000000000007</v>
      </c>
      <c r="P71" s="71"/>
      <c r="Q71" s="71"/>
      <c r="R71" s="71"/>
      <c r="S71" s="71"/>
      <c r="T71" s="71"/>
      <c r="U71" s="71"/>
      <c r="V71" s="71"/>
      <c r="W71" s="71">
        <f>4.1/5</f>
        <v>0.82</v>
      </c>
      <c r="X71" s="71">
        <f t="shared" si="19"/>
        <v>0.83333333333333337</v>
      </c>
      <c r="Y71" s="71">
        <f t="shared" si="15"/>
        <v>0.79999999999999993</v>
      </c>
      <c r="Z71" s="71">
        <f t="shared" si="16"/>
        <v>0.79999999999999993</v>
      </c>
      <c r="AA71" s="71">
        <f t="shared" si="16"/>
        <v>0.79999999999999993</v>
      </c>
      <c r="AB71" s="71">
        <f t="shared" si="17"/>
        <v>0.70000000000000007</v>
      </c>
      <c r="AC71" s="71">
        <f t="shared" si="20"/>
        <v>0.73333333333333339</v>
      </c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17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2"/>
        <v>24</v>
      </c>
      <c r="AG73" s="11">
        <f t="shared" si="13"/>
        <v>0</v>
      </c>
      <c r="AH73" s="11">
        <f t="shared" si="14"/>
        <v>0</v>
      </c>
    </row>
    <row r="74" spans="1:124" ht="15.75" customHeight="1" x14ac:dyDescent="0.25">
      <c r="A74" s="14" t="s">
        <v>63</v>
      </c>
      <c r="B74" s="9"/>
      <c r="C74" s="15">
        <v>0.85</v>
      </c>
      <c r="D74" s="15"/>
      <c r="E74" s="15"/>
      <c r="F74" s="71">
        <f>3.5/5</f>
        <v>0.7</v>
      </c>
      <c r="G74" s="71">
        <f>3.3/5</f>
        <v>0.65999999999999992</v>
      </c>
      <c r="H74" s="71">
        <f>3.2/5</f>
        <v>0.64</v>
      </c>
      <c r="I74" s="71">
        <v>0.61599999999999999</v>
      </c>
      <c r="J74" s="71">
        <v>0.76</v>
      </c>
      <c r="K74" s="71">
        <v>0.77500000000000002</v>
      </c>
      <c r="L74" s="71">
        <v>0.73799999999999999</v>
      </c>
      <c r="M74" s="71">
        <v>0.73799999999999999</v>
      </c>
      <c r="N74" s="71">
        <f>3.65/5</f>
        <v>0.73</v>
      </c>
      <c r="O74" s="71">
        <f>4.2/6</f>
        <v>0.70000000000000007</v>
      </c>
      <c r="P74" s="71"/>
      <c r="Q74" s="71"/>
      <c r="R74" s="71"/>
      <c r="S74" s="71"/>
      <c r="T74" s="71"/>
      <c r="U74" s="71"/>
      <c r="V74" s="71"/>
      <c r="W74" s="71">
        <f>4.1/5</f>
        <v>0.82</v>
      </c>
      <c r="X74" s="71">
        <f>5/6</f>
        <v>0.83333333333333337</v>
      </c>
      <c r="Y74" s="71">
        <f>5.6/7</f>
        <v>0.79999999999999993</v>
      </c>
      <c r="Z74" s="71">
        <f>5.6/7</f>
        <v>0.79999999999999993</v>
      </c>
      <c r="AA74" s="71">
        <f>5.6/7</f>
        <v>0.79999999999999993</v>
      </c>
      <c r="AB74" s="71">
        <f>4.9/7</f>
        <v>0.70000000000000007</v>
      </c>
      <c r="AC74" s="71">
        <f>4.4/6</f>
        <v>0.73333333333333339</v>
      </c>
      <c r="AD74" s="31"/>
      <c r="AE74" s="31"/>
      <c r="AF74" s="11">
        <f t="shared" si="12"/>
        <v>0</v>
      </c>
      <c r="AG74" s="11">
        <f t="shared" si="13"/>
        <v>0</v>
      </c>
      <c r="AH74" s="11">
        <f t="shared" si="14"/>
        <v>17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5">SUM(F66:F74)</f>
        <v>3.5</v>
      </c>
      <c r="G75" s="19">
        <f t="shared" si="25"/>
        <v>3.3</v>
      </c>
      <c r="H75" s="19">
        <f t="shared" si="25"/>
        <v>3.2</v>
      </c>
      <c r="I75" s="19">
        <f t="shared" si="25"/>
        <v>3.08</v>
      </c>
      <c r="J75" s="19">
        <f t="shared" si="25"/>
        <v>3.04</v>
      </c>
      <c r="K75" s="19">
        <f t="shared" si="25"/>
        <v>3.1</v>
      </c>
      <c r="L75" s="19">
        <f>SUM(L66:L74)</f>
        <v>3.69</v>
      </c>
      <c r="M75" s="19">
        <f t="shared" si="25"/>
        <v>3.69</v>
      </c>
      <c r="N75" s="19">
        <f t="shared" si="25"/>
        <v>3.65</v>
      </c>
      <c r="O75" s="19">
        <f t="shared" si="25"/>
        <v>4.2</v>
      </c>
      <c r="P75" s="19">
        <f t="shared" si="25"/>
        <v>0</v>
      </c>
      <c r="Q75" s="19">
        <f t="shared" si="25"/>
        <v>0</v>
      </c>
      <c r="R75" s="19">
        <f t="shared" si="25"/>
        <v>0</v>
      </c>
      <c r="S75" s="19">
        <f t="shared" si="25"/>
        <v>0</v>
      </c>
      <c r="T75" s="19">
        <f t="shared" si="25"/>
        <v>0</v>
      </c>
      <c r="U75" s="19">
        <f t="shared" si="25"/>
        <v>0</v>
      </c>
      <c r="V75" s="19">
        <f t="shared" si="25"/>
        <v>0</v>
      </c>
      <c r="W75" s="19">
        <f t="shared" si="25"/>
        <v>4.0999999999999996</v>
      </c>
      <c r="X75" s="19">
        <f t="shared" si="25"/>
        <v>5</v>
      </c>
      <c r="Y75" s="19">
        <f t="shared" si="25"/>
        <v>5.6</v>
      </c>
      <c r="Z75" s="19">
        <f t="shared" si="25"/>
        <v>5.6</v>
      </c>
      <c r="AA75" s="19">
        <f t="shared" si="25"/>
        <v>5.6</v>
      </c>
      <c r="AB75" s="19">
        <f t="shared" si="25"/>
        <v>4.9000000000000004</v>
      </c>
      <c r="AC75" s="19">
        <f t="shared" si="25"/>
        <v>4.4000000000000004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20.03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0.71</v>
      </c>
      <c r="O77" s="71">
        <v>0.73</v>
      </c>
      <c r="P77" s="71">
        <v>0.79</v>
      </c>
      <c r="Q77" s="71">
        <v>0.82</v>
      </c>
      <c r="R77" s="71">
        <v>0.84</v>
      </c>
      <c r="S77" s="71">
        <v>0.88</v>
      </c>
      <c r="T77" s="71">
        <v>0.9</v>
      </c>
      <c r="U77" s="71">
        <v>0.89</v>
      </c>
      <c r="V77" s="71">
        <v>0.87</v>
      </c>
      <c r="W77" s="71">
        <v>0.88</v>
      </c>
      <c r="X77" s="71">
        <v>0.89</v>
      </c>
      <c r="Y77" s="71">
        <v>1.01</v>
      </c>
      <c r="Z77" s="71">
        <v>1.01</v>
      </c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0.73</v>
      </c>
      <c r="I78" s="71">
        <v>0.73</v>
      </c>
      <c r="J78" s="380">
        <v>0.71</v>
      </c>
      <c r="K78" s="71">
        <v>0.73</v>
      </c>
      <c r="L78" s="71">
        <v>0.78</v>
      </c>
      <c r="M78" s="71">
        <v>0.81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>
        <v>0.99</v>
      </c>
      <c r="AB78" s="71">
        <v>0.91</v>
      </c>
      <c r="AC78" s="71">
        <v>0.86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6">SUM(F77:F78)</f>
        <v>0.79</v>
      </c>
      <c r="G79" s="19">
        <f>SUM(G77:G78)</f>
        <v>0.77</v>
      </c>
      <c r="H79" s="19">
        <f>SUM(H77:H78)</f>
        <v>0.73</v>
      </c>
      <c r="I79" s="19">
        <f>SUM(I77:I78)</f>
        <v>0.73</v>
      </c>
      <c r="J79" s="19">
        <f t="shared" ref="J79:AC79" si="27">SUM(J77:J78)</f>
        <v>0.71</v>
      </c>
      <c r="K79" s="19">
        <f t="shared" si="27"/>
        <v>0.73</v>
      </c>
      <c r="L79" s="19">
        <f>SUM(L77:L78)</f>
        <v>0.78</v>
      </c>
      <c r="M79" s="19">
        <f t="shared" si="27"/>
        <v>0.81</v>
      </c>
      <c r="N79" s="19">
        <f>SUM(N77:N77)</f>
        <v>0.71</v>
      </c>
      <c r="O79" s="19">
        <f>SUM(O77:O78)</f>
        <v>0.73</v>
      </c>
      <c r="P79" s="19">
        <f t="shared" si="27"/>
        <v>0.79</v>
      </c>
      <c r="Q79" s="19">
        <f t="shared" si="27"/>
        <v>0.82</v>
      </c>
      <c r="R79" s="19">
        <f t="shared" si="27"/>
        <v>0.84</v>
      </c>
      <c r="S79" s="19">
        <f t="shared" si="27"/>
        <v>0.88</v>
      </c>
      <c r="T79" s="19">
        <f t="shared" si="27"/>
        <v>0.9</v>
      </c>
      <c r="U79" s="19">
        <f t="shared" si="27"/>
        <v>0.89</v>
      </c>
      <c r="V79" s="19">
        <f t="shared" si="27"/>
        <v>0.87</v>
      </c>
      <c r="W79" s="19">
        <f t="shared" si="27"/>
        <v>0.88</v>
      </c>
      <c r="X79" s="19">
        <f t="shared" si="27"/>
        <v>0.89</v>
      </c>
      <c r="Y79" s="19">
        <f t="shared" si="27"/>
        <v>1.01</v>
      </c>
      <c r="Z79" s="19">
        <f t="shared" si="27"/>
        <v>1.01</v>
      </c>
      <c r="AA79" s="19">
        <f t="shared" si="27"/>
        <v>0.99</v>
      </c>
      <c r="AB79" s="19">
        <f t="shared" si="27"/>
        <v>0.91</v>
      </c>
      <c r="AC79" s="19">
        <f t="shared" si="27"/>
        <v>0.86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8">SUM(F17,F22,F25,F30,F33,F59,F64,F75,F79,F81)</f>
        <v>38.660000000000004</v>
      </c>
      <c r="G82" s="28">
        <f t="shared" si="28"/>
        <v>34.81</v>
      </c>
      <c r="H82" s="28">
        <f t="shared" si="28"/>
        <v>33.450000000000003</v>
      </c>
      <c r="I82" s="28">
        <f t="shared" si="28"/>
        <v>32.199999999999996</v>
      </c>
      <c r="J82" s="28">
        <f t="shared" si="28"/>
        <v>32.67</v>
      </c>
      <c r="K82" s="28">
        <f t="shared" si="28"/>
        <v>33.869999999999997</v>
      </c>
      <c r="L82" s="28">
        <f t="shared" si="28"/>
        <v>38.58</v>
      </c>
      <c r="M82" s="28">
        <f t="shared" si="28"/>
        <v>38.769999999999996</v>
      </c>
      <c r="N82" s="28">
        <f t="shared" si="28"/>
        <v>40.33</v>
      </c>
      <c r="O82" s="28">
        <f t="shared" si="28"/>
        <v>49.830000000000005</v>
      </c>
      <c r="P82" s="28">
        <f t="shared" si="28"/>
        <v>50.9</v>
      </c>
      <c r="Q82" s="28">
        <f t="shared" si="28"/>
        <v>52.41</v>
      </c>
      <c r="R82" s="28">
        <f t="shared" si="28"/>
        <v>52.690000000000005</v>
      </c>
      <c r="S82" s="28">
        <f t="shared" si="28"/>
        <v>52.47</v>
      </c>
      <c r="T82" s="28">
        <f t="shared" si="28"/>
        <v>56.13</v>
      </c>
      <c r="U82" s="28">
        <f t="shared" si="28"/>
        <v>56.210000000000008</v>
      </c>
      <c r="V82" s="28">
        <f t="shared" si="28"/>
        <v>55.919999999999995</v>
      </c>
      <c r="W82" s="28">
        <f t="shared" si="28"/>
        <v>57.480000000000011</v>
      </c>
      <c r="X82" s="28">
        <f t="shared" si="28"/>
        <v>55.870000000000005</v>
      </c>
      <c r="Y82" s="28">
        <f t="shared" si="28"/>
        <v>60.55</v>
      </c>
      <c r="Z82" s="28">
        <f t="shared" si="28"/>
        <v>57.88</v>
      </c>
      <c r="AA82" s="28">
        <f t="shared" si="28"/>
        <v>54.440000000000005</v>
      </c>
      <c r="AB82" s="28">
        <f t="shared" si="28"/>
        <v>50.370000000000005</v>
      </c>
      <c r="AC82" s="28">
        <f t="shared" si="28"/>
        <v>46.43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29">SUM(F22,F25)</f>
        <v>3.3</v>
      </c>
      <c r="G88" s="64">
        <f t="shared" si="29"/>
        <v>2.8</v>
      </c>
      <c r="H88" s="64">
        <f t="shared" si="29"/>
        <v>3.3</v>
      </c>
      <c r="I88" s="64">
        <f t="shared" si="29"/>
        <v>2.9</v>
      </c>
      <c r="J88" s="64">
        <f t="shared" si="29"/>
        <v>3.3</v>
      </c>
      <c r="K88" s="64">
        <f t="shared" si="29"/>
        <v>3.3</v>
      </c>
      <c r="L88" s="64">
        <f t="shared" si="29"/>
        <v>3.3</v>
      </c>
      <c r="M88" s="64">
        <f t="shared" si="29"/>
        <v>3.3</v>
      </c>
      <c r="N88" s="64">
        <f t="shared" si="29"/>
        <v>3.3</v>
      </c>
      <c r="O88" s="64">
        <f t="shared" si="29"/>
        <v>7.1</v>
      </c>
      <c r="P88" s="64">
        <f t="shared" si="29"/>
        <v>7.1</v>
      </c>
      <c r="Q88" s="64">
        <f t="shared" si="29"/>
        <v>7.1</v>
      </c>
      <c r="R88" s="64">
        <f t="shared" si="29"/>
        <v>7.1</v>
      </c>
      <c r="S88" s="64">
        <f t="shared" si="29"/>
        <v>4.2</v>
      </c>
      <c r="T88" s="64">
        <f t="shared" si="29"/>
        <v>7.1</v>
      </c>
      <c r="U88" s="64">
        <f t="shared" si="29"/>
        <v>7.1</v>
      </c>
      <c r="V88" s="64">
        <f t="shared" si="29"/>
        <v>7.3</v>
      </c>
      <c r="W88" s="64">
        <f t="shared" si="29"/>
        <v>7.1</v>
      </c>
      <c r="X88" s="64">
        <f t="shared" si="29"/>
        <v>6.3</v>
      </c>
      <c r="Y88" s="64">
        <f t="shared" si="29"/>
        <v>7.1</v>
      </c>
      <c r="Z88" s="64">
        <f t="shared" si="29"/>
        <v>7.3</v>
      </c>
      <c r="AA88" s="64">
        <f t="shared" si="29"/>
        <v>7.1</v>
      </c>
      <c r="AB88" s="64">
        <f t="shared" si="29"/>
        <v>7.1</v>
      </c>
      <c r="AC88" s="64">
        <f t="shared" si="29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>
        <v>0.20899999999999999</v>
      </c>
      <c r="P89" s="68">
        <v>0.25</v>
      </c>
      <c r="Q89" s="68">
        <v>0.22800000000000001</v>
      </c>
      <c r="R89" s="68">
        <v>0.22</v>
      </c>
      <c r="S89" s="68">
        <v>0.23</v>
      </c>
      <c r="T89" s="68">
        <v>0.254</v>
      </c>
      <c r="U89" s="68">
        <v>0.214</v>
      </c>
      <c r="V89" s="68">
        <v>0.221</v>
      </c>
      <c r="W89" s="68">
        <v>0.219</v>
      </c>
      <c r="X89" s="68">
        <v>0.18099999999999999</v>
      </c>
      <c r="Y89" s="68">
        <v>0.23599999999999999</v>
      </c>
      <c r="Z89" s="68">
        <v>0.248</v>
      </c>
      <c r="AA89" s="68">
        <v>0.187</v>
      </c>
      <c r="AB89" s="68">
        <v>0.21299999999999999</v>
      </c>
      <c r="AC89" s="68">
        <v>0.21299999999999999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0">F17</f>
        <v>13.2</v>
      </c>
      <c r="G90" s="64">
        <f t="shared" si="30"/>
        <v>12.6</v>
      </c>
      <c r="H90" s="64">
        <f t="shared" si="30"/>
        <v>13.2</v>
      </c>
      <c r="I90" s="64">
        <f t="shared" si="30"/>
        <v>13</v>
      </c>
      <c r="J90" s="64">
        <f t="shared" si="30"/>
        <v>13.4</v>
      </c>
      <c r="K90" s="64">
        <f t="shared" si="30"/>
        <v>13.2</v>
      </c>
      <c r="L90" s="64">
        <f t="shared" si="30"/>
        <v>13.6</v>
      </c>
      <c r="M90" s="64">
        <f t="shared" si="30"/>
        <v>12.6</v>
      </c>
      <c r="N90" s="64">
        <f t="shared" si="30"/>
        <v>13.4</v>
      </c>
      <c r="O90" s="64">
        <f t="shared" si="30"/>
        <v>13.2</v>
      </c>
      <c r="P90" s="64">
        <f t="shared" si="30"/>
        <v>19.799999999999997</v>
      </c>
      <c r="Q90" s="64">
        <f t="shared" si="30"/>
        <v>20.100000000000001</v>
      </c>
      <c r="R90" s="64">
        <f t="shared" si="30"/>
        <v>19.5</v>
      </c>
      <c r="S90" s="64">
        <f t="shared" si="30"/>
        <v>20.100000000000001</v>
      </c>
      <c r="T90" s="64">
        <f t="shared" si="30"/>
        <v>22.000000000000004</v>
      </c>
      <c r="U90" s="64">
        <f t="shared" si="30"/>
        <v>26.4</v>
      </c>
      <c r="V90" s="64">
        <f t="shared" si="30"/>
        <v>26</v>
      </c>
      <c r="W90" s="64">
        <f t="shared" si="30"/>
        <v>25.6</v>
      </c>
      <c r="X90" s="64">
        <f t="shared" si="30"/>
        <v>24.8</v>
      </c>
      <c r="Y90" s="64">
        <f t="shared" si="30"/>
        <v>26</v>
      </c>
      <c r="Z90" s="64">
        <f t="shared" si="30"/>
        <v>21.1</v>
      </c>
      <c r="AA90" s="64">
        <f t="shared" si="30"/>
        <v>19</v>
      </c>
      <c r="AB90" s="64">
        <f t="shared" si="30"/>
        <v>12.8</v>
      </c>
      <c r="AC90" s="64">
        <f t="shared" si="30"/>
        <v>13.4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0.51600000000000001</v>
      </c>
      <c r="G91" s="68">
        <v>0.52100000000000002</v>
      </c>
      <c r="H91" s="68">
        <v>0.56599999999999995</v>
      </c>
      <c r="I91" s="68">
        <v>0.56799999999999995</v>
      </c>
      <c r="J91" s="68">
        <v>0.51</v>
      </c>
      <c r="K91" s="68">
        <v>0.59499999999999997</v>
      </c>
      <c r="L91" s="68">
        <v>0.71099999999999997</v>
      </c>
      <c r="M91" s="68">
        <v>0.73499999999999999</v>
      </c>
      <c r="N91" s="68">
        <v>0.77</v>
      </c>
      <c r="O91" s="68">
        <v>0.78200000000000003</v>
      </c>
      <c r="P91" s="68">
        <v>0.75</v>
      </c>
      <c r="Q91" s="68">
        <v>0.65600000000000003</v>
      </c>
      <c r="R91" s="68">
        <v>0.81499999999999995</v>
      </c>
      <c r="S91" s="68">
        <v>0.88300000000000001</v>
      </c>
      <c r="T91" s="68">
        <v>0.998</v>
      </c>
      <c r="U91" s="68">
        <v>0.94399999999999995</v>
      </c>
      <c r="V91" s="68">
        <v>0.99</v>
      </c>
      <c r="W91" s="68">
        <v>0.72499999999999998</v>
      </c>
      <c r="X91" s="68">
        <v>0.84299999999999997</v>
      </c>
      <c r="Y91" s="68">
        <v>0.96599999999999997</v>
      </c>
      <c r="Z91" s="68">
        <v>0.95899999999999996</v>
      </c>
      <c r="AA91" s="68">
        <v>0.78200000000000003</v>
      </c>
      <c r="AB91" s="68">
        <v>0.61599999999999999</v>
      </c>
      <c r="AC91" s="68">
        <v>0.78100000000000003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31">F30</f>
        <v>4.5</v>
      </c>
      <c r="G92" s="65">
        <f t="shared" si="31"/>
        <v>2.8</v>
      </c>
      <c r="H92" s="65">
        <f t="shared" si="31"/>
        <v>0</v>
      </c>
      <c r="I92" s="65">
        <f t="shared" si="31"/>
        <v>0</v>
      </c>
      <c r="J92" s="65">
        <f t="shared" si="31"/>
        <v>0</v>
      </c>
      <c r="K92" s="65">
        <f t="shared" si="31"/>
        <v>0</v>
      </c>
      <c r="L92" s="65">
        <f t="shared" si="31"/>
        <v>4</v>
      </c>
      <c r="M92" s="65">
        <f t="shared" si="31"/>
        <v>3.6</v>
      </c>
      <c r="N92" s="65">
        <f t="shared" si="31"/>
        <v>3.8</v>
      </c>
      <c r="O92" s="65">
        <f t="shared" si="31"/>
        <v>8</v>
      </c>
      <c r="P92" s="65">
        <f t="shared" si="31"/>
        <v>8</v>
      </c>
      <c r="Q92" s="65">
        <f t="shared" si="31"/>
        <v>8.4</v>
      </c>
      <c r="R92" s="65">
        <f t="shared" si="31"/>
        <v>7.8</v>
      </c>
      <c r="S92" s="65">
        <f t="shared" si="31"/>
        <v>8.1999999999999993</v>
      </c>
      <c r="T92" s="65">
        <f>T30</f>
        <v>7.8</v>
      </c>
      <c r="U92" s="65">
        <f t="shared" si="31"/>
        <v>7.6</v>
      </c>
      <c r="V92" s="65">
        <f t="shared" si="31"/>
        <v>7.4</v>
      </c>
      <c r="W92" s="65">
        <f t="shared" si="31"/>
        <v>6</v>
      </c>
      <c r="X92" s="65">
        <f t="shared" si="31"/>
        <v>5</v>
      </c>
      <c r="Y92" s="65">
        <f t="shared" si="31"/>
        <v>6.8</v>
      </c>
      <c r="Z92" s="65">
        <f t="shared" si="31"/>
        <v>8.1999999999999993</v>
      </c>
      <c r="AA92" s="65">
        <f t="shared" si="31"/>
        <v>7.2</v>
      </c>
      <c r="AB92" s="65">
        <f t="shared" si="31"/>
        <v>7.8</v>
      </c>
      <c r="AC92" s="65">
        <f t="shared" si="31"/>
        <v>7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0.28000000000000003</v>
      </c>
      <c r="G93" s="68">
        <v>0.19500000000000001</v>
      </c>
      <c r="H93" s="68">
        <v>0.17</v>
      </c>
      <c r="I93" s="68">
        <v>0.15</v>
      </c>
      <c r="J93" s="68">
        <v>0.14799999999999999</v>
      </c>
      <c r="K93" s="68">
        <v>0.19700000000000001</v>
      </c>
      <c r="L93" s="68">
        <v>0.19800000000000001</v>
      </c>
      <c r="M93" s="68">
        <v>0.19700000000000001</v>
      </c>
      <c r="N93" s="68">
        <v>0.19500000000000001</v>
      </c>
      <c r="O93" s="68">
        <v>0.27400000000000002</v>
      </c>
      <c r="P93" s="68">
        <v>0.28699999999999998</v>
      </c>
      <c r="Q93" s="68">
        <v>0.308</v>
      </c>
      <c r="R93" s="68">
        <v>0.29299999999999998</v>
      </c>
      <c r="S93" s="68">
        <v>0.27900000000000003</v>
      </c>
      <c r="T93" s="68">
        <v>0.28999999999999998</v>
      </c>
      <c r="U93" s="68">
        <v>0.28899999999999998</v>
      </c>
      <c r="V93" s="68">
        <v>0.29799999999999999</v>
      </c>
      <c r="W93" s="68">
        <v>0.30199999999999999</v>
      </c>
      <c r="X93" s="68">
        <v>0.29399999999999998</v>
      </c>
      <c r="Y93" s="68">
        <v>0.28899999999999998</v>
      </c>
      <c r="Z93" s="68">
        <v>0.27400000000000002</v>
      </c>
      <c r="AA93" s="68">
        <v>0.29499999999999998</v>
      </c>
      <c r="AB93" s="68">
        <v>0.28499999999999998</v>
      </c>
      <c r="AC93" s="68">
        <v>0.27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32">F33</f>
        <v>12.48</v>
      </c>
      <c r="G94" s="65">
        <f t="shared" si="32"/>
        <v>11.7</v>
      </c>
      <c r="H94" s="65">
        <f t="shared" si="32"/>
        <v>12.24</v>
      </c>
      <c r="I94" s="65">
        <f t="shared" si="32"/>
        <v>11.72</v>
      </c>
      <c r="J94" s="65">
        <f t="shared" si="32"/>
        <v>11.46</v>
      </c>
      <c r="K94" s="65">
        <f t="shared" si="32"/>
        <v>12.68</v>
      </c>
      <c r="L94" s="65">
        <f t="shared" si="32"/>
        <v>12.13</v>
      </c>
      <c r="M94" s="65">
        <f t="shared" si="32"/>
        <v>13.66</v>
      </c>
      <c r="N94" s="65">
        <f t="shared" si="32"/>
        <v>13.68</v>
      </c>
      <c r="O94" s="65">
        <f t="shared" si="32"/>
        <v>13.9</v>
      </c>
      <c r="P94" s="65">
        <f t="shared" si="32"/>
        <v>13.88</v>
      </c>
      <c r="Q94" s="65">
        <f t="shared" si="32"/>
        <v>13.79</v>
      </c>
      <c r="R94" s="65">
        <f t="shared" si="32"/>
        <v>13.77</v>
      </c>
      <c r="S94" s="65">
        <f t="shared" si="32"/>
        <v>13.87</v>
      </c>
      <c r="T94" s="65">
        <f t="shared" si="32"/>
        <v>13.9</v>
      </c>
      <c r="U94" s="65">
        <f t="shared" si="32"/>
        <v>12.88</v>
      </c>
      <c r="V94" s="65">
        <f t="shared" si="32"/>
        <v>13.03</v>
      </c>
      <c r="W94" s="65">
        <f t="shared" si="32"/>
        <v>12.45</v>
      </c>
      <c r="X94" s="65">
        <f t="shared" si="32"/>
        <v>12.55</v>
      </c>
      <c r="Y94" s="65">
        <f t="shared" si="32"/>
        <v>12.4</v>
      </c>
      <c r="Z94" s="65">
        <f t="shared" si="32"/>
        <v>13.07</v>
      </c>
      <c r="AA94" s="65">
        <f t="shared" si="32"/>
        <v>13.09</v>
      </c>
      <c r="AB94" s="65">
        <f t="shared" si="32"/>
        <v>13.98</v>
      </c>
      <c r="AC94" s="65">
        <f t="shared" si="32"/>
        <v>12.54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1.02</v>
      </c>
      <c r="G95" s="68">
        <v>1.3</v>
      </c>
      <c r="H95" s="68">
        <v>1.26</v>
      </c>
      <c r="I95" s="68">
        <v>1.28</v>
      </c>
      <c r="J95" s="68">
        <v>1.24</v>
      </c>
      <c r="K95" s="68">
        <v>1.32</v>
      </c>
      <c r="L95" s="68">
        <v>1.37</v>
      </c>
      <c r="M95" s="68">
        <v>1.34</v>
      </c>
      <c r="N95" s="68">
        <v>1.32</v>
      </c>
      <c r="O95" s="68">
        <v>1.1000000000000001</v>
      </c>
      <c r="P95" s="68">
        <v>1.1200000000000001</v>
      </c>
      <c r="Q95" s="68">
        <v>1.21</v>
      </c>
      <c r="R95" s="68">
        <v>1.23</v>
      </c>
      <c r="S95" s="68">
        <v>1.1299999999999999</v>
      </c>
      <c r="T95" s="68">
        <v>1.1000000000000001</v>
      </c>
      <c r="U95" s="68">
        <v>1.1200000000000001</v>
      </c>
      <c r="V95" s="68">
        <v>0.97</v>
      </c>
      <c r="W95" s="68">
        <v>1.05</v>
      </c>
      <c r="X95" s="68">
        <v>0.95</v>
      </c>
      <c r="Y95" s="68">
        <v>1.1000000000000001</v>
      </c>
      <c r="Z95" s="68">
        <v>0.93</v>
      </c>
      <c r="AA95" s="68">
        <v>0.91</v>
      </c>
      <c r="AB95" s="68">
        <v>0.92</v>
      </c>
      <c r="AC95" s="68">
        <v>0.96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33">F59</f>
        <v>0</v>
      </c>
      <c r="G96" s="64">
        <f t="shared" si="33"/>
        <v>0</v>
      </c>
      <c r="H96" s="64">
        <f t="shared" si="33"/>
        <v>0</v>
      </c>
      <c r="I96" s="64">
        <f t="shared" si="33"/>
        <v>0</v>
      </c>
      <c r="J96" s="64">
        <f t="shared" si="33"/>
        <v>0</v>
      </c>
      <c r="K96" s="64">
        <f t="shared" si="33"/>
        <v>0</v>
      </c>
      <c r="L96" s="64">
        <f t="shared" si="33"/>
        <v>0</v>
      </c>
      <c r="M96" s="64">
        <f t="shared" si="33"/>
        <v>0</v>
      </c>
      <c r="N96" s="64">
        <f t="shared" si="33"/>
        <v>0.8</v>
      </c>
      <c r="O96" s="64">
        <f t="shared" si="33"/>
        <v>1.5</v>
      </c>
      <c r="P96" s="64">
        <f t="shared" si="33"/>
        <v>0</v>
      </c>
      <c r="Q96" s="64">
        <f t="shared" si="33"/>
        <v>0.8</v>
      </c>
      <c r="R96" s="64">
        <f t="shared" si="33"/>
        <v>2.2999999999999998</v>
      </c>
      <c r="S96" s="64">
        <f t="shared" si="33"/>
        <v>4</v>
      </c>
      <c r="T96" s="64">
        <f t="shared" si="33"/>
        <v>3.0999999999999996</v>
      </c>
      <c r="U96" s="64">
        <f t="shared" si="33"/>
        <v>0</v>
      </c>
      <c r="V96" s="64">
        <f t="shared" si="33"/>
        <v>0</v>
      </c>
      <c r="W96" s="64">
        <f t="shared" si="33"/>
        <v>0</v>
      </c>
      <c r="X96" s="64">
        <f t="shared" si="33"/>
        <v>0</v>
      </c>
      <c r="Y96" s="64">
        <f t="shared" si="33"/>
        <v>0</v>
      </c>
      <c r="Z96" s="64">
        <f t="shared" si="33"/>
        <v>0</v>
      </c>
      <c r="AA96" s="64">
        <f t="shared" si="33"/>
        <v>0</v>
      </c>
      <c r="AB96" s="64">
        <f t="shared" si="33"/>
        <v>1.6</v>
      </c>
      <c r="AC96" s="64">
        <f t="shared" si="33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34">F64</f>
        <v>0.89</v>
      </c>
      <c r="G97" s="64">
        <f t="shared" si="34"/>
        <v>0.84</v>
      </c>
      <c r="H97" s="64">
        <f t="shared" si="34"/>
        <v>0.78</v>
      </c>
      <c r="I97" s="64">
        <f t="shared" si="34"/>
        <v>0.77</v>
      </c>
      <c r="J97" s="64">
        <f t="shared" si="34"/>
        <v>0.76</v>
      </c>
      <c r="K97" s="64">
        <f t="shared" si="34"/>
        <v>0.86</v>
      </c>
      <c r="L97" s="64">
        <f t="shared" si="34"/>
        <v>1.08</v>
      </c>
      <c r="M97" s="64">
        <f t="shared" si="34"/>
        <v>1.1100000000000001</v>
      </c>
      <c r="N97" s="64">
        <f t="shared" si="34"/>
        <v>0.99</v>
      </c>
      <c r="O97" s="64">
        <f t="shared" si="34"/>
        <v>1.2</v>
      </c>
      <c r="P97" s="64">
        <f t="shared" si="34"/>
        <v>1.33</v>
      </c>
      <c r="Q97" s="64">
        <f t="shared" si="34"/>
        <v>1.4</v>
      </c>
      <c r="R97" s="64">
        <f t="shared" si="34"/>
        <v>1.38</v>
      </c>
      <c r="S97" s="64">
        <f t="shared" si="34"/>
        <v>1.22</v>
      </c>
      <c r="T97" s="64">
        <f t="shared" si="34"/>
        <v>1.33</v>
      </c>
      <c r="U97" s="64">
        <f t="shared" si="34"/>
        <v>1.34</v>
      </c>
      <c r="V97" s="64">
        <f t="shared" si="34"/>
        <v>1.32</v>
      </c>
      <c r="W97" s="64">
        <f t="shared" si="34"/>
        <v>1.35</v>
      </c>
      <c r="X97" s="64">
        <f t="shared" si="34"/>
        <v>1.33</v>
      </c>
      <c r="Y97" s="64">
        <f t="shared" si="34"/>
        <v>1.64</v>
      </c>
      <c r="Z97" s="64">
        <f t="shared" si="34"/>
        <v>1.6</v>
      </c>
      <c r="AA97" s="64">
        <f t="shared" si="34"/>
        <v>1.46</v>
      </c>
      <c r="AB97" s="64">
        <f t="shared" si="34"/>
        <v>1.28</v>
      </c>
      <c r="AC97" s="64">
        <f t="shared" si="34"/>
        <v>1.1299999999999999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35">F75</f>
        <v>3.5</v>
      </c>
      <c r="G98" s="64">
        <f t="shared" si="35"/>
        <v>3.3</v>
      </c>
      <c r="H98" s="64">
        <f t="shared" si="35"/>
        <v>3.2</v>
      </c>
      <c r="I98" s="64">
        <f t="shared" si="35"/>
        <v>3.08</v>
      </c>
      <c r="J98" s="64">
        <f t="shared" si="35"/>
        <v>3.04</v>
      </c>
      <c r="K98" s="64">
        <f t="shared" si="35"/>
        <v>3.1</v>
      </c>
      <c r="L98" s="64">
        <f t="shared" si="35"/>
        <v>3.69</v>
      </c>
      <c r="M98" s="64">
        <f t="shared" si="35"/>
        <v>3.69</v>
      </c>
      <c r="N98" s="64">
        <f t="shared" si="35"/>
        <v>3.65</v>
      </c>
      <c r="O98" s="64">
        <f t="shared" si="35"/>
        <v>4.2</v>
      </c>
      <c r="P98" s="64">
        <f t="shared" si="35"/>
        <v>0</v>
      </c>
      <c r="Q98" s="64">
        <f t="shared" si="35"/>
        <v>0</v>
      </c>
      <c r="R98" s="64">
        <f t="shared" si="35"/>
        <v>0</v>
      </c>
      <c r="S98" s="64">
        <f t="shared" si="35"/>
        <v>0</v>
      </c>
      <c r="T98" s="64">
        <f t="shared" si="35"/>
        <v>0</v>
      </c>
      <c r="U98" s="64">
        <f t="shared" si="35"/>
        <v>0</v>
      </c>
      <c r="V98" s="64">
        <f t="shared" si="35"/>
        <v>0</v>
      </c>
      <c r="W98" s="64">
        <f t="shared" si="35"/>
        <v>4.0999999999999996</v>
      </c>
      <c r="X98" s="64">
        <f t="shared" si="35"/>
        <v>5</v>
      </c>
      <c r="Y98" s="64">
        <f t="shared" si="35"/>
        <v>5.6</v>
      </c>
      <c r="Z98" s="64">
        <f t="shared" si="35"/>
        <v>5.6</v>
      </c>
      <c r="AA98" s="64">
        <f t="shared" si="35"/>
        <v>5.6</v>
      </c>
      <c r="AB98" s="64">
        <f t="shared" si="35"/>
        <v>4.9000000000000004</v>
      </c>
      <c r="AC98" s="64">
        <f t="shared" si="35"/>
        <v>4.4000000000000004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36">F79</f>
        <v>0.79</v>
      </c>
      <c r="G99" s="64">
        <f t="shared" si="36"/>
        <v>0.77</v>
      </c>
      <c r="H99" s="64">
        <f t="shared" si="36"/>
        <v>0.73</v>
      </c>
      <c r="I99" s="64">
        <f t="shared" si="36"/>
        <v>0.73</v>
      </c>
      <c r="J99" s="64">
        <f t="shared" si="36"/>
        <v>0.71</v>
      </c>
      <c r="K99" s="64">
        <f t="shared" si="36"/>
        <v>0.73</v>
      </c>
      <c r="L99" s="64">
        <f t="shared" si="36"/>
        <v>0.78</v>
      </c>
      <c r="M99" s="64">
        <f t="shared" si="36"/>
        <v>0.81</v>
      </c>
      <c r="N99" s="64">
        <f t="shared" si="36"/>
        <v>0.71</v>
      </c>
      <c r="O99" s="64">
        <f t="shared" si="36"/>
        <v>0.73</v>
      </c>
      <c r="P99" s="64">
        <f t="shared" si="36"/>
        <v>0.79</v>
      </c>
      <c r="Q99" s="64">
        <f t="shared" si="36"/>
        <v>0.82</v>
      </c>
      <c r="R99" s="64">
        <f t="shared" si="36"/>
        <v>0.84</v>
      </c>
      <c r="S99" s="64">
        <f t="shared" si="36"/>
        <v>0.88</v>
      </c>
      <c r="T99" s="64">
        <f t="shared" si="36"/>
        <v>0.9</v>
      </c>
      <c r="U99" s="64">
        <f t="shared" si="36"/>
        <v>0.89</v>
      </c>
      <c r="V99" s="64">
        <f t="shared" si="36"/>
        <v>0.87</v>
      </c>
      <c r="W99" s="64">
        <f t="shared" si="36"/>
        <v>0.88</v>
      </c>
      <c r="X99" s="64">
        <f t="shared" si="36"/>
        <v>0.89</v>
      </c>
      <c r="Y99" s="64">
        <f t="shared" si="36"/>
        <v>1.01</v>
      </c>
      <c r="Z99" s="64">
        <f t="shared" si="36"/>
        <v>1.01</v>
      </c>
      <c r="AA99" s="64">
        <f t="shared" si="36"/>
        <v>0.99</v>
      </c>
      <c r="AB99" s="64">
        <f t="shared" si="36"/>
        <v>0.91</v>
      </c>
      <c r="AC99" s="64">
        <f t="shared" si="36"/>
        <v>0.86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37">F81</f>
        <v>0</v>
      </c>
      <c r="G100" s="64">
        <f t="shared" si="37"/>
        <v>0</v>
      </c>
      <c r="H100" s="64">
        <f t="shared" si="37"/>
        <v>0</v>
      </c>
      <c r="I100" s="64">
        <f t="shared" si="37"/>
        <v>0</v>
      </c>
      <c r="J100" s="64">
        <f t="shared" si="37"/>
        <v>0</v>
      </c>
      <c r="K100" s="64">
        <f t="shared" si="37"/>
        <v>0</v>
      </c>
      <c r="L100" s="64">
        <f t="shared" si="37"/>
        <v>0</v>
      </c>
      <c r="M100" s="64">
        <f t="shared" si="37"/>
        <v>0</v>
      </c>
      <c r="N100" s="64">
        <f t="shared" si="37"/>
        <v>0</v>
      </c>
      <c r="O100" s="64">
        <f t="shared" si="37"/>
        <v>0</v>
      </c>
      <c r="P100" s="64">
        <f t="shared" si="37"/>
        <v>0</v>
      </c>
      <c r="Q100" s="64">
        <f t="shared" si="37"/>
        <v>0</v>
      </c>
      <c r="R100" s="64">
        <f t="shared" si="37"/>
        <v>0</v>
      </c>
      <c r="S100" s="64">
        <f t="shared" si="37"/>
        <v>0</v>
      </c>
      <c r="T100" s="64">
        <f t="shared" si="37"/>
        <v>0</v>
      </c>
      <c r="U100" s="64">
        <f t="shared" si="37"/>
        <v>0</v>
      </c>
      <c r="V100" s="64">
        <f t="shared" si="37"/>
        <v>0</v>
      </c>
      <c r="W100" s="64">
        <f t="shared" si="37"/>
        <v>0</v>
      </c>
      <c r="X100" s="64">
        <f t="shared" si="37"/>
        <v>0</v>
      </c>
      <c r="Y100" s="64">
        <f t="shared" si="37"/>
        <v>0</v>
      </c>
      <c r="Z100" s="64">
        <f t="shared" si="37"/>
        <v>0</v>
      </c>
      <c r="AA100" s="64">
        <f t="shared" si="37"/>
        <v>0</v>
      </c>
      <c r="AB100" s="64">
        <f t="shared" si="37"/>
        <v>0</v>
      </c>
      <c r="AC100" s="64">
        <f t="shared" si="3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38">SUM(F88,F90,F92,F94,F96:F100,F80)</f>
        <v>38.660000000000004</v>
      </c>
      <c r="G101" s="61">
        <f t="shared" si="38"/>
        <v>34.81</v>
      </c>
      <c r="H101" s="61">
        <f t="shared" si="38"/>
        <v>33.450000000000003</v>
      </c>
      <c r="I101" s="61">
        <f t="shared" si="38"/>
        <v>32.199999999999996</v>
      </c>
      <c r="J101" s="61">
        <f t="shared" si="38"/>
        <v>32.67</v>
      </c>
      <c r="K101" s="61">
        <f t="shared" si="38"/>
        <v>33.869999999999997</v>
      </c>
      <c r="L101" s="61">
        <f t="shared" si="38"/>
        <v>38.58</v>
      </c>
      <c r="M101" s="61">
        <f t="shared" si="38"/>
        <v>38.769999999999996</v>
      </c>
      <c r="N101" s="61">
        <f t="shared" si="38"/>
        <v>40.33</v>
      </c>
      <c r="O101" s="61">
        <f t="shared" si="38"/>
        <v>49.83</v>
      </c>
      <c r="P101" s="61">
        <f t="shared" si="38"/>
        <v>50.9</v>
      </c>
      <c r="Q101" s="61">
        <f t="shared" si="38"/>
        <v>52.41</v>
      </c>
      <c r="R101" s="61">
        <f t="shared" si="38"/>
        <v>52.690000000000005</v>
      </c>
      <c r="S101" s="61">
        <f t="shared" si="38"/>
        <v>52.47</v>
      </c>
      <c r="T101" s="61">
        <f>SUM(T88,T90,T92,T94,T96:T100,T80)</f>
        <v>56.129999999999995</v>
      </c>
      <c r="U101" s="61">
        <f t="shared" si="38"/>
        <v>56.210000000000008</v>
      </c>
      <c r="V101" s="61">
        <f t="shared" si="38"/>
        <v>55.919999999999995</v>
      </c>
      <c r="W101" s="61">
        <f t="shared" si="38"/>
        <v>57.480000000000011</v>
      </c>
      <c r="X101" s="61">
        <f t="shared" si="38"/>
        <v>55.870000000000005</v>
      </c>
      <c r="Y101" s="61">
        <f t="shared" si="38"/>
        <v>60.55</v>
      </c>
      <c r="Z101" s="61">
        <f t="shared" si="38"/>
        <v>57.88</v>
      </c>
      <c r="AA101" s="61">
        <f t="shared" si="38"/>
        <v>54.440000000000005</v>
      </c>
      <c r="AB101" s="61">
        <f t="shared" si="38"/>
        <v>50.37</v>
      </c>
      <c r="AC101" s="61">
        <f t="shared" si="38"/>
        <v>46.43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>
        <f>'16'!P98</f>
        <v>4.45</v>
      </c>
      <c r="Q104" s="77">
        <f>'16'!Q98</f>
        <v>4.3966666666666665</v>
      </c>
      <c r="R104" s="77">
        <f>'16'!R98</f>
        <v>4.3966666666666665</v>
      </c>
      <c r="S104" s="77">
        <f>'16'!S98</f>
        <v>4.4749999999999996</v>
      </c>
      <c r="T104" s="77">
        <f>'16'!T98</f>
        <v>3.9</v>
      </c>
      <c r="U104" s="77">
        <f>'16'!U98</f>
        <v>4.1399999999999997</v>
      </c>
      <c r="V104" s="77">
        <f>'16'!V98</f>
        <v>3.91</v>
      </c>
      <c r="W104" s="77"/>
      <c r="X104" s="77"/>
      <c r="Y104" s="77"/>
      <c r="Z104" s="77">
        <v>1.29</v>
      </c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39">SUM(F102:F104)</f>
        <v>0</v>
      </c>
      <c r="G105" s="61">
        <f t="shared" si="39"/>
        <v>0</v>
      </c>
      <c r="H105" s="61">
        <f t="shared" si="39"/>
        <v>0</v>
      </c>
      <c r="I105" s="61">
        <f t="shared" si="39"/>
        <v>0</v>
      </c>
      <c r="J105" s="61">
        <f t="shared" si="39"/>
        <v>0</v>
      </c>
      <c r="K105" s="61">
        <f t="shared" si="39"/>
        <v>0</v>
      </c>
      <c r="L105" s="61">
        <f t="shared" si="39"/>
        <v>0</v>
      </c>
      <c r="M105" s="61">
        <f t="shared" si="39"/>
        <v>0</v>
      </c>
      <c r="N105" s="61">
        <f t="shared" si="39"/>
        <v>0</v>
      </c>
      <c r="O105" s="61">
        <f t="shared" si="39"/>
        <v>0</v>
      </c>
      <c r="P105" s="61">
        <f t="shared" si="39"/>
        <v>4.45</v>
      </c>
      <c r="Q105" s="61">
        <f t="shared" si="39"/>
        <v>4.3966666666666665</v>
      </c>
      <c r="R105" s="61">
        <f t="shared" si="39"/>
        <v>4.3966666666666665</v>
      </c>
      <c r="S105" s="61">
        <f t="shared" si="39"/>
        <v>4.4749999999999996</v>
      </c>
      <c r="T105" s="61">
        <f t="shared" si="39"/>
        <v>3.9</v>
      </c>
      <c r="U105" s="61">
        <f t="shared" si="39"/>
        <v>4.1399999999999997</v>
      </c>
      <c r="V105" s="61">
        <f t="shared" si="39"/>
        <v>3.91</v>
      </c>
      <c r="W105" s="61">
        <f t="shared" si="39"/>
        <v>0</v>
      </c>
      <c r="X105" s="61">
        <f t="shared" si="39"/>
        <v>0</v>
      </c>
      <c r="Y105" s="61">
        <f t="shared" si="39"/>
        <v>0</v>
      </c>
      <c r="Z105" s="61">
        <f t="shared" si="39"/>
        <v>1.29</v>
      </c>
      <c r="AA105" s="61">
        <f t="shared" si="39"/>
        <v>0</v>
      </c>
      <c r="AB105" s="61">
        <f t="shared" si="39"/>
        <v>0</v>
      </c>
      <c r="AC105" s="61">
        <f t="shared" si="39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40">F101+F105</f>
        <v>38.660000000000004</v>
      </c>
      <c r="G106" s="62">
        <f t="shared" si="40"/>
        <v>34.81</v>
      </c>
      <c r="H106" s="62">
        <f t="shared" si="40"/>
        <v>33.450000000000003</v>
      </c>
      <c r="I106" s="62">
        <f t="shared" si="40"/>
        <v>32.199999999999996</v>
      </c>
      <c r="J106" s="62">
        <f t="shared" si="40"/>
        <v>32.67</v>
      </c>
      <c r="K106" s="62">
        <f t="shared" si="40"/>
        <v>33.869999999999997</v>
      </c>
      <c r="L106" s="62">
        <f t="shared" si="40"/>
        <v>38.58</v>
      </c>
      <c r="M106" s="62">
        <f t="shared" si="40"/>
        <v>38.769999999999996</v>
      </c>
      <c r="N106" s="62">
        <f t="shared" si="40"/>
        <v>40.33</v>
      </c>
      <c r="O106" s="62">
        <f t="shared" si="40"/>
        <v>49.83</v>
      </c>
      <c r="P106" s="62">
        <f t="shared" si="40"/>
        <v>55.35</v>
      </c>
      <c r="Q106" s="62">
        <f t="shared" si="40"/>
        <v>56.806666666666665</v>
      </c>
      <c r="R106" s="62">
        <f t="shared" si="40"/>
        <v>57.086666666666673</v>
      </c>
      <c r="S106" s="62">
        <f t="shared" si="40"/>
        <v>56.945</v>
      </c>
      <c r="T106" s="62">
        <f t="shared" si="40"/>
        <v>60.029999999999994</v>
      </c>
      <c r="U106" s="62">
        <f t="shared" si="40"/>
        <v>60.350000000000009</v>
      </c>
      <c r="V106" s="62">
        <f t="shared" si="40"/>
        <v>59.83</v>
      </c>
      <c r="W106" s="62">
        <f t="shared" si="40"/>
        <v>57.480000000000011</v>
      </c>
      <c r="X106" s="62">
        <f t="shared" si="40"/>
        <v>55.870000000000005</v>
      </c>
      <c r="Y106" s="62">
        <f t="shared" si="40"/>
        <v>60.55</v>
      </c>
      <c r="Z106" s="62">
        <f t="shared" si="40"/>
        <v>59.17</v>
      </c>
      <c r="AA106" s="62">
        <f t="shared" si="40"/>
        <v>54.440000000000005</v>
      </c>
      <c r="AB106" s="62">
        <f t="shared" si="40"/>
        <v>50.37</v>
      </c>
      <c r="AC106" s="62">
        <f t="shared" si="40"/>
        <v>46.43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41">(COUNT(F13:F16))*7.2+(COUNT(F27:F28)*4.9)+(COUNT(F19:F21)*4.5)-F90-F92</f>
        <v>18.200000000000006</v>
      </c>
      <c r="G107" s="63">
        <f t="shared" si="41"/>
        <v>20.500000000000004</v>
      </c>
      <c r="H107" s="63">
        <f t="shared" si="41"/>
        <v>22.700000000000006</v>
      </c>
      <c r="I107" s="63">
        <f t="shared" si="41"/>
        <v>22.900000000000006</v>
      </c>
      <c r="J107" s="63">
        <f t="shared" si="41"/>
        <v>22.500000000000007</v>
      </c>
      <c r="K107" s="63">
        <f t="shared" si="41"/>
        <v>22.700000000000006</v>
      </c>
      <c r="L107" s="63">
        <f t="shared" si="41"/>
        <v>18.300000000000004</v>
      </c>
      <c r="M107" s="63">
        <f t="shared" si="41"/>
        <v>19.700000000000003</v>
      </c>
      <c r="N107" s="63">
        <f t="shared" si="41"/>
        <v>18.700000000000006</v>
      </c>
      <c r="O107" s="63">
        <f t="shared" si="41"/>
        <v>14.700000000000006</v>
      </c>
      <c r="P107" s="63">
        <f t="shared" si="41"/>
        <v>8.1000000000000085</v>
      </c>
      <c r="Q107" s="63">
        <f t="shared" si="41"/>
        <v>7.4000000000000039</v>
      </c>
      <c r="R107" s="63">
        <f t="shared" si="41"/>
        <v>8.600000000000005</v>
      </c>
      <c r="S107" s="63">
        <f t="shared" si="41"/>
        <v>7.600000000000005</v>
      </c>
      <c r="T107" s="63">
        <f>(COUNT(T13:T16))*7.2+(COUNT(T27:T28)*4.9)+(COUNT(T19:T21)*4.5)-T90-T92</f>
        <v>13.299999999999997</v>
      </c>
      <c r="U107" s="63">
        <f t="shared" si="41"/>
        <v>9.1000000000000032</v>
      </c>
      <c r="V107" s="63">
        <f t="shared" si="41"/>
        <v>9.7000000000000011</v>
      </c>
      <c r="W107" s="63">
        <f t="shared" si="41"/>
        <v>11.5</v>
      </c>
      <c r="X107" s="63">
        <f t="shared" si="41"/>
        <v>13.3</v>
      </c>
      <c r="Y107" s="63">
        <f t="shared" si="41"/>
        <v>10.3</v>
      </c>
      <c r="Z107" s="63">
        <f t="shared" si="41"/>
        <v>13.8</v>
      </c>
      <c r="AA107" s="63">
        <f t="shared" si="41"/>
        <v>9.7000000000000064</v>
      </c>
      <c r="AB107" s="63">
        <f t="shared" si="41"/>
        <v>8.1000000000000014</v>
      </c>
      <c r="AC107" s="63">
        <f t="shared" si="41"/>
        <v>8.3000000000000025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6.3000000000000016</v>
      </c>
      <c r="G108" s="206">
        <f t="shared" si="42"/>
        <v>4.2000000000000011</v>
      </c>
      <c r="H108" s="206">
        <f t="shared" si="42"/>
        <v>2.4000000000000012</v>
      </c>
      <c r="I108" s="206">
        <f t="shared" si="42"/>
        <v>3.0000000000000004</v>
      </c>
      <c r="J108" s="206">
        <f t="shared" si="42"/>
        <v>2.2000000000000002</v>
      </c>
      <c r="K108" s="206">
        <f t="shared" si="42"/>
        <v>2.4000000000000012</v>
      </c>
      <c r="L108" s="206">
        <f t="shared" si="42"/>
        <v>1.5000000000000009</v>
      </c>
      <c r="M108" s="206">
        <f t="shared" si="42"/>
        <v>2.9000000000000012</v>
      </c>
      <c r="N108" s="206">
        <f t="shared" si="42"/>
        <v>1.9000000000000004</v>
      </c>
      <c r="O108" s="206">
        <f t="shared" si="42"/>
        <v>3.5000000000000018</v>
      </c>
      <c r="P108" s="206">
        <f t="shared" si="42"/>
        <v>4.100000000000005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4.8000000000000016</v>
      </c>
      <c r="R108" s="206">
        <f t="shared" ref="R108:AC108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5.200000000000002</v>
      </c>
      <c r="S108" s="206">
        <f t="shared" si="43"/>
        <v>7.1000000000000005</v>
      </c>
      <c r="T108" s="206">
        <f t="shared" si="43"/>
        <v>9.899999999999995</v>
      </c>
      <c r="U108" s="206">
        <f t="shared" si="43"/>
        <v>5.7000000000000037</v>
      </c>
      <c r="V108" s="206">
        <f t="shared" si="43"/>
        <v>6.1000000000000005</v>
      </c>
      <c r="W108" s="206">
        <f t="shared" si="43"/>
        <v>8.0999999999999979</v>
      </c>
      <c r="X108" s="206">
        <f t="shared" si="43"/>
        <v>10.7</v>
      </c>
      <c r="Y108" s="206">
        <f t="shared" si="43"/>
        <v>6.8999999999999995</v>
      </c>
      <c r="Z108" s="206">
        <f t="shared" si="43"/>
        <v>10.199999999999999</v>
      </c>
      <c r="AA108" s="206">
        <f t="shared" si="43"/>
        <v>6.3000000000000016</v>
      </c>
      <c r="AB108" s="206">
        <f t="shared" si="43"/>
        <v>4.7</v>
      </c>
      <c r="AC108" s="206">
        <f t="shared" si="43"/>
        <v>4.8999999999999995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60.12</v>
      </c>
      <c r="G109" s="75">
        <v>60.27</v>
      </c>
      <c r="H109" s="75">
        <v>60.15</v>
      </c>
      <c r="I109" s="75">
        <v>60.13</v>
      </c>
      <c r="J109" s="75">
        <v>60.15</v>
      </c>
      <c r="K109" s="75">
        <v>60.12</v>
      </c>
      <c r="L109" s="75">
        <v>60.07</v>
      </c>
      <c r="M109" s="75">
        <v>60.26</v>
      </c>
      <c r="N109" s="75">
        <v>60.11</v>
      </c>
      <c r="O109" s="75">
        <v>60.13</v>
      </c>
      <c r="P109" s="84">
        <v>60.11</v>
      </c>
      <c r="Q109" s="84">
        <v>60.06</v>
      </c>
      <c r="R109" s="84">
        <v>60.19</v>
      </c>
      <c r="S109" s="84">
        <v>60.09</v>
      </c>
      <c r="T109" s="84">
        <v>60.17</v>
      </c>
      <c r="U109" s="75">
        <v>60.08</v>
      </c>
      <c r="V109" s="75">
        <v>60.1</v>
      </c>
      <c r="W109" s="75">
        <v>60.16</v>
      </c>
      <c r="X109" s="75">
        <v>60.26</v>
      </c>
      <c r="Y109" s="75">
        <v>60.16</v>
      </c>
      <c r="Z109" s="75">
        <v>60.1</v>
      </c>
      <c r="AA109" s="75">
        <v>60.2</v>
      </c>
      <c r="AB109" s="75">
        <v>60.15</v>
      </c>
      <c r="AC109" s="75">
        <v>60.15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44">SUM(G117:G124)</f>
        <v>0</v>
      </c>
      <c r="H125" s="44">
        <f t="shared" si="44"/>
        <v>0</v>
      </c>
      <c r="I125" s="44">
        <f t="shared" si="44"/>
        <v>0</v>
      </c>
      <c r="J125" s="44">
        <f t="shared" si="44"/>
        <v>0</v>
      </c>
      <c r="K125" s="44">
        <f t="shared" si="44"/>
        <v>0</v>
      </c>
      <c r="L125" s="44">
        <f t="shared" si="44"/>
        <v>0</v>
      </c>
      <c r="M125" s="44">
        <f t="shared" si="44"/>
        <v>0</v>
      </c>
      <c r="N125" s="44">
        <f t="shared" si="44"/>
        <v>0</v>
      </c>
      <c r="O125" s="44">
        <f t="shared" si="44"/>
        <v>0</v>
      </c>
      <c r="P125" s="44">
        <f t="shared" si="44"/>
        <v>0</v>
      </c>
      <c r="Q125" s="44">
        <f t="shared" si="44"/>
        <v>0</v>
      </c>
      <c r="R125" s="44">
        <f t="shared" si="44"/>
        <v>0</v>
      </c>
      <c r="S125" s="44">
        <f t="shared" si="44"/>
        <v>0</v>
      </c>
      <c r="T125" s="44">
        <f t="shared" si="44"/>
        <v>0</v>
      </c>
      <c r="U125" s="44">
        <f t="shared" si="44"/>
        <v>0</v>
      </c>
      <c r="V125" s="44">
        <f t="shared" si="44"/>
        <v>0</v>
      </c>
      <c r="W125" s="44">
        <f t="shared" si="44"/>
        <v>0</v>
      </c>
      <c r="X125" s="44">
        <f t="shared" si="44"/>
        <v>0</v>
      </c>
      <c r="Y125" s="44">
        <f t="shared" si="44"/>
        <v>0</v>
      </c>
      <c r="Z125" s="44">
        <f t="shared" si="44"/>
        <v>0</v>
      </c>
      <c r="AA125" s="44">
        <f t="shared" si="44"/>
        <v>0</v>
      </c>
      <c r="AB125" s="44">
        <f t="shared" si="44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6163" priority="1707" operator="greaterThan">
      <formula>60.3</formula>
    </cfRule>
  </conditionalFormatting>
  <conditionalFormatting sqref="G53:G55 J56:L56 J13:K14 I57:L58 K15 J15:J16 I53:I56 I40:I50 L13:Q15 J66:K66 K16:Q16 R13:AC16 J24:AC24 J67:J72 J74 K67:K74 I13:I16 I20:AC21 I27:AC28 I66:I74 J35:O50 J53:O55 N51:O52 M56:O58 I77:AC78 P35:AC58 N61:AC63 L66:AC74">
    <cfRule type="cellIs" dxfId="16162" priority="1699" operator="equal">
      <formula>"PMS"</formula>
    </cfRule>
    <cfRule type="containsText" dxfId="16161" priority="1700" operator="containsText" text="CMS">
      <formula>NOT(ISERROR(SEARCH("CMS",G13)))</formula>
    </cfRule>
    <cfRule type="cellIs" dxfId="16160" priority="1701" operator="equal">
      <formula>0</formula>
    </cfRule>
    <cfRule type="cellIs" dxfId="16159" priority="1702" operator="greaterThan">
      <formula>0</formula>
    </cfRule>
    <cfRule type="cellIs" dxfId="16158" priority="1703" operator="equal">
      <formula>"PMS"</formula>
    </cfRule>
    <cfRule type="containsText" dxfId="16157" priority="1704" operator="containsText" text="CMS">
      <formula>NOT(ISERROR(SEARCH("CMS",G13)))</formula>
    </cfRule>
    <cfRule type="cellIs" dxfId="16156" priority="1705" operator="equal">
      <formula>0</formula>
    </cfRule>
    <cfRule type="cellIs" dxfId="16155" priority="1706" operator="greaterThan">
      <formula>0</formula>
    </cfRule>
  </conditionalFormatting>
  <conditionalFormatting sqref="O77:AC78 O61:AC63 O66:AC74">
    <cfRule type="cellIs" dxfId="16154" priority="1695" operator="equal">
      <formula>"PMS"</formula>
    </cfRule>
    <cfRule type="containsText" dxfId="16153" priority="1696" operator="containsText" text="CMS">
      <formula>NOT(ISERROR(SEARCH("CMS",O61)))</formula>
    </cfRule>
    <cfRule type="cellIs" dxfId="16152" priority="1697" operator="equal">
      <formula>0</formula>
    </cfRule>
    <cfRule type="cellIs" dxfId="16151" priority="1698" operator="greaterThan">
      <formula>0</formula>
    </cfRule>
  </conditionalFormatting>
  <conditionalFormatting sqref="P66:AC74">
    <cfRule type="cellIs" dxfId="16150" priority="1691" operator="equal">
      <formula>"PMS"</formula>
    </cfRule>
    <cfRule type="containsText" dxfId="16149" priority="1692" operator="containsText" text="CMS">
      <formula>NOT(ISERROR(SEARCH("CMS",P66)))</formula>
    </cfRule>
    <cfRule type="cellIs" dxfId="16148" priority="1693" operator="equal">
      <formula>0</formula>
    </cfRule>
    <cfRule type="cellIs" dxfId="16147" priority="1694" operator="greaterThan">
      <formula>0</formula>
    </cfRule>
  </conditionalFormatting>
  <conditionalFormatting sqref="O13:AC16">
    <cfRule type="cellIs" dxfId="16146" priority="1687" operator="equal">
      <formula>"PMS"</formula>
    </cfRule>
    <cfRule type="containsText" dxfId="16145" priority="1688" operator="containsText" text="CMS">
      <formula>NOT(ISERROR(SEARCH("CMS",O13)))</formula>
    </cfRule>
    <cfRule type="cellIs" dxfId="16144" priority="1689" operator="equal">
      <formula>0</formula>
    </cfRule>
    <cfRule type="cellIs" dxfId="16143" priority="1690" operator="greaterThan">
      <formula>0</formula>
    </cfRule>
  </conditionalFormatting>
  <conditionalFormatting sqref="P13:AC16">
    <cfRule type="cellIs" dxfId="16142" priority="1683" operator="equal">
      <formula>"PMS"</formula>
    </cfRule>
    <cfRule type="containsText" dxfId="16141" priority="1684" operator="containsText" text="CMS">
      <formula>NOT(ISERROR(SEARCH("CMS",P13)))</formula>
    </cfRule>
    <cfRule type="cellIs" dxfId="16140" priority="1685" operator="equal">
      <formula>0</formula>
    </cfRule>
    <cfRule type="cellIs" dxfId="16139" priority="1686" operator="greaterThan">
      <formula>0</formula>
    </cfRule>
  </conditionalFormatting>
  <conditionalFormatting sqref="O20:AC21">
    <cfRule type="cellIs" dxfId="16138" priority="1679" operator="equal">
      <formula>"PMS"</formula>
    </cfRule>
    <cfRule type="containsText" dxfId="16137" priority="1680" operator="containsText" text="CMS">
      <formula>NOT(ISERROR(SEARCH("CMS",O20)))</formula>
    </cfRule>
    <cfRule type="cellIs" dxfId="16136" priority="1681" operator="equal">
      <formula>0</formula>
    </cfRule>
    <cfRule type="cellIs" dxfId="16135" priority="1682" operator="greaterThan">
      <formula>0</formula>
    </cfRule>
  </conditionalFormatting>
  <conditionalFormatting sqref="P20:AC21">
    <cfRule type="cellIs" dxfId="16134" priority="1675" operator="equal">
      <formula>"PMS"</formula>
    </cfRule>
    <cfRule type="containsText" dxfId="16133" priority="1676" operator="containsText" text="CMS">
      <formula>NOT(ISERROR(SEARCH("CMS",P20)))</formula>
    </cfRule>
    <cfRule type="cellIs" dxfId="16132" priority="1677" operator="equal">
      <formula>0</formula>
    </cfRule>
    <cfRule type="cellIs" dxfId="16131" priority="1678" operator="greaterThan">
      <formula>0</formula>
    </cfRule>
  </conditionalFormatting>
  <conditionalFormatting sqref="O24:AC24">
    <cfRule type="cellIs" dxfId="16130" priority="1671" operator="equal">
      <formula>"PMS"</formula>
    </cfRule>
    <cfRule type="containsText" dxfId="16129" priority="1672" operator="containsText" text="CMS">
      <formula>NOT(ISERROR(SEARCH("CMS",O24)))</formula>
    </cfRule>
    <cfRule type="cellIs" dxfId="16128" priority="1673" operator="equal">
      <formula>0</formula>
    </cfRule>
    <cfRule type="cellIs" dxfId="16127" priority="1674" operator="greaterThan">
      <formula>0</formula>
    </cfRule>
  </conditionalFormatting>
  <conditionalFormatting sqref="P24:AC24">
    <cfRule type="cellIs" dxfId="16126" priority="1667" operator="equal">
      <formula>"PMS"</formula>
    </cfRule>
    <cfRule type="containsText" dxfId="16125" priority="1668" operator="containsText" text="CMS">
      <formula>NOT(ISERROR(SEARCH("CMS",P24)))</formula>
    </cfRule>
    <cfRule type="cellIs" dxfId="16124" priority="1669" operator="equal">
      <formula>0</formula>
    </cfRule>
    <cfRule type="cellIs" dxfId="16123" priority="1670" operator="greaterThan">
      <formula>0</formula>
    </cfRule>
  </conditionalFormatting>
  <conditionalFormatting sqref="O27:AC28">
    <cfRule type="cellIs" dxfId="16122" priority="1663" operator="equal">
      <formula>"PMS"</formula>
    </cfRule>
    <cfRule type="containsText" dxfId="16121" priority="1664" operator="containsText" text="CMS">
      <formula>NOT(ISERROR(SEARCH("CMS",O27)))</formula>
    </cfRule>
    <cfRule type="cellIs" dxfId="16120" priority="1665" operator="equal">
      <formula>0</formula>
    </cfRule>
    <cfRule type="cellIs" dxfId="16119" priority="1666" operator="greaterThan">
      <formula>0</formula>
    </cfRule>
  </conditionalFormatting>
  <conditionalFormatting sqref="P27:AC28">
    <cfRule type="cellIs" dxfId="16118" priority="1659" operator="equal">
      <formula>"PMS"</formula>
    </cfRule>
    <cfRule type="containsText" dxfId="16117" priority="1660" operator="containsText" text="CMS">
      <formula>NOT(ISERROR(SEARCH("CMS",P27)))</formula>
    </cfRule>
    <cfRule type="cellIs" dxfId="16116" priority="1661" operator="equal">
      <formula>0</formula>
    </cfRule>
    <cfRule type="cellIs" dxfId="16115" priority="1662" operator="greaterThan">
      <formula>0</formula>
    </cfRule>
  </conditionalFormatting>
  <conditionalFormatting sqref="P50 R50:S58 Q53:Q58 O35:S49 O52:P58 T35:AC58">
    <cfRule type="cellIs" dxfId="16114" priority="1655" operator="equal">
      <formula>"PMS"</formula>
    </cfRule>
    <cfRule type="containsText" dxfId="16113" priority="1656" operator="containsText" text="CMS">
      <formula>NOT(ISERROR(SEARCH("CMS",O35)))</formula>
    </cfRule>
    <cfRule type="cellIs" dxfId="16112" priority="1657" operator="equal">
      <formula>0</formula>
    </cfRule>
    <cfRule type="cellIs" dxfId="16111" priority="1658" operator="greaterThan">
      <formula>0</formula>
    </cfRule>
  </conditionalFormatting>
  <conditionalFormatting sqref="P50 R50:S58 Q53:Q58 P35:S49 O38:O49 O52:P58 T35:AC58">
    <cfRule type="cellIs" dxfId="16110" priority="1651" operator="equal">
      <formula>"PMS"</formula>
    </cfRule>
    <cfRule type="containsText" dxfId="16109" priority="1652" operator="containsText" text="CMS">
      <formula>NOT(ISERROR(SEARCH("CMS",O35)))</formula>
    </cfRule>
    <cfRule type="cellIs" dxfId="16108" priority="1653" operator="equal">
      <formula>0</formula>
    </cfRule>
    <cfRule type="cellIs" dxfId="16107" priority="1654" operator="greaterThan">
      <formula>0</formula>
    </cfRule>
  </conditionalFormatting>
  <conditionalFormatting sqref="W14:X16 W13:AC13 AC14:AC15 Z14:AB16">
    <cfRule type="cellIs" dxfId="16106" priority="1647" operator="equal">
      <formula>"PMS"</formula>
    </cfRule>
    <cfRule type="containsText" dxfId="16105" priority="1648" operator="containsText" text="CMS">
      <formula>NOT(ISERROR(SEARCH("CMS",W13)))</formula>
    </cfRule>
    <cfRule type="cellIs" dxfId="16104" priority="1649" operator="equal">
      <formula>0</formula>
    </cfRule>
    <cfRule type="cellIs" dxfId="16103" priority="1650" operator="greaterThan">
      <formula>0</formula>
    </cfRule>
  </conditionalFormatting>
  <conditionalFormatting sqref="W14:X16 W13:AC13 AC14:AC15 Z14:AB16">
    <cfRule type="cellIs" dxfId="16102" priority="1643" operator="equal">
      <formula>"PMS"</formula>
    </cfRule>
    <cfRule type="containsText" dxfId="16101" priority="1644" operator="containsText" text="CMS">
      <formula>NOT(ISERROR(SEARCH("CMS",W13)))</formula>
    </cfRule>
    <cfRule type="cellIs" dxfId="16100" priority="1645" operator="equal">
      <formula>0</formula>
    </cfRule>
    <cfRule type="cellIs" dxfId="16099" priority="1646" operator="greaterThan">
      <formula>0</formula>
    </cfRule>
  </conditionalFormatting>
  <conditionalFormatting sqref="X57:AC57">
    <cfRule type="cellIs" dxfId="16098" priority="1639" operator="equal">
      <formula>"PMS"</formula>
    </cfRule>
    <cfRule type="containsText" dxfId="16097" priority="1640" operator="containsText" text="CMS">
      <formula>NOT(ISERROR(SEARCH("CMS",X57)))</formula>
    </cfRule>
    <cfRule type="cellIs" dxfId="16096" priority="1641" operator="equal">
      <formula>0</formula>
    </cfRule>
    <cfRule type="cellIs" dxfId="16095" priority="1642" operator="greaterThan">
      <formula>0</formula>
    </cfRule>
  </conditionalFormatting>
  <conditionalFormatting sqref="X57:AC57">
    <cfRule type="cellIs" dxfId="16094" priority="1635" operator="equal">
      <formula>"PMS"</formula>
    </cfRule>
    <cfRule type="containsText" dxfId="16093" priority="1636" operator="containsText" text="CMS">
      <formula>NOT(ISERROR(SEARCH("CMS",X57)))</formula>
    </cfRule>
    <cfRule type="cellIs" dxfId="16092" priority="1637" operator="equal">
      <formula>0</formula>
    </cfRule>
    <cfRule type="cellIs" dxfId="16091" priority="1638" operator="greaterThan">
      <formula>0</formula>
    </cfRule>
  </conditionalFormatting>
  <conditionalFormatting sqref="X57:AC57">
    <cfRule type="cellIs" dxfId="16090" priority="1631" operator="equal">
      <formula>"PMS"</formula>
    </cfRule>
    <cfRule type="containsText" dxfId="16089" priority="1632" operator="containsText" text="CMS">
      <formula>NOT(ISERROR(SEARCH("CMS",X57)))</formula>
    </cfRule>
    <cfRule type="cellIs" dxfId="16088" priority="1633" operator="equal">
      <formula>0</formula>
    </cfRule>
    <cfRule type="cellIs" dxfId="16087" priority="1634" operator="greaterThan">
      <formula>0</formula>
    </cfRule>
  </conditionalFormatting>
  <conditionalFormatting sqref="X57:AC57">
    <cfRule type="cellIs" dxfId="16086" priority="1627" operator="equal">
      <formula>"PMS"</formula>
    </cfRule>
    <cfRule type="containsText" dxfId="16085" priority="1628" operator="containsText" text="CMS">
      <formula>NOT(ISERROR(SEARCH("CMS",X57)))</formula>
    </cfRule>
    <cfRule type="cellIs" dxfId="16084" priority="1629" operator="equal">
      <formula>0</formula>
    </cfRule>
    <cfRule type="cellIs" dxfId="16083" priority="1630" operator="greaterThan">
      <formula>0</formula>
    </cfRule>
  </conditionalFormatting>
  <conditionalFormatting sqref="AB58:AC58">
    <cfRule type="cellIs" dxfId="16082" priority="1623" operator="equal">
      <formula>"PMS"</formula>
    </cfRule>
    <cfRule type="containsText" dxfId="16081" priority="1624" operator="containsText" text="CMS">
      <formula>NOT(ISERROR(SEARCH("CMS",AB58)))</formula>
    </cfRule>
    <cfRule type="cellIs" dxfId="16080" priority="1625" operator="equal">
      <formula>0</formula>
    </cfRule>
    <cfRule type="cellIs" dxfId="16079" priority="1626" operator="greaterThan">
      <formula>0</formula>
    </cfRule>
  </conditionalFormatting>
  <conditionalFormatting sqref="AB58:AC58">
    <cfRule type="cellIs" dxfId="16078" priority="1619" operator="equal">
      <formula>"PMS"</formula>
    </cfRule>
    <cfRule type="containsText" dxfId="16077" priority="1620" operator="containsText" text="CMS">
      <formula>NOT(ISERROR(SEARCH("CMS",AB58)))</formula>
    </cfRule>
    <cfRule type="cellIs" dxfId="16076" priority="1621" operator="equal">
      <formula>0</formula>
    </cfRule>
    <cfRule type="cellIs" dxfId="16075" priority="1622" operator="greaterThan">
      <formula>0</formula>
    </cfRule>
  </conditionalFormatting>
  <conditionalFormatting sqref="AB58:AC58">
    <cfRule type="cellIs" dxfId="16074" priority="1615" operator="equal">
      <formula>"PMS"</formula>
    </cfRule>
    <cfRule type="containsText" dxfId="16073" priority="1616" operator="containsText" text="CMS">
      <formula>NOT(ISERROR(SEARCH("CMS",AB58)))</formula>
    </cfRule>
    <cfRule type="cellIs" dxfId="16072" priority="1617" operator="equal">
      <formula>0</formula>
    </cfRule>
    <cfRule type="cellIs" dxfId="16071" priority="1618" operator="greaterThan">
      <formula>0</formula>
    </cfRule>
  </conditionalFormatting>
  <conditionalFormatting sqref="AB58:AC58">
    <cfRule type="cellIs" dxfId="16070" priority="1611" operator="equal">
      <formula>"PMS"</formula>
    </cfRule>
    <cfRule type="containsText" dxfId="16069" priority="1612" operator="containsText" text="CMS">
      <formula>NOT(ISERROR(SEARCH("CMS",AB58)))</formula>
    </cfRule>
    <cfRule type="cellIs" dxfId="16068" priority="1613" operator="equal">
      <formula>0</formula>
    </cfRule>
    <cfRule type="cellIs" dxfId="16067" priority="1614" operator="greaterThan">
      <formula>0</formula>
    </cfRule>
  </conditionalFormatting>
  <conditionalFormatting sqref="AB78">
    <cfRule type="cellIs" dxfId="16066" priority="1607" operator="equal">
      <formula>"PMS"</formula>
    </cfRule>
    <cfRule type="containsText" dxfId="16065" priority="1608" operator="containsText" text="CMS">
      <formula>NOT(ISERROR(SEARCH("CMS",AB78)))</formula>
    </cfRule>
    <cfRule type="cellIs" dxfId="16064" priority="1609" operator="equal">
      <formula>0</formula>
    </cfRule>
    <cfRule type="cellIs" dxfId="16063" priority="1610" operator="greaterThan">
      <formula>0</formula>
    </cfRule>
  </conditionalFormatting>
  <conditionalFormatting sqref="AB78">
    <cfRule type="cellIs" dxfId="16062" priority="1603" operator="equal">
      <formula>"PMS"</formula>
    </cfRule>
    <cfRule type="containsText" dxfId="16061" priority="1604" operator="containsText" text="CMS">
      <formula>NOT(ISERROR(SEARCH("CMS",AB78)))</formula>
    </cfRule>
    <cfRule type="cellIs" dxfId="16060" priority="1605" operator="equal">
      <formula>0</formula>
    </cfRule>
    <cfRule type="cellIs" dxfId="16059" priority="1606" operator="greaterThan">
      <formula>0</formula>
    </cfRule>
  </conditionalFormatting>
  <conditionalFormatting sqref="O44:O49">
    <cfRule type="cellIs" dxfId="16058" priority="1599" operator="equal">
      <formula>"PMS"</formula>
    </cfRule>
    <cfRule type="containsText" dxfId="16057" priority="1600" operator="containsText" text="CMS">
      <formula>NOT(ISERROR(SEARCH("CMS",O44)))</formula>
    </cfRule>
    <cfRule type="cellIs" dxfId="16056" priority="1601" operator="equal">
      <formula>0</formula>
    </cfRule>
    <cfRule type="cellIs" dxfId="16055" priority="1602" operator="greaterThan">
      <formula>0</formula>
    </cfRule>
  </conditionalFormatting>
  <conditionalFormatting sqref="P56 O52:O56">
    <cfRule type="cellIs" dxfId="16054" priority="1595" operator="equal">
      <formula>"PMS"</formula>
    </cfRule>
    <cfRule type="containsText" dxfId="16053" priority="1596" operator="containsText" text="CMS">
      <formula>NOT(ISERROR(SEARCH("CMS",O52)))</formula>
    </cfRule>
    <cfRule type="cellIs" dxfId="16052" priority="1597" operator="equal">
      <formula>0</formula>
    </cfRule>
    <cfRule type="cellIs" dxfId="16051" priority="1598" operator="greaterThan">
      <formula>0</formula>
    </cfRule>
  </conditionalFormatting>
  <conditionalFormatting sqref="O49">
    <cfRule type="cellIs" dxfId="16050" priority="1591" operator="equal">
      <formula>"PMS"</formula>
    </cfRule>
    <cfRule type="containsText" dxfId="16049" priority="1592" operator="containsText" text="CMS">
      <formula>NOT(ISERROR(SEARCH("CMS",O49)))</formula>
    </cfRule>
    <cfRule type="cellIs" dxfId="16048" priority="1593" operator="equal">
      <formula>0</formula>
    </cfRule>
    <cfRule type="cellIs" dxfId="16047" priority="1594" operator="greaterThan">
      <formula>0</formula>
    </cfRule>
  </conditionalFormatting>
  <conditionalFormatting sqref="P56 O52:O58">
    <cfRule type="cellIs" dxfId="16046" priority="1587" operator="equal">
      <formula>"PMS"</formula>
    </cfRule>
    <cfRule type="containsText" dxfId="16045" priority="1588" operator="containsText" text="CMS">
      <formula>NOT(ISERROR(SEARCH("CMS",O52)))</formula>
    </cfRule>
    <cfRule type="cellIs" dxfId="16044" priority="1589" operator="equal">
      <formula>0</formula>
    </cfRule>
    <cfRule type="cellIs" dxfId="16043" priority="1590" operator="greaterThan">
      <formula>0</formula>
    </cfRule>
  </conditionalFormatting>
  <conditionalFormatting sqref="Q24:V24">
    <cfRule type="cellIs" dxfId="16042" priority="1583" operator="equal">
      <formula>"PMS"</formula>
    </cfRule>
    <cfRule type="containsText" dxfId="16041" priority="1584" operator="containsText" text="CMS">
      <formula>NOT(ISERROR(SEARCH("CMS",Q24)))</formula>
    </cfRule>
    <cfRule type="cellIs" dxfId="16040" priority="1585" operator="equal">
      <formula>0</formula>
    </cfRule>
    <cfRule type="cellIs" dxfId="16039" priority="1586" operator="greaterThan">
      <formula>0</formula>
    </cfRule>
  </conditionalFormatting>
  <conditionalFormatting sqref="Q24:V24">
    <cfRule type="cellIs" dxfId="16038" priority="1579" operator="equal">
      <formula>"PMS"</formula>
    </cfRule>
    <cfRule type="containsText" dxfId="16037" priority="1580" operator="containsText" text="CMS">
      <formula>NOT(ISERROR(SEARCH("CMS",Q24)))</formula>
    </cfRule>
    <cfRule type="cellIs" dxfId="16036" priority="1581" operator="equal">
      <formula>0</formula>
    </cfRule>
    <cfRule type="cellIs" dxfId="16035" priority="1582" operator="greaterThan">
      <formula>0</formula>
    </cfRule>
  </conditionalFormatting>
  <conditionalFormatting sqref="Q27:V28">
    <cfRule type="cellIs" dxfId="16034" priority="1575" operator="equal">
      <formula>"PMS"</formula>
    </cfRule>
    <cfRule type="containsText" dxfId="16033" priority="1576" operator="containsText" text="CMS">
      <formula>NOT(ISERROR(SEARCH("CMS",Q27)))</formula>
    </cfRule>
    <cfRule type="cellIs" dxfId="16032" priority="1577" operator="equal">
      <formula>0</formula>
    </cfRule>
    <cfRule type="cellIs" dxfId="16031" priority="1578" operator="greaterThan">
      <formula>0</formula>
    </cfRule>
  </conditionalFormatting>
  <conditionalFormatting sqref="Q27:V28">
    <cfRule type="cellIs" dxfId="16030" priority="1571" operator="equal">
      <formula>"PMS"</formula>
    </cfRule>
    <cfRule type="containsText" dxfId="16029" priority="1572" operator="containsText" text="CMS">
      <formula>NOT(ISERROR(SEARCH("CMS",Q27)))</formula>
    </cfRule>
    <cfRule type="cellIs" dxfId="16028" priority="1573" operator="equal">
      <formula>0</formula>
    </cfRule>
    <cfRule type="cellIs" dxfId="16027" priority="1574" operator="greaterThan">
      <formula>0</formula>
    </cfRule>
  </conditionalFormatting>
  <conditionalFormatting sqref="R27:V28">
    <cfRule type="cellIs" dxfId="16026" priority="1567" operator="equal">
      <formula>"PMS"</formula>
    </cfRule>
    <cfRule type="containsText" dxfId="16025" priority="1568" operator="containsText" text="CMS">
      <formula>NOT(ISERROR(SEARCH("CMS",R27)))</formula>
    </cfRule>
    <cfRule type="cellIs" dxfId="16024" priority="1569" operator="equal">
      <formula>0</formula>
    </cfRule>
    <cfRule type="cellIs" dxfId="16023" priority="1570" operator="greaterThan">
      <formula>0</formula>
    </cfRule>
  </conditionalFormatting>
  <conditionalFormatting sqref="R27:V28">
    <cfRule type="cellIs" dxfId="16022" priority="1563" operator="equal">
      <formula>"PMS"</formula>
    </cfRule>
    <cfRule type="containsText" dxfId="16021" priority="1564" operator="containsText" text="CMS">
      <formula>NOT(ISERROR(SEARCH("CMS",R27)))</formula>
    </cfRule>
    <cfRule type="cellIs" dxfId="16020" priority="1565" operator="equal">
      <formula>0</formula>
    </cfRule>
    <cfRule type="cellIs" dxfId="16019" priority="1566" operator="greaterThan">
      <formula>0</formula>
    </cfRule>
  </conditionalFormatting>
  <conditionalFormatting sqref="P56 O52:O56">
    <cfRule type="cellIs" dxfId="16018" priority="1559" operator="equal">
      <formula>"PMS"</formula>
    </cfRule>
    <cfRule type="containsText" dxfId="16017" priority="1560" operator="containsText" text="CMS">
      <formula>NOT(ISERROR(SEARCH("CMS",O52)))</formula>
    </cfRule>
    <cfRule type="cellIs" dxfId="16016" priority="1561" operator="equal">
      <formula>0</formula>
    </cfRule>
    <cfRule type="cellIs" dxfId="16015" priority="1562" operator="greaterThan">
      <formula>0</formula>
    </cfRule>
  </conditionalFormatting>
  <conditionalFormatting sqref="O44:O45">
    <cfRule type="cellIs" dxfId="16014" priority="1555" operator="equal">
      <formula>"PMS"</formula>
    </cfRule>
    <cfRule type="containsText" dxfId="16013" priority="1556" operator="containsText" text="CMS">
      <formula>NOT(ISERROR(SEARCH("CMS",O44)))</formula>
    </cfRule>
    <cfRule type="cellIs" dxfId="16012" priority="1557" operator="equal">
      <formula>0</formula>
    </cfRule>
    <cfRule type="cellIs" dxfId="16011" priority="1558" operator="greaterThan">
      <formula>0</formula>
    </cfRule>
  </conditionalFormatting>
  <conditionalFormatting sqref="O44:O45">
    <cfRule type="cellIs" dxfId="16010" priority="1551" operator="equal">
      <formula>"PMS"</formula>
    </cfRule>
    <cfRule type="containsText" dxfId="16009" priority="1552" operator="containsText" text="CMS">
      <formula>NOT(ISERROR(SEARCH("CMS",O44)))</formula>
    </cfRule>
    <cfRule type="cellIs" dxfId="16008" priority="1553" operator="equal">
      <formula>0</formula>
    </cfRule>
    <cfRule type="cellIs" dxfId="16007" priority="1554" operator="greaterThan">
      <formula>0</formula>
    </cfRule>
  </conditionalFormatting>
  <conditionalFormatting sqref="O44:O45">
    <cfRule type="cellIs" dxfId="16006" priority="1547" operator="equal">
      <formula>"PMS"</formula>
    </cfRule>
    <cfRule type="containsText" dxfId="16005" priority="1548" operator="containsText" text="CMS">
      <formula>NOT(ISERROR(SEARCH("CMS",O44)))</formula>
    </cfRule>
    <cfRule type="cellIs" dxfId="16004" priority="1549" operator="equal">
      <formula>0</formula>
    </cfRule>
    <cfRule type="cellIs" dxfId="16003" priority="1550" operator="greaterThan">
      <formula>0</formula>
    </cfRule>
  </conditionalFormatting>
  <conditionalFormatting sqref="O46">
    <cfRule type="cellIs" dxfId="16002" priority="1543" operator="equal">
      <formula>"PMS"</formula>
    </cfRule>
    <cfRule type="containsText" dxfId="16001" priority="1544" operator="containsText" text="CMS">
      <formula>NOT(ISERROR(SEARCH("CMS",O46)))</formula>
    </cfRule>
    <cfRule type="cellIs" dxfId="16000" priority="1545" operator="equal">
      <formula>0</formula>
    </cfRule>
    <cfRule type="cellIs" dxfId="15999" priority="1546" operator="greaterThan">
      <formula>0</formula>
    </cfRule>
  </conditionalFormatting>
  <conditionalFormatting sqref="O46">
    <cfRule type="cellIs" dxfId="15998" priority="1539" operator="equal">
      <formula>"PMS"</formula>
    </cfRule>
    <cfRule type="containsText" dxfId="15997" priority="1540" operator="containsText" text="CMS">
      <formula>NOT(ISERROR(SEARCH("CMS",O46)))</formula>
    </cfRule>
    <cfRule type="cellIs" dxfId="15996" priority="1541" operator="equal">
      <formula>0</formula>
    </cfRule>
    <cfRule type="cellIs" dxfId="15995" priority="1542" operator="greaterThan">
      <formula>0</formula>
    </cfRule>
  </conditionalFormatting>
  <conditionalFormatting sqref="O46">
    <cfRule type="cellIs" dxfId="15994" priority="1535" operator="equal">
      <formula>"PMS"</formula>
    </cfRule>
    <cfRule type="containsText" dxfId="15993" priority="1536" operator="containsText" text="CMS">
      <formula>NOT(ISERROR(SEARCH("CMS",O46)))</formula>
    </cfRule>
    <cfRule type="cellIs" dxfId="15992" priority="1537" operator="equal">
      <formula>0</formula>
    </cfRule>
    <cfRule type="cellIs" dxfId="15991" priority="1538" operator="greaterThan">
      <formula>0</formula>
    </cfRule>
  </conditionalFormatting>
  <conditionalFormatting sqref="I19:AC19">
    <cfRule type="cellIs" dxfId="15990" priority="1531" operator="equal">
      <formula>"CMS"</formula>
    </cfRule>
    <cfRule type="cellIs" dxfId="15989" priority="1532" operator="equal">
      <formula>"PMS"</formula>
    </cfRule>
    <cfRule type="cellIs" dxfId="15988" priority="1533" operator="greaterThan">
      <formula>0</formula>
    </cfRule>
    <cfRule type="cellIs" dxfId="15987" priority="1534" operator="equal">
      <formula>0</formula>
    </cfRule>
  </conditionalFormatting>
  <conditionalFormatting sqref="G61:G63">
    <cfRule type="cellIs" dxfId="15986" priority="1527" operator="equal">
      <formula>"CMS"</formula>
    </cfRule>
    <cfRule type="cellIs" dxfId="15985" priority="1528" operator="equal">
      <formula>"PMS"</formula>
    </cfRule>
    <cfRule type="cellIs" dxfId="15984" priority="1529" operator="greaterThan">
      <formula>0</formula>
    </cfRule>
    <cfRule type="cellIs" dxfId="15983" priority="1530" operator="equal">
      <formula>0</formula>
    </cfRule>
  </conditionalFormatting>
  <conditionalFormatting sqref="G77">
    <cfRule type="cellIs" dxfId="15982" priority="1522" operator="equal">
      <formula>"EOC"</formula>
    </cfRule>
    <cfRule type="cellIs" dxfId="15981" priority="1523" operator="equal">
      <formula>"CMS"</formula>
    </cfRule>
    <cfRule type="cellIs" dxfId="15980" priority="1524" operator="equal">
      <formula>"PMS"</formula>
    </cfRule>
    <cfRule type="cellIs" dxfId="15979" priority="1525" operator="greaterThan">
      <formula>0</formula>
    </cfRule>
    <cfRule type="cellIs" dxfId="15978" priority="1526" operator="equal">
      <formula>0</formula>
    </cfRule>
  </conditionalFormatting>
  <conditionalFormatting sqref="F109">
    <cfRule type="cellIs" dxfId="15977" priority="1521" operator="greaterThan">
      <formula>60.3</formula>
    </cfRule>
  </conditionalFormatting>
  <conditionalFormatting sqref="G36:G44 G50 G47">
    <cfRule type="cellIs" dxfId="15976" priority="1513" operator="equal">
      <formula>"PMS"</formula>
    </cfRule>
    <cfRule type="containsText" dxfId="15975" priority="1514" operator="containsText" text="CMS">
      <formula>NOT(ISERROR(SEARCH("CMS",G36)))</formula>
    </cfRule>
    <cfRule type="cellIs" dxfId="15974" priority="1515" operator="equal">
      <formula>0</formula>
    </cfRule>
    <cfRule type="cellIs" dxfId="15973" priority="1516" operator="greaterThan">
      <formula>0</formula>
    </cfRule>
    <cfRule type="cellIs" dxfId="15972" priority="1517" operator="equal">
      <formula>"PMS"</formula>
    </cfRule>
    <cfRule type="containsText" dxfId="15971" priority="1518" operator="containsText" text="CMS">
      <formula>NOT(ISERROR(SEARCH("CMS",G36)))</formula>
    </cfRule>
    <cfRule type="cellIs" dxfId="15970" priority="1519" operator="equal">
      <formula>0</formula>
    </cfRule>
    <cfRule type="cellIs" dxfId="15969" priority="1520" operator="greaterThan">
      <formula>0</formula>
    </cfRule>
  </conditionalFormatting>
  <conditionalFormatting sqref="G36:G44 G50 G47">
    <cfRule type="cellIs" dxfId="15968" priority="1509" operator="equal">
      <formula>"PMS"</formula>
    </cfRule>
    <cfRule type="containsText" dxfId="15967" priority="1510" operator="containsText" text="CMS">
      <formula>NOT(ISERROR(SEARCH("CMS",G36)))</formula>
    </cfRule>
    <cfRule type="cellIs" dxfId="15966" priority="1511" operator="equal">
      <formula>0</formula>
    </cfRule>
    <cfRule type="cellIs" dxfId="15965" priority="1512" operator="greaterThan">
      <formula>0</formula>
    </cfRule>
  </conditionalFormatting>
  <conditionalFormatting sqref="G36:G44 G50 G47">
    <cfRule type="cellIs" dxfId="15964" priority="1505" operator="equal">
      <formula>"PMS"</formula>
    </cfRule>
    <cfRule type="containsText" dxfId="15963" priority="1506" operator="containsText" text="CMS">
      <formula>NOT(ISERROR(SEARCH("CMS",G36)))</formula>
    </cfRule>
    <cfRule type="cellIs" dxfId="15962" priority="1507" operator="equal">
      <formula>0</formula>
    </cfRule>
    <cfRule type="cellIs" dxfId="15961" priority="1508" operator="greaterThan">
      <formula>0</formula>
    </cfRule>
  </conditionalFormatting>
  <conditionalFormatting sqref="I36:I39">
    <cfRule type="cellIs" dxfId="15960" priority="1497" operator="equal">
      <formula>"PMS"</formula>
    </cfRule>
    <cfRule type="containsText" dxfId="15959" priority="1498" operator="containsText" text="CMS">
      <formula>NOT(ISERROR(SEARCH("CMS",I36)))</formula>
    </cfRule>
    <cfRule type="cellIs" dxfId="15958" priority="1499" operator="equal">
      <formula>0</formula>
    </cfRule>
    <cfRule type="cellIs" dxfId="15957" priority="1500" operator="greaterThan">
      <formula>0</formula>
    </cfRule>
    <cfRule type="cellIs" dxfId="15956" priority="1501" operator="equal">
      <formula>"PMS"</formula>
    </cfRule>
    <cfRule type="containsText" dxfId="15955" priority="1502" operator="containsText" text="CMS">
      <formula>NOT(ISERROR(SEARCH("CMS",I36)))</formula>
    </cfRule>
    <cfRule type="cellIs" dxfId="15954" priority="1503" operator="equal">
      <formula>0</formula>
    </cfRule>
    <cfRule type="cellIs" dxfId="15953" priority="1504" operator="greaterThan">
      <formula>0</formula>
    </cfRule>
  </conditionalFormatting>
  <conditionalFormatting sqref="I36:I39">
    <cfRule type="cellIs" dxfId="15952" priority="1493" operator="equal">
      <formula>"PMS"</formula>
    </cfRule>
    <cfRule type="containsText" dxfId="15951" priority="1494" operator="containsText" text="CMS">
      <formula>NOT(ISERROR(SEARCH("CMS",I36)))</formula>
    </cfRule>
    <cfRule type="cellIs" dxfId="15950" priority="1495" operator="equal">
      <formula>0</formula>
    </cfRule>
    <cfRule type="cellIs" dxfId="15949" priority="1496" operator="greaterThan">
      <formula>0</formula>
    </cfRule>
  </conditionalFormatting>
  <conditionalFormatting sqref="I36:I39">
    <cfRule type="cellIs" dxfId="15948" priority="1489" operator="equal">
      <formula>"PMS"</formula>
    </cfRule>
    <cfRule type="containsText" dxfId="15947" priority="1490" operator="containsText" text="CMS">
      <formula>NOT(ISERROR(SEARCH("CMS",I36)))</formula>
    </cfRule>
    <cfRule type="cellIs" dxfId="15946" priority="1491" operator="equal">
      <formula>0</formula>
    </cfRule>
    <cfRule type="cellIs" dxfId="15945" priority="1492" operator="greaterThan">
      <formula>0</formula>
    </cfRule>
  </conditionalFormatting>
  <conditionalFormatting sqref="O49">
    <cfRule type="cellIs" dxfId="15944" priority="1485" operator="equal">
      <formula>"PMS"</formula>
    </cfRule>
    <cfRule type="containsText" dxfId="15943" priority="1486" operator="containsText" text="CMS">
      <formula>NOT(ISERROR(SEARCH("CMS",O49)))</formula>
    </cfRule>
    <cfRule type="cellIs" dxfId="15942" priority="1487" operator="equal">
      <formula>0</formula>
    </cfRule>
    <cfRule type="cellIs" dxfId="15941" priority="1488" operator="greaterThan">
      <formula>0</formula>
    </cfRule>
  </conditionalFormatting>
  <conditionalFormatting sqref="P56 O52:O56">
    <cfRule type="cellIs" dxfId="15940" priority="1481" operator="equal">
      <formula>"PMS"</formula>
    </cfRule>
    <cfRule type="containsText" dxfId="15939" priority="1482" operator="containsText" text="CMS">
      <formula>NOT(ISERROR(SEARCH("CMS",O52)))</formula>
    </cfRule>
    <cfRule type="cellIs" dxfId="15938" priority="1483" operator="equal">
      <formula>0</formula>
    </cfRule>
    <cfRule type="cellIs" dxfId="15937" priority="1484" operator="greaterThan">
      <formula>0</formula>
    </cfRule>
  </conditionalFormatting>
  <conditionalFormatting sqref="O57:P57">
    <cfRule type="cellIs" dxfId="15936" priority="1477" operator="equal">
      <formula>"PMS"</formula>
    </cfRule>
    <cfRule type="containsText" dxfId="15935" priority="1478" operator="containsText" text="CMS">
      <formula>NOT(ISERROR(SEARCH("CMS",O57)))</formula>
    </cfRule>
    <cfRule type="cellIs" dxfId="15934" priority="1479" operator="equal">
      <formula>0</formula>
    </cfRule>
    <cfRule type="cellIs" dxfId="15933" priority="1480" operator="greaterThan">
      <formula>0</formula>
    </cfRule>
  </conditionalFormatting>
  <conditionalFormatting sqref="O49">
    <cfRule type="cellIs" dxfId="15932" priority="1473" operator="equal">
      <formula>"PMS"</formula>
    </cfRule>
    <cfRule type="containsText" dxfId="15931" priority="1474" operator="containsText" text="CMS">
      <formula>NOT(ISERROR(SEARCH("CMS",O49)))</formula>
    </cfRule>
    <cfRule type="cellIs" dxfId="15930" priority="1475" operator="equal">
      <formula>0</formula>
    </cfRule>
    <cfRule type="cellIs" dxfId="15929" priority="1476" operator="greaterThan">
      <formula>0</formula>
    </cfRule>
  </conditionalFormatting>
  <conditionalFormatting sqref="P56 O52:O58">
    <cfRule type="cellIs" dxfId="15928" priority="1469" operator="equal">
      <formula>"PMS"</formula>
    </cfRule>
    <cfRule type="containsText" dxfId="15927" priority="1470" operator="containsText" text="CMS">
      <formula>NOT(ISERROR(SEARCH("CMS",O52)))</formula>
    </cfRule>
    <cfRule type="cellIs" dxfId="15926" priority="1471" operator="equal">
      <formula>0</formula>
    </cfRule>
    <cfRule type="cellIs" dxfId="15925" priority="1472" operator="greaterThan">
      <formula>0</formula>
    </cfRule>
  </conditionalFormatting>
  <conditionalFormatting sqref="O49">
    <cfRule type="cellIs" dxfId="15924" priority="1465" operator="equal">
      <formula>"PMS"</formula>
    </cfRule>
    <cfRule type="containsText" dxfId="15923" priority="1466" operator="containsText" text="CMS">
      <formula>NOT(ISERROR(SEARCH("CMS",O49)))</formula>
    </cfRule>
    <cfRule type="cellIs" dxfId="15922" priority="1467" operator="equal">
      <formula>0</formula>
    </cfRule>
    <cfRule type="cellIs" dxfId="15921" priority="1468" operator="greaterThan">
      <formula>0</formula>
    </cfRule>
  </conditionalFormatting>
  <conditionalFormatting sqref="P56 O52:O58">
    <cfRule type="cellIs" dxfId="15920" priority="1461" operator="equal">
      <formula>"PMS"</formula>
    </cfRule>
    <cfRule type="containsText" dxfId="15919" priority="1462" operator="containsText" text="CMS">
      <formula>NOT(ISERROR(SEARCH("CMS",O52)))</formula>
    </cfRule>
    <cfRule type="cellIs" dxfId="15918" priority="1463" operator="equal">
      <formula>0</formula>
    </cfRule>
    <cfRule type="cellIs" dxfId="15917" priority="1464" operator="greaterThan">
      <formula>0</formula>
    </cfRule>
  </conditionalFormatting>
  <conditionalFormatting sqref="W14:W16">
    <cfRule type="cellIs" dxfId="15916" priority="1457" operator="equal">
      <formula>"PMS"</formula>
    </cfRule>
    <cfRule type="containsText" dxfId="15915" priority="1458" operator="containsText" text="CMS">
      <formula>NOT(ISERROR(SEARCH("CMS",W14)))</formula>
    </cfRule>
    <cfRule type="cellIs" dxfId="15914" priority="1459" operator="equal">
      <formula>0</formula>
    </cfRule>
    <cfRule type="cellIs" dxfId="15913" priority="1460" operator="greaterThan">
      <formula>0</formula>
    </cfRule>
  </conditionalFormatting>
  <conditionalFormatting sqref="W14:W16">
    <cfRule type="cellIs" dxfId="15912" priority="1453" operator="equal">
      <formula>"PMS"</formula>
    </cfRule>
    <cfRule type="containsText" dxfId="15911" priority="1454" operator="containsText" text="CMS">
      <formula>NOT(ISERROR(SEARCH("CMS",W14)))</formula>
    </cfRule>
    <cfRule type="cellIs" dxfId="15910" priority="1455" operator="equal">
      <formula>0</formula>
    </cfRule>
    <cfRule type="cellIs" dxfId="15909" priority="1456" operator="greaterThan">
      <formula>0</formula>
    </cfRule>
  </conditionalFormatting>
  <conditionalFormatting sqref="X16">
    <cfRule type="cellIs" dxfId="15908" priority="1449" operator="equal">
      <formula>"PMS"</formula>
    </cfRule>
    <cfRule type="containsText" dxfId="15907" priority="1450" operator="containsText" text="CMS">
      <formula>NOT(ISERROR(SEARCH("CMS",X16)))</formula>
    </cfRule>
    <cfRule type="cellIs" dxfId="15906" priority="1451" operator="equal">
      <formula>0</formula>
    </cfRule>
    <cfRule type="cellIs" dxfId="15905" priority="1452" operator="greaterThan">
      <formula>0</formula>
    </cfRule>
  </conditionalFormatting>
  <conditionalFormatting sqref="X16">
    <cfRule type="cellIs" dxfId="15904" priority="1445" operator="equal">
      <formula>"PMS"</formula>
    </cfRule>
    <cfRule type="containsText" dxfId="15903" priority="1446" operator="containsText" text="CMS">
      <formula>NOT(ISERROR(SEARCH("CMS",X16)))</formula>
    </cfRule>
    <cfRule type="cellIs" dxfId="15902" priority="1447" operator="equal">
      <formula>0</formula>
    </cfRule>
    <cfRule type="cellIs" dxfId="15901" priority="1448" operator="greaterThan">
      <formula>0</formula>
    </cfRule>
  </conditionalFormatting>
  <conditionalFormatting sqref="O49">
    <cfRule type="cellIs" dxfId="15900" priority="1441" operator="equal">
      <formula>"PMS"</formula>
    </cfRule>
    <cfRule type="containsText" dxfId="15899" priority="1442" operator="containsText" text="CMS">
      <formula>NOT(ISERROR(SEARCH("CMS",O49)))</formula>
    </cfRule>
    <cfRule type="cellIs" dxfId="15898" priority="1443" operator="equal">
      <formula>0</formula>
    </cfRule>
    <cfRule type="cellIs" dxfId="15897" priority="1444" operator="greaterThan">
      <formula>0</formula>
    </cfRule>
  </conditionalFormatting>
  <conditionalFormatting sqref="O56:P56">
    <cfRule type="cellIs" dxfId="15896" priority="1437" operator="equal">
      <formula>"PMS"</formula>
    </cfRule>
    <cfRule type="containsText" dxfId="15895" priority="1438" operator="containsText" text="CMS">
      <formula>NOT(ISERROR(SEARCH("CMS",O56)))</formula>
    </cfRule>
    <cfRule type="cellIs" dxfId="15894" priority="1439" operator="equal">
      <formula>0</formula>
    </cfRule>
    <cfRule type="cellIs" dxfId="15893" priority="1440" operator="greaterThan">
      <formula>0</formula>
    </cfRule>
  </conditionalFormatting>
  <conditionalFormatting sqref="Z14">
    <cfRule type="cellIs" dxfId="15892" priority="1433" operator="equal">
      <formula>"PMS"</formula>
    </cfRule>
    <cfRule type="containsText" dxfId="15891" priority="1434" operator="containsText" text="CMS">
      <formula>NOT(ISERROR(SEARCH("CMS",Z14)))</formula>
    </cfRule>
    <cfRule type="cellIs" dxfId="15890" priority="1435" operator="equal">
      <formula>0</formula>
    </cfRule>
    <cfRule type="cellIs" dxfId="15889" priority="1436" operator="greaterThan">
      <formula>0</formula>
    </cfRule>
  </conditionalFormatting>
  <conditionalFormatting sqref="Z14">
    <cfRule type="cellIs" dxfId="15888" priority="1429" operator="equal">
      <formula>"PMS"</formula>
    </cfRule>
    <cfRule type="containsText" dxfId="15887" priority="1430" operator="containsText" text="CMS">
      <formula>NOT(ISERROR(SEARCH("CMS",Z14)))</formula>
    </cfRule>
    <cfRule type="cellIs" dxfId="15886" priority="1431" operator="equal">
      <formula>0</formula>
    </cfRule>
    <cfRule type="cellIs" dxfId="15885" priority="1432" operator="greaterThan">
      <formula>0</formula>
    </cfRule>
  </conditionalFormatting>
  <conditionalFormatting sqref="Z15">
    <cfRule type="cellIs" dxfId="15884" priority="1425" operator="equal">
      <formula>"PMS"</formula>
    </cfRule>
    <cfRule type="containsText" dxfId="15883" priority="1426" operator="containsText" text="CMS">
      <formula>NOT(ISERROR(SEARCH("CMS",Z15)))</formula>
    </cfRule>
    <cfRule type="cellIs" dxfId="15882" priority="1427" operator="equal">
      <formula>0</formula>
    </cfRule>
    <cfRule type="cellIs" dxfId="15881" priority="1428" operator="greaterThan">
      <formula>0</formula>
    </cfRule>
  </conditionalFormatting>
  <conditionalFormatting sqref="Z15">
    <cfRule type="cellIs" dxfId="15880" priority="1421" operator="equal">
      <formula>"PMS"</formula>
    </cfRule>
    <cfRule type="containsText" dxfId="15879" priority="1422" operator="containsText" text="CMS">
      <formula>NOT(ISERROR(SEARCH("CMS",Z15)))</formula>
    </cfRule>
    <cfRule type="cellIs" dxfId="15878" priority="1423" operator="equal">
      <formula>0</formula>
    </cfRule>
    <cfRule type="cellIs" dxfId="15877" priority="1424" operator="greaterThan">
      <formula>0</formula>
    </cfRule>
  </conditionalFormatting>
  <conditionalFormatting sqref="Z16">
    <cfRule type="cellIs" dxfId="15876" priority="1417" operator="equal">
      <formula>"PMS"</formula>
    </cfRule>
    <cfRule type="containsText" dxfId="15875" priority="1418" operator="containsText" text="CMS">
      <formula>NOT(ISERROR(SEARCH("CMS",Z16)))</formula>
    </cfRule>
    <cfRule type="cellIs" dxfId="15874" priority="1419" operator="equal">
      <formula>0</formula>
    </cfRule>
    <cfRule type="cellIs" dxfId="15873" priority="1420" operator="greaterThan">
      <formula>0</formula>
    </cfRule>
  </conditionalFormatting>
  <conditionalFormatting sqref="Z16">
    <cfRule type="cellIs" dxfId="15872" priority="1413" operator="equal">
      <formula>"PMS"</formula>
    </cfRule>
    <cfRule type="containsText" dxfId="15871" priority="1414" operator="containsText" text="CMS">
      <formula>NOT(ISERROR(SEARCH("CMS",Z16)))</formula>
    </cfRule>
    <cfRule type="cellIs" dxfId="15870" priority="1415" operator="equal">
      <formula>0</formula>
    </cfRule>
    <cfRule type="cellIs" dxfId="15869" priority="1416" operator="greaterThan">
      <formula>0</formula>
    </cfRule>
  </conditionalFormatting>
  <conditionalFormatting sqref="AA13:AA16">
    <cfRule type="cellIs" dxfId="15868" priority="1409" operator="equal">
      <formula>"PMS"</formula>
    </cfRule>
    <cfRule type="containsText" dxfId="15867" priority="1410" operator="containsText" text="CMS">
      <formula>NOT(ISERROR(SEARCH("CMS",AA13)))</formula>
    </cfRule>
    <cfRule type="cellIs" dxfId="15866" priority="1411" operator="equal">
      <formula>0</formula>
    </cfRule>
    <cfRule type="cellIs" dxfId="15865" priority="1412" operator="greaterThan">
      <formula>0</formula>
    </cfRule>
  </conditionalFormatting>
  <conditionalFormatting sqref="AA13:AA16">
    <cfRule type="cellIs" dxfId="15864" priority="1405" operator="equal">
      <formula>"PMS"</formula>
    </cfRule>
    <cfRule type="containsText" dxfId="15863" priority="1406" operator="containsText" text="CMS">
      <formula>NOT(ISERROR(SEARCH("CMS",AA13)))</formula>
    </cfRule>
    <cfRule type="cellIs" dxfId="15862" priority="1407" operator="equal">
      <formula>0</formula>
    </cfRule>
    <cfRule type="cellIs" dxfId="15861" priority="1408" operator="greaterThan">
      <formula>0</formula>
    </cfRule>
  </conditionalFormatting>
  <conditionalFormatting sqref="Z15:AA15">
    <cfRule type="cellIs" dxfId="15860" priority="1401" operator="equal">
      <formula>"PMS"</formula>
    </cfRule>
    <cfRule type="containsText" dxfId="15859" priority="1402" operator="containsText" text="CMS">
      <formula>NOT(ISERROR(SEARCH("CMS",Z15)))</formula>
    </cfRule>
    <cfRule type="cellIs" dxfId="15858" priority="1403" operator="equal">
      <formula>0</formula>
    </cfRule>
    <cfRule type="cellIs" dxfId="15857" priority="1404" operator="greaterThan">
      <formula>0</formula>
    </cfRule>
  </conditionalFormatting>
  <conditionalFormatting sqref="Z15:AA15">
    <cfRule type="cellIs" dxfId="15856" priority="1397" operator="equal">
      <formula>"PMS"</formula>
    </cfRule>
    <cfRule type="containsText" dxfId="15855" priority="1398" operator="containsText" text="CMS">
      <formula>NOT(ISERROR(SEARCH("CMS",Z15)))</formula>
    </cfRule>
    <cfRule type="cellIs" dxfId="15854" priority="1399" operator="equal">
      <formula>0</formula>
    </cfRule>
    <cfRule type="cellIs" dxfId="15853" priority="1400" operator="greaterThan">
      <formula>0</formula>
    </cfRule>
  </conditionalFormatting>
  <conditionalFormatting sqref="Z16:AA16">
    <cfRule type="cellIs" dxfId="15852" priority="1393" operator="equal">
      <formula>"PMS"</formula>
    </cfRule>
    <cfRule type="containsText" dxfId="15851" priority="1394" operator="containsText" text="CMS">
      <formula>NOT(ISERROR(SEARCH("CMS",Z16)))</formula>
    </cfRule>
    <cfRule type="cellIs" dxfId="15850" priority="1395" operator="equal">
      <formula>0</formula>
    </cfRule>
    <cfRule type="cellIs" dxfId="15849" priority="1396" operator="greaterThan">
      <formula>0</formula>
    </cfRule>
  </conditionalFormatting>
  <conditionalFormatting sqref="Z16:AA16">
    <cfRule type="cellIs" dxfId="15848" priority="1389" operator="equal">
      <formula>"PMS"</formula>
    </cfRule>
    <cfRule type="containsText" dxfId="15847" priority="1390" operator="containsText" text="CMS">
      <formula>NOT(ISERROR(SEARCH("CMS",Z16)))</formula>
    </cfRule>
    <cfRule type="cellIs" dxfId="15846" priority="1391" operator="equal">
      <formula>0</formula>
    </cfRule>
    <cfRule type="cellIs" dxfId="15845" priority="1392" operator="greaterThan">
      <formula>0</formula>
    </cfRule>
  </conditionalFormatting>
  <conditionalFormatting sqref="AA27">
    <cfRule type="cellIs" dxfId="15844" priority="1385" operator="equal">
      <formula>"PMS"</formula>
    </cfRule>
    <cfRule type="containsText" dxfId="15843" priority="1386" operator="containsText" text="CMS">
      <formula>NOT(ISERROR(SEARCH("CMS",AA27)))</formula>
    </cfRule>
    <cfRule type="cellIs" dxfId="15842" priority="1387" operator="equal">
      <formula>0</formula>
    </cfRule>
    <cfRule type="cellIs" dxfId="15841" priority="1388" operator="greaterThan">
      <formula>0</formula>
    </cfRule>
  </conditionalFormatting>
  <conditionalFormatting sqref="AA27">
    <cfRule type="cellIs" dxfId="15840" priority="1381" operator="equal">
      <formula>"PMS"</formula>
    </cfRule>
    <cfRule type="containsText" dxfId="15839" priority="1382" operator="containsText" text="CMS">
      <formula>NOT(ISERROR(SEARCH("CMS",AA27)))</formula>
    </cfRule>
    <cfRule type="cellIs" dxfId="15838" priority="1383" operator="equal">
      <formula>0</formula>
    </cfRule>
    <cfRule type="cellIs" dxfId="15837" priority="1384" operator="greaterThan">
      <formula>0</formula>
    </cfRule>
  </conditionalFormatting>
  <conditionalFormatting sqref="AA28">
    <cfRule type="cellIs" dxfId="15836" priority="1377" operator="equal">
      <formula>"PMS"</formula>
    </cfRule>
    <cfRule type="containsText" dxfId="15835" priority="1378" operator="containsText" text="CMS">
      <formula>NOT(ISERROR(SEARCH("CMS",AA28)))</formula>
    </cfRule>
    <cfRule type="cellIs" dxfId="15834" priority="1379" operator="equal">
      <formula>0</formula>
    </cfRule>
    <cfRule type="cellIs" dxfId="15833" priority="1380" operator="greaterThan">
      <formula>0</formula>
    </cfRule>
  </conditionalFormatting>
  <conditionalFormatting sqref="AA28">
    <cfRule type="cellIs" dxfId="15832" priority="1373" operator="equal">
      <formula>"PMS"</formula>
    </cfRule>
    <cfRule type="containsText" dxfId="15831" priority="1374" operator="containsText" text="CMS">
      <formula>NOT(ISERROR(SEARCH("CMS",AA28)))</formula>
    </cfRule>
    <cfRule type="cellIs" dxfId="15830" priority="1375" operator="equal">
      <formula>0</formula>
    </cfRule>
    <cfRule type="cellIs" dxfId="15829" priority="1376" operator="greaterThan">
      <formula>0</formula>
    </cfRule>
  </conditionalFormatting>
  <conditionalFormatting sqref="AB14">
    <cfRule type="cellIs" dxfId="15828" priority="1369" operator="equal">
      <formula>"PMS"</formula>
    </cfRule>
    <cfRule type="containsText" dxfId="15827" priority="1370" operator="containsText" text="CMS">
      <formula>NOT(ISERROR(SEARCH("CMS",AB14)))</formula>
    </cfRule>
    <cfRule type="cellIs" dxfId="15826" priority="1371" operator="equal">
      <formula>0</formula>
    </cfRule>
    <cfRule type="cellIs" dxfId="15825" priority="1372" operator="greaterThan">
      <formula>0</formula>
    </cfRule>
  </conditionalFormatting>
  <conditionalFormatting sqref="AB14">
    <cfRule type="cellIs" dxfId="15824" priority="1365" operator="equal">
      <formula>"PMS"</formula>
    </cfRule>
    <cfRule type="containsText" dxfId="15823" priority="1366" operator="containsText" text="CMS">
      <formula>NOT(ISERROR(SEARCH("CMS",AB14)))</formula>
    </cfRule>
    <cfRule type="cellIs" dxfId="15822" priority="1367" operator="equal">
      <formula>0</formula>
    </cfRule>
    <cfRule type="cellIs" dxfId="15821" priority="1368" operator="greaterThan">
      <formula>0</formula>
    </cfRule>
  </conditionalFormatting>
  <conditionalFormatting sqref="AB15">
    <cfRule type="cellIs" dxfId="15820" priority="1361" operator="equal">
      <formula>"PMS"</formula>
    </cfRule>
    <cfRule type="containsText" dxfId="15819" priority="1362" operator="containsText" text="CMS">
      <formula>NOT(ISERROR(SEARCH("CMS",AB15)))</formula>
    </cfRule>
    <cfRule type="cellIs" dxfId="15818" priority="1363" operator="equal">
      <formula>0</formula>
    </cfRule>
    <cfRule type="cellIs" dxfId="15817" priority="1364" operator="greaterThan">
      <formula>0</formula>
    </cfRule>
  </conditionalFormatting>
  <conditionalFormatting sqref="AB15">
    <cfRule type="cellIs" dxfId="15816" priority="1357" operator="equal">
      <formula>"PMS"</formula>
    </cfRule>
    <cfRule type="containsText" dxfId="15815" priority="1358" operator="containsText" text="CMS">
      <formula>NOT(ISERROR(SEARCH("CMS",AB15)))</formula>
    </cfRule>
    <cfRule type="cellIs" dxfId="15814" priority="1359" operator="equal">
      <formula>0</formula>
    </cfRule>
    <cfRule type="cellIs" dxfId="15813" priority="1360" operator="greaterThan">
      <formula>0</formula>
    </cfRule>
  </conditionalFormatting>
  <conditionalFormatting sqref="AB16">
    <cfRule type="cellIs" dxfId="15812" priority="1353" operator="equal">
      <formula>"PMS"</formula>
    </cfRule>
    <cfRule type="containsText" dxfId="15811" priority="1354" operator="containsText" text="CMS">
      <formula>NOT(ISERROR(SEARCH("CMS",AB16)))</formula>
    </cfRule>
    <cfRule type="cellIs" dxfId="15810" priority="1355" operator="equal">
      <formula>0</formula>
    </cfRule>
    <cfRule type="cellIs" dxfId="15809" priority="1356" operator="greaterThan">
      <formula>0</formula>
    </cfRule>
  </conditionalFormatting>
  <conditionalFormatting sqref="AB16">
    <cfRule type="cellIs" dxfId="15808" priority="1349" operator="equal">
      <formula>"PMS"</formula>
    </cfRule>
    <cfRule type="containsText" dxfId="15807" priority="1350" operator="containsText" text="CMS">
      <formula>NOT(ISERROR(SEARCH("CMS",AB16)))</formula>
    </cfRule>
    <cfRule type="cellIs" dxfId="15806" priority="1351" operator="equal">
      <formula>0</formula>
    </cfRule>
    <cfRule type="cellIs" dxfId="15805" priority="1352" operator="greaterThan">
      <formula>0</formula>
    </cfRule>
  </conditionalFormatting>
  <conditionalFormatting sqref="W14">
    <cfRule type="cellIs" dxfId="15804" priority="1345" operator="equal">
      <formula>"PMS"</formula>
    </cfRule>
    <cfRule type="containsText" dxfId="15803" priority="1346" operator="containsText" text="CMS">
      <formula>NOT(ISERROR(SEARCH("CMS",W14)))</formula>
    </cfRule>
    <cfRule type="cellIs" dxfId="15802" priority="1347" operator="equal">
      <formula>0</formula>
    </cfRule>
    <cfRule type="cellIs" dxfId="15801" priority="1348" operator="greaterThan">
      <formula>0</formula>
    </cfRule>
  </conditionalFormatting>
  <conditionalFormatting sqref="W14">
    <cfRule type="cellIs" dxfId="15800" priority="1341" operator="equal">
      <formula>"PMS"</formula>
    </cfRule>
    <cfRule type="containsText" dxfId="15799" priority="1342" operator="containsText" text="CMS">
      <formula>NOT(ISERROR(SEARCH("CMS",W14)))</formula>
    </cfRule>
    <cfRule type="cellIs" dxfId="15798" priority="1343" operator="equal">
      <formula>0</formula>
    </cfRule>
    <cfRule type="cellIs" dxfId="15797" priority="1344" operator="greaterThan">
      <formula>0</formula>
    </cfRule>
  </conditionalFormatting>
  <conditionalFormatting sqref="W15">
    <cfRule type="cellIs" dxfId="15796" priority="1337" operator="equal">
      <formula>"PMS"</formula>
    </cfRule>
    <cfRule type="containsText" dxfId="15795" priority="1338" operator="containsText" text="CMS">
      <formula>NOT(ISERROR(SEARCH("CMS",W15)))</formula>
    </cfRule>
    <cfRule type="cellIs" dxfId="15794" priority="1339" operator="equal">
      <formula>0</formula>
    </cfRule>
    <cfRule type="cellIs" dxfId="15793" priority="1340" operator="greaterThan">
      <formula>0</formula>
    </cfRule>
  </conditionalFormatting>
  <conditionalFormatting sqref="W15">
    <cfRule type="cellIs" dxfId="15792" priority="1333" operator="equal">
      <formula>"PMS"</formula>
    </cfRule>
    <cfRule type="containsText" dxfId="15791" priority="1334" operator="containsText" text="CMS">
      <formula>NOT(ISERROR(SEARCH("CMS",W15)))</formula>
    </cfRule>
    <cfRule type="cellIs" dxfId="15790" priority="1335" operator="equal">
      <formula>0</formula>
    </cfRule>
    <cfRule type="cellIs" dxfId="15789" priority="1336" operator="greaterThan">
      <formula>0</formula>
    </cfRule>
  </conditionalFormatting>
  <conditionalFormatting sqref="W16">
    <cfRule type="cellIs" dxfId="15788" priority="1329" operator="equal">
      <formula>"PMS"</formula>
    </cfRule>
    <cfRule type="containsText" dxfId="15787" priority="1330" operator="containsText" text="CMS">
      <formula>NOT(ISERROR(SEARCH("CMS",W16)))</formula>
    </cfRule>
    <cfRule type="cellIs" dxfId="15786" priority="1331" operator="equal">
      <formula>0</formula>
    </cfRule>
    <cfRule type="cellIs" dxfId="15785" priority="1332" operator="greaterThan">
      <formula>0</formula>
    </cfRule>
  </conditionalFormatting>
  <conditionalFormatting sqref="W16">
    <cfRule type="cellIs" dxfId="15784" priority="1325" operator="equal">
      <formula>"PMS"</formula>
    </cfRule>
    <cfRule type="containsText" dxfId="15783" priority="1326" operator="containsText" text="CMS">
      <formula>NOT(ISERROR(SEARCH("CMS",W16)))</formula>
    </cfRule>
    <cfRule type="cellIs" dxfId="15782" priority="1327" operator="equal">
      <formula>0</formula>
    </cfRule>
    <cfRule type="cellIs" dxfId="15781" priority="1328" operator="greaterThan">
      <formula>0</formula>
    </cfRule>
  </conditionalFormatting>
  <conditionalFormatting sqref="G56">
    <cfRule type="cellIs" dxfId="15780" priority="1317" operator="equal">
      <formula>"PMS"</formula>
    </cfRule>
    <cfRule type="containsText" dxfId="15779" priority="1318" operator="containsText" text="CMS">
      <formula>NOT(ISERROR(SEARCH("CMS",G56)))</formula>
    </cfRule>
    <cfRule type="cellIs" dxfId="15778" priority="1319" operator="equal">
      <formula>0</formula>
    </cfRule>
    <cfRule type="cellIs" dxfId="15777" priority="1320" operator="greaterThan">
      <formula>0</formula>
    </cfRule>
    <cfRule type="cellIs" dxfId="15776" priority="1321" operator="equal">
      <formula>"PMS"</formula>
    </cfRule>
    <cfRule type="containsText" dxfId="15775" priority="1322" operator="containsText" text="CMS">
      <formula>NOT(ISERROR(SEARCH("CMS",G56)))</formula>
    </cfRule>
    <cfRule type="cellIs" dxfId="15774" priority="1323" operator="equal">
      <formula>0</formula>
    </cfRule>
    <cfRule type="cellIs" dxfId="15773" priority="1324" operator="greaterThan">
      <formula>0</formula>
    </cfRule>
  </conditionalFormatting>
  <conditionalFormatting sqref="G56">
    <cfRule type="cellIs" dxfId="15772" priority="1313" operator="equal">
      <formula>"PMS"</formula>
    </cfRule>
    <cfRule type="containsText" dxfId="15771" priority="1314" operator="containsText" text="CMS">
      <formula>NOT(ISERROR(SEARCH("CMS",G56)))</formula>
    </cfRule>
    <cfRule type="cellIs" dxfId="15770" priority="1315" operator="equal">
      <formula>0</formula>
    </cfRule>
    <cfRule type="cellIs" dxfId="15769" priority="1316" operator="greaterThan">
      <formula>0</formula>
    </cfRule>
  </conditionalFormatting>
  <conditionalFormatting sqref="G56">
    <cfRule type="cellIs" dxfId="15768" priority="1309" operator="equal">
      <formula>"PMS"</formula>
    </cfRule>
    <cfRule type="containsText" dxfId="15767" priority="1310" operator="containsText" text="CMS">
      <formula>NOT(ISERROR(SEARCH("CMS",G56)))</formula>
    </cfRule>
    <cfRule type="cellIs" dxfId="15766" priority="1311" operator="equal">
      <formula>0</formula>
    </cfRule>
    <cfRule type="cellIs" dxfId="15765" priority="1312" operator="greaterThan">
      <formula>0</formula>
    </cfRule>
  </conditionalFormatting>
  <conditionalFormatting sqref="G13:G14">
    <cfRule type="cellIs" dxfId="15764" priority="1301" operator="equal">
      <formula>"PMS"</formula>
    </cfRule>
    <cfRule type="containsText" dxfId="15763" priority="1302" operator="containsText" text="CMS">
      <formula>NOT(ISERROR(SEARCH("CMS",G13)))</formula>
    </cfRule>
    <cfRule type="cellIs" dxfId="15762" priority="1303" operator="equal">
      <formula>0</formula>
    </cfRule>
    <cfRule type="cellIs" dxfId="15761" priority="1304" operator="greaterThan">
      <formula>0</formula>
    </cfRule>
    <cfRule type="cellIs" dxfId="15760" priority="1305" operator="equal">
      <formula>"PMS"</formula>
    </cfRule>
    <cfRule type="containsText" dxfId="15759" priority="1306" operator="containsText" text="CMS">
      <formula>NOT(ISERROR(SEARCH("CMS",G13)))</formula>
    </cfRule>
    <cfRule type="cellIs" dxfId="15758" priority="1307" operator="equal">
      <formula>0</formula>
    </cfRule>
    <cfRule type="cellIs" dxfId="15757" priority="1308" operator="greaterThan">
      <formula>0</formula>
    </cfRule>
  </conditionalFormatting>
  <conditionalFormatting sqref="G13:G14">
    <cfRule type="cellIs" dxfId="15756" priority="1297" operator="equal">
      <formula>"PMS"</formula>
    </cfRule>
    <cfRule type="containsText" dxfId="15755" priority="1298" operator="containsText" text="CMS">
      <formula>NOT(ISERROR(SEARCH("CMS",G13)))</formula>
    </cfRule>
    <cfRule type="cellIs" dxfId="15754" priority="1299" operator="equal">
      <formula>0</formula>
    </cfRule>
    <cfRule type="cellIs" dxfId="15753" priority="1300" operator="greaterThan">
      <formula>0</formula>
    </cfRule>
  </conditionalFormatting>
  <conditionalFormatting sqref="G13:G14">
    <cfRule type="cellIs" dxfId="15752" priority="1293" operator="equal">
      <formula>"PMS"</formula>
    </cfRule>
    <cfRule type="containsText" dxfId="15751" priority="1294" operator="containsText" text="CMS">
      <formula>NOT(ISERROR(SEARCH("CMS",G13)))</formula>
    </cfRule>
    <cfRule type="cellIs" dxfId="15750" priority="1295" operator="equal">
      <formula>0</formula>
    </cfRule>
    <cfRule type="cellIs" dxfId="15749" priority="1296" operator="greaterThan">
      <formula>0</formula>
    </cfRule>
  </conditionalFormatting>
  <conditionalFormatting sqref="G13:G14">
    <cfRule type="cellIs" dxfId="15748" priority="1289" operator="equal">
      <formula>"PMS"</formula>
    </cfRule>
    <cfRule type="containsText" dxfId="15747" priority="1290" operator="containsText" text="CMS">
      <formula>NOT(ISERROR(SEARCH("CMS",G13)))</formula>
    </cfRule>
    <cfRule type="cellIs" dxfId="15746" priority="1291" operator="equal">
      <formula>0</formula>
    </cfRule>
    <cfRule type="cellIs" dxfId="15745" priority="1292" operator="greaterThan">
      <formula>0</formula>
    </cfRule>
  </conditionalFormatting>
  <conditionalFormatting sqref="G13:G14">
    <cfRule type="cellIs" dxfId="15744" priority="1285" operator="equal">
      <formula>"PMS"</formula>
    </cfRule>
    <cfRule type="containsText" dxfId="15743" priority="1286" operator="containsText" text="CMS">
      <formula>NOT(ISERROR(SEARCH("CMS",G13)))</formula>
    </cfRule>
    <cfRule type="cellIs" dxfId="15742" priority="1287" operator="equal">
      <formula>0</formula>
    </cfRule>
    <cfRule type="cellIs" dxfId="15741" priority="1288" operator="greaterThan">
      <formula>0</formula>
    </cfRule>
  </conditionalFormatting>
  <conditionalFormatting sqref="G20">
    <cfRule type="cellIs" dxfId="15740" priority="1277" operator="equal">
      <formula>"PMS"</formula>
    </cfRule>
    <cfRule type="containsText" dxfId="15739" priority="1278" operator="containsText" text="CMS">
      <formula>NOT(ISERROR(SEARCH("CMS",G20)))</formula>
    </cfRule>
    <cfRule type="cellIs" dxfId="15738" priority="1279" operator="equal">
      <formula>0</formula>
    </cfRule>
    <cfRule type="cellIs" dxfId="15737" priority="1280" operator="greaterThan">
      <formula>0</formula>
    </cfRule>
    <cfRule type="cellIs" dxfId="15736" priority="1281" operator="equal">
      <formula>"PMS"</formula>
    </cfRule>
    <cfRule type="containsText" dxfId="15735" priority="1282" operator="containsText" text="CMS">
      <formula>NOT(ISERROR(SEARCH("CMS",G20)))</formula>
    </cfRule>
    <cfRule type="cellIs" dxfId="15734" priority="1283" operator="equal">
      <formula>0</formula>
    </cfRule>
    <cfRule type="cellIs" dxfId="15733" priority="1284" operator="greaterThan">
      <formula>0</formula>
    </cfRule>
  </conditionalFormatting>
  <conditionalFormatting sqref="G20">
    <cfRule type="cellIs" dxfId="15732" priority="1273" operator="equal">
      <formula>"PMS"</formula>
    </cfRule>
    <cfRule type="containsText" dxfId="15731" priority="1274" operator="containsText" text="CMS">
      <formula>NOT(ISERROR(SEARCH("CMS",G20)))</formula>
    </cfRule>
    <cfRule type="cellIs" dxfId="15730" priority="1275" operator="equal">
      <formula>0</formula>
    </cfRule>
    <cfRule type="cellIs" dxfId="15729" priority="1276" operator="greaterThan">
      <formula>0</formula>
    </cfRule>
  </conditionalFormatting>
  <conditionalFormatting sqref="G20">
    <cfRule type="cellIs" dxfId="15728" priority="1269" operator="equal">
      <formula>"PMS"</formula>
    </cfRule>
    <cfRule type="containsText" dxfId="15727" priority="1270" operator="containsText" text="CMS">
      <formula>NOT(ISERROR(SEARCH("CMS",G20)))</formula>
    </cfRule>
    <cfRule type="cellIs" dxfId="15726" priority="1271" operator="equal">
      <formula>0</formula>
    </cfRule>
    <cfRule type="cellIs" dxfId="15725" priority="1272" operator="greaterThan">
      <formula>0</formula>
    </cfRule>
  </conditionalFormatting>
  <conditionalFormatting sqref="G27:G29 J29 M29 P29 S29 V29 AB29">
    <cfRule type="cellIs" dxfId="15724" priority="1261" operator="equal">
      <formula>"PMS"</formula>
    </cfRule>
    <cfRule type="containsText" dxfId="15723" priority="1262" operator="containsText" text="CMS">
      <formula>NOT(ISERROR(SEARCH("CMS",G27)))</formula>
    </cfRule>
    <cfRule type="cellIs" dxfId="15722" priority="1263" operator="equal">
      <formula>0</formula>
    </cfRule>
    <cfRule type="cellIs" dxfId="15721" priority="1264" operator="greaterThan">
      <formula>0</formula>
    </cfRule>
    <cfRule type="cellIs" dxfId="15720" priority="1265" operator="equal">
      <formula>"PMS"</formula>
    </cfRule>
    <cfRule type="containsText" dxfId="15719" priority="1266" operator="containsText" text="CMS">
      <formula>NOT(ISERROR(SEARCH("CMS",G27)))</formula>
    </cfRule>
    <cfRule type="cellIs" dxfId="15718" priority="1267" operator="equal">
      <formula>0</formula>
    </cfRule>
    <cfRule type="cellIs" dxfId="15717" priority="1268" operator="greaterThan">
      <formula>0</formula>
    </cfRule>
  </conditionalFormatting>
  <conditionalFormatting sqref="G27:G29 J29 M29 P29 S29 V29 AB29">
    <cfRule type="cellIs" dxfId="15716" priority="1257" operator="equal">
      <formula>"PMS"</formula>
    </cfRule>
    <cfRule type="containsText" dxfId="15715" priority="1258" operator="containsText" text="CMS">
      <formula>NOT(ISERROR(SEARCH("CMS",G27)))</formula>
    </cfRule>
    <cfRule type="cellIs" dxfId="15714" priority="1259" operator="equal">
      <formula>0</formula>
    </cfRule>
    <cfRule type="cellIs" dxfId="15713" priority="1260" operator="greaterThan">
      <formula>0</formula>
    </cfRule>
  </conditionalFormatting>
  <conditionalFormatting sqref="G27:G29 J29 M29 P29 S29 V29 AB29">
    <cfRule type="cellIs" dxfId="15712" priority="1253" operator="equal">
      <formula>"PMS"</formula>
    </cfRule>
    <cfRule type="containsText" dxfId="15711" priority="1254" operator="containsText" text="CMS">
      <formula>NOT(ISERROR(SEARCH("CMS",G27)))</formula>
    </cfRule>
    <cfRule type="cellIs" dxfId="15710" priority="1255" operator="equal">
      <formula>0</formula>
    </cfRule>
    <cfRule type="cellIs" dxfId="15709" priority="1256" operator="greaterThan">
      <formula>0</formula>
    </cfRule>
  </conditionalFormatting>
  <conditionalFormatting sqref="G45:G46">
    <cfRule type="cellIs" dxfId="15708" priority="1245" operator="equal">
      <formula>"PMS"</formula>
    </cfRule>
    <cfRule type="containsText" dxfId="15707" priority="1246" operator="containsText" text="CMS">
      <formula>NOT(ISERROR(SEARCH("CMS",G45)))</formula>
    </cfRule>
    <cfRule type="cellIs" dxfId="15706" priority="1247" operator="equal">
      <formula>0</formula>
    </cfRule>
    <cfRule type="cellIs" dxfId="15705" priority="1248" operator="greaterThan">
      <formula>0</formula>
    </cfRule>
    <cfRule type="cellIs" dxfId="15704" priority="1249" operator="equal">
      <formula>"PMS"</formula>
    </cfRule>
    <cfRule type="containsText" dxfId="15703" priority="1250" operator="containsText" text="CMS">
      <formula>NOT(ISERROR(SEARCH("CMS",G45)))</formula>
    </cfRule>
    <cfRule type="cellIs" dxfId="15702" priority="1251" operator="equal">
      <formula>0</formula>
    </cfRule>
    <cfRule type="cellIs" dxfId="15701" priority="1252" operator="greaterThan">
      <formula>0</formula>
    </cfRule>
  </conditionalFormatting>
  <conditionalFormatting sqref="G45:G46">
    <cfRule type="cellIs" dxfId="15700" priority="1241" operator="equal">
      <formula>"PMS"</formula>
    </cfRule>
    <cfRule type="containsText" dxfId="15699" priority="1242" operator="containsText" text="CMS">
      <formula>NOT(ISERROR(SEARCH("CMS",G45)))</formula>
    </cfRule>
    <cfRule type="cellIs" dxfId="15698" priority="1243" operator="equal">
      <formula>0</formula>
    </cfRule>
    <cfRule type="cellIs" dxfId="15697" priority="1244" operator="greaterThan">
      <formula>0</formula>
    </cfRule>
  </conditionalFormatting>
  <conditionalFormatting sqref="G45:G46">
    <cfRule type="cellIs" dxfId="15696" priority="1237" operator="equal">
      <formula>"PMS"</formula>
    </cfRule>
    <cfRule type="containsText" dxfId="15695" priority="1238" operator="containsText" text="CMS">
      <formula>NOT(ISERROR(SEARCH("CMS",G45)))</formula>
    </cfRule>
    <cfRule type="cellIs" dxfId="15694" priority="1239" operator="equal">
      <formula>0</formula>
    </cfRule>
    <cfRule type="cellIs" dxfId="15693" priority="1240" operator="greaterThan">
      <formula>0</formula>
    </cfRule>
  </conditionalFormatting>
  <conditionalFormatting sqref="O48">
    <cfRule type="cellIs" dxfId="15692" priority="1225" operator="equal">
      <formula>"PMS"</formula>
    </cfRule>
    <cfRule type="containsText" dxfId="15691" priority="1226" operator="containsText" text="CMS">
      <formula>NOT(ISERROR(SEARCH("CMS",O48)))</formula>
    </cfRule>
    <cfRule type="cellIs" dxfId="15690" priority="1227" operator="equal">
      <formula>0</formula>
    </cfRule>
    <cfRule type="cellIs" dxfId="15689" priority="1228" operator="greaterThan">
      <formula>0</formula>
    </cfRule>
  </conditionalFormatting>
  <conditionalFormatting sqref="O48">
    <cfRule type="cellIs" dxfId="15688" priority="1221" operator="equal">
      <formula>"PMS"</formula>
    </cfRule>
    <cfRule type="containsText" dxfId="15687" priority="1222" operator="containsText" text="CMS">
      <formula>NOT(ISERROR(SEARCH("CMS",O48)))</formula>
    </cfRule>
    <cfRule type="cellIs" dxfId="15686" priority="1223" operator="equal">
      <formula>0</formula>
    </cfRule>
    <cfRule type="cellIs" dxfId="15685" priority="1224" operator="greaterThan">
      <formula>0</formula>
    </cfRule>
  </conditionalFormatting>
  <conditionalFormatting sqref="O48">
    <cfRule type="cellIs" dxfId="15684" priority="1217" operator="equal">
      <formula>"PMS"</formula>
    </cfRule>
    <cfRule type="containsText" dxfId="15683" priority="1218" operator="containsText" text="CMS">
      <formula>NOT(ISERROR(SEARCH("CMS",O48)))</formula>
    </cfRule>
    <cfRule type="cellIs" dxfId="15682" priority="1219" operator="equal">
      <formula>0</formula>
    </cfRule>
    <cfRule type="cellIs" dxfId="15681" priority="1220" operator="greaterThan">
      <formula>0</formula>
    </cfRule>
  </conditionalFormatting>
  <conditionalFormatting sqref="O48">
    <cfRule type="cellIs" dxfId="15680" priority="1213" operator="equal">
      <formula>"PMS"</formula>
    </cfRule>
    <cfRule type="containsText" dxfId="15679" priority="1214" operator="containsText" text="CMS">
      <formula>NOT(ISERROR(SEARCH("CMS",O48)))</formula>
    </cfRule>
    <cfRule type="cellIs" dxfId="15678" priority="1215" operator="equal">
      <formula>0</formula>
    </cfRule>
    <cfRule type="cellIs" dxfId="15677" priority="1216" operator="greaterThan">
      <formula>0</formula>
    </cfRule>
  </conditionalFormatting>
  <conditionalFormatting sqref="O56:P56">
    <cfRule type="cellIs" dxfId="15676" priority="1209" operator="equal">
      <formula>"PMS"</formula>
    </cfRule>
    <cfRule type="containsText" dxfId="15675" priority="1210" operator="containsText" text="CMS">
      <formula>NOT(ISERROR(SEARCH("CMS",O56)))</formula>
    </cfRule>
    <cfRule type="cellIs" dxfId="15674" priority="1211" operator="equal">
      <formula>0</formula>
    </cfRule>
    <cfRule type="cellIs" dxfId="15673" priority="1212" operator="greaterThan">
      <formula>0</formula>
    </cfRule>
  </conditionalFormatting>
  <conditionalFormatting sqref="O56:P56">
    <cfRule type="cellIs" dxfId="15672" priority="1205" operator="equal">
      <formula>"PMS"</formula>
    </cfRule>
    <cfRule type="containsText" dxfId="15671" priority="1206" operator="containsText" text="CMS">
      <formula>NOT(ISERROR(SEARCH("CMS",O56)))</formula>
    </cfRule>
    <cfRule type="cellIs" dxfId="15670" priority="1207" operator="equal">
      <formula>0</formula>
    </cfRule>
    <cfRule type="cellIs" dxfId="15669" priority="1208" operator="greaterThan">
      <formula>0</formula>
    </cfRule>
  </conditionalFormatting>
  <conditionalFormatting sqref="O56:P56">
    <cfRule type="cellIs" dxfId="15668" priority="1201" operator="equal">
      <formula>"PMS"</formula>
    </cfRule>
    <cfRule type="containsText" dxfId="15667" priority="1202" operator="containsText" text="CMS">
      <formula>NOT(ISERROR(SEARCH("CMS",O56)))</formula>
    </cfRule>
    <cfRule type="cellIs" dxfId="15666" priority="1203" operator="equal">
      <formula>0</formula>
    </cfRule>
    <cfRule type="cellIs" dxfId="15665" priority="1204" operator="greaterThan">
      <formula>0</formula>
    </cfRule>
  </conditionalFormatting>
  <conditionalFormatting sqref="O56:P56">
    <cfRule type="cellIs" dxfId="15664" priority="1197" operator="equal">
      <formula>"PMS"</formula>
    </cfRule>
    <cfRule type="containsText" dxfId="15663" priority="1198" operator="containsText" text="CMS">
      <formula>NOT(ISERROR(SEARCH("CMS",O56)))</formula>
    </cfRule>
    <cfRule type="cellIs" dxfId="15662" priority="1199" operator="equal">
      <formula>0</formula>
    </cfRule>
    <cfRule type="cellIs" dxfId="15661" priority="1200" operator="greaterThan">
      <formula>0</formula>
    </cfRule>
  </conditionalFormatting>
  <conditionalFormatting sqref="O57:P57">
    <cfRule type="cellIs" dxfId="15660" priority="1193" operator="equal">
      <formula>"PMS"</formula>
    </cfRule>
    <cfRule type="containsText" dxfId="15659" priority="1194" operator="containsText" text="CMS">
      <formula>NOT(ISERROR(SEARCH("CMS",O57)))</formula>
    </cfRule>
    <cfRule type="cellIs" dxfId="15658" priority="1195" operator="equal">
      <formula>0</formula>
    </cfRule>
    <cfRule type="cellIs" dxfId="15657" priority="1196" operator="greaterThan">
      <formula>0</formula>
    </cfRule>
  </conditionalFormatting>
  <conditionalFormatting sqref="O57:P57">
    <cfRule type="cellIs" dxfId="15656" priority="1189" operator="equal">
      <formula>"PMS"</formula>
    </cfRule>
    <cfRule type="containsText" dxfId="15655" priority="1190" operator="containsText" text="CMS">
      <formula>NOT(ISERROR(SEARCH("CMS",O57)))</formula>
    </cfRule>
    <cfRule type="cellIs" dxfId="15654" priority="1191" operator="equal">
      <formula>0</formula>
    </cfRule>
    <cfRule type="cellIs" dxfId="15653" priority="1192" operator="greaterThan">
      <formula>0</formula>
    </cfRule>
  </conditionalFormatting>
  <conditionalFormatting sqref="O57:P57">
    <cfRule type="cellIs" dxfId="15652" priority="1185" operator="equal">
      <formula>"PMS"</formula>
    </cfRule>
    <cfRule type="containsText" dxfId="15651" priority="1186" operator="containsText" text="CMS">
      <formula>NOT(ISERROR(SEARCH("CMS",O57)))</formula>
    </cfRule>
    <cfRule type="cellIs" dxfId="15650" priority="1187" operator="equal">
      <formula>0</formula>
    </cfRule>
    <cfRule type="cellIs" dxfId="15649" priority="1188" operator="greaterThan">
      <formula>0</formula>
    </cfRule>
  </conditionalFormatting>
  <conditionalFormatting sqref="O57:P57">
    <cfRule type="cellIs" dxfId="15648" priority="1181" operator="equal">
      <formula>"PMS"</formula>
    </cfRule>
    <cfRule type="containsText" dxfId="15647" priority="1182" operator="containsText" text="CMS">
      <formula>NOT(ISERROR(SEARCH("CMS",O57)))</formula>
    </cfRule>
    <cfRule type="cellIs" dxfId="15646" priority="1183" operator="equal">
      <formula>0</formula>
    </cfRule>
    <cfRule type="cellIs" dxfId="15645" priority="1184" operator="greaterThan">
      <formula>0</formula>
    </cfRule>
  </conditionalFormatting>
  <conditionalFormatting sqref="G48:G49">
    <cfRule type="cellIs" dxfId="15644" priority="1173" operator="equal">
      <formula>"PMS"</formula>
    </cfRule>
    <cfRule type="containsText" dxfId="15643" priority="1174" operator="containsText" text="CMS">
      <formula>NOT(ISERROR(SEARCH("CMS",G48)))</formula>
    </cfRule>
    <cfRule type="cellIs" dxfId="15642" priority="1175" operator="equal">
      <formula>0</formula>
    </cfRule>
    <cfRule type="cellIs" dxfId="15641" priority="1176" operator="greaterThan">
      <formula>0</formula>
    </cfRule>
    <cfRule type="cellIs" dxfId="15640" priority="1177" operator="equal">
      <formula>"PMS"</formula>
    </cfRule>
    <cfRule type="containsText" dxfId="15639" priority="1178" operator="containsText" text="CMS">
      <formula>NOT(ISERROR(SEARCH("CMS",G48)))</formula>
    </cfRule>
    <cfRule type="cellIs" dxfId="15638" priority="1179" operator="equal">
      <formula>0</formula>
    </cfRule>
    <cfRule type="cellIs" dxfId="15637" priority="1180" operator="greaterThan">
      <formula>0</formula>
    </cfRule>
  </conditionalFormatting>
  <conditionalFormatting sqref="G48:G49">
    <cfRule type="cellIs" dxfId="15636" priority="1169" operator="equal">
      <formula>"PMS"</formula>
    </cfRule>
    <cfRule type="containsText" dxfId="15635" priority="1170" operator="containsText" text="CMS">
      <formula>NOT(ISERROR(SEARCH("CMS",G48)))</formula>
    </cfRule>
    <cfRule type="cellIs" dxfId="15634" priority="1171" operator="equal">
      <formula>0</formula>
    </cfRule>
    <cfRule type="cellIs" dxfId="15633" priority="1172" operator="greaterThan">
      <formula>0</formula>
    </cfRule>
  </conditionalFormatting>
  <conditionalFormatting sqref="G48:G49">
    <cfRule type="cellIs" dxfId="15632" priority="1165" operator="equal">
      <formula>"PMS"</formula>
    </cfRule>
    <cfRule type="containsText" dxfId="15631" priority="1166" operator="containsText" text="CMS">
      <formula>NOT(ISERROR(SEARCH("CMS",G48)))</formula>
    </cfRule>
    <cfRule type="cellIs" dxfId="15630" priority="1167" operator="equal">
      <formula>0</formula>
    </cfRule>
    <cfRule type="cellIs" dxfId="15629" priority="1168" operator="greaterThan">
      <formula>0</formula>
    </cfRule>
  </conditionalFormatting>
  <conditionalFormatting sqref="G66:G72 G74">
    <cfRule type="cellIs" dxfId="15628" priority="1157" operator="equal">
      <formula>"PMS"</formula>
    </cfRule>
    <cfRule type="containsText" dxfId="15627" priority="1158" operator="containsText" text="CMS">
      <formula>NOT(ISERROR(SEARCH("CMS",G66)))</formula>
    </cfRule>
    <cfRule type="cellIs" dxfId="15626" priority="1159" operator="equal">
      <formula>0</formula>
    </cfRule>
    <cfRule type="cellIs" dxfId="15625" priority="1160" operator="greaterThan">
      <formula>0</formula>
    </cfRule>
    <cfRule type="cellIs" dxfId="15624" priority="1161" operator="equal">
      <formula>"PMS"</formula>
    </cfRule>
    <cfRule type="containsText" dxfId="15623" priority="1162" operator="containsText" text="CMS">
      <formula>NOT(ISERROR(SEARCH("CMS",G66)))</formula>
    </cfRule>
    <cfRule type="cellIs" dxfId="15622" priority="1163" operator="equal">
      <formula>0</formula>
    </cfRule>
    <cfRule type="cellIs" dxfId="15621" priority="1164" operator="greaterThan">
      <formula>0</formula>
    </cfRule>
  </conditionalFormatting>
  <conditionalFormatting sqref="P56 O52:O58">
    <cfRule type="cellIs" dxfId="15620" priority="1153" operator="equal">
      <formula>"PMS"</formula>
    </cfRule>
    <cfRule type="containsText" dxfId="15619" priority="1154" operator="containsText" text="CMS">
      <formula>NOT(ISERROR(SEARCH("CMS",O52)))</formula>
    </cfRule>
    <cfRule type="cellIs" dxfId="15618" priority="1155" operator="equal">
      <formula>0</formula>
    </cfRule>
    <cfRule type="cellIs" dxfId="15617" priority="1156" operator="greaterThan">
      <formula>0</formula>
    </cfRule>
  </conditionalFormatting>
  <conditionalFormatting sqref="G35 I24 I35 J73 G73">
    <cfRule type="cellIs" dxfId="15616" priority="1145" operator="equal">
      <formula>"PMS"</formula>
    </cfRule>
    <cfRule type="containsText" dxfId="15615" priority="1146" operator="containsText" text="CMS">
      <formula>NOT(ISERROR(SEARCH("CMS",G24)))</formula>
    </cfRule>
    <cfRule type="cellIs" dxfId="15614" priority="1147" operator="equal">
      <formula>0</formula>
    </cfRule>
    <cfRule type="cellIs" dxfId="15613" priority="1148" operator="greaterThan">
      <formula>0</formula>
    </cfRule>
    <cfRule type="cellIs" dxfId="15612" priority="1149" operator="equal">
      <formula>"PMS"</formula>
    </cfRule>
    <cfRule type="containsText" dxfId="15611" priority="1150" operator="containsText" text="CMS">
      <formula>NOT(ISERROR(SEARCH("CMS",G24)))</formula>
    </cfRule>
    <cfRule type="cellIs" dxfId="15610" priority="1151" operator="equal">
      <formula>0</formula>
    </cfRule>
    <cfRule type="cellIs" dxfId="15609" priority="1152" operator="greaterThan">
      <formula>0</formula>
    </cfRule>
  </conditionalFormatting>
  <conditionalFormatting sqref="J73 G73">
    <cfRule type="cellIs" dxfId="15608" priority="1141" operator="equal">
      <formula>"PMS"</formula>
    </cfRule>
    <cfRule type="containsText" dxfId="15607" priority="1142" operator="containsText" text="CMS">
      <formula>NOT(ISERROR(SEARCH("CMS",G73)))</formula>
    </cfRule>
    <cfRule type="cellIs" dxfId="15606" priority="1143" operator="equal">
      <formula>0</formula>
    </cfRule>
    <cfRule type="cellIs" dxfId="15605" priority="1144" operator="greaterThan">
      <formula>0</formula>
    </cfRule>
  </conditionalFormatting>
  <conditionalFormatting sqref="J73 G73">
    <cfRule type="cellIs" dxfId="15604" priority="1137" operator="equal">
      <formula>"PMS"</formula>
    </cfRule>
    <cfRule type="containsText" dxfId="15603" priority="1138" operator="containsText" text="CMS">
      <formula>NOT(ISERROR(SEARCH("CMS",G73)))</formula>
    </cfRule>
    <cfRule type="cellIs" dxfId="15602" priority="1139" operator="equal">
      <formula>0</formula>
    </cfRule>
    <cfRule type="cellIs" dxfId="15601" priority="1140" operator="greaterThan">
      <formula>0</formula>
    </cfRule>
  </conditionalFormatting>
  <conditionalFormatting sqref="I24">
    <cfRule type="cellIs" dxfId="15600" priority="1133" operator="equal">
      <formula>"PMS"</formula>
    </cfRule>
    <cfRule type="containsText" dxfId="15599" priority="1134" operator="containsText" text="CMS">
      <formula>NOT(ISERROR(SEARCH("CMS",I24)))</formula>
    </cfRule>
    <cfRule type="cellIs" dxfId="15598" priority="1135" operator="equal">
      <formula>0</formula>
    </cfRule>
    <cfRule type="cellIs" dxfId="15597" priority="1136" operator="greaterThan">
      <formula>0</formula>
    </cfRule>
  </conditionalFormatting>
  <conditionalFormatting sqref="I24">
    <cfRule type="cellIs" dxfId="15596" priority="1129" operator="equal">
      <formula>"PMS"</formula>
    </cfRule>
    <cfRule type="containsText" dxfId="15595" priority="1130" operator="containsText" text="CMS">
      <formula>NOT(ISERROR(SEARCH("CMS",I24)))</formula>
    </cfRule>
    <cfRule type="cellIs" dxfId="15594" priority="1131" operator="equal">
      <formula>0</formula>
    </cfRule>
    <cfRule type="cellIs" dxfId="15593" priority="1132" operator="greaterThan">
      <formula>0</formula>
    </cfRule>
  </conditionalFormatting>
  <conditionalFormatting sqref="G35 I35">
    <cfRule type="cellIs" dxfId="15592" priority="1125" operator="equal">
      <formula>"PMS"</formula>
    </cfRule>
    <cfRule type="containsText" dxfId="15591" priority="1126" operator="containsText" text="CMS">
      <formula>NOT(ISERROR(SEARCH("CMS",G35)))</formula>
    </cfRule>
    <cfRule type="cellIs" dxfId="15590" priority="1127" operator="equal">
      <formula>0</formula>
    </cfRule>
    <cfRule type="cellIs" dxfId="15589" priority="1128" operator="greaterThan">
      <formula>0</formula>
    </cfRule>
  </conditionalFormatting>
  <conditionalFormatting sqref="G35 I35">
    <cfRule type="cellIs" dxfId="15588" priority="1121" operator="equal">
      <formula>"PMS"</formula>
    </cfRule>
    <cfRule type="containsText" dxfId="15587" priority="1122" operator="containsText" text="CMS">
      <formula>NOT(ISERROR(SEARCH("CMS",G35)))</formula>
    </cfRule>
    <cfRule type="cellIs" dxfId="15586" priority="1123" operator="equal">
      <formula>0</formula>
    </cfRule>
    <cfRule type="cellIs" dxfId="15585" priority="1124" operator="greaterThan">
      <formula>0</formula>
    </cfRule>
  </conditionalFormatting>
  <conditionalFormatting sqref="G19">
    <cfRule type="cellIs" dxfId="15584" priority="1113" operator="equal">
      <formula>"PMS"</formula>
    </cfRule>
    <cfRule type="containsText" dxfId="15583" priority="1114" operator="containsText" text="CMS">
      <formula>NOT(ISERROR(SEARCH("CMS",G19)))</formula>
    </cfRule>
    <cfRule type="cellIs" dxfId="15582" priority="1115" operator="equal">
      <formula>0</formula>
    </cfRule>
    <cfRule type="cellIs" dxfId="15581" priority="1116" operator="greaterThan">
      <formula>0</formula>
    </cfRule>
    <cfRule type="cellIs" dxfId="15580" priority="1117" operator="equal">
      <formula>"PMS"</formula>
    </cfRule>
    <cfRule type="containsText" dxfId="15579" priority="1118" operator="containsText" text="CMS">
      <formula>NOT(ISERROR(SEARCH("CMS",G19)))</formula>
    </cfRule>
    <cfRule type="cellIs" dxfId="15578" priority="1119" operator="equal">
      <formula>0</formula>
    </cfRule>
    <cfRule type="cellIs" dxfId="15577" priority="1120" operator="greaterThan">
      <formula>0</formula>
    </cfRule>
  </conditionalFormatting>
  <conditionalFormatting sqref="G19">
    <cfRule type="cellIs" dxfId="15576" priority="1109" operator="equal">
      <formula>"PMS"</formula>
    </cfRule>
    <cfRule type="containsText" dxfId="15575" priority="1110" operator="containsText" text="CMS">
      <formula>NOT(ISERROR(SEARCH("CMS",G19)))</formula>
    </cfRule>
    <cfRule type="cellIs" dxfId="15574" priority="1111" operator="equal">
      <formula>0</formula>
    </cfRule>
    <cfRule type="cellIs" dxfId="15573" priority="1112" operator="greaterThan">
      <formula>0</formula>
    </cfRule>
  </conditionalFormatting>
  <conditionalFormatting sqref="G19">
    <cfRule type="cellIs" dxfId="15572" priority="1105" operator="equal">
      <formula>"PMS"</formula>
    </cfRule>
    <cfRule type="containsText" dxfId="15571" priority="1106" operator="containsText" text="CMS">
      <formula>NOT(ISERROR(SEARCH("CMS",G19)))</formula>
    </cfRule>
    <cfRule type="cellIs" dxfId="15570" priority="1107" operator="equal">
      <formula>0</formula>
    </cfRule>
    <cfRule type="cellIs" dxfId="15569" priority="1108" operator="greaterThan">
      <formula>0</formula>
    </cfRule>
  </conditionalFormatting>
  <conditionalFormatting sqref="O52:O55">
    <cfRule type="cellIs" dxfId="15568" priority="1101" operator="equal">
      <formula>"PMS"</formula>
    </cfRule>
    <cfRule type="containsText" dxfId="15567" priority="1102" operator="containsText" text="CMS">
      <formula>NOT(ISERROR(SEARCH("CMS",O52)))</formula>
    </cfRule>
    <cfRule type="cellIs" dxfId="15566" priority="1103" operator="equal">
      <formula>0</formula>
    </cfRule>
    <cfRule type="cellIs" dxfId="15565" priority="1104" operator="greaterThan">
      <formula>0</formula>
    </cfRule>
  </conditionalFormatting>
  <conditionalFormatting sqref="K61 K63">
    <cfRule type="cellIs" dxfId="15564" priority="1093" operator="equal">
      <formula>"PMS"</formula>
    </cfRule>
    <cfRule type="containsText" dxfId="15563" priority="1094" operator="containsText" text="CMS">
      <formula>NOT(ISERROR(SEARCH("CMS",K61)))</formula>
    </cfRule>
    <cfRule type="cellIs" dxfId="15562" priority="1095" operator="equal">
      <formula>0</formula>
    </cfRule>
    <cfRule type="cellIs" dxfId="15561" priority="1096" operator="greaterThan">
      <formula>0</formula>
    </cfRule>
    <cfRule type="cellIs" dxfId="15560" priority="1097" operator="equal">
      <formula>"PMS"</formula>
    </cfRule>
    <cfRule type="containsText" dxfId="15559" priority="1098" operator="containsText" text="CMS">
      <formula>NOT(ISERROR(SEARCH("CMS",K61)))</formula>
    </cfRule>
    <cfRule type="cellIs" dxfId="15558" priority="1099" operator="equal">
      <formula>0</formula>
    </cfRule>
    <cfRule type="cellIs" dxfId="15557" priority="1100" operator="greaterThan">
      <formula>0</formula>
    </cfRule>
  </conditionalFormatting>
  <conditionalFormatting sqref="O47:P47">
    <cfRule type="cellIs" dxfId="15556" priority="1089" operator="equal">
      <formula>"PMS"</formula>
    </cfRule>
    <cfRule type="containsText" dxfId="15555" priority="1090" operator="containsText" text="CMS">
      <formula>NOT(ISERROR(SEARCH("CMS",O47)))</formula>
    </cfRule>
    <cfRule type="cellIs" dxfId="15554" priority="1091" operator="equal">
      <formula>0</formula>
    </cfRule>
    <cfRule type="cellIs" dxfId="15553" priority="1092" operator="greaterThan">
      <formula>0</formula>
    </cfRule>
  </conditionalFormatting>
  <conditionalFormatting sqref="O16:P16">
    <cfRule type="cellIs" dxfId="15552" priority="1085" operator="equal">
      <formula>"PMS"</formula>
    </cfRule>
    <cfRule type="containsText" dxfId="15551" priority="1086" operator="containsText" text="CMS">
      <formula>NOT(ISERROR(SEARCH("CMS",O16)))</formula>
    </cfRule>
    <cfRule type="cellIs" dxfId="15550" priority="1087" operator="equal">
      <formula>0</formula>
    </cfRule>
    <cfRule type="cellIs" dxfId="15549" priority="1088" operator="greaterThan">
      <formula>0</formula>
    </cfRule>
  </conditionalFormatting>
  <conditionalFormatting sqref="P57">
    <cfRule type="cellIs" dxfId="15548" priority="1081" operator="equal">
      <formula>"PMS"</formula>
    </cfRule>
    <cfRule type="containsText" dxfId="15547" priority="1082" operator="containsText" text="CMS">
      <formula>NOT(ISERROR(SEARCH("CMS",P57)))</formula>
    </cfRule>
    <cfRule type="cellIs" dxfId="15546" priority="1083" operator="equal">
      <formula>0</formula>
    </cfRule>
    <cfRule type="cellIs" dxfId="15545" priority="1084" operator="greaterThan">
      <formula>0</formula>
    </cfRule>
  </conditionalFormatting>
  <conditionalFormatting sqref="P57">
    <cfRule type="cellIs" dxfId="15544" priority="1077" operator="equal">
      <formula>"PMS"</formula>
    </cfRule>
    <cfRule type="containsText" dxfId="15543" priority="1078" operator="containsText" text="CMS">
      <formula>NOT(ISERROR(SEARCH("CMS",P57)))</formula>
    </cfRule>
    <cfRule type="cellIs" dxfId="15542" priority="1079" operator="equal">
      <formula>0</formula>
    </cfRule>
    <cfRule type="cellIs" dxfId="15541" priority="1080" operator="greaterThan">
      <formula>0</formula>
    </cfRule>
  </conditionalFormatting>
  <conditionalFormatting sqref="P57">
    <cfRule type="cellIs" dxfId="15540" priority="1073" operator="equal">
      <formula>"PMS"</formula>
    </cfRule>
    <cfRule type="containsText" dxfId="15539" priority="1074" operator="containsText" text="CMS">
      <formula>NOT(ISERROR(SEARCH("CMS",P57)))</formula>
    </cfRule>
    <cfRule type="cellIs" dxfId="15538" priority="1075" operator="equal">
      <formula>0</formula>
    </cfRule>
    <cfRule type="cellIs" dxfId="15537" priority="1076" operator="greaterThan">
      <formula>0</formula>
    </cfRule>
  </conditionalFormatting>
  <conditionalFormatting sqref="P57:P58">
    <cfRule type="cellIs" dxfId="15536" priority="1069" operator="equal">
      <formula>"PMS"</formula>
    </cfRule>
    <cfRule type="containsText" dxfId="15535" priority="1070" operator="containsText" text="CMS">
      <formula>NOT(ISERROR(SEARCH("CMS",P57)))</formula>
    </cfRule>
    <cfRule type="cellIs" dxfId="15534" priority="1071" operator="equal">
      <formula>0</formula>
    </cfRule>
    <cfRule type="cellIs" dxfId="15533" priority="1072" operator="greaterThan">
      <formula>0</formula>
    </cfRule>
  </conditionalFormatting>
  <conditionalFormatting sqref="AB24">
    <cfRule type="cellIs" dxfId="15532" priority="1065" operator="equal">
      <formula>"PMS"</formula>
    </cfRule>
    <cfRule type="containsText" dxfId="15531" priority="1066" operator="containsText" text="CMS">
      <formula>NOT(ISERROR(SEARCH("CMS",AB24)))</formula>
    </cfRule>
    <cfRule type="cellIs" dxfId="15530" priority="1067" operator="equal">
      <formula>0</formula>
    </cfRule>
    <cfRule type="cellIs" dxfId="15529" priority="1068" operator="greaterThan">
      <formula>0</formula>
    </cfRule>
  </conditionalFormatting>
  <conditionalFormatting sqref="AB24">
    <cfRule type="cellIs" dxfId="15528" priority="1061" operator="equal">
      <formula>"PMS"</formula>
    </cfRule>
    <cfRule type="containsText" dxfId="15527" priority="1062" operator="containsText" text="CMS">
      <formula>NOT(ISERROR(SEARCH("CMS",AB24)))</formula>
    </cfRule>
    <cfRule type="cellIs" dxfId="15526" priority="1063" operator="equal">
      <formula>0</formula>
    </cfRule>
    <cfRule type="cellIs" dxfId="15525" priority="1064" operator="greaterThan">
      <formula>0</formula>
    </cfRule>
  </conditionalFormatting>
  <conditionalFormatting sqref="L29 O29 R29 AA29 X29:Y29 T29:U29">
    <cfRule type="cellIs" dxfId="15524" priority="1053" operator="equal">
      <formula>"PMS"</formula>
    </cfRule>
    <cfRule type="containsText" dxfId="15523" priority="1054" operator="containsText" text="CMS">
      <formula>NOT(ISERROR(SEARCH("CMS",L29)))</formula>
    </cfRule>
    <cfRule type="cellIs" dxfId="15522" priority="1055" operator="equal">
      <formula>0</formula>
    </cfRule>
    <cfRule type="cellIs" dxfId="15521" priority="1056" operator="greaterThan">
      <formula>0</formula>
    </cfRule>
    <cfRule type="cellIs" dxfId="15520" priority="1057" operator="equal">
      <formula>"PMS"</formula>
    </cfRule>
    <cfRule type="containsText" dxfId="15519" priority="1058" operator="containsText" text="CMS">
      <formula>NOT(ISERROR(SEARCH("CMS",L29)))</formula>
    </cfRule>
    <cfRule type="cellIs" dxfId="15518" priority="1059" operator="equal">
      <formula>0</formula>
    </cfRule>
    <cfRule type="cellIs" dxfId="15517" priority="1060" operator="greaterThan">
      <formula>0</formula>
    </cfRule>
  </conditionalFormatting>
  <conditionalFormatting sqref="L29 O29 R29 AA29 X29:Y29 T29:U29">
    <cfRule type="cellIs" dxfId="15516" priority="1049" operator="equal">
      <formula>"PMS"</formula>
    </cfRule>
    <cfRule type="containsText" dxfId="15515" priority="1050" operator="containsText" text="CMS">
      <formula>NOT(ISERROR(SEARCH("CMS",L29)))</formula>
    </cfRule>
    <cfRule type="cellIs" dxfId="15514" priority="1051" operator="equal">
      <formula>0</formula>
    </cfRule>
    <cfRule type="cellIs" dxfId="15513" priority="1052" operator="greaterThan">
      <formula>0</formula>
    </cfRule>
  </conditionalFormatting>
  <conditionalFormatting sqref="L29 O29 R29 AA29 X29:Y29 T29:U29">
    <cfRule type="cellIs" dxfId="15512" priority="1045" operator="equal">
      <formula>"PMS"</formula>
    </cfRule>
    <cfRule type="containsText" dxfId="15511" priority="1046" operator="containsText" text="CMS">
      <formula>NOT(ISERROR(SEARCH("CMS",L29)))</formula>
    </cfRule>
    <cfRule type="cellIs" dxfId="15510" priority="1047" operator="equal">
      <formula>0</formula>
    </cfRule>
    <cfRule type="cellIs" dxfId="15509" priority="1048" operator="greaterThan">
      <formula>0</formula>
    </cfRule>
  </conditionalFormatting>
  <conditionalFormatting sqref="K29 N29 Q29 W29 Z29 AC29">
    <cfRule type="cellIs" dxfId="15508" priority="1037" operator="equal">
      <formula>"PMS"</formula>
    </cfRule>
    <cfRule type="containsText" dxfId="15507" priority="1038" operator="containsText" text="CMS">
      <formula>NOT(ISERROR(SEARCH("CMS",K29)))</formula>
    </cfRule>
    <cfRule type="cellIs" dxfId="15506" priority="1039" operator="equal">
      <formula>0</formula>
    </cfRule>
    <cfRule type="cellIs" dxfId="15505" priority="1040" operator="greaterThan">
      <formula>0</formula>
    </cfRule>
    <cfRule type="cellIs" dxfId="15504" priority="1041" operator="equal">
      <formula>"PMS"</formula>
    </cfRule>
    <cfRule type="containsText" dxfId="15503" priority="1042" operator="containsText" text="CMS">
      <formula>NOT(ISERROR(SEARCH("CMS",K29)))</formula>
    </cfRule>
    <cfRule type="cellIs" dxfId="15502" priority="1043" operator="equal">
      <formula>0</formula>
    </cfRule>
    <cfRule type="cellIs" dxfId="15501" priority="1044" operator="greaterThan">
      <formula>0</formula>
    </cfRule>
  </conditionalFormatting>
  <conditionalFormatting sqref="G81:AC81">
    <cfRule type="cellIs" dxfId="15500" priority="1029" operator="equal">
      <formula>"PMS"</formula>
    </cfRule>
    <cfRule type="containsText" dxfId="15499" priority="1030" operator="containsText" text="CMS">
      <formula>NOT(ISERROR(SEARCH("CMS",G81)))</formula>
    </cfRule>
    <cfRule type="cellIs" dxfId="15498" priority="1031" operator="equal">
      <formula>0</formula>
    </cfRule>
    <cfRule type="cellIs" dxfId="15497" priority="1032" operator="greaterThan">
      <formula>0</formula>
    </cfRule>
    <cfRule type="cellIs" dxfId="15496" priority="1033" operator="equal">
      <formula>"PMS"</formula>
    </cfRule>
    <cfRule type="containsText" dxfId="15495" priority="1034" operator="containsText" text="CMS">
      <formula>NOT(ISERROR(SEARCH("CMS",G81)))</formula>
    </cfRule>
    <cfRule type="cellIs" dxfId="15494" priority="1035" operator="equal">
      <formula>0</formula>
    </cfRule>
    <cfRule type="cellIs" dxfId="15493" priority="1036" operator="greaterThan">
      <formula>0</formula>
    </cfRule>
  </conditionalFormatting>
  <conditionalFormatting sqref="G81:AC81">
    <cfRule type="cellIs" dxfId="15492" priority="1025" operator="equal">
      <formula>"PMS"</formula>
    </cfRule>
    <cfRule type="containsText" dxfId="15491" priority="1026" operator="containsText" text="CMS">
      <formula>NOT(ISERROR(SEARCH("CMS",G81)))</formula>
    </cfRule>
    <cfRule type="cellIs" dxfId="15490" priority="1027" operator="equal">
      <formula>0</formula>
    </cfRule>
    <cfRule type="cellIs" dxfId="15489" priority="1028" operator="greaterThan">
      <formula>0</formula>
    </cfRule>
  </conditionalFormatting>
  <conditionalFormatting sqref="G51:G52 I51:M52">
    <cfRule type="cellIs" dxfId="15488" priority="1017" operator="equal">
      <formula>"PMS"</formula>
    </cfRule>
    <cfRule type="containsText" dxfId="15487" priority="1018" operator="containsText" text="CMS">
      <formula>NOT(ISERROR(SEARCH("CMS",G51)))</formula>
    </cfRule>
    <cfRule type="cellIs" dxfId="15486" priority="1019" operator="equal">
      <formula>0</formula>
    </cfRule>
    <cfRule type="cellIs" dxfId="15485" priority="1020" operator="greaterThan">
      <formula>0</formula>
    </cfRule>
    <cfRule type="cellIs" dxfId="15484" priority="1021" operator="equal">
      <formula>"PMS"</formula>
    </cfRule>
    <cfRule type="containsText" dxfId="15483" priority="1022" operator="containsText" text="CMS">
      <formula>NOT(ISERROR(SEARCH("CMS",G51)))</formula>
    </cfRule>
    <cfRule type="cellIs" dxfId="15482" priority="1023" operator="equal">
      <formula>0</formula>
    </cfRule>
    <cfRule type="cellIs" dxfId="15481" priority="1024" operator="greaterThan">
      <formula>0</formula>
    </cfRule>
  </conditionalFormatting>
  <conditionalFormatting sqref="G51:G52 I51:M52">
    <cfRule type="cellIs" dxfId="15480" priority="1013" operator="equal">
      <formula>"PMS"</formula>
    </cfRule>
    <cfRule type="containsText" dxfId="15479" priority="1014" operator="containsText" text="CMS">
      <formula>NOT(ISERROR(SEARCH("CMS",G51)))</formula>
    </cfRule>
    <cfRule type="cellIs" dxfId="15478" priority="1015" operator="equal">
      <formula>0</formula>
    </cfRule>
    <cfRule type="cellIs" dxfId="15477" priority="1016" operator="greaterThan">
      <formula>0</formula>
    </cfRule>
  </conditionalFormatting>
  <conditionalFormatting sqref="G51:G52 I51:M52">
    <cfRule type="cellIs" dxfId="15476" priority="1009" operator="equal">
      <formula>"PMS"</formula>
    </cfRule>
    <cfRule type="containsText" dxfId="15475" priority="1010" operator="containsText" text="CMS">
      <formula>NOT(ISERROR(SEARCH("CMS",G51)))</formula>
    </cfRule>
    <cfRule type="cellIs" dxfId="15474" priority="1011" operator="equal">
      <formula>0</formula>
    </cfRule>
    <cfRule type="cellIs" dxfId="15473" priority="1012" operator="greaterThan">
      <formula>0</formula>
    </cfRule>
  </conditionalFormatting>
  <conditionalFormatting sqref="G57:G58">
    <cfRule type="cellIs" dxfId="15472" priority="1001" operator="equal">
      <formula>"PMS"</formula>
    </cfRule>
    <cfRule type="containsText" dxfId="15471" priority="1002" operator="containsText" text="CMS">
      <formula>NOT(ISERROR(SEARCH("CMS",G57)))</formula>
    </cfRule>
    <cfRule type="cellIs" dxfId="15470" priority="1003" operator="equal">
      <formula>0</formula>
    </cfRule>
    <cfRule type="cellIs" dxfId="15469" priority="1004" operator="greaterThan">
      <formula>0</formula>
    </cfRule>
    <cfRule type="cellIs" dxfId="15468" priority="1005" operator="equal">
      <formula>"PMS"</formula>
    </cfRule>
    <cfRule type="containsText" dxfId="15467" priority="1006" operator="containsText" text="CMS">
      <formula>NOT(ISERROR(SEARCH("CMS",G57)))</formula>
    </cfRule>
    <cfRule type="cellIs" dxfId="15466" priority="1007" operator="equal">
      <formula>0</formula>
    </cfRule>
    <cfRule type="cellIs" dxfId="15465" priority="1008" operator="greaterThan">
      <formula>0</formula>
    </cfRule>
  </conditionalFormatting>
  <conditionalFormatting sqref="G57:G58">
    <cfRule type="cellIs" dxfId="15464" priority="997" operator="equal">
      <formula>"PMS"</formula>
    </cfRule>
    <cfRule type="containsText" dxfId="15463" priority="998" operator="containsText" text="CMS">
      <formula>NOT(ISERROR(SEARCH("CMS",G57)))</formula>
    </cfRule>
    <cfRule type="cellIs" dxfId="15462" priority="999" operator="equal">
      <formula>0</formula>
    </cfRule>
    <cfRule type="cellIs" dxfId="15461" priority="1000" operator="greaterThan">
      <formula>0</formula>
    </cfRule>
  </conditionalFormatting>
  <conditionalFormatting sqref="G57:G58">
    <cfRule type="cellIs" dxfId="15460" priority="993" operator="equal">
      <formula>"PMS"</formula>
    </cfRule>
    <cfRule type="containsText" dxfId="15459" priority="994" operator="containsText" text="CMS">
      <formula>NOT(ISERROR(SEARCH("CMS",G57)))</formula>
    </cfRule>
    <cfRule type="cellIs" dxfId="15458" priority="995" operator="equal">
      <formula>0</formula>
    </cfRule>
    <cfRule type="cellIs" dxfId="15457" priority="996" operator="greaterThan">
      <formula>0</formula>
    </cfRule>
  </conditionalFormatting>
  <conditionalFormatting sqref="G32 I32:AC32">
    <cfRule type="cellIs" dxfId="15456" priority="985" operator="equal">
      <formula>"PMS"</formula>
    </cfRule>
    <cfRule type="containsText" dxfId="15455" priority="986" operator="containsText" text="CMS">
      <formula>NOT(ISERROR(SEARCH("CMS",G32)))</formula>
    </cfRule>
    <cfRule type="cellIs" dxfId="15454" priority="987" operator="equal">
      <formula>0</formula>
    </cfRule>
    <cfRule type="cellIs" dxfId="15453" priority="988" operator="greaterThan">
      <formula>0</formula>
    </cfRule>
    <cfRule type="cellIs" dxfId="15452" priority="989" operator="equal">
      <formula>"PMS"</formula>
    </cfRule>
    <cfRule type="containsText" dxfId="15451" priority="990" operator="containsText" text="CMS">
      <formula>NOT(ISERROR(SEARCH("CMS",G32)))</formula>
    </cfRule>
    <cfRule type="cellIs" dxfId="15450" priority="991" operator="equal">
      <formula>0</formula>
    </cfRule>
    <cfRule type="cellIs" dxfId="15449" priority="992" operator="greaterThan">
      <formula>0</formula>
    </cfRule>
  </conditionalFormatting>
  <conditionalFormatting sqref="G32 I32:AC32">
    <cfRule type="cellIs" dxfId="15448" priority="981" operator="equal">
      <formula>"PMS"</formula>
    </cfRule>
    <cfRule type="containsText" dxfId="15447" priority="982" operator="containsText" text="CMS">
      <formula>NOT(ISERROR(SEARCH("CMS",G32)))</formula>
    </cfRule>
    <cfRule type="cellIs" dxfId="15446" priority="983" operator="equal">
      <formula>0</formula>
    </cfRule>
    <cfRule type="cellIs" dxfId="15445" priority="984" operator="greaterThan">
      <formula>0</formula>
    </cfRule>
  </conditionalFormatting>
  <conditionalFormatting sqref="G32 I32:AC32">
    <cfRule type="cellIs" dxfId="15444" priority="977" operator="equal">
      <formula>"PMS"</formula>
    </cfRule>
    <cfRule type="containsText" dxfId="15443" priority="978" operator="containsText" text="CMS">
      <formula>NOT(ISERROR(SEARCH("CMS",G32)))</formula>
    </cfRule>
    <cfRule type="cellIs" dxfId="15442" priority="979" operator="equal">
      <formula>0</formula>
    </cfRule>
    <cfRule type="cellIs" dxfId="15441" priority="980" operator="greaterThan">
      <formula>0</formula>
    </cfRule>
  </conditionalFormatting>
  <conditionalFormatting sqref="F81">
    <cfRule type="cellIs" dxfId="15440" priority="969" operator="equal">
      <formula>"PMS"</formula>
    </cfRule>
    <cfRule type="containsText" dxfId="15439" priority="970" operator="containsText" text="CMS">
      <formula>NOT(ISERROR(SEARCH("CMS",F81)))</formula>
    </cfRule>
    <cfRule type="cellIs" dxfId="15438" priority="971" operator="equal">
      <formula>0</formula>
    </cfRule>
    <cfRule type="cellIs" dxfId="15437" priority="972" operator="greaterThan">
      <formula>0</formula>
    </cfRule>
    <cfRule type="cellIs" dxfId="15436" priority="973" operator="equal">
      <formula>"PMS"</formula>
    </cfRule>
    <cfRule type="containsText" dxfId="15435" priority="974" operator="containsText" text="CMS">
      <formula>NOT(ISERROR(SEARCH("CMS",F81)))</formula>
    </cfRule>
    <cfRule type="cellIs" dxfId="15434" priority="975" operator="equal">
      <formula>0</formula>
    </cfRule>
    <cfRule type="cellIs" dxfId="15433" priority="976" operator="greaterThan">
      <formula>0</formula>
    </cfRule>
  </conditionalFormatting>
  <conditionalFormatting sqref="F81">
    <cfRule type="cellIs" dxfId="15432" priority="965" operator="equal">
      <formula>"PMS"</formula>
    </cfRule>
    <cfRule type="containsText" dxfId="15431" priority="966" operator="containsText" text="CMS">
      <formula>NOT(ISERROR(SEARCH("CMS",F81)))</formula>
    </cfRule>
    <cfRule type="cellIs" dxfId="15430" priority="967" operator="equal">
      <formula>0</formula>
    </cfRule>
    <cfRule type="cellIs" dxfId="15429" priority="968" operator="greaterThan">
      <formula>0</formula>
    </cfRule>
  </conditionalFormatting>
  <conditionalFormatting sqref="H13:H16">
    <cfRule type="cellIs" dxfId="15428" priority="957" operator="equal">
      <formula>"PMS"</formula>
    </cfRule>
    <cfRule type="containsText" dxfId="15427" priority="958" operator="containsText" text="CMS">
      <formula>NOT(ISERROR(SEARCH("CMS",H13)))</formula>
    </cfRule>
    <cfRule type="cellIs" dxfId="15426" priority="959" operator="equal">
      <formula>0</formula>
    </cfRule>
    <cfRule type="cellIs" dxfId="15425" priority="960" operator="greaterThan">
      <formula>0</formula>
    </cfRule>
    <cfRule type="cellIs" dxfId="15424" priority="961" operator="equal">
      <formula>"PMS"</formula>
    </cfRule>
    <cfRule type="containsText" dxfId="15423" priority="962" operator="containsText" text="CMS">
      <formula>NOT(ISERROR(SEARCH("CMS",H13)))</formula>
    </cfRule>
    <cfRule type="cellIs" dxfId="15422" priority="963" operator="equal">
      <formula>0</formula>
    </cfRule>
    <cfRule type="cellIs" dxfId="15421" priority="964" operator="greaterThan">
      <formula>0</formula>
    </cfRule>
  </conditionalFormatting>
  <conditionalFormatting sqref="H13:H16">
    <cfRule type="cellIs" dxfId="15420" priority="953" operator="equal">
      <formula>"PMS"</formula>
    </cfRule>
    <cfRule type="containsText" dxfId="15419" priority="954" operator="containsText" text="CMS">
      <formula>NOT(ISERROR(SEARCH("CMS",H13)))</formula>
    </cfRule>
    <cfRule type="cellIs" dxfId="15418" priority="955" operator="equal">
      <formula>0</formula>
    </cfRule>
    <cfRule type="cellIs" dxfId="15417" priority="956" operator="greaterThan">
      <formula>0</formula>
    </cfRule>
  </conditionalFormatting>
  <conditionalFormatting sqref="H13:H16">
    <cfRule type="cellIs" dxfId="15416" priority="949" operator="equal">
      <formula>"PMS"</formula>
    </cfRule>
    <cfRule type="containsText" dxfId="15415" priority="950" operator="containsText" text="CMS">
      <formula>NOT(ISERROR(SEARCH("CMS",H13)))</formula>
    </cfRule>
    <cfRule type="cellIs" dxfId="15414" priority="951" operator="equal">
      <formula>0</formula>
    </cfRule>
    <cfRule type="cellIs" dxfId="15413" priority="952" operator="greaterThan">
      <formula>0</formula>
    </cfRule>
  </conditionalFormatting>
  <conditionalFormatting sqref="H13">
    <cfRule type="cellIs" dxfId="15412" priority="945" operator="equal">
      <formula>"PMS"</formula>
    </cfRule>
    <cfRule type="containsText" dxfId="15411" priority="946" operator="containsText" text="CMS">
      <formula>NOT(ISERROR(SEARCH("CMS",H13)))</formula>
    </cfRule>
    <cfRule type="cellIs" dxfId="15410" priority="947" operator="equal">
      <formula>0</formula>
    </cfRule>
    <cfRule type="cellIs" dxfId="15409" priority="948" operator="greaterThan">
      <formula>0</formula>
    </cfRule>
  </conditionalFormatting>
  <conditionalFormatting sqref="H13">
    <cfRule type="cellIs" dxfId="15408" priority="941" operator="equal">
      <formula>"PMS"</formula>
    </cfRule>
    <cfRule type="containsText" dxfId="15407" priority="942" operator="containsText" text="CMS">
      <formula>NOT(ISERROR(SEARCH("CMS",H13)))</formula>
    </cfRule>
    <cfRule type="cellIs" dxfId="15406" priority="943" operator="equal">
      <formula>0</formula>
    </cfRule>
    <cfRule type="cellIs" dxfId="15405" priority="944" operator="greaterThan">
      <formula>0</formula>
    </cfRule>
  </conditionalFormatting>
  <conditionalFormatting sqref="H20:H21">
    <cfRule type="cellIs" dxfId="15404" priority="933" operator="equal">
      <formula>"PMS"</formula>
    </cfRule>
    <cfRule type="containsText" dxfId="15403" priority="934" operator="containsText" text="CMS">
      <formula>NOT(ISERROR(SEARCH("CMS",H20)))</formula>
    </cfRule>
    <cfRule type="cellIs" dxfId="15402" priority="935" operator="equal">
      <formula>0</formula>
    </cfRule>
    <cfRule type="cellIs" dxfId="15401" priority="936" operator="greaterThan">
      <formula>0</formula>
    </cfRule>
    <cfRule type="cellIs" dxfId="15400" priority="937" operator="equal">
      <formula>"PMS"</formula>
    </cfRule>
    <cfRule type="containsText" dxfId="15399" priority="938" operator="containsText" text="CMS">
      <formula>NOT(ISERROR(SEARCH("CMS",H20)))</formula>
    </cfRule>
    <cfRule type="cellIs" dxfId="15398" priority="939" operator="equal">
      <formula>0</formula>
    </cfRule>
    <cfRule type="cellIs" dxfId="15397" priority="940" operator="greaterThan">
      <formula>0</formula>
    </cfRule>
  </conditionalFormatting>
  <conditionalFormatting sqref="H20:H21">
    <cfRule type="cellIs" dxfId="15396" priority="929" operator="equal">
      <formula>"PMS"</formula>
    </cfRule>
    <cfRule type="containsText" dxfId="15395" priority="930" operator="containsText" text="CMS">
      <formula>NOT(ISERROR(SEARCH("CMS",H20)))</formula>
    </cfRule>
    <cfRule type="cellIs" dxfId="15394" priority="931" operator="equal">
      <formula>0</formula>
    </cfRule>
    <cfRule type="cellIs" dxfId="15393" priority="932" operator="greaterThan">
      <formula>0</formula>
    </cfRule>
  </conditionalFormatting>
  <conditionalFormatting sqref="H20:H21">
    <cfRule type="cellIs" dxfId="15392" priority="925" operator="equal">
      <formula>"PMS"</formula>
    </cfRule>
    <cfRule type="containsText" dxfId="15391" priority="926" operator="containsText" text="CMS">
      <formula>NOT(ISERROR(SEARCH("CMS",H20)))</formula>
    </cfRule>
    <cfRule type="cellIs" dxfId="15390" priority="927" operator="equal">
      <formula>0</formula>
    </cfRule>
    <cfRule type="cellIs" dxfId="15389" priority="928" operator="greaterThan">
      <formula>0</formula>
    </cfRule>
  </conditionalFormatting>
  <conditionalFormatting sqref="H19">
    <cfRule type="cellIs" dxfId="15388" priority="921" operator="equal">
      <formula>"CMS"</formula>
    </cfRule>
    <cfRule type="cellIs" dxfId="15387" priority="922" operator="equal">
      <formula>"PMS"</formula>
    </cfRule>
    <cfRule type="cellIs" dxfId="15386" priority="923" operator="greaterThan">
      <formula>0</formula>
    </cfRule>
    <cfRule type="cellIs" dxfId="15385" priority="924" operator="equal">
      <formula>0</formula>
    </cfRule>
  </conditionalFormatting>
  <conditionalFormatting sqref="H24">
    <cfRule type="cellIs" dxfId="15384" priority="913" operator="equal">
      <formula>"PMS"</formula>
    </cfRule>
    <cfRule type="containsText" dxfId="15383" priority="914" operator="containsText" text="CMS">
      <formula>NOT(ISERROR(SEARCH("CMS",H24)))</formula>
    </cfRule>
    <cfRule type="cellIs" dxfId="15382" priority="915" operator="equal">
      <formula>0</formula>
    </cfRule>
    <cfRule type="cellIs" dxfId="15381" priority="916" operator="greaterThan">
      <formula>0</formula>
    </cfRule>
    <cfRule type="cellIs" dxfId="15380" priority="917" operator="equal">
      <formula>"PMS"</formula>
    </cfRule>
    <cfRule type="containsText" dxfId="15379" priority="918" operator="containsText" text="CMS">
      <formula>NOT(ISERROR(SEARCH("CMS",H24)))</formula>
    </cfRule>
    <cfRule type="cellIs" dxfId="15378" priority="919" operator="equal">
      <formula>0</formula>
    </cfRule>
    <cfRule type="cellIs" dxfId="15377" priority="920" operator="greaterThan">
      <formula>0</formula>
    </cfRule>
  </conditionalFormatting>
  <conditionalFormatting sqref="H24">
    <cfRule type="cellIs" dxfId="15376" priority="909" operator="equal">
      <formula>"PMS"</formula>
    </cfRule>
    <cfRule type="containsText" dxfId="15375" priority="910" operator="containsText" text="CMS">
      <formula>NOT(ISERROR(SEARCH("CMS",H24)))</formula>
    </cfRule>
    <cfRule type="cellIs" dxfId="15374" priority="911" operator="equal">
      <formula>0</formula>
    </cfRule>
    <cfRule type="cellIs" dxfId="15373" priority="912" operator="greaterThan">
      <formula>0</formula>
    </cfRule>
  </conditionalFormatting>
  <conditionalFormatting sqref="H24">
    <cfRule type="cellIs" dxfId="15372" priority="905" operator="equal">
      <formula>"PMS"</formula>
    </cfRule>
    <cfRule type="containsText" dxfId="15371" priority="906" operator="containsText" text="CMS">
      <formula>NOT(ISERROR(SEARCH("CMS",H24)))</formula>
    </cfRule>
    <cfRule type="cellIs" dxfId="15370" priority="907" operator="equal">
      <formula>0</formula>
    </cfRule>
    <cfRule type="cellIs" dxfId="15369" priority="908" operator="greaterThan">
      <formula>0</formula>
    </cfRule>
  </conditionalFormatting>
  <conditionalFormatting sqref="H27:H28">
    <cfRule type="cellIs" dxfId="15368" priority="897" operator="equal">
      <formula>"PMS"</formula>
    </cfRule>
    <cfRule type="containsText" dxfId="15367" priority="898" operator="containsText" text="CMS">
      <formula>NOT(ISERROR(SEARCH("CMS",H27)))</formula>
    </cfRule>
    <cfRule type="cellIs" dxfId="15366" priority="899" operator="equal">
      <formula>0</formula>
    </cfRule>
    <cfRule type="cellIs" dxfId="15365" priority="900" operator="greaterThan">
      <formula>0</formula>
    </cfRule>
    <cfRule type="cellIs" dxfId="15364" priority="901" operator="equal">
      <formula>"PMS"</formula>
    </cfRule>
    <cfRule type="containsText" dxfId="15363" priority="902" operator="containsText" text="CMS">
      <formula>NOT(ISERROR(SEARCH("CMS",H27)))</formula>
    </cfRule>
    <cfRule type="cellIs" dxfId="15362" priority="903" operator="equal">
      <formula>0</formula>
    </cfRule>
    <cfRule type="cellIs" dxfId="15361" priority="904" operator="greaterThan">
      <formula>0</formula>
    </cfRule>
  </conditionalFormatting>
  <conditionalFormatting sqref="H27:H28">
    <cfRule type="cellIs" dxfId="15360" priority="893" operator="equal">
      <formula>"PMS"</formula>
    </cfRule>
    <cfRule type="containsText" dxfId="15359" priority="894" operator="containsText" text="CMS">
      <formula>NOT(ISERROR(SEARCH("CMS",H27)))</formula>
    </cfRule>
    <cfRule type="cellIs" dxfId="15358" priority="895" operator="equal">
      <formula>0</formula>
    </cfRule>
    <cfRule type="cellIs" dxfId="15357" priority="896" operator="greaterThan">
      <formula>0</formula>
    </cfRule>
  </conditionalFormatting>
  <conditionalFormatting sqref="H27:H28">
    <cfRule type="cellIs" dxfId="15356" priority="889" operator="equal">
      <formula>"PMS"</formula>
    </cfRule>
    <cfRule type="containsText" dxfId="15355" priority="890" operator="containsText" text="CMS">
      <formula>NOT(ISERROR(SEARCH("CMS",H27)))</formula>
    </cfRule>
    <cfRule type="cellIs" dxfId="15354" priority="891" operator="equal">
      <formula>0</formula>
    </cfRule>
    <cfRule type="cellIs" dxfId="15353" priority="892" operator="greaterThan">
      <formula>0</formula>
    </cfRule>
  </conditionalFormatting>
  <conditionalFormatting sqref="H29">
    <cfRule type="cellIs" dxfId="15352" priority="881" operator="equal">
      <formula>"PMS"</formula>
    </cfRule>
    <cfRule type="containsText" dxfId="15351" priority="882" operator="containsText" text="CMS">
      <formula>NOT(ISERROR(SEARCH("CMS",H29)))</formula>
    </cfRule>
    <cfRule type="cellIs" dxfId="15350" priority="883" operator="equal">
      <formula>0</formula>
    </cfRule>
    <cfRule type="cellIs" dxfId="15349" priority="884" operator="greaterThan">
      <formula>0</formula>
    </cfRule>
    <cfRule type="cellIs" dxfId="15348" priority="885" operator="equal">
      <formula>"PMS"</formula>
    </cfRule>
    <cfRule type="containsText" dxfId="15347" priority="886" operator="containsText" text="CMS">
      <formula>NOT(ISERROR(SEARCH("CMS",H29)))</formula>
    </cfRule>
    <cfRule type="cellIs" dxfId="15346" priority="887" operator="equal">
      <formula>0</formula>
    </cfRule>
    <cfRule type="cellIs" dxfId="15345" priority="888" operator="greaterThan">
      <formula>0</formula>
    </cfRule>
  </conditionalFormatting>
  <conditionalFormatting sqref="H32">
    <cfRule type="cellIs" dxfId="15344" priority="873" operator="equal">
      <formula>"PMS"</formula>
    </cfRule>
    <cfRule type="containsText" dxfId="15343" priority="874" operator="containsText" text="CMS">
      <formula>NOT(ISERROR(SEARCH("CMS",H32)))</formula>
    </cfRule>
    <cfRule type="cellIs" dxfId="15342" priority="875" operator="equal">
      <formula>0</formula>
    </cfRule>
    <cfRule type="cellIs" dxfId="15341" priority="876" operator="greaterThan">
      <formula>0</formula>
    </cfRule>
    <cfRule type="cellIs" dxfId="15340" priority="877" operator="equal">
      <formula>"PMS"</formula>
    </cfRule>
    <cfRule type="containsText" dxfId="15339" priority="878" operator="containsText" text="CMS">
      <formula>NOT(ISERROR(SEARCH("CMS",H32)))</formula>
    </cfRule>
    <cfRule type="cellIs" dxfId="15338" priority="879" operator="equal">
      <formula>0</formula>
    </cfRule>
    <cfRule type="cellIs" dxfId="15337" priority="880" operator="greaterThan">
      <formula>0</formula>
    </cfRule>
  </conditionalFormatting>
  <conditionalFormatting sqref="H32">
    <cfRule type="cellIs" dxfId="15336" priority="869" operator="equal">
      <formula>"PMS"</formula>
    </cfRule>
    <cfRule type="containsText" dxfId="15335" priority="870" operator="containsText" text="CMS">
      <formula>NOT(ISERROR(SEARCH("CMS",H32)))</formula>
    </cfRule>
    <cfRule type="cellIs" dxfId="15334" priority="871" operator="equal">
      <formula>0</formula>
    </cfRule>
    <cfRule type="cellIs" dxfId="15333" priority="872" operator="greaterThan">
      <formula>0</formula>
    </cfRule>
  </conditionalFormatting>
  <conditionalFormatting sqref="H32">
    <cfRule type="cellIs" dxfId="15332" priority="865" operator="equal">
      <formula>"PMS"</formula>
    </cfRule>
    <cfRule type="containsText" dxfId="15331" priority="866" operator="containsText" text="CMS">
      <formula>NOT(ISERROR(SEARCH("CMS",H32)))</formula>
    </cfRule>
    <cfRule type="cellIs" dxfId="15330" priority="867" operator="equal">
      <formula>0</formula>
    </cfRule>
    <cfRule type="cellIs" dxfId="15329" priority="868" operator="greaterThan">
      <formula>0</formula>
    </cfRule>
  </conditionalFormatting>
  <conditionalFormatting sqref="H35:H58">
    <cfRule type="cellIs" dxfId="15328" priority="857" operator="equal">
      <formula>"PMS"</formula>
    </cfRule>
    <cfRule type="containsText" dxfId="15327" priority="858" operator="containsText" text="CMS">
      <formula>NOT(ISERROR(SEARCH("CMS",H35)))</formula>
    </cfRule>
    <cfRule type="cellIs" dxfId="15326" priority="859" operator="equal">
      <formula>0</formula>
    </cfRule>
    <cfRule type="cellIs" dxfId="15325" priority="860" operator="greaterThan">
      <formula>0</formula>
    </cfRule>
    <cfRule type="cellIs" dxfId="15324" priority="861" operator="equal">
      <formula>"PMS"</formula>
    </cfRule>
    <cfRule type="containsText" dxfId="15323" priority="862" operator="containsText" text="CMS">
      <formula>NOT(ISERROR(SEARCH("CMS",H35)))</formula>
    </cfRule>
    <cfRule type="cellIs" dxfId="15322" priority="863" operator="equal">
      <formula>0</formula>
    </cfRule>
    <cfRule type="cellIs" dxfId="15321" priority="864" operator="greaterThan">
      <formula>0</formula>
    </cfRule>
  </conditionalFormatting>
  <conditionalFormatting sqref="H35:H58">
    <cfRule type="cellIs" dxfId="15320" priority="853" operator="equal">
      <formula>"PMS"</formula>
    </cfRule>
    <cfRule type="containsText" dxfId="15319" priority="854" operator="containsText" text="CMS">
      <formula>NOT(ISERROR(SEARCH("CMS",H35)))</formula>
    </cfRule>
    <cfRule type="cellIs" dxfId="15318" priority="855" operator="equal">
      <formula>0</formula>
    </cfRule>
    <cfRule type="cellIs" dxfId="15317" priority="856" operator="greaterThan">
      <formula>0</formula>
    </cfRule>
  </conditionalFormatting>
  <conditionalFormatting sqref="H35:H58">
    <cfRule type="cellIs" dxfId="15316" priority="849" operator="equal">
      <formula>"PMS"</formula>
    </cfRule>
    <cfRule type="containsText" dxfId="15315" priority="850" operator="containsText" text="CMS">
      <formula>NOT(ISERROR(SEARCH("CMS",H35)))</formula>
    </cfRule>
    <cfRule type="cellIs" dxfId="15314" priority="851" operator="equal">
      <formula>0</formula>
    </cfRule>
    <cfRule type="cellIs" dxfId="15313" priority="852" operator="greaterThan">
      <formula>0</formula>
    </cfRule>
  </conditionalFormatting>
  <conditionalFormatting sqref="H57">
    <cfRule type="cellIs" dxfId="15312" priority="845" operator="equal">
      <formula>"PMS"</formula>
    </cfRule>
    <cfRule type="containsText" dxfId="15311" priority="846" operator="containsText" text="CMS">
      <formula>NOT(ISERROR(SEARCH("CMS",H57)))</formula>
    </cfRule>
    <cfRule type="cellIs" dxfId="15310" priority="847" operator="equal">
      <formula>0</formula>
    </cfRule>
    <cfRule type="cellIs" dxfId="15309" priority="848" operator="greaterThan">
      <formula>0</formula>
    </cfRule>
  </conditionalFormatting>
  <conditionalFormatting sqref="H57">
    <cfRule type="cellIs" dxfId="15308" priority="841" operator="equal">
      <formula>"PMS"</formula>
    </cfRule>
    <cfRule type="containsText" dxfId="15307" priority="842" operator="containsText" text="CMS">
      <formula>NOT(ISERROR(SEARCH("CMS",H57)))</formula>
    </cfRule>
    <cfRule type="cellIs" dxfId="15306" priority="843" operator="equal">
      <formula>0</formula>
    </cfRule>
    <cfRule type="cellIs" dxfId="15305" priority="844" operator="greaterThan">
      <formula>0</formula>
    </cfRule>
  </conditionalFormatting>
  <conditionalFormatting sqref="H57">
    <cfRule type="cellIs" dxfId="15304" priority="837" operator="equal">
      <formula>"PMS"</formula>
    </cfRule>
    <cfRule type="containsText" dxfId="15303" priority="838" operator="containsText" text="CMS">
      <formula>NOT(ISERROR(SEARCH("CMS",H57)))</formula>
    </cfRule>
    <cfRule type="cellIs" dxfId="15302" priority="839" operator="equal">
      <formula>0</formula>
    </cfRule>
    <cfRule type="cellIs" dxfId="15301" priority="840" operator="greaterThan">
      <formula>0</formula>
    </cfRule>
  </conditionalFormatting>
  <conditionalFormatting sqref="H57">
    <cfRule type="cellIs" dxfId="15300" priority="833" operator="equal">
      <formula>"PMS"</formula>
    </cfRule>
    <cfRule type="containsText" dxfId="15299" priority="834" operator="containsText" text="CMS">
      <formula>NOT(ISERROR(SEARCH("CMS",H57)))</formula>
    </cfRule>
    <cfRule type="cellIs" dxfId="15298" priority="835" operator="equal">
      <formula>0</formula>
    </cfRule>
    <cfRule type="cellIs" dxfId="15297" priority="836" operator="greaterThan">
      <formula>0</formula>
    </cfRule>
  </conditionalFormatting>
  <conditionalFormatting sqref="H58">
    <cfRule type="cellIs" dxfId="15296" priority="829" operator="equal">
      <formula>"PMS"</formula>
    </cfRule>
    <cfRule type="containsText" dxfId="15295" priority="830" operator="containsText" text="CMS">
      <formula>NOT(ISERROR(SEARCH("CMS",H58)))</formula>
    </cfRule>
    <cfRule type="cellIs" dxfId="15294" priority="831" operator="equal">
      <formula>0</formula>
    </cfRule>
    <cfRule type="cellIs" dxfId="15293" priority="832" operator="greaterThan">
      <formula>0</formula>
    </cfRule>
  </conditionalFormatting>
  <conditionalFormatting sqref="H58">
    <cfRule type="cellIs" dxfId="15292" priority="825" operator="equal">
      <formula>"PMS"</formula>
    </cfRule>
    <cfRule type="containsText" dxfId="15291" priority="826" operator="containsText" text="CMS">
      <formula>NOT(ISERROR(SEARCH("CMS",H58)))</formula>
    </cfRule>
    <cfRule type="cellIs" dxfId="15290" priority="827" operator="equal">
      <formula>0</formula>
    </cfRule>
    <cfRule type="cellIs" dxfId="15289" priority="828" operator="greaterThan">
      <formula>0</formula>
    </cfRule>
  </conditionalFormatting>
  <conditionalFormatting sqref="H58">
    <cfRule type="cellIs" dxfId="15288" priority="821" operator="equal">
      <formula>"PMS"</formula>
    </cfRule>
    <cfRule type="containsText" dxfId="15287" priority="822" operator="containsText" text="CMS">
      <formula>NOT(ISERROR(SEARCH("CMS",H58)))</formula>
    </cfRule>
    <cfRule type="cellIs" dxfId="15286" priority="823" operator="equal">
      <formula>0</formula>
    </cfRule>
    <cfRule type="cellIs" dxfId="15285" priority="824" operator="greaterThan">
      <formula>0</formula>
    </cfRule>
  </conditionalFormatting>
  <conditionalFormatting sqref="H58">
    <cfRule type="cellIs" dxfId="15284" priority="817" operator="equal">
      <formula>"PMS"</formula>
    </cfRule>
    <cfRule type="containsText" dxfId="15283" priority="818" operator="containsText" text="CMS">
      <formula>NOT(ISERROR(SEARCH("CMS",H58)))</formula>
    </cfRule>
    <cfRule type="cellIs" dxfId="15282" priority="819" operator="equal">
      <formula>0</formula>
    </cfRule>
    <cfRule type="cellIs" dxfId="15281" priority="820" operator="greaterThan">
      <formula>0</formula>
    </cfRule>
  </conditionalFormatting>
  <conditionalFormatting sqref="H62:H63">
    <cfRule type="cellIs" dxfId="15280" priority="809" operator="equal">
      <formula>"PMS"</formula>
    </cfRule>
    <cfRule type="containsText" dxfId="15279" priority="810" operator="containsText" text="CMS">
      <formula>NOT(ISERROR(SEARCH("CMS",H62)))</formula>
    </cfRule>
    <cfRule type="cellIs" dxfId="15278" priority="811" operator="equal">
      <formula>0</formula>
    </cfRule>
    <cfRule type="cellIs" dxfId="15277" priority="812" operator="greaterThan">
      <formula>0</formula>
    </cfRule>
    <cfRule type="cellIs" dxfId="15276" priority="813" operator="equal">
      <formula>"PMS"</formula>
    </cfRule>
    <cfRule type="containsText" dxfId="15275" priority="814" operator="containsText" text="CMS">
      <formula>NOT(ISERROR(SEARCH("CMS",H62)))</formula>
    </cfRule>
    <cfRule type="cellIs" dxfId="15274" priority="815" operator="equal">
      <formula>0</formula>
    </cfRule>
    <cfRule type="cellIs" dxfId="15273" priority="816" operator="greaterThan">
      <formula>0</formula>
    </cfRule>
  </conditionalFormatting>
  <conditionalFormatting sqref="H62:H63">
    <cfRule type="cellIs" dxfId="15272" priority="805" operator="equal">
      <formula>"PMS"</formula>
    </cfRule>
    <cfRule type="containsText" dxfId="15271" priority="806" operator="containsText" text="CMS">
      <formula>NOT(ISERROR(SEARCH("CMS",H62)))</formula>
    </cfRule>
    <cfRule type="cellIs" dxfId="15270" priority="807" operator="equal">
      <formula>0</formula>
    </cfRule>
    <cfRule type="cellIs" dxfId="15269" priority="808" operator="greaterThan">
      <formula>0</formula>
    </cfRule>
  </conditionalFormatting>
  <conditionalFormatting sqref="H66:H74">
    <cfRule type="cellIs" dxfId="15268" priority="797" operator="equal">
      <formula>"PMS"</formula>
    </cfRule>
    <cfRule type="containsText" dxfId="15267" priority="798" operator="containsText" text="CMS">
      <formula>NOT(ISERROR(SEARCH("CMS",H66)))</formula>
    </cfRule>
    <cfRule type="cellIs" dxfId="15266" priority="799" operator="equal">
      <formula>0</formula>
    </cfRule>
    <cfRule type="cellIs" dxfId="15265" priority="800" operator="greaterThan">
      <formula>0</formula>
    </cfRule>
    <cfRule type="cellIs" dxfId="15264" priority="801" operator="equal">
      <formula>"PMS"</formula>
    </cfRule>
    <cfRule type="containsText" dxfId="15263" priority="802" operator="containsText" text="CMS">
      <formula>NOT(ISERROR(SEARCH("CMS",H66)))</formula>
    </cfRule>
    <cfRule type="cellIs" dxfId="15262" priority="803" operator="equal">
      <formula>0</formula>
    </cfRule>
    <cfRule type="cellIs" dxfId="15261" priority="804" operator="greaterThan">
      <formula>0</formula>
    </cfRule>
  </conditionalFormatting>
  <conditionalFormatting sqref="H66:H74">
    <cfRule type="cellIs" dxfId="15260" priority="793" operator="equal">
      <formula>"PMS"</formula>
    </cfRule>
    <cfRule type="containsText" dxfId="15259" priority="794" operator="containsText" text="CMS">
      <formula>NOT(ISERROR(SEARCH("CMS",H66)))</formula>
    </cfRule>
    <cfRule type="cellIs" dxfId="15258" priority="795" operator="equal">
      <formula>0</formula>
    </cfRule>
    <cfRule type="cellIs" dxfId="15257" priority="796" operator="greaterThan">
      <formula>0</formula>
    </cfRule>
  </conditionalFormatting>
  <conditionalFormatting sqref="H66:H74">
    <cfRule type="cellIs" dxfId="15256" priority="789" operator="equal">
      <formula>"PMS"</formula>
    </cfRule>
    <cfRule type="containsText" dxfId="15255" priority="790" operator="containsText" text="CMS">
      <formula>NOT(ISERROR(SEARCH("CMS",H66)))</formula>
    </cfRule>
    <cfRule type="cellIs" dxfId="15254" priority="791" operator="equal">
      <formula>0</formula>
    </cfRule>
    <cfRule type="cellIs" dxfId="15253" priority="792" operator="greaterThan">
      <formula>0</formula>
    </cfRule>
  </conditionalFormatting>
  <conditionalFormatting sqref="H77:H78">
    <cfRule type="cellIs" dxfId="15252" priority="781" operator="equal">
      <formula>"PMS"</formula>
    </cfRule>
    <cfRule type="containsText" dxfId="15251" priority="782" operator="containsText" text="CMS">
      <formula>NOT(ISERROR(SEARCH("CMS",H77)))</formula>
    </cfRule>
    <cfRule type="cellIs" dxfId="15250" priority="783" operator="equal">
      <formula>0</formula>
    </cfRule>
    <cfRule type="cellIs" dxfId="15249" priority="784" operator="greaterThan">
      <formula>0</formula>
    </cfRule>
    <cfRule type="cellIs" dxfId="15248" priority="785" operator="equal">
      <formula>"PMS"</formula>
    </cfRule>
    <cfRule type="containsText" dxfId="15247" priority="786" operator="containsText" text="CMS">
      <formula>NOT(ISERROR(SEARCH("CMS",H77)))</formula>
    </cfRule>
    <cfRule type="cellIs" dxfId="15246" priority="787" operator="equal">
      <formula>0</formula>
    </cfRule>
    <cfRule type="cellIs" dxfId="15245" priority="788" operator="greaterThan">
      <formula>0</formula>
    </cfRule>
  </conditionalFormatting>
  <conditionalFormatting sqref="H77:H78">
    <cfRule type="cellIs" dxfId="15244" priority="777" operator="equal">
      <formula>"PMS"</formula>
    </cfRule>
    <cfRule type="containsText" dxfId="15243" priority="778" operator="containsText" text="CMS">
      <formula>NOT(ISERROR(SEARCH("CMS",H77)))</formula>
    </cfRule>
    <cfRule type="cellIs" dxfId="15242" priority="779" operator="equal">
      <formula>0</formula>
    </cfRule>
    <cfRule type="cellIs" dxfId="15241" priority="780" operator="greaterThan">
      <formula>0</formula>
    </cfRule>
  </conditionalFormatting>
  <conditionalFormatting sqref="O56:O57">
    <cfRule type="cellIs" dxfId="15240" priority="773" operator="equal">
      <formula>"PMS"</formula>
    </cfRule>
    <cfRule type="containsText" dxfId="15239" priority="774" operator="containsText" text="CMS">
      <formula>NOT(ISERROR(SEARCH("CMS",O56)))</formula>
    </cfRule>
    <cfRule type="cellIs" dxfId="15238" priority="775" operator="equal">
      <formula>0</formula>
    </cfRule>
    <cfRule type="cellIs" dxfId="15237" priority="776" operator="greaterThan">
      <formula>0</formula>
    </cfRule>
  </conditionalFormatting>
  <conditionalFormatting sqref="O56:O57">
    <cfRule type="cellIs" dxfId="15236" priority="769" operator="equal">
      <formula>"PMS"</formula>
    </cfRule>
    <cfRule type="containsText" dxfId="15235" priority="770" operator="containsText" text="CMS">
      <formula>NOT(ISERROR(SEARCH("CMS",O56)))</formula>
    </cfRule>
    <cfRule type="cellIs" dxfId="15234" priority="771" operator="equal">
      <formula>0</formula>
    </cfRule>
    <cfRule type="cellIs" dxfId="15233" priority="772" operator="greaterThan">
      <formula>0</formula>
    </cfRule>
  </conditionalFormatting>
  <conditionalFormatting sqref="O56:O57">
    <cfRule type="cellIs" dxfId="15232" priority="765" operator="equal">
      <formula>"PMS"</formula>
    </cfRule>
    <cfRule type="containsText" dxfId="15231" priority="766" operator="containsText" text="CMS">
      <formula>NOT(ISERROR(SEARCH("CMS",O56)))</formula>
    </cfRule>
    <cfRule type="cellIs" dxfId="15230" priority="767" operator="equal">
      <formula>0</formula>
    </cfRule>
    <cfRule type="cellIs" dxfId="15229" priority="768" operator="greaterThan">
      <formula>0</formula>
    </cfRule>
  </conditionalFormatting>
  <conditionalFormatting sqref="O56:O57">
    <cfRule type="cellIs" dxfId="15228" priority="761" operator="equal">
      <formula>"PMS"</formula>
    </cfRule>
    <cfRule type="containsText" dxfId="15227" priority="762" operator="containsText" text="CMS">
      <formula>NOT(ISERROR(SEARCH("CMS",O56)))</formula>
    </cfRule>
    <cfRule type="cellIs" dxfId="15226" priority="763" operator="equal">
      <formula>0</formula>
    </cfRule>
    <cfRule type="cellIs" dxfId="15225" priority="764" operator="greaterThan">
      <formula>0</formula>
    </cfRule>
  </conditionalFormatting>
  <conditionalFormatting sqref="O56:O57">
    <cfRule type="cellIs" dxfId="15224" priority="757" operator="equal">
      <formula>"PMS"</formula>
    </cfRule>
    <cfRule type="containsText" dxfId="15223" priority="758" operator="containsText" text="CMS">
      <formula>NOT(ISERROR(SEARCH("CMS",O56)))</formula>
    </cfRule>
    <cfRule type="cellIs" dxfId="15222" priority="759" operator="equal">
      <formula>0</formula>
    </cfRule>
    <cfRule type="cellIs" dxfId="15221" priority="760" operator="greaterThan">
      <formula>0</formula>
    </cfRule>
  </conditionalFormatting>
  <conditionalFormatting sqref="O56:O57">
    <cfRule type="cellIs" dxfId="15220" priority="753" operator="equal">
      <formula>"PMS"</formula>
    </cfRule>
    <cfRule type="containsText" dxfId="15219" priority="754" operator="containsText" text="CMS">
      <formula>NOT(ISERROR(SEARCH("CMS",O56)))</formula>
    </cfRule>
    <cfRule type="cellIs" dxfId="15218" priority="755" operator="equal">
      <formula>0</formula>
    </cfRule>
    <cfRule type="cellIs" dxfId="15217" priority="756" operator="greaterThan">
      <formula>0</formula>
    </cfRule>
  </conditionalFormatting>
  <conditionalFormatting sqref="O56:O57">
    <cfRule type="cellIs" dxfId="15216" priority="749" operator="equal">
      <formula>"PMS"</formula>
    </cfRule>
    <cfRule type="containsText" dxfId="15215" priority="750" operator="containsText" text="CMS">
      <formula>NOT(ISERROR(SEARCH("CMS",O56)))</formula>
    </cfRule>
    <cfRule type="cellIs" dxfId="15214" priority="751" operator="equal">
      <formula>0</formula>
    </cfRule>
    <cfRule type="cellIs" dxfId="15213" priority="752" operator="greaterThan">
      <formula>0</formula>
    </cfRule>
  </conditionalFormatting>
  <conditionalFormatting sqref="O56:O57">
    <cfRule type="cellIs" dxfId="15212" priority="745" operator="equal">
      <formula>"PMS"</formula>
    </cfRule>
    <cfRule type="containsText" dxfId="15211" priority="746" operator="containsText" text="CMS">
      <formula>NOT(ISERROR(SEARCH("CMS",O56)))</formula>
    </cfRule>
    <cfRule type="cellIs" dxfId="15210" priority="747" operator="equal">
      <formula>0</formula>
    </cfRule>
    <cfRule type="cellIs" dxfId="15209" priority="748" operator="greaterThan">
      <formula>0</formula>
    </cfRule>
  </conditionalFormatting>
  <conditionalFormatting sqref="O56:O57">
    <cfRule type="cellIs" dxfId="15208" priority="741" operator="equal">
      <formula>"PMS"</formula>
    </cfRule>
    <cfRule type="containsText" dxfId="15207" priority="742" operator="containsText" text="CMS">
      <formula>NOT(ISERROR(SEARCH("CMS",O56)))</formula>
    </cfRule>
    <cfRule type="cellIs" dxfId="15206" priority="743" operator="equal">
      <formula>0</formula>
    </cfRule>
    <cfRule type="cellIs" dxfId="15205" priority="744" operator="greaterThan">
      <formula>0</formula>
    </cfRule>
  </conditionalFormatting>
  <conditionalFormatting sqref="O56:O57">
    <cfRule type="cellIs" dxfId="15204" priority="737" operator="equal">
      <formula>"PMS"</formula>
    </cfRule>
    <cfRule type="containsText" dxfId="15203" priority="738" operator="containsText" text="CMS">
      <formula>NOT(ISERROR(SEARCH("CMS",O56)))</formula>
    </cfRule>
    <cfRule type="cellIs" dxfId="15202" priority="739" operator="equal">
      <formula>0</formula>
    </cfRule>
    <cfRule type="cellIs" dxfId="15201" priority="740" operator="greaterThan">
      <formula>0</formula>
    </cfRule>
  </conditionalFormatting>
  <conditionalFormatting sqref="O56:O57">
    <cfRule type="cellIs" dxfId="15200" priority="733" operator="equal">
      <formula>"PMS"</formula>
    </cfRule>
    <cfRule type="containsText" dxfId="15199" priority="734" operator="containsText" text="CMS">
      <formula>NOT(ISERROR(SEARCH("CMS",O56)))</formula>
    </cfRule>
    <cfRule type="cellIs" dxfId="15198" priority="735" operator="equal">
      <formula>0</formula>
    </cfRule>
    <cfRule type="cellIs" dxfId="15197" priority="736" operator="greaterThan">
      <formula>0</formula>
    </cfRule>
  </conditionalFormatting>
  <conditionalFormatting sqref="O56:O57">
    <cfRule type="cellIs" dxfId="15196" priority="729" operator="equal">
      <formula>"PMS"</formula>
    </cfRule>
    <cfRule type="containsText" dxfId="15195" priority="730" operator="containsText" text="CMS">
      <formula>NOT(ISERROR(SEARCH("CMS",O56)))</formula>
    </cfRule>
    <cfRule type="cellIs" dxfId="15194" priority="731" operator="equal">
      <formula>0</formula>
    </cfRule>
    <cfRule type="cellIs" dxfId="15193" priority="732" operator="greaterThan">
      <formula>0</formula>
    </cfRule>
  </conditionalFormatting>
  <conditionalFormatting sqref="R77">
    <cfRule type="cellIs" dxfId="15192" priority="725" operator="equal">
      <formula>"PMS"</formula>
    </cfRule>
    <cfRule type="containsText" dxfId="15191" priority="726" operator="containsText" text="CMS">
      <formula>NOT(ISERROR(SEARCH("CMS",R77)))</formula>
    </cfRule>
    <cfRule type="cellIs" dxfId="15190" priority="727" operator="equal">
      <formula>0</formula>
    </cfRule>
    <cfRule type="cellIs" dxfId="15189" priority="728" operator="greaterThan">
      <formula>0</formula>
    </cfRule>
  </conditionalFormatting>
  <conditionalFormatting sqref="G15:G16">
    <cfRule type="cellIs" dxfId="15188" priority="717" operator="equal">
      <formula>"PMS"</formula>
    </cfRule>
    <cfRule type="containsText" dxfId="15187" priority="718" operator="containsText" text="CMS">
      <formula>NOT(ISERROR(SEARCH("CMS",G15)))</formula>
    </cfRule>
    <cfRule type="cellIs" dxfId="15186" priority="719" operator="equal">
      <formula>0</formula>
    </cfRule>
    <cfRule type="cellIs" dxfId="15185" priority="720" operator="greaterThan">
      <formula>0</formula>
    </cfRule>
    <cfRule type="cellIs" dxfId="15184" priority="721" operator="equal">
      <formula>"PMS"</formula>
    </cfRule>
    <cfRule type="containsText" dxfId="15183" priority="722" operator="containsText" text="CMS">
      <formula>NOT(ISERROR(SEARCH("CMS",G15)))</formula>
    </cfRule>
    <cfRule type="cellIs" dxfId="15182" priority="723" operator="equal">
      <formula>0</formula>
    </cfRule>
    <cfRule type="cellIs" dxfId="15181" priority="724" operator="greaterThan">
      <formula>0</formula>
    </cfRule>
  </conditionalFormatting>
  <conditionalFormatting sqref="G15:G16">
    <cfRule type="cellIs" dxfId="15180" priority="713" operator="equal">
      <formula>"PMS"</formula>
    </cfRule>
    <cfRule type="containsText" dxfId="15179" priority="714" operator="containsText" text="CMS">
      <formula>NOT(ISERROR(SEARCH("CMS",G15)))</formula>
    </cfRule>
    <cfRule type="cellIs" dxfId="15178" priority="715" operator="equal">
      <formula>0</formula>
    </cfRule>
    <cfRule type="cellIs" dxfId="15177" priority="716" operator="greaterThan">
      <formula>0</formula>
    </cfRule>
  </conditionalFormatting>
  <conditionalFormatting sqref="G15:G16">
    <cfRule type="cellIs" dxfId="15176" priority="709" operator="equal">
      <formula>"PMS"</formula>
    </cfRule>
    <cfRule type="containsText" dxfId="15175" priority="710" operator="containsText" text="CMS">
      <formula>NOT(ISERROR(SEARCH("CMS",G15)))</formula>
    </cfRule>
    <cfRule type="cellIs" dxfId="15174" priority="711" operator="equal">
      <formula>0</formula>
    </cfRule>
    <cfRule type="cellIs" dxfId="15173" priority="712" operator="greaterThan">
      <formula>0</formula>
    </cfRule>
  </conditionalFormatting>
  <conditionalFormatting sqref="G21">
    <cfRule type="cellIs" dxfId="15172" priority="701" operator="equal">
      <formula>"PMS"</formula>
    </cfRule>
    <cfRule type="containsText" dxfId="15171" priority="702" operator="containsText" text="CMS">
      <formula>NOT(ISERROR(SEARCH("CMS",G21)))</formula>
    </cfRule>
    <cfRule type="cellIs" dxfId="15170" priority="703" operator="equal">
      <formula>0</formula>
    </cfRule>
    <cfRule type="cellIs" dxfId="15169" priority="704" operator="greaterThan">
      <formula>0</formula>
    </cfRule>
    <cfRule type="cellIs" dxfId="15168" priority="705" operator="equal">
      <formula>"PMS"</formula>
    </cfRule>
    <cfRule type="containsText" dxfId="15167" priority="706" operator="containsText" text="CMS">
      <formula>NOT(ISERROR(SEARCH("CMS",G21)))</formula>
    </cfRule>
    <cfRule type="cellIs" dxfId="15166" priority="707" operator="equal">
      <formula>0</formula>
    </cfRule>
    <cfRule type="cellIs" dxfId="15165" priority="708" operator="greaterThan">
      <formula>0</formula>
    </cfRule>
  </conditionalFormatting>
  <conditionalFormatting sqref="G21">
    <cfRule type="cellIs" dxfId="15164" priority="697" operator="equal">
      <formula>"PMS"</formula>
    </cfRule>
    <cfRule type="containsText" dxfId="15163" priority="698" operator="containsText" text="CMS">
      <formula>NOT(ISERROR(SEARCH("CMS",G21)))</formula>
    </cfRule>
    <cfRule type="cellIs" dxfId="15162" priority="699" operator="equal">
      <formula>0</formula>
    </cfRule>
    <cfRule type="cellIs" dxfId="15161" priority="700" operator="greaterThan">
      <formula>0</formula>
    </cfRule>
  </conditionalFormatting>
  <conditionalFormatting sqref="G21">
    <cfRule type="cellIs" dxfId="15160" priority="693" operator="equal">
      <formula>"PMS"</formula>
    </cfRule>
    <cfRule type="containsText" dxfId="15159" priority="694" operator="containsText" text="CMS">
      <formula>NOT(ISERROR(SEARCH("CMS",G21)))</formula>
    </cfRule>
    <cfRule type="cellIs" dxfId="15158" priority="695" operator="equal">
      <formula>0</formula>
    </cfRule>
    <cfRule type="cellIs" dxfId="15157" priority="696" operator="greaterThan">
      <formula>0</formula>
    </cfRule>
  </conditionalFormatting>
  <conditionalFormatting sqref="H61 L61:M61 L63 J63 J61">
    <cfRule type="cellIs" dxfId="15156" priority="685" operator="equal">
      <formula>"PMS"</formula>
    </cfRule>
    <cfRule type="containsText" dxfId="15155" priority="686" operator="containsText" text="CMS">
      <formula>NOT(ISERROR(SEARCH("CMS",H61)))</formula>
    </cfRule>
    <cfRule type="cellIs" dxfId="15154" priority="687" operator="equal">
      <formula>0</formula>
    </cfRule>
    <cfRule type="cellIs" dxfId="15153" priority="688" operator="greaterThan">
      <formula>0</formula>
    </cfRule>
    <cfRule type="cellIs" dxfId="15152" priority="689" operator="equal">
      <formula>"PMS"</formula>
    </cfRule>
    <cfRule type="containsText" dxfId="15151" priority="690" operator="containsText" text="CMS">
      <formula>NOT(ISERROR(SEARCH("CMS",H61)))</formula>
    </cfRule>
    <cfRule type="cellIs" dxfId="15150" priority="691" operator="equal">
      <formula>0</formula>
    </cfRule>
    <cfRule type="cellIs" dxfId="15149" priority="692" operator="greaterThan">
      <formula>0</formula>
    </cfRule>
  </conditionalFormatting>
  <conditionalFormatting sqref="H61 L61:M61 L63 J63 J61">
    <cfRule type="cellIs" dxfId="15148" priority="681" operator="equal">
      <formula>"PMS"</formula>
    </cfRule>
    <cfRule type="containsText" dxfId="15147" priority="682" operator="containsText" text="CMS">
      <formula>NOT(ISERROR(SEARCH("CMS",H61)))</formula>
    </cfRule>
    <cfRule type="cellIs" dxfId="15146" priority="683" operator="equal">
      <formula>0</formula>
    </cfRule>
    <cfRule type="cellIs" dxfId="15145" priority="684" operator="greaterThan">
      <formula>0</formula>
    </cfRule>
  </conditionalFormatting>
  <conditionalFormatting sqref="G78">
    <cfRule type="cellIs" dxfId="15144" priority="673" operator="equal">
      <formula>"PMS"</formula>
    </cfRule>
    <cfRule type="containsText" dxfId="15143" priority="674" operator="containsText" text="CMS">
      <formula>NOT(ISERROR(SEARCH("CMS",G78)))</formula>
    </cfRule>
    <cfRule type="cellIs" dxfId="15142" priority="675" operator="equal">
      <formula>0</formula>
    </cfRule>
    <cfRule type="cellIs" dxfId="15141" priority="676" operator="greaterThan">
      <formula>0</formula>
    </cfRule>
    <cfRule type="cellIs" dxfId="15140" priority="677" operator="equal">
      <formula>"PMS"</formula>
    </cfRule>
    <cfRule type="containsText" dxfId="15139" priority="678" operator="containsText" text="CMS">
      <formula>NOT(ISERROR(SEARCH("CMS",G78)))</formula>
    </cfRule>
    <cfRule type="cellIs" dxfId="15138" priority="679" operator="equal">
      <formula>0</formula>
    </cfRule>
    <cfRule type="cellIs" dxfId="15137" priority="680" operator="greaterThan">
      <formula>0</formula>
    </cfRule>
  </conditionalFormatting>
  <conditionalFormatting sqref="G78">
    <cfRule type="cellIs" dxfId="15136" priority="669" operator="equal">
      <formula>"PMS"</formula>
    </cfRule>
    <cfRule type="containsText" dxfId="15135" priority="670" operator="containsText" text="CMS">
      <formula>NOT(ISERROR(SEARCH("CMS",G78)))</formula>
    </cfRule>
    <cfRule type="cellIs" dxfId="15134" priority="671" operator="equal">
      <formula>0</formula>
    </cfRule>
    <cfRule type="cellIs" dxfId="15133" priority="672" operator="greaterThan">
      <formula>0</formula>
    </cfRule>
  </conditionalFormatting>
  <conditionalFormatting sqref="G24">
    <cfRule type="cellIs" dxfId="15132" priority="661" operator="equal">
      <formula>"PMS"</formula>
    </cfRule>
    <cfRule type="containsText" dxfId="15131" priority="662" operator="containsText" text="CMS">
      <formula>NOT(ISERROR(SEARCH("CMS",G24)))</formula>
    </cfRule>
    <cfRule type="cellIs" dxfId="15130" priority="663" operator="equal">
      <formula>0</formula>
    </cfRule>
    <cfRule type="cellIs" dxfId="15129" priority="664" operator="greaterThan">
      <formula>0</formula>
    </cfRule>
    <cfRule type="cellIs" dxfId="15128" priority="665" operator="equal">
      <formula>"PMS"</formula>
    </cfRule>
    <cfRule type="containsText" dxfId="15127" priority="666" operator="containsText" text="CMS">
      <formula>NOT(ISERROR(SEARCH("CMS",G24)))</formula>
    </cfRule>
    <cfRule type="cellIs" dxfId="15126" priority="667" operator="equal">
      <formula>0</formula>
    </cfRule>
    <cfRule type="cellIs" dxfId="15125" priority="668" operator="greaterThan">
      <formula>0</formula>
    </cfRule>
  </conditionalFormatting>
  <conditionalFormatting sqref="G24">
    <cfRule type="cellIs" dxfId="15124" priority="657" operator="equal">
      <formula>"PMS"</formula>
    </cfRule>
    <cfRule type="containsText" dxfId="15123" priority="658" operator="containsText" text="CMS">
      <formula>NOT(ISERROR(SEARCH("CMS",G24)))</formula>
    </cfRule>
    <cfRule type="cellIs" dxfId="15122" priority="659" operator="equal">
      <formula>0</formula>
    </cfRule>
    <cfRule type="cellIs" dxfId="15121" priority="660" operator="greaterThan">
      <formula>0</formula>
    </cfRule>
  </conditionalFormatting>
  <conditionalFormatting sqref="G24">
    <cfRule type="cellIs" dxfId="15120" priority="653" operator="equal">
      <formula>"PMS"</formula>
    </cfRule>
    <cfRule type="containsText" dxfId="15119" priority="654" operator="containsText" text="CMS">
      <formula>NOT(ISERROR(SEARCH("CMS",G24)))</formula>
    </cfRule>
    <cfRule type="cellIs" dxfId="15118" priority="655" operator="equal">
      <formula>0</formula>
    </cfRule>
    <cfRule type="cellIs" dxfId="15117" priority="656" operator="greaterThan">
      <formula>0</formula>
    </cfRule>
  </conditionalFormatting>
  <conditionalFormatting sqref="O56:O57">
    <cfRule type="cellIs" dxfId="15116" priority="649" operator="equal">
      <formula>"PMS"</formula>
    </cfRule>
    <cfRule type="containsText" dxfId="15115" priority="650" operator="containsText" text="CMS">
      <formula>NOT(ISERROR(SEARCH("CMS",O56)))</formula>
    </cfRule>
    <cfRule type="cellIs" dxfId="15114" priority="651" operator="equal">
      <formula>0</formula>
    </cfRule>
    <cfRule type="cellIs" dxfId="15113" priority="652" operator="greaterThan">
      <formula>0</formula>
    </cfRule>
  </conditionalFormatting>
  <conditionalFormatting sqref="O56:O57">
    <cfRule type="cellIs" dxfId="15112" priority="645" operator="equal">
      <formula>"PMS"</formula>
    </cfRule>
    <cfRule type="containsText" dxfId="15111" priority="646" operator="containsText" text="CMS">
      <formula>NOT(ISERROR(SEARCH("CMS",O56)))</formula>
    </cfRule>
    <cfRule type="cellIs" dxfId="15110" priority="647" operator="equal">
      <formula>0</formula>
    </cfRule>
    <cfRule type="cellIs" dxfId="15109" priority="648" operator="greaterThan">
      <formula>0</formula>
    </cfRule>
  </conditionalFormatting>
  <conditionalFormatting sqref="O56:O57">
    <cfRule type="cellIs" dxfId="15108" priority="641" operator="equal">
      <formula>"PMS"</formula>
    </cfRule>
    <cfRule type="containsText" dxfId="15107" priority="642" operator="containsText" text="CMS">
      <formula>NOT(ISERROR(SEARCH("CMS",O56)))</formula>
    </cfRule>
    <cfRule type="cellIs" dxfId="15106" priority="643" operator="equal">
      <formula>0</formula>
    </cfRule>
    <cfRule type="cellIs" dxfId="15105" priority="644" operator="greaterThan">
      <formula>0</formula>
    </cfRule>
  </conditionalFormatting>
  <conditionalFormatting sqref="O56:O57">
    <cfRule type="cellIs" dxfId="15104" priority="637" operator="equal">
      <formula>"PMS"</formula>
    </cfRule>
    <cfRule type="containsText" dxfId="15103" priority="638" operator="containsText" text="CMS">
      <formula>NOT(ISERROR(SEARCH("CMS",O56)))</formula>
    </cfRule>
    <cfRule type="cellIs" dxfId="15102" priority="639" operator="equal">
      <formula>0</formula>
    </cfRule>
    <cfRule type="cellIs" dxfId="15101" priority="640" operator="greaterThan">
      <formula>0</formula>
    </cfRule>
  </conditionalFormatting>
  <conditionalFormatting sqref="O56">
    <cfRule type="cellIs" dxfId="15100" priority="633" operator="equal">
      <formula>"PMS"</formula>
    </cfRule>
    <cfRule type="containsText" dxfId="15099" priority="634" operator="containsText" text="CMS">
      <formula>NOT(ISERROR(SEARCH("CMS",O56)))</formula>
    </cfRule>
    <cfRule type="cellIs" dxfId="15098" priority="635" operator="equal">
      <formula>0</formula>
    </cfRule>
    <cfRule type="cellIs" dxfId="15097" priority="636" operator="greaterThan">
      <formula>0</formula>
    </cfRule>
  </conditionalFormatting>
  <conditionalFormatting sqref="O56">
    <cfRule type="cellIs" dxfId="15096" priority="629" operator="equal">
      <formula>"PMS"</formula>
    </cfRule>
    <cfRule type="containsText" dxfId="15095" priority="630" operator="containsText" text="CMS">
      <formula>NOT(ISERROR(SEARCH("CMS",O56)))</formula>
    </cfRule>
    <cfRule type="cellIs" dxfId="15094" priority="631" operator="equal">
      <formula>0</formula>
    </cfRule>
    <cfRule type="cellIs" dxfId="15093" priority="632" operator="greaterThan">
      <formula>0</formula>
    </cfRule>
  </conditionalFormatting>
  <conditionalFormatting sqref="O56">
    <cfRule type="cellIs" dxfId="15092" priority="625" operator="equal">
      <formula>"PMS"</formula>
    </cfRule>
    <cfRule type="containsText" dxfId="15091" priority="626" operator="containsText" text="CMS">
      <formula>NOT(ISERROR(SEARCH("CMS",O56)))</formula>
    </cfRule>
    <cfRule type="cellIs" dxfId="15090" priority="627" operator="equal">
      <formula>0</formula>
    </cfRule>
    <cfRule type="cellIs" dxfId="15089" priority="628" operator="greaterThan">
      <formula>0</formula>
    </cfRule>
  </conditionalFormatting>
  <conditionalFormatting sqref="O56">
    <cfRule type="cellIs" dxfId="15088" priority="621" operator="equal">
      <formula>"PMS"</formula>
    </cfRule>
    <cfRule type="containsText" dxfId="15087" priority="622" operator="containsText" text="CMS">
      <formula>NOT(ISERROR(SEARCH("CMS",O56)))</formula>
    </cfRule>
    <cfRule type="cellIs" dxfId="15086" priority="623" operator="equal">
      <formula>0</formula>
    </cfRule>
    <cfRule type="cellIs" dxfId="15085" priority="624" operator="greaterThan">
      <formula>0</formula>
    </cfRule>
  </conditionalFormatting>
  <conditionalFormatting sqref="O56">
    <cfRule type="cellIs" dxfId="15084" priority="617" operator="equal">
      <formula>"PMS"</formula>
    </cfRule>
    <cfRule type="containsText" dxfId="15083" priority="618" operator="containsText" text="CMS">
      <formula>NOT(ISERROR(SEARCH("CMS",O56)))</formula>
    </cfRule>
    <cfRule type="cellIs" dxfId="15082" priority="619" operator="equal">
      <formula>0</formula>
    </cfRule>
    <cfRule type="cellIs" dxfId="15081" priority="620" operator="greaterThan">
      <formula>0</formula>
    </cfRule>
  </conditionalFormatting>
  <conditionalFormatting sqref="P57:P58">
    <cfRule type="cellIs" dxfId="15080" priority="613" operator="equal">
      <formula>"PMS"</formula>
    </cfRule>
    <cfRule type="containsText" dxfId="15079" priority="614" operator="containsText" text="CMS">
      <formula>NOT(ISERROR(SEARCH("CMS",P57)))</formula>
    </cfRule>
    <cfRule type="cellIs" dxfId="15078" priority="615" operator="equal">
      <formula>0</formula>
    </cfRule>
    <cfRule type="cellIs" dxfId="15077" priority="616" operator="greaterThan">
      <formula>0</formula>
    </cfRule>
  </conditionalFormatting>
  <conditionalFormatting sqref="L62">
    <cfRule type="cellIs" dxfId="15076" priority="605" operator="equal">
      <formula>"PMS"</formula>
    </cfRule>
    <cfRule type="containsText" dxfId="15075" priority="606" operator="containsText" text="CMS">
      <formula>NOT(ISERROR(SEARCH("CMS",L62)))</formula>
    </cfRule>
    <cfRule type="cellIs" dxfId="15074" priority="607" operator="equal">
      <formula>0</formula>
    </cfRule>
    <cfRule type="cellIs" dxfId="15073" priority="608" operator="greaterThan">
      <formula>0</formula>
    </cfRule>
    <cfRule type="cellIs" dxfId="15072" priority="609" operator="equal">
      <formula>"PMS"</formula>
    </cfRule>
    <cfRule type="containsText" dxfId="15071" priority="610" operator="containsText" text="CMS">
      <formula>NOT(ISERROR(SEARCH("CMS",L62)))</formula>
    </cfRule>
    <cfRule type="cellIs" dxfId="15070" priority="611" operator="equal">
      <formula>0</formula>
    </cfRule>
    <cfRule type="cellIs" dxfId="15069" priority="612" operator="greaterThan">
      <formula>0</formula>
    </cfRule>
  </conditionalFormatting>
  <conditionalFormatting sqref="L62">
    <cfRule type="cellIs" dxfId="15068" priority="601" operator="equal">
      <formula>"PMS"</formula>
    </cfRule>
    <cfRule type="containsText" dxfId="15067" priority="602" operator="containsText" text="CMS">
      <formula>NOT(ISERROR(SEARCH("CMS",L62)))</formula>
    </cfRule>
    <cfRule type="cellIs" dxfId="15066" priority="603" operator="equal">
      <formula>0</formula>
    </cfRule>
    <cfRule type="cellIs" dxfId="15065" priority="604" operator="greaterThan">
      <formula>0</formula>
    </cfRule>
  </conditionalFormatting>
  <conditionalFormatting sqref="M62:M63">
    <cfRule type="cellIs" dxfId="15064" priority="593" operator="equal">
      <formula>"PMS"</formula>
    </cfRule>
    <cfRule type="containsText" dxfId="15063" priority="594" operator="containsText" text="CMS">
      <formula>NOT(ISERROR(SEARCH("CMS",M62)))</formula>
    </cfRule>
    <cfRule type="cellIs" dxfId="15062" priority="595" operator="equal">
      <formula>0</formula>
    </cfRule>
    <cfRule type="cellIs" dxfId="15061" priority="596" operator="greaterThan">
      <formula>0</formula>
    </cfRule>
    <cfRule type="cellIs" dxfId="15060" priority="597" operator="equal">
      <formula>"PMS"</formula>
    </cfRule>
    <cfRule type="containsText" dxfId="15059" priority="598" operator="containsText" text="CMS">
      <formula>NOT(ISERROR(SEARCH("CMS",M62)))</formula>
    </cfRule>
    <cfRule type="cellIs" dxfId="15058" priority="599" operator="equal">
      <formula>0</formula>
    </cfRule>
    <cfRule type="cellIs" dxfId="15057" priority="600" operator="greaterThan">
      <formula>0</formula>
    </cfRule>
  </conditionalFormatting>
  <conditionalFormatting sqref="M62:M63">
    <cfRule type="cellIs" dxfId="15056" priority="589" operator="equal">
      <formula>"PMS"</formula>
    </cfRule>
    <cfRule type="containsText" dxfId="15055" priority="590" operator="containsText" text="CMS">
      <formula>NOT(ISERROR(SEARCH("CMS",M62)))</formula>
    </cfRule>
    <cfRule type="cellIs" dxfId="15054" priority="591" operator="equal">
      <formula>0</formula>
    </cfRule>
    <cfRule type="cellIs" dxfId="15053" priority="592" operator="greaterThan">
      <formula>0</formula>
    </cfRule>
  </conditionalFormatting>
  <conditionalFormatting sqref="Z13:Z16">
    <cfRule type="cellIs" dxfId="15052" priority="585" operator="equal">
      <formula>"PMS"</formula>
    </cfRule>
    <cfRule type="containsText" dxfId="15051" priority="586" operator="containsText" text="CMS">
      <formula>NOT(ISERROR(SEARCH("CMS",Z13)))</formula>
    </cfRule>
    <cfRule type="cellIs" dxfId="15050" priority="587" operator="equal">
      <formula>0</formula>
    </cfRule>
    <cfRule type="cellIs" dxfId="15049" priority="588" operator="greaterThan">
      <formula>0</formula>
    </cfRule>
  </conditionalFormatting>
  <conditionalFormatting sqref="Z13:Z16">
    <cfRule type="cellIs" dxfId="15048" priority="581" operator="equal">
      <formula>"PMS"</formula>
    </cfRule>
    <cfRule type="containsText" dxfId="15047" priority="582" operator="containsText" text="CMS">
      <formula>NOT(ISERROR(SEARCH("CMS",Z13)))</formula>
    </cfRule>
    <cfRule type="cellIs" dxfId="15046" priority="583" operator="equal">
      <formula>0</formula>
    </cfRule>
    <cfRule type="cellIs" dxfId="15045" priority="584" operator="greaterThan">
      <formula>0</formula>
    </cfRule>
  </conditionalFormatting>
  <conditionalFormatting sqref="Z16">
    <cfRule type="cellIs" dxfId="15044" priority="577" operator="equal">
      <formula>"PMS"</formula>
    </cfRule>
    <cfRule type="containsText" dxfId="15043" priority="578" operator="containsText" text="CMS">
      <formula>NOT(ISERROR(SEARCH("CMS",Z16)))</formula>
    </cfRule>
    <cfRule type="cellIs" dxfId="15042" priority="579" operator="equal">
      <formula>0</formula>
    </cfRule>
    <cfRule type="cellIs" dxfId="15041" priority="580" operator="greaterThan">
      <formula>0</formula>
    </cfRule>
  </conditionalFormatting>
  <conditionalFormatting sqref="Z16">
    <cfRule type="cellIs" dxfId="15040" priority="573" operator="equal">
      <formula>"PMS"</formula>
    </cfRule>
    <cfRule type="containsText" dxfId="15039" priority="574" operator="containsText" text="CMS">
      <formula>NOT(ISERROR(SEARCH("CMS",Z16)))</formula>
    </cfRule>
    <cfRule type="cellIs" dxfId="15038" priority="575" operator="equal">
      <formula>0</formula>
    </cfRule>
    <cfRule type="cellIs" dxfId="15037" priority="576" operator="greaterThan">
      <formula>0</formula>
    </cfRule>
  </conditionalFormatting>
  <conditionalFormatting sqref="J62:K62">
    <cfRule type="cellIs" dxfId="15036" priority="565" operator="equal">
      <formula>"PMS"</formula>
    </cfRule>
    <cfRule type="containsText" dxfId="15035" priority="566" operator="containsText" text="CMS">
      <formula>NOT(ISERROR(SEARCH("CMS",J62)))</formula>
    </cfRule>
    <cfRule type="cellIs" dxfId="15034" priority="567" operator="equal">
      <formula>0</formula>
    </cfRule>
    <cfRule type="cellIs" dxfId="15033" priority="568" operator="greaterThan">
      <formula>0</formula>
    </cfRule>
    <cfRule type="cellIs" dxfId="15032" priority="569" operator="equal">
      <formula>"PMS"</formula>
    </cfRule>
    <cfRule type="containsText" dxfId="15031" priority="570" operator="containsText" text="CMS">
      <formula>NOT(ISERROR(SEARCH("CMS",J62)))</formula>
    </cfRule>
    <cfRule type="cellIs" dxfId="15030" priority="571" operator="equal">
      <formula>0</formula>
    </cfRule>
    <cfRule type="cellIs" dxfId="15029" priority="572" operator="greaterThan">
      <formula>0</formula>
    </cfRule>
  </conditionalFormatting>
  <conditionalFormatting sqref="J62:K62">
    <cfRule type="cellIs" dxfId="15028" priority="561" operator="equal">
      <formula>"PMS"</formula>
    </cfRule>
    <cfRule type="containsText" dxfId="15027" priority="562" operator="containsText" text="CMS">
      <formula>NOT(ISERROR(SEARCH("CMS",J62)))</formula>
    </cfRule>
    <cfRule type="cellIs" dxfId="15026" priority="563" operator="equal">
      <formula>0</formula>
    </cfRule>
    <cfRule type="cellIs" dxfId="15025" priority="564" operator="greaterThan">
      <formula>0</formula>
    </cfRule>
  </conditionalFormatting>
  <conditionalFormatting sqref="O52:O55">
    <cfRule type="cellIs" dxfId="15024" priority="557" operator="equal">
      <formula>"PMS"</formula>
    </cfRule>
    <cfRule type="containsText" dxfId="15023" priority="558" operator="containsText" text="CMS">
      <formula>NOT(ISERROR(SEARCH("CMS",O52)))</formula>
    </cfRule>
    <cfRule type="cellIs" dxfId="15022" priority="559" operator="equal">
      <formula>0</formula>
    </cfRule>
    <cfRule type="cellIs" dxfId="15021" priority="560" operator="greaterThan">
      <formula>0</formula>
    </cfRule>
  </conditionalFormatting>
  <conditionalFormatting sqref="O52:O55">
    <cfRule type="cellIs" dxfId="15020" priority="553" operator="equal">
      <formula>"PMS"</formula>
    </cfRule>
    <cfRule type="containsText" dxfId="15019" priority="554" operator="containsText" text="CMS">
      <formula>NOT(ISERROR(SEARCH("CMS",O52)))</formula>
    </cfRule>
    <cfRule type="cellIs" dxfId="15018" priority="555" operator="equal">
      <formula>0</formula>
    </cfRule>
    <cfRule type="cellIs" dxfId="15017" priority="556" operator="greaterThan">
      <formula>0</formula>
    </cfRule>
  </conditionalFormatting>
  <conditionalFormatting sqref="O52:O55">
    <cfRule type="cellIs" dxfId="15016" priority="549" operator="equal">
      <formula>"PMS"</formula>
    </cfRule>
    <cfRule type="containsText" dxfId="15015" priority="550" operator="containsText" text="CMS">
      <formula>NOT(ISERROR(SEARCH("CMS",O52)))</formula>
    </cfRule>
    <cfRule type="cellIs" dxfId="15014" priority="551" operator="equal">
      <formula>0</formula>
    </cfRule>
    <cfRule type="cellIs" dxfId="15013" priority="552" operator="greaterThan">
      <formula>0</formula>
    </cfRule>
  </conditionalFormatting>
  <conditionalFormatting sqref="O52:O55">
    <cfRule type="cellIs" dxfId="15012" priority="545" operator="equal">
      <formula>"PMS"</formula>
    </cfRule>
    <cfRule type="containsText" dxfId="15011" priority="546" operator="containsText" text="CMS">
      <formula>NOT(ISERROR(SEARCH("CMS",O52)))</formula>
    </cfRule>
    <cfRule type="cellIs" dxfId="15010" priority="547" operator="equal">
      <formula>0</formula>
    </cfRule>
    <cfRule type="cellIs" dxfId="15009" priority="548" operator="greaterThan">
      <formula>0</formula>
    </cfRule>
  </conditionalFormatting>
  <conditionalFormatting sqref="O52:O55">
    <cfRule type="cellIs" dxfId="15008" priority="541" operator="equal">
      <formula>"PMS"</formula>
    </cfRule>
    <cfRule type="containsText" dxfId="15007" priority="542" operator="containsText" text="CMS">
      <formula>NOT(ISERROR(SEARCH("CMS",O52)))</formula>
    </cfRule>
    <cfRule type="cellIs" dxfId="15006" priority="543" operator="equal">
      <formula>0</formula>
    </cfRule>
    <cfRule type="cellIs" dxfId="15005" priority="544" operator="greaterThan">
      <formula>0</formula>
    </cfRule>
  </conditionalFormatting>
  <conditionalFormatting sqref="O52:O55">
    <cfRule type="cellIs" dxfId="15004" priority="537" operator="equal">
      <formula>"PMS"</formula>
    </cfRule>
    <cfRule type="containsText" dxfId="15003" priority="538" operator="containsText" text="CMS">
      <formula>NOT(ISERROR(SEARCH("CMS",O52)))</formula>
    </cfRule>
    <cfRule type="cellIs" dxfId="15002" priority="539" operator="equal">
      <formula>0</formula>
    </cfRule>
    <cfRule type="cellIs" dxfId="15001" priority="540" operator="greaterThan">
      <formula>0</formula>
    </cfRule>
  </conditionalFormatting>
  <conditionalFormatting sqref="O52:O53">
    <cfRule type="cellIs" dxfId="15000" priority="533" operator="equal">
      <formula>"PMS"</formula>
    </cfRule>
    <cfRule type="containsText" dxfId="14999" priority="534" operator="containsText" text="CMS">
      <formula>NOT(ISERROR(SEARCH("CMS",O52)))</formula>
    </cfRule>
    <cfRule type="cellIs" dxfId="14998" priority="535" operator="equal">
      <formula>0</formula>
    </cfRule>
    <cfRule type="cellIs" dxfId="14997" priority="536" operator="greaterThan">
      <formula>0</formula>
    </cfRule>
  </conditionalFormatting>
  <conditionalFormatting sqref="O52:O53">
    <cfRule type="cellIs" dxfId="14996" priority="529" operator="equal">
      <formula>"PMS"</formula>
    </cfRule>
    <cfRule type="containsText" dxfId="14995" priority="530" operator="containsText" text="CMS">
      <formula>NOT(ISERROR(SEARCH("CMS",O52)))</formula>
    </cfRule>
    <cfRule type="cellIs" dxfId="14994" priority="531" operator="equal">
      <formula>0</formula>
    </cfRule>
    <cfRule type="cellIs" dxfId="14993" priority="532" operator="greaterThan">
      <formula>0</formula>
    </cfRule>
  </conditionalFormatting>
  <conditionalFormatting sqref="O52:O53">
    <cfRule type="cellIs" dxfId="14992" priority="525" operator="equal">
      <formula>"PMS"</formula>
    </cfRule>
    <cfRule type="containsText" dxfId="14991" priority="526" operator="containsText" text="CMS">
      <formula>NOT(ISERROR(SEARCH("CMS",O52)))</formula>
    </cfRule>
    <cfRule type="cellIs" dxfId="14990" priority="527" operator="equal">
      <formula>0</formula>
    </cfRule>
    <cfRule type="cellIs" dxfId="14989" priority="528" operator="greaterThan">
      <formula>0</formula>
    </cfRule>
  </conditionalFormatting>
  <conditionalFormatting sqref="O52:O53">
    <cfRule type="cellIs" dxfId="14988" priority="521" operator="equal">
      <formula>"PMS"</formula>
    </cfRule>
    <cfRule type="containsText" dxfId="14987" priority="522" operator="containsText" text="CMS">
      <formula>NOT(ISERROR(SEARCH("CMS",O52)))</formula>
    </cfRule>
    <cfRule type="cellIs" dxfId="14986" priority="523" operator="equal">
      <formula>0</formula>
    </cfRule>
    <cfRule type="cellIs" dxfId="14985" priority="524" operator="greaterThan">
      <formula>0</formula>
    </cfRule>
  </conditionalFormatting>
  <conditionalFormatting sqref="O52:O53">
    <cfRule type="cellIs" dxfId="14984" priority="517" operator="equal">
      <formula>"PMS"</formula>
    </cfRule>
    <cfRule type="containsText" dxfId="14983" priority="518" operator="containsText" text="CMS">
      <formula>NOT(ISERROR(SEARCH("CMS",O52)))</formula>
    </cfRule>
    <cfRule type="cellIs" dxfId="14982" priority="519" operator="equal">
      <formula>0</formula>
    </cfRule>
    <cfRule type="cellIs" dxfId="14981" priority="520" operator="greaterThan">
      <formula>0</formula>
    </cfRule>
  </conditionalFormatting>
  <conditionalFormatting sqref="O52:O53">
    <cfRule type="cellIs" dxfId="14980" priority="513" operator="equal">
      <formula>"PMS"</formula>
    </cfRule>
    <cfRule type="containsText" dxfId="14979" priority="514" operator="containsText" text="CMS">
      <formula>NOT(ISERROR(SEARCH("CMS",O52)))</formula>
    </cfRule>
    <cfRule type="cellIs" dxfId="14978" priority="515" operator="equal">
      <formula>0</formula>
    </cfRule>
    <cfRule type="cellIs" dxfId="14977" priority="516" operator="greaterThan">
      <formula>0</formula>
    </cfRule>
  </conditionalFormatting>
  <conditionalFormatting sqref="O52:O53">
    <cfRule type="cellIs" dxfId="14976" priority="509" operator="equal">
      <formula>"PMS"</formula>
    </cfRule>
    <cfRule type="containsText" dxfId="14975" priority="510" operator="containsText" text="CMS">
      <formula>NOT(ISERROR(SEARCH("CMS",O52)))</formula>
    </cfRule>
    <cfRule type="cellIs" dxfId="14974" priority="511" operator="equal">
      <formula>0</formula>
    </cfRule>
    <cfRule type="cellIs" dxfId="14973" priority="512" operator="greaterThan">
      <formula>0</formula>
    </cfRule>
  </conditionalFormatting>
  <conditionalFormatting sqref="O52:O53">
    <cfRule type="cellIs" dxfId="14972" priority="505" operator="equal">
      <formula>"PMS"</formula>
    </cfRule>
    <cfRule type="containsText" dxfId="14971" priority="506" operator="containsText" text="CMS">
      <formula>NOT(ISERROR(SEARCH("CMS",O52)))</formula>
    </cfRule>
    <cfRule type="cellIs" dxfId="14970" priority="507" operator="equal">
      <formula>0</formula>
    </cfRule>
    <cfRule type="cellIs" dxfId="14969" priority="508" operator="greaterThan">
      <formula>0</formula>
    </cfRule>
  </conditionalFormatting>
  <conditionalFormatting sqref="O52:O53">
    <cfRule type="cellIs" dxfId="14968" priority="501" operator="equal">
      <formula>"PMS"</formula>
    </cfRule>
    <cfRule type="containsText" dxfId="14967" priority="502" operator="containsText" text="CMS">
      <formula>NOT(ISERROR(SEARCH("CMS",O52)))</formula>
    </cfRule>
    <cfRule type="cellIs" dxfId="14966" priority="503" operator="equal">
      <formula>0</formula>
    </cfRule>
    <cfRule type="cellIs" dxfId="14965" priority="504" operator="greaterThan">
      <formula>0</formula>
    </cfRule>
  </conditionalFormatting>
  <conditionalFormatting sqref="O52:O53">
    <cfRule type="cellIs" dxfId="14964" priority="497" operator="equal">
      <formula>"PMS"</formula>
    </cfRule>
    <cfRule type="containsText" dxfId="14963" priority="498" operator="containsText" text="CMS">
      <formula>NOT(ISERROR(SEARCH("CMS",O52)))</formula>
    </cfRule>
    <cfRule type="cellIs" dxfId="14962" priority="499" operator="equal">
      <formula>0</formula>
    </cfRule>
    <cfRule type="cellIs" dxfId="14961" priority="500" operator="greaterThan">
      <formula>0</formula>
    </cfRule>
  </conditionalFormatting>
  <conditionalFormatting sqref="O52:O53">
    <cfRule type="cellIs" dxfId="14960" priority="493" operator="equal">
      <formula>"PMS"</formula>
    </cfRule>
    <cfRule type="containsText" dxfId="14959" priority="494" operator="containsText" text="CMS">
      <formula>NOT(ISERROR(SEARCH("CMS",O52)))</formula>
    </cfRule>
    <cfRule type="cellIs" dxfId="14958" priority="495" operator="equal">
      <formula>0</formula>
    </cfRule>
    <cfRule type="cellIs" dxfId="14957" priority="496" operator="greaterThan">
      <formula>0</formula>
    </cfRule>
  </conditionalFormatting>
  <conditionalFormatting sqref="O52:O53">
    <cfRule type="cellIs" dxfId="14956" priority="489" operator="equal">
      <formula>"PMS"</formula>
    </cfRule>
    <cfRule type="containsText" dxfId="14955" priority="490" operator="containsText" text="CMS">
      <formula>NOT(ISERROR(SEARCH("CMS",O52)))</formula>
    </cfRule>
    <cfRule type="cellIs" dxfId="14954" priority="491" operator="equal">
      <formula>0</formula>
    </cfRule>
    <cfRule type="cellIs" dxfId="14953" priority="492" operator="greaterThan">
      <formula>0</formula>
    </cfRule>
  </conditionalFormatting>
  <conditionalFormatting sqref="O52:O53">
    <cfRule type="cellIs" dxfId="14952" priority="485" operator="equal">
      <formula>"PMS"</formula>
    </cfRule>
    <cfRule type="containsText" dxfId="14951" priority="486" operator="containsText" text="CMS">
      <formula>NOT(ISERROR(SEARCH("CMS",O52)))</formula>
    </cfRule>
    <cfRule type="cellIs" dxfId="14950" priority="487" operator="equal">
      <formula>0</formula>
    </cfRule>
    <cfRule type="cellIs" dxfId="14949" priority="488" operator="greaterThan">
      <formula>0</formula>
    </cfRule>
  </conditionalFormatting>
  <conditionalFormatting sqref="P52:P54">
    <cfRule type="cellIs" dxfId="14948" priority="481" operator="equal">
      <formula>"PMS"</formula>
    </cfRule>
    <cfRule type="containsText" dxfId="14947" priority="482" operator="containsText" text="CMS">
      <formula>NOT(ISERROR(SEARCH("CMS",P52)))</formula>
    </cfRule>
    <cfRule type="cellIs" dxfId="14946" priority="483" operator="equal">
      <formula>0</formula>
    </cfRule>
    <cfRule type="cellIs" dxfId="14945" priority="484" operator="greaterThan">
      <formula>0</formula>
    </cfRule>
  </conditionalFormatting>
  <conditionalFormatting sqref="P52:P54">
    <cfRule type="cellIs" dxfId="14944" priority="477" operator="equal">
      <formula>"PMS"</formula>
    </cfRule>
    <cfRule type="containsText" dxfId="14943" priority="478" operator="containsText" text="CMS">
      <formula>NOT(ISERROR(SEARCH("CMS",P52)))</formula>
    </cfRule>
    <cfRule type="cellIs" dxfId="14942" priority="479" operator="equal">
      <formula>0</formula>
    </cfRule>
    <cfRule type="cellIs" dxfId="14941" priority="480" operator="greaterThan">
      <formula>0</formula>
    </cfRule>
  </conditionalFormatting>
  <conditionalFormatting sqref="P52:P54">
    <cfRule type="cellIs" dxfId="14940" priority="473" operator="equal">
      <formula>"PMS"</formula>
    </cfRule>
    <cfRule type="containsText" dxfId="14939" priority="474" operator="containsText" text="CMS">
      <formula>NOT(ISERROR(SEARCH("CMS",P52)))</formula>
    </cfRule>
    <cfRule type="cellIs" dxfId="14938" priority="475" operator="equal">
      <formula>0</formula>
    </cfRule>
    <cfRule type="cellIs" dxfId="14937" priority="476" operator="greaterThan">
      <formula>0</formula>
    </cfRule>
  </conditionalFormatting>
  <conditionalFormatting sqref="P52:P54">
    <cfRule type="cellIs" dxfId="14936" priority="469" operator="equal">
      <formula>"PMS"</formula>
    </cfRule>
    <cfRule type="containsText" dxfId="14935" priority="470" operator="containsText" text="CMS">
      <formula>NOT(ISERROR(SEARCH("CMS",P52)))</formula>
    </cfRule>
    <cfRule type="cellIs" dxfId="14934" priority="471" operator="equal">
      <formula>0</formula>
    </cfRule>
    <cfRule type="cellIs" dxfId="14933" priority="472" operator="greaterThan">
      <formula>0</formula>
    </cfRule>
  </conditionalFormatting>
  <conditionalFormatting sqref="P57:P58">
    <cfRule type="cellIs" dxfId="14932" priority="465" operator="equal">
      <formula>"PMS"</formula>
    </cfRule>
    <cfRule type="containsText" dxfId="14931" priority="466" operator="containsText" text="CMS">
      <formula>NOT(ISERROR(SEARCH("CMS",P57)))</formula>
    </cfRule>
    <cfRule type="cellIs" dxfId="14930" priority="467" operator="equal">
      <formula>0</formula>
    </cfRule>
    <cfRule type="cellIs" dxfId="14929" priority="468" operator="greaterThan">
      <formula>0</formula>
    </cfRule>
  </conditionalFormatting>
  <conditionalFormatting sqref="P57:P58">
    <cfRule type="cellIs" dxfId="14928" priority="461" operator="equal">
      <formula>"PMS"</formula>
    </cfRule>
    <cfRule type="containsText" dxfId="14927" priority="462" operator="containsText" text="CMS">
      <formula>NOT(ISERROR(SEARCH("CMS",P57)))</formula>
    </cfRule>
    <cfRule type="cellIs" dxfId="14926" priority="463" operator="equal">
      <formula>0</formula>
    </cfRule>
    <cfRule type="cellIs" dxfId="14925" priority="464" operator="greaterThan">
      <formula>0</formula>
    </cfRule>
  </conditionalFormatting>
  <conditionalFormatting sqref="P57:P58">
    <cfRule type="cellIs" dxfId="14924" priority="457" operator="equal">
      <formula>"PMS"</formula>
    </cfRule>
    <cfRule type="containsText" dxfId="14923" priority="458" operator="containsText" text="CMS">
      <formula>NOT(ISERROR(SEARCH("CMS",P57)))</formula>
    </cfRule>
    <cfRule type="cellIs" dxfId="14922" priority="459" operator="equal">
      <formula>0</formula>
    </cfRule>
    <cfRule type="cellIs" dxfId="14921" priority="460" operator="greaterThan">
      <formula>0</formula>
    </cfRule>
  </conditionalFormatting>
  <conditionalFormatting sqref="P57:P58">
    <cfRule type="cellIs" dxfId="14920" priority="453" operator="equal">
      <formula>"PMS"</formula>
    </cfRule>
    <cfRule type="containsText" dxfId="14919" priority="454" operator="containsText" text="CMS">
      <formula>NOT(ISERROR(SEARCH("CMS",P57)))</formula>
    </cfRule>
    <cfRule type="cellIs" dxfId="14918" priority="455" operator="equal">
      <formula>0</formula>
    </cfRule>
    <cfRule type="cellIs" dxfId="14917" priority="456" operator="greaterThan">
      <formula>0</formula>
    </cfRule>
  </conditionalFormatting>
  <conditionalFormatting sqref="O47">
    <cfRule type="cellIs" dxfId="14916" priority="449" operator="equal">
      <formula>"PMS"</formula>
    </cfRule>
    <cfRule type="containsText" dxfId="14915" priority="450" operator="containsText" text="CMS">
      <formula>NOT(ISERROR(SEARCH("CMS",O47)))</formula>
    </cfRule>
    <cfRule type="cellIs" dxfId="14914" priority="451" operator="equal">
      <formula>0</formula>
    </cfRule>
    <cfRule type="cellIs" dxfId="14913" priority="452" operator="greaterThan">
      <formula>0</formula>
    </cfRule>
  </conditionalFormatting>
  <conditionalFormatting sqref="O47">
    <cfRule type="cellIs" dxfId="14912" priority="445" operator="equal">
      <formula>"PMS"</formula>
    </cfRule>
    <cfRule type="containsText" dxfId="14911" priority="446" operator="containsText" text="CMS">
      <formula>NOT(ISERROR(SEARCH("CMS",O47)))</formula>
    </cfRule>
    <cfRule type="cellIs" dxfId="14910" priority="447" operator="equal">
      <formula>0</formula>
    </cfRule>
    <cfRule type="cellIs" dxfId="14909" priority="448" operator="greaterThan">
      <formula>0</formula>
    </cfRule>
  </conditionalFormatting>
  <conditionalFormatting sqref="O47">
    <cfRule type="cellIs" dxfId="14908" priority="441" operator="equal">
      <formula>"PMS"</formula>
    </cfRule>
    <cfRule type="containsText" dxfId="14907" priority="442" operator="containsText" text="CMS">
      <formula>NOT(ISERROR(SEARCH("CMS",O47)))</formula>
    </cfRule>
    <cfRule type="cellIs" dxfId="14906" priority="443" operator="equal">
      <formula>0</formula>
    </cfRule>
    <cfRule type="cellIs" dxfId="14905" priority="444" operator="greaterThan">
      <formula>0</formula>
    </cfRule>
  </conditionalFormatting>
  <conditionalFormatting sqref="P57:P58">
    <cfRule type="cellIs" dxfId="14904" priority="437" operator="equal">
      <formula>"PMS"</formula>
    </cfRule>
    <cfRule type="containsText" dxfId="14903" priority="438" operator="containsText" text="CMS">
      <formula>NOT(ISERROR(SEARCH("CMS",P57)))</formula>
    </cfRule>
    <cfRule type="cellIs" dxfId="14902" priority="439" operator="equal">
      <formula>0</formula>
    </cfRule>
    <cfRule type="cellIs" dxfId="14901" priority="440" operator="greaterThan">
      <formula>0</formula>
    </cfRule>
  </conditionalFormatting>
  <conditionalFormatting sqref="P57:P58">
    <cfRule type="cellIs" dxfId="14900" priority="433" operator="equal">
      <formula>"PMS"</formula>
    </cfRule>
    <cfRule type="containsText" dxfId="14899" priority="434" operator="containsText" text="CMS">
      <formula>NOT(ISERROR(SEARCH("CMS",P57)))</formula>
    </cfRule>
    <cfRule type="cellIs" dxfId="14898" priority="435" operator="equal">
      <formula>0</formula>
    </cfRule>
    <cfRule type="cellIs" dxfId="14897" priority="436" operator="greaterThan">
      <formula>0</formula>
    </cfRule>
  </conditionalFormatting>
  <conditionalFormatting sqref="P57:P58">
    <cfRule type="cellIs" dxfId="14896" priority="429" operator="equal">
      <formula>"PMS"</formula>
    </cfRule>
    <cfRule type="containsText" dxfId="14895" priority="430" operator="containsText" text="CMS">
      <formula>NOT(ISERROR(SEARCH("CMS",P57)))</formula>
    </cfRule>
    <cfRule type="cellIs" dxfId="14894" priority="431" operator="equal">
      <formula>0</formula>
    </cfRule>
    <cfRule type="cellIs" dxfId="14893" priority="432" operator="greaterThan">
      <formula>0</formula>
    </cfRule>
  </conditionalFormatting>
  <conditionalFormatting sqref="P57:P58">
    <cfRule type="cellIs" dxfId="14892" priority="425" operator="equal">
      <formula>"PMS"</formula>
    </cfRule>
    <cfRule type="containsText" dxfId="14891" priority="426" operator="containsText" text="CMS">
      <formula>NOT(ISERROR(SEARCH("CMS",P57)))</formula>
    </cfRule>
    <cfRule type="cellIs" dxfId="14890" priority="427" operator="equal">
      <formula>0</formula>
    </cfRule>
    <cfRule type="cellIs" dxfId="14889" priority="428" operator="greaterThan">
      <formula>0</formula>
    </cfRule>
  </conditionalFormatting>
  <conditionalFormatting sqref="F20:F21 F77:F78 F35:F58 F24">
    <cfRule type="cellIs" dxfId="14888" priority="417" operator="equal">
      <formula>"PMS"</formula>
    </cfRule>
    <cfRule type="containsText" dxfId="14887" priority="418" operator="containsText" text="CMS">
      <formula>NOT(ISERROR(SEARCH("CMS",F20)))</formula>
    </cfRule>
    <cfRule type="cellIs" dxfId="14886" priority="419" operator="equal">
      <formula>0</formula>
    </cfRule>
    <cfRule type="cellIs" dxfId="14885" priority="420" operator="greaterThan">
      <formula>0</formula>
    </cfRule>
    <cfRule type="cellIs" dxfId="14884" priority="421" operator="equal">
      <formula>"PMS"</formula>
    </cfRule>
    <cfRule type="containsText" dxfId="14883" priority="422" operator="containsText" text="CMS">
      <formula>NOT(ISERROR(SEARCH("CMS",F20)))</formula>
    </cfRule>
    <cfRule type="cellIs" dxfId="14882" priority="423" operator="equal">
      <formula>0</formula>
    </cfRule>
    <cfRule type="cellIs" dxfId="14881" priority="424" operator="greaterThan">
      <formula>0</formula>
    </cfRule>
  </conditionalFormatting>
  <conditionalFormatting sqref="F77:F78">
    <cfRule type="cellIs" dxfId="14880" priority="413" operator="equal">
      <formula>"PMS"</formula>
    </cfRule>
    <cfRule type="containsText" dxfId="14879" priority="414" operator="containsText" text="CMS">
      <formula>NOT(ISERROR(SEARCH("CMS",F77)))</formula>
    </cfRule>
    <cfRule type="cellIs" dxfId="14878" priority="415" operator="equal">
      <formula>0</formula>
    </cfRule>
    <cfRule type="cellIs" dxfId="14877" priority="416" operator="greaterThan">
      <formula>0</formula>
    </cfRule>
  </conditionalFormatting>
  <conditionalFormatting sqref="F20:F21">
    <cfRule type="cellIs" dxfId="14876" priority="397" operator="equal">
      <formula>"PMS"</formula>
    </cfRule>
    <cfRule type="containsText" dxfId="14875" priority="398" operator="containsText" text="CMS">
      <formula>NOT(ISERROR(SEARCH("CMS",F20)))</formula>
    </cfRule>
    <cfRule type="cellIs" dxfId="14874" priority="399" operator="equal">
      <formula>0</formula>
    </cfRule>
    <cfRule type="cellIs" dxfId="14873" priority="400" operator="greaterThan">
      <formula>0</formula>
    </cfRule>
  </conditionalFormatting>
  <conditionalFormatting sqref="F20:F21">
    <cfRule type="cellIs" dxfId="14872" priority="393" operator="equal">
      <formula>"PMS"</formula>
    </cfRule>
    <cfRule type="containsText" dxfId="14871" priority="394" operator="containsText" text="CMS">
      <formula>NOT(ISERROR(SEARCH("CMS",F20)))</formula>
    </cfRule>
    <cfRule type="cellIs" dxfId="14870" priority="395" operator="equal">
      <formula>0</formula>
    </cfRule>
    <cfRule type="cellIs" dxfId="14869" priority="396" operator="greaterThan">
      <formula>0</formula>
    </cfRule>
  </conditionalFormatting>
  <conditionalFormatting sqref="F24">
    <cfRule type="cellIs" dxfId="14868" priority="389" operator="equal">
      <formula>"PMS"</formula>
    </cfRule>
    <cfRule type="containsText" dxfId="14867" priority="390" operator="containsText" text="CMS">
      <formula>NOT(ISERROR(SEARCH("CMS",F24)))</formula>
    </cfRule>
    <cfRule type="cellIs" dxfId="14866" priority="391" operator="equal">
      <formula>0</formula>
    </cfRule>
    <cfRule type="cellIs" dxfId="14865" priority="392" operator="greaterThan">
      <formula>0</formula>
    </cfRule>
  </conditionalFormatting>
  <conditionalFormatting sqref="F24">
    <cfRule type="cellIs" dxfId="14864" priority="385" operator="equal">
      <formula>"PMS"</formula>
    </cfRule>
    <cfRule type="containsText" dxfId="14863" priority="386" operator="containsText" text="CMS">
      <formula>NOT(ISERROR(SEARCH("CMS",F24)))</formula>
    </cfRule>
    <cfRule type="cellIs" dxfId="14862" priority="387" operator="equal">
      <formula>0</formula>
    </cfRule>
    <cfRule type="cellIs" dxfId="14861" priority="388" operator="greaterThan">
      <formula>0</formula>
    </cfRule>
  </conditionalFormatting>
  <conditionalFormatting sqref="F35:F58">
    <cfRule type="cellIs" dxfId="14860" priority="373" operator="equal">
      <formula>"PMS"</formula>
    </cfRule>
    <cfRule type="containsText" dxfId="14859" priority="374" operator="containsText" text="CMS">
      <formula>NOT(ISERROR(SEARCH("CMS",F35)))</formula>
    </cfRule>
    <cfRule type="cellIs" dxfId="14858" priority="375" operator="equal">
      <formula>0</formula>
    </cfRule>
    <cfRule type="cellIs" dxfId="14857" priority="376" operator="greaterThan">
      <formula>0</formula>
    </cfRule>
  </conditionalFormatting>
  <conditionalFormatting sqref="F35:F58">
    <cfRule type="cellIs" dxfId="14856" priority="369" operator="equal">
      <formula>"PMS"</formula>
    </cfRule>
    <cfRule type="containsText" dxfId="14855" priority="370" operator="containsText" text="CMS">
      <formula>NOT(ISERROR(SEARCH("CMS",F35)))</formula>
    </cfRule>
    <cfRule type="cellIs" dxfId="14854" priority="371" operator="equal">
      <formula>0</formula>
    </cfRule>
    <cfRule type="cellIs" dxfId="14853" priority="372" operator="greaterThan">
      <formula>0</formula>
    </cfRule>
  </conditionalFormatting>
  <conditionalFormatting sqref="F57">
    <cfRule type="cellIs" dxfId="14852" priority="357" operator="equal">
      <formula>"PMS"</formula>
    </cfRule>
    <cfRule type="containsText" dxfId="14851" priority="358" operator="containsText" text="CMS">
      <formula>NOT(ISERROR(SEARCH("CMS",F57)))</formula>
    </cfRule>
    <cfRule type="cellIs" dxfId="14850" priority="359" operator="equal">
      <formula>0</formula>
    </cfRule>
    <cfRule type="cellIs" dxfId="14849" priority="360" operator="greaterThan">
      <formula>0</formula>
    </cfRule>
  </conditionalFormatting>
  <conditionalFormatting sqref="F57">
    <cfRule type="cellIs" dxfId="14848" priority="353" operator="equal">
      <formula>"PMS"</formula>
    </cfRule>
    <cfRule type="containsText" dxfId="14847" priority="354" operator="containsText" text="CMS">
      <formula>NOT(ISERROR(SEARCH("CMS",F57)))</formula>
    </cfRule>
    <cfRule type="cellIs" dxfId="14846" priority="355" operator="equal">
      <formula>0</formula>
    </cfRule>
    <cfRule type="cellIs" dxfId="14845" priority="356" operator="greaterThan">
      <formula>0</formula>
    </cfRule>
  </conditionalFormatting>
  <conditionalFormatting sqref="F57">
    <cfRule type="cellIs" dxfId="14844" priority="349" operator="equal">
      <formula>"PMS"</formula>
    </cfRule>
    <cfRule type="containsText" dxfId="14843" priority="350" operator="containsText" text="CMS">
      <formula>NOT(ISERROR(SEARCH("CMS",F57)))</formula>
    </cfRule>
    <cfRule type="cellIs" dxfId="14842" priority="351" operator="equal">
      <formula>0</formula>
    </cfRule>
    <cfRule type="cellIs" dxfId="14841" priority="352" operator="greaterThan">
      <formula>0</formula>
    </cfRule>
  </conditionalFormatting>
  <conditionalFormatting sqref="F57">
    <cfRule type="cellIs" dxfId="14840" priority="345" operator="equal">
      <formula>"PMS"</formula>
    </cfRule>
    <cfRule type="containsText" dxfId="14839" priority="346" operator="containsText" text="CMS">
      <formula>NOT(ISERROR(SEARCH("CMS",F57)))</formula>
    </cfRule>
    <cfRule type="cellIs" dxfId="14838" priority="347" operator="equal">
      <formula>0</formula>
    </cfRule>
    <cfRule type="cellIs" dxfId="14837" priority="348" operator="greaterThan">
      <formula>0</formula>
    </cfRule>
  </conditionalFormatting>
  <conditionalFormatting sqref="F58">
    <cfRule type="cellIs" dxfId="14836" priority="341" operator="equal">
      <formula>"PMS"</formula>
    </cfRule>
    <cfRule type="containsText" dxfId="14835" priority="342" operator="containsText" text="CMS">
      <formula>NOT(ISERROR(SEARCH("CMS",F58)))</formula>
    </cfRule>
    <cfRule type="cellIs" dxfId="14834" priority="343" operator="equal">
      <formula>0</formula>
    </cfRule>
    <cfRule type="cellIs" dxfId="14833" priority="344" operator="greaterThan">
      <formula>0</formula>
    </cfRule>
  </conditionalFormatting>
  <conditionalFormatting sqref="F58">
    <cfRule type="cellIs" dxfId="14832" priority="337" operator="equal">
      <formula>"PMS"</formula>
    </cfRule>
    <cfRule type="containsText" dxfId="14831" priority="338" operator="containsText" text="CMS">
      <formula>NOT(ISERROR(SEARCH("CMS",F58)))</formula>
    </cfRule>
    <cfRule type="cellIs" dxfId="14830" priority="339" operator="equal">
      <formula>0</formula>
    </cfRule>
    <cfRule type="cellIs" dxfId="14829" priority="340" operator="greaterThan">
      <formula>0</formula>
    </cfRule>
  </conditionalFormatting>
  <conditionalFormatting sqref="F58">
    <cfRule type="cellIs" dxfId="14828" priority="333" operator="equal">
      <formula>"PMS"</formula>
    </cfRule>
    <cfRule type="containsText" dxfId="14827" priority="334" operator="containsText" text="CMS">
      <formula>NOT(ISERROR(SEARCH("CMS",F58)))</formula>
    </cfRule>
    <cfRule type="cellIs" dxfId="14826" priority="335" operator="equal">
      <formula>0</formula>
    </cfRule>
    <cfRule type="cellIs" dxfId="14825" priority="336" operator="greaterThan">
      <formula>0</formula>
    </cfRule>
  </conditionalFormatting>
  <conditionalFormatting sqref="F58">
    <cfRule type="cellIs" dxfId="14824" priority="329" operator="equal">
      <formula>"PMS"</formula>
    </cfRule>
    <cfRule type="containsText" dxfId="14823" priority="330" operator="containsText" text="CMS">
      <formula>NOT(ISERROR(SEARCH("CMS",F58)))</formula>
    </cfRule>
    <cfRule type="cellIs" dxfId="14822" priority="331" operator="equal">
      <formula>0</formula>
    </cfRule>
    <cfRule type="cellIs" dxfId="14821" priority="332" operator="greaterThan">
      <formula>0</formula>
    </cfRule>
  </conditionalFormatting>
  <conditionalFormatting sqref="F19">
    <cfRule type="cellIs" dxfId="14820" priority="325" operator="equal">
      <formula>"CMS"</formula>
    </cfRule>
    <cfRule type="cellIs" dxfId="14819" priority="326" operator="equal">
      <formula>"PMS"</formula>
    </cfRule>
    <cfRule type="cellIs" dxfId="14818" priority="327" operator="greaterThan">
      <formula>0</formula>
    </cfRule>
    <cfRule type="cellIs" dxfId="14817" priority="328" operator="equal">
      <formula>0</formula>
    </cfRule>
  </conditionalFormatting>
  <conditionalFormatting sqref="F32">
    <cfRule type="cellIs" dxfId="14816" priority="309" operator="equal">
      <formula>"PMS"</formula>
    </cfRule>
    <cfRule type="containsText" dxfId="14815" priority="310" operator="containsText" text="CMS">
      <formula>NOT(ISERROR(SEARCH("CMS",F32)))</formula>
    </cfRule>
    <cfRule type="cellIs" dxfId="14814" priority="311" operator="equal">
      <formula>0</formula>
    </cfRule>
    <cfRule type="cellIs" dxfId="14813" priority="312" operator="greaterThan">
      <formula>0</formula>
    </cfRule>
    <cfRule type="cellIs" dxfId="14812" priority="313" operator="equal">
      <formula>"PMS"</formula>
    </cfRule>
    <cfRule type="containsText" dxfId="14811" priority="314" operator="containsText" text="CMS">
      <formula>NOT(ISERROR(SEARCH("CMS",F32)))</formula>
    </cfRule>
    <cfRule type="cellIs" dxfId="14810" priority="315" operator="equal">
      <formula>0</formula>
    </cfRule>
    <cfRule type="cellIs" dxfId="14809" priority="316" operator="greaterThan">
      <formula>0</formula>
    </cfRule>
  </conditionalFormatting>
  <conditionalFormatting sqref="F32">
    <cfRule type="cellIs" dxfId="14808" priority="305" operator="equal">
      <formula>"PMS"</formula>
    </cfRule>
    <cfRule type="containsText" dxfId="14807" priority="306" operator="containsText" text="CMS">
      <formula>NOT(ISERROR(SEARCH("CMS",F32)))</formula>
    </cfRule>
    <cfRule type="cellIs" dxfId="14806" priority="307" operator="equal">
      <formula>0</formula>
    </cfRule>
    <cfRule type="cellIs" dxfId="14805" priority="308" operator="greaterThan">
      <formula>0</formula>
    </cfRule>
  </conditionalFormatting>
  <conditionalFormatting sqref="F32">
    <cfRule type="cellIs" dxfId="14804" priority="301" operator="equal">
      <formula>"PMS"</formula>
    </cfRule>
    <cfRule type="containsText" dxfId="14803" priority="302" operator="containsText" text="CMS">
      <formula>NOT(ISERROR(SEARCH("CMS",F32)))</formula>
    </cfRule>
    <cfRule type="cellIs" dxfId="14802" priority="303" operator="equal">
      <formula>0</formula>
    </cfRule>
    <cfRule type="cellIs" dxfId="14801" priority="304" operator="greaterThan">
      <formula>0</formula>
    </cfRule>
  </conditionalFormatting>
  <conditionalFormatting sqref="P44">
    <cfRule type="cellIs" dxfId="14800" priority="297" operator="equal">
      <formula>"PMS"</formula>
    </cfRule>
    <cfRule type="containsText" dxfId="14799" priority="298" operator="containsText" text="CMS">
      <formula>NOT(ISERROR(SEARCH("CMS",P44)))</formula>
    </cfRule>
    <cfRule type="cellIs" dxfId="14798" priority="299" operator="equal">
      <formula>0</formula>
    </cfRule>
    <cfRule type="cellIs" dxfId="14797" priority="300" operator="greaterThan">
      <formula>0</formula>
    </cfRule>
  </conditionalFormatting>
  <conditionalFormatting sqref="P44">
    <cfRule type="cellIs" dxfId="14796" priority="293" operator="equal">
      <formula>"PMS"</formula>
    </cfRule>
    <cfRule type="containsText" dxfId="14795" priority="294" operator="containsText" text="CMS">
      <formula>NOT(ISERROR(SEARCH("CMS",P44)))</formula>
    </cfRule>
    <cfRule type="cellIs" dxfId="14794" priority="295" operator="equal">
      <formula>0</formula>
    </cfRule>
    <cfRule type="cellIs" dxfId="14793" priority="296" operator="greaterThan">
      <formula>0</formula>
    </cfRule>
  </conditionalFormatting>
  <conditionalFormatting sqref="P44">
    <cfRule type="cellIs" dxfId="14792" priority="289" operator="equal">
      <formula>"PMS"</formula>
    </cfRule>
    <cfRule type="containsText" dxfId="14791" priority="290" operator="containsText" text="CMS">
      <formula>NOT(ISERROR(SEARCH("CMS",P44)))</formula>
    </cfRule>
    <cfRule type="cellIs" dxfId="14790" priority="291" operator="equal">
      <formula>0</formula>
    </cfRule>
    <cfRule type="cellIs" dxfId="14789" priority="292" operator="greaterThan">
      <formula>0</formula>
    </cfRule>
  </conditionalFormatting>
  <conditionalFormatting sqref="P44">
    <cfRule type="cellIs" dxfId="14788" priority="285" operator="equal">
      <formula>"PMS"</formula>
    </cfRule>
    <cfRule type="containsText" dxfId="14787" priority="286" operator="containsText" text="CMS">
      <formula>NOT(ISERROR(SEARCH("CMS",P44)))</formula>
    </cfRule>
    <cfRule type="cellIs" dxfId="14786" priority="287" operator="equal">
      <formula>0</formula>
    </cfRule>
    <cfRule type="cellIs" dxfId="14785" priority="288" operator="greaterThan">
      <formula>0</formula>
    </cfRule>
  </conditionalFormatting>
  <conditionalFormatting sqref="P52:P54">
    <cfRule type="cellIs" dxfId="14784" priority="281" operator="equal">
      <formula>"PMS"</formula>
    </cfRule>
    <cfRule type="containsText" dxfId="14783" priority="282" operator="containsText" text="CMS">
      <formula>NOT(ISERROR(SEARCH("CMS",P52)))</formula>
    </cfRule>
    <cfRule type="cellIs" dxfId="14782" priority="283" operator="equal">
      <formula>0</formula>
    </cfRule>
    <cfRule type="cellIs" dxfId="14781" priority="284" operator="greaterThan">
      <formula>0</formula>
    </cfRule>
  </conditionalFormatting>
  <conditionalFormatting sqref="P52:P54">
    <cfRule type="cellIs" dxfId="14780" priority="277" operator="equal">
      <formula>"PMS"</formula>
    </cfRule>
    <cfRule type="containsText" dxfId="14779" priority="278" operator="containsText" text="CMS">
      <formula>NOT(ISERROR(SEARCH("CMS",P52)))</formula>
    </cfRule>
    <cfRule type="cellIs" dxfId="14778" priority="279" operator="equal">
      <formula>0</formula>
    </cfRule>
    <cfRule type="cellIs" dxfId="14777" priority="280" operator="greaterThan">
      <formula>0</formula>
    </cfRule>
  </conditionalFormatting>
  <conditionalFormatting sqref="P52:P54">
    <cfRule type="cellIs" dxfId="14776" priority="273" operator="equal">
      <formula>"PMS"</formula>
    </cfRule>
    <cfRule type="containsText" dxfId="14775" priority="274" operator="containsText" text="CMS">
      <formula>NOT(ISERROR(SEARCH("CMS",P52)))</formula>
    </cfRule>
    <cfRule type="cellIs" dxfId="14774" priority="275" operator="equal">
      <formula>0</formula>
    </cfRule>
    <cfRule type="cellIs" dxfId="14773" priority="276" operator="greaterThan">
      <formula>0</formula>
    </cfRule>
  </conditionalFormatting>
  <conditionalFormatting sqref="P52:P54">
    <cfRule type="cellIs" dxfId="14772" priority="269" operator="equal">
      <formula>"PMS"</formula>
    </cfRule>
    <cfRule type="containsText" dxfId="14771" priority="270" operator="containsText" text="CMS">
      <formula>NOT(ISERROR(SEARCH("CMS",P52)))</formula>
    </cfRule>
    <cfRule type="cellIs" dxfId="14770" priority="271" operator="equal">
      <formula>0</formula>
    </cfRule>
    <cfRule type="cellIs" dxfId="14769" priority="272" operator="greaterThan">
      <formula>0</formula>
    </cfRule>
  </conditionalFormatting>
  <conditionalFormatting sqref="P57:P58">
    <cfRule type="cellIs" dxfId="14768" priority="265" operator="equal">
      <formula>"PMS"</formula>
    </cfRule>
    <cfRule type="containsText" dxfId="14767" priority="266" operator="containsText" text="CMS">
      <formula>NOT(ISERROR(SEARCH("CMS",P57)))</formula>
    </cfRule>
    <cfRule type="cellIs" dxfId="14766" priority="267" operator="equal">
      <formula>0</formula>
    </cfRule>
    <cfRule type="cellIs" dxfId="14765" priority="268" operator="greaterThan">
      <formula>0</formula>
    </cfRule>
  </conditionalFormatting>
  <conditionalFormatting sqref="P57:P58">
    <cfRule type="cellIs" dxfId="14764" priority="261" operator="equal">
      <formula>"PMS"</formula>
    </cfRule>
    <cfRule type="containsText" dxfId="14763" priority="262" operator="containsText" text="CMS">
      <formula>NOT(ISERROR(SEARCH("CMS",P57)))</formula>
    </cfRule>
    <cfRule type="cellIs" dxfId="14762" priority="263" operator="equal">
      <formula>0</formula>
    </cfRule>
    <cfRule type="cellIs" dxfId="14761" priority="264" operator="greaterThan">
      <formula>0</formula>
    </cfRule>
  </conditionalFormatting>
  <conditionalFormatting sqref="P57:P58">
    <cfRule type="cellIs" dxfId="14760" priority="257" operator="equal">
      <formula>"PMS"</formula>
    </cfRule>
    <cfRule type="containsText" dxfId="14759" priority="258" operator="containsText" text="CMS">
      <formula>NOT(ISERROR(SEARCH("CMS",P57)))</formula>
    </cfRule>
    <cfRule type="cellIs" dxfId="14758" priority="259" operator="equal">
      <formula>0</formula>
    </cfRule>
    <cfRule type="cellIs" dxfId="14757" priority="260" operator="greaterThan">
      <formula>0</formula>
    </cfRule>
  </conditionalFormatting>
  <conditionalFormatting sqref="P57:P58">
    <cfRule type="cellIs" dxfId="14756" priority="253" operator="equal">
      <formula>"PMS"</formula>
    </cfRule>
    <cfRule type="containsText" dxfId="14755" priority="254" operator="containsText" text="CMS">
      <formula>NOT(ISERROR(SEARCH("CMS",P57)))</formula>
    </cfRule>
    <cfRule type="cellIs" dxfId="14754" priority="255" operator="equal">
      <formula>0</formula>
    </cfRule>
    <cfRule type="cellIs" dxfId="14753" priority="256" operator="greaterThan">
      <formula>0</formula>
    </cfRule>
  </conditionalFormatting>
  <conditionalFormatting sqref="I13:I16">
    <cfRule type="cellIs" dxfId="14752" priority="249" operator="equal">
      <formula>"PMS"</formula>
    </cfRule>
    <cfRule type="containsText" dxfId="14751" priority="250" operator="containsText" text="CMS">
      <formula>NOT(ISERROR(SEARCH("CMS",I13)))</formula>
    </cfRule>
    <cfRule type="cellIs" dxfId="14750" priority="251" operator="equal">
      <formula>0</formula>
    </cfRule>
    <cfRule type="cellIs" dxfId="14749" priority="252" operator="greaterThan">
      <formula>0</formula>
    </cfRule>
  </conditionalFormatting>
  <conditionalFormatting sqref="I13:I16">
    <cfRule type="cellIs" dxfId="14748" priority="245" operator="equal">
      <formula>"PMS"</formula>
    </cfRule>
    <cfRule type="containsText" dxfId="14747" priority="246" operator="containsText" text="CMS">
      <formula>NOT(ISERROR(SEARCH("CMS",I13)))</formula>
    </cfRule>
    <cfRule type="cellIs" dxfId="14746" priority="247" operator="equal">
      <formula>0</formula>
    </cfRule>
    <cfRule type="cellIs" dxfId="14745" priority="248" operator="greaterThan">
      <formula>0</formula>
    </cfRule>
  </conditionalFormatting>
  <conditionalFormatting sqref="I13:I15">
    <cfRule type="cellIs" dxfId="14744" priority="241" operator="equal">
      <formula>"PMS"</formula>
    </cfRule>
    <cfRule type="containsText" dxfId="14743" priority="242" operator="containsText" text="CMS">
      <formula>NOT(ISERROR(SEARCH("CMS",I13)))</formula>
    </cfRule>
    <cfRule type="cellIs" dxfId="14742" priority="243" operator="equal">
      <formula>0</formula>
    </cfRule>
    <cfRule type="cellIs" dxfId="14741" priority="244" operator="greaterThan">
      <formula>0</formula>
    </cfRule>
  </conditionalFormatting>
  <conditionalFormatting sqref="I13:I15">
    <cfRule type="cellIs" dxfId="14740" priority="237" operator="equal">
      <formula>"PMS"</formula>
    </cfRule>
    <cfRule type="containsText" dxfId="14739" priority="238" operator="containsText" text="CMS">
      <formula>NOT(ISERROR(SEARCH("CMS",I13)))</formula>
    </cfRule>
    <cfRule type="cellIs" dxfId="14738" priority="239" operator="equal">
      <formula>0</formula>
    </cfRule>
    <cfRule type="cellIs" dxfId="14737" priority="240" operator="greaterThan">
      <formula>0</formula>
    </cfRule>
  </conditionalFormatting>
  <conditionalFormatting sqref="I20:I21">
    <cfRule type="cellIs" dxfId="14736" priority="233" operator="equal">
      <formula>"PMS"</formula>
    </cfRule>
    <cfRule type="containsText" dxfId="14735" priority="234" operator="containsText" text="CMS">
      <formula>NOT(ISERROR(SEARCH("CMS",I20)))</formula>
    </cfRule>
    <cfRule type="cellIs" dxfId="14734" priority="235" operator="equal">
      <formula>0</formula>
    </cfRule>
    <cfRule type="cellIs" dxfId="14733" priority="236" operator="greaterThan">
      <formula>0</formula>
    </cfRule>
  </conditionalFormatting>
  <conditionalFormatting sqref="I20:I21">
    <cfRule type="cellIs" dxfId="14732" priority="229" operator="equal">
      <formula>"PMS"</formula>
    </cfRule>
    <cfRule type="containsText" dxfId="14731" priority="230" operator="containsText" text="CMS">
      <formula>NOT(ISERROR(SEARCH("CMS",I20)))</formula>
    </cfRule>
    <cfRule type="cellIs" dxfId="14730" priority="231" operator="equal">
      <formula>0</formula>
    </cfRule>
    <cfRule type="cellIs" dxfId="14729" priority="232" operator="greaterThan">
      <formula>0</formula>
    </cfRule>
  </conditionalFormatting>
  <conditionalFormatting sqref="I27:I28">
    <cfRule type="cellIs" dxfId="14728" priority="225" operator="equal">
      <formula>"PMS"</formula>
    </cfRule>
    <cfRule type="containsText" dxfId="14727" priority="226" operator="containsText" text="CMS">
      <formula>NOT(ISERROR(SEARCH("CMS",I27)))</formula>
    </cfRule>
    <cfRule type="cellIs" dxfId="14726" priority="227" operator="equal">
      <formula>0</formula>
    </cfRule>
    <cfRule type="cellIs" dxfId="14725" priority="228" operator="greaterThan">
      <formula>0</formula>
    </cfRule>
  </conditionalFormatting>
  <conditionalFormatting sqref="I27:I28">
    <cfRule type="cellIs" dxfId="14724" priority="221" operator="equal">
      <formula>"PMS"</formula>
    </cfRule>
    <cfRule type="containsText" dxfId="14723" priority="222" operator="containsText" text="CMS">
      <formula>NOT(ISERROR(SEARCH("CMS",I27)))</formula>
    </cfRule>
    <cfRule type="cellIs" dxfId="14722" priority="223" operator="equal">
      <formula>0</formula>
    </cfRule>
    <cfRule type="cellIs" dxfId="14721" priority="224" operator="greaterThan">
      <formula>0</formula>
    </cfRule>
  </conditionalFormatting>
  <conditionalFormatting sqref="I29">
    <cfRule type="cellIs" dxfId="14720" priority="213" operator="equal">
      <formula>"PMS"</formula>
    </cfRule>
    <cfRule type="containsText" dxfId="14719" priority="214" operator="containsText" text="CMS">
      <formula>NOT(ISERROR(SEARCH("CMS",I29)))</formula>
    </cfRule>
    <cfRule type="cellIs" dxfId="14718" priority="215" operator="equal">
      <formula>0</formula>
    </cfRule>
    <cfRule type="cellIs" dxfId="14717" priority="216" operator="greaterThan">
      <formula>0</formula>
    </cfRule>
    <cfRule type="cellIs" dxfId="14716" priority="217" operator="equal">
      <formula>"PMS"</formula>
    </cfRule>
    <cfRule type="containsText" dxfId="14715" priority="218" operator="containsText" text="CMS">
      <formula>NOT(ISERROR(SEARCH("CMS",I29)))</formula>
    </cfRule>
    <cfRule type="cellIs" dxfId="14714" priority="219" operator="equal">
      <formula>0</formula>
    </cfRule>
    <cfRule type="cellIs" dxfId="14713" priority="220" operator="greaterThan">
      <formula>0</formula>
    </cfRule>
  </conditionalFormatting>
  <conditionalFormatting sqref="I61:I63">
    <cfRule type="cellIs" dxfId="14712" priority="205" operator="equal">
      <formula>"PMS"</formula>
    </cfRule>
    <cfRule type="containsText" dxfId="14711" priority="206" operator="containsText" text="CMS">
      <formula>NOT(ISERROR(SEARCH("CMS",I61)))</formula>
    </cfRule>
    <cfRule type="cellIs" dxfId="14710" priority="207" operator="equal">
      <formula>0</formula>
    </cfRule>
    <cfRule type="cellIs" dxfId="14709" priority="208" operator="greaterThan">
      <formula>0</formula>
    </cfRule>
    <cfRule type="cellIs" dxfId="14708" priority="209" operator="equal">
      <formula>"PMS"</formula>
    </cfRule>
    <cfRule type="containsText" dxfId="14707" priority="210" operator="containsText" text="CMS">
      <formula>NOT(ISERROR(SEARCH("CMS",I61)))</formula>
    </cfRule>
    <cfRule type="cellIs" dxfId="14706" priority="211" operator="equal">
      <formula>0</formula>
    </cfRule>
    <cfRule type="cellIs" dxfId="14705" priority="212" operator="greaterThan">
      <formula>0</formula>
    </cfRule>
  </conditionalFormatting>
  <conditionalFormatting sqref="I61:I63">
    <cfRule type="cellIs" dxfId="14704" priority="201" operator="equal">
      <formula>"PMS"</formula>
    </cfRule>
    <cfRule type="containsText" dxfId="14703" priority="202" operator="containsText" text="CMS">
      <formula>NOT(ISERROR(SEARCH("CMS",I61)))</formula>
    </cfRule>
    <cfRule type="cellIs" dxfId="14702" priority="203" operator="equal">
      <formula>0</formula>
    </cfRule>
    <cfRule type="cellIs" dxfId="14701" priority="204" operator="greaterThan">
      <formula>0</formula>
    </cfRule>
  </conditionalFormatting>
  <conditionalFormatting sqref="I66:I74">
    <cfRule type="cellIs" dxfId="14700" priority="197" operator="equal">
      <formula>"PMS"</formula>
    </cfRule>
    <cfRule type="containsText" dxfId="14699" priority="198" operator="containsText" text="CMS">
      <formula>NOT(ISERROR(SEARCH("CMS",I66)))</formula>
    </cfRule>
    <cfRule type="cellIs" dxfId="14698" priority="199" operator="equal">
      <formula>0</formula>
    </cfRule>
    <cfRule type="cellIs" dxfId="14697" priority="200" operator="greaterThan">
      <formula>0</formula>
    </cfRule>
  </conditionalFormatting>
  <conditionalFormatting sqref="I66:I74">
    <cfRule type="cellIs" dxfId="14696" priority="193" operator="equal">
      <formula>"PMS"</formula>
    </cfRule>
    <cfRule type="containsText" dxfId="14695" priority="194" operator="containsText" text="CMS">
      <formula>NOT(ISERROR(SEARCH("CMS",I66)))</formula>
    </cfRule>
    <cfRule type="cellIs" dxfId="14694" priority="195" operator="equal">
      <formula>0</formula>
    </cfRule>
    <cfRule type="cellIs" dxfId="14693" priority="196" operator="greaterThan">
      <formula>0</formula>
    </cfRule>
  </conditionalFormatting>
  <conditionalFormatting sqref="I77:I78">
    <cfRule type="cellIs" dxfId="14692" priority="189" operator="equal">
      <formula>"PMS"</formula>
    </cfRule>
    <cfRule type="containsText" dxfId="14691" priority="190" operator="containsText" text="CMS">
      <formula>NOT(ISERROR(SEARCH("CMS",I77)))</formula>
    </cfRule>
    <cfRule type="cellIs" dxfId="14690" priority="191" operator="equal">
      <formula>0</formula>
    </cfRule>
    <cfRule type="cellIs" dxfId="14689" priority="192" operator="greaterThan">
      <formula>0</formula>
    </cfRule>
  </conditionalFormatting>
  <conditionalFormatting sqref="F13:F16">
    <cfRule type="cellIs" dxfId="14688" priority="181" operator="equal">
      <formula>"PMS"</formula>
    </cfRule>
    <cfRule type="containsText" dxfId="14687" priority="182" operator="containsText" text="CMS">
      <formula>NOT(ISERROR(SEARCH("CMS",F13)))</formula>
    </cfRule>
    <cfRule type="cellIs" dxfId="14686" priority="183" operator="equal">
      <formula>0</formula>
    </cfRule>
    <cfRule type="cellIs" dxfId="14685" priority="184" operator="greaterThan">
      <formula>0</formula>
    </cfRule>
    <cfRule type="cellIs" dxfId="14684" priority="185" operator="equal">
      <formula>"PMS"</formula>
    </cfRule>
    <cfRule type="containsText" dxfId="14683" priority="186" operator="containsText" text="CMS">
      <formula>NOT(ISERROR(SEARCH("CMS",F13)))</formula>
    </cfRule>
    <cfRule type="cellIs" dxfId="14682" priority="187" operator="equal">
      <formula>0</formula>
    </cfRule>
    <cfRule type="cellIs" dxfId="14681" priority="188" operator="greaterThan">
      <formula>0</formula>
    </cfRule>
  </conditionalFormatting>
  <conditionalFormatting sqref="F13:F16">
    <cfRule type="cellIs" dxfId="14680" priority="177" operator="equal">
      <formula>"PMS"</formula>
    </cfRule>
    <cfRule type="containsText" dxfId="14679" priority="178" operator="containsText" text="CMS">
      <formula>NOT(ISERROR(SEARCH("CMS",F13)))</formula>
    </cfRule>
    <cfRule type="cellIs" dxfId="14678" priority="179" operator="equal">
      <formula>0</formula>
    </cfRule>
    <cfRule type="cellIs" dxfId="14677" priority="180" operator="greaterThan">
      <formula>0</formula>
    </cfRule>
  </conditionalFormatting>
  <conditionalFormatting sqref="F13:F16">
    <cfRule type="cellIs" dxfId="14676" priority="173" operator="equal">
      <formula>"PMS"</formula>
    </cfRule>
    <cfRule type="containsText" dxfId="14675" priority="174" operator="containsText" text="CMS">
      <formula>NOT(ISERROR(SEARCH("CMS",F13)))</formula>
    </cfRule>
    <cfRule type="cellIs" dxfId="14674" priority="175" operator="equal">
      <formula>0</formula>
    </cfRule>
    <cfRule type="cellIs" dxfId="14673" priority="176" operator="greaterThan">
      <formula>0</formula>
    </cfRule>
  </conditionalFormatting>
  <conditionalFormatting sqref="F13:F15">
    <cfRule type="cellIs" dxfId="14672" priority="169" operator="equal">
      <formula>"PMS"</formula>
    </cfRule>
    <cfRule type="containsText" dxfId="14671" priority="170" operator="containsText" text="CMS">
      <formula>NOT(ISERROR(SEARCH("CMS",F13)))</formula>
    </cfRule>
    <cfRule type="cellIs" dxfId="14670" priority="171" operator="equal">
      <formula>0</formula>
    </cfRule>
    <cfRule type="cellIs" dxfId="14669" priority="172" operator="greaterThan">
      <formula>0</formula>
    </cfRule>
  </conditionalFormatting>
  <conditionalFormatting sqref="F13:F15">
    <cfRule type="cellIs" dxfId="14668" priority="165" operator="equal">
      <formula>"PMS"</formula>
    </cfRule>
    <cfRule type="containsText" dxfId="14667" priority="166" operator="containsText" text="CMS">
      <formula>NOT(ISERROR(SEARCH("CMS",F13)))</formula>
    </cfRule>
    <cfRule type="cellIs" dxfId="14666" priority="167" operator="equal">
      <formula>0</formula>
    </cfRule>
    <cfRule type="cellIs" dxfId="14665" priority="168" operator="greaterThan">
      <formula>0</formula>
    </cfRule>
  </conditionalFormatting>
  <conditionalFormatting sqref="F27:F28">
    <cfRule type="cellIs" dxfId="14664" priority="157" operator="equal">
      <formula>"PMS"</formula>
    </cfRule>
    <cfRule type="containsText" dxfId="14663" priority="158" operator="containsText" text="CMS">
      <formula>NOT(ISERROR(SEARCH("CMS",F27)))</formula>
    </cfRule>
    <cfRule type="cellIs" dxfId="14662" priority="159" operator="equal">
      <formula>0</formula>
    </cfRule>
    <cfRule type="cellIs" dxfId="14661" priority="160" operator="greaterThan">
      <formula>0</formula>
    </cfRule>
    <cfRule type="cellIs" dxfId="14660" priority="161" operator="equal">
      <formula>"PMS"</formula>
    </cfRule>
    <cfRule type="containsText" dxfId="14659" priority="162" operator="containsText" text="CMS">
      <formula>NOT(ISERROR(SEARCH("CMS",F27)))</formula>
    </cfRule>
    <cfRule type="cellIs" dxfId="14658" priority="163" operator="equal">
      <formula>0</formula>
    </cfRule>
    <cfRule type="cellIs" dxfId="14657" priority="164" operator="greaterThan">
      <formula>0</formula>
    </cfRule>
  </conditionalFormatting>
  <conditionalFormatting sqref="F27:F28">
    <cfRule type="cellIs" dxfId="14656" priority="153" operator="equal">
      <formula>"PMS"</formula>
    </cfRule>
    <cfRule type="containsText" dxfId="14655" priority="154" operator="containsText" text="CMS">
      <formula>NOT(ISERROR(SEARCH("CMS",F27)))</formula>
    </cfRule>
    <cfRule type="cellIs" dxfId="14654" priority="155" operator="equal">
      <formula>0</formula>
    </cfRule>
    <cfRule type="cellIs" dxfId="14653" priority="156" operator="greaterThan">
      <formula>0</formula>
    </cfRule>
  </conditionalFormatting>
  <conditionalFormatting sqref="F27:F28">
    <cfRule type="cellIs" dxfId="14652" priority="149" operator="equal">
      <formula>"PMS"</formula>
    </cfRule>
    <cfRule type="containsText" dxfId="14651" priority="150" operator="containsText" text="CMS">
      <formula>NOT(ISERROR(SEARCH("CMS",F27)))</formula>
    </cfRule>
    <cfRule type="cellIs" dxfId="14650" priority="151" operator="equal">
      <formula>0</formula>
    </cfRule>
    <cfRule type="cellIs" dxfId="14649" priority="152" operator="greaterThan">
      <formula>0</formula>
    </cfRule>
  </conditionalFormatting>
  <conditionalFormatting sqref="F29">
    <cfRule type="cellIs" dxfId="14648" priority="141" operator="equal">
      <formula>"PMS"</formula>
    </cfRule>
    <cfRule type="containsText" dxfId="14647" priority="142" operator="containsText" text="CMS">
      <formula>NOT(ISERROR(SEARCH("CMS",F29)))</formula>
    </cfRule>
    <cfRule type="cellIs" dxfId="14646" priority="143" operator="equal">
      <formula>0</formula>
    </cfRule>
    <cfRule type="cellIs" dxfId="14645" priority="144" operator="greaterThan">
      <formula>0</formula>
    </cfRule>
    <cfRule type="cellIs" dxfId="14644" priority="145" operator="equal">
      <formula>"PMS"</formula>
    </cfRule>
    <cfRule type="containsText" dxfId="14643" priority="146" operator="containsText" text="CMS">
      <formula>NOT(ISERROR(SEARCH("CMS",F29)))</formula>
    </cfRule>
    <cfRule type="cellIs" dxfId="14642" priority="147" operator="equal">
      <formula>0</formula>
    </cfRule>
    <cfRule type="cellIs" dxfId="14641" priority="148" operator="greaterThan">
      <formula>0</formula>
    </cfRule>
  </conditionalFormatting>
  <conditionalFormatting sqref="F61:F63">
    <cfRule type="cellIs" dxfId="14640" priority="133" operator="equal">
      <formula>"PMS"</formula>
    </cfRule>
    <cfRule type="containsText" dxfId="14639" priority="134" operator="containsText" text="CMS">
      <formula>NOT(ISERROR(SEARCH("CMS",F61)))</formula>
    </cfRule>
    <cfRule type="cellIs" dxfId="14638" priority="135" operator="equal">
      <formula>0</formula>
    </cfRule>
    <cfRule type="cellIs" dxfId="14637" priority="136" operator="greaterThan">
      <formula>0</formula>
    </cfRule>
    <cfRule type="cellIs" dxfId="14636" priority="137" operator="equal">
      <formula>"PMS"</formula>
    </cfRule>
    <cfRule type="containsText" dxfId="14635" priority="138" operator="containsText" text="CMS">
      <formula>NOT(ISERROR(SEARCH("CMS",F61)))</formula>
    </cfRule>
    <cfRule type="cellIs" dxfId="14634" priority="139" operator="equal">
      <formula>0</formula>
    </cfRule>
    <cfRule type="cellIs" dxfId="14633" priority="140" operator="greaterThan">
      <formula>0</formula>
    </cfRule>
  </conditionalFormatting>
  <conditionalFormatting sqref="F61:F63">
    <cfRule type="cellIs" dxfId="14632" priority="129" operator="equal">
      <formula>"PMS"</formula>
    </cfRule>
    <cfRule type="containsText" dxfId="14631" priority="130" operator="containsText" text="CMS">
      <formula>NOT(ISERROR(SEARCH("CMS",F61)))</formula>
    </cfRule>
    <cfRule type="cellIs" dxfId="14630" priority="131" operator="equal">
      <formula>0</formula>
    </cfRule>
    <cfRule type="cellIs" dxfId="14629" priority="132" operator="greaterThan">
      <formula>0</formula>
    </cfRule>
  </conditionalFormatting>
  <conditionalFormatting sqref="F66:F74">
    <cfRule type="cellIs" dxfId="14628" priority="105" operator="equal">
      <formula>"PMS"</formula>
    </cfRule>
    <cfRule type="containsText" dxfId="14627" priority="106" operator="containsText" text="CMS">
      <formula>NOT(ISERROR(SEARCH("CMS",F66)))</formula>
    </cfRule>
    <cfRule type="cellIs" dxfId="14626" priority="107" operator="equal">
      <formula>0</formula>
    </cfRule>
    <cfRule type="cellIs" dxfId="14625" priority="108" operator="greaterThan">
      <formula>0</formula>
    </cfRule>
    <cfRule type="cellIs" dxfId="14624" priority="109" operator="equal">
      <formula>"PMS"</formula>
    </cfRule>
    <cfRule type="containsText" dxfId="14623" priority="110" operator="containsText" text="CMS">
      <formula>NOT(ISERROR(SEARCH("CMS",F66)))</formula>
    </cfRule>
    <cfRule type="cellIs" dxfId="14622" priority="111" operator="equal">
      <formula>0</formula>
    </cfRule>
    <cfRule type="cellIs" dxfId="14621" priority="112" operator="greaterThan">
      <formula>0</formula>
    </cfRule>
  </conditionalFormatting>
  <conditionalFormatting sqref="F66:F74">
    <cfRule type="cellIs" dxfId="14620" priority="101" operator="equal">
      <formula>"PMS"</formula>
    </cfRule>
    <cfRule type="containsText" dxfId="14619" priority="102" operator="containsText" text="CMS">
      <formula>NOT(ISERROR(SEARCH("CMS",F66)))</formula>
    </cfRule>
    <cfRule type="cellIs" dxfId="14618" priority="103" operator="equal">
      <formula>0</formula>
    </cfRule>
    <cfRule type="cellIs" dxfId="14617" priority="104" operator="greaterThan">
      <formula>0</formula>
    </cfRule>
  </conditionalFormatting>
  <conditionalFormatting sqref="F66:F74">
    <cfRule type="cellIs" dxfId="14616" priority="97" operator="equal">
      <formula>"PMS"</formula>
    </cfRule>
    <cfRule type="containsText" dxfId="14615" priority="98" operator="containsText" text="CMS">
      <formula>NOT(ISERROR(SEARCH("CMS",F66)))</formula>
    </cfRule>
    <cfRule type="cellIs" dxfId="14614" priority="99" operator="equal">
      <formula>0</formula>
    </cfRule>
    <cfRule type="cellIs" dxfId="14613" priority="100" operator="greaterThan">
      <formula>0</formula>
    </cfRule>
  </conditionalFormatting>
  <conditionalFormatting sqref="O47">
    <cfRule type="cellIs" dxfId="14612" priority="93" operator="equal">
      <formula>"PMS"</formula>
    </cfRule>
    <cfRule type="containsText" dxfId="14611" priority="94" operator="containsText" text="CMS">
      <formula>NOT(ISERROR(SEARCH("CMS",O47)))</formula>
    </cfRule>
    <cfRule type="cellIs" dxfId="14610" priority="95" operator="equal">
      <formula>0</formula>
    </cfRule>
    <cfRule type="cellIs" dxfId="14609" priority="96" operator="greaterThan">
      <formula>0</formula>
    </cfRule>
  </conditionalFormatting>
  <conditionalFormatting sqref="O47">
    <cfRule type="cellIs" dxfId="14608" priority="89" operator="equal">
      <formula>"PMS"</formula>
    </cfRule>
    <cfRule type="containsText" dxfId="14607" priority="90" operator="containsText" text="CMS">
      <formula>NOT(ISERROR(SEARCH("CMS",O47)))</formula>
    </cfRule>
    <cfRule type="cellIs" dxfId="14606" priority="91" operator="equal">
      <formula>0</formula>
    </cfRule>
    <cfRule type="cellIs" dxfId="14605" priority="92" operator="greaterThan">
      <formula>0</formula>
    </cfRule>
  </conditionalFormatting>
  <conditionalFormatting sqref="O47">
    <cfRule type="cellIs" dxfId="14604" priority="85" operator="equal">
      <formula>"PMS"</formula>
    </cfRule>
    <cfRule type="containsText" dxfId="14603" priority="86" operator="containsText" text="CMS">
      <formula>NOT(ISERROR(SEARCH("CMS",O47)))</formula>
    </cfRule>
    <cfRule type="cellIs" dxfId="14602" priority="87" operator="equal">
      <formula>0</formula>
    </cfRule>
    <cfRule type="cellIs" dxfId="14601" priority="88" operator="greaterThan">
      <formula>0</formula>
    </cfRule>
  </conditionalFormatting>
  <conditionalFormatting sqref="O47">
    <cfRule type="cellIs" dxfId="14600" priority="81" operator="equal">
      <formula>"PMS"</formula>
    </cfRule>
    <cfRule type="containsText" dxfId="14599" priority="82" operator="containsText" text="CMS">
      <formula>NOT(ISERROR(SEARCH("CMS",O47)))</formula>
    </cfRule>
    <cfRule type="cellIs" dxfId="14598" priority="83" operator="equal">
      <formula>0</formula>
    </cfRule>
    <cfRule type="cellIs" dxfId="14597" priority="84" operator="greaterThan">
      <formula>0</formula>
    </cfRule>
  </conditionalFormatting>
  <conditionalFormatting sqref="O47">
    <cfRule type="cellIs" dxfId="14596" priority="77" operator="equal">
      <formula>"PMS"</formula>
    </cfRule>
    <cfRule type="containsText" dxfId="14595" priority="78" operator="containsText" text="CMS">
      <formula>NOT(ISERROR(SEARCH("CMS",O47)))</formula>
    </cfRule>
    <cfRule type="cellIs" dxfId="14594" priority="79" operator="equal">
      <formula>0</formula>
    </cfRule>
    <cfRule type="cellIs" dxfId="14593" priority="80" operator="greaterThan">
      <formula>0</formula>
    </cfRule>
  </conditionalFormatting>
  <conditionalFormatting sqref="O47">
    <cfRule type="cellIs" dxfId="14592" priority="73" operator="equal">
      <formula>"PMS"</formula>
    </cfRule>
    <cfRule type="containsText" dxfId="14591" priority="74" operator="containsText" text="CMS">
      <formula>NOT(ISERROR(SEARCH("CMS",O47)))</formula>
    </cfRule>
    <cfRule type="cellIs" dxfId="14590" priority="75" operator="equal">
      <formula>0</formula>
    </cfRule>
    <cfRule type="cellIs" dxfId="14589" priority="76" operator="greaterThan">
      <formula>0</formula>
    </cfRule>
  </conditionalFormatting>
  <conditionalFormatting sqref="O47">
    <cfRule type="cellIs" dxfId="14588" priority="69" operator="equal">
      <formula>"PMS"</formula>
    </cfRule>
    <cfRule type="containsText" dxfId="14587" priority="70" operator="containsText" text="CMS">
      <formula>NOT(ISERROR(SEARCH("CMS",O47)))</formula>
    </cfRule>
    <cfRule type="cellIs" dxfId="14586" priority="71" operator="equal">
      <formula>0</formula>
    </cfRule>
    <cfRule type="cellIs" dxfId="14585" priority="72" operator="greaterThan">
      <formula>0</formula>
    </cfRule>
  </conditionalFormatting>
  <conditionalFormatting sqref="O47">
    <cfRule type="cellIs" dxfId="14584" priority="65" operator="equal">
      <formula>"PMS"</formula>
    </cfRule>
    <cfRule type="containsText" dxfId="14583" priority="66" operator="containsText" text="CMS">
      <formula>NOT(ISERROR(SEARCH("CMS",O47)))</formula>
    </cfRule>
    <cfRule type="cellIs" dxfId="14582" priority="67" operator="equal">
      <formula>0</formula>
    </cfRule>
    <cfRule type="cellIs" dxfId="14581" priority="68" operator="greaterThan">
      <formula>0</formula>
    </cfRule>
  </conditionalFormatting>
  <conditionalFormatting sqref="O47">
    <cfRule type="cellIs" dxfId="14580" priority="61" operator="equal">
      <formula>"PMS"</formula>
    </cfRule>
    <cfRule type="containsText" dxfId="14579" priority="62" operator="containsText" text="CMS">
      <formula>NOT(ISERROR(SEARCH("CMS",O47)))</formula>
    </cfRule>
    <cfRule type="cellIs" dxfId="14578" priority="63" operator="equal">
      <formula>0</formula>
    </cfRule>
    <cfRule type="cellIs" dxfId="14577" priority="64" operator="greaterThan">
      <formula>0</formula>
    </cfRule>
  </conditionalFormatting>
  <conditionalFormatting sqref="O47">
    <cfRule type="cellIs" dxfId="14576" priority="57" operator="equal">
      <formula>"PMS"</formula>
    </cfRule>
    <cfRule type="containsText" dxfId="14575" priority="58" operator="containsText" text="CMS">
      <formula>NOT(ISERROR(SEARCH("CMS",O47)))</formula>
    </cfRule>
    <cfRule type="cellIs" dxfId="14574" priority="59" operator="equal">
      <formula>0</formula>
    </cfRule>
    <cfRule type="cellIs" dxfId="14573" priority="60" operator="greaterThan">
      <formula>0</formula>
    </cfRule>
  </conditionalFormatting>
  <conditionalFormatting sqref="O47">
    <cfRule type="cellIs" dxfId="14572" priority="53" operator="equal">
      <formula>"PMS"</formula>
    </cfRule>
    <cfRule type="containsText" dxfId="14571" priority="54" operator="containsText" text="CMS">
      <formula>NOT(ISERROR(SEARCH("CMS",O47)))</formula>
    </cfRule>
    <cfRule type="cellIs" dxfId="14570" priority="55" operator="equal">
      <formula>0</formula>
    </cfRule>
    <cfRule type="cellIs" dxfId="14569" priority="56" operator="greaterThan">
      <formula>0</formula>
    </cfRule>
  </conditionalFormatting>
  <conditionalFormatting sqref="O47">
    <cfRule type="cellIs" dxfId="14568" priority="49" operator="equal">
      <formula>"PMS"</formula>
    </cfRule>
    <cfRule type="containsText" dxfId="14567" priority="50" operator="containsText" text="CMS">
      <formula>NOT(ISERROR(SEARCH("CMS",O47)))</formula>
    </cfRule>
    <cfRule type="cellIs" dxfId="14566" priority="51" operator="equal">
      <formula>0</formula>
    </cfRule>
    <cfRule type="cellIs" dxfId="14565" priority="52" operator="greaterThan">
      <formula>0</formula>
    </cfRule>
  </conditionalFormatting>
  <conditionalFormatting sqref="O47">
    <cfRule type="cellIs" dxfId="14564" priority="45" operator="equal">
      <formula>"PMS"</formula>
    </cfRule>
    <cfRule type="containsText" dxfId="14563" priority="46" operator="containsText" text="CMS">
      <formula>NOT(ISERROR(SEARCH("CMS",O47)))</formula>
    </cfRule>
    <cfRule type="cellIs" dxfId="14562" priority="47" operator="equal">
      <formula>0</formula>
    </cfRule>
    <cfRule type="cellIs" dxfId="14561" priority="48" operator="greaterThan">
      <formula>0</formula>
    </cfRule>
  </conditionalFormatting>
  <conditionalFormatting sqref="O47">
    <cfRule type="cellIs" dxfId="14560" priority="41" operator="equal">
      <formula>"PMS"</formula>
    </cfRule>
    <cfRule type="containsText" dxfId="14559" priority="42" operator="containsText" text="CMS">
      <formula>NOT(ISERROR(SEARCH("CMS",O47)))</formula>
    </cfRule>
    <cfRule type="cellIs" dxfId="14558" priority="43" operator="equal">
      <formula>0</formula>
    </cfRule>
    <cfRule type="cellIs" dxfId="14557" priority="44" operator="greaterThan">
      <formula>0</formula>
    </cfRule>
  </conditionalFormatting>
  <conditionalFormatting sqref="O58">
    <cfRule type="cellIs" dxfId="14556" priority="37" operator="equal">
      <formula>"PMS"</formula>
    </cfRule>
    <cfRule type="containsText" dxfId="14555" priority="38" operator="containsText" text="CMS">
      <formula>NOT(ISERROR(SEARCH("CMS",O58)))</formula>
    </cfRule>
    <cfRule type="cellIs" dxfId="14554" priority="39" operator="equal">
      <formula>0</formula>
    </cfRule>
    <cfRule type="cellIs" dxfId="14553" priority="40" operator="greaterThan">
      <formula>0</formula>
    </cfRule>
  </conditionalFormatting>
  <conditionalFormatting sqref="O58">
    <cfRule type="cellIs" dxfId="14552" priority="33" operator="equal">
      <formula>"PMS"</formula>
    </cfRule>
    <cfRule type="containsText" dxfId="14551" priority="34" operator="containsText" text="CMS">
      <formula>NOT(ISERROR(SEARCH("CMS",O58)))</formula>
    </cfRule>
    <cfRule type="cellIs" dxfId="14550" priority="35" operator="equal">
      <formula>0</formula>
    </cfRule>
    <cfRule type="cellIs" dxfId="14549" priority="36" operator="greaterThan">
      <formula>0</formula>
    </cfRule>
  </conditionalFormatting>
  <conditionalFormatting sqref="O58">
    <cfRule type="cellIs" dxfId="14548" priority="29" operator="equal">
      <formula>"PMS"</formula>
    </cfRule>
    <cfRule type="containsText" dxfId="14547" priority="30" operator="containsText" text="CMS">
      <formula>NOT(ISERROR(SEARCH("CMS",O58)))</formula>
    </cfRule>
    <cfRule type="cellIs" dxfId="14546" priority="31" operator="equal">
      <formula>0</formula>
    </cfRule>
    <cfRule type="cellIs" dxfId="14545" priority="32" operator="greaterThan">
      <formula>0</formula>
    </cfRule>
  </conditionalFormatting>
  <conditionalFormatting sqref="O58">
    <cfRule type="cellIs" dxfId="14544" priority="25" operator="equal">
      <formula>"PMS"</formula>
    </cfRule>
    <cfRule type="containsText" dxfId="14543" priority="26" operator="containsText" text="CMS">
      <formula>NOT(ISERROR(SEARCH("CMS",O58)))</formula>
    </cfRule>
    <cfRule type="cellIs" dxfId="14542" priority="27" operator="equal">
      <formula>0</formula>
    </cfRule>
    <cfRule type="cellIs" dxfId="14541" priority="28" operator="greaterThan">
      <formula>0</formula>
    </cfRule>
  </conditionalFormatting>
  <conditionalFormatting sqref="O58">
    <cfRule type="cellIs" dxfId="14540" priority="21" operator="equal">
      <formula>"PMS"</formula>
    </cfRule>
    <cfRule type="containsText" dxfId="14539" priority="22" operator="containsText" text="CMS">
      <formula>NOT(ISERROR(SEARCH("CMS",O58)))</formula>
    </cfRule>
    <cfRule type="cellIs" dxfId="14538" priority="23" operator="equal">
      <formula>0</formula>
    </cfRule>
    <cfRule type="cellIs" dxfId="14537" priority="24" operator="greaterThan">
      <formula>0</formula>
    </cfRule>
  </conditionalFormatting>
  <conditionalFormatting sqref="O58">
    <cfRule type="cellIs" dxfId="14536" priority="17" operator="equal">
      <formula>"PMS"</formula>
    </cfRule>
    <cfRule type="containsText" dxfId="14535" priority="18" operator="containsText" text="CMS">
      <formula>NOT(ISERROR(SEARCH("CMS",O58)))</formula>
    </cfRule>
    <cfRule type="cellIs" dxfId="14534" priority="19" operator="equal">
      <formula>0</formula>
    </cfRule>
    <cfRule type="cellIs" dxfId="14533" priority="20" operator="greaterThan">
      <formula>0</formula>
    </cfRule>
  </conditionalFormatting>
  <conditionalFormatting sqref="O58">
    <cfRule type="cellIs" dxfId="14532" priority="13" operator="equal">
      <formula>"PMS"</formula>
    </cfRule>
    <cfRule type="containsText" dxfId="14531" priority="14" operator="containsText" text="CMS">
      <formula>NOT(ISERROR(SEARCH("CMS",O58)))</formula>
    </cfRule>
    <cfRule type="cellIs" dxfId="14530" priority="15" operator="equal">
      <formula>0</formula>
    </cfRule>
    <cfRule type="cellIs" dxfId="14529" priority="16" operator="greaterThan">
      <formula>0</formula>
    </cfRule>
  </conditionalFormatting>
  <conditionalFormatting sqref="O58">
    <cfRule type="cellIs" dxfId="14528" priority="9" operator="equal">
      <formula>"PMS"</formula>
    </cfRule>
    <cfRule type="containsText" dxfId="14527" priority="10" operator="containsText" text="CMS">
      <formula>NOT(ISERROR(SEARCH("CMS",O58)))</formula>
    </cfRule>
    <cfRule type="cellIs" dxfId="14526" priority="11" operator="equal">
      <formula>0</formula>
    </cfRule>
    <cfRule type="cellIs" dxfId="14525" priority="12" operator="greaterThan">
      <formula>0</formula>
    </cfRule>
  </conditionalFormatting>
  <conditionalFormatting sqref="O58">
    <cfRule type="cellIs" dxfId="14524" priority="5" operator="equal">
      <formula>"PMS"</formula>
    </cfRule>
    <cfRule type="containsText" dxfId="14523" priority="6" operator="containsText" text="CMS">
      <formula>NOT(ISERROR(SEARCH("CMS",O58)))</formula>
    </cfRule>
    <cfRule type="cellIs" dxfId="14522" priority="7" operator="equal">
      <formula>0</formula>
    </cfRule>
    <cfRule type="cellIs" dxfId="14521" priority="8" operator="greaterThan">
      <formula>0</formula>
    </cfRule>
  </conditionalFormatting>
  <conditionalFormatting sqref="O58">
    <cfRule type="cellIs" dxfId="14520" priority="1" operator="equal">
      <formula>"PMS"</formula>
    </cfRule>
    <cfRule type="containsText" dxfId="14519" priority="2" operator="containsText" text="CMS">
      <formula>NOT(ISERROR(SEARCH("CMS",O58)))</formula>
    </cfRule>
    <cfRule type="cellIs" dxfId="14518" priority="3" operator="equal">
      <formula>0</formula>
    </cfRule>
    <cfRule type="cellIs" dxfId="1451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13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7AFDE-482B-4E9C-8A1F-6ED7ED1374C2}">
  <sheetPr codeName="Sheet116"/>
  <dimension ref="A2:DT137"/>
  <sheetViews>
    <sheetView zoomScale="70" zoomScaleNormal="70" zoomScaleSheetLayoutView="51" zoomScalePageLayoutView="55" workbookViewId="0">
      <pane xSplit="5" ySplit="11" topLeftCell="F86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W103" sqref="W10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3" x14ac:dyDescent="0.25">
      <c r="C2" s="16"/>
      <c r="D2" s="23" t="s">
        <v>1</v>
      </c>
      <c r="E2" s="22" t="s">
        <v>2</v>
      </c>
      <c r="F2" s="22"/>
    </row>
    <row r="3" spans="1:43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3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3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3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  <c r="AQ6">
        <f>6.7*3</f>
        <v>20.100000000000001</v>
      </c>
    </row>
    <row r="7" spans="1:43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3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3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18,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3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3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3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435.7999999999999</v>
      </c>
    </row>
    <row r="13" spans="1:43" x14ac:dyDescent="0.25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>
        <v>3.5</v>
      </c>
      <c r="P13" s="219">
        <v>6.7</v>
      </c>
      <c r="Q13" s="71">
        <v>6.6</v>
      </c>
      <c r="R13" s="71">
        <v>6.7</v>
      </c>
      <c r="S13" s="71">
        <v>6.7</v>
      </c>
      <c r="T13" s="71">
        <v>6</v>
      </c>
      <c r="U13" s="71" t="s">
        <v>9</v>
      </c>
      <c r="V13" s="71">
        <v>2.5</v>
      </c>
      <c r="W13" s="71">
        <v>5.3</v>
      </c>
      <c r="X13" s="71">
        <v>6.4</v>
      </c>
      <c r="Y13" s="71">
        <v>6.7</v>
      </c>
      <c r="Z13" s="71">
        <v>5.8</v>
      </c>
      <c r="AA13" s="71">
        <v>5.2</v>
      </c>
      <c r="AB13" s="71">
        <v>6.1</v>
      </c>
      <c r="AC13" s="71">
        <v>6.1</v>
      </c>
      <c r="AD13" s="41"/>
      <c r="AE13" s="41"/>
      <c r="AF13" s="11">
        <f>COUNTIF(F13:AC13,$AJ$8)</f>
        <v>1</v>
      </c>
      <c r="AG13" s="11">
        <f>COUNTIF(F13:AD13,$AJ$7)</f>
        <v>0</v>
      </c>
      <c r="AH13" s="11">
        <f>COUNT(F13:AC13)</f>
        <v>14</v>
      </c>
    </row>
    <row r="14" spans="1:43" x14ac:dyDescent="0.25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6.4</v>
      </c>
      <c r="H14" s="71">
        <v>6.6</v>
      </c>
      <c r="I14" s="71">
        <v>6.4</v>
      </c>
      <c r="J14" s="71">
        <v>6.8</v>
      </c>
      <c r="K14" s="71">
        <v>6.5</v>
      </c>
      <c r="L14" s="71">
        <v>6.7</v>
      </c>
      <c r="M14" s="71">
        <v>6.6</v>
      </c>
      <c r="N14" s="71">
        <v>6.7</v>
      </c>
      <c r="O14" s="219">
        <v>6.9</v>
      </c>
      <c r="P14" s="219">
        <v>6.7</v>
      </c>
      <c r="Q14" s="71">
        <v>1.3</v>
      </c>
      <c r="R14" s="71"/>
      <c r="S14" s="71"/>
      <c r="T14" s="71">
        <v>2.2999999999999998</v>
      </c>
      <c r="U14" s="71">
        <v>6.4</v>
      </c>
      <c r="V14" s="71">
        <v>5.7</v>
      </c>
      <c r="W14" s="71">
        <v>5.3</v>
      </c>
      <c r="X14" s="71">
        <v>6.4</v>
      </c>
      <c r="Y14" s="71">
        <v>6.7</v>
      </c>
      <c r="Z14" s="71">
        <v>5.8</v>
      </c>
      <c r="AA14" s="71">
        <v>5.2</v>
      </c>
      <c r="AB14" s="71">
        <v>6.1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3" x14ac:dyDescent="0.25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6.4</v>
      </c>
      <c r="H15" s="71">
        <v>6.6</v>
      </c>
      <c r="I15" s="71">
        <v>6.4</v>
      </c>
      <c r="J15" s="71">
        <v>6.8</v>
      </c>
      <c r="K15" s="71">
        <v>6.5</v>
      </c>
      <c r="L15" s="71">
        <v>6.7</v>
      </c>
      <c r="M15" s="71">
        <v>6.6</v>
      </c>
      <c r="N15" s="71">
        <v>6.7</v>
      </c>
      <c r="O15" s="219">
        <v>6.9</v>
      </c>
      <c r="P15" s="219">
        <v>6.7</v>
      </c>
      <c r="Q15" s="71">
        <v>6.6</v>
      </c>
      <c r="R15" s="71">
        <v>6.7</v>
      </c>
      <c r="S15" s="71">
        <v>6.7</v>
      </c>
      <c r="T15" s="71">
        <v>6</v>
      </c>
      <c r="U15" s="71">
        <v>6.4</v>
      </c>
      <c r="V15" s="71">
        <v>5.7</v>
      </c>
      <c r="W15" s="71">
        <v>5.3</v>
      </c>
      <c r="X15" s="71">
        <v>6.4</v>
      </c>
      <c r="Y15" s="71">
        <v>6.7</v>
      </c>
      <c r="Z15" s="71">
        <v>5.8</v>
      </c>
      <c r="AA15" s="71">
        <v>5.2</v>
      </c>
      <c r="AB15" s="71">
        <v>6.1</v>
      </c>
      <c r="AC15" s="71">
        <v>6.1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3" x14ac:dyDescent="0.25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0</v>
      </c>
      <c r="P16" s="219">
        <v>0</v>
      </c>
      <c r="Q16" s="71">
        <v>5.5</v>
      </c>
      <c r="R16" s="71">
        <v>6.7</v>
      </c>
      <c r="S16" s="71">
        <v>6.7</v>
      </c>
      <c r="T16" s="71">
        <v>6</v>
      </c>
      <c r="U16" s="71">
        <v>6.4</v>
      </c>
      <c r="V16" s="71">
        <v>5.7</v>
      </c>
      <c r="W16" s="71">
        <v>5.3</v>
      </c>
      <c r="X16" s="71">
        <v>6.4</v>
      </c>
      <c r="Y16" s="71">
        <v>6.7</v>
      </c>
      <c r="Z16" s="71">
        <v>5.2</v>
      </c>
      <c r="AA16" s="71">
        <v>5.2</v>
      </c>
      <c r="AB16" s="71">
        <v>6.1</v>
      </c>
      <c r="AC16" s="71">
        <v>7.1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12.8</v>
      </c>
      <c r="H17" s="19">
        <f t="shared" si="0"/>
        <v>13.2</v>
      </c>
      <c r="I17" s="19">
        <f t="shared" si="0"/>
        <v>12.8</v>
      </c>
      <c r="J17" s="19">
        <f t="shared" si="0"/>
        <v>13.6</v>
      </c>
      <c r="K17" s="19">
        <f t="shared" si="0"/>
        <v>13</v>
      </c>
      <c r="L17" s="19">
        <f t="shared" si="0"/>
        <v>13.4</v>
      </c>
      <c r="M17" s="19">
        <f t="shared" si="0"/>
        <v>13.2</v>
      </c>
      <c r="N17" s="19">
        <f t="shared" si="0"/>
        <v>13.4</v>
      </c>
      <c r="O17" s="19">
        <f t="shared" si="0"/>
        <v>17.3</v>
      </c>
      <c r="P17" s="19">
        <f t="shared" si="0"/>
        <v>20.100000000000001</v>
      </c>
      <c r="Q17" s="19">
        <f t="shared" si="0"/>
        <v>20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20.3</v>
      </c>
      <c r="U17" s="19">
        <f t="shared" si="0"/>
        <v>19.200000000000003</v>
      </c>
      <c r="V17" s="19">
        <f t="shared" si="0"/>
        <v>19.599999999999998</v>
      </c>
      <c r="W17" s="19">
        <f t="shared" si="0"/>
        <v>21.2</v>
      </c>
      <c r="X17" s="19">
        <f t="shared" si="0"/>
        <v>25.6</v>
      </c>
      <c r="Y17" s="19">
        <f t="shared" si="0"/>
        <v>26.8</v>
      </c>
      <c r="Z17" s="19">
        <f t="shared" si="0"/>
        <v>22.599999999999998</v>
      </c>
      <c r="AA17" s="19">
        <f t="shared" si="0"/>
        <v>20.8</v>
      </c>
      <c r="AB17" s="19">
        <f t="shared" si="0"/>
        <v>24.4</v>
      </c>
      <c r="AC17" s="19">
        <f t="shared" si="0"/>
        <v>19.299999999999997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76.799999999999969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2.9</v>
      </c>
      <c r="I21" s="71">
        <v>3.3</v>
      </c>
      <c r="J21" s="71">
        <v>3.3</v>
      </c>
      <c r="K21" s="71">
        <v>3.3</v>
      </c>
      <c r="L21" s="71">
        <v>2.7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2.2000000000000002</v>
      </c>
      <c r="X21" s="71">
        <v>3.3</v>
      </c>
      <c r="Y21" s="71">
        <v>3.3</v>
      </c>
      <c r="Z21" s="71">
        <v>3.3</v>
      </c>
      <c r="AA21" s="71">
        <v>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2.9</v>
      </c>
      <c r="I22" s="19">
        <f t="shared" si="1"/>
        <v>3.3</v>
      </c>
      <c r="J22" s="19">
        <f t="shared" si="1"/>
        <v>3.3</v>
      </c>
      <c r="K22" s="19">
        <f t="shared" si="1"/>
        <v>3.3</v>
      </c>
      <c r="L22" s="19">
        <f t="shared" si="1"/>
        <v>2.7</v>
      </c>
      <c r="M22" s="19">
        <f t="shared" si="1"/>
        <v>3.3</v>
      </c>
      <c r="N22" s="19">
        <f t="shared" si="1"/>
        <v>3.3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2.2000000000000002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50.199999999999996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0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4</v>
      </c>
      <c r="W24" s="71">
        <v>4</v>
      </c>
      <c r="X24" s="71">
        <v>3.8</v>
      </c>
      <c r="Y24" s="71">
        <v>4</v>
      </c>
      <c r="Z24" s="71">
        <v>4</v>
      </c>
      <c r="AA24" s="71">
        <v>3.8</v>
      </c>
      <c r="AB24" s="71" t="s">
        <v>9</v>
      </c>
      <c r="AC24" s="71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4</v>
      </c>
      <c r="X25" s="19">
        <f t="shared" si="3"/>
        <v>3.8</v>
      </c>
      <c r="Y25" s="19">
        <f t="shared" si="3"/>
        <v>4</v>
      </c>
      <c r="Z25" s="19">
        <f t="shared" si="3"/>
        <v>4</v>
      </c>
      <c r="AA25" s="19">
        <f t="shared" si="3"/>
        <v>3.8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118.59999999999998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3.6</v>
      </c>
      <c r="G27" s="71">
        <v>3.1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1.6</v>
      </c>
      <c r="P27" s="71">
        <v>3.6</v>
      </c>
      <c r="Q27" s="71">
        <v>3.8</v>
      </c>
      <c r="R27" s="71">
        <v>3.8</v>
      </c>
      <c r="S27" s="71">
        <v>4</v>
      </c>
      <c r="T27" s="71">
        <v>3.8</v>
      </c>
      <c r="U27" s="71">
        <v>3.8</v>
      </c>
      <c r="V27" s="71">
        <v>3.8</v>
      </c>
      <c r="W27" s="71">
        <v>2</v>
      </c>
      <c r="X27" s="71">
        <v>2.2000000000000002</v>
      </c>
      <c r="Y27" s="71">
        <v>3.6</v>
      </c>
      <c r="Z27" s="71">
        <v>2.4</v>
      </c>
      <c r="AA27" s="71">
        <v>1</v>
      </c>
      <c r="AB27" s="71">
        <v>1.3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3.6</v>
      </c>
      <c r="G28" s="71">
        <v>2.8</v>
      </c>
      <c r="H28" s="71">
        <v>3.5</v>
      </c>
      <c r="I28" s="71"/>
      <c r="J28" s="71"/>
      <c r="K28" s="71"/>
      <c r="L28" s="71">
        <v>3.8</v>
      </c>
      <c r="M28" s="71">
        <v>3.7</v>
      </c>
      <c r="N28" s="71">
        <v>4</v>
      </c>
      <c r="O28" s="219">
        <v>3.3</v>
      </c>
      <c r="P28" s="71">
        <v>3.6</v>
      </c>
      <c r="Q28" s="71">
        <v>3.8</v>
      </c>
      <c r="R28" s="71">
        <v>3.8</v>
      </c>
      <c r="S28" s="71">
        <v>4</v>
      </c>
      <c r="T28" s="71">
        <v>3.8</v>
      </c>
      <c r="U28" s="71">
        <v>3.8</v>
      </c>
      <c r="V28" s="71">
        <v>3.8</v>
      </c>
      <c r="W28" s="71">
        <v>2</v>
      </c>
      <c r="X28" s="71">
        <v>2.2000000000000002</v>
      </c>
      <c r="Y28" s="71">
        <v>3.6</v>
      </c>
      <c r="Z28" s="71">
        <v>2.4</v>
      </c>
      <c r="AA28" s="71">
        <v>1</v>
      </c>
      <c r="AB28" s="71">
        <v>1.3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>
        <v>3.5</v>
      </c>
      <c r="AA29" s="379">
        <v>8.8000000000000007</v>
      </c>
      <c r="AB29" s="379">
        <v>2.6</v>
      </c>
      <c r="AC29" s="379">
        <v>0</v>
      </c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7.2</v>
      </c>
      <c r="G30" s="19">
        <f t="shared" si="4"/>
        <v>5.9</v>
      </c>
      <c r="H30" s="19">
        <f t="shared" si="4"/>
        <v>3.5</v>
      </c>
      <c r="I30" s="19">
        <f t="shared" si="4"/>
        <v>0</v>
      </c>
      <c r="J30" s="19">
        <f t="shared" si="4"/>
        <v>0</v>
      </c>
      <c r="K30" s="19">
        <f t="shared" si="4"/>
        <v>0</v>
      </c>
      <c r="L30" s="19">
        <f t="shared" si="4"/>
        <v>3.8</v>
      </c>
      <c r="M30" s="19">
        <f t="shared" si="4"/>
        <v>3.7</v>
      </c>
      <c r="N30" s="19">
        <f t="shared" si="4"/>
        <v>4</v>
      </c>
      <c r="O30" s="19">
        <f t="shared" si="4"/>
        <v>4.9000000000000004</v>
      </c>
      <c r="P30" s="19">
        <f t="shared" si="4"/>
        <v>7.2</v>
      </c>
      <c r="Q30" s="19">
        <f t="shared" si="4"/>
        <v>7.6</v>
      </c>
      <c r="R30" s="19">
        <f t="shared" si="4"/>
        <v>7.6</v>
      </c>
      <c r="S30" s="19">
        <f t="shared" si="4"/>
        <v>8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4</v>
      </c>
      <c r="X30" s="19">
        <f t="shared" si="4"/>
        <v>4.4000000000000004</v>
      </c>
      <c r="Y30" s="19">
        <f t="shared" si="4"/>
        <v>7.2</v>
      </c>
      <c r="Z30" s="19">
        <f t="shared" si="4"/>
        <v>8.3000000000000007</v>
      </c>
      <c r="AA30" s="19">
        <f t="shared" si="4"/>
        <v>10.8</v>
      </c>
      <c r="AB30" s="19">
        <f t="shared" si="4"/>
        <v>5.2</v>
      </c>
      <c r="AC30" s="19">
        <f t="shared" si="4"/>
        <v>7.4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309.44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13.07</v>
      </c>
      <c r="G32" s="71">
        <v>12.6</v>
      </c>
      <c r="H32" s="71">
        <v>12.54</v>
      </c>
      <c r="I32" s="71">
        <v>14.09</v>
      </c>
      <c r="J32" s="71">
        <v>14.03</v>
      </c>
      <c r="K32" s="71">
        <v>14.09</v>
      </c>
      <c r="L32" s="71">
        <v>14.11</v>
      </c>
      <c r="M32" s="71">
        <v>14.12</v>
      </c>
      <c r="N32" s="71">
        <v>14.13</v>
      </c>
      <c r="O32" s="71">
        <v>14.05</v>
      </c>
      <c r="P32" s="71">
        <v>14.1</v>
      </c>
      <c r="Q32" s="71">
        <v>14.09</v>
      </c>
      <c r="R32" s="71">
        <v>14.13</v>
      </c>
      <c r="S32" s="71">
        <v>14.11</v>
      </c>
      <c r="T32" s="71">
        <v>14.12</v>
      </c>
      <c r="U32" s="71">
        <v>14.08</v>
      </c>
      <c r="V32" s="71">
        <v>14.11</v>
      </c>
      <c r="W32" s="71">
        <v>10.62</v>
      </c>
      <c r="X32" s="71">
        <v>10.63</v>
      </c>
      <c r="Y32" s="71">
        <v>12.11</v>
      </c>
      <c r="Z32" s="71">
        <v>12.12</v>
      </c>
      <c r="AA32" s="71">
        <v>9.2899999999999991</v>
      </c>
      <c r="AB32" s="71">
        <v>9.02</v>
      </c>
      <c r="AC32" s="71">
        <v>10.08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13.07</v>
      </c>
      <c r="G33" s="19">
        <f t="shared" si="5"/>
        <v>12.6</v>
      </c>
      <c r="H33" s="19">
        <f t="shared" si="5"/>
        <v>12.54</v>
      </c>
      <c r="I33" s="19">
        <f t="shared" si="5"/>
        <v>14.09</v>
      </c>
      <c r="J33" s="19">
        <f t="shared" si="5"/>
        <v>14.03</v>
      </c>
      <c r="K33" s="19">
        <f t="shared" si="5"/>
        <v>14.09</v>
      </c>
      <c r="L33" s="19">
        <f t="shared" si="5"/>
        <v>14.11</v>
      </c>
      <c r="M33" s="19">
        <f t="shared" si="5"/>
        <v>14.12</v>
      </c>
      <c r="N33" s="19">
        <f t="shared" si="5"/>
        <v>14.13</v>
      </c>
      <c r="O33" s="19">
        <f t="shared" si="5"/>
        <v>14.05</v>
      </c>
      <c r="P33" s="19">
        <f t="shared" si="5"/>
        <v>14.1</v>
      </c>
      <c r="Q33" s="19">
        <f t="shared" si="5"/>
        <v>14.09</v>
      </c>
      <c r="R33" s="19">
        <f t="shared" si="5"/>
        <v>14.13</v>
      </c>
      <c r="S33" s="19">
        <f t="shared" si="5"/>
        <v>14.11</v>
      </c>
      <c r="T33" s="19">
        <f t="shared" si="5"/>
        <v>14.12</v>
      </c>
      <c r="U33" s="19">
        <f t="shared" si="5"/>
        <v>14.08</v>
      </c>
      <c r="V33" s="19">
        <f t="shared" si="5"/>
        <v>14.11</v>
      </c>
      <c r="W33" s="19">
        <f t="shared" si="5"/>
        <v>10.62</v>
      </c>
      <c r="X33" s="19">
        <f t="shared" si="5"/>
        <v>10.63</v>
      </c>
      <c r="Y33" s="19">
        <f t="shared" si="5"/>
        <v>12.11</v>
      </c>
      <c r="Z33" s="19">
        <f t="shared" si="5"/>
        <v>12.12</v>
      </c>
      <c r="AA33" s="19">
        <f t="shared" si="5"/>
        <v>9.2899999999999991</v>
      </c>
      <c r="AB33" s="19">
        <f t="shared" si="5"/>
        <v>9.02</v>
      </c>
      <c r="AC33" s="19">
        <f t="shared" si="5"/>
        <v>10.08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19.500000000000007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0.75</v>
      </c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1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219"/>
      <c r="P45" s="71"/>
      <c r="Q45" s="71"/>
      <c r="R45" s="71"/>
      <c r="S45" s="71">
        <v>0.75</v>
      </c>
      <c r="T45" s="71">
        <v>0.7</v>
      </c>
      <c r="U45" s="71">
        <f>3.1/4</f>
        <v>0.77500000000000002</v>
      </c>
      <c r="V45" s="71"/>
      <c r="W45" s="71"/>
      <c r="X45" s="71"/>
      <c r="Y45" s="71"/>
      <c r="Z45" s="71"/>
      <c r="AA45" s="71"/>
      <c r="AB45" s="71"/>
      <c r="AC45" s="71"/>
      <c r="AD45" s="41"/>
      <c r="AE45" s="41">
        <v>1</v>
      </c>
      <c r="AF45" s="11">
        <f t="shared" si="6"/>
        <v>0</v>
      </c>
      <c r="AG45" s="11">
        <f t="shared" si="7"/>
        <v>0</v>
      </c>
      <c r="AH45" s="11">
        <f t="shared" si="8"/>
        <v>4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0.8</v>
      </c>
      <c r="O46" s="219"/>
      <c r="P46" s="71"/>
      <c r="Q46" s="71"/>
      <c r="R46" s="71"/>
      <c r="S46" s="71"/>
      <c r="T46" s="71">
        <v>0.8</v>
      </c>
      <c r="U46" s="71">
        <f>3.1/4</f>
        <v>0.77500000000000002</v>
      </c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3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/>
      <c r="P47" s="71"/>
      <c r="Q47" s="71"/>
      <c r="R47" s="71"/>
      <c r="S47" s="71"/>
      <c r="T47" s="71"/>
      <c r="U47" s="71">
        <f>3.1/4</f>
        <v>0.77500000000000002</v>
      </c>
      <c r="V47" s="71">
        <f>3.1/4</f>
        <v>0.77500000000000002</v>
      </c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2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219"/>
      <c r="P48" s="71"/>
      <c r="Q48" s="71"/>
      <c r="R48" s="71">
        <v>0.8</v>
      </c>
      <c r="S48" s="71">
        <v>0.75</v>
      </c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3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>
        <v>0.8</v>
      </c>
      <c r="J52" s="71"/>
      <c r="K52" s="71"/>
      <c r="L52" s="71"/>
      <c r="M52" s="71"/>
      <c r="N52" s="71"/>
      <c r="O52" s="219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1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/>
      <c r="P53" s="71"/>
      <c r="Q53" s="71"/>
      <c r="R53" s="71"/>
      <c r="S53" s="71"/>
      <c r="T53" s="71"/>
      <c r="U53" s="71"/>
      <c r="V53" s="71">
        <f>3.1/4</f>
        <v>0.77500000000000002</v>
      </c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1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/>
      <c r="T54" s="71"/>
      <c r="U54" s="71"/>
      <c r="V54" s="71">
        <f>3.1/4</f>
        <v>0.77500000000000002</v>
      </c>
      <c r="W54" s="71"/>
      <c r="X54" s="71"/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/>
      <c r="P55" s="71"/>
      <c r="Q55" s="71"/>
      <c r="R55" s="71"/>
      <c r="S55" s="71"/>
      <c r="T55" s="71">
        <v>0.8</v>
      </c>
      <c r="U55" s="71">
        <f>3.1/4</f>
        <v>0.77500000000000002</v>
      </c>
      <c r="V55" s="71">
        <f>3.1/4</f>
        <v>0.77500000000000002</v>
      </c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3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/>
      <c r="Q56" s="71">
        <v>0.75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2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>
        <v>0.8</v>
      </c>
      <c r="L57" s="71">
        <v>0.8</v>
      </c>
      <c r="M57" s="71"/>
      <c r="N57" s="71"/>
      <c r="O57" s="219">
        <v>0.8</v>
      </c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3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>
        <v>0.8</v>
      </c>
      <c r="L58" s="71"/>
      <c r="M58" s="71"/>
      <c r="N58" s="71"/>
      <c r="O58" s="219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1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0.8</v>
      </c>
      <c r="J59" s="19">
        <f t="shared" si="9"/>
        <v>0</v>
      </c>
      <c r="K59" s="19">
        <f t="shared" si="9"/>
        <v>1.6</v>
      </c>
      <c r="L59" s="19">
        <f t="shared" si="9"/>
        <v>0.8</v>
      </c>
      <c r="M59" s="19">
        <f t="shared" si="9"/>
        <v>0.8</v>
      </c>
      <c r="N59" s="19">
        <f t="shared" si="9"/>
        <v>2.4000000000000004</v>
      </c>
      <c r="O59" s="19">
        <f t="shared" si="9"/>
        <v>0.8</v>
      </c>
      <c r="P59" s="19">
        <f t="shared" si="9"/>
        <v>0</v>
      </c>
      <c r="Q59" s="19">
        <f t="shared" si="9"/>
        <v>1.5</v>
      </c>
      <c r="R59" s="19">
        <f t="shared" si="9"/>
        <v>0.8</v>
      </c>
      <c r="S59" s="19">
        <f t="shared" si="9"/>
        <v>1.5</v>
      </c>
      <c r="T59" s="19">
        <f t="shared" si="9"/>
        <v>2.2999999999999998</v>
      </c>
      <c r="U59" s="19">
        <f t="shared" si="9"/>
        <v>3.1</v>
      </c>
      <c r="V59" s="19">
        <f t="shared" si="9"/>
        <v>3.1</v>
      </c>
      <c r="W59" s="19">
        <f>SUM(W35:W58)</f>
        <v>0</v>
      </c>
      <c r="X59" s="19">
        <f t="shared" si="9"/>
        <v>0</v>
      </c>
      <c r="Y59" s="19">
        <f>SUM(Y35:Y58)</f>
        <v>0</v>
      </c>
      <c r="Z59" s="19">
        <f t="shared" si="9"/>
        <v>0</v>
      </c>
      <c r="AA59" s="19">
        <f t="shared" si="9"/>
        <v>0</v>
      </c>
      <c r="AB59" s="19">
        <f t="shared" si="9"/>
        <v>0</v>
      </c>
      <c r="AC59" s="19">
        <f t="shared" si="9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27.304999999999996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1.02/2</f>
        <v>0.51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0.54500000000000004</v>
      </c>
      <c r="M61" s="71">
        <f>1.19/2</f>
        <v>0.59499999999999997</v>
      </c>
      <c r="N61" s="71">
        <f>1.1/2</f>
        <v>0.55000000000000004</v>
      </c>
      <c r="O61" s="71">
        <f>1.27/2</f>
        <v>0.63500000000000001</v>
      </c>
      <c r="P61" s="71">
        <f>1.32/2</f>
        <v>0.66</v>
      </c>
      <c r="Q61" s="71">
        <f>1.41/2</f>
        <v>0.70499999999999996</v>
      </c>
      <c r="R61" s="71">
        <f>1.22/2</f>
        <v>0.61</v>
      </c>
      <c r="S61" s="71">
        <f>1.27/2</f>
        <v>0.63500000000000001</v>
      </c>
      <c r="T61" s="71">
        <f>1.3/2</f>
        <v>0.65</v>
      </c>
      <c r="U61" s="71">
        <f>1.21/2</f>
        <v>0.60499999999999998</v>
      </c>
      <c r="V61" s="71">
        <f>1.14/2</f>
        <v>0.56999999999999995</v>
      </c>
      <c r="W61" s="71">
        <v>0.6</v>
      </c>
      <c r="X61" s="71">
        <v>0</v>
      </c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1.02/2</f>
        <v>0.51</v>
      </c>
      <c r="G62" s="71">
        <f>0.94/2</f>
        <v>0.47</v>
      </c>
      <c r="H62" s="380">
        <f>0.9/2</f>
        <v>0.45</v>
      </c>
      <c r="I62" s="71">
        <v>0.44</v>
      </c>
      <c r="J62" s="71">
        <v>0.42499999999999999</v>
      </c>
      <c r="K62" s="71">
        <f>0.9/2</f>
        <v>0.45</v>
      </c>
      <c r="L62" s="71"/>
      <c r="M62" s="71"/>
      <c r="N62" s="71"/>
      <c r="O62" s="71"/>
      <c r="P62" s="71"/>
      <c r="Q62" s="71"/>
      <c r="R62" s="71">
        <f>1.21/2</f>
        <v>0.60499999999999998</v>
      </c>
      <c r="S62" s="71">
        <f>1.27/2</f>
        <v>0.63500000000000001</v>
      </c>
      <c r="T62" s="71">
        <f>1.3/2</f>
        <v>0.65</v>
      </c>
      <c r="U62" s="71">
        <f>1.21/2</f>
        <v>0.60499999999999998</v>
      </c>
      <c r="V62" s="71">
        <f>1.14/2</f>
        <v>0.56999999999999995</v>
      </c>
      <c r="W62" s="71">
        <v>0.6</v>
      </c>
      <c r="X62" s="71">
        <f>1.15/2</f>
        <v>0.57499999999999996</v>
      </c>
      <c r="Y62" s="71">
        <f>1.33/2</f>
        <v>0.66500000000000004</v>
      </c>
      <c r="Z62" s="71">
        <f>1.31/2</f>
        <v>0.65500000000000003</v>
      </c>
      <c r="AA62" s="71">
        <f>1.26/2</f>
        <v>0.63</v>
      </c>
      <c r="AB62" s="71">
        <f>1.08/2</f>
        <v>0.54</v>
      </c>
      <c r="AC62" s="71">
        <f>0.97/2</f>
        <v>0.48499999999999999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/>
      <c r="G63" s="71">
        <f>0.94/2</f>
        <v>0.47</v>
      </c>
      <c r="H63" s="380">
        <f>0.9/2</f>
        <v>0.45</v>
      </c>
      <c r="I63" s="380">
        <v>0.44</v>
      </c>
      <c r="J63" s="71">
        <v>0.42499999999999999</v>
      </c>
      <c r="K63" s="71">
        <f>0.9/2</f>
        <v>0.45</v>
      </c>
      <c r="L63" s="71">
        <v>0.54500000000000004</v>
      </c>
      <c r="M63" s="71">
        <f>1.19/2</f>
        <v>0.59499999999999997</v>
      </c>
      <c r="N63" s="71">
        <f>1.1/2</f>
        <v>0.55000000000000004</v>
      </c>
      <c r="O63" s="71">
        <f>1.27/2</f>
        <v>0.63500000000000001</v>
      </c>
      <c r="P63" s="71">
        <f>1.32/2</f>
        <v>0.66</v>
      </c>
      <c r="Q63" s="71">
        <f>1.41/2</f>
        <v>0.70499999999999996</v>
      </c>
      <c r="R63" s="71"/>
      <c r="S63" s="71"/>
      <c r="T63" s="71"/>
      <c r="U63" s="71"/>
      <c r="V63" s="71"/>
      <c r="W63" s="71"/>
      <c r="X63" s="71">
        <f>1.15/2</f>
        <v>0.57499999999999996</v>
      </c>
      <c r="Y63" s="71">
        <f>1.33/2</f>
        <v>0.66500000000000004</v>
      </c>
      <c r="Z63" s="71">
        <f>1.31/2</f>
        <v>0.65500000000000003</v>
      </c>
      <c r="AA63" s="71">
        <f>1.26/2</f>
        <v>0.63</v>
      </c>
      <c r="AB63" s="71">
        <f>1.08/2</f>
        <v>0.54</v>
      </c>
      <c r="AC63" s="71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1.02</v>
      </c>
      <c r="G64" s="19">
        <f>SUM(G61:G63)</f>
        <v>0.94</v>
      </c>
      <c r="H64" s="19">
        <f>SUM(H61:H63)</f>
        <v>0.9</v>
      </c>
      <c r="I64" s="19">
        <f>SUM(I61:I63)</f>
        <v>0.88</v>
      </c>
      <c r="J64" s="19">
        <f t="shared" ref="J64:AC64" si="11">SUM(J61:J63)</f>
        <v>0.85</v>
      </c>
      <c r="K64" s="19">
        <f>SUM(K61:K63)</f>
        <v>0.9</v>
      </c>
      <c r="L64" s="19">
        <f t="shared" si="11"/>
        <v>1.0900000000000001</v>
      </c>
      <c r="M64" s="19">
        <f t="shared" si="11"/>
        <v>1.19</v>
      </c>
      <c r="N64" s="19">
        <f t="shared" si="11"/>
        <v>1.1000000000000001</v>
      </c>
      <c r="O64" s="19">
        <f t="shared" si="11"/>
        <v>1.27</v>
      </c>
      <c r="P64" s="19">
        <f t="shared" si="11"/>
        <v>1.32</v>
      </c>
      <c r="Q64" s="19">
        <f t="shared" si="11"/>
        <v>1.41</v>
      </c>
      <c r="R64" s="19">
        <f t="shared" si="11"/>
        <v>1.2149999999999999</v>
      </c>
      <c r="S64" s="19">
        <f t="shared" si="11"/>
        <v>1.27</v>
      </c>
      <c r="T64" s="19">
        <f>SUM(T61:T63)</f>
        <v>1.3</v>
      </c>
      <c r="U64" s="19">
        <f>SUM(U61:U63)</f>
        <v>1.21</v>
      </c>
      <c r="V64" s="19">
        <f>SUM(V61:V63)</f>
        <v>1.1399999999999999</v>
      </c>
      <c r="W64" s="19">
        <f t="shared" si="11"/>
        <v>1.2</v>
      </c>
      <c r="X64" s="19">
        <f t="shared" si="11"/>
        <v>1.1499999999999999</v>
      </c>
      <c r="Y64" s="19">
        <f t="shared" si="11"/>
        <v>1.33</v>
      </c>
      <c r="Z64" s="19">
        <f t="shared" si="11"/>
        <v>1.31</v>
      </c>
      <c r="AA64" s="19">
        <f t="shared" si="11"/>
        <v>1.26</v>
      </c>
      <c r="AB64" s="19">
        <f t="shared" si="11"/>
        <v>1.08</v>
      </c>
      <c r="AC64" s="19">
        <f t="shared" si="11"/>
        <v>0.97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112.59633333333332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>
        <f t="shared" ref="P66:P71" si="12">5.4/7</f>
        <v>0.77142857142857146</v>
      </c>
      <c r="Q66" s="71"/>
      <c r="R66" s="71"/>
      <c r="S66" s="71"/>
      <c r="T66" s="71"/>
      <c r="U66" s="71">
        <f>5/7</f>
        <v>0.7142857142857143</v>
      </c>
      <c r="V66" s="71"/>
      <c r="W66" s="71"/>
      <c r="X66" s="71"/>
      <c r="Y66" s="71">
        <f>5.7/7</f>
        <v>0.81428571428571428</v>
      </c>
      <c r="Z66" s="71">
        <f t="shared" ref="Z66:Z71" si="13">5.6/7</f>
        <v>0.79999999999999993</v>
      </c>
      <c r="AA66" s="71">
        <f t="shared" ref="AA66:AA71" si="14">5.4/7</f>
        <v>0.77142857142857146</v>
      </c>
      <c r="AB66" s="71">
        <f t="shared" ref="AB66:AB71" si="15">5/7</f>
        <v>0.7142857142857143</v>
      </c>
      <c r="AC66" s="71">
        <f>4.4/6</f>
        <v>0.73333333333333339</v>
      </c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7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4.2/6</f>
        <v>0.70000000000000007</v>
      </c>
      <c r="G67" s="71">
        <f>4.4/6</f>
        <v>0.73333333333333339</v>
      </c>
      <c r="H67" s="71">
        <f>4.2/6</f>
        <v>0.70000000000000007</v>
      </c>
      <c r="I67" s="71">
        <v>0.6166666666666667</v>
      </c>
      <c r="J67" s="71">
        <v>0.65</v>
      </c>
      <c r="K67" s="71">
        <v>0.66666666666666696</v>
      </c>
      <c r="L67" s="71">
        <v>0.71666666666666667</v>
      </c>
      <c r="M67" s="71">
        <f>4.1/6</f>
        <v>0.68333333333333324</v>
      </c>
      <c r="N67" s="71">
        <f>4.3/6</f>
        <v>0.71666666666666667</v>
      </c>
      <c r="O67" s="71">
        <f>5.4/6</f>
        <v>0.9</v>
      </c>
      <c r="P67" s="71">
        <f t="shared" si="12"/>
        <v>0.77142857142857146</v>
      </c>
      <c r="Q67" s="71">
        <f>5/6</f>
        <v>0.83333333333333337</v>
      </c>
      <c r="R67" s="71">
        <f>4.8/6</f>
        <v>0.79999999999999993</v>
      </c>
      <c r="S67" s="71">
        <f>4.8/6</f>
        <v>0.79999999999999993</v>
      </c>
      <c r="T67" s="71">
        <f>5/6</f>
        <v>0.83333333333333337</v>
      </c>
      <c r="U67" s="71">
        <f t="shared" ref="U67:U71" si="19">5/7</f>
        <v>0.7142857142857143</v>
      </c>
      <c r="V67" s="71">
        <f>4.6/6</f>
        <v>0.76666666666666661</v>
      </c>
      <c r="W67" s="71">
        <f t="shared" ref="W67:W71" si="20">4.4/6</f>
        <v>0.73333333333333339</v>
      </c>
      <c r="X67" s="71">
        <f>5/6</f>
        <v>0.83333333333333337</v>
      </c>
      <c r="Y67" s="71">
        <f t="shared" ref="Y67:Y71" si="21">5.7/7</f>
        <v>0.81428571428571428</v>
      </c>
      <c r="Z67" s="71">
        <f t="shared" si="13"/>
        <v>0.79999999999999993</v>
      </c>
      <c r="AA67" s="71">
        <f t="shared" si="14"/>
        <v>0.77142857142857146</v>
      </c>
      <c r="AB67" s="71">
        <f t="shared" si="15"/>
        <v>0.7142857142857143</v>
      </c>
      <c r="AC67" s="71">
        <f t="shared" ref="AC67:AC68" si="22">4.4/6</f>
        <v>0.73333333333333339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4.9/7</f>
        <v>0.70000000000000007</v>
      </c>
      <c r="G68" s="71">
        <f t="shared" ref="G68:G71" si="23">4.4/6</f>
        <v>0.73333333333333339</v>
      </c>
      <c r="H68" s="71">
        <f>4.9/7</f>
        <v>0.70000000000000007</v>
      </c>
      <c r="I68" s="71">
        <v>0.6166666666666667</v>
      </c>
      <c r="J68" s="71">
        <v>0.65</v>
      </c>
      <c r="K68" s="71">
        <v>0.66666666666666696</v>
      </c>
      <c r="L68" s="71">
        <v>0.71666666666666667</v>
      </c>
      <c r="M68" s="71">
        <f t="shared" ref="M68:M71" si="24">4.1/6</f>
        <v>0.68333333333333324</v>
      </c>
      <c r="N68" s="71">
        <f t="shared" ref="N68:N71" si="25">4.3/6</f>
        <v>0.71666666666666667</v>
      </c>
      <c r="O68" s="71">
        <f t="shared" ref="O68:O71" si="26">5.4/6</f>
        <v>0.9</v>
      </c>
      <c r="P68" s="71">
        <f t="shared" si="12"/>
        <v>0.77142857142857146</v>
      </c>
      <c r="Q68" s="71">
        <f t="shared" ref="Q68:Q71" si="27">5/6</f>
        <v>0.83333333333333337</v>
      </c>
      <c r="R68" s="71">
        <f t="shared" ref="R68:R71" si="28">4.8/6</f>
        <v>0.79999999999999993</v>
      </c>
      <c r="S68" s="71">
        <f>4.8/6</f>
        <v>0.79999999999999993</v>
      </c>
      <c r="T68" s="71">
        <f t="shared" ref="T68:T71" si="29">5/6</f>
        <v>0.83333333333333337</v>
      </c>
      <c r="U68" s="71">
        <f t="shared" si="19"/>
        <v>0.7142857142857143</v>
      </c>
      <c r="V68" s="71">
        <f t="shared" ref="V68:V71" si="30">4.6/6</f>
        <v>0.76666666666666661</v>
      </c>
      <c r="W68" s="71">
        <f t="shared" si="20"/>
        <v>0.73333333333333339</v>
      </c>
      <c r="X68" s="71">
        <f t="shared" ref="X68:X71" si="31">5/6</f>
        <v>0.83333333333333337</v>
      </c>
      <c r="Y68" s="71">
        <f t="shared" si="21"/>
        <v>0.81428571428571428</v>
      </c>
      <c r="Z68" s="71">
        <f t="shared" si="13"/>
        <v>0.79999999999999993</v>
      </c>
      <c r="AA68" s="71">
        <f t="shared" si="14"/>
        <v>0.77142857142857146</v>
      </c>
      <c r="AB68" s="71">
        <f t="shared" si="15"/>
        <v>0.7142857142857143</v>
      </c>
      <c r="AC68" s="71">
        <f t="shared" si="22"/>
        <v>0.73333333333333339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f>4.9/7</f>
        <v>0.70000000000000007</v>
      </c>
      <c r="G69" s="71">
        <f t="shared" si="23"/>
        <v>0.73333333333333339</v>
      </c>
      <c r="H69" s="71">
        <f>4.9/7</f>
        <v>0.70000000000000007</v>
      </c>
      <c r="I69" s="71">
        <v>0.6166666666666667</v>
      </c>
      <c r="J69" s="71">
        <v>0.65</v>
      </c>
      <c r="K69" s="71">
        <v>0.66666666666666696</v>
      </c>
      <c r="L69" s="71">
        <v>0.71666666666666667</v>
      </c>
      <c r="M69" s="71">
        <f t="shared" si="24"/>
        <v>0.68333333333333324</v>
      </c>
      <c r="N69" s="71">
        <f t="shared" si="25"/>
        <v>0.71666666666666667</v>
      </c>
      <c r="O69" s="71">
        <f t="shared" si="26"/>
        <v>0.9</v>
      </c>
      <c r="P69" s="71">
        <f t="shared" si="12"/>
        <v>0.77142857142857146</v>
      </c>
      <c r="Q69" s="71">
        <f t="shared" si="27"/>
        <v>0.83333333333333337</v>
      </c>
      <c r="R69" s="71">
        <f t="shared" si="28"/>
        <v>0.79999999999999993</v>
      </c>
      <c r="S69" s="71">
        <f>4.8/6</f>
        <v>0.79999999999999993</v>
      </c>
      <c r="T69" s="71">
        <f t="shared" si="29"/>
        <v>0.83333333333333337</v>
      </c>
      <c r="U69" s="71">
        <f t="shared" si="19"/>
        <v>0.7142857142857143</v>
      </c>
      <c r="V69" s="71">
        <f t="shared" si="30"/>
        <v>0.76666666666666661</v>
      </c>
      <c r="W69" s="71">
        <f t="shared" si="20"/>
        <v>0.73333333333333339</v>
      </c>
      <c r="X69" s="71">
        <f t="shared" si="31"/>
        <v>0.83333333333333337</v>
      </c>
      <c r="Y69" s="71">
        <f t="shared" si="21"/>
        <v>0.81428571428571428</v>
      </c>
      <c r="Z69" s="71">
        <f t="shared" si="13"/>
        <v>0.79999999999999993</v>
      </c>
      <c r="AA69" s="71">
        <f t="shared" si="14"/>
        <v>0.77142857142857146</v>
      </c>
      <c r="AB69" s="71">
        <f t="shared" si="15"/>
        <v>0.7142857142857143</v>
      </c>
      <c r="AC69" s="71"/>
      <c r="AD69" s="35"/>
      <c r="AE69" s="35"/>
      <c r="AF69" s="11">
        <f t="shared" si="16"/>
        <v>0</v>
      </c>
      <c r="AG69" s="11">
        <f t="shared" si="17"/>
        <v>0</v>
      </c>
      <c r="AH69" s="11">
        <f t="shared" si="18"/>
        <v>23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>4.9/7</f>
        <v>0.70000000000000007</v>
      </c>
      <c r="G70" s="71">
        <f t="shared" si="23"/>
        <v>0.73333333333333339</v>
      </c>
      <c r="H70" s="71">
        <f>4.9/7</f>
        <v>0.70000000000000007</v>
      </c>
      <c r="I70" s="71">
        <v>0.6166666666666667</v>
      </c>
      <c r="J70" s="71">
        <v>0.65</v>
      </c>
      <c r="K70" s="71">
        <v>0.66666666666666696</v>
      </c>
      <c r="L70" s="71">
        <v>0.71666666666666667</v>
      </c>
      <c r="M70" s="71">
        <f t="shared" si="24"/>
        <v>0.68333333333333324</v>
      </c>
      <c r="N70" s="71">
        <f t="shared" si="25"/>
        <v>0.71666666666666667</v>
      </c>
      <c r="O70" s="71">
        <f t="shared" si="26"/>
        <v>0.9</v>
      </c>
      <c r="P70" s="71">
        <f t="shared" si="12"/>
        <v>0.77142857142857146</v>
      </c>
      <c r="Q70" s="71">
        <f t="shared" si="27"/>
        <v>0.83333333333333337</v>
      </c>
      <c r="R70" s="71">
        <f t="shared" si="28"/>
        <v>0.79999999999999993</v>
      </c>
      <c r="S70" s="71">
        <f>4.8/6</f>
        <v>0.79999999999999993</v>
      </c>
      <c r="T70" s="71">
        <f t="shared" si="29"/>
        <v>0.83333333333333337</v>
      </c>
      <c r="U70" s="71">
        <f t="shared" si="19"/>
        <v>0.7142857142857143</v>
      </c>
      <c r="V70" s="71">
        <f t="shared" si="30"/>
        <v>0.76666666666666661</v>
      </c>
      <c r="W70" s="71">
        <f t="shared" si="20"/>
        <v>0.73333333333333339</v>
      </c>
      <c r="X70" s="71">
        <f t="shared" si="31"/>
        <v>0.83333333333333337</v>
      </c>
      <c r="Y70" s="71">
        <f t="shared" si="21"/>
        <v>0.81428571428571428</v>
      </c>
      <c r="Z70" s="71">
        <f t="shared" si="13"/>
        <v>0.79999999999999993</v>
      </c>
      <c r="AA70" s="71">
        <f t="shared" si="14"/>
        <v>0.77142857142857146</v>
      </c>
      <c r="AB70" s="71">
        <f t="shared" si="15"/>
        <v>0.7142857142857143</v>
      </c>
      <c r="AC70" s="71">
        <f t="shared" ref="AC70:AC71" si="32">4.4/6</f>
        <v>0.73333333333333339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>4.9/7</f>
        <v>0.70000000000000007</v>
      </c>
      <c r="G71" s="71">
        <f t="shared" si="23"/>
        <v>0.73333333333333339</v>
      </c>
      <c r="H71" s="71">
        <f>4.9/7</f>
        <v>0.70000000000000007</v>
      </c>
      <c r="I71" s="71">
        <v>0.6166666666666667</v>
      </c>
      <c r="J71" s="71">
        <v>0.65</v>
      </c>
      <c r="K71" s="71">
        <v>0.66666666666666696</v>
      </c>
      <c r="L71" s="71">
        <v>0.71666666666666667</v>
      </c>
      <c r="M71" s="71">
        <f t="shared" si="24"/>
        <v>0.68333333333333324</v>
      </c>
      <c r="N71" s="71">
        <f t="shared" si="25"/>
        <v>0.71666666666666667</v>
      </c>
      <c r="O71" s="71">
        <f t="shared" si="26"/>
        <v>0.9</v>
      </c>
      <c r="P71" s="71">
        <f t="shared" si="12"/>
        <v>0.77142857142857146</v>
      </c>
      <c r="Q71" s="71">
        <f t="shared" si="27"/>
        <v>0.83333333333333337</v>
      </c>
      <c r="R71" s="71">
        <f t="shared" si="28"/>
        <v>0.79999999999999993</v>
      </c>
      <c r="S71" s="71">
        <f>4.8/6</f>
        <v>0.79999999999999993</v>
      </c>
      <c r="T71" s="71">
        <f t="shared" si="29"/>
        <v>0.83333333333333337</v>
      </c>
      <c r="U71" s="71">
        <f t="shared" si="19"/>
        <v>0.7142857142857143</v>
      </c>
      <c r="V71" s="71">
        <f t="shared" si="30"/>
        <v>0.76666666666666661</v>
      </c>
      <c r="W71" s="71">
        <f t="shared" si="20"/>
        <v>0.73333333333333339</v>
      </c>
      <c r="X71" s="71">
        <f t="shared" si="31"/>
        <v>0.83333333333333337</v>
      </c>
      <c r="Y71" s="71">
        <f t="shared" si="21"/>
        <v>0.81428571428571428</v>
      </c>
      <c r="Z71" s="71">
        <f t="shared" si="13"/>
        <v>0.79999999999999993</v>
      </c>
      <c r="AA71" s="71">
        <f t="shared" si="14"/>
        <v>0.77142857142857146</v>
      </c>
      <c r="AB71" s="71">
        <f t="shared" si="15"/>
        <v>0.7142857142857143</v>
      </c>
      <c r="AC71" s="71">
        <f t="shared" si="32"/>
        <v>0.73333333333333339</v>
      </c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5.75" customHeight="1" x14ac:dyDescent="0.25">
      <c r="A74" s="14" t="s">
        <v>63</v>
      </c>
      <c r="B74" s="9"/>
      <c r="C74" s="15">
        <v>0.85</v>
      </c>
      <c r="D74" s="15"/>
      <c r="E74" s="15"/>
      <c r="F74" s="71">
        <f>4.9/7</f>
        <v>0.70000000000000007</v>
      </c>
      <c r="G74" s="71">
        <f>4.4/6</f>
        <v>0.73333333333333339</v>
      </c>
      <c r="H74" s="71">
        <f>4.9/7</f>
        <v>0.70000000000000007</v>
      </c>
      <c r="I74" s="71">
        <v>0.6166666666666667</v>
      </c>
      <c r="J74" s="71">
        <v>0.65</v>
      </c>
      <c r="K74" s="71">
        <v>0.66666666666666696</v>
      </c>
      <c r="L74" s="71">
        <v>0.71666666666666667</v>
      </c>
      <c r="M74" s="71">
        <f>4.1/6</f>
        <v>0.68333333333333324</v>
      </c>
      <c r="N74" s="71">
        <f>4.3/6</f>
        <v>0.71666666666666667</v>
      </c>
      <c r="O74" s="71">
        <f>5.4/6</f>
        <v>0.9</v>
      </c>
      <c r="P74" s="71">
        <f t="shared" ref="P74" si="33">5.4/7</f>
        <v>0.77142857142857146</v>
      </c>
      <c r="Q74" s="71">
        <v>0.83</v>
      </c>
      <c r="R74" s="71">
        <v>0.8</v>
      </c>
      <c r="S74" s="71">
        <v>0.8</v>
      </c>
      <c r="T74" s="71">
        <v>0.83299999999999996</v>
      </c>
      <c r="U74" s="71">
        <f>5/7</f>
        <v>0.7142857142857143</v>
      </c>
      <c r="V74" s="71">
        <f>4.6/6</f>
        <v>0.76666666666666661</v>
      </c>
      <c r="W74" s="71">
        <f>4.4/6</f>
        <v>0.73333333333333339</v>
      </c>
      <c r="X74" s="71">
        <f>5/6</f>
        <v>0.83333333333333337</v>
      </c>
      <c r="Y74" s="71">
        <f>5.7/7</f>
        <v>0.81428571428571428</v>
      </c>
      <c r="Z74" s="71">
        <f>5.6/7</f>
        <v>0.79999999999999993</v>
      </c>
      <c r="AA74" s="71">
        <f>5.4/7</f>
        <v>0.77142857142857146</v>
      </c>
      <c r="AB74" s="71">
        <f>5/7</f>
        <v>0.7142857142857143</v>
      </c>
      <c r="AC74" s="71">
        <f>4.4/6</f>
        <v>0.73333333333333339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4">SUM(F66:F74)</f>
        <v>4.2</v>
      </c>
      <c r="G75" s="19">
        <f t="shared" si="34"/>
        <v>4.4000000000000004</v>
      </c>
      <c r="H75" s="19">
        <f t="shared" si="34"/>
        <v>4.2</v>
      </c>
      <c r="I75" s="19">
        <f t="shared" si="34"/>
        <v>3.7</v>
      </c>
      <c r="J75" s="19">
        <f t="shared" si="34"/>
        <v>3.9</v>
      </c>
      <c r="K75" s="19">
        <f t="shared" si="34"/>
        <v>4.0000000000000018</v>
      </c>
      <c r="L75" s="19">
        <f>SUM(L66:L74)</f>
        <v>4.3</v>
      </c>
      <c r="M75" s="19">
        <f t="shared" si="34"/>
        <v>4.0999999999999996</v>
      </c>
      <c r="N75" s="19">
        <f t="shared" si="34"/>
        <v>4.3</v>
      </c>
      <c r="O75" s="19">
        <f t="shared" si="34"/>
        <v>5.4</v>
      </c>
      <c r="P75" s="19">
        <f t="shared" si="34"/>
        <v>5.4</v>
      </c>
      <c r="Q75" s="19">
        <f t="shared" si="34"/>
        <v>4.996666666666667</v>
      </c>
      <c r="R75" s="19">
        <f t="shared" si="34"/>
        <v>4.8</v>
      </c>
      <c r="S75" s="19">
        <f t="shared" si="34"/>
        <v>4.8</v>
      </c>
      <c r="T75" s="19">
        <f t="shared" si="34"/>
        <v>4.9996666666666671</v>
      </c>
      <c r="U75" s="19">
        <f t="shared" si="34"/>
        <v>5</v>
      </c>
      <c r="V75" s="19">
        <f t="shared" si="34"/>
        <v>4.5999999999999996</v>
      </c>
      <c r="W75" s="19">
        <f t="shared" si="34"/>
        <v>4.4000000000000004</v>
      </c>
      <c r="X75" s="19">
        <f t="shared" si="34"/>
        <v>5</v>
      </c>
      <c r="Y75" s="19">
        <f t="shared" si="34"/>
        <v>5.6999999999999993</v>
      </c>
      <c r="Z75" s="19">
        <f t="shared" si="34"/>
        <v>5.6</v>
      </c>
      <c r="AA75" s="19">
        <f t="shared" si="34"/>
        <v>5.4</v>
      </c>
      <c r="AB75" s="19">
        <f t="shared" si="34"/>
        <v>5</v>
      </c>
      <c r="AC75" s="19">
        <f t="shared" si="34"/>
        <v>4.4000000000000004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19.899999999999999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0.73</v>
      </c>
      <c r="O77" s="71">
        <v>0.79</v>
      </c>
      <c r="P77" s="71">
        <v>0.8</v>
      </c>
      <c r="Q77" s="71">
        <v>0.82</v>
      </c>
      <c r="R77" s="71">
        <v>0.87</v>
      </c>
      <c r="S77" s="71">
        <v>0.9</v>
      </c>
      <c r="T77" s="71">
        <v>0.89</v>
      </c>
      <c r="U77" s="71">
        <v>0.89</v>
      </c>
      <c r="V77" s="71">
        <v>0.89</v>
      </c>
      <c r="W77" s="71">
        <v>0.89</v>
      </c>
      <c r="X77" s="71">
        <v>0.9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0.81</v>
      </c>
      <c r="G78" s="71">
        <v>0.77</v>
      </c>
      <c r="H78" s="71">
        <v>0.73</v>
      </c>
      <c r="I78" s="71">
        <v>0.72</v>
      </c>
      <c r="J78" s="380">
        <v>0.71</v>
      </c>
      <c r="K78" s="71">
        <v>0.73</v>
      </c>
      <c r="L78" s="71">
        <v>0.79</v>
      </c>
      <c r="M78" s="71">
        <v>0.81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0.95</v>
      </c>
      <c r="Z78" s="71">
        <v>0.97</v>
      </c>
      <c r="AA78" s="71">
        <v>0.89</v>
      </c>
      <c r="AB78" s="71">
        <v>0.84</v>
      </c>
      <c r="AC78" s="71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5">SUM(F77:F78)</f>
        <v>0.81</v>
      </c>
      <c r="G79" s="19">
        <f>SUM(G77:G78)</f>
        <v>0.77</v>
      </c>
      <c r="H79" s="19">
        <f>SUM(H77:H78)</f>
        <v>0.73</v>
      </c>
      <c r="I79" s="19">
        <f>SUM(I77:I78)</f>
        <v>0.72</v>
      </c>
      <c r="J79" s="19">
        <f t="shared" ref="J79:AC79" si="36">SUM(J77:J78)</f>
        <v>0.71</v>
      </c>
      <c r="K79" s="19">
        <f t="shared" si="36"/>
        <v>0.73</v>
      </c>
      <c r="L79" s="19">
        <f>SUM(L77:L78)</f>
        <v>0.79</v>
      </c>
      <c r="M79" s="19">
        <f t="shared" si="36"/>
        <v>0.81</v>
      </c>
      <c r="N79" s="19">
        <f>SUM(N77:N77)</f>
        <v>0.73</v>
      </c>
      <c r="O79" s="19">
        <f>SUM(O77:O78)</f>
        <v>0.79</v>
      </c>
      <c r="P79" s="19">
        <f t="shared" si="36"/>
        <v>0.8</v>
      </c>
      <c r="Q79" s="19">
        <f t="shared" si="36"/>
        <v>0.82</v>
      </c>
      <c r="R79" s="19">
        <f t="shared" si="36"/>
        <v>0.87</v>
      </c>
      <c r="S79" s="19">
        <f t="shared" si="36"/>
        <v>0.9</v>
      </c>
      <c r="T79" s="19">
        <f t="shared" si="36"/>
        <v>0.89</v>
      </c>
      <c r="U79" s="19">
        <f t="shared" si="36"/>
        <v>0.89</v>
      </c>
      <c r="V79" s="19">
        <f t="shared" si="36"/>
        <v>0.89</v>
      </c>
      <c r="W79" s="19">
        <f t="shared" si="36"/>
        <v>0.89</v>
      </c>
      <c r="X79" s="19">
        <f t="shared" si="36"/>
        <v>0.9</v>
      </c>
      <c r="Y79" s="19">
        <f t="shared" si="36"/>
        <v>0.95</v>
      </c>
      <c r="Z79" s="19">
        <f t="shared" si="36"/>
        <v>0.97</v>
      </c>
      <c r="AA79" s="19">
        <f t="shared" si="36"/>
        <v>0.89</v>
      </c>
      <c r="AB79" s="19">
        <f t="shared" si="36"/>
        <v>0.84</v>
      </c>
      <c r="AC79" s="19">
        <f t="shared" si="36"/>
        <v>0.81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7">SUM(F17,F22,F25,F30,F33,F59,F64,F75,F79,F81)</f>
        <v>42.600000000000009</v>
      </c>
      <c r="G82" s="28">
        <f t="shared" si="37"/>
        <v>40.71</v>
      </c>
      <c r="H82" s="28">
        <f t="shared" si="37"/>
        <v>37.97</v>
      </c>
      <c r="I82" s="28">
        <f t="shared" si="37"/>
        <v>36.29</v>
      </c>
      <c r="J82" s="28">
        <f t="shared" si="37"/>
        <v>36.39</v>
      </c>
      <c r="K82" s="28">
        <f t="shared" si="37"/>
        <v>37.619999999999997</v>
      </c>
      <c r="L82" s="28">
        <f t="shared" si="37"/>
        <v>40.99</v>
      </c>
      <c r="M82" s="28">
        <f t="shared" si="37"/>
        <v>41.22</v>
      </c>
      <c r="N82" s="28">
        <f t="shared" si="37"/>
        <v>43.359999999999992</v>
      </c>
      <c r="O82" s="28">
        <f t="shared" si="37"/>
        <v>51.610000000000007</v>
      </c>
      <c r="P82" s="28">
        <f t="shared" si="37"/>
        <v>56.02</v>
      </c>
      <c r="Q82" s="28">
        <f t="shared" si="37"/>
        <v>57.516666666666673</v>
      </c>
      <c r="R82" s="28">
        <f t="shared" si="37"/>
        <v>56.615000000000002</v>
      </c>
      <c r="S82" s="28">
        <f t="shared" si="37"/>
        <v>57.78</v>
      </c>
      <c r="T82" s="28">
        <f t="shared" si="37"/>
        <v>58.609666666666662</v>
      </c>
      <c r="U82" s="28">
        <f t="shared" si="37"/>
        <v>58.180000000000007</v>
      </c>
      <c r="V82" s="28">
        <f t="shared" si="37"/>
        <v>58.34</v>
      </c>
      <c r="W82" s="28">
        <f t="shared" si="37"/>
        <v>48.51</v>
      </c>
      <c r="X82" s="28">
        <f t="shared" si="37"/>
        <v>54.78</v>
      </c>
      <c r="Y82" s="28">
        <f t="shared" si="37"/>
        <v>61.39</v>
      </c>
      <c r="Z82" s="28">
        <f t="shared" si="37"/>
        <v>58.2</v>
      </c>
      <c r="AA82" s="28">
        <f t="shared" si="37"/>
        <v>55.24</v>
      </c>
      <c r="AB82" s="28">
        <f t="shared" si="37"/>
        <v>48.84</v>
      </c>
      <c r="AC82" s="28">
        <f t="shared" si="37"/>
        <v>46.26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8">SUM(F22,F25)</f>
        <v>3.3</v>
      </c>
      <c r="G88" s="64">
        <f t="shared" si="38"/>
        <v>3.3</v>
      </c>
      <c r="H88" s="64">
        <f t="shared" si="38"/>
        <v>2.9</v>
      </c>
      <c r="I88" s="64">
        <f t="shared" si="38"/>
        <v>3.3</v>
      </c>
      <c r="J88" s="64">
        <f t="shared" si="38"/>
        <v>3.3</v>
      </c>
      <c r="K88" s="64">
        <f t="shared" si="38"/>
        <v>3.3</v>
      </c>
      <c r="L88" s="64">
        <f t="shared" si="38"/>
        <v>2.7</v>
      </c>
      <c r="M88" s="64">
        <f t="shared" si="38"/>
        <v>3.3</v>
      </c>
      <c r="N88" s="64">
        <f t="shared" si="38"/>
        <v>3.3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7.1</v>
      </c>
      <c r="U88" s="64">
        <f t="shared" si="38"/>
        <v>7.1</v>
      </c>
      <c r="V88" s="64">
        <f t="shared" si="38"/>
        <v>7.3</v>
      </c>
      <c r="W88" s="64">
        <f t="shared" si="38"/>
        <v>6.2</v>
      </c>
      <c r="X88" s="64">
        <f t="shared" si="38"/>
        <v>7.1</v>
      </c>
      <c r="Y88" s="64">
        <f t="shared" si="38"/>
        <v>7.3</v>
      </c>
      <c r="Z88" s="64">
        <f t="shared" si="38"/>
        <v>7.3</v>
      </c>
      <c r="AA88" s="64">
        <f t="shared" si="38"/>
        <v>6.8</v>
      </c>
      <c r="AB88" s="64">
        <f t="shared" si="38"/>
        <v>3.3</v>
      </c>
      <c r="AC88" s="64">
        <f t="shared" si="38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>
        <v>0.186</v>
      </c>
      <c r="G89" s="68"/>
      <c r="H89" s="68"/>
      <c r="I89" s="68"/>
      <c r="J89" s="68"/>
      <c r="K89" s="68"/>
      <c r="L89" s="68"/>
      <c r="M89" s="68"/>
      <c r="N89" s="68"/>
      <c r="O89" s="68">
        <v>0.22800000000000001</v>
      </c>
      <c r="P89" s="68">
        <v>0.20899999999999999</v>
      </c>
      <c r="Q89" s="68">
        <v>0.2</v>
      </c>
      <c r="R89" s="68">
        <v>0.16800000000000001</v>
      </c>
      <c r="S89" s="68">
        <v>0.27</v>
      </c>
      <c r="T89" s="68">
        <v>0.224</v>
      </c>
      <c r="U89" s="68">
        <v>0.249</v>
      </c>
      <c r="V89" s="68">
        <v>0.28599999999999998</v>
      </c>
      <c r="W89" s="68">
        <v>0.191</v>
      </c>
      <c r="X89" s="68">
        <v>0.248</v>
      </c>
      <c r="Y89" s="68">
        <v>0.20599999999999999</v>
      </c>
      <c r="Z89" s="68">
        <v>0.20599999999999999</v>
      </c>
      <c r="AA89" s="68">
        <v>0.251</v>
      </c>
      <c r="AB89" s="68" t="s">
        <v>1</v>
      </c>
      <c r="AC89" s="68" t="s">
        <v>1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9">F17</f>
        <v>13</v>
      </c>
      <c r="G90" s="64">
        <f t="shared" si="39"/>
        <v>12.8</v>
      </c>
      <c r="H90" s="64">
        <f t="shared" si="39"/>
        <v>13.2</v>
      </c>
      <c r="I90" s="64">
        <f t="shared" si="39"/>
        <v>12.8</v>
      </c>
      <c r="J90" s="64">
        <f t="shared" si="39"/>
        <v>13.6</v>
      </c>
      <c r="K90" s="64">
        <f t="shared" si="39"/>
        <v>13</v>
      </c>
      <c r="L90" s="64">
        <f t="shared" si="39"/>
        <v>13.4</v>
      </c>
      <c r="M90" s="64">
        <f t="shared" si="39"/>
        <v>13.2</v>
      </c>
      <c r="N90" s="64">
        <f t="shared" si="39"/>
        <v>13.4</v>
      </c>
      <c r="O90" s="64">
        <f t="shared" si="39"/>
        <v>17.3</v>
      </c>
      <c r="P90" s="64">
        <f t="shared" si="39"/>
        <v>20.100000000000001</v>
      </c>
      <c r="Q90" s="64">
        <f t="shared" si="39"/>
        <v>20</v>
      </c>
      <c r="R90" s="64">
        <f t="shared" si="39"/>
        <v>20.100000000000001</v>
      </c>
      <c r="S90" s="64">
        <f t="shared" si="39"/>
        <v>20.100000000000001</v>
      </c>
      <c r="T90" s="64">
        <f t="shared" si="39"/>
        <v>20.3</v>
      </c>
      <c r="U90" s="64">
        <f t="shared" si="39"/>
        <v>19.200000000000003</v>
      </c>
      <c r="V90" s="64">
        <f t="shared" si="39"/>
        <v>19.599999999999998</v>
      </c>
      <c r="W90" s="64">
        <f t="shared" si="39"/>
        <v>21.2</v>
      </c>
      <c r="X90" s="64">
        <f t="shared" si="39"/>
        <v>25.6</v>
      </c>
      <c r="Y90" s="64">
        <f t="shared" si="39"/>
        <v>26.8</v>
      </c>
      <c r="Z90" s="64">
        <f t="shared" si="39"/>
        <v>22.599999999999998</v>
      </c>
      <c r="AA90" s="64">
        <f t="shared" si="39"/>
        <v>20.8</v>
      </c>
      <c r="AB90" s="64">
        <f t="shared" si="39"/>
        <v>24.4</v>
      </c>
      <c r="AC90" s="64">
        <f t="shared" si="39"/>
        <v>19.299999999999997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0.55200000000000005</v>
      </c>
      <c r="G91" s="68">
        <v>0.52500000000000002</v>
      </c>
      <c r="H91" s="68">
        <v>0.58099999999999996</v>
      </c>
      <c r="I91" s="68">
        <v>0.57299999999999995</v>
      </c>
      <c r="J91" s="68">
        <v>0.56000000000000005</v>
      </c>
      <c r="K91" s="68">
        <v>0.68500000000000005</v>
      </c>
      <c r="L91" s="68">
        <v>0.68500000000000005</v>
      </c>
      <c r="M91" s="68">
        <v>0.87</v>
      </c>
      <c r="N91" s="68">
        <v>0.80300000000000005</v>
      </c>
      <c r="O91" s="68">
        <v>0.58599999999999997</v>
      </c>
      <c r="P91" s="68">
        <v>0.72</v>
      </c>
      <c r="Q91" s="68">
        <v>0.77700000000000002</v>
      </c>
      <c r="R91" s="68">
        <v>0.63300000000000001</v>
      </c>
      <c r="S91" s="68">
        <v>0.79</v>
      </c>
      <c r="T91" s="68">
        <v>1.08</v>
      </c>
      <c r="U91" s="68">
        <v>0.91400000000000003</v>
      </c>
      <c r="V91" s="68">
        <v>0.95599999999999996</v>
      </c>
      <c r="W91" s="68">
        <v>0.79800000000000004</v>
      </c>
      <c r="X91" s="68">
        <v>0.73499999999999999</v>
      </c>
      <c r="Y91" s="68">
        <v>0.73499999999999999</v>
      </c>
      <c r="Z91" s="68">
        <v>1.02</v>
      </c>
      <c r="AA91" s="68">
        <v>1.0009999999999999</v>
      </c>
      <c r="AB91" s="68">
        <v>0.81</v>
      </c>
      <c r="AC91" s="68">
        <v>0.83699999999999997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0">F30</f>
        <v>7.2</v>
      </c>
      <c r="G92" s="65">
        <f t="shared" si="40"/>
        <v>5.9</v>
      </c>
      <c r="H92" s="65">
        <f t="shared" si="40"/>
        <v>3.5</v>
      </c>
      <c r="I92" s="65">
        <f t="shared" si="40"/>
        <v>0</v>
      </c>
      <c r="J92" s="65">
        <f t="shared" si="40"/>
        <v>0</v>
      </c>
      <c r="K92" s="65">
        <f t="shared" si="40"/>
        <v>0</v>
      </c>
      <c r="L92" s="65">
        <f t="shared" si="40"/>
        <v>3.8</v>
      </c>
      <c r="M92" s="65">
        <f t="shared" si="40"/>
        <v>3.7</v>
      </c>
      <c r="N92" s="65">
        <f t="shared" si="40"/>
        <v>4</v>
      </c>
      <c r="O92" s="65">
        <f t="shared" si="40"/>
        <v>4.9000000000000004</v>
      </c>
      <c r="P92" s="65">
        <f t="shared" si="40"/>
        <v>7.2</v>
      </c>
      <c r="Q92" s="65">
        <f t="shared" si="40"/>
        <v>7.6</v>
      </c>
      <c r="R92" s="65">
        <f t="shared" si="40"/>
        <v>7.6</v>
      </c>
      <c r="S92" s="65">
        <f t="shared" si="40"/>
        <v>8</v>
      </c>
      <c r="T92" s="65">
        <f>T30</f>
        <v>7.6</v>
      </c>
      <c r="U92" s="65">
        <f t="shared" si="40"/>
        <v>7.6</v>
      </c>
      <c r="V92" s="65">
        <f t="shared" si="40"/>
        <v>7.6</v>
      </c>
      <c r="W92" s="65">
        <f t="shared" si="40"/>
        <v>4</v>
      </c>
      <c r="X92" s="65">
        <f t="shared" si="40"/>
        <v>4.4000000000000004</v>
      </c>
      <c r="Y92" s="65">
        <f t="shared" si="40"/>
        <v>7.2</v>
      </c>
      <c r="Z92" s="65">
        <f t="shared" si="40"/>
        <v>8.3000000000000007</v>
      </c>
      <c r="AA92" s="65">
        <f t="shared" si="40"/>
        <v>10.8</v>
      </c>
      <c r="AB92" s="65">
        <f t="shared" si="40"/>
        <v>5.2</v>
      </c>
      <c r="AC92" s="65">
        <f t="shared" si="40"/>
        <v>7.4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0.27100000000000002</v>
      </c>
      <c r="G93" s="68">
        <v>0.26500000000000001</v>
      </c>
      <c r="H93" s="68">
        <v>0.192</v>
      </c>
      <c r="I93" s="68">
        <v>0.19700000000000001</v>
      </c>
      <c r="J93" s="68">
        <v>0.156</v>
      </c>
      <c r="K93" s="68">
        <v>0.215</v>
      </c>
      <c r="L93" s="68"/>
      <c r="M93" s="68">
        <v>0.192</v>
      </c>
      <c r="N93" s="68">
        <v>0.22800000000000001</v>
      </c>
      <c r="O93" s="68">
        <v>0.27200000000000002</v>
      </c>
      <c r="P93" s="68">
        <v>0.29699999999999999</v>
      </c>
      <c r="Q93" s="68">
        <v>0.26800000000000002</v>
      </c>
      <c r="R93" s="68">
        <v>0.249</v>
      </c>
      <c r="S93" s="68">
        <v>0.27100000000000002</v>
      </c>
      <c r="T93" s="68">
        <v>0.28299999999999997</v>
      </c>
      <c r="U93" s="68">
        <v>0.29199999999999998</v>
      </c>
      <c r="V93" s="68">
        <v>0.29599999999999999</v>
      </c>
      <c r="W93" s="68">
        <v>0.30299999999999999</v>
      </c>
      <c r="X93" s="68">
        <v>0.30099999999999999</v>
      </c>
      <c r="Y93" s="68">
        <v>0.28799999999999998</v>
      </c>
      <c r="Z93" s="68">
        <v>0.2</v>
      </c>
      <c r="AA93" s="68">
        <v>0.28199999999999997</v>
      </c>
      <c r="AB93" s="68">
        <v>0.23100000000000001</v>
      </c>
      <c r="AC93" s="68">
        <v>0.27800000000000002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1">F33</f>
        <v>13.07</v>
      </c>
      <c r="G94" s="65">
        <f t="shared" si="41"/>
        <v>12.6</v>
      </c>
      <c r="H94" s="65">
        <f t="shared" si="41"/>
        <v>12.54</v>
      </c>
      <c r="I94" s="65">
        <f t="shared" si="41"/>
        <v>14.09</v>
      </c>
      <c r="J94" s="65">
        <f t="shared" si="41"/>
        <v>14.03</v>
      </c>
      <c r="K94" s="65">
        <f t="shared" si="41"/>
        <v>14.09</v>
      </c>
      <c r="L94" s="65">
        <f t="shared" si="41"/>
        <v>14.11</v>
      </c>
      <c r="M94" s="65">
        <f t="shared" si="41"/>
        <v>14.12</v>
      </c>
      <c r="N94" s="65">
        <f t="shared" si="41"/>
        <v>14.13</v>
      </c>
      <c r="O94" s="65">
        <f t="shared" si="41"/>
        <v>14.05</v>
      </c>
      <c r="P94" s="65">
        <f t="shared" si="41"/>
        <v>14.1</v>
      </c>
      <c r="Q94" s="65">
        <f t="shared" si="41"/>
        <v>14.09</v>
      </c>
      <c r="R94" s="65">
        <f t="shared" si="41"/>
        <v>14.13</v>
      </c>
      <c r="S94" s="65">
        <f t="shared" si="41"/>
        <v>14.11</v>
      </c>
      <c r="T94" s="65">
        <f t="shared" si="41"/>
        <v>14.12</v>
      </c>
      <c r="U94" s="65">
        <f t="shared" si="41"/>
        <v>14.08</v>
      </c>
      <c r="V94" s="65">
        <f t="shared" si="41"/>
        <v>14.11</v>
      </c>
      <c r="W94" s="65">
        <f t="shared" si="41"/>
        <v>10.62</v>
      </c>
      <c r="X94" s="65">
        <f t="shared" si="41"/>
        <v>10.63</v>
      </c>
      <c r="Y94" s="65">
        <f t="shared" si="41"/>
        <v>12.11</v>
      </c>
      <c r="Z94" s="65">
        <f t="shared" si="41"/>
        <v>12.12</v>
      </c>
      <c r="AA94" s="65">
        <f t="shared" si="41"/>
        <v>9.2899999999999991</v>
      </c>
      <c r="AB94" s="65">
        <f t="shared" si="41"/>
        <v>9.02</v>
      </c>
      <c r="AC94" s="65">
        <f t="shared" si="41"/>
        <v>10.08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0.93</v>
      </c>
      <c r="G95" s="68">
        <v>0.9</v>
      </c>
      <c r="H95" s="68">
        <v>0.96</v>
      </c>
      <c r="I95" s="68">
        <v>0.91</v>
      </c>
      <c r="J95" s="68">
        <v>0.97</v>
      </c>
      <c r="K95" s="68">
        <v>0.91</v>
      </c>
      <c r="L95" s="68">
        <v>0.98899999999999999</v>
      </c>
      <c r="M95" s="68">
        <v>0.88</v>
      </c>
      <c r="N95" s="68">
        <v>0.87</v>
      </c>
      <c r="O95" s="68">
        <v>0.95</v>
      </c>
      <c r="P95" s="68">
        <v>0.9</v>
      </c>
      <c r="Q95" s="68">
        <v>0.91</v>
      </c>
      <c r="R95" s="68">
        <v>0.87</v>
      </c>
      <c r="S95" s="68">
        <v>0.89</v>
      </c>
      <c r="T95" s="68">
        <v>0.88</v>
      </c>
      <c r="U95" s="68">
        <v>0.92</v>
      </c>
      <c r="V95" s="68">
        <v>0.89</v>
      </c>
      <c r="W95" s="68">
        <v>0.88</v>
      </c>
      <c r="X95" s="68">
        <v>0.87</v>
      </c>
      <c r="Y95" s="68">
        <v>0.89</v>
      </c>
      <c r="Z95" s="68">
        <v>0.89</v>
      </c>
      <c r="AA95" s="68">
        <v>0.91</v>
      </c>
      <c r="AB95" s="68">
        <v>0.98</v>
      </c>
      <c r="AC95" s="68">
        <v>0.92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2">F59</f>
        <v>0</v>
      </c>
      <c r="G96" s="64">
        <f t="shared" si="42"/>
        <v>0</v>
      </c>
      <c r="H96" s="64">
        <f t="shared" si="42"/>
        <v>0</v>
      </c>
      <c r="I96" s="64">
        <f t="shared" si="42"/>
        <v>0.8</v>
      </c>
      <c r="J96" s="64">
        <f t="shared" si="42"/>
        <v>0</v>
      </c>
      <c r="K96" s="64">
        <f t="shared" si="42"/>
        <v>1.6</v>
      </c>
      <c r="L96" s="64">
        <f t="shared" si="42"/>
        <v>0.8</v>
      </c>
      <c r="M96" s="64">
        <f t="shared" si="42"/>
        <v>0.8</v>
      </c>
      <c r="N96" s="64">
        <f t="shared" si="42"/>
        <v>2.4000000000000004</v>
      </c>
      <c r="O96" s="64">
        <f t="shared" si="42"/>
        <v>0.8</v>
      </c>
      <c r="P96" s="64">
        <f t="shared" si="42"/>
        <v>0</v>
      </c>
      <c r="Q96" s="64">
        <f t="shared" si="42"/>
        <v>1.5</v>
      </c>
      <c r="R96" s="64">
        <f t="shared" si="42"/>
        <v>0.8</v>
      </c>
      <c r="S96" s="64">
        <f t="shared" si="42"/>
        <v>1.5</v>
      </c>
      <c r="T96" s="64">
        <f t="shared" si="42"/>
        <v>2.2999999999999998</v>
      </c>
      <c r="U96" s="64">
        <f t="shared" si="42"/>
        <v>3.1</v>
      </c>
      <c r="V96" s="64">
        <f t="shared" si="42"/>
        <v>3.1</v>
      </c>
      <c r="W96" s="64">
        <f t="shared" si="42"/>
        <v>0</v>
      </c>
      <c r="X96" s="64">
        <f t="shared" si="42"/>
        <v>0</v>
      </c>
      <c r="Y96" s="64">
        <f t="shared" si="42"/>
        <v>0</v>
      </c>
      <c r="Z96" s="64">
        <f t="shared" si="42"/>
        <v>0</v>
      </c>
      <c r="AA96" s="64">
        <f t="shared" si="42"/>
        <v>0</v>
      </c>
      <c r="AB96" s="64">
        <f t="shared" si="42"/>
        <v>0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3">F64</f>
        <v>1.02</v>
      </c>
      <c r="G97" s="64">
        <f t="shared" si="43"/>
        <v>0.94</v>
      </c>
      <c r="H97" s="64">
        <f t="shared" si="43"/>
        <v>0.9</v>
      </c>
      <c r="I97" s="64">
        <f t="shared" si="43"/>
        <v>0.88</v>
      </c>
      <c r="J97" s="64">
        <f t="shared" si="43"/>
        <v>0.85</v>
      </c>
      <c r="K97" s="64">
        <f t="shared" si="43"/>
        <v>0.9</v>
      </c>
      <c r="L97" s="64">
        <f t="shared" si="43"/>
        <v>1.0900000000000001</v>
      </c>
      <c r="M97" s="64">
        <f t="shared" si="43"/>
        <v>1.19</v>
      </c>
      <c r="N97" s="64">
        <f t="shared" si="43"/>
        <v>1.1000000000000001</v>
      </c>
      <c r="O97" s="64">
        <f t="shared" si="43"/>
        <v>1.27</v>
      </c>
      <c r="P97" s="64">
        <f t="shared" si="43"/>
        <v>1.32</v>
      </c>
      <c r="Q97" s="64">
        <f t="shared" si="43"/>
        <v>1.41</v>
      </c>
      <c r="R97" s="64">
        <f t="shared" si="43"/>
        <v>1.2149999999999999</v>
      </c>
      <c r="S97" s="64">
        <f t="shared" si="43"/>
        <v>1.27</v>
      </c>
      <c r="T97" s="64">
        <f t="shared" si="43"/>
        <v>1.3</v>
      </c>
      <c r="U97" s="64">
        <f t="shared" si="43"/>
        <v>1.21</v>
      </c>
      <c r="V97" s="64">
        <f t="shared" si="43"/>
        <v>1.1399999999999999</v>
      </c>
      <c r="W97" s="64">
        <f t="shared" si="43"/>
        <v>1.2</v>
      </c>
      <c r="X97" s="64">
        <f t="shared" si="43"/>
        <v>1.1499999999999999</v>
      </c>
      <c r="Y97" s="64">
        <f t="shared" si="43"/>
        <v>1.33</v>
      </c>
      <c r="Z97" s="64">
        <f t="shared" si="43"/>
        <v>1.31</v>
      </c>
      <c r="AA97" s="64">
        <f t="shared" si="43"/>
        <v>1.26</v>
      </c>
      <c r="AB97" s="64">
        <f t="shared" si="43"/>
        <v>1.08</v>
      </c>
      <c r="AC97" s="64">
        <f t="shared" si="43"/>
        <v>0.97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4">F75</f>
        <v>4.2</v>
      </c>
      <c r="G98" s="64">
        <f t="shared" si="44"/>
        <v>4.4000000000000004</v>
      </c>
      <c r="H98" s="64">
        <f t="shared" si="44"/>
        <v>4.2</v>
      </c>
      <c r="I98" s="64">
        <f t="shared" si="44"/>
        <v>3.7</v>
      </c>
      <c r="J98" s="64">
        <f t="shared" si="44"/>
        <v>3.9</v>
      </c>
      <c r="K98" s="64">
        <f t="shared" si="44"/>
        <v>4.0000000000000018</v>
      </c>
      <c r="L98" s="64">
        <f t="shared" si="44"/>
        <v>4.3</v>
      </c>
      <c r="M98" s="64">
        <f t="shared" si="44"/>
        <v>4.0999999999999996</v>
      </c>
      <c r="N98" s="64">
        <f t="shared" si="44"/>
        <v>4.3</v>
      </c>
      <c r="O98" s="64">
        <f t="shared" si="44"/>
        <v>5.4</v>
      </c>
      <c r="P98" s="64">
        <f t="shared" si="44"/>
        <v>5.4</v>
      </c>
      <c r="Q98" s="64">
        <f t="shared" si="44"/>
        <v>4.996666666666667</v>
      </c>
      <c r="R98" s="64">
        <f t="shared" si="44"/>
        <v>4.8</v>
      </c>
      <c r="S98" s="64">
        <f t="shared" si="44"/>
        <v>4.8</v>
      </c>
      <c r="T98" s="64">
        <f t="shared" si="44"/>
        <v>4.9996666666666671</v>
      </c>
      <c r="U98" s="64">
        <f t="shared" si="44"/>
        <v>5</v>
      </c>
      <c r="V98" s="64">
        <f t="shared" si="44"/>
        <v>4.5999999999999996</v>
      </c>
      <c r="W98" s="64">
        <f t="shared" si="44"/>
        <v>4.4000000000000004</v>
      </c>
      <c r="X98" s="64">
        <f t="shared" si="44"/>
        <v>5</v>
      </c>
      <c r="Y98" s="64">
        <f t="shared" si="44"/>
        <v>5.6999999999999993</v>
      </c>
      <c r="Z98" s="64">
        <f t="shared" si="44"/>
        <v>5.6</v>
      </c>
      <c r="AA98" s="64">
        <f t="shared" si="44"/>
        <v>5.4</v>
      </c>
      <c r="AB98" s="64">
        <f t="shared" si="44"/>
        <v>5</v>
      </c>
      <c r="AC98" s="64">
        <f t="shared" si="44"/>
        <v>4.4000000000000004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45">F79</f>
        <v>0.81</v>
      </c>
      <c r="G99" s="64">
        <f t="shared" si="45"/>
        <v>0.77</v>
      </c>
      <c r="H99" s="64">
        <f t="shared" si="45"/>
        <v>0.73</v>
      </c>
      <c r="I99" s="64">
        <f t="shared" si="45"/>
        <v>0.72</v>
      </c>
      <c r="J99" s="64">
        <f t="shared" si="45"/>
        <v>0.71</v>
      </c>
      <c r="K99" s="64">
        <f t="shared" si="45"/>
        <v>0.73</v>
      </c>
      <c r="L99" s="64">
        <f t="shared" si="45"/>
        <v>0.79</v>
      </c>
      <c r="M99" s="64">
        <f t="shared" si="45"/>
        <v>0.81</v>
      </c>
      <c r="N99" s="64">
        <f t="shared" si="45"/>
        <v>0.73</v>
      </c>
      <c r="O99" s="64">
        <f t="shared" si="45"/>
        <v>0.79</v>
      </c>
      <c r="P99" s="64">
        <f t="shared" si="45"/>
        <v>0.8</v>
      </c>
      <c r="Q99" s="64">
        <f t="shared" si="45"/>
        <v>0.82</v>
      </c>
      <c r="R99" s="64">
        <f t="shared" si="45"/>
        <v>0.87</v>
      </c>
      <c r="S99" s="64">
        <f t="shared" si="45"/>
        <v>0.9</v>
      </c>
      <c r="T99" s="64">
        <f t="shared" si="45"/>
        <v>0.89</v>
      </c>
      <c r="U99" s="64">
        <f t="shared" si="45"/>
        <v>0.89</v>
      </c>
      <c r="V99" s="64">
        <f t="shared" si="45"/>
        <v>0.89</v>
      </c>
      <c r="W99" s="64">
        <f t="shared" si="45"/>
        <v>0.89</v>
      </c>
      <c r="X99" s="64">
        <f t="shared" si="45"/>
        <v>0.9</v>
      </c>
      <c r="Y99" s="64">
        <f t="shared" si="45"/>
        <v>0.95</v>
      </c>
      <c r="Z99" s="64">
        <f t="shared" si="45"/>
        <v>0.97</v>
      </c>
      <c r="AA99" s="64">
        <f t="shared" si="45"/>
        <v>0.89</v>
      </c>
      <c r="AB99" s="64">
        <f t="shared" si="45"/>
        <v>0.84</v>
      </c>
      <c r="AC99" s="64">
        <f t="shared" si="45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47">SUM(F88,F90,F92,F94,F96:F100,F80)</f>
        <v>42.600000000000009</v>
      </c>
      <c r="G101" s="61">
        <f t="shared" si="47"/>
        <v>40.71</v>
      </c>
      <c r="H101" s="61">
        <f t="shared" si="47"/>
        <v>37.97</v>
      </c>
      <c r="I101" s="61">
        <f t="shared" si="47"/>
        <v>36.29</v>
      </c>
      <c r="J101" s="61">
        <f t="shared" si="47"/>
        <v>36.39</v>
      </c>
      <c r="K101" s="61">
        <f t="shared" si="47"/>
        <v>37.619999999999997</v>
      </c>
      <c r="L101" s="61">
        <f t="shared" si="47"/>
        <v>40.99</v>
      </c>
      <c r="M101" s="61">
        <f t="shared" si="47"/>
        <v>41.22</v>
      </c>
      <c r="N101" s="61">
        <f t="shared" si="47"/>
        <v>43.359999999999992</v>
      </c>
      <c r="O101" s="61">
        <f t="shared" si="47"/>
        <v>51.609999999999992</v>
      </c>
      <c r="P101" s="61">
        <f t="shared" si="47"/>
        <v>56.02</v>
      </c>
      <c r="Q101" s="61">
        <f t="shared" si="47"/>
        <v>57.516666666666673</v>
      </c>
      <c r="R101" s="61">
        <f t="shared" si="47"/>
        <v>56.615000000000002</v>
      </c>
      <c r="S101" s="61">
        <f t="shared" si="47"/>
        <v>57.78</v>
      </c>
      <c r="T101" s="61">
        <f>SUM(T88,T90,T92,T94,T96:T100,T80)</f>
        <v>58.609666666666662</v>
      </c>
      <c r="U101" s="61">
        <f t="shared" si="47"/>
        <v>58.180000000000007</v>
      </c>
      <c r="V101" s="61">
        <f t="shared" si="47"/>
        <v>58.34</v>
      </c>
      <c r="W101" s="61">
        <f t="shared" si="47"/>
        <v>48.51</v>
      </c>
      <c r="X101" s="61">
        <f t="shared" si="47"/>
        <v>54.78</v>
      </c>
      <c r="Y101" s="61">
        <f t="shared" si="47"/>
        <v>61.39</v>
      </c>
      <c r="Z101" s="61">
        <f t="shared" si="47"/>
        <v>58.2</v>
      </c>
      <c r="AA101" s="61">
        <f t="shared" si="47"/>
        <v>55.24</v>
      </c>
      <c r="AB101" s="61">
        <f t="shared" si="47"/>
        <v>48.84</v>
      </c>
      <c r="AC101" s="61">
        <f t="shared" si="47"/>
        <v>46.26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>
        <v>1.6</v>
      </c>
      <c r="Q103" s="77">
        <f t="shared" ref="Q103:W103" si="48">1.6+0.87</f>
        <v>2.4700000000000002</v>
      </c>
      <c r="R103" s="77">
        <f t="shared" si="48"/>
        <v>2.4700000000000002</v>
      </c>
      <c r="S103" s="77">
        <f t="shared" si="48"/>
        <v>2.4700000000000002</v>
      </c>
      <c r="T103" s="77">
        <f t="shared" si="48"/>
        <v>2.4700000000000002</v>
      </c>
      <c r="U103" s="77">
        <f t="shared" si="48"/>
        <v>2.4700000000000002</v>
      </c>
      <c r="V103" s="77">
        <f t="shared" si="48"/>
        <v>2.4700000000000002</v>
      </c>
      <c r="W103" s="77">
        <f t="shared" si="48"/>
        <v>2.4700000000000002</v>
      </c>
      <c r="X103" s="77">
        <v>1.6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>
        <v>0.46</v>
      </c>
      <c r="J104" s="77"/>
      <c r="K104" s="77"/>
      <c r="L104" s="77">
        <v>1.1000000000000001</v>
      </c>
      <c r="M104" s="77"/>
      <c r="N104" s="77"/>
      <c r="O104" s="77"/>
      <c r="P104" s="77"/>
      <c r="Q104" s="77"/>
      <c r="R104" s="77"/>
      <c r="S104" s="77"/>
      <c r="T104" s="77">
        <v>1.26</v>
      </c>
      <c r="U104" s="77">
        <v>1.26</v>
      </c>
      <c r="V104" s="77"/>
      <c r="W104" s="77">
        <v>5.6337999999999999</v>
      </c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49">SUM(F102:F104)</f>
        <v>0</v>
      </c>
      <c r="G105" s="61">
        <f t="shared" si="49"/>
        <v>0</v>
      </c>
      <c r="H105" s="61">
        <f t="shared" si="49"/>
        <v>0</v>
      </c>
      <c r="I105" s="61">
        <f t="shared" si="49"/>
        <v>0.46</v>
      </c>
      <c r="J105" s="61">
        <f t="shared" si="49"/>
        <v>0</v>
      </c>
      <c r="K105" s="61">
        <f t="shared" si="49"/>
        <v>0</v>
      </c>
      <c r="L105" s="61">
        <f t="shared" si="49"/>
        <v>1.1000000000000001</v>
      </c>
      <c r="M105" s="61">
        <f t="shared" si="49"/>
        <v>0</v>
      </c>
      <c r="N105" s="61">
        <f t="shared" si="49"/>
        <v>0</v>
      </c>
      <c r="O105" s="61">
        <f t="shared" si="49"/>
        <v>0</v>
      </c>
      <c r="P105" s="61">
        <f t="shared" si="49"/>
        <v>1.6</v>
      </c>
      <c r="Q105" s="61">
        <f t="shared" si="49"/>
        <v>2.4700000000000002</v>
      </c>
      <c r="R105" s="61">
        <f t="shared" si="49"/>
        <v>2.4700000000000002</v>
      </c>
      <c r="S105" s="61">
        <f t="shared" si="49"/>
        <v>2.4700000000000002</v>
      </c>
      <c r="T105" s="61">
        <f t="shared" si="49"/>
        <v>3.7300000000000004</v>
      </c>
      <c r="U105" s="61">
        <f t="shared" si="49"/>
        <v>3.7300000000000004</v>
      </c>
      <c r="V105" s="61">
        <f t="shared" si="49"/>
        <v>2.4700000000000002</v>
      </c>
      <c r="W105" s="61">
        <f t="shared" si="49"/>
        <v>8.1037999999999997</v>
      </c>
      <c r="X105" s="61">
        <f t="shared" si="49"/>
        <v>1.6</v>
      </c>
      <c r="Y105" s="61">
        <f t="shared" si="49"/>
        <v>0</v>
      </c>
      <c r="Z105" s="61">
        <f t="shared" si="49"/>
        <v>0</v>
      </c>
      <c r="AA105" s="61">
        <f t="shared" si="49"/>
        <v>0</v>
      </c>
      <c r="AB105" s="61">
        <f t="shared" si="49"/>
        <v>0</v>
      </c>
      <c r="AC105" s="61">
        <f t="shared" si="49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50">F101+F105</f>
        <v>42.600000000000009</v>
      </c>
      <c r="G106" s="62">
        <f t="shared" si="50"/>
        <v>40.71</v>
      </c>
      <c r="H106" s="62">
        <f t="shared" si="50"/>
        <v>37.97</v>
      </c>
      <c r="I106" s="62">
        <f t="shared" si="50"/>
        <v>36.75</v>
      </c>
      <c r="J106" s="62">
        <f t="shared" si="50"/>
        <v>36.39</v>
      </c>
      <c r="K106" s="62">
        <f t="shared" si="50"/>
        <v>37.619999999999997</v>
      </c>
      <c r="L106" s="62">
        <f t="shared" si="50"/>
        <v>42.09</v>
      </c>
      <c r="M106" s="62">
        <f t="shared" si="50"/>
        <v>41.22</v>
      </c>
      <c r="N106" s="62">
        <f t="shared" si="50"/>
        <v>43.359999999999992</v>
      </c>
      <c r="O106" s="62">
        <f t="shared" si="50"/>
        <v>51.609999999999992</v>
      </c>
      <c r="P106" s="62">
        <f t="shared" si="50"/>
        <v>57.620000000000005</v>
      </c>
      <c r="Q106" s="62">
        <f t="shared" si="50"/>
        <v>59.986666666666672</v>
      </c>
      <c r="R106" s="62">
        <f t="shared" si="50"/>
        <v>59.085000000000001</v>
      </c>
      <c r="S106" s="62">
        <f t="shared" si="50"/>
        <v>60.25</v>
      </c>
      <c r="T106" s="62">
        <f t="shared" si="50"/>
        <v>62.339666666666659</v>
      </c>
      <c r="U106" s="62">
        <f t="shared" si="50"/>
        <v>61.910000000000011</v>
      </c>
      <c r="V106" s="62">
        <f t="shared" si="50"/>
        <v>60.81</v>
      </c>
      <c r="W106" s="62">
        <f t="shared" si="50"/>
        <v>56.613799999999998</v>
      </c>
      <c r="X106" s="62">
        <f t="shared" si="50"/>
        <v>56.38</v>
      </c>
      <c r="Y106" s="62">
        <f t="shared" si="50"/>
        <v>61.39</v>
      </c>
      <c r="Z106" s="62">
        <f t="shared" si="50"/>
        <v>58.2</v>
      </c>
      <c r="AA106" s="62">
        <f t="shared" si="50"/>
        <v>55.24</v>
      </c>
      <c r="AB106" s="62">
        <f t="shared" si="50"/>
        <v>48.84</v>
      </c>
      <c r="AC106" s="62">
        <f t="shared" si="50"/>
        <v>46.26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51">(COUNT(F13:F16))*7.2+(COUNT(F27:F28)*4.9)+(COUNT(F19:F21)*4.5)-F90-F92</f>
        <v>15.700000000000006</v>
      </c>
      <c r="G107" s="63">
        <f t="shared" si="51"/>
        <v>17.200000000000003</v>
      </c>
      <c r="H107" s="63">
        <f t="shared" si="51"/>
        <v>19.200000000000006</v>
      </c>
      <c r="I107" s="63">
        <f t="shared" si="51"/>
        <v>18.2</v>
      </c>
      <c r="J107" s="63">
        <f t="shared" si="51"/>
        <v>17.399999999999999</v>
      </c>
      <c r="K107" s="63">
        <f t="shared" si="51"/>
        <v>18</v>
      </c>
      <c r="L107" s="63">
        <f t="shared" si="51"/>
        <v>18.700000000000006</v>
      </c>
      <c r="M107" s="63">
        <f t="shared" si="51"/>
        <v>19.000000000000007</v>
      </c>
      <c r="N107" s="63">
        <f t="shared" si="51"/>
        <v>18.500000000000007</v>
      </c>
      <c r="O107" s="63">
        <f t="shared" si="51"/>
        <v>20.9</v>
      </c>
      <c r="P107" s="63">
        <f t="shared" si="51"/>
        <v>15.8</v>
      </c>
      <c r="Q107" s="63">
        <f t="shared" si="51"/>
        <v>15.500000000000002</v>
      </c>
      <c r="R107" s="63">
        <f t="shared" si="51"/>
        <v>8.2000000000000046</v>
      </c>
      <c r="S107" s="63">
        <f t="shared" si="51"/>
        <v>7.8000000000000043</v>
      </c>
      <c r="T107" s="63">
        <f>(COUNT(T13:T16))*7.2+(COUNT(T27:T28)*4.9)+(COUNT(T19:T21)*4.5)-T90-T92</f>
        <v>15.200000000000001</v>
      </c>
      <c r="U107" s="63">
        <f t="shared" si="51"/>
        <v>9.1000000000000032</v>
      </c>
      <c r="V107" s="63">
        <f t="shared" si="51"/>
        <v>15.900000000000004</v>
      </c>
      <c r="W107" s="63">
        <f t="shared" si="51"/>
        <v>17.900000000000002</v>
      </c>
      <c r="X107" s="63">
        <f t="shared" si="51"/>
        <v>13.1</v>
      </c>
      <c r="Y107" s="63">
        <f t="shared" si="51"/>
        <v>9.1000000000000014</v>
      </c>
      <c r="Z107" s="63">
        <f t="shared" si="51"/>
        <v>12.200000000000003</v>
      </c>
      <c r="AA107" s="63">
        <f t="shared" si="51"/>
        <v>11.5</v>
      </c>
      <c r="AB107" s="63">
        <f t="shared" si="51"/>
        <v>13.500000000000004</v>
      </c>
      <c r="AC107" s="63">
        <f t="shared" si="51"/>
        <v>16.400000000000006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5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3.8000000000000007</v>
      </c>
      <c r="G108" s="206">
        <f t="shared" si="52"/>
        <v>5.3</v>
      </c>
      <c r="H108" s="206">
        <f t="shared" si="52"/>
        <v>2.8000000000000012</v>
      </c>
      <c r="I108" s="206">
        <f t="shared" si="52"/>
        <v>2.8</v>
      </c>
      <c r="J108" s="206">
        <f t="shared" si="52"/>
        <v>2.0000000000000009</v>
      </c>
      <c r="K108" s="206">
        <f t="shared" si="52"/>
        <v>2.6000000000000005</v>
      </c>
      <c r="L108" s="206">
        <f t="shared" si="52"/>
        <v>2.5</v>
      </c>
      <c r="M108" s="206">
        <f t="shared" si="52"/>
        <v>2.2000000000000011</v>
      </c>
      <c r="N108" s="206">
        <f t="shared" si="52"/>
        <v>1.7000000000000002</v>
      </c>
      <c r="O108" s="206">
        <f t="shared" si="52"/>
        <v>9.6999999999999993</v>
      </c>
      <c r="P108" s="206">
        <f t="shared" si="52"/>
        <v>4.6000000000000005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12.900000000000002</v>
      </c>
      <c r="R108" s="206">
        <f t="shared" ref="R108:AC108" si="5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4.8000000000000016</v>
      </c>
      <c r="S108" s="206">
        <f t="shared" si="53"/>
        <v>4.4000000000000004</v>
      </c>
      <c r="T108" s="206">
        <f t="shared" si="53"/>
        <v>11.8</v>
      </c>
      <c r="U108" s="206">
        <f t="shared" si="53"/>
        <v>5.7</v>
      </c>
      <c r="V108" s="206">
        <f t="shared" si="53"/>
        <v>12.300000000000004</v>
      </c>
      <c r="W108" s="206">
        <f t="shared" si="53"/>
        <v>15.400000000000002</v>
      </c>
      <c r="X108" s="206">
        <f t="shared" si="53"/>
        <v>9.6999999999999993</v>
      </c>
      <c r="Y108" s="206">
        <f t="shared" si="53"/>
        <v>5.5000000000000009</v>
      </c>
      <c r="Z108" s="206">
        <f t="shared" si="53"/>
        <v>8.6000000000000014</v>
      </c>
      <c r="AA108" s="206">
        <f t="shared" si="53"/>
        <v>8.3999999999999986</v>
      </c>
      <c r="AB108" s="206">
        <f t="shared" si="53"/>
        <v>9.4000000000000021</v>
      </c>
      <c r="AC108" s="206">
        <f t="shared" si="53"/>
        <v>5.1000000000000041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60.17</v>
      </c>
      <c r="G109" s="75">
        <v>60.22</v>
      </c>
      <c r="H109" s="75">
        <v>60.11</v>
      </c>
      <c r="I109" s="75">
        <v>60.24</v>
      </c>
      <c r="J109" s="75">
        <v>60.14</v>
      </c>
      <c r="K109" s="75">
        <v>60.06</v>
      </c>
      <c r="L109" s="75">
        <v>60.31</v>
      </c>
      <c r="M109" s="75">
        <v>60.06</v>
      </c>
      <c r="N109" s="75">
        <v>60.07</v>
      </c>
      <c r="O109" s="75">
        <v>60.13</v>
      </c>
      <c r="P109" s="84">
        <v>60.16</v>
      </c>
      <c r="Q109" s="84">
        <v>60.08</v>
      </c>
      <c r="R109" s="84">
        <v>60.11</v>
      </c>
      <c r="S109" s="84">
        <v>60.1</v>
      </c>
      <c r="T109" s="84">
        <v>60.16</v>
      </c>
      <c r="U109" s="75">
        <v>60.12</v>
      </c>
      <c r="V109" s="75">
        <v>60.21</v>
      </c>
      <c r="W109" s="75">
        <v>60.38</v>
      </c>
      <c r="X109" s="75">
        <v>60.27</v>
      </c>
      <c r="Y109" s="75">
        <v>60.14</v>
      </c>
      <c r="Z109" s="75">
        <v>60.14</v>
      </c>
      <c r="AA109" s="75">
        <v>60.69</v>
      </c>
      <c r="AB109" s="75">
        <v>60.41</v>
      </c>
      <c r="AC109" s="75">
        <v>60.22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54">SUM(G117:G124)</f>
        <v>0</v>
      </c>
      <c r="H125" s="44">
        <f t="shared" si="54"/>
        <v>0</v>
      </c>
      <c r="I125" s="44">
        <f t="shared" si="54"/>
        <v>0</v>
      </c>
      <c r="J125" s="44">
        <f t="shared" si="54"/>
        <v>0</v>
      </c>
      <c r="K125" s="44">
        <f t="shared" si="54"/>
        <v>0</v>
      </c>
      <c r="L125" s="44">
        <f t="shared" si="54"/>
        <v>0</v>
      </c>
      <c r="M125" s="44">
        <f t="shared" si="54"/>
        <v>0</v>
      </c>
      <c r="N125" s="44">
        <f t="shared" si="54"/>
        <v>0</v>
      </c>
      <c r="O125" s="44">
        <f t="shared" si="54"/>
        <v>0</v>
      </c>
      <c r="P125" s="44">
        <f t="shared" si="54"/>
        <v>0</v>
      </c>
      <c r="Q125" s="44">
        <f t="shared" si="54"/>
        <v>0</v>
      </c>
      <c r="R125" s="44">
        <f t="shared" si="54"/>
        <v>0</v>
      </c>
      <c r="S125" s="44">
        <f t="shared" si="54"/>
        <v>0</v>
      </c>
      <c r="T125" s="44">
        <f t="shared" si="54"/>
        <v>0</v>
      </c>
      <c r="U125" s="44">
        <f t="shared" si="54"/>
        <v>0</v>
      </c>
      <c r="V125" s="44">
        <f t="shared" si="54"/>
        <v>0</v>
      </c>
      <c r="W125" s="44">
        <f t="shared" si="54"/>
        <v>0</v>
      </c>
      <c r="X125" s="44">
        <f t="shared" si="54"/>
        <v>0</v>
      </c>
      <c r="Y125" s="44">
        <f t="shared" si="54"/>
        <v>0</v>
      </c>
      <c r="Z125" s="44">
        <f t="shared" si="54"/>
        <v>0</v>
      </c>
      <c r="AA125" s="44">
        <f t="shared" si="54"/>
        <v>0</v>
      </c>
      <c r="AB125" s="44">
        <f t="shared" si="54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4516" priority="2595" operator="greaterThan">
      <formula>60.3</formula>
    </cfRule>
  </conditionalFormatting>
  <conditionalFormatting sqref="G53:G55 J56:L56 J13:K14 I57:L58 K15 J15:J16 I53:I56 I40:I50 J66:K66 K16:Q16 J24:AC24 J67:J72 J74 K67:K74 I13:I16 I20:AC21 I27:AC28 I66:I74 J35:O50 J53:O55 N51:O52 M56:O58 L13:Q15 P35:AC58 I77:AC78 R13:AC16 L66:AC74 N61:AC63">
    <cfRule type="cellIs" dxfId="14515" priority="2587" operator="equal">
      <formula>"PMS"</formula>
    </cfRule>
    <cfRule type="containsText" dxfId="14514" priority="2588" operator="containsText" text="CMS">
      <formula>NOT(ISERROR(SEARCH("CMS",G13)))</formula>
    </cfRule>
    <cfRule type="cellIs" dxfId="14513" priority="2589" operator="equal">
      <formula>0</formula>
    </cfRule>
    <cfRule type="cellIs" dxfId="14512" priority="2590" operator="greaterThan">
      <formula>0</formula>
    </cfRule>
    <cfRule type="cellIs" dxfId="14511" priority="2591" operator="equal">
      <formula>"PMS"</formula>
    </cfRule>
    <cfRule type="containsText" dxfId="14510" priority="2592" operator="containsText" text="CMS">
      <formula>NOT(ISERROR(SEARCH("CMS",G13)))</formula>
    </cfRule>
    <cfRule type="cellIs" dxfId="14509" priority="2593" operator="equal">
      <formula>0</formula>
    </cfRule>
    <cfRule type="cellIs" dxfId="14508" priority="2594" operator="greaterThan">
      <formula>0</formula>
    </cfRule>
  </conditionalFormatting>
  <conditionalFormatting sqref="O77:AC78 O66:AC74 O61:AC63">
    <cfRule type="cellIs" dxfId="14507" priority="2583" operator="equal">
      <formula>"PMS"</formula>
    </cfRule>
    <cfRule type="containsText" dxfId="14506" priority="2584" operator="containsText" text="CMS">
      <formula>NOT(ISERROR(SEARCH("CMS",O61)))</formula>
    </cfRule>
    <cfRule type="cellIs" dxfId="14505" priority="2585" operator="equal">
      <formula>0</formula>
    </cfRule>
    <cfRule type="cellIs" dxfId="14504" priority="2586" operator="greaterThan">
      <formula>0</formula>
    </cfRule>
  </conditionalFormatting>
  <conditionalFormatting sqref="P66:AC74">
    <cfRule type="cellIs" dxfId="14503" priority="2579" operator="equal">
      <formula>"PMS"</formula>
    </cfRule>
    <cfRule type="containsText" dxfId="14502" priority="2580" operator="containsText" text="CMS">
      <formula>NOT(ISERROR(SEARCH("CMS",P66)))</formula>
    </cfRule>
    <cfRule type="cellIs" dxfId="14501" priority="2581" operator="equal">
      <formula>0</formula>
    </cfRule>
    <cfRule type="cellIs" dxfId="14500" priority="2582" operator="greaterThan">
      <formula>0</formula>
    </cfRule>
  </conditionalFormatting>
  <conditionalFormatting sqref="O13:AC16">
    <cfRule type="cellIs" dxfId="14499" priority="2575" operator="equal">
      <formula>"PMS"</formula>
    </cfRule>
    <cfRule type="containsText" dxfId="14498" priority="2576" operator="containsText" text="CMS">
      <formula>NOT(ISERROR(SEARCH("CMS",O13)))</formula>
    </cfRule>
    <cfRule type="cellIs" dxfId="14497" priority="2577" operator="equal">
      <formula>0</formula>
    </cfRule>
    <cfRule type="cellIs" dxfId="14496" priority="2578" operator="greaterThan">
      <formula>0</formula>
    </cfRule>
  </conditionalFormatting>
  <conditionalFormatting sqref="P13:AC16">
    <cfRule type="cellIs" dxfId="14495" priority="2571" operator="equal">
      <formula>"PMS"</formula>
    </cfRule>
    <cfRule type="containsText" dxfId="14494" priority="2572" operator="containsText" text="CMS">
      <formula>NOT(ISERROR(SEARCH("CMS",P13)))</formula>
    </cfRule>
    <cfRule type="cellIs" dxfId="14493" priority="2573" operator="equal">
      <formula>0</formula>
    </cfRule>
    <cfRule type="cellIs" dxfId="14492" priority="2574" operator="greaterThan">
      <formula>0</formula>
    </cfRule>
  </conditionalFormatting>
  <conditionalFormatting sqref="O20:AC21">
    <cfRule type="cellIs" dxfId="14491" priority="2567" operator="equal">
      <formula>"PMS"</formula>
    </cfRule>
    <cfRule type="containsText" dxfId="14490" priority="2568" operator="containsText" text="CMS">
      <formula>NOT(ISERROR(SEARCH("CMS",O20)))</formula>
    </cfRule>
    <cfRule type="cellIs" dxfId="14489" priority="2569" operator="equal">
      <formula>0</formula>
    </cfRule>
    <cfRule type="cellIs" dxfId="14488" priority="2570" operator="greaterThan">
      <formula>0</formula>
    </cfRule>
  </conditionalFormatting>
  <conditionalFormatting sqref="P20:AC21">
    <cfRule type="cellIs" dxfId="14487" priority="2563" operator="equal">
      <formula>"PMS"</formula>
    </cfRule>
    <cfRule type="containsText" dxfId="14486" priority="2564" operator="containsText" text="CMS">
      <formula>NOT(ISERROR(SEARCH("CMS",P20)))</formula>
    </cfRule>
    <cfRule type="cellIs" dxfId="14485" priority="2565" operator="equal">
      <formula>0</formula>
    </cfRule>
    <cfRule type="cellIs" dxfId="14484" priority="2566" operator="greaterThan">
      <formula>0</formula>
    </cfRule>
  </conditionalFormatting>
  <conditionalFormatting sqref="O24:AC24">
    <cfRule type="cellIs" dxfId="14483" priority="2559" operator="equal">
      <formula>"PMS"</formula>
    </cfRule>
    <cfRule type="containsText" dxfId="14482" priority="2560" operator="containsText" text="CMS">
      <formula>NOT(ISERROR(SEARCH("CMS",O24)))</formula>
    </cfRule>
    <cfRule type="cellIs" dxfId="14481" priority="2561" operator="equal">
      <formula>0</formula>
    </cfRule>
    <cfRule type="cellIs" dxfId="14480" priority="2562" operator="greaterThan">
      <formula>0</formula>
    </cfRule>
  </conditionalFormatting>
  <conditionalFormatting sqref="P24:AC24">
    <cfRule type="cellIs" dxfId="14479" priority="2555" operator="equal">
      <formula>"PMS"</formula>
    </cfRule>
    <cfRule type="containsText" dxfId="14478" priority="2556" operator="containsText" text="CMS">
      <formula>NOT(ISERROR(SEARCH("CMS",P24)))</formula>
    </cfRule>
    <cfRule type="cellIs" dxfId="14477" priority="2557" operator="equal">
      <formula>0</formula>
    </cfRule>
    <cfRule type="cellIs" dxfId="14476" priority="2558" operator="greaterThan">
      <formula>0</formula>
    </cfRule>
  </conditionalFormatting>
  <conditionalFormatting sqref="O27:AC28">
    <cfRule type="cellIs" dxfId="14475" priority="2551" operator="equal">
      <formula>"PMS"</formula>
    </cfRule>
    <cfRule type="containsText" dxfId="14474" priority="2552" operator="containsText" text="CMS">
      <formula>NOT(ISERROR(SEARCH("CMS",O27)))</formula>
    </cfRule>
    <cfRule type="cellIs" dxfId="14473" priority="2553" operator="equal">
      <formula>0</formula>
    </cfRule>
    <cfRule type="cellIs" dxfId="14472" priority="2554" operator="greaterThan">
      <formula>0</formula>
    </cfRule>
  </conditionalFormatting>
  <conditionalFormatting sqref="P27:AC28">
    <cfRule type="cellIs" dxfId="14471" priority="2547" operator="equal">
      <formula>"PMS"</formula>
    </cfRule>
    <cfRule type="containsText" dxfId="14470" priority="2548" operator="containsText" text="CMS">
      <formula>NOT(ISERROR(SEARCH("CMS",P27)))</formula>
    </cfRule>
    <cfRule type="cellIs" dxfId="14469" priority="2549" operator="equal">
      <formula>0</formula>
    </cfRule>
    <cfRule type="cellIs" dxfId="14468" priority="2550" operator="greaterThan">
      <formula>0</formula>
    </cfRule>
  </conditionalFormatting>
  <conditionalFormatting sqref="P50 R50:S58 O35:S49 O52:P58 Q53:Q58 T35:AC58">
    <cfRule type="cellIs" dxfId="14467" priority="2543" operator="equal">
      <formula>"PMS"</formula>
    </cfRule>
    <cfRule type="containsText" dxfId="14466" priority="2544" operator="containsText" text="CMS">
      <formula>NOT(ISERROR(SEARCH("CMS",O35)))</formula>
    </cfRule>
    <cfRule type="cellIs" dxfId="14465" priority="2545" operator="equal">
      <formula>0</formula>
    </cfRule>
    <cfRule type="cellIs" dxfId="14464" priority="2546" operator="greaterThan">
      <formula>0</formula>
    </cfRule>
  </conditionalFormatting>
  <conditionalFormatting sqref="P50 R50:S58 P35:S49 O38:O49 O52:P58 Q53:Q58 T35:AC58">
    <cfRule type="cellIs" dxfId="14463" priority="2539" operator="equal">
      <formula>"PMS"</formula>
    </cfRule>
    <cfRule type="containsText" dxfId="14462" priority="2540" operator="containsText" text="CMS">
      <formula>NOT(ISERROR(SEARCH("CMS",O35)))</formula>
    </cfRule>
    <cfRule type="cellIs" dxfId="14461" priority="2541" operator="equal">
      <formula>0</formula>
    </cfRule>
    <cfRule type="cellIs" dxfId="14460" priority="2542" operator="greaterThan">
      <formula>0</formula>
    </cfRule>
  </conditionalFormatting>
  <conditionalFormatting sqref="W13:AC13 AC14:AC15 Z14:AB16 W14:X16">
    <cfRule type="cellIs" dxfId="14459" priority="2535" operator="equal">
      <formula>"PMS"</formula>
    </cfRule>
    <cfRule type="containsText" dxfId="14458" priority="2536" operator="containsText" text="CMS">
      <formula>NOT(ISERROR(SEARCH("CMS",W13)))</formula>
    </cfRule>
    <cfRule type="cellIs" dxfId="14457" priority="2537" operator="equal">
      <formula>0</formula>
    </cfRule>
    <cfRule type="cellIs" dxfId="14456" priority="2538" operator="greaterThan">
      <formula>0</formula>
    </cfRule>
  </conditionalFormatting>
  <conditionalFormatting sqref="W13:AC13 AC14:AC15 Z14:AB16 W14:X16">
    <cfRule type="cellIs" dxfId="14455" priority="2531" operator="equal">
      <formula>"PMS"</formula>
    </cfRule>
    <cfRule type="containsText" dxfId="14454" priority="2532" operator="containsText" text="CMS">
      <formula>NOT(ISERROR(SEARCH("CMS",W13)))</formula>
    </cfRule>
    <cfRule type="cellIs" dxfId="14453" priority="2533" operator="equal">
      <formula>0</formula>
    </cfRule>
    <cfRule type="cellIs" dxfId="14452" priority="2534" operator="greaterThan">
      <formula>0</formula>
    </cfRule>
  </conditionalFormatting>
  <conditionalFormatting sqref="X57:AC57">
    <cfRule type="cellIs" dxfId="14451" priority="2527" operator="equal">
      <formula>"PMS"</formula>
    </cfRule>
    <cfRule type="containsText" dxfId="14450" priority="2528" operator="containsText" text="CMS">
      <formula>NOT(ISERROR(SEARCH("CMS",X57)))</formula>
    </cfRule>
    <cfRule type="cellIs" dxfId="14449" priority="2529" operator="equal">
      <formula>0</formula>
    </cfRule>
    <cfRule type="cellIs" dxfId="14448" priority="2530" operator="greaterThan">
      <formula>0</formula>
    </cfRule>
  </conditionalFormatting>
  <conditionalFormatting sqref="X57:AC57">
    <cfRule type="cellIs" dxfId="14447" priority="2523" operator="equal">
      <formula>"PMS"</formula>
    </cfRule>
    <cfRule type="containsText" dxfId="14446" priority="2524" operator="containsText" text="CMS">
      <formula>NOT(ISERROR(SEARCH("CMS",X57)))</formula>
    </cfRule>
    <cfRule type="cellIs" dxfId="14445" priority="2525" operator="equal">
      <formula>0</formula>
    </cfRule>
    <cfRule type="cellIs" dxfId="14444" priority="2526" operator="greaterThan">
      <formula>0</formula>
    </cfRule>
  </conditionalFormatting>
  <conditionalFormatting sqref="X57:AC57">
    <cfRule type="cellIs" dxfId="14443" priority="2519" operator="equal">
      <formula>"PMS"</formula>
    </cfRule>
    <cfRule type="containsText" dxfId="14442" priority="2520" operator="containsText" text="CMS">
      <formula>NOT(ISERROR(SEARCH("CMS",X57)))</formula>
    </cfRule>
    <cfRule type="cellIs" dxfId="14441" priority="2521" operator="equal">
      <formula>0</formula>
    </cfRule>
    <cfRule type="cellIs" dxfId="14440" priority="2522" operator="greaterThan">
      <formula>0</formula>
    </cfRule>
  </conditionalFormatting>
  <conditionalFormatting sqref="X57:AC57">
    <cfRule type="cellIs" dxfId="14439" priority="2515" operator="equal">
      <formula>"PMS"</formula>
    </cfRule>
    <cfRule type="containsText" dxfId="14438" priority="2516" operator="containsText" text="CMS">
      <formula>NOT(ISERROR(SEARCH("CMS",X57)))</formula>
    </cfRule>
    <cfRule type="cellIs" dxfId="14437" priority="2517" operator="equal">
      <formula>0</formula>
    </cfRule>
    <cfRule type="cellIs" dxfId="14436" priority="2518" operator="greaterThan">
      <formula>0</formula>
    </cfRule>
  </conditionalFormatting>
  <conditionalFormatting sqref="AB58:AC58">
    <cfRule type="cellIs" dxfId="14435" priority="2511" operator="equal">
      <formula>"PMS"</formula>
    </cfRule>
    <cfRule type="containsText" dxfId="14434" priority="2512" operator="containsText" text="CMS">
      <formula>NOT(ISERROR(SEARCH("CMS",AB58)))</formula>
    </cfRule>
    <cfRule type="cellIs" dxfId="14433" priority="2513" operator="equal">
      <formula>0</formula>
    </cfRule>
    <cfRule type="cellIs" dxfId="14432" priority="2514" operator="greaterThan">
      <formula>0</formula>
    </cfRule>
  </conditionalFormatting>
  <conditionalFormatting sqref="AB58:AC58">
    <cfRule type="cellIs" dxfId="14431" priority="2507" operator="equal">
      <formula>"PMS"</formula>
    </cfRule>
    <cfRule type="containsText" dxfId="14430" priority="2508" operator="containsText" text="CMS">
      <formula>NOT(ISERROR(SEARCH("CMS",AB58)))</formula>
    </cfRule>
    <cfRule type="cellIs" dxfId="14429" priority="2509" operator="equal">
      <formula>0</formula>
    </cfRule>
    <cfRule type="cellIs" dxfId="14428" priority="2510" operator="greaterThan">
      <formula>0</formula>
    </cfRule>
  </conditionalFormatting>
  <conditionalFormatting sqref="AB58:AC58">
    <cfRule type="cellIs" dxfId="14427" priority="2503" operator="equal">
      <formula>"PMS"</formula>
    </cfRule>
    <cfRule type="containsText" dxfId="14426" priority="2504" operator="containsText" text="CMS">
      <formula>NOT(ISERROR(SEARCH("CMS",AB58)))</formula>
    </cfRule>
    <cfRule type="cellIs" dxfId="14425" priority="2505" operator="equal">
      <formula>0</formula>
    </cfRule>
    <cfRule type="cellIs" dxfId="14424" priority="2506" operator="greaterThan">
      <formula>0</formula>
    </cfRule>
  </conditionalFormatting>
  <conditionalFormatting sqref="AB58:AC58">
    <cfRule type="cellIs" dxfId="14423" priority="2499" operator="equal">
      <formula>"PMS"</formula>
    </cfRule>
    <cfRule type="containsText" dxfId="14422" priority="2500" operator="containsText" text="CMS">
      <formula>NOT(ISERROR(SEARCH("CMS",AB58)))</formula>
    </cfRule>
    <cfRule type="cellIs" dxfId="14421" priority="2501" operator="equal">
      <formula>0</formula>
    </cfRule>
    <cfRule type="cellIs" dxfId="14420" priority="2502" operator="greaterThan">
      <formula>0</formula>
    </cfRule>
  </conditionalFormatting>
  <conditionalFormatting sqref="AB78">
    <cfRule type="cellIs" dxfId="14419" priority="2495" operator="equal">
      <formula>"PMS"</formula>
    </cfRule>
    <cfRule type="containsText" dxfId="14418" priority="2496" operator="containsText" text="CMS">
      <formula>NOT(ISERROR(SEARCH("CMS",AB78)))</formula>
    </cfRule>
    <cfRule type="cellIs" dxfId="14417" priority="2497" operator="equal">
      <formula>0</formula>
    </cfRule>
    <cfRule type="cellIs" dxfId="14416" priority="2498" operator="greaterThan">
      <formula>0</formula>
    </cfRule>
  </conditionalFormatting>
  <conditionalFormatting sqref="AB78">
    <cfRule type="cellIs" dxfId="14415" priority="2491" operator="equal">
      <formula>"PMS"</formula>
    </cfRule>
    <cfRule type="containsText" dxfId="14414" priority="2492" operator="containsText" text="CMS">
      <formula>NOT(ISERROR(SEARCH("CMS",AB78)))</formula>
    </cfRule>
    <cfRule type="cellIs" dxfId="14413" priority="2493" operator="equal">
      <formula>0</formula>
    </cfRule>
    <cfRule type="cellIs" dxfId="14412" priority="2494" operator="greaterThan">
      <formula>0</formula>
    </cfRule>
  </conditionalFormatting>
  <conditionalFormatting sqref="O44:O49">
    <cfRule type="cellIs" dxfId="14411" priority="2487" operator="equal">
      <formula>"PMS"</formula>
    </cfRule>
    <cfRule type="containsText" dxfId="14410" priority="2488" operator="containsText" text="CMS">
      <formula>NOT(ISERROR(SEARCH("CMS",O44)))</formula>
    </cfRule>
    <cfRule type="cellIs" dxfId="14409" priority="2489" operator="equal">
      <formula>0</formula>
    </cfRule>
    <cfRule type="cellIs" dxfId="14408" priority="2490" operator="greaterThan">
      <formula>0</formula>
    </cfRule>
  </conditionalFormatting>
  <conditionalFormatting sqref="P56 O52:O57">
    <cfRule type="cellIs" dxfId="14407" priority="2483" operator="equal">
      <formula>"PMS"</formula>
    </cfRule>
    <cfRule type="containsText" dxfId="14406" priority="2484" operator="containsText" text="CMS">
      <formula>NOT(ISERROR(SEARCH("CMS",O52)))</formula>
    </cfRule>
    <cfRule type="cellIs" dxfId="14405" priority="2485" operator="equal">
      <formula>0</formula>
    </cfRule>
    <cfRule type="cellIs" dxfId="14404" priority="2486" operator="greaterThan">
      <formula>0</formula>
    </cfRule>
  </conditionalFormatting>
  <conditionalFormatting sqref="O49">
    <cfRule type="cellIs" dxfId="14403" priority="2479" operator="equal">
      <formula>"PMS"</formula>
    </cfRule>
    <cfRule type="containsText" dxfId="14402" priority="2480" operator="containsText" text="CMS">
      <formula>NOT(ISERROR(SEARCH("CMS",O49)))</formula>
    </cfRule>
    <cfRule type="cellIs" dxfId="14401" priority="2481" operator="equal">
      <formula>0</formula>
    </cfRule>
    <cfRule type="cellIs" dxfId="14400" priority="2482" operator="greaterThan">
      <formula>0</formula>
    </cfRule>
  </conditionalFormatting>
  <conditionalFormatting sqref="P56 O52:O58">
    <cfRule type="cellIs" dxfId="14399" priority="2475" operator="equal">
      <formula>"PMS"</formula>
    </cfRule>
    <cfRule type="containsText" dxfId="14398" priority="2476" operator="containsText" text="CMS">
      <formula>NOT(ISERROR(SEARCH("CMS",O52)))</formula>
    </cfRule>
    <cfRule type="cellIs" dxfId="14397" priority="2477" operator="equal">
      <formula>0</formula>
    </cfRule>
    <cfRule type="cellIs" dxfId="14396" priority="2478" operator="greaterThan">
      <formula>0</formula>
    </cfRule>
  </conditionalFormatting>
  <conditionalFormatting sqref="Q24:V24">
    <cfRule type="cellIs" dxfId="14395" priority="2471" operator="equal">
      <formula>"PMS"</formula>
    </cfRule>
    <cfRule type="containsText" dxfId="14394" priority="2472" operator="containsText" text="CMS">
      <formula>NOT(ISERROR(SEARCH("CMS",Q24)))</formula>
    </cfRule>
    <cfRule type="cellIs" dxfId="14393" priority="2473" operator="equal">
      <formula>0</formula>
    </cfRule>
    <cfRule type="cellIs" dxfId="14392" priority="2474" operator="greaterThan">
      <formula>0</formula>
    </cfRule>
  </conditionalFormatting>
  <conditionalFormatting sqref="Q24:V24">
    <cfRule type="cellIs" dxfId="14391" priority="2467" operator="equal">
      <formula>"PMS"</formula>
    </cfRule>
    <cfRule type="containsText" dxfId="14390" priority="2468" operator="containsText" text="CMS">
      <formula>NOT(ISERROR(SEARCH("CMS",Q24)))</formula>
    </cfRule>
    <cfRule type="cellIs" dxfId="14389" priority="2469" operator="equal">
      <formula>0</formula>
    </cfRule>
    <cfRule type="cellIs" dxfId="14388" priority="2470" operator="greaterThan">
      <formula>0</formula>
    </cfRule>
  </conditionalFormatting>
  <conditionalFormatting sqref="Q27:V28">
    <cfRule type="cellIs" dxfId="14387" priority="2463" operator="equal">
      <formula>"PMS"</formula>
    </cfRule>
    <cfRule type="containsText" dxfId="14386" priority="2464" operator="containsText" text="CMS">
      <formula>NOT(ISERROR(SEARCH("CMS",Q27)))</formula>
    </cfRule>
    <cfRule type="cellIs" dxfId="14385" priority="2465" operator="equal">
      <formula>0</formula>
    </cfRule>
    <cfRule type="cellIs" dxfId="14384" priority="2466" operator="greaterThan">
      <formula>0</formula>
    </cfRule>
  </conditionalFormatting>
  <conditionalFormatting sqref="Q27:V28">
    <cfRule type="cellIs" dxfId="14383" priority="2459" operator="equal">
      <formula>"PMS"</formula>
    </cfRule>
    <cfRule type="containsText" dxfId="14382" priority="2460" operator="containsText" text="CMS">
      <formula>NOT(ISERROR(SEARCH("CMS",Q27)))</formula>
    </cfRule>
    <cfRule type="cellIs" dxfId="14381" priority="2461" operator="equal">
      <formula>0</formula>
    </cfRule>
    <cfRule type="cellIs" dxfId="14380" priority="2462" operator="greaterThan">
      <formula>0</formula>
    </cfRule>
  </conditionalFormatting>
  <conditionalFormatting sqref="R27:V28">
    <cfRule type="cellIs" dxfId="14379" priority="2455" operator="equal">
      <formula>"PMS"</formula>
    </cfRule>
    <cfRule type="containsText" dxfId="14378" priority="2456" operator="containsText" text="CMS">
      <formula>NOT(ISERROR(SEARCH("CMS",R27)))</formula>
    </cfRule>
    <cfRule type="cellIs" dxfId="14377" priority="2457" operator="equal">
      <formula>0</formula>
    </cfRule>
    <cfRule type="cellIs" dxfId="14376" priority="2458" operator="greaterThan">
      <formula>0</formula>
    </cfRule>
  </conditionalFormatting>
  <conditionalFormatting sqref="R27:V28">
    <cfRule type="cellIs" dxfId="14375" priority="2451" operator="equal">
      <formula>"PMS"</formula>
    </cfRule>
    <cfRule type="containsText" dxfId="14374" priority="2452" operator="containsText" text="CMS">
      <formula>NOT(ISERROR(SEARCH("CMS",R27)))</formula>
    </cfRule>
    <cfRule type="cellIs" dxfId="14373" priority="2453" operator="equal">
      <formula>0</formula>
    </cfRule>
    <cfRule type="cellIs" dxfId="14372" priority="2454" operator="greaterThan">
      <formula>0</formula>
    </cfRule>
  </conditionalFormatting>
  <conditionalFormatting sqref="P56 O52:O57">
    <cfRule type="cellIs" dxfId="14371" priority="2447" operator="equal">
      <formula>"PMS"</formula>
    </cfRule>
    <cfRule type="containsText" dxfId="14370" priority="2448" operator="containsText" text="CMS">
      <formula>NOT(ISERROR(SEARCH("CMS",O52)))</formula>
    </cfRule>
    <cfRule type="cellIs" dxfId="14369" priority="2449" operator="equal">
      <formula>0</formula>
    </cfRule>
    <cfRule type="cellIs" dxfId="14368" priority="2450" operator="greaterThan">
      <formula>0</formula>
    </cfRule>
  </conditionalFormatting>
  <conditionalFormatting sqref="O44:O45">
    <cfRule type="cellIs" dxfId="14367" priority="2443" operator="equal">
      <formula>"PMS"</formula>
    </cfRule>
    <cfRule type="containsText" dxfId="14366" priority="2444" operator="containsText" text="CMS">
      <formula>NOT(ISERROR(SEARCH("CMS",O44)))</formula>
    </cfRule>
    <cfRule type="cellIs" dxfId="14365" priority="2445" operator="equal">
      <formula>0</formula>
    </cfRule>
    <cfRule type="cellIs" dxfId="14364" priority="2446" operator="greaterThan">
      <formula>0</formula>
    </cfRule>
  </conditionalFormatting>
  <conditionalFormatting sqref="O44:O45">
    <cfRule type="cellIs" dxfId="14363" priority="2439" operator="equal">
      <formula>"PMS"</formula>
    </cfRule>
    <cfRule type="containsText" dxfId="14362" priority="2440" operator="containsText" text="CMS">
      <formula>NOT(ISERROR(SEARCH("CMS",O44)))</formula>
    </cfRule>
    <cfRule type="cellIs" dxfId="14361" priority="2441" operator="equal">
      <formula>0</formula>
    </cfRule>
    <cfRule type="cellIs" dxfId="14360" priority="2442" operator="greaterThan">
      <formula>0</formula>
    </cfRule>
  </conditionalFormatting>
  <conditionalFormatting sqref="O44:O45">
    <cfRule type="cellIs" dxfId="14359" priority="2435" operator="equal">
      <formula>"PMS"</formula>
    </cfRule>
    <cfRule type="containsText" dxfId="14358" priority="2436" operator="containsText" text="CMS">
      <formula>NOT(ISERROR(SEARCH("CMS",O44)))</formula>
    </cfRule>
    <cfRule type="cellIs" dxfId="14357" priority="2437" operator="equal">
      <formula>0</formula>
    </cfRule>
    <cfRule type="cellIs" dxfId="14356" priority="2438" operator="greaterThan">
      <formula>0</formula>
    </cfRule>
  </conditionalFormatting>
  <conditionalFormatting sqref="O46">
    <cfRule type="cellIs" dxfId="14355" priority="2431" operator="equal">
      <formula>"PMS"</formula>
    </cfRule>
    <cfRule type="containsText" dxfId="14354" priority="2432" operator="containsText" text="CMS">
      <formula>NOT(ISERROR(SEARCH("CMS",O46)))</formula>
    </cfRule>
    <cfRule type="cellIs" dxfId="14353" priority="2433" operator="equal">
      <formula>0</formula>
    </cfRule>
    <cfRule type="cellIs" dxfId="14352" priority="2434" operator="greaterThan">
      <formula>0</formula>
    </cfRule>
  </conditionalFormatting>
  <conditionalFormatting sqref="O46">
    <cfRule type="cellIs" dxfId="14351" priority="2427" operator="equal">
      <formula>"PMS"</formula>
    </cfRule>
    <cfRule type="containsText" dxfId="14350" priority="2428" operator="containsText" text="CMS">
      <formula>NOT(ISERROR(SEARCH("CMS",O46)))</formula>
    </cfRule>
    <cfRule type="cellIs" dxfId="14349" priority="2429" operator="equal">
      <formula>0</formula>
    </cfRule>
    <cfRule type="cellIs" dxfId="14348" priority="2430" operator="greaterThan">
      <formula>0</formula>
    </cfRule>
  </conditionalFormatting>
  <conditionalFormatting sqref="O46">
    <cfRule type="cellIs" dxfId="14347" priority="2423" operator="equal">
      <formula>"PMS"</formula>
    </cfRule>
    <cfRule type="containsText" dxfId="14346" priority="2424" operator="containsText" text="CMS">
      <formula>NOT(ISERROR(SEARCH("CMS",O46)))</formula>
    </cfRule>
    <cfRule type="cellIs" dxfId="14345" priority="2425" operator="equal">
      <formula>0</formula>
    </cfRule>
    <cfRule type="cellIs" dxfId="14344" priority="2426" operator="greaterThan">
      <formula>0</formula>
    </cfRule>
  </conditionalFormatting>
  <conditionalFormatting sqref="I19:AC19">
    <cfRule type="cellIs" dxfId="14343" priority="2419" operator="equal">
      <formula>"CMS"</formula>
    </cfRule>
    <cfRule type="cellIs" dxfId="14342" priority="2420" operator="equal">
      <formula>"PMS"</formula>
    </cfRule>
    <cfRule type="cellIs" dxfId="14341" priority="2421" operator="greaterThan">
      <formula>0</formula>
    </cfRule>
    <cfRule type="cellIs" dxfId="14340" priority="2422" operator="equal">
      <formula>0</formula>
    </cfRule>
  </conditionalFormatting>
  <conditionalFormatting sqref="G61:G63">
    <cfRule type="cellIs" dxfId="14339" priority="2415" operator="equal">
      <formula>"CMS"</formula>
    </cfRule>
    <cfRule type="cellIs" dxfId="14338" priority="2416" operator="equal">
      <formula>"PMS"</formula>
    </cfRule>
    <cfRule type="cellIs" dxfId="14337" priority="2417" operator="greaterThan">
      <formula>0</formula>
    </cfRule>
    <cfRule type="cellIs" dxfId="14336" priority="2418" operator="equal">
      <formula>0</formula>
    </cfRule>
  </conditionalFormatting>
  <conditionalFormatting sqref="G77">
    <cfRule type="cellIs" dxfId="14335" priority="2410" operator="equal">
      <formula>"EOC"</formula>
    </cfRule>
    <cfRule type="cellIs" dxfId="14334" priority="2411" operator="equal">
      <formula>"CMS"</formula>
    </cfRule>
    <cfRule type="cellIs" dxfId="14333" priority="2412" operator="equal">
      <formula>"PMS"</formula>
    </cfRule>
    <cfRule type="cellIs" dxfId="14332" priority="2413" operator="greaterThan">
      <formula>0</formula>
    </cfRule>
    <cfRule type="cellIs" dxfId="14331" priority="2414" operator="equal">
      <formula>0</formula>
    </cfRule>
  </conditionalFormatting>
  <conditionalFormatting sqref="F109">
    <cfRule type="cellIs" dxfId="14330" priority="2409" operator="greaterThan">
      <formula>60.3</formula>
    </cfRule>
  </conditionalFormatting>
  <conditionalFormatting sqref="G36:G44 G50 G47">
    <cfRule type="cellIs" dxfId="14329" priority="2401" operator="equal">
      <formula>"PMS"</formula>
    </cfRule>
    <cfRule type="containsText" dxfId="14328" priority="2402" operator="containsText" text="CMS">
      <formula>NOT(ISERROR(SEARCH("CMS",G36)))</formula>
    </cfRule>
    <cfRule type="cellIs" dxfId="14327" priority="2403" operator="equal">
      <formula>0</formula>
    </cfRule>
    <cfRule type="cellIs" dxfId="14326" priority="2404" operator="greaterThan">
      <formula>0</formula>
    </cfRule>
    <cfRule type="cellIs" dxfId="14325" priority="2405" operator="equal">
      <formula>"PMS"</formula>
    </cfRule>
    <cfRule type="containsText" dxfId="14324" priority="2406" operator="containsText" text="CMS">
      <formula>NOT(ISERROR(SEARCH("CMS",G36)))</formula>
    </cfRule>
    <cfRule type="cellIs" dxfId="14323" priority="2407" operator="equal">
      <formula>0</formula>
    </cfRule>
    <cfRule type="cellIs" dxfId="14322" priority="2408" operator="greaterThan">
      <formula>0</formula>
    </cfRule>
  </conditionalFormatting>
  <conditionalFormatting sqref="G36:G44 G50 G47">
    <cfRule type="cellIs" dxfId="14321" priority="2397" operator="equal">
      <formula>"PMS"</formula>
    </cfRule>
    <cfRule type="containsText" dxfId="14320" priority="2398" operator="containsText" text="CMS">
      <formula>NOT(ISERROR(SEARCH("CMS",G36)))</formula>
    </cfRule>
    <cfRule type="cellIs" dxfId="14319" priority="2399" operator="equal">
      <formula>0</formula>
    </cfRule>
    <cfRule type="cellIs" dxfId="14318" priority="2400" operator="greaterThan">
      <formula>0</formula>
    </cfRule>
  </conditionalFormatting>
  <conditionalFormatting sqref="G36:G44 G50 G47">
    <cfRule type="cellIs" dxfId="14317" priority="2393" operator="equal">
      <formula>"PMS"</formula>
    </cfRule>
    <cfRule type="containsText" dxfId="14316" priority="2394" operator="containsText" text="CMS">
      <formula>NOT(ISERROR(SEARCH("CMS",G36)))</formula>
    </cfRule>
    <cfRule type="cellIs" dxfId="14315" priority="2395" operator="equal">
      <formula>0</formula>
    </cfRule>
    <cfRule type="cellIs" dxfId="14314" priority="2396" operator="greaterThan">
      <formula>0</formula>
    </cfRule>
  </conditionalFormatting>
  <conditionalFormatting sqref="I36:I39">
    <cfRule type="cellIs" dxfId="14313" priority="2385" operator="equal">
      <formula>"PMS"</formula>
    </cfRule>
    <cfRule type="containsText" dxfId="14312" priority="2386" operator="containsText" text="CMS">
      <formula>NOT(ISERROR(SEARCH("CMS",I36)))</formula>
    </cfRule>
    <cfRule type="cellIs" dxfId="14311" priority="2387" operator="equal">
      <formula>0</formula>
    </cfRule>
    <cfRule type="cellIs" dxfId="14310" priority="2388" operator="greaterThan">
      <formula>0</formula>
    </cfRule>
    <cfRule type="cellIs" dxfId="14309" priority="2389" operator="equal">
      <formula>"PMS"</formula>
    </cfRule>
    <cfRule type="containsText" dxfId="14308" priority="2390" operator="containsText" text="CMS">
      <formula>NOT(ISERROR(SEARCH("CMS",I36)))</formula>
    </cfRule>
    <cfRule type="cellIs" dxfId="14307" priority="2391" operator="equal">
      <formula>0</formula>
    </cfRule>
    <cfRule type="cellIs" dxfId="14306" priority="2392" operator="greaterThan">
      <formula>0</formula>
    </cfRule>
  </conditionalFormatting>
  <conditionalFormatting sqref="I36:I39">
    <cfRule type="cellIs" dxfId="14305" priority="2381" operator="equal">
      <formula>"PMS"</formula>
    </cfRule>
    <cfRule type="containsText" dxfId="14304" priority="2382" operator="containsText" text="CMS">
      <formula>NOT(ISERROR(SEARCH("CMS",I36)))</formula>
    </cfRule>
    <cfRule type="cellIs" dxfId="14303" priority="2383" operator="equal">
      <formula>0</formula>
    </cfRule>
    <cfRule type="cellIs" dxfId="14302" priority="2384" operator="greaterThan">
      <formula>0</formula>
    </cfRule>
  </conditionalFormatting>
  <conditionalFormatting sqref="I36:I39">
    <cfRule type="cellIs" dxfId="14301" priority="2377" operator="equal">
      <formula>"PMS"</formula>
    </cfRule>
    <cfRule type="containsText" dxfId="14300" priority="2378" operator="containsText" text="CMS">
      <formula>NOT(ISERROR(SEARCH("CMS",I36)))</formula>
    </cfRule>
    <cfRule type="cellIs" dxfId="14299" priority="2379" operator="equal">
      <formula>0</formula>
    </cfRule>
    <cfRule type="cellIs" dxfId="14298" priority="2380" operator="greaterThan">
      <formula>0</formula>
    </cfRule>
  </conditionalFormatting>
  <conditionalFormatting sqref="O49">
    <cfRule type="cellIs" dxfId="14297" priority="2373" operator="equal">
      <formula>"PMS"</formula>
    </cfRule>
    <cfRule type="containsText" dxfId="14296" priority="2374" operator="containsText" text="CMS">
      <formula>NOT(ISERROR(SEARCH("CMS",O49)))</formula>
    </cfRule>
    <cfRule type="cellIs" dxfId="14295" priority="2375" operator="equal">
      <formula>0</formula>
    </cfRule>
    <cfRule type="cellIs" dxfId="14294" priority="2376" operator="greaterThan">
      <formula>0</formula>
    </cfRule>
  </conditionalFormatting>
  <conditionalFormatting sqref="P56 O52:O57">
    <cfRule type="cellIs" dxfId="14293" priority="2369" operator="equal">
      <formula>"PMS"</formula>
    </cfRule>
    <cfRule type="containsText" dxfId="14292" priority="2370" operator="containsText" text="CMS">
      <formula>NOT(ISERROR(SEARCH("CMS",O52)))</formula>
    </cfRule>
    <cfRule type="cellIs" dxfId="14291" priority="2371" operator="equal">
      <formula>0</formula>
    </cfRule>
    <cfRule type="cellIs" dxfId="14290" priority="2372" operator="greaterThan">
      <formula>0</formula>
    </cfRule>
  </conditionalFormatting>
  <conditionalFormatting sqref="O57:P57">
    <cfRule type="cellIs" dxfId="14289" priority="2365" operator="equal">
      <formula>"PMS"</formula>
    </cfRule>
    <cfRule type="containsText" dxfId="14288" priority="2366" operator="containsText" text="CMS">
      <formula>NOT(ISERROR(SEARCH("CMS",O57)))</formula>
    </cfRule>
    <cfRule type="cellIs" dxfId="14287" priority="2367" operator="equal">
      <formula>0</formula>
    </cfRule>
    <cfRule type="cellIs" dxfId="14286" priority="2368" operator="greaterThan">
      <formula>0</formula>
    </cfRule>
  </conditionalFormatting>
  <conditionalFormatting sqref="O49">
    <cfRule type="cellIs" dxfId="14285" priority="2361" operator="equal">
      <formula>"PMS"</formula>
    </cfRule>
    <cfRule type="containsText" dxfId="14284" priority="2362" operator="containsText" text="CMS">
      <formula>NOT(ISERROR(SEARCH("CMS",O49)))</formula>
    </cfRule>
    <cfRule type="cellIs" dxfId="14283" priority="2363" operator="equal">
      <formula>0</formula>
    </cfRule>
    <cfRule type="cellIs" dxfId="14282" priority="2364" operator="greaterThan">
      <formula>0</formula>
    </cfRule>
  </conditionalFormatting>
  <conditionalFormatting sqref="P56 O52:O58">
    <cfRule type="cellIs" dxfId="14281" priority="2357" operator="equal">
      <formula>"PMS"</formula>
    </cfRule>
    <cfRule type="containsText" dxfId="14280" priority="2358" operator="containsText" text="CMS">
      <formula>NOT(ISERROR(SEARCH("CMS",O52)))</formula>
    </cfRule>
    <cfRule type="cellIs" dxfId="14279" priority="2359" operator="equal">
      <formula>0</formula>
    </cfRule>
    <cfRule type="cellIs" dxfId="14278" priority="2360" operator="greaterThan">
      <formula>0</formula>
    </cfRule>
  </conditionalFormatting>
  <conditionalFormatting sqref="O49">
    <cfRule type="cellIs" dxfId="14277" priority="2353" operator="equal">
      <formula>"PMS"</formula>
    </cfRule>
    <cfRule type="containsText" dxfId="14276" priority="2354" operator="containsText" text="CMS">
      <formula>NOT(ISERROR(SEARCH("CMS",O49)))</formula>
    </cfRule>
    <cfRule type="cellIs" dxfId="14275" priority="2355" operator="equal">
      <formula>0</formula>
    </cfRule>
    <cfRule type="cellIs" dxfId="14274" priority="2356" operator="greaterThan">
      <formula>0</formula>
    </cfRule>
  </conditionalFormatting>
  <conditionalFormatting sqref="P56 O52:O58">
    <cfRule type="cellIs" dxfId="14273" priority="2349" operator="equal">
      <formula>"PMS"</formula>
    </cfRule>
    <cfRule type="containsText" dxfId="14272" priority="2350" operator="containsText" text="CMS">
      <formula>NOT(ISERROR(SEARCH("CMS",O52)))</formula>
    </cfRule>
    <cfRule type="cellIs" dxfId="14271" priority="2351" operator="equal">
      <formula>0</formula>
    </cfRule>
    <cfRule type="cellIs" dxfId="14270" priority="2352" operator="greaterThan">
      <formula>0</formula>
    </cfRule>
  </conditionalFormatting>
  <conditionalFormatting sqref="W14:W16">
    <cfRule type="cellIs" dxfId="14269" priority="2345" operator="equal">
      <formula>"PMS"</formula>
    </cfRule>
    <cfRule type="containsText" dxfId="14268" priority="2346" operator="containsText" text="CMS">
      <formula>NOT(ISERROR(SEARCH("CMS",W14)))</formula>
    </cfRule>
    <cfRule type="cellIs" dxfId="14267" priority="2347" operator="equal">
      <formula>0</formula>
    </cfRule>
    <cfRule type="cellIs" dxfId="14266" priority="2348" operator="greaterThan">
      <formula>0</formula>
    </cfRule>
  </conditionalFormatting>
  <conditionalFormatting sqref="W14:W16">
    <cfRule type="cellIs" dxfId="14265" priority="2341" operator="equal">
      <formula>"PMS"</formula>
    </cfRule>
    <cfRule type="containsText" dxfId="14264" priority="2342" operator="containsText" text="CMS">
      <formula>NOT(ISERROR(SEARCH("CMS",W14)))</formula>
    </cfRule>
    <cfRule type="cellIs" dxfId="14263" priority="2343" operator="equal">
      <formula>0</formula>
    </cfRule>
    <cfRule type="cellIs" dxfId="14262" priority="2344" operator="greaterThan">
      <formula>0</formula>
    </cfRule>
  </conditionalFormatting>
  <conditionalFormatting sqref="X16">
    <cfRule type="cellIs" dxfId="14261" priority="2337" operator="equal">
      <formula>"PMS"</formula>
    </cfRule>
    <cfRule type="containsText" dxfId="14260" priority="2338" operator="containsText" text="CMS">
      <formula>NOT(ISERROR(SEARCH("CMS",X16)))</formula>
    </cfRule>
    <cfRule type="cellIs" dxfId="14259" priority="2339" operator="equal">
      <formula>0</formula>
    </cfRule>
    <cfRule type="cellIs" dxfId="14258" priority="2340" operator="greaterThan">
      <formula>0</formula>
    </cfRule>
  </conditionalFormatting>
  <conditionalFormatting sqref="X16">
    <cfRule type="cellIs" dxfId="14257" priority="2333" operator="equal">
      <formula>"PMS"</formula>
    </cfRule>
    <cfRule type="containsText" dxfId="14256" priority="2334" operator="containsText" text="CMS">
      <formula>NOT(ISERROR(SEARCH("CMS",X16)))</formula>
    </cfRule>
    <cfRule type="cellIs" dxfId="14255" priority="2335" operator="equal">
      <formula>0</formula>
    </cfRule>
    <cfRule type="cellIs" dxfId="14254" priority="2336" operator="greaterThan">
      <formula>0</formula>
    </cfRule>
  </conditionalFormatting>
  <conditionalFormatting sqref="O49">
    <cfRule type="cellIs" dxfId="14253" priority="2329" operator="equal">
      <formula>"PMS"</formula>
    </cfRule>
    <cfRule type="containsText" dxfId="14252" priority="2330" operator="containsText" text="CMS">
      <formula>NOT(ISERROR(SEARCH("CMS",O49)))</formula>
    </cfRule>
    <cfRule type="cellIs" dxfId="14251" priority="2331" operator="equal">
      <formula>0</formula>
    </cfRule>
    <cfRule type="cellIs" dxfId="14250" priority="2332" operator="greaterThan">
      <formula>0</formula>
    </cfRule>
  </conditionalFormatting>
  <conditionalFormatting sqref="O56:P56">
    <cfRule type="cellIs" dxfId="14249" priority="2325" operator="equal">
      <formula>"PMS"</formula>
    </cfRule>
    <cfRule type="containsText" dxfId="14248" priority="2326" operator="containsText" text="CMS">
      <formula>NOT(ISERROR(SEARCH("CMS",O56)))</formula>
    </cfRule>
    <cfRule type="cellIs" dxfId="14247" priority="2327" operator="equal">
      <formula>0</formula>
    </cfRule>
    <cfRule type="cellIs" dxfId="14246" priority="2328" operator="greaterThan">
      <formula>0</formula>
    </cfRule>
  </conditionalFormatting>
  <conditionalFormatting sqref="Z14">
    <cfRule type="cellIs" dxfId="14245" priority="2321" operator="equal">
      <formula>"PMS"</formula>
    </cfRule>
    <cfRule type="containsText" dxfId="14244" priority="2322" operator="containsText" text="CMS">
      <formula>NOT(ISERROR(SEARCH("CMS",Z14)))</formula>
    </cfRule>
    <cfRule type="cellIs" dxfId="14243" priority="2323" operator="equal">
      <formula>0</formula>
    </cfRule>
    <cfRule type="cellIs" dxfId="14242" priority="2324" operator="greaterThan">
      <formula>0</formula>
    </cfRule>
  </conditionalFormatting>
  <conditionalFormatting sqref="Z14">
    <cfRule type="cellIs" dxfId="14241" priority="2317" operator="equal">
      <formula>"PMS"</formula>
    </cfRule>
    <cfRule type="containsText" dxfId="14240" priority="2318" operator="containsText" text="CMS">
      <formula>NOT(ISERROR(SEARCH("CMS",Z14)))</formula>
    </cfRule>
    <cfRule type="cellIs" dxfId="14239" priority="2319" operator="equal">
      <formula>0</formula>
    </cfRule>
    <cfRule type="cellIs" dxfId="14238" priority="2320" operator="greaterThan">
      <formula>0</formula>
    </cfRule>
  </conditionalFormatting>
  <conditionalFormatting sqref="Z15">
    <cfRule type="cellIs" dxfId="14237" priority="2313" operator="equal">
      <formula>"PMS"</formula>
    </cfRule>
    <cfRule type="containsText" dxfId="14236" priority="2314" operator="containsText" text="CMS">
      <formula>NOT(ISERROR(SEARCH("CMS",Z15)))</formula>
    </cfRule>
    <cfRule type="cellIs" dxfId="14235" priority="2315" operator="equal">
      <formula>0</formula>
    </cfRule>
    <cfRule type="cellIs" dxfId="14234" priority="2316" operator="greaterThan">
      <formula>0</formula>
    </cfRule>
  </conditionalFormatting>
  <conditionalFormatting sqref="Z15">
    <cfRule type="cellIs" dxfId="14233" priority="2309" operator="equal">
      <formula>"PMS"</formula>
    </cfRule>
    <cfRule type="containsText" dxfId="14232" priority="2310" operator="containsText" text="CMS">
      <formula>NOT(ISERROR(SEARCH("CMS",Z15)))</formula>
    </cfRule>
    <cfRule type="cellIs" dxfId="14231" priority="2311" operator="equal">
      <formula>0</formula>
    </cfRule>
    <cfRule type="cellIs" dxfId="14230" priority="2312" operator="greaterThan">
      <formula>0</formula>
    </cfRule>
  </conditionalFormatting>
  <conditionalFormatting sqref="Z16">
    <cfRule type="cellIs" dxfId="14229" priority="2305" operator="equal">
      <formula>"PMS"</formula>
    </cfRule>
    <cfRule type="containsText" dxfId="14228" priority="2306" operator="containsText" text="CMS">
      <formula>NOT(ISERROR(SEARCH("CMS",Z16)))</formula>
    </cfRule>
    <cfRule type="cellIs" dxfId="14227" priority="2307" operator="equal">
      <formula>0</formula>
    </cfRule>
    <cfRule type="cellIs" dxfId="14226" priority="2308" operator="greaterThan">
      <formula>0</formula>
    </cfRule>
  </conditionalFormatting>
  <conditionalFormatting sqref="Z16">
    <cfRule type="cellIs" dxfId="14225" priority="2301" operator="equal">
      <formula>"PMS"</formula>
    </cfRule>
    <cfRule type="containsText" dxfId="14224" priority="2302" operator="containsText" text="CMS">
      <formula>NOT(ISERROR(SEARCH("CMS",Z16)))</formula>
    </cfRule>
    <cfRule type="cellIs" dxfId="14223" priority="2303" operator="equal">
      <formula>0</formula>
    </cfRule>
    <cfRule type="cellIs" dxfId="14222" priority="2304" operator="greaterThan">
      <formula>0</formula>
    </cfRule>
  </conditionalFormatting>
  <conditionalFormatting sqref="AA13:AA16">
    <cfRule type="cellIs" dxfId="14221" priority="2297" operator="equal">
      <formula>"PMS"</formula>
    </cfRule>
    <cfRule type="containsText" dxfId="14220" priority="2298" operator="containsText" text="CMS">
      <formula>NOT(ISERROR(SEARCH("CMS",AA13)))</formula>
    </cfRule>
    <cfRule type="cellIs" dxfId="14219" priority="2299" operator="equal">
      <formula>0</formula>
    </cfRule>
    <cfRule type="cellIs" dxfId="14218" priority="2300" operator="greaterThan">
      <formula>0</formula>
    </cfRule>
  </conditionalFormatting>
  <conditionalFormatting sqref="AA13:AA16">
    <cfRule type="cellIs" dxfId="14217" priority="2293" operator="equal">
      <formula>"PMS"</formula>
    </cfRule>
    <cfRule type="containsText" dxfId="14216" priority="2294" operator="containsText" text="CMS">
      <formula>NOT(ISERROR(SEARCH("CMS",AA13)))</formula>
    </cfRule>
    <cfRule type="cellIs" dxfId="14215" priority="2295" operator="equal">
      <formula>0</formula>
    </cfRule>
    <cfRule type="cellIs" dxfId="14214" priority="2296" operator="greaterThan">
      <formula>0</formula>
    </cfRule>
  </conditionalFormatting>
  <conditionalFormatting sqref="Z15:AA15">
    <cfRule type="cellIs" dxfId="14213" priority="2289" operator="equal">
      <formula>"PMS"</formula>
    </cfRule>
    <cfRule type="containsText" dxfId="14212" priority="2290" operator="containsText" text="CMS">
      <formula>NOT(ISERROR(SEARCH("CMS",Z15)))</formula>
    </cfRule>
    <cfRule type="cellIs" dxfId="14211" priority="2291" operator="equal">
      <formula>0</formula>
    </cfRule>
    <cfRule type="cellIs" dxfId="14210" priority="2292" operator="greaterThan">
      <formula>0</formula>
    </cfRule>
  </conditionalFormatting>
  <conditionalFormatting sqref="Z15:AA15">
    <cfRule type="cellIs" dxfId="14209" priority="2285" operator="equal">
      <formula>"PMS"</formula>
    </cfRule>
    <cfRule type="containsText" dxfId="14208" priority="2286" operator="containsText" text="CMS">
      <formula>NOT(ISERROR(SEARCH("CMS",Z15)))</formula>
    </cfRule>
    <cfRule type="cellIs" dxfId="14207" priority="2287" operator="equal">
      <formula>0</formula>
    </cfRule>
    <cfRule type="cellIs" dxfId="14206" priority="2288" operator="greaterThan">
      <formula>0</formula>
    </cfRule>
  </conditionalFormatting>
  <conditionalFormatting sqref="Z16:AA16">
    <cfRule type="cellIs" dxfId="14205" priority="2281" operator="equal">
      <formula>"PMS"</formula>
    </cfRule>
    <cfRule type="containsText" dxfId="14204" priority="2282" operator="containsText" text="CMS">
      <formula>NOT(ISERROR(SEARCH("CMS",Z16)))</formula>
    </cfRule>
    <cfRule type="cellIs" dxfId="14203" priority="2283" operator="equal">
      <formula>0</formula>
    </cfRule>
    <cfRule type="cellIs" dxfId="14202" priority="2284" operator="greaterThan">
      <formula>0</formula>
    </cfRule>
  </conditionalFormatting>
  <conditionalFormatting sqref="Z16:AA16">
    <cfRule type="cellIs" dxfId="14201" priority="2277" operator="equal">
      <formula>"PMS"</formula>
    </cfRule>
    <cfRule type="containsText" dxfId="14200" priority="2278" operator="containsText" text="CMS">
      <formula>NOT(ISERROR(SEARCH("CMS",Z16)))</formula>
    </cfRule>
    <cfRule type="cellIs" dxfId="14199" priority="2279" operator="equal">
      <formula>0</formula>
    </cfRule>
    <cfRule type="cellIs" dxfId="14198" priority="2280" operator="greaterThan">
      <formula>0</formula>
    </cfRule>
  </conditionalFormatting>
  <conditionalFormatting sqref="AA27">
    <cfRule type="cellIs" dxfId="14197" priority="2273" operator="equal">
      <formula>"PMS"</formula>
    </cfRule>
    <cfRule type="containsText" dxfId="14196" priority="2274" operator="containsText" text="CMS">
      <formula>NOT(ISERROR(SEARCH("CMS",AA27)))</formula>
    </cfRule>
    <cfRule type="cellIs" dxfId="14195" priority="2275" operator="equal">
      <formula>0</formula>
    </cfRule>
    <cfRule type="cellIs" dxfId="14194" priority="2276" operator="greaterThan">
      <formula>0</formula>
    </cfRule>
  </conditionalFormatting>
  <conditionalFormatting sqref="AA27">
    <cfRule type="cellIs" dxfId="14193" priority="2269" operator="equal">
      <formula>"PMS"</formula>
    </cfRule>
    <cfRule type="containsText" dxfId="14192" priority="2270" operator="containsText" text="CMS">
      <formula>NOT(ISERROR(SEARCH("CMS",AA27)))</formula>
    </cfRule>
    <cfRule type="cellIs" dxfId="14191" priority="2271" operator="equal">
      <formula>0</formula>
    </cfRule>
    <cfRule type="cellIs" dxfId="14190" priority="2272" operator="greaterThan">
      <formula>0</formula>
    </cfRule>
  </conditionalFormatting>
  <conditionalFormatting sqref="AA28">
    <cfRule type="cellIs" dxfId="14189" priority="2265" operator="equal">
      <formula>"PMS"</formula>
    </cfRule>
    <cfRule type="containsText" dxfId="14188" priority="2266" operator="containsText" text="CMS">
      <formula>NOT(ISERROR(SEARCH("CMS",AA28)))</formula>
    </cfRule>
    <cfRule type="cellIs" dxfId="14187" priority="2267" operator="equal">
      <formula>0</formula>
    </cfRule>
    <cfRule type="cellIs" dxfId="14186" priority="2268" operator="greaterThan">
      <formula>0</formula>
    </cfRule>
  </conditionalFormatting>
  <conditionalFormatting sqref="AA28">
    <cfRule type="cellIs" dxfId="14185" priority="2261" operator="equal">
      <formula>"PMS"</formula>
    </cfRule>
    <cfRule type="containsText" dxfId="14184" priority="2262" operator="containsText" text="CMS">
      <formula>NOT(ISERROR(SEARCH("CMS",AA28)))</formula>
    </cfRule>
    <cfRule type="cellIs" dxfId="14183" priority="2263" operator="equal">
      <formula>0</formula>
    </cfRule>
    <cfRule type="cellIs" dxfId="14182" priority="2264" operator="greaterThan">
      <formula>0</formula>
    </cfRule>
  </conditionalFormatting>
  <conditionalFormatting sqref="AB14">
    <cfRule type="cellIs" dxfId="14181" priority="2257" operator="equal">
      <formula>"PMS"</formula>
    </cfRule>
    <cfRule type="containsText" dxfId="14180" priority="2258" operator="containsText" text="CMS">
      <formula>NOT(ISERROR(SEARCH("CMS",AB14)))</formula>
    </cfRule>
    <cfRule type="cellIs" dxfId="14179" priority="2259" operator="equal">
      <formula>0</formula>
    </cfRule>
    <cfRule type="cellIs" dxfId="14178" priority="2260" operator="greaterThan">
      <formula>0</formula>
    </cfRule>
  </conditionalFormatting>
  <conditionalFormatting sqref="AB14">
    <cfRule type="cellIs" dxfId="14177" priority="2253" operator="equal">
      <formula>"PMS"</formula>
    </cfRule>
    <cfRule type="containsText" dxfId="14176" priority="2254" operator="containsText" text="CMS">
      <formula>NOT(ISERROR(SEARCH("CMS",AB14)))</formula>
    </cfRule>
    <cfRule type="cellIs" dxfId="14175" priority="2255" operator="equal">
      <formula>0</formula>
    </cfRule>
    <cfRule type="cellIs" dxfId="14174" priority="2256" operator="greaterThan">
      <formula>0</formula>
    </cfRule>
  </conditionalFormatting>
  <conditionalFormatting sqref="AB15">
    <cfRule type="cellIs" dxfId="14173" priority="2249" operator="equal">
      <formula>"PMS"</formula>
    </cfRule>
    <cfRule type="containsText" dxfId="14172" priority="2250" operator="containsText" text="CMS">
      <formula>NOT(ISERROR(SEARCH("CMS",AB15)))</formula>
    </cfRule>
    <cfRule type="cellIs" dxfId="14171" priority="2251" operator="equal">
      <formula>0</formula>
    </cfRule>
    <cfRule type="cellIs" dxfId="14170" priority="2252" operator="greaterThan">
      <formula>0</formula>
    </cfRule>
  </conditionalFormatting>
  <conditionalFormatting sqref="AB15">
    <cfRule type="cellIs" dxfId="14169" priority="2245" operator="equal">
      <formula>"PMS"</formula>
    </cfRule>
    <cfRule type="containsText" dxfId="14168" priority="2246" operator="containsText" text="CMS">
      <formula>NOT(ISERROR(SEARCH("CMS",AB15)))</formula>
    </cfRule>
    <cfRule type="cellIs" dxfId="14167" priority="2247" operator="equal">
      <formula>0</formula>
    </cfRule>
    <cfRule type="cellIs" dxfId="14166" priority="2248" operator="greaterThan">
      <formula>0</formula>
    </cfRule>
  </conditionalFormatting>
  <conditionalFormatting sqref="AB16">
    <cfRule type="cellIs" dxfId="14165" priority="2241" operator="equal">
      <formula>"PMS"</formula>
    </cfRule>
    <cfRule type="containsText" dxfId="14164" priority="2242" operator="containsText" text="CMS">
      <formula>NOT(ISERROR(SEARCH("CMS",AB16)))</formula>
    </cfRule>
    <cfRule type="cellIs" dxfId="14163" priority="2243" operator="equal">
      <formula>0</formula>
    </cfRule>
    <cfRule type="cellIs" dxfId="14162" priority="2244" operator="greaterThan">
      <formula>0</formula>
    </cfRule>
  </conditionalFormatting>
  <conditionalFormatting sqref="AB16">
    <cfRule type="cellIs" dxfId="14161" priority="2237" operator="equal">
      <formula>"PMS"</formula>
    </cfRule>
    <cfRule type="containsText" dxfId="14160" priority="2238" operator="containsText" text="CMS">
      <formula>NOT(ISERROR(SEARCH("CMS",AB16)))</formula>
    </cfRule>
    <cfRule type="cellIs" dxfId="14159" priority="2239" operator="equal">
      <formula>0</formula>
    </cfRule>
    <cfRule type="cellIs" dxfId="14158" priority="2240" operator="greaterThan">
      <formula>0</formula>
    </cfRule>
  </conditionalFormatting>
  <conditionalFormatting sqref="W14">
    <cfRule type="cellIs" dxfId="14157" priority="2233" operator="equal">
      <formula>"PMS"</formula>
    </cfRule>
    <cfRule type="containsText" dxfId="14156" priority="2234" operator="containsText" text="CMS">
      <formula>NOT(ISERROR(SEARCH("CMS",W14)))</formula>
    </cfRule>
    <cfRule type="cellIs" dxfId="14155" priority="2235" operator="equal">
      <formula>0</formula>
    </cfRule>
    <cfRule type="cellIs" dxfId="14154" priority="2236" operator="greaterThan">
      <formula>0</formula>
    </cfRule>
  </conditionalFormatting>
  <conditionalFormatting sqref="W14">
    <cfRule type="cellIs" dxfId="14153" priority="2229" operator="equal">
      <formula>"PMS"</formula>
    </cfRule>
    <cfRule type="containsText" dxfId="14152" priority="2230" operator="containsText" text="CMS">
      <formula>NOT(ISERROR(SEARCH("CMS",W14)))</formula>
    </cfRule>
    <cfRule type="cellIs" dxfId="14151" priority="2231" operator="equal">
      <formula>0</formula>
    </cfRule>
    <cfRule type="cellIs" dxfId="14150" priority="2232" operator="greaterThan">
      <formula>0</formula>
    </cfRule>
  </conditionalFormatting>
  <conditionalFormatting sqref="W15">
    <cfRule type="cellIs" dxfId="14149" priority="2225" operator="equal">
      <formula>"PMS"</formula>
    </cfRule>
    <cfRule type="containsText" dxfId="14148" priority="2226" operator="containsText" text="CMS">
      <formula>NOT(ISERROR(SEARCH("CMS",W15)))</formula>
    </cfRule>
    <cfRule type="cellIs" dxfId="14147" priority="2227" operator="equal">
      <formula>0</formula>
    </cfRule>
    <cfRule type="cellIs" dxfId="14146" priority="2228" operator="greaterThan">
      <formula>0</formula>
    </cfRule>
  </conditionalFormatting>
  <conditionalFormatting sqref="W15">
    <cfRule type="cellIs" dxfId="14145" priority="2221" operator="equal">
      <formula>"PMS"</formula>
    </cfRule>
    <cfRule type="containsText" dxfId="14144" priority="2222" operator="containsText" text="CMS">
      <formula>NOT(ISERROR(SEARCH("CMS",W15)))</formula>
    </cfRule>
    <cfRule type="cellIs" dxfId="14143" priority="2223" operator="equal">
      <formula>0</formula>
    </cfRule>
    <cfRule type="cellIs" dxfId="14142" priority="2224" operator="greaterThan">
      <formula>0</formula>
    </cfRule>
  </conditionalFormatting>
  <conditionalFormatting sqref="W16">
    <cfRule type="cellIs" dxfId="14141" priority="2217" operator="equal">
      <formula>"PMS"</formula>
    </cfRule>
    <cfRule type="containsText" dxfId="14140" priority="2218" operator="containsText" text="CMS">
      <formula>NOT(ISERROR(SEARCH("CMS",W16)))</formula>
    </cfRule>
    <cfRule type="cellIs" dxfId="14139" priority="2219" operator="equal">
      <formula>0</formula>
    </cfRule>
    <cfRule type="cellIs" dxfId="14138" priority="2220" operator="greaterThan">
      <formula>0</formula>
    </cfRule>
  </conditionalFormatting>
  <conditionalFormatting sqref="W16">
    <cfRule type="cellIs" dxfId="14137" priority="2213" operator="equal">
      <formula>"PMS"</formula>
    </cfRule>
    <cfRule type="containsText" dxfId="14136" priority="2214" operator="containsText" text="CMS">
      <formula>NOT(ISERROR(SEARCH("CMS",W16)))</formula>
    </cfRule>
    <cfRule type="cellIs" dxfId="14135" priority="2215" operator="equal">
      <formula>0</formula>
    </cfRule>
    <cfRule type="cellIs" dxfId="14134" priority="2216" operator="greaterThan">
      <formula>0</formula>
    </cfRule>
  </conditionalFormatting>
  <conditionalFormatting sqref="G56">
    <cfRule type="cellIs" dxfId="14133" priority="2205" operator="equal">
      <formula>"PMS"</formula>
    </cfRule>
    <cfRule type="containsText" dxfId="14132" priority="2206" operator="containsText" text="CMS">
      <formula>NOT(ISERROR(SEARCH("CMS",G56)))</formula>
    </cfRule>
    <cfRule type="cellIs" dxfId="14131" priority="2207" operator="equal">
      <formula>0</formula>
    </cfRule>
    <cfRule type="cellIs" dxfId="14130" priority="2208" operator="greaterThan">
      <formula>0</formula>
    </cfRule>
    <cfRule type="cellIs" dxfId="14129" priority="2209" operator="equal">
      <formula>"PMS"</formula>
    </cfRule>
    <cfRule type="containsText" dxfId="14128" priority="2210" operator="containsText" text="CMS">
      <formula>NOT(ISERROR(SEARCH("CMS",G56)))</formula>
    </cfRule>
    <cfRule type="cellIs" dxfId="14127" priority="2211" operator="equal">
      <formula>0</formula>
    </cfRule>
    <cfRule type="cellIs" dxfId="14126" priority="2212" operator="greaterThan">
      <formula>0</formula>
    </cfRule>
  </conditionalFormatting>
  <conditionalFormatting sqref="G56">
    <cfRule type="cellIs" dxfId="14125" priority="2201" operator="equal">
      <formula>"PMS"</formula>
    </cfRule>
    <cfRule type="containsText" dxfId="14124" priority="2202" operator="containsText" text="CMS">
      <formula>NOT(ISERROR(SEARCH("CMS",G56)))</formula>
    </cfRule>
    <cfRule type="cellIs" dxfId="14123" priority="2203" operator="equal">
      <formula>0</formula>
    </cfRule>
    <cfRule type="cellIs" dxfId="14122" priority="2204" operator="greaterThan">
      <formula>0</formula>
    </cfRule>
  </conditionalFormatting>
  <conditionalFormatting sqref="G56">
    <cfRule type="cellIs" dxfId="14121" priority="2197" operator="equal">
      <formula>"PMS"</formula>
    </cfRule>
    <cfRule type="containsText" dxfId="14120" priority="2198" operator="containsText" text="CMS">
      <formula>NOT(ISERROR(SEARCH("CMS",G56)))</formula>
    </cfRule>
    <cfRule type="cellIs" dxfId="14119" priority="2199" operator="equal">
      <formula>0</formula>
    </cfRule>
    <cfRule type="cellIs" dxfId="14118" priority="2200" operator="greaterThan">
      <formula>0</formula>
    </cfRule>
  </conditionalFormatting>
  <conditionalFormatting sqref="G13:G14">
    <cfRule type="cellIs" dxfId="14117" priority="2189" operator="equal">
      <formula>"PMS"</formula>
    </cfRule>
    <cfRule type="containsText" dxfId="14116" priority="2190" operator="containsText" text="CMS">
      <formula>NOT(ISERROR(SEARCH("CMS",G13)))</formula>
    </cfRule>
    <cfRule type="cellIs" dxfId="14115" priority="2191" operator="equal">
      <formula>0</formula>
    </cfRule>
    <cfRule type="cellIs" dxfId="14114" priority="2192" operator="greaterThan">
      <formula>0</formula>
    </cfRule>
    <cfRule type="cellIs" dxfId="14113" priority="2193" operator="equal">
      <formula>"PMS"</formula>
    </cfRule>
    <cfRule type="containsText" dxfId="14112" priority="2194" operator="containsText" text="CMS">
      <formula>NOT(ISERROR(SEARCH("CMS",G13)))</formula>
    </cfRule>
    <cfRule type="cellIs" dxfId="14111" priority="2195" operator="equal">
      <formula>0</formula>
    </cfRule>
    <cfRule type="cellIs" dxfId="14110" priority="2196" operator="greaterThan">
      <formula>0</formula>
    </cfRule>
  </conditionalFormatting>
  <conditionalFormatting sqref="G13:G14">
    <cfRule type="cellIs" dxfId="14109" priority="2185" operator="equal">
      <formula>"PMS"</formula>
    </cfRule>
    <cfRule type="containsText" dxfId="14108" priority="2186" operator="containsText" text="CMS">
      <formula>NOT(ISERROR(SEARCH("CMS",G13)))</formula>
    </cfRule>
    <cfRule type="cellIs" dxfId="14107" priority="2187" operator="equal">
      <formula>0</formula>
    </cfRule>
    <cfRule type="cellIs" dxfId="14106" priority="2188" operator="greaterThan">
      <formula>0</formula>
    </cfRule>
  </conditionalFormatting>
  <conditionalFormatting sqref="G13:G14">
    <cfRule type="cellIs" dxfId="14105" priority="2181" operator="equal">
      <formula>"PMS"</formula>
    </cfRule>
    <cfRule type="containsText" dxfId="14104" priority="2182" operator="containsText" text="CMS">
      <formula>NOT(ISERROR(SEARCH("CMS",G13)))</formula>
    </cfRule>
    <cfRule type="cellIs" dxfId="14103" priority="2183" operator="equal">
      <formula>0</formula>
    </cfRule>
    <cfRule type="cellIs" dxfId="14102" priority="2184" operator="greaterThan">
      <formula>0</formula>
    </cfRule>
  </conditionalFormatting>
  <conditionalFormatting sqref="G13:G14">
    <cfRule type="cellIs" dxfId="14101" priority="2177" operator="equal">
      <formula>"PMS"</formula>
    </cfRule>
    <cfRule type="containsText" dxfId="14100" priority="2178" operator="containsText" text="CMS">
      <formula>NOT(ISERROR(SEARCH("CMS",G13)))</formula>
    </cfRule>
    <cfRule type="cellIs" dxfId="14099" priority="2179" operator="equal">
      <formula>0</formula>
    </cfRule>
    <cfRule type="cellIs" dxfId="14098" priority="2180" operator="greaterThan">
      <formula>0</formula>
    </cfRule>
  </conditionalFormatting>
  <conditionalFormatting sqref="G13:G14">
    <cfRule type="cellIs" dxfId="14097" priority="2173" operator="equal">
      <formula>"PMS"</formula>
    </cfRule>
    <cfRule type="containsText" dxfId="14096" priority="2174" operator="containsText" text="CMS">
      <formula>NOT(ISERROR(SEARCH("CMS",G13)))</formula>
    </cfRule>
    <cfRule type="cellIs" dxfId="14095" priority="2175" operator="equal">
      <formula>0</formula>
    </cfRule>
    <cfRule type="cellIs" dxfId="14094" priority="2176" operator="greaterThan">
      <formula>0</formula>
    </cfRule>
  </conditionalFormatting>
  <conditionalFormatting sqref="G20">
    <cfRule type="cellIs" dxfId="14093" priority="2165" operator="equal">
      <formula>"PMS"</formula>
    </cfRule>
    <cfRule type="containsText" dxfId="14092" priority="2166" operator="containsText" text="CMS">
      <formula>NOT(ISERROR(SEARCH("CMS",G20)))</formula>
    </cfRule>
    <cfRule type="cellIs" dxfId="14091" priority="2167" operator="equal">
      <formula>0</formula>
    </cfRule>
    <cfRule type="cellIs" dxfId="14090" priority="2168" operator="greaterThan">
      <formula>0</formula>
    </cfRule>
    <cfRule type="cellIs" dxfId="14089" priority="2169" operator="equal">
      <formula>"PMS"</formula>
    </cfRule>
    <cfRule type="containsText" dxfId="14088" priority="2170" operator="containsText" text="CMS">
      <formula>NOT(ISERROR(SEARCH("CMS",G20)))</formula>
    </cfRule>
    <cfRule type="cellIs" dxfId="14087" priority="2171" operator="equal">
      <formula>0</formula>
    </cfRule>
    <cfRule type="cellIs" dxfId="14086" priority="2172" operator="greaterThan">
      <formula>0</formula>
    </cfRule>
  </conditionalFormatting>
  <conditionalFormatting sqref="G20">
    <cfRule type="cellIs" dxfId="14085" priority="2161" operator="equal">
      <formula>"PMS"</formula>
    </cfRule>
    <cfRule type="containsText" dxfId="14084" priority="2162" operator="containsText" text="CMS">
      <formula>NOT(ISERROR(SEARCH("CMS",G20)))</formula>
    </cfRule>
    <cfRule type="cellIs" dxfId="14083" priority="2163" operator="equal">
      <formula>0</formula>
    </cfRule>
    <cfRule type="cellIs" dxfId="14082" priority="2164" operator="greaterThan">
      <formula>0</formula>
    </cfRule>
  </conditionalFormatting>
  <conditionalFormatting sqref="G20">
    <cfRule type="cellIs" dxfId="14081" priority="2157" operator="equal">
      <formula>"PMS"</formula>
    </cfRule>
    <cfRule type="containsText" dxfId="14080" priority="2158" operator="containsText" text="CMS">
      <formula>NOT(ISERROR(SEARCH("CMS",G20)))</formula>
    </cfRule>
    <cfRule type="cellIs" dxfId="14079" priority="2159" operator="equal">
      <formula>0</formula>
    </cfRule>
    <cfRule type="cellIs" dxfId="14078" priority="2160" operator="greaterThan">
      <formula>0</formula>
    </cfRule>
  </conditionalFormatting>
  <conditionalFormatting sqref="G27:G29 J29 M29 P29 S29 V29 AB29">
    <cfRule type="cellIs" dxfId="14077" priority="2149" operator="equal">
      <formula>"PMS"</formula>
    </cfRule>
    <cfRule type="containsText" dxfId="14076" priority="2150" operator="containsText" text="CMS">
      <formula>NOT(ISERROR(SEARCH("CMS",G27)))</formula>
    </cfRule>
    <cfRule type="cellIs" dxfId="14075" priority="2151" operator="equal">
      <formula>0</formula>
    </cfRule>
    <cfRule type="cellIs" dxfId="14074" priority="2152" operator="greaterThan">
      <formula>0</formula>
    </cfRule>
    <cfRule type="cellIs" dxfId="14073" priority="2153" operator="equal">
      <formula>"PMS"</formula>
    </cfRule>
    <cfRule type="containsText" dxfId="14072" priority="2154" operator="containsText" text="CMS">
      <formula>NOT(ISERROR(SEARCH("CMS",G27)))</formula>
    </cfRule>
    <cfRule type="cellIs" dxfId="14071" priority="2155" operator="equal">
      <formula>0</formula>
    </cfRule>
    <cfRule type="cellIs" dxfId="14070" priority="2156" operator="greaterThan">
      <formula>0</formula>
    </cfRule>
  </conditionalFormatting>
  <conditionalFormatting sqref="G27:G29 J29 M29 P29 S29 V29 AB29">
    <cfRule type="cellIs" dxfId="14069" priority="2145" operator="equal">
      <formula>"PMS"</formula>
    </cfRule>
    <cfRule type="containsText" dxfId="14068" priority="2146" operator="containsText" text="CMS">
      <formula>NOT(ISERROR(SEARCH("CMS",G27)))</formula>
    </cfRule>
    <cfRule type="cellIs" dxfId="14067" priority="2147" operator="equal">
      <formula>0</formula>
    </cfRule>
    <cfRule type="cellIs" dxfId="14066" priority="2148" operator="greaterThan">
      <formula>0</formula>
    </cfRule>
  </conditionalFormatting>
  <conditionalFormatting sqref="G27:G29 J29 M29 P29 S29 V29 AB29">
    <cfRule type="cellIs" dxfId="14065" priority="2141" operator="equal">
      <formula>"PMS"</formula>
    </cfRule>
    <cfRule type="containsText" dxfId="14064" priority="2142" operator="containsText" text="CMS">
      <formula>NOT(ISERROR(SEARCH("CMS",G27)))</formula>
    </cfRule>
    <cfRule type="cellIs" dxfId="14063" priority="2143" operator="equal">
      <formula>0</formula>
    </cfRule>
    <cfRule type="cellIs" dxfId="14062" priority="2144" operator="greaterThan">
      <formula>0</formula>
    </cfRule>
  </conditionalFormatting>
  <conditionalFormatting sqref="G45:G46">
    <cfRule type="cellIs" dxfId="14061" priority="2133" operator="equal">
      <formula>"PMS"</formula>
    </cfRule>
    <cfRule type="containsText" dxfId="14060" priority="2134" operator="containsText" text="CMS">
      <formula>NOT(ISERROR(SEARCH("CMS",G45)))</formula>
    </cfRule>
    <cfRule type="cellIs" dxfId="14059" priority="2135" operator="equal">
      <formula>0</formula>
    </cfRule>
    <cfRule type="cellIs" dxfId="14058" priority="2136" operator="greaterThan">
      <formula>0</formula>
    </cfRule>
    <cfRule type="cellIs" dxfId="14057" priority="2137" operator="equal">
      <formula>"PMS"</formula>
    </cfRule>
    <cfRule type="containsText" dxfId="14056" priority="2138" operator="containsText" text="CMS">
      <formula>NOT(ISERROR(SEARCH("CMS",G45)))</formula>
    </cfRule>
    <cfRule type="cellIs" dxfId="14055" priority="2139" operator="equal">
      <formula>0</formula>
    </cfRule>
    <cfRule type="cellIs" dxfId="14054" priority="2140" operator="greaterThan">
      <formula>0</formula>
    </cfRule>
  </conditionalFormatting>
  <conditionalFormatting sqref="G45:G46">
    <cfRule type="cellIs" dxfId="14053" priority="2129" operator="equal">
      <formula>"PMS"</formula>
    </cfRule>
    <cfRule type="containsText" dxfId="14052" priority="2130" operator="containsText" text="CMS">
      <formula>NOT(ISERROR(SEARCH("CMS",G45)))</formula>
    </cfRule>
    <cfRule type="cellIs" dxfId="14051" priority="2131" operator="equal">
      <formula>0</formula>
    </cfRule>
    <cfRule type="cellIs" dxfId="14050" priority="2132" operator="greaterThan">
      <formula>0</formula>
    </cfRule>
  </conditionalFormatting>
  <conditionalFormatting sqref="G45:G46">
    <cfRule type="cellIs" dxfId="14049" priority="2125" operator="equal">
      <formula>"PMS"</formula>
    </cfRule>
    <cfRule type="containsText" dxfId="14048" priority="2126" operator="containsText" text="CMS">
      <formula>NOT(ISERROR(SEARCH("CMS",G45)))</formula>
    </cfRule>
    <cfRule type="cellIs" dxfId="14047" priority="2127" operator="equal">
      <formula>0</formula>
    </cfRule>
    <cfRule type="cellIs" dxfId="14046" priority="2128" operator="greaterThan">
      <formula>0</formula>
    </cfRule>
  </conditionalFormatting>
  <conditionalFormatting sqref="O48:O49">
    <cfRule type="cellIs" dxfId="14045" priority="2121" operator="equal">
      <formula>"PMS"</formula>
    </cfRule>
    <cfRule type="containsText" dxfId="14044" priority="2122" operator="containsText" text="CMS">
      <formula>NOT(ISERROR(SEARCH("CMS",O48)))</formula>
    </cfRule>
    <cfRule type="cellIs" dxfId="14043" priority="2123" operator="equal">
      <formula>0</formula>
    </cfRule>
    <cfRule type="cellIs" dxfId="14042" priority="2124" operator="greaterThan">
      <formula>0</formula>
    </cfRule>
  </conditionalFormatting>
  <conditionalFormatting sqref="O48:O49">
    <cfRule type="cellIs" dxfId="14041" priority="2117" operator="equal">
      <formula>"PMS"</formula>
    </cfRule>
    <cfRule type="containsText" dxfId="14040" priority="2118" operator="containsText" text="CMS">
      <formula>NOT(ISERROR(SEARCH("CMS",O48)))</formula>
    </cfRule>
    <cfRule type="cellIs" dxfId="14039" priority="2119" operator="equal">
      <formula>0</formula>
    </cfRule>
    <cfRule type="cellIs" dxfId="14038" priority="2120" operator="greaterThan">
      <formula>0</formula>
    </cfRule>
  </conditionalFormatting>
  <conditionalFormatting sqref="O48:O49">
    <cfRule type="cellIs" dxfId="14037" priority="2113" operator="equal">
      <formula>"PMS"</formula>
    </cfRule>
    <cfRule type="containsText" dxfId="14036" priority="2114" operator="containsText" text="CMS">
      <formula>NOT(ISERROR(SEARCH("CMS",O48)))</formula>
    </cfRule>
    <cfRule type="cellIs" dxfId="14035" priority="2115" operator="equal">
      <formula>0</formula>
    </cfRule>
    <cfRule type="cellIs" dxfId="14034" priority="2116" operator="greaterThan">
      <formula>0</formula>
    </cfRule>
  </conditionalFormatting>
  <conditionalFormatting sqref="O48:O49">
    <cfRule type="cellIs" dxfId="14033" priority="2109" operator="equal">
      <formula>"PMS"</formula>
    </cfRule>
    <cfRule type="containsText" dxfId="14032" priority="2110" operator="containsText" text="CMS">
      <formula>NOT(ISERROR(SEARCH("CMS",O48)))</formula>
    </cfRule>
    <cfRule type="cellIs" dxfId="14031" priority="2111" operator="equal">
      <formula>0</formula>
    </cfRule>
    <cfRule type="cellIs" dxfId="14030" priority="2112" operator="greaterThan">
      <formula>0</formula>
    </cfRule>
  </conditionalFormatting>
  <conditionalFormatting sqref="O56:P56">
    <cfRule type="cellIs" dxfId="14029" priority="2105" operator="equal">
      <formula>"PMS"</formula>
    </cfRule>
    <cfRule type="containsText" dxfId="14028" priority="2106" operator="containsText" text="CMS">
      <formula>NOT(ISERROR(SEARCH("CMS",O56)))</formula>
    </cfRule>
    <cfRule type="cellIs" dxfId="14027" priority="2107" operator="equal">
      <formula>0</formula>
    </cfRule>
    <cfRule type="cellIs" dxfId="14026" priority="2108" operator="greaterThan">
      <formula>0</formula>
    </cfRule>
  </conditionalFormatting>
  <conditionalFormatting sqref="O56:P56">
    <cfRule type="cellIs" dxfId="14025" priority="2101" operator="equal">
      <formula>"PMS"</formula>
    </cfRule>
    <cfRule type="containsText" dxfId="14024" priority="2102" operator="containsText" text="CMS">
      <formula>NOT(ISERROR(SEARCH("CMS",O56)))</formula>
    </cfRule>
    <cfRule type="cellIs" dxfId="14023" priority="2103" operator="equal">
      <formula>0</formula>
    </cfRule>
    <cfRule type="cellIs" dxfId="14022" priority="2104" operator="greaterThan">
      <formula>0</formula>
    </cfRule>
  </conditionalFormatting>
  <conditionalFormatting sqref="O56:P56">
    <cfRule type="cellIs" dxfId="14021" priority="2097" operator="equal">
      <formula>"PMS"</formula>
    </cfRule>
    <cfRule type="containsText" dxfId="14020" priority="2098" operator="containsText" text="CMS">
      <formula>NOT(ISERROR(SEARCH("CMS",O56)))</formula>
    </cfRule>
    <cfRule type="cellIs" dxfId="14019" priority="2099" operator="equal">
      <formula>0</formula>
    </cfRule>
    <cfRule type="cellIs" dxfId="14018" priority="2100" operator="greaterThan">
      <formula>0</formula>
    </cfRule>
  </conditionalFormatting>
  <conditionalFormatting sqref="O56:P56">
    <cfRule type="cellIs" dxfId="14017" priority="2093" operator="equal">
      <formula>"PMS"</formula>
    </cfRule>
    <cfRule type="containsText" dxfId="14016" priority="2094" operator="containsText" text="CMS">
      <formula>NOT(ISERROR(SEARCH("CMS",O56)))</formula>
    </cfRule>
    <cfRule type="cellIs" dxfId="14015" priority="2095" operator="equal">
      <formula>0</formula>
    </cfRule>
    <cfRule type="cellIs" dxfId="14014" priority="2096" operator="greaterThan">
      <formula>0</formula>
    </cfRule>
  </conditionalFormatting>
  <conditionalFormatting sqref="O57:P57">
    <cfRule type="cellIs" dxfId="14013" priority="2089" operator="equal">
      <formula>"PMS"</formula>
    </cfRule>
    <cfRule type="containsText" dxfId="14012" priority="2090" operator="containsText" text="CMS">
      <formula>NOT(ISERROR(SEARCH("CMS",O57)))</formula>
    </cfRule>
    <cfRule type="cellIs" dxfId="14011" priority="2091" operator="equal">
      <formula>0</formula>
    </cfRule>
    <cfRule type="cellIs" dxfId="14010" priority="2092" operator="greaterThan">
      <formula>0</formula>
    </cfRule>
  </conditionalFormatting>
  <conditionalFormatting sqref="O57:P57">
    <cfRule type="cellIs" dxfId="14009" priority="2085" operator="equal">
      <formula>"PMS"</formula>
    </cfRule>
    <cfRule type="containsText" dxfId="14008" priority="2086" operator="containsText" text="CMS">
      <formula>NOT(ISERROR(SEARCH("CMS",O57)))</formula>
    </cfRule>
    <cfRule type="cellIs" dxfId="14007" priority="2087" operator="equal">
      <formula>0</formula>
    </cfRule>
    <cfRule type="cellIs" dxfId="14006" priority="2088" operator="greaterThan">
      <formula>0</formula>
    </cfRule>
  </conditionalFormatting>
  <conditionalFormatting sqref="O57:P57">
    <cfRule type="cellIs" dxfId="14005" priority="2081" operator="equal">
      <formula>"PMS"</formula>
    </cfRule>
    <cfRule type="containsText" dxfId="14004" priority="2082" operator="containsText" text="CMS">
      <formula>NOT(ISERROR(SEARCH("CMS",O57)))</formula>
    </cfRule>
    <cfRule type="cellIs" dxfId="14003" priority="2083" operator="equal">
      <formula>0</formula>
    </cfRule>
    <cfRule type="cellIs" dxfId="14002" priority="2084" operator="greaterThan">
      <formula>0</formula>
    </cfRule>
  </conditionalFormatting>
  <conditionalFormatting sqref="O57:P57">
    <cfRule type="cellIs" dxfId="14001" priority="2077" operator="equal">
      <formula>"PMS"</formula>
    </cfRule>
    <cfRule type="containsText" dxfId="14000" priority="2078" operator="containsText" text="CMS">
      <formula>NOT(ISERROR(SEARCH("CMS",O57)))</formula>
    </cfRule>
    <cfRule type="cellIs" dxfId="13999" priority="2079" operator="equal">
      <formula>0</formula>
    </cfRule>
    <cfRule type="cellIs" dxfId="13998" priority="2080" operator="greaterThan">
      <formula>0</formula>
    </cfRule>
  </conditionalFormatting>
  <conditionalFormatting sqref="G48:G49">
    <cfRule type="cellIs" dxfId="13997" priority="2069" operator="equal">
      <formula>"PMS"</formula>
    </cfRule>
    <cfRule type="containsText" dxfId="13996" priority="2070" operator="containsText" text="CMS">
      <formula>NOT(ISERROR(SEARCH("CMS",G48)))</formula>
    </cfRule>
    <cfRule type="cellIs" dxfId="13995" priority="2071" operator="equal">
      <formula>0</formula>
    </cfRule>
    <cfRule type="cellIs" dxfId="13994" priority="2072" operator="greaterThan">
      <formula>0</formula>
    </cfRule>
    <cfRule type="cellIs" dxfId="13993" priority="2073" operator="equal">
      <formula>"PMS"</formula>
    </cfRule>
    <cfRule type="containsText" dxfId="13992" priority="2074" operator="containsText" text="CMS">
      <formula>NOT(ISERROR(SEARCH("CMS",G48)))</formula>
    </cfRule>
    <cfRule type="cellIs" dxfId="13991" priority="2075" operator="equal">
      <formula>0</formula>
    </cfRule>
    <cfRule type="cellIs" dxfId="13990" priority="2076" operator="greaterThan">
      <formula>0</formula>
    </cfRule>
  </conditionalFormatting>
  <conditionalFormatting sqref="G48:G49">
    <cfRule type="cellIs" dxfId="13989" priority="2065" operator="equal">
      <formula>"PMS"</formula>
    </cfRule>
    <cfRule type="containsText" dxfId="13988" priority="2066" operator="containsText" text="CMS">
      <formula>NOT(ISERROR(SEARCH("CMS",G48)))</formula>
    </cfRule>
    <cfRule type="cellIs" dxfId="13987" priority="2067" operator="equal">
      <formula>0</formula>
    </cfRule>
    <cfRule type="cellIs" dxfId="13986" priority="2068" operator="greaterThan">
      <formula>0</formula>
    </cfRule>
  </conditionalFormatting>
  <conditionalFormatting sqref="G48:G49">
    <cfRule type="cellIs" dxfId="13985" priority="2061" operator="equal">
      <formula>"PMS"</formula>
    </cfRule>
    <cfRule type="containsText" dxfId="13984" priority="2062" operator="containsText" text="CMS">
      <formula>NOT(ISERROR(SEARCH("CMS",G48)))</formula>
    </cfRule>
    <cfRule type="cellIs" dxfId="13983" priority="2063" operator="equal">
      <formula>0</formula>
    </cfRule>
    <cfRule type="cellIs" dxfId="13982" priority="2064" operator="greaterThan">
      <formula>0</formula>
    </cfRule>
  </conditionalFormatting>
  <conditionalFormatting sqref="G66:G72 G74">
    <cfRule type="cellIs" dxfId="13981" priority="2053" operator="equal">
      <formula>"PMS"</formula>
    </cfRule>
    <cfRule type="containsText" dxfId="13980" priority="2054" operator="containsText" text="CMS">
      <formula>NOT(ISERROR(SEARCH("CMS",G66)))</formula>
    </cfRule>
    <cfRule type="cellIs" dxfId="13979" priority="2055" operator="equal">
      <formula>0</formula>
    </cfRule>
    <cfRule type="cellIs" dxfId="13978" priority="2056" operator="greaterThan">
      <formula>0</formula>
    </cfRule>
    <cfRule type="cellIs" dxfId="13977" priority="2057" operator="equal">
      <formula>"PMS"</formula>
    </cfRule>
    <cfRule type="containsText" dxfId="13976" priority="2058" operator="containsText" text="CMS">
      <formula>NOT(ISERROR(SEARCH("CMS",G66)))</formula>
    </cfRule>
    <cfRule type="cellIs" dxfId="13975" priority="2059" operator="equal">
      <formula>0</formula>
    </cfRule>
    <cfRule type="cellIs" dxfId="13974" priority="2060" operator="greaterThan">
      <formula>0</formula>
    </cfRule>
  </conditionalFormatting>
  <conditionalFormatting sqref="P56 O52:O58">
    <cfRule type="cellIs" dxfId="13973" priority="2049" operator="equal">
      <formula>"PMS"</formula>
    </cfRule>
    <cfRule type="containsText" dxfId="13972" priority="2050" operator="containsText" text="CMS">
      <formula>NOT(ISERROR(SEARCH("CMS",O52)))</formula>
    </cfRule>
    <cfRule type="cellIs" dxfId="13971" priority="2051" operator="equal">
      <formula>0</formula>
    </cfRule>
    <cfRule type="cellIs" dxfId="13970" priority="2052" operator="greaterThan">
      <formula>0</formula>
    </cfRule>
  </conditionalFormatting>
  <conditionalFormatting sqref="G35 I24 I35 J73 G73">
    <cfRule type="cellIs" dxfId="13969" priority="2041" operator="equal">
      <formula>"PMS"</formula>
    </cfRule>
    <cfRule type="containsText" dxfId="13968" priority="2042" operator="containsText" text="CMS">
      <formula>NOT(ISERROR(SEARCH("CMS",G24)))</formula>
    </cfRule>
    <cfRule type="cellIs" dxfId="13967" priority="2043" operator="equal">
      <formula>0</formula>
    </cfRule>
    <cfRule type="cellIs" dxfId="13966" priority="2044" operator="greaterThan">
      <formula>0</formula>
    </cfRule>
    <cfRule type="cellIs" dxfId="13965" priority="2045" operator="equal">
      <formula>"PMS"</formula>
    </cfRule>
    <cfRule type="containsText" dxfId="13964" priority="2046" operator="containsText" text="CMS">
      <formula>NOT(ISERROR(SEARCH("CMS",G24)))</formula>
    </cfRule>
    <cfRule type="cellIs" dxfId="13963" priority="2047" operator="equal">
      <formula>0</formula>
    </cfRule>
    <cfRule type="cellIs" dxfId="13962" priority="2048" operator="greaterThan">
      <formula>0</formula>
    </cfRule>
  </conditionalFormatting>
  <conditionalFormatting sqref="J73 G73">
    <cfRule type="cellIs" dxfId="13961" priority="2037" operator="equal">
      <formula>"PMS"</formula>
    </cfRule>
    <cfRule type="containsText" dxfId="13960" priority="2038" operator="containsText" text="CMS">
      <formula>NOT(ISERROR(SEARCH("CMS",G73)))</formula>
    </cfRule>
    <cfRule type="cellIs" dxfId="13959" priority="2039" operator="equal">
      <formula>0</formula>
    </cfRule>
    <cfRule type="cellIs" dxfId="13958" priority="2040" operator="greaterThan">
      <formula>0</formula>
    </cfRule>
  </conditionalFormatting>
  <conditionalFormatting sqref="J73 G73">
    <cfRule type="cellIs" dxfId="13957" priority="2033" operator="equal">
      <formula>"PMS"</formula>
    </cfRule>
    <cfRule type="containsText" dxfId="13956" priority="2034" operator="containsText" text="CMS">
      <formula>NOT(ISERROR(SEARCH("CMS",G73)))</formula>
    </cfRule>
    <cfRule type="cellIs" dxfId="13955" priority="2035" operator="equal">
      <formula>0</formula>
    </cfRule>
    <cfRule type="cellIs" dxfId="13954" priority="2036" operator="greaterThan">
      <formula>0</formula>
    </cfRule>
  </conditionalFormatting>
  <conditionalFormatting sqref="I24">
    <cfRule type="cellIs" dxfId="13953" priority="2029" operator="equal">
      <formula>"PMS"</formula>
    </cfRule>
    <cfRule type="containsText" dxfId="13952" priority="2030" operator="containsText" text="CMS">
      <formula>NOT(ISERROR(SEARCH("CMS",I24)))</formula>
    </cfRule>
    <cfRule type="cellIs" dxfId="13951" priority="2031" operator="equal">
      <formula>0</formula>
    </cfRule>
    <cfRule type="cellIs" dxfId="13950" priority="2032" operator="greaterThan">
      <formula>0</formula>
    </cfRule>
  </conditionalFormatting>
  <conditionalFormatting sqref="I24">
    <cfRule type="cellIs" dxfId="13949" priority="2025" operator="equal">
      <formula>"PMS"</formula>
    </cfRule>
    <cfRule type="containsText" dxfId="13948" priority="2026" operator="containsText" text="CMS">
      <formula>NOT(ISERROR(SEARCH("CMS",I24)))</formula>
    </cfRule>
    <cfRule type="cellIs" dxfId="13947" priority="2027" operator="equal">
      <formula>0</formula>
    </cfRule>
    <cfRule type="cellIs" dxfId="13946" priority="2028" operator="greaterThan">
      <formula>0</formula>
    </cfRule>
  </conditionalFormatting>
  <conditionalFormatting sqref="G35 I35">
    <cfRule type="cellIs" dxfId="13945" priority="2021" operator="equal">
      <formula>"PMS"</formula>
    </cfRule>
    <cfRule type="containsText" dxfId="13944" priority="2022" operator="containsText" text="CMS">
      <formula>NOT(ISERROR(SEARCH("CMS",G35)))</formula>
    </cfRule>
    <cfRule type="cellIs" dxfId="13943" priority="2023" operator="equal">
      <formula>0</formula>
    </cfRule>
    <cfRule type="cellIs" dxfId="13942" priority="2024" operator="greaterThan">
      <formula>0</formula>
    </cfRule>
  </conditionalFormatting>
  <conditionalFormatting sqref="G35 I35">
    <cfRule type="cellIs" dxfId="13941" priority="2017" operator="equal">
      <formula>"PMS"</formula>
    </cfRule>
    <cfRule type="containsText" dxfId="13940" priority="2018" operator="containsText" text="CMS">
      <formula>NOT(ISERROR(SEARCH("CMS",G35)))</formula>
    </cfRule>
    <cfRule type="cellIs" dxfId="13939" priority="2019" operator="equal">
      <formula>0</formula>
    </cfRule>
    <cfRule type="cellIs" dxfId="13938" priority="2020" operator="greaterThan">
      <formula>0</formula>
    </cfRule>
  </conditionalFormatting>
  <conditionalFormatting sqref="G19">
    <cfRule type="cellIs" dxfId="13937" priority="2009" operator="equal">
      <formula>"PMS"</formula>
    </cfRule>
    <cfRule type="containsText" dxfId="13936" priority="2010" operator="containsText" text="CMS">
      <formula>NOT(ISERROR(SEARCH("CMS",G19)))</formula>
    </cfRule>
    <cfRule type="cellIs" dxfId="13935" priority="2011" operator="equal">
      <formula>0</formula>
    </cfRule>
    <cfRule type="cellIs" dxfId="13934" priority="2012" operator="greaterThan">
      <formula>0</formula>
    </cfRule>
    <cfRule type="cellIs" dxfId="13933" priority="2013" operator="equal">
      <formula>"PMS"</formula>
    </cfRule>
    <cfRule type="containsText" dxfId="13932" priority="2014" operator="containsText" text="CMS">
      <formula>NOT(ISERROR(SEARCH("CMS",G19)))</formula>
    </cfRule>
    <cfRule type="cellIs" dxfId="13931" priority="2015" operator="equal">
      <formula>0</formula>
    </cfRule>
    <cfRule type="cellIs" dxfId="13930" priority="2016" operator="greaterThan">
      <formula>0</formula>
    </cfRule>
  </conditionalFormatting>
  <conditionalFormatting sqref="G19">
    <cfRule type="cellIs" dxfId="13929" priority="2005" operator="equal">
      <formula>"PMS"</formula>
    </cfRule>
    <cfRule type="containsText" dxfId="13928" priority="2006" operator="containsText" text="CMS">
      <formula>NOT(ISERROR(SEARCH("CMS",G19)))</formula>
    </cfRule>
    <cfRule type="cellIs" dxfId="13927" priority="2007" operator="equal">
      <formula>0</formula>
    </cfRule>
    <cfRule type="cellIs" dxfId="13926" priority="2008" operator="greaterThan">
      <formula>0</formula>
    </cfRule>
  </conditionalFormatting>
  <conditionalFormatting sqref="G19">
    <cfRule type="cellIs" dxfId="13925" priority="2001" operator="equal">
      <formula>"PMS"</formula>
    </cfRule>
    <cfRule type="containsText" dxfId="13924" priority="2002" operator="containsText" text="CMS">
      <formula>NOT(ISERROR(SEARCH("CMS",G19)))</formula>
    </cfRule>
    <cfRule type="cellIs" dxfId="13923" priority="2003" operator="equal">
      <formula>0</formula>
    </cfRule>
    <cfRule type="cellIs" dxfId="13922" priority="2004" operator="greaterThan">
      <formula>0</formula>
    </cfRule>
  </conditionalFormatting>
  <conditionalFormatting sqref="O52:O55">
    <cfRule type="cellIs" dxfId="13921" priority="1997" operator="equal">
      <formula>"PMS"</formula>
    </cfRule>
    <cfRule type="containsText" dxfId="13920" priority="1998" operator="containsText" text="CMS">
      <formula>NOT(ISERROR(SEARCH("CMS",O52)))</formula>
    </cfRule>
    <cfRule type="cellIs" dxfId="13919" priority="1999" operator="equal">
      <formula>0</formula>
    </cfRule>
    <cfRule type="cellIs" dxfId="13918" priority="2000" operator="greaterThan">
      <formula>0</formula>
    </cfRule>
  </conditionalFormatting>
  <conditionalFormatting sqref="K61 K63">
    <cfRule type="cellIs" dxfId="13917" priority="1989" operator="equal">
      <formula>"PMS"</formula>
    </cfRule>
    <cfRule type="containsText" dxfId="13916" priority="1990" operator="containsText" text="CMS">
      <formula>NOT(ISERROR(SEARCH("CMS",K61)))</formula>
    </cfRule>
    <cfRule type="cellIs" dxfId="13915" priority="1991" operator="equal">
      <formula>0</formula>
    </cfRule>
    <cfRule type="cellIs" dxfId="13914" priority="1992" operator="greaterThan">
      <formula>0</formula>
    </cfRule>
    <cfRule type="cellIs" dxfId="13913" priority="1993" operator="equal">
      <formula>"PMS"</formula>
    </cfRule>
    <cfRule type="containsText" dxfId="13912" priority="1994" operator="containsText" text="CMS">
      <formula>NOT(ISERROR(SEARCH("CMS",K61)))</formula>
    </cfRule>
    <cfRule type="cellIs" dxfId="13911" priority="1995" operator="equal">
      <formula>0</formula>
    </cfRule>
    <cfRule type="cellIs" dxfId="13910" priority="1996" operator="greaterThan">
      <formula>0</formula>
    </cfRule>
  </conditionalFormatting>
  <conditionalFormatting sqref="O47:P47">
    <cfRule type="cellIs" dxfId="13909" priority="1985" operator="equal">
      <formula>"PMS"</formula>
    </cfRule>
    <cfRule type="containsText" dxfId="13908" priority="1986" operator="containsText" text="CMS">
      <formula>NOT(ISERROR(SEARCH("CMS",O47)))</formula>
    </cfRule>
    <cfRule type="cellIs" dxfId="13907" priority="1987" operator="equal">
      <formula>0</formula>
    </cfRule>
    <cfRule type="cellIs" dxfId="13906" priority="1988" operator="greaterThan">
      <formula>0</formula>
    </cfRule>
  </conditionalFormatting>
  <conditionalFormatting sqref="O16:P16">
    <cfRule type="cellIs" dxfId="13905" priority="1981" operator="equal">
      <formula>"PMS"</formula>
    </cfRule>
    <cfRule type="containsText" dxfId="13904" priority="1982" operator="containsText" text="CMS">
      <formula>NOT(ISERROR(SEARCH("CMS",O16)))</formula>
    </cfRule>
    <cfRule type="cellIs" dxfId="13903" priority="1983" operator="equal">
      <formula>0</formula>
    </cfRule>
    <cfRule type="cellIs" dxfId="13902" priority="1984" operator="greaterThan">
      <formula>0</formula>
    </cfRule>
  </conditionalFormatting>
  <conditionalFormatting sqref="P57">
    <cfRule type="cellIs" dxfId="13901" priority="1977" operator="equal">
      <formula>"PMS"</formula>
    </cfRule>
    <cfRule type="containsText" dxfId="13900" priority="1978" operator="containsText" text="CMS">
      <formula>NOT(ISERROR(SEARCH("CMS",P57)))</formula>
    </cfRule>
    <cfRule type="cellIs" dxfId="13899" priority="1979" operator="equal">
      <formula>0</formula>
    </cfRule>
    <cfRule type="cellIs" dxfId="13898" priority="1980" operator="greaterThan">
      <formula>0</formula>
    </cfRule>
  </conditionalFormatting>
  <conditionalFormatting sqref="P57">
    <cfRule type="cellIs" dxfId="13897" priority="1973" operator="equal">
      <formula>"PMS"</formula>
    </cfRule>
    <cfRule type="containsText" dxfId="13896" priority="1974" operator="containsText" text="CMS">
      <formula>NOT(ISERROR(SEARCH("CMS",P57)))</formula>
    </cfRule>
    <cfRule type="cellIs" dxfId="13895" priority="1975" operator="equal">
      <formula>0</formula>
    </cfRule>
    <cfRule type="cellIs" dxfId="13894" priority="1976" operator="greaterThan">
      <formula>0</formula>
    </cfRule>
  </conditionalFormatting>
  <conditionalFormatting sqref="P57">
    <cfRule type="cellIs" dxfId="13893" priority="1969" operator="equal">
      <formula>"PMS"</formula>
    </cfRule>
    <cfRule type="containsText" dxfId="13892" priority="1970" operator="containsText" text="CMS">
      <formula>NOT(ISERROR(SEARCH("CMS",P57)))</formula>
    </cfRule>
    <cfRule type="cellIs" dxfId="13891" priority="1971" operator="equal">
      <formula>0</formula>
    </cfRule>
    <cfRule type="cellIs" dxfId="13890" priority="1972" operator="greaterThan">
      <formula>0</formula>
    </cfRule>
  </conditionalFormatting>
  <conditionalFormatting sqref="P57:P58">
    <cfRule type="cellIs" dxfId="13889" priority="1965" operator="equal">
      <formula>"PMS"</formula>
    </cfRule>
    <cfRule type="containsText" dxfId="13888" priority="1966" operator="containsText" text="CMS">
      <formula>NOT(ISERROR(SEARCH("CMS",P57)))</formula>
    </cfRule>
    <cfRule type="cellIs" dxfId="13887" priority="1967" operator="equal">
      <formula>0</formula>
    </cfRule>
    <cfRule type="cellIs" dxfId="13886" priority="1968" operator="greaterThan">
      <formula>0</formula>
    </cfRule>
  </conditionalFormatting>
  <conditionalFormatting sqref="AB24">
    <cfRule type="cellIs" dxfId="13885" priority="1961" operator="equal">
      <formula>"PMS"</formula>
    </cfRule>
    <cfRule type="containsText" dxfId="13884" priority="1962" operator="containsText" text="CMS">
      <formula>NOT(ISERROR(SEARCH("CMS",AB24)))</formula>
    </cfRule>
    <cfRule type="cellIs" dxfId="13883" priority="1963" operator="equal">
      <formula>0</formula>
    </cfRule>
    <cfRule type="cellIs" dxfId="13882" priority="1964" operator="greaterThan">
      <formula>0</formula>
    </cfRule>
  </conditionalFormatting>
  <conditionalFormatting sqref="AB24">
    <cfRule type="cellIs" dxfId="13881" priority="1957" operator="equal">
      <formula>"PMS"</formula>
    </cfRule>
    <cfRule type="containsText" dxfId="13880" priority="1958" operator="containsText" text="CMS">
      <formula>NOT(ISERROR(SEARCH("CMS",AB24)))</formula>
    </cfRule>
    <cfRule type="cellIs" dxfId="13879" priority="1959" operator="equal">
      <formula>0</formula>
    </cfRule>
    <cfRule type="cellIs" dxfId="13878" priority="1960" operator="greaterThan">
      <formula>0</formula>
    </cfRule>
  </conditionalFormatting>
  <conditionalFormatting sqref="L29 O29 R29 AA29 X29:Y29 T29:U29">
    <cfRule type="cellIs" dxfId="13877" priority="1949" operator="equal">
      <formula>"PMS"</formula>
    </cfRule>
    <cfRule type="containsText" dxfId="13876" priority="1950" operator="containsText" text="CMS">
      <formula>NOT(ISERROR(SEARCH("CMS",L29)))</formula>
    </cfRule>
    <cfRule type="cellIs" dxfId="13875" priority="1951" operator="equal">
      <formula>0</formula>
    </cfRule>
    <cfRule type="cellIs" dxfId="13874" priority="1952" operator="greaterThan">
      <formula>0</formula>
    </cfRule>
    <cfRule type="cellIs" dxfId="13873" priority="1953" operator="equal">
      <formula>"PMS"</formula>
    </cfRule>
    <cfRule type="containsText" dxfId="13872" priority="1954" operator="containsText" text="CMS">
      <formula>NOT(ISERROR(SEARCH("CMS",L29)))</formula>
    </cfRule>
    <cfRule type="cellIs" dxfId="13871" priority="1955" operator="equal">
      <formula>0</formula>
    </cfRule>
    <cfRule type="cellIs" dxfId="13870" priority="1956" operator="greaterThan">
      <formula>0</formula>
    </cfRule>
  </conditionalFormatting>
  <conditionalFormatting sqref="L29 O29 R29 AA29 X29:Y29 T29:U29">
    <cfRule type="cellIs" dxfId="13869" priority="1945" operator="equal">
      <formula>"PMS"</formula>
    </cfRule>
    <cfRule type="containsText" dxfId="13868" priority="1946" operator="containsText" text="CMS">
      <formula>NOT(ISERROR(SEARCH("CMS",L29)))</formula>
    </cfRule>
    <cfRule type="cellIs" dxfId="13867" priority="1947" operator="equal">
      <formula>0</formula>
    </cfRule>
    <cfRule type="cellIs" dxfId="13866" priority="1948" operator="greaterThan">
      <formula>0</formula>
    </cfRule>
  </conditionalFormatting>
  <conditionalFormatting sqref="L29 O29 R29 AA29 X29:Y29 T29:U29">
    <cfRule type="cellIs" dxfId="13865" priority="1941" operator="equal">
      <formula>"PMS"</formula>
    </cfRule>
    <cfRule type="containsText" dxfId="13864" priority="1942" operator="containsText" text="CMS">
      <formula>NOT(ISERROR(SEARCH("CMS",L29)))</formula>
    </cfRule>
    <cfRule type="cellIs" dxfId="13863" priority="1943" operator="equal">
      <formula>0</formula>
    </cfRule>
    <cfRule type="cellIs" dxfId="13862" priority="1944" operator="greaterThan">
      <formula>0</formula>
    </cfRule>
  </conditionalFormatting>
  <conditionalFormatting sqref="K29 N29 Q29 W29 Z29 AC29">
    <cfRule type="cellIs" dxfId="13861" priority="1933" operator="equal">
      <formula>"PMS"</formula>
    </cfRule>
    <cfRule type="containsText" dxfId="13860" priority="1934" operator="containsText" text="CMS">
      <formula>NOT(ISERROR(SEARCH("CMS",K29)))</formula>
    </cfRule>
    <cfRule type="cellIs" dxfId="13859" priority="1935" operator="equal">
      <formula>0</formula>
    </cfRule>
    <cfRule type="cellIs" dxfId="13858" priority="1936" operator="greaterThan">
      <formula>0</formula>
    </cfRule>
    <cfRule type="cellIs" dxfId="13857" priority="1937" operator="equal">
      <formula>"PMS"</formula>
    </cfRule>
    <cfRule type="containsText" dxfId="13856" priority="1938" operator="containsText" text="CMS">
      <formula>NOT(ISERROR(SEARCH("CMS",K29)))</formula>
    </cfRule>
    <cfRule type="cellIs" dxfId="13855" priority="1939" operator="equal">
      <formula>0</formula>
    </cfRule>
    <cfRule type="cellIs" dxfId="13854" priority="1940" operator="greaterThan">
      <formula>0</formula>
    </cfRule>
  </conditionalFormatting>
  <conditionalFormatting sqref="G81:AC81">
    <cfRule type="cellIs" dxfId="13853" priority="1925" operator="equal">
      <formula>"PMS"</formula>
    </cfRule>
    <cfRule type="containsText" dxfId="13852" priority="1926" operator="containsText" text="CMS">
      <formula>NOT(ISERROR(SEARCH("CMS",G81)))</formula>
    </cfRule>
    <cfRule type="cellIs" dxfId="13851" priority="1927" operator="equal">
      <formula>0</formula>
    </cfRule>
    <cfRule type="cellIs" dxfId="13850" priority="1928" operator="greaterThan">
      <formula>0</formula>
    </cfRule>
    <cfRule type="cellIs" dxfId="13849" priority="1929" operator="equal">
      <formula>"PMS"</formula>
    </cfRule>
    <cfRule type="containsText" dxfId="13848" priority="1930" operator="containsText" text="CMS">
      <formula>NOT(ISERROR(SEARCH("CMS",G81)))</formula>
    </cfRule>
    <cfRule type="cellIs" dxfId="13847" priority="1931" operator="equal">
      <formula>0</formula>
    </cfRule>
    <cfRule type="cellIs" dxfId="13846" priority="1932" operator="greaterThan">
      <formula>0</formula>
    </cfRule>
  </conditionalFormatting>
  <conditionalFormatting sqref="G81:AC81">
    <cfRule type="cellIs" dxfId="13845" priority="1921" operator="equal">
      <formula>"PMS"</formula>
    </cfRule>
    <cfRule type="containsText" dxfId="13844" priority="1922" operator="containsText" text="CMS">
      <formula>NOT(ISERROR(SEARCH("CMS",G81)))</formula>
    </cfRule>
    <cfRule type="cellIs" dxfId="13843" priority="1923" operator="equal">
      <formula>0</formula>
    </cfRule>
    <cfRule type="cellIs" dxfId="13842" priority="1924" operator="greaterThan">
      <formula>0</formula>
    </cfRule>
  </conditionalFormatting>
  <conditionalFormatting sqref="G51:G52 I51:M52">
    <cfRule type="cellIs" dxfId="13841" priority="1913" operator="equal">
      <formula>"PMS"</formula>
    </cfRule>
    <cfRule type="containsText" dxfId="13840" priority="1914" operator="containsText" text="CMS">
      <formula>NOT(ISERROR(SEARCH("CMS",G51)))</formula>
    </cfRule>
    <cfRule type="cellIs" dxfId="13839" priority="1915" operator="equal">
      <formula>0</formula>
    </cfRule>
    <cfRule type="cellIs" dxfId="13838" priority="1916" operator="greaterThan">
      <formula>0</formula>
    </cfRule>
    <cfRule type="cellIs" dxfId="13837" priority="1917" operator="equal">
      <formula>"PMS"</formula>
    </cfRule>
    <cfRule type="containsText" dxfId="13836" priority="1918" operator="containsText" text="CMS">
      <formula>NOT(ISERROR(SEARCH("CMS",G51)))</formula>
    </cfRule>
    <cfRule type="cellIs" dxfId="13835" priority="1919" operator="equal">
      <formula>0</formula>
    </cfRule>
    <cfRule type="cellIs" dxfId="13834" priority="1920" operator="greaterThan">
      <formula>0</formula>
    </cfRule>
  </conditionalFormatting>
  <conditionalFormatting sqref="G51:G52 I51:M52">
    <cfRule type="cellIs" dxfId="13833" priority="1909" operator="equal">
      <formula>"PMS"</formula>
    </cfRule>
    <cfRule type="containsText" dxfId="13832" priority="1910" operator="containsText" text="CMS">
      <formula>NOT(ISERROR(SEARCH("CMS",G51)))</formula>
    </cfRule>
    <cfRule type="cellIs" dxfId="13831" priority="1911" operator="equal">
      <formula>0</formula>
    </cfRule>
    <cfRule type="cellIs" dxfId="13830" priority="1912" operator="greaterThan">
      <formula>0</formula>
    </cfRule>
  </conditionalFormatting>
  <conditionalFormatting sqref="G51:G52 I51:M52">
    <cfRule type="cellIs" dxfId="13829" priority="1905" operator="equal">
      <formula>"PMS"</formula>
    </cfRule>
    <cfRule type="containsText" dxfId="13828" priority="1906" operator="containsText" text="CMS">
      <formula>NOT(ISERROR(SEARCH("CMS",G51)))</formula>
    </cfRule>
    <cfRule type="cellIs" dxfId="13827" priority="1907" operator="equal">
      <formula>0</formula>
    </cfRule>
    <cfRule type="cellIs" dxfId="13826" priority="1908" operator="greaterThan">
      <formula>0</formula>
    </cfRule>
  </conditionalFormatting>
  <conditionalFormatting sqref="G57:G58">
    <cfRule type="cellIs" dxfId="13825" priority="1897" operator="equal">
      <formula>"PMS"</formula>
    </cfRule>
    <cfRule type="containsText" dxfId="13824" priority="1898" operator="containsText" text="CMS">
      <formula>NOT(ISERROR(SEARCH("CMS",G57)))</formula>
    </cfRule>
    <cfRule type="cellIs" dxfId="13823" priority="1899" operator="equal">
      <formula>0</formula>
    </cfRule>
    <cfRule type="cellIs" dxfId="13822" priority="1900" operator="greaterThan">
      <formula>0</formula>
    </cfRule>
    <cfRule type="cellIs" dxfId="13821" priority="1901" operator="equal">
      <formula>"PMS"</formula>
    </cfRule>
    <cfRule type="containsText" dxfId="13820" priority="1902" operator="containsText" text="CMS">
      <formula>NOT(ISERROR(SEARCH("CMS",G57)))</formula>
    </cfRule>
    <cfRule type="cellIs" dxfId="13819" priority="1903" operator="equal">
      <formula>0</formula>
    </cfRule>
    <cfRule type="cellIs" dxfId="13818" priority="1904" operator="greaterThan">
      <formula>0</formula>
    </cfRule>
  </conditionalFormatting>
  <conditionalFormatting sqref="G57:G58">
    <cfRule type="cellIs" dxfId="13817" priority="1893" operator="equal">
      <formula>"PMS"</formula>
    </cfRule>
    <cfRule type="containsText" dxfId="13816" priority="1894" operator="containsText" text="CMS">
      <formula>NOT(ISERROR(SEARCH("CMS",G57)))</formula>
    </cfRule>
    <cfRule type="cellIs" dxfId="13815" priority="1895" operator="equal">
      <formula>0</formula>
    </cfRule>
    <cfRule type="cellIs" dxfId="13814" priority="1896" operator="greaterThan">
      <formula>0</formula>
    </cfRule>
  </conditionalFormatting>
  <conditionalFormatting sqref="G57:G58">
    <cfRule type="cellIs" dxfId="13813" priority="1889" operator="equal">
      <formula>"PMS"</formula>
    </cfRule>
    <cfRule type="containsText" dxfId="13812" priority="1890" operator="containsText" text="CMS">
      <formula>NOT(ISERROR(SEARCH("CMS",G57)))</formula>
    </cfRule>
    <cfRule type="cellIs" dxfId="13811" priority="1891" operator="equal">
      <formula>0</formula>
    </cfRule>
    <cfRule type="cellIs" dxfId="13810" priority="1892" operator="greaterThan">
      <formula>0</formula>
    </cfRule>
  </conditionalFormatting>
  <conditionalFormatting sqref="G32 I32:AC32">
    <cfRule type="cellIs" dxfId="13809" priority="1881" operator="equal">
      <formula>"PMS"</formula>
    </cfRule>
    <cfRule type="containsText" dxfId="13808" priority="1882" operator="containsText" text="CMS">
      <formula>NOT(ISERROR(SEARCH("CMS",G32)))</formula>
    </cfRule>
    <cfRule type="cellIs" dxfId="13807" priority="1883" operator="equal">
      <formula>0</formula>
    </cfRule>
    <cfRule type="cellIs" dxfId="13806" priority="1884" operator="greaterThan">
      <formula>0</formula>
    </cfRule>
    <cfRule type="cellIs" dxfId="13805" priority="1885" operator="equal">
      <formula>"PMS"</formula>
    </cfRule>
    <cfRule type="containsText" dxfId="13804" priority="1886" operator="containsText" text="CMS">
      <formula>NOT(ISERROR(SEARCH("CMS",G32)))</formula>
    </cfRule>
    <cfRule type="cellIs" dxfId="13803" priority="1887" operator="equal">
      <formula>0</formula>
    </cfRule>
    <cfRule type="cellIs" dxfId="13802" priority="1888" operator="greaterThan">
      <formula>0</formula>
    </cfRule>
  </conditionalFormatting>
  <conditionalFormatting sqref="G32 I32:AC32">
    <cfRule type="cellIs" dxfId="13801" priority="1877" operator="equal">
      <formula>"PMS"</formula>
    </cfRule>
    <cfRule type="containsText" dxfId="13800" priority="1878" operator="containsText" text="CMS">
      <formula>NOT(ISERROR(SEARCH("CMS",G32)))</formula>
    </cfRule>
    <cfRule type="cellIs" dxfId="13799" priority="1879" operator="equal">
      <formula>0</formula>
    </cfRule>
    <cfRule type="cellIs" dxfId="13798" priority="1880" operator="greaterThan">
      <formula>0</formula>
    </cfRule>
  </conditionalFormatting>
  <conditionalFormatting sqref="G32 I32:AC32">
    <cfRule type="cellIs" dxfId="13797" priority="1873" operator="equal">
      <formula>"PMS"</formula>
    </cfRule>
    <cfRule type="containsText" dxfId="13796" priority="1874" operator="containsText" text="CMS">
      <formula>NOT(ISERROR(SEARCH("CMS",G32)))</formula>
    </cfRule>
    <cfRule type="cellIs" dxfId="13795" priority="1875" operator="equal">
      <formula>0</formula>
    </cfRule>
    <cfRule type="cellIs" dxfId="13794" priority="1876" operator="greaterThan">
      <formula>0</formula>
    </cfRule>
  </conditionalFormatting>
  <conditionalFormatting sqref="F81">
    <cfRule type="cellIs" dxfId="13793" priority="1865" operator="equal">
      <formula>"PMS"</formula>
    </cfRule>
    <cfRule type="containsText" dxfId="13792" priority="1866" operator="containsText" text="CMS">
      <formula>NOT(ISERROR(SEARCH("CMS",F81)))</formula>
    </cfRule>
    <cfRule type="cellIs" dxfId="13791" priority="1867" operator="equal">
      <formula>0</formula>
    </cfRule>
    <cfRule type="cellIs" dxfId="13790" priority="1868" operator="greaterThan">
      <formula>0</formula>
    </cfRule>
    <cfRule type="cellIs" dxfId="13789" priority="1869" operator="equal">
      <formula>"PMS"</formula>
    </cfRule>
    <cfRule type="containsText" dxfId="13788" priority="1870" operator="containsText" text="CMS">
      <formula>NOT(ISERROR(SEARCH("CMS",F81)))</formula>
    </cfRule>
    <cfRule type="cellIs" dxfId="13787" priority="1871" operator="equal">
      <formula>0</formula>
    </cfRule>
    <cfRule type="cellIs" dxfId="13786" priority="1872" operator="greaterThan">
      <formula>0</formula>
    </cfRule>
  </conditionalFormatting>
  <conditionalFormatting sqref="F81">
    <cfRule type="cellIs" dxfId="13785" priority="1861" operator="equal">
      <formula>"PMS"</formula>
    </cfRule>
    <cfRule type="containsText" dxfId="13784" priority="1862" operator="containsText" text="CMS">
      <formula>NOT(ISERROR(SEARCH("CMS",F81)))</formula>
    </cfRule>
    <cfRule type="cellIs" dxfId="13783" priority="1863" operator="equal">
      <formula>0</formula>
    </cfRule>
    <cfRule type="cellIs" dxfId="13782" priority="1864" operator="greaterThan">
      <formula>0</formula>
    </cfRule>
  </conditionalFormatting>
  <conditionalFormatting sqref="H13:H16">
    <cfRule type="cellIs" dxfId="13781" priority="1853" operator="equal">
      <formula>"PMS"</formula>
    </cfRule>
    <cfRule type="containsText" dxfId="13780" priority="1854" operator="containsText" text="CMS">
      <formula>NOT(ISERROR(SEARCH("CMS",H13)))</formula>
    </cfRule>
    <cfRule type="cellIs" dxfId="13779" priority="1855" operator="equal">
      <formula>0</formula>
    </cfRule>
    <cfRule type="cellIs" dxfId="13778" priority="1856" operator="greaterThan">
      <formula>0</formula>
    </cfRule>
    <cfRule type="cellIs" dxfId="13777" priority="1857" operator="equal">
      <formula>"PMS"</formula>
    </cfRule>
    <cfRule type="containsText" dxfId="13776" priority="1858" operator="containsText" text="CMS">
      <formula>NOT(ISERROR(SEARCH("CMS",H13)))</formula>
    </cfRule>
    <cfRule type="cellIs" dxfId="13775" priority="1859" operator="equal">
      <formula>0</formula>
    </cfRule>
    <cfRule type="cellIs" dxfId="13774" priority="1860" operator="greaterThan">
      <formula>0</formula>
    </cfRule>
  </conditionalFormatting>
  <conditionalFormatting sqref="H13:H16">
    <cfRule type="cellIs" dxfId="13773" priority="1849" operator="equal">
      <formula>"PMS"</formula>
    </cfRule>
    <cfRule type="containsText" dxfId="13772" priority="1850" operator="containsText" text="CMS">
      <formula>NOT(ISERROR(SEARCH("CMS",H13)))</formula>
    </cfRule>
    <cfRule type="cellIs" dxfId="13771" priority="1851" operator="equal">
      <formula>0</formula>
    </cfRule>
    <cfRule type="cellIs" dxfId="13770" priority="1852" operator="greaterThan">
      <formula>0</formula>
    </cfRule>
  </conditionalFormatting>
  <conditionalFormatting sqref="H13:H16">
    <cfRule type="cellIs" dxfId="13769" priority="1845" operator="equal">
      <formula>"PMS"</formula>
    </cfRule>
    <cfRule type="containsText" dxfId="13768" priority="1846" operator="containsText" text="CMS">
      <formula>NOT(ISERROR(SEARCH("CMS",H13)))</formula>
    </cfRule>
    <cfRule type="cellIs" dxfId="13767" priority="1847" operator="equal">
      <formula>0</formula>
    </cfRule>
    <cfRule type="cellIs" dxfId="13766" priority="1848" operator="greaterThan">
      <formula>0</formula>
    </cfRule>
  </conditionalFormatting>
  <conditionalFormatting sqref="H13">
    <cfRule type="cellIs" dxfId="13765" priority="1841" operator="equal">
      <formula>"PMS"</formula>
    </cfRule>
    <cfRule type="containsText" dxfId="13764" priority="1842" operator="containsText" text="CMS">
      <formula>NOT(ISERROR(SEARCH("CMS",H13)))</formula>
    </cfRule>
    <cfRule type="cellIs" dxfId="13763" priority="1843" operator="equal">
      <formula>0</formula>
    </cfRule>
    <cfRule type="cellIs" dxfId="13762" priority="1844" operator="greaterThan">
      <formula>0</formula>
    </cfRule>
  </conditionalFormatting>
  <conditionalFormatting sqref="H13">
    <cfRule type="cellIs" dxfId="13761" priority="1837" operator="equal">
      <formula>"PMS"</formula>
    </cfRule>
    <cfRule type="containsText" dxfId="13760" priority="1838" operator="containsText" text="CMS">
      <formula>NOT(ISERROR(SEARCH("CMS",H13)))</formula>
    </cfRule>
    <cfRule type="cellIs" dxfId="13759" priority="1839" operator="equal">
      <formula>0</formula>
    </cfRule>
    <cfRule type="cellIs" dxfId="13758" priority="1840" operator="greaterThan">
      <formula>0</formula>
    </cfRule>
  </conditionalFormatting>
  <conditionalFormatting sqref="H20:H21">
    <cfRule type="cellIs" dxfId="13757" priority="1829" operator="equal">
      <formula>"PMS"</formula>
    </cfRule>
    <cfRule type="containsText" dxfId="13756" priority="1830" operator="containsText" text="CMS">
      <formula>NOT(ISERROR(SEARCH("CMS",H20)))</formula>
    </cfRule>
    <cfRule type="cellIs" dxfId="13755" priority="1831" operator="equal">
      <formula>0</formula>
    </cfRule>
    <cfRule type="cellIs" dxfId="13754" priority="1832" operator="greaterThan">
      <formula>0</formula>
    </cfRule>
    <cfRule type="cellIs" dxfId="13753" priority="1833" operator="equal">
      <formula>"PMS"</formula>
    </cfRule>
    <cfRule type="containsText" dxfId="13752" priority="1834" operator="containsText" text="CMS">
      <formula>NOT(ISERROR(SEARCH("CMS",H20)))</formula>
    </cfRule>
    <cfRule type="cellIs" dxfId="13751" priority="1835" operator="equal">
      <formula>0</formula>
    </cfRule>
    <cfRule type="cellIs" dxfId="13750" priority="1836" operator="greaterThan">
      <formula>0</formula>
    </cfRule>
  </conditionalFormatting>
  <conditionalFormatting sqref="H20:H21">
    <cfRule type="cellIs" dxfId="13749" priority="1825" operator="equal">
      <formula>"PMS"</formula>
    </cfRule>
    <cfRule type="containsText" dxfId="13748" priority="1826" operator="containsText" text="CMS">
      <formula>NOT(ISERROR(SEARCH("CMS",H20)))</formula>
    </cfRule>
    <cfRule type="cellIs" dxfId="13747" priority="1827" operator="equal">
      <formula>0</formula>
    </cfRule>
    <cfRule type="cellIs" dxfId="13746" priority="1828" operator="greaterThan">
      <formula>0</formula>
    </cfRule>
  </conditionalFormatting>
  <conditionalFormatting sqref="H20:H21">
    <cfRule type="cellIs" dxfId="13745" priority="1821" operator="equal">
      <formula>"PMS"</formula>
    </cfRule>
    <cfRule type="containsText" dxfId="13744" priority="1822" operator="containsText" text="CMS">
      <formula>NOT(ISERROR(SEARCH("CMS",H20)))</formula>
    </cfRule>
    <cfRule type="cellIs" dxfId="13743" priority="1823" operator="equal">
      <formula>0</formula>
    </cfRule>
    <cfRule type="cellIs" dxfId="13742" priority="1824" operator="greaterThan">
      <formula>0</formula>
    </cfRule>
  </conditionalFormatting>
  <conditionalFormatting sqref="H19">
    <cfRule type="cellIs" dxfId="13741" priority="1817" operator="equal">
      <formula>"CMS"</formula>
    </cfRule>
    <cfRule type="cellIs" dxfId="13740" priority="1818" operator="equal">
      <formula>"PMS"</formula>
    </cfRule>
    <cfRule type="cellIs" dxfId="13739" priority="1819" operator="greaterThan">
      <formula>0</formula>
    </cfRule>
    <cfRule type="cellIs" dxfId="13738" priority="1820" operator="equal">
      <formula>0</formula>
    </cfRule>
  </conditionalFormatting>
  <conditionalFormatting sqref="H24">
    <cfRule type="cellIs" dxfId="13737" priority="1809" operator="equal">
      <formula>"PMS"</formula>
    </cfRule>
    <cfRule type="containsText" dxfId="13736" priority="1810" operator="containsText" text="CMS">
      <formula>NOT(ISERROR(SEARCH("CMS",H24)))</formula>
    </cfRule>
    <cfRule type="cellIs" dxfId="13735" priority="1811" operator="equal">
      <formula>0</formula>
    </cfRule>
    <cfRule type="cellIs" dxfId="13734" priority="1812" operator="greaterThan">
      <formula>0</formula>
    </cfRule>
    <cfRule type="cellIs" dxfId="13733" priority="1813" operator="equal">
      <formula>"PMS"</formula>
    </cfRule>
    <cfRule type="containsText" dxfId="13732" priority="1814" operator="containsText" text="CMS">
      <formula>NOT(ISERROR(SEARCH("CMS",H24)))</formula>
    </cfRule>
    <cfRule type="cellIs" dxfId="13731" priority="1815" operator="equal">
      <formula>0</formula>
    </cfRule>
    <cfRule type="cellIs" dxfId="13730" priority="1816" operator="greaterThan">
      <formula>0</formula>
    </cfRule>
  </conditionalFormatting>
  <conditionalFormatting sqref="H24">
    <cfRule type="cellIs" dxfId="13729" priority="1805" operator="equal">
      <formula>"PMS"</formula>
    </cfRule>
    <cfRule type="containsText" dxfId="13728" priority="1806" operator="containsText" text="CMS">
      <formula>NOT(ISERROR(SEARCH("CMS",H24)))</formula>
    </cfRule>
    <cfRule type="cellIs" dxfId="13727" priority="1807" operator="equal">
      <formula>0</formula>
    </cfRule>
    <cfRule type="cellIs" dxfId="13726" priority="1808" operator="greaterThan">
      <formula>0</formula>
    </cfRule>
  </conditionalFormatting>
  <conditionalFormatting sqref="H24">
    <cfRule type="cellIs" dxfId="13725" priority="1801" operator="equal">
      <formula>"PMS"</formula>
    </cfRule>
    <cfRule type="containsText" dxfId="13724" priority="1802" operator="containsText" text="CMS">
      <formula>NOT(ISERROR(SEARCH("CMS",H24)))</formula>
    </cfRule>
    <cfRule type="cellIs" dxfId="13723" priority="1803" operator="equal">
      <formula>0</formula>
    </cfRule>
    <cfRule type="cellIs" dxfId="13722" priority="1804" operator="greaterThan">
      <formula>0</formula>
    </cfRule>
  </conditionalFormatting>
  <conditionalFormatting sqref="H27:H28">
    <cfRule type="cellIs" dxfId="13721" priority="1793" operator="equal">
      <formula>"PMS"</formula>
    </cfRule>
    <cfRule type="containsText" dxfId="13720" priority="1794" operator="containsText" text="CMS">
      <formula>NOT(ISERROR(SEARCH("CMS",H27)))</formula>
    </cfRule>
    <cfRule type="cellIs" dxfId="13719" priority="1795" operator="equal">
      <formula>0</formula>
    </cfRule>
    <cfRule type="cellIs" dxfId="13718" priority="1796" operator="greaterThan">
      <formula>0</formula>
    </cfRule>
    <cfRule type="cellIs" dxfId="13717" priority="1797" operator="equal">
      <formula>"PMS"</formula>
    </cfRule>
    <cfRule type="containsText" dxfId="13716" priority="1798" operator="containsText" text="CMS">
      <formula>NOT(ISERROR(SEARCH("CMS",H27)))</formula>
    </cfRule>
    <cfRule type="cellIs" dxfId="13715" priority="1799" operator="equal">
      <formula>0</formula>
    </cfRule>
    <cfRule type="cellIs" dxfId="13714" priority="1800" operator="greaterThan">
      <formula>0</formula>
    </cfRule>
  </conditionalFormatting>
  <conditionalFormatting sqref="H27:H28">
    <cfRule type="cellIs" dxfId="13713" priority="1789" operator="equal">
      <formula>"PMS"</formula>
    </cfRule>
    <cfRule type="containsText" dxfId="13712" priority="1790" operator="containsText" text="CMS">
      <formula>NOT(ISERROR(SEARCH("CMS",H27)))</formula>
    </cfRule>
    <cfRule type="cellIs" dxfId="13711" priority="1791" operator="equal">
      <formula>0</formula>
    </cfRule>
    <cfRule type="cellIs" dxfId="13710" priority="1792" operator="greaterThan">
      <formula>0</formula>
    </cfRule>
  </conditionalFormatting>
  <conditionalFormatting sqref="H27:H28">
    <cfRule type="cellIs" dxfId="13709" priority="1785" operator="equal">
      <formula>"PMS"</formula>
    </cfRule>
    <cfRule type="containsText" dxfId="13708" priority="1786" operator="containsText" text="CMS">
      <formula>NOT(ISERROR(SEARCH("CMS",H27)))</formula>
    </cfRule>
    <cfRule type="cellIs" dxfId="13707" priority="1787" operator="equal">
      <formula>0</formula>
    </cfRule>
    <cfRule type="cellIs" dxfId="13706" priority="1788" operator="greaterThan">
      <formula>0</formula>
    </cfRule>
  </conditionalFormatting>
  <conditionalFormatting sqref="H29">
    <cfRule type="cellIs" dxfId="13705" priority="1777" operator="equal">
      <formula>"PMS"</formula>
    </cfRule>
    <cfRule type="containsText" dxfId="13704" priority="1778" operator="containsText" text="CMS">
      <formula>NOT(ISERROR(SEARCH("CMS",H29)))</formula>
    </cfRule>
    <cfRule type="cellIs" dxfId="13703" priority="1779" operator="equal">
      <formula>0</formula>
    </cfRule>
    <cfRule type="cellIs" dxfId="13702" priority="1780" operator="greaterThan">
      <formula>0</formula>
    </cfRule>
    <cfRule type="cellIs" dxfId="13701" priority="1781" operator="equal">
      <formula>"PMS"</formula>
    </cfRule>
    <cfRule type="containsText" dxfId="13700" priority="1782" operator="containsText" text="CMS">
      <formula>NOT(ISERROR(SEARCH("CMS",H29)))</formula>
    </cfRule>
    <cfRule type="cellIs" dxfId="13699" priority="1783" operator="equal">
      <formula>0</formula>
    </cfRule>
    <cfRule type="cellIs" dxfId="13698" priority="1784" operator="greaterThan">
      <formula>0</formula>
    </cfRule>
  </conditionalFormatting>
  <conditionalFormatting sqref="H32">
    <cfRule type="cellIs" dxfId="13697" priority="1769" operator="equal">
      <formula>"PMS"</formula>
    </cfRule>
    <cfRule type="containsText" dxfId="13696" priority="1770" operator="containsText" text="CMS">
      <formula>NOT(ISERROR(SEARCH("CMS",H32)))</formula>
    </cfRule>
    <cfRule type="cellIs" dxfId="13695" priority="1771" operator="equal">
      <formula>0</formula>
    </cfRule>
    <cfRule type="cellIs" dxfId="13694" priority="1772" operator="greaterThan">
      <formula>0</formula>
    </cfRule>
    <cfRule type="cellIs" dxfId="13693" priority="1773" operator="equal">
      <formula>"PMS"</formula>
    </cfRule>
    <cfRule type="containsText" dxfId="13692" priority="1774" operator="containsText" text="CMS">
      <formula>NOT(ISERROR(SEARCH("CMS",H32)))</formula>
    </cfRule>
    <cfRule type="cellIs" dxfId="13691" priority="1775" operator="equal">
      <formula>0</formula>
    </cfRule>
    <cfRule type="cellIs" dxfId="13690" priority="1776" operator="greaterThan">
      <formula>0</formula>
    </cfRule>
  </conditionalFormatting>
  <conditionalFormatting sqref="H32">
    <cfRule type="cellIs" dxfId="13689" priority="1765" operator="equal">
      <formula>"PMS"</formula>
    </cfRule>
    <cfRule type="containsText" dxfId="13688" priority="1766" operator="containsText" text="CMS">
      <formula>NOT(ISERROR(SEARCH("CMS",H32)))</formula>
    </cfRule>
    <cfRule type="cellIs" dxfId="13687" priority="1767" operator="equal">
      <formula>0</formula>
    </cfRule>
    <cfRule type="cellIs" dxfId="13686" priority="1768" operator="greaterThan">
      <formula>0</formula>
    </cfRule>
  </conditionalFormatting>
  <conditionalFormatting sqref="H32">
    <cfRule type="cellIs" dxfId="13685" priority="1761" operator="equal">
      <formula>"PMS"</formula>
    </cfRule>
    <cfRule type="containsText" dxfId="13684" priority="1762" operator="containsText" text="CMS">
      <formula>NOT(ISERROR(SEARCH("CMS",H32)))</formula>
    </cfRule>
    <cfRule type="cellIs" dxfId="13683" priority="1763" operator="equal">
      <formula>0</formula>
    </cfRule>
    <cfRule type="cellIs" dxfId="13682" priority="1764" operator="greaterThan">
      <formula>0</formula>
    </cfRule>
  </conditionalFormatting>
  <conditionalFormatting sqref="H35:H58">
    <cfRule type="cellIs" dxfId="13681" priority="1753" operator="equal">
      <formula>"PMS"</formula>
    </cfRule>
    <cfRule type="containsText" dxfId="13680" priority="1754" operator="containsText" text="CMS">
      <formula>NOT(ISERROR(SEARCH("CMS",H35)))</formula>
    </cfRule>
    <cfRule type="cellIs" dxfId="13679" priority="1755" operator="equal">
      <formula>0</formula>
    </cfRule>
    <cfRule type="cellIs" dxfId="13678" priority="1756" operator="greaterThan">
      <formula>0</formula>
    </cfRule>
    <cfRule type="cellIs" dxfId="13677" priority="1757" operator="equal">
      <formula>"PMS"</formula>
    </cfRule>
    <cfRule type="containsText" dxfId="13676" priority="1758" operator="containsText" text="CMS">
      <formula>NOT(ISERROR(SEARCH("CMS",H35)))</formula>
    </cfRule>
    <cfRule type="cellIs" dxfId="13675" priority="1759" operator="equal">
      <formula>0</formula>
    </cfRule>
    <cfRule type="cellIs" dxfId="13674" priority="1760" operator="greaterThan">
      <formula>0</formula>
    </cfRule>
  </conditionalFormatting>
  <conditionalFormatting sqref="H35:H58">
    <cfRule type="cellIs" dxfId="13673" priority="1749" operator="equal">
      <formula>"PMS"</formula>
    </cfRule>
    <cfRule type="containsText" dxfId="13672" priority="1750" operator="containsText" text="CMS">
      <formula>NOT(ISERROR(SEARCH("CMS",H35)))</formula>
    </cfRule>
    <cfRule type="cellIs" dxfId="13671" priority="1751" operator="equal">
      <formula>0</formula>
    </cfRule>
    <cfRule type="cellIs" dxfId="13670" priority="1752" operator="greaterThan">
      <formula>0</formula>
    </cfRule>
  </conditionalFormatting>
  <conditionalFormatting sqref="H35:H58">
    <cfRule type="cellIs" dxfId="13669" priority="1745" operator="equal">
      <formula>"PMS"</formula>
    </cfRule>
    <cfRule type="containsText" dxfId="13668" priority="1746" operator="containsText" text="CMS">
      <formula>NOT(ISERROR(SEARCH("CMS",H35)))</formula>
    </cfRule>
    <cfRule type="cellIs" dxfId="13667" priority="1747" operator="equal">
      <formula>0</formula>
    </cfRule>
    <cfRule type="cellIs" dxfId="13666" priority="1748" operator="greaterThan">
      <formula>0</formula>
    </cfRule>
  </conditionalFormatting>
  <conditionalFormatting sqref="H57">
    <cfRule type="cellIs" dxfId="13665" priority="1741" operator="equal">
      <formula>"PMS"</formula>
    </cfRule>
    <cfRule type="containsText" dxfId="13664" priority="1742" operator="containsText" text="CMS">
      <formula>NOT(ISERROR(SEARCH("CMS",H57)))</formula>
    </cfRule>
    <cfRule type="cellIs" dxfId="13663" priority="1743" operator="equal">
      <formula>0</formula>
    </cfRule>
    <cfRule type="cellIs" dxfId="13662" priority="1744" operator="greaterThan">
      <formula>0</formula>
    </cfRule>
  </conditionalFormatting>
  <conditionalFormatting sqref="H57">
    <cfRule type="cellIs" dxfId="13661" priority="1737" operator="equal">
      <formula>"PMS"</formula>
    </cfRule>
    <cfRule type="containsText" dxfId="13660" priority="1738" operator="containsText" text="CMS">
      <formula>NOT(ISERROR(SEARCH("CMS",H57)))</formula>
    </cfRule>
    <cfRule type="cellIs" dxfId="13659" priority="1739" operator="equal">
      <formula>0</formula>
    </cfRule>
    <cfRule type="cellIs" dxfId="13658" priority="1740" operator="greaterThan">
      <formula>0</formula>
    </cfRule>
  </conditionalFormatting>
  <conditionalFormatting sqref="H57">
    <cfRule type="cellIs" dxfId="13657" priority="1733" operator="equal">
      <formula>"PMS"</formula>
    </cfRule>
    <cfRule type="containsText" dxfId="13656" priority="1734" operator="containsText" text="CMS">
      <formula>NOT(ISERROR(SEARCH("CMS",H57)))</formula>
    </cfRule>
    <cfRule type="cellIs" dxfId="13655" priority="1735" operator="equal">
      <formula>0</formula>
    </cfRule>
    <cfRule type="cellIs" dxfId="13654" priority="1736" operator="greaterThan">
      <formula>0</formula>
    </cfRule>
  </conditionalFormatting>
  <conditionalFormatting sqref="H57">
    <cfRule type="cellIs" dxfId="13653" priority="1729" operator="equal">
      <formula>"PMS"</formula>
    </cfRule>
    <cfRule type="containsText" dxfId="13652" priority="1730" operator="containsText" text="CMS">
      <formula>NOT(ISERROR(SEARCH("CMS",H57)))</formula>
    </cfRule>
    <cfRule type="cellIs" dxfId="13651" priority="1731" operator="equal">
      <formula>0</formula>
    </cfRule>
    <cfRule type="cellIs" dxfId="13650" priority="1732" operator="greaterThan">
      <formula>0</formula>
    </cfRule>
  </conditionalFormatting>
  <conditionalFormatting sqref="H58">
    <cfRule type="cellIs" dxfId="13649" priority="1725" operator="equal">
      <formula>"PMS"</formula>
    </cfRule>
    <cfRule type="containsText" dxfId="13648" priority="1726" operator="containsText" text="CMS">
      <formula>NOT(ISERROR(SEARCH("CMS",H58)))</formula>
    </cfRule>
    <cfRule type="cellIs" dxfId="13647" priority="1727" operator="equal">
      <formula>0</formula>
    </cfRule>
    <cfRule type="cellIs" dxfId="13646" priority="1728" operator="greaterThan">
      <formula>0</formula>
    </cfRule>
  </conditionalFormatting>
  <conditionalFormatting sqref="H58">
    <cfRule type="cellIs" dxfId="13645" priority="1721" operator="equal">
      <formula>"PMS"</formula>
    </cfRule>
    <cfRule type="containsText" dxfId="13644" priority="1722" operator="containsText" text="CMS">
      <formula>NOT(ISERROR(SEARCH("CMS",H58)))</formula>
    </cfRule>
    <cfRule type="cellIs" dxfId="13643" priority="1723" operator="equal">
      <formula>0</formula>
    </cfRule>
    <cfRule type="cellIs" dxfId="13642" priority="1724" operator="greaterThan">
      <formula>0</formula>
    </cfRule>
  </conditionalFormatting>
  <conditionalFormatting sqref="H58">
    <cfRule type="cellIs" dxfId="13641" priority="1717" operator="equal">
      <formula>"PMS"</formula>
    </cfRule>
    <cfRule type="containsText" dxfId="13640" priority="1718" operator="containsText" text="CMS">
      <formula>NOT(ISERROR(SEARCH("CMS",H58)))</formula>
    </cfRule>
    <cfRule type="cellIs" dxfId="13639" priority="1719" operator="equal">
      <formula>0</formula>
    </cfRule>
    <cfRule type="cellIs" dxfId="13638" priority="1720" operator="greaterThan">
      <formula>0</formula>
    </cfRule>
  </conditionalFormatting>
  <conditionalFormatting sqref="H58">
    <cfRule type="cellIs" dxfId="13637" priority="1713" operator="equal">
      <formula>"PMS"</formula>
    </cfRule>
    <cfRule type="containsText" dxfId="13636" priority="1714" operator="containsText" text="CMS">
      <formula>NOT(ISERROR(SEARCH("CMS",H58)))</formula>
    </cfRule>
    <cfRule type="cellIs" dxfId="13635" priority="1715" operator="equal">
      <formula>0</formula>
    </cfRule>
    <cfRule type="cellIs" dxfId="13634" priority="1716" operator="greaterThan">
      <formula>0</formula>
    </cfRule>
  </conditionalFormatting>
  <conditionalFormatting sqref="H62:H63">
    <cfRule type="cellIs" dxfId="13633" priority="1705" operator="equal">
      <formula>"PMS"</formula>
    </cfRule>
    <cfRule type="containsText" dxfId="13632" priority="1706" operator="containsText" text="CMS">
      <formula>NOT(ISERROR(SEARCH("CMS",H62)))</formula>
    </cfRule>
    <cfRule type="cellIs" dxfId="13631" priority="1707" operator="equal">
      <formula>0</formula>
    </cfRule>
    <cfRule type="cellIs" dxfId="13630" priority="1708" operator="greaterThan">
      <formula>0</formula>
    </cfRule>
    <cfRule type="cellIs" dxfId="13629" priority="1709" operator="equal">
      <formula>"PMS"</formula>
    </cfRule>
    <cfRule type="containsText" dxfId="13628" priority="1710" operator="containsText" text="CMS">
      <formula>NOT(ISERROR(SEARCH("CMS",H62)))</formula>
    </cfRule>
    <cfRule type="cellIs" dxfId="13627" priority="1711" operator="equal">
      <formula>0</formula>
    </cfRule>
    <cfRule type="cellIs" dxfId="13626" priority="1712" operator="greaterThan">
      <formula>0</formula>
    </cfRule>
  </conditionalFormatting>
  <conditionalFormatting sqref="H62:H63">
    <cfRule type="cellIs" dxfId="13625" priority="1701" operator="equal">
      <formula>"PMS"</formula>
    </cfRule>
    <cfRule type="containsText" dxfId="13624" priority="1702" operator="containsText" text="CMS">
      <formula>NOT(ISERROR(SEARCH("CMS",H62)))</formula>
    </cfRule>
    <cfRule type="cellIs" dxfId="13623" priority="1703" operator="equal">
      <formula>0</formula>
    </cfRule>
    <cfRule type="cellIs" dxfId="13622" priority="1704" operator="greaterThan">
      <formula>0</formula>
    </cfRule>
  </conditionalFormatting>
  <conditionalFormatting sqref="H66:H74">
    <cfRule type="cellIs" dxfId="13621" priority="1693" operator="equal">
      <formula>"PMS"</formula>
    </cfRule>
    <cfRule type="containsText" dxfId="13620" priority="1694" operator="containsText" text="CMS">
      <formula>NOT(ISERROR(SEARCH("CMS",H66)))</formula>
    </cfRule>
    <cfRule type="cellIs" dxfId="13619" priority="1695" operator="equal">
      <formula>0</formula>
    </cfRule>
    <cfRule type="cellIs" dxfId="13618" priority="1696" operator="greaterThan">
      <formula>0</formula>
    </cfRule>
    <cfRule type="cellIs" dxfId="13617" priority="1697" operator="equal">
      <formula>"PMS"</formula>
    </cfRule>
    <cfRule type="containsText" dxfId="13616" priority="1698" operator="containsText" text="CMS">
      <formula>NOT(ISERROR(SEARCH("CMS",H66)))</formula>
    </cfRule>
    <cfRule type="cellIs" dxfId="13615" priority="1699" operator="equal">
      <formula>0</formula>
    </cfRule>
    <cfRule type="cellIs" dxfId="13614" priority="1700" operator="greaterThan">
      <formula>0</formula>
    </cfRule>
  </conditionalFormatting>
  <conditionalFormatting sqref="H66:H74">
    <cfRule type="cellIs" dxfId="13613" priority="1689" operator="equal">
      <formula>"PMS"</formula>
    </cfRule>
    <cfRule type="containsText" dxfId="13612" priority="1690" operator="containsText" text="CMS">
      <formula>NOT(ISERROR(SEARCH("CMS",H66)))</formula>
    </cfRule>
    <cfRule type="cellIs" dxfId="13611" priority="1691" operator="equal">
      <formula>0</formula>
    </cfRule>
    <cfRule type="cellIs" dxfId="13610" priority="1692" operator="greaterThan">
      <formula>0</formula>
    </cfRule>
  </conditionalFormatting>
  <conditionalFormatting sqref="H66:H74">
    <cfRule type="cellIs" dxfId="13609" priority="1685" operator="equal">
      <formula>"PMS"</formula>
    </cfRule>
    <cfRule type="containsText" dxfId="13608" priority="1686" operator="containsText" text="CMS">
      <formula>NOT(ISERROR(SEARCH("CMS",H66)))</formula>
    </cfRule>
    <cfRule type="cellIs" dxfId="13607" priority="1687" operator="equal">
      <formula>0</formula>
    </cfRule>
    <cfRule type="cellIs" dxfId="13606" priority="1688" operator="greaterThan">
      <formula>0</formula>
    </cfRule>
  </conditionalFormatting>
  <conditionalFormatting sqref="H77:H78">
    <cfRule type="cellIs" dxfId="13605" priority="1677" operator="equal">
      <formula>"PMS"</formula>
    </cfRule>
    <cfRule type="containsText" dxfId="13604" priority="1678" operator="containsText" text="CMS">
      <formula>NOT(ISERROR(SEARCH("CMS",H77)))</formula>
    </cfRule>
    <cfRule type="cellIs" dxfId="13603" priority="1679" operator="equal">
      <formula>0</formula>
    </cfRule>
    <cfRule type="cellIs" dxfId="13602" priority="1680" operator="greaterThan">
      <formula>0</formula>
    </cfRule>
    <cfRule type="cellIs" dxfId="13601" priority="1681" operator="equal">
      <formula>"PMS"</formula>
    </cfRule>
    <cfRule type="containsText" dxfId="13600" priority="1682" operator="containsText" text="CMS">
      <formula>NOT(ISERROR(SEARCH("CMS",H77)))</formula>
    </cfRule>
    <cfRule type="cellIs" dxfId="13599" priority="1683" operator="equal">
      <formula>0</formula>
    </cfRule>
    <cfRule type="cellIs" dxfId="13598" priority="1684" operator="greaterThan">
      <formula>0</formula>
    </cfRule>
  </conditionalFormatting>
  <conditionalFormatting sqref="H77:H78">
    <cfRule type="cellIs" dxfId="13597" priority="1673" operator="equal">
      <formula>"PMS"</formula>
    </cfRule>
    <cfRule type="containsText" dxfId="13596" priority="1674" operator="containsText" text="CMS">
      <formula>NOT(ISERROR(SEARCH("CMS",H77)))</formula>
    </cfRule>
    <cfRule type="cellIs" dxfId="13595" priority="1675" operator="equal">
      <formula>0</formula>
    </cfRule>
    <cfRule type="cellIs" dxfId="13594" priority="1676" operator="greaterThan">
      <formula>0</formula>
    </cfRule>
  </conditionalFormatting>
  <conditionalFormatting sqref="O56:O57">
    <cfRule type="cellIs" dxfId="13593" priority="1669" operator="equal">
      <formula>"PMS"</formula>
    </cfRule>
    <cfRule type="containsText" dxfId="13592" priority="1670" operator="containsText" text="CMS">
      <formula>NOT(ISERROR(SEARCH("CMS",O56)))</formula>
    </cfRule>
    <cfRule type="cellIs" dxfId="13591" priority="1671" operator="equal">
      <formula>0</formula>
    </cfRule>
    <cfRule type="cellIs" dxfId="13590" priority="1672" operator="greaterThan">
      <formula>0</formula>
    </cfRule>
  </conditionalFormatting>
  <conditionalFormatting sqref="O56:O57">
    <cfRule type="cellIs" dxfId="13589" priority="1665" operator="equal">
      <formula>"PMS"</formula>
    </cfRule>
    <cfRule type="containsText" dxfId="13588" priority="1666" operator="containsText" text="CMS">
      <formula>NOT(ISERROR(SEARCH("CMS",O56)))</formula>
    </cfRule>
    <cfRule type="cellIs" dxfId="13587" priority="1667" operator="equal">
      <formula>0</formula>
    </cfRule>
    <cfRule type="cellIs" dxfId="13586" priority="1668" operator="greaterThan">
      <formula>0</formula>
    </cfRule>
  </conditionalFormatting>
  <conditionalFormatting sqref="O56:O57">
    <cfRule type="cellIs" dxfId="13585" priority="1661" operator="equal">
      <formula>"PMS"</formula>
    </cfRule>
    <cfRule type="containsText" dxfId="13584" priority="1662" operator="containsText" text="CMS">
      <formula>NOT(ISERROR(SEARCH("CMS",O56)))</formula>
    </cfRule>
    <cfRule type="cellIs" dxfId="13583" priority="1663" operator="equal">
      <formula>0</formula>
    </cfRule>
    <cfRule type="cellIs" dxfId="13582" priority="1664" operator="greaterThan">
      <formula>0</formula>
    </cfRule>
  </conditionalFormatting>
  <conditionalFormatting sqref="O56:O57">
    <cfRule type="cellIs" dxfId="13581" priority="1657" operator="equal">
      <formula>"PMS"</formula>
    </cfRule>
    <cfRule type="containsText" dxfId="13580" priority="1658" operator="containsText" text="CMS">
      <formula>NOT(ISERROR(SEARCH("CMS",O56)))</formula>
    </cfRule>
    <cfRule type="cellIs" dxfId="13579" priority="1659" operator="equal">
      <formula>0</formula>
    </cfRule>
    <cfRule type="cellIs" dxfId="13578" priority="1660" operator="greaterThan">
      <formula>0</formula>
    </cfRule>
  </conditionalFormatting>
  <conditionalFormatting sqref="O56:O57">
    <cfRule type="cellIs" dxfId="13577" priority="1653" operator="equal">
      <formula>"PMS"</formula>
    </cfRule>
    <cfRule type="containsText" dxfId="13576" priority="1654" operator="containsText" text="CMS">
      <formula>NOT(ISERROR(SEARCH("CMS",O56)))</formula>
    </cfRule>
    <cfRule type="cellIs" dxfId="13575" priority="1655" operator="equal">
      <formula>0</formula>
    </cfRule>
    <cfRule type="cellIs" dxfId="13574" priority="1656" operator="greaterThan">
      <formula>0</formula>
    </cfRule>
  </conditionalFormatting>
  <conditionalFormatting sqref="O56:O57">
    <cfRule type="cellIs" dxfId="13573" priority="1649" operator="equal">
      <formula>"PMS"</formula>
    </cfRule>
    <cfRule type="containsText" dxfId="13572" priority="1650" operator="containsText" text="CMS">
      <formula>NOT(ISERROR(SEARCH("CMS",O56)))</formula>
    </cfRule>
    <cfRule type="cellIs" dxfId="13571" priority="1651" operator="equal">
      <formula>0</formula>
    </cfRule>
    <cfRule type="cellIs" dxfId="13570" priority="1652" operator="greaterThan">
      <formula>0</formula>
    </cfRule>
  </conditionalFormatting>
  <conditionalFormatting sqref="O56:O57">
    <cfRule type="cellIs" dxfId="13569" priority="1645" operator="equal">
      <formula>"PMS"</formula>
    </cfRule>
    <cfRule type="containsText" dxfId="13568" priority="1646" operator="containsText" text="CMS">
      <formula>NOT(ISERROR(SEARCH("CMS",O56)))</formula>
    </cfRule>
    <cfRule type="cellIs" dxfId="13567" priority="1647" operator="equal">
      <formula>0</formula>
    </cfRule>
    <cfRule type="cellIs" dxfId="13566" priority="1648" operator="greaterThan">
      <formula>0</formula>
    </cfRule>
  </conditionalFormatting>
  <conditionalFormatting sqref="O56:O57">
    <cfRule type="cellIs" dxfId="13565" priority="1641" operator="equal">
      <formula>"PMS"</formula>
    </cfRule>
    <cfRule type="containsText" dxfId="13564" priority="1642" operator="containsText" text="CMS">
      <formula>NOT(ISERROR(SEARCH("CMS",O56)))</formula>
    </cfRule>
    <cfRule type="cellIs" dxfId="13563" priority="1643" operator="equal">
      <formula>0</formula>
    </cfRule>
    <cfRule type="cellIs" dxfId="13562" priority="1644" operator="greaterThan">
      <formula>0</formula>
    </cfRule>
  </conditionalFormatting>
  <conditionalFormatting sqref="O56:O57">
    <cfRule type="cellIs" dxfId="13561" priority="1637" operator="equal">
      <formula>"PMS"</formula>
    </cfRule>
    <cfRule type="containsText" dxfId="13560" priority="1638" operator="containsText" text="CMS">
      <formula>NOT(ISERROR(SEARCH("CMS",O56)))</formula>
    </cfRule>
    <cfRule type="cellIs" dxfId="13559" priority="1639" operator="equal">
      <formula>0</formula>
    </cfRule>
    <cfRule type="cellIs" dxfId="13558" priority="1640" operator="greaterThan">
      <formula>0</formula>
    </cfRule>
  </conditionalFormatting>
  <conditionalFormatting sqref="O56:O57">
    <cfRule type="cellIs" dxfId="13557" priority="1633" operator="equal">
      <formula>"PMS"</formula>
    </cfRule>
    <cfRule type="containsText" dxfId="13556" priority="1634" operator="containsText" text="CMS">
      <formula>NOT(ISERROR(SEARCH("CMS",O56)))</formula>
    </cfRule>
    <cfRule type="cellIs" dxfId="13555" priority="1635" operator="equal">
      <formula>0</formula>
    </cfRule>
    <cfRule type="cellIs" dxfId="13554" priority="1636" operator="greaterThan">
      <formula>0</formula>
    </cfRule>
  </conditionalFormatting>
  <conditionalFormatting sqref="O56:O57">
    <cfRule type="cellIs" dxfId="13553" priority="1629" operator="equal">
      <formula>"PMS"</formula>
    </cfRule>
    <cfRule type="containsText" dxfId="13552" priority="1630" operator="containsText" text="CMS">
      <formula>NOT(ISERROR(SEARCH("CMS",O56)))</formula>
    </cfRule>
    <cfRule type="cellIs" dxfId="13551" priority="1631" operator="equal">
      <formula>0</formula>
    </cfRule>
    <cfRule type="cellIs" dxfId="13550" priority="1632" operator="greaterThan">
      <formula>0</formula>
    </cfRule>
  </conditionalFormatting>
  <conditionalFormatting sqref="O56:O57">
    <cfRule type="cellIs" dxfId="13549" priority="1625" operator="equal">
      <formula>"PMS"</formula>
    </cfRule>
    <cfRule type="containsText" dxfId="13548" priority="1626" operator="containsText" text="CMS">
      <formula>NOT(ISERROR(SEARCH("CMS",O56)))</formula>
    </cfRule>
    <cfRule type="cellIs" dxfId="13547" priority="1627" operator="equal">
      <formula>0</formula>
    </cfRule>
    <cfRule type="cellIs" dxfId="13546" priority="1628" operator="greaterThan">
      <formula>0</formula>
    </cfRule>
  </conditionalFormatting>
  <conditionalFormatting sqref="R77">
    <cfRule type="cellIs" dxfId="13545" priority="1621" operator="equal">
      <formula>"PMS"</formula>
    </cfRule>
    <cfRule type="containsText" dxfId="13544" priority="1622" operator="containsText" text="CMS">
      <formula>NOT(ISERROR(SEARCH("CMS",R77)))</formula>
    </cfRule>
    <cfRule type="cellIs" dxfId="13543" priority="1623" operator="equal">
      <formula>0</formula>
    </cfRule>
    <cfRule type="cellIs" dxfId="13542" priority="1624" operator="greaterThan">
      <formula>0</formula>
    </cfRule>
  </conditionalFormatting>
  <conditionalFormatting sqref="G15:G16">
    <cfRule type="cellIs" dxfId="13541" priority="1613" operator="equal">
      <formula>"PMS"</formula>
    </cfRule>
    <cfRule type="containsText" dxfId="13540" priority="1614" operator="containsText" text="CMS">
      <formula>NOT(ISERROR(SEARCH("CMS",G15)))</formula>
    </cfRule>
    <cfRule type="cellIs" dxfId="13539" priority="1615" operator="equal">
      <formula>0</formula>
    </cfRule>
    <cfRule type="cellIs" dxfId="13538" priority="1616" operator="greaterThan">
      <formula>0</formula>
    </cfRule>
    <cfRule type="cellIs" dxfId="13537" priority="1617" operator="equal">
      <formula>"PMS"</formula>
    </cfRule>
    <cfRule type="containsText" dxfId="13536" priority="1618" operator="containsText" text="CMS">
      <formula>NOT(ISERROR(SEARCH("CMS",G15)))</formula>
    </cfRule>
    <cfRule type="cellIs" dxfId="13535" priority="1619" operator="equal">
      <formula>0</formula>
    </cfRule>
    <cfRule type="cellIs" dxfId="13534" priority="1620" operator="greaterThan">
      <formula>0</formula>
    </cfRule>
  </conditionalFormatting>
  <conditionalFormatting sqref="G15:G16">
    <cfRule type="cellIs" dxfId="13533" priority="1609" operator="equal">
      <formula>"PMS"</formula>
    </cfRule>
    <cfRule type="containsText" dxfId="13532" priority="1610" operator="containsText" text="CMS">
      <formula>NOT(ISERROR(SEARCH("CMS",G15)))</formula>
    </cfRule>
    <cfRule type="cellIs" dxfId="13531" priority="1611" operator="equal">
      <formula>0</formula>
    </cfRule>
    <cfRule type="cellIs" dxfId="13530" priority="1612" operator="greaterThan">
      <formula>0</formula>
    </cfRule>
  </conditionalFormatting>
  <conditionalFormatting sqref="G15:G16">
    <cfRule type="cellIs" dxfId="13529" priority="1605" operator="equal">
      <formula>"PMS"</formula>
    </cfRule>
    <cfRule type="containsText" dxfId="13528" priority="1606" operator="containsText" text="CMS">
      <formula>NOT(ISERROR(SEARCH("CMS",G15)))</formula>
    </cfRule>
    <cfRule type="cellIs" dxfId="13527" priority="1607" operator="equal">
      <formula>0</formula>
    </cfRule>
    <cfRule type="cellIs" dxfId="13526" priority="1608" operator="greaterThan">
      <formula>0</formula>
    </cfRule>
  </conditionalFormatting>
  <conditionalFormatting sqref="G21">
    <cfRule type="cellIs" dxfId="13525" priority="1597" operator="equal">
      <formula>"PMS"</formula>
    </cfRule>
    <cfRule type="containsText" dxfId="13524" priority="1598" operator="containsText" text="CMS">
      <formula>NOT(ISERROR(SEARCH("CMS",G21)))</formula>
    </cfRule>
    <cfRule type="cellIs" dxfId="13523" priority="1599" operator="equal">
      <formula>0</formula>
    </cfRule>
    <cfRule type="cellIs" dxfId="13522" priority="1600" operator="greaterThan">
      <formula>0</formula>
    </cfRule>
    <cfRule type="cellIs" dxfId="13521" priority="1601" operator="equal">
      <formula>"PMS"</formula>
    </cfRule>
    <cfRule type="containsText" dxfId="13520" priority="1602" operator="containsText" text="CMS">
      <formula>NOT(ISERROR(SEARCH("CMS",G21)))</formula>
    </cfRule>
    <cfRule type="cellIs" dxfId="13519" priority="1603" operator="equal">
      <formula>0</formula>
    </cfRule>
    <cfRule type="cellIs" dxfId="13518" priority="1604" operator="greaterThan">
      <formula>0</formula>
    </cfRule>
  </conditionalFormatting>
  <conditionalFormatting sqref="G21">
    <cfRule type="cellIs" dxfId="13517" priority="1593" operator="equal">
      <formula>"PMS"</formula>
    </cfRule>
    <cfRule type="containsText" dxfId="13516" priority="1594" operator="containsText" text="CMS">
      <formula>NOT(ISERROR(SEARCH("CMS",G21)))</formula>
    </cfRule>
    <cfRule type="cellIs" dxfId="13515" priority="1595" operator="equal">
      <formula>0</formula>
    </cfRule>
    <cfRule type="cellIs" dxfId="13514" priority="1596" operator="greaterThan">
      <formula>0</formula>
    </cfRule>
  </conditionalFormatting>
  <conditionalFormatting sqref="G21">
    <cfRule type="cellIs" dxfId="13513" priority="1589" operator="equal">
      <formula>"PMS"</formula>
    </cfRule>
    <cfRule type="containsText" dxfId="13512" priority="1590" operator="containsText" text="CMS">
      <formula>NOT(ISERROR(SEARCH("CMS",G21)))</formula>
    </cfRule>
    <cfRule type="cellIs" dxfId="13511" priority="1591" operator="equal">
      <formula>0</formula>
    </cfRule>
    <cfRule type="cellIs" dxfId="13510" priority="1592" operator="greaterThan">
      <formula>0</formula>
    </cfRule>
  </conditionalFormatting>
  <conditionalFormatting sqref="H61 M61 J63 J61 L63:M63">
    <cfRule type="cellIs" dxfId="13509" priority="1581" operator="equal">
      <formula>"PMS"</formula>
    </cfRule>
    <cfRule type="containsText" dxfId="13508" priority="1582" operator="containsText" text="CMS">
      <formula>NOT(ISERROR(SEARCH("CMS",H61)))</formula>
    </cfRule>
    <cfRule type="cellIs" dxfId="13507" priority="1583" operator="equal">
      <formula>0</formula>
    </cfRule>
    <cfRule type="cellIs" dxfId="13506" priority="1584" operator="greaterThan">
      <formula>0</formula>
    </cfRule>
    <cfRule type="cellIs" dxfId="13505" priority="1585" operator="equal">
      <formula>"PMS"</formula>
    </cfRule>
    <cfRule type="containsText" dxfId="13504" priority="1586" operator="containsText" text="CMS">
      <formula>NOT(ISERROR(SEARCH("CMS",H61)))</formula>
    </cfRule>
    <cfRule type="cellIs" dxfId="13503" priority="1587" operator="equal">
      <formula>0</formula>
    </cfRule>
    <cfRule type="cellIs" dxfId="13502" priority="1588" operator="greaterThan">
      <formula>0</formula>
    </cfRule>
  </conditionalFormatting>
  <conditionalFormatting sqref="H61 M61 J63 J61 L63:M63">
    <cfRule type="cellIs" dxfId="13501" priority="1577" operator="equal">
      <formula>"PMS"</formula>
    </cfRule>
    <cfRule type="containsText" dxfId="13500" priority="1578" operator="containsText" text="CMS">
      <formula>NOT(ISERROR(SEARCH("CMS",H61)))</formula>
    </cfRule>
    <cfRule type="cellIs" dxfId="13499" priority="1579" operator="equal">
      <formula>0</formula>
    </cfRule>
    <cfRule type="cellIs" dxfId="13498" priority="1580" operator="greaterThan">
      <formula>0</formula>
    </cfRule>
  </conditionalFormatting>
  <conditionalFormatting sqref="G78">
    <cfRule type="cellIs" dxfId="13497" priority="1569" operator="equal">
      <formula>"PMS"</formula>
    </cfRule>
    <cfRule type="containsText" dxfId="13496" priority="1570" operator="containsText" text="CMS">
      <formula>NOT(ISERROR(SEARCH("CMS",G78)))</formula>
    </cfRule>
    <cfRule type="cellIs" dxfId="13495" priority="1571" operator="equal">
      <formula>0</formula>
    </cfRule>
    <cfRule type="cellIs" dxfId="13494" priority="1572" operator="greaterThan">
      <formula>0</formula>
    </cfRule>
    <cfRule type="cellIs" dxfId="13493" priority="1573" operator="equal">
      <formula>"PMS"</formula>
    </cfRule>
    <cfRule type="containsText" dxfId="13492" priority="1574" operator="containsText" text="CMS">
      <formula>NOT(ISERROR(SEARCH("CMS",G78)))</formula>
    </cfRule>
    <cfRule type="cellIs" dxfId="13491" priority="1575" operator="equal">
      <formula>0</formula>
    </cfRule>
    <cfRule type="cellIs" dxfId="13490" priority="1576" operator="greaterThan">
      <formula>0</formula>
    </cfRule>
  </conditionalFormatting>
  <conditionalFormatting sqref="G78">
    <cfRule type="cellIs" dxfId="13489" priority="1565" operator="equal">
      <formula>"PMS"</formula>
    </cfRule>
    <cfRule type="containsText" dxfId="13488" priority="1566" operator="containsText" text="CMS">
      <formula>NOT(ISERROR(SEARCH("CMS",G78)))</formula>
    </cfRule>
    <cfRule type="cellIs" dxfId="13487" priority="1567" operator="equal">
      <formula>0</formula>
    </cfRule>
    <cfRule type="cellIs" dxfId="13486" priority="1568" operator="greaterThan">
      <formula>0</formula>
    </cfRule>
  </conditionalFormatting>
  <conditionalFormatting sqref="G24">
    <cfRule type="cellIs" dxfId="13485" priority="1557" operator="equal">
      <formula>"PMS"</formula>
    </cfRule>
    <cfRule type="containsText" dxfId="13484" priority="1558" operator="containsText" text="CMS">
      <formula>NOT(ISERROR(SEARCH("CMS",G24)))</formula>
    </cfRule>
    <cfRule type="cellIs" dxfId="13483" priority="1559" operator="equal">
      <formula>0</formula>
    </cfRule>
    <cfRule type="cellIs" dxfId="13482" priority="1560" operator="greaterThan">
      <formula>0</formula>
    </cfRule>
    <cfRule type="cellIs" dxfId="13481" priority="1561" operator="equal">
      <formula>"PMS"</formula>
    </cfRule>
    <cfRule type="containsText" dxfId="13480" priority="1562" operator="containsText" text="CMS">
      <formula>NOT(ISERROR(SEARCH("CMS",G24)))</formula>
    </cfRule>
    <cfRule type="cellIs" dxfId="13479" priority="1563" operator="equal">
      <formula>0</formula>
    </cfRule>
    <cfRule type="cellIs" dxfId="13478" priority="1564" operator="greaterThan">
      <formula>0</formula>
    </cfRule>
  </conditionalFormatting>
  <conditionalFormatting sqref="G24">
    <cfRule type="cellIs" dxfId="13477" priority="1553" operator="equal">
      <formula>"PMS"</formula>
    </cfRule>
    <cfRule type="containsText" dxfId="13476" priority="1554" operator="containsText" text="CMS">
      <formula>NOT(ISERROR(SEARCH("CMS",G24)))</formula>
    </cfRule>
    <cfRule type="cellIs" dxfId="13475" priority="1555" operator="equal">
      <formula>0</formula>
    </cfRule>
    <cfRule type="cellIs" dxfId="13474" priority="1556" operator="greaterThan">
      <formula>0</formula>
    </cfRule>
  </conditionalFormatting>
  <conditionalFormatting sqref="G24">
    <cfRule type="cellIs" dxfId="13473" priority="1549" operator="equal">
      <formula>"PMS"</formula>
    </cfRule>
    <cfRule type="containsText" dxfId="13472" priority="1550" operator="containsText" text="CMS">
      <formula>NOT(ISERROR(SEARCH("CMS",G24)))</formula>
    </cfRule>
    <cfRule type="cellIs" dxfId="13471" priority="1551" operator="equal">
      <formula>0</formula>
    </cfRule>
    <cfRule type="cellIs" dxfId="13470" priority="1552" operator="greaterThan">
      <formula>0</formula>
    </cfRule>
  </conditionalFormatting>
  <conditionalFormatting sqref="O56:O57">
    <cfRule type="cellIs" dxfId="13469" priority="1545" operator="equal">
      <formula>"PMS"</formula>
    </cfRule>
    <cfRule type="containsText" dxfId="13468" priority="1546" operator="containsText" text="CMS">
      <formula>NOT(ISERROR(SEARCH("CMS",O56)))</formula>
    </cfRule>
    <cfRule type="cellIs" dxfId="13467" priority="1547" operator="equal">
      <formula>0</formula>
    </cfRule>
    <cfRule type="cellIs" dxfId="13466" priority="1548" operator="greaterThan">
      <formula>0</formula>
    </cfRule>
  </conditionalFormatting>
  <conditionalFormatting sqref="O56:O57">
    <cfRule type="cellIs" dxfId="13465" priority="1541" operator="equal">
      <formula>"PMS"</formula>
    </cfRule>
    <cfRule type="containsText" dxfId="13464" priority="1542" operator="containsText" text="CMS">
      <formula>NOT(ISERROR(SEARCH("CMS",O56)))</formula>
    </cfRule>
    <cfRule type="cellIs" dxfId="13463" priority="1543" operator="equal">
      <formula>0</formula>
    </cfRule>
    <cfRule type="cellIs" dxfId="13462" priority="1544" operator="greaterThan">
      <formula>0</formula>
    </cfRule>
  </conditionalFormatting>
  <conditionalFormatting sqref="O56:O57">
    <cfRule type="cellIs" dxfId="13461" priority="1537" operator="equal">
      <formula>"PMS"</formula>
    </cfRule>
    <cfRule type="containsText" dxfId="13460" priority="1538" operator="containsText" text="CMS">
      <formula>NOT(ISERROR(SEARCH("CMS",O56)))</formula>
    </cfRule>
    <cfRule type="cellIs" dxfId="13459" priority="1539" operator="equal">
      <formula>0</formula>
    </cfRule>
    <cfRule type="cellIs" dxfId="13458" priority="1540" operator="greaterThan">
      <formula>0</formula>
    </cfRule>
  </conditionalFormatting>
  <conditionalFormatting sqref="O56:O57">
    <cfRule type="cellIs" dxfId="13457" priority="1533" operator="equal">
      <formula>"PMS"</formula>
    </cfRule>
    <cfRule type="containsText" dxfId="13456" priority="1534" operator="containsText" text="CMS">
      <formula>NOT(ISERROR(SEARCH("CMS",O56)))</formula>
    </cfRule>
    <cfRule type="cellIs" dxfId="13455" priority="1535" operator="equal">
      <formula>0</formula>
    </cfRule>
    <cfRule type="cellIs" dxfId="13454" priority="1536" operator="greaterThan">
      <formula>0</formula>
    </cfRule>
  </conditionalFormatting>
  <conditionalFormatting sqref="O56">
    <cfRule type="cellIs" dxfId="13453" priority="1529" operator="equal">
      <formula>"PMS"</formula>
    </cfRule>
    <cfRule type="containsText" dxfId="13452" priority="1530" operator="containsText" text="CMS">
      <formula>NOT(ISERROR(SEARCH("CMS",O56)))</formula>
    </cfRule>
    <cfRule type="cellIs" dxfId="13451" priority="1531" operator="equal">
      <formula>0</formula>
    </cfRule>
    <cfRule type="cellIs" dxfId="13450" priority="1532" operator="greaterThan">
      <formula>0</formula>
    </cfRule>
  </conditionalFormatting>
  <conditionalFormatting sqref="O56">
    <cfRule type="cellIs" dxfId="13449" priority="1525" operator="equal">
      <formula>"PMS"</formula>
    </cfRule>
    <cfRule type="containsText" dxfId="13448" priority="1526" operator="containsText" text="CMS">
      <formula>NOT(ISERROR(SEARCH("CMS",O56)))</formula>
    </cfRule>
    <cfRule type="cellIs" dxfId="13447" priority="1527" operator="equal">
      <formula>0</formula>
    </cfRule>
    <cfRule type="cellIs" dxfId="13446" priority="1528" operator="greaterThan">
      <formula>0</formula>
    </cfRule>
  </conditionalFormatting>
  <conditionalFormatting sqref="O56">
    <cfRule type="cellIs" dxfId="13445" priority="1521" operator="equal">
      <formula>"PMS"</formula>
    </cfRule>
    <cfRule type="containsText" dxfId="13444" priority="1522" operator="containsText" text="CMS">
      <formula>NOT(ISERROR(SEARCH("CMS",O56)))</formula>
    </cfRule>
    <cfRule type="cellIs" dxfId="13443" priority="1523" operator="equal">
      <formula>0</formula>
    </cfRule>
    <cfRule type="cellIs" dxfId="13442" priority="1524" operator="greaterThan">
      <formula>0</formula>
    </cfRule>
  </conditionalFormatting>
  <conditionalFormatting sqref="O56">
    <cfRule type="cellIs" dxfId="13441" priority="1517" operator="equal">
      <formula>"PMS"</formula>
    </cfRule>
    <cfRule type="containsText" dxfId="13440" priority="1518" operator="containsText" text="CMS">
      <formula>NOT(ISERROR(SEARCH("CMS",O56)))</formula>
    </cfRule>
    <cfRule type="cellIs" dxfId="13439" priority="1519" operator="equal">
      <formula>0</formula>
    </cfRule>
    <cfRule type="cellIs" dxfId="13438" priority="1520" operator="greaterThan">
      <formula>0</formula>
    </cfRule>
  </conditionalFormatting>
  <conditionalFormatting sqref="O56">
    <cfRule type="cellIs" dxfId="13437" priority="1513" operator="equal">
      <formula>"PMS"</formula>
    </cfRule>
    <cfRule type="containsText" dxfId="13436" priority="1514" operator="containsText" text="CMS">
      <formula>NOT(ISERROR(SEARCH("CMS",O56)))</formula>
    </cfRule>
    <cfRule type="cellIs" dxfId="13435" priority="1515" operator="equal">
      <formula>0</formula>
    </cfRule>
    <cfRule type="cellIs" dxfId="13434" priority="1516" operator="greaterThan">
      <formula>0</formula>
    </cfRule>
  </conditionalFormatting>
  <conditionalFormatting sqref="P57:P58">
    <cfRule type="cellIs" dxfId="13433" priority="1509" operator="equal">
      <formula>"PMS"</formula>
    </cfRule>
    <cfRule type="containsText" dxfId="13432" priority="1510" operator="containsText" text="CMS">
      <formula>NOT(ISERROR(SEARCH("CMS",P57)))</formula>
    </cfRule>
    <cfRule type="cellIs" dxfId="13431" priority="1511" operator="equal">
      <formula>0</formula>
    </cfRule>
    <cfRule type="cellIs" dxfId="13430" priority="1512" operator="greaterThan">
      <formula>0</formula>
    </cfRule>
  </conditionalFormatting>
  <conditionalFormatting sqref="L61:L62">
    <cfRule type="cellIs" dxfId="13429" priority="1501" operator="equal">
      <formula>"PMS"</formula>
    </cfRule>
    <cfRule type="containsText" dxfId="13428" priority="1502" operator="containsText" text="CMS">
      <formula>NOT(ISERROR(SEARCH("CMS",L61)))</formula>
    </cfRule>
    <cfRule type="cellIs" dxfId="13427" priority="1503" operator="equal">
      <formula>0</formula>
    </cfRule>
    <cfRule type="cellIs" dxfId="13426" priority="1504" operator="greaterThan">
      <formula>0</formula>
    </cfRule>
    <cfRule type="cellIs" dxfId="13425" priority="1505" operator="equal">
      <formula>"PMS"</formula>
    </cfRule>
    <cfRule type="containsText" dxfId="13424" priority="1506" operator="containsText" text="CMS">
      <formula>NOT(ISERROR(SEARCH("CMS",L61)))</formula>
    </cfRule>
    <cfRule type="cellIs" dxfId="13423" priority="1507" operator="equal">
      <formula>0</formula>
    </cfRule>
    <cfRule type="cellIs" dxfId="13422" priority="1508" operator="greaterThan">
      <formula>0</formula>
    </cfRule>
  </conditionalFormatting>
  <conditionalFormatting sqref="L61:L62">
    <cfRule type="cellIs" dxfId="13421" priority="1497" operator="equal">
      <formula>"PMS"</formula>
    </cfRule>
    <cfRule type="containsText" dxfId="13420" priority="1498" operator="containsText" text="CMS">
      <formula>NOT(ISERROR(SEARCH("CMS",L61)))</formula>
    </cfRule>
    <cfRule type="cellIs" dxfId="13419" priority="1499" operator="equal">
      <formula>0</formula>
    </cfRule>
    <cfRule type="cellIs" dxfId="13418" priority="1500" operator="greaterThan">
      <formula>0</formula>
    </cfRule>
  </conditionalFormatting>
  <conditionalFormatting sqref="M62">
    <cfRule type="cellIs" dxfId="13417" priority="1489" operator="equal">
      <formula>"PMS"</formula>
    </cfRule>
    <cfRule type="containsText" dxfId="13416" priority="1490" operator="containsText" text="CMS">
      <formula>NOT(ISERROR(SEARCH("CMS",M62)))</formula>
    </cfRule>
    <cfRule type="cellIs" dxfId="13415" priority="1491" operator="equal">
      <formula>0</formula>
    </cfRule>
    <cfRule type="cellIs" dxfId="13414" priority="1492" operator="greaterThan">
      <formula>0</formula>
    </cfRule>
    <cfRule type="cellIs" dxfId="13413" priority="1493" operator="equal">
      <formula>"PMS"</formula>
    </cfRule>
    <cfRule type="containsText" dxfId="13412" priority="1494" operator="containsText" text="CMS">
      <formula>NOT(ISERROR(SEARCH("CMS",M62)))</formula>
    </cfRule>
    <cfRule type="cellIs" dxfId="13411" priority="1495" operator="equal">
      <formula>0</formula>
    </cfRule>
    <cfRule type="cellIs" dxfId="13410" priority="1496" operator="greaterThan">
      <formula>0</formula>
    </cfRule>
  </conditionalFormatting>
  <conditionalFormatting sqref="M62">
    <cfRule type="cellIs" dxfId="13409" priority="1485" operator="equal">
      <formula>"PMS"</formula>
    </cfRule>
    <cfRule type="containsText" dxfId="13408" priority="1486" operator="containsText" text="CMS">
      <formula>NOT(ISERROR(SEARCH("CMS",M62)))</formula>
    </cfRule>
    <cfRule type="cellIs" dxfId="13407" priority="1487" operator="equal">
      <formula>0</formula>
    </cfRule>
    <cfRule type="cellIs" dxfId="13406" priority="1488" operator="greaterThan">
      <formula>0</formula>
    </cfRule>
  </conditionalFormatting>
  <conditionalFormatting sqref="Z13:Z16">
    <cfRule type="cellIs" dxfId="13405" priority="1481" operator="equal">
      <formula>"PMS"</formula>
    </cfRule>
    <cfRule type="containsText" dxfId="13404" priority="1482" operator="containsText" text="CMS">
      <formula>NOT(ISERROR(SEARCH("CMS",Z13)))</formula>
    </cfRule>
    <cfRule type="cellIs" dxfId="13403" priority="1483" operator="equal">
      <formula>0</formula>
    </cfRule>
    <cfRule type="cellIs" dxfId="13402" priority="1484" operator="greaterThan">
      <formula>0</formula>
    </cfRule>
  </conditionalFormatting>
  <conditionalFormatting sqref="Z13:Z16">
    <cfRule type="cellIs" dxfId="13401" priority="1477" operator="equal">
      <formula>"PMS"</formula>
    </cfRule>
    <cfRule type="containsText" dxfId="13400" priority="1478" operator="containsText" text="CMS">
      <formula>NOT(ISERROR(SEARCH("CMS",Z13)))</formula>
    </cfRule>
    <cfRule type="cellIs" dxfId="13399" priority="1479" operator="equal">
      <formula>0</formula>
    </cfRule>
    <cfRule type="cellIs" dxfId="13398" priority="1480" operator="greaterThan">
      <formula>0</formula>
    </cfRule>
  </conditionalFormatting>
  <conditionalFormatting sqref="Z16">
    <cfRule type="cellIs" dxfId="13397" priority="1473" operator="equal">
      <formula>"PMS"</formula>
    </cfRule>
    <cfRule type="containsText" dxfId="13396" priority="1474" operator="containsText" text="CMS">
      <formula>NOT(ISERROR(SEARCH("CMS",Z16)))</formula>
    </cfRule>
    <cfRule type="cellIs" dxfId="13395" priority="1475" operator="equal">
      <formula>0</formula>
    </cfRule>
    <cfRule type="cellIs" dxfId="13394" priority="1476" operator="greaterThan">
      <formula>0</formula>
    </cfRule>
  </conditionalFormatting>
  <conditionalFormatting sqref="Z16">
    <cfRule type="cellIs" dxfId="13393" priority="1469" operator="equal">
      <formula>"PMS"</formula>
    </cfRule>
    <cfRule type="containsText" dxfId="13392" priority="1470" operator="containsText" text="CMS">
      <formula>NOT(ISERROR(SEARCH("CMS",Z16)))</formula>
    </cfRule>
    <cfRule type="cellIs" dxfId="13391" priority="1471" operator="equal">
      <formula>0</formula>
    </cfRule>
    <cfRule type="cellIs" dxfId="13390" priority="1472" operator="greaterThan">
      <formula>0</formula>
    </cfRule>
  </conditionalFormatting>
  <conditionalFormatting sqref="J62:K62">
    <cfRule type="cellIs" dxfId="13389" priority="1461" operator="equal">
      <formula>"PMS"</formula>
    </cfRule>
    <cfRule type="containsText" dxfId="13388" priority="1462" operator="containsText" text="CMS">
      <formula>NOT(ISERROR(SEARCH("CMS",J62)))</formula>
    </cfRule>
    <cfRule type="cellIs" dxfId="13387" priority="1463" operator="equal">
      <formula>0</formula>
    </cfRule>
    <cfRule type="cellIs" dxfId="13386" priority="1464" operator="greaterThan">
      <formula>0</formula>
    </cfRule>
    <cfRule type="cellIs" dxfId="13385" priority="1465" operator="equal">
      <formula>"PMS"</formula>
    </cfRule>
    <cfRule type="containsText" dxfId="13384" priority="1466" operator="containsText" text="CMS">
      <formula>NOT(ISERROR(SEARCH("CMS",J62)))</formula>
    </cfRule>
    <cfRule type="cellIs" dxfId="13383" priority="1467" operator="equal">
      <formula>0</formula>
    </cfRule>
    <cfRule type="cellIs" dxfId="13382" priority="1468" operator="greaterThan">
      <formula>0</formula>
    </cfRule>
  </conditionalFormatting>
  <conditionalFormatting sqref="J62:K62">
    <cfRule type="cellIs" dxfId="13381" priority="1457" operator="equal">
      <formula>"PMS"</formula>
    </cfRule>
    <cfRule type="containsText" dxfId="13380" priority="1458" operator="containsText" text="CMS">
      <formula>NOT(ISERROR(SEARCH("CMS",J62)))</formula>
    </cfRule>
    <cfRule type="cellIs" dxfId="13379" priority="1459" operator="equal">
      <formula>0</formula>
    </cfRule>
    <cfRule type="cellIs" dxfId="13378" priority="1460" operator="greaterThan">
      <formula>0</formula>
    </cfRule>
  </conditionalFormatting>
  <conditionalFormatting sqref="O52:O55">
    <cfRule type="cellIs" dxfId="13377" priority="1453" operator="equal">
      <formula>"PMS"</formula>
    </cfRule>
    <cfRule type="containsText" dxfId="13376" priority="1454" operator="containsText" text="CMS">
      <formula>NOT(ISERROR(SEARCH("CMS",O52)))</formula>
    </cfRule>
    <cfRule type="cellIs" dxfId="13375" priority="1455" operator="equal">
      <formula>0</formula>
    </cfRule>
    <cfRule type="cellIs" dxfId="13374" priority="1456" operator="greaterThan">
      <formula>0</formula>
    </cfRule>
  </conditionalFormatting>
  <conditionalFormatting sqref="O52:O55">
    <cfRule type="cellIs" dxfId="13373" priority="1449" operator="equal">
      <formula>"PMS"</formula>
    </cfRule>
    <cfRule type="containsText" dxfId="13372" priority="1450" operator="containsText" text="CMS">
      <formula>NOT(ISERROR(SEARCH("CMS",O52)))</formula>
    </cfRule>
    <cfRule type="cellIs" dxfId="13371" priority="1451" operator="equal">
      <formula>0</formula>
    </cfRule>
    <cfRule type="cellIs" dxfId="13370" priority="1452" operator="greaterThan">
      <formula>0</formula>
    </cfRule>
  </conditionalFormatting>
  <conditionalFormatting sqref="O52:O55">
    <cfRule type="cellIs" dxfId="13369" priority="1445" operator="equal">
      <formula>"PMS"</formula>
    </cfRule>
    <cfRule type="containsText" dxfId="13368" priority="1446" operator="containsText" text="CMS">
      <formula>NOT(ISERROR(SEARCH("CMS",O52)))</formula>
    </cfRule>
    <cfRule type="cellIs" dxfId="13367" priority="1447" operator="equal">
      <formula>0</formula>
    </cfRule>
    <cfRule type="cellIs" dxfId="13366" priority="1448" operator="greaterThan">
      <formula>0</formula>
    </cfRule>
  </conditionalFormatting>
  <conditionalFormatting sqref="O52:O55">
    <cfRule type="cellIs" dxfId="13365" priority="1441" operator="equal">
      <formula>"PMS"</formula>
    </cfRule>
    <cfRule type="containsText" dxfId="13364" priority="1442" operator="containsText" text="CMS">
      <formula>NOT(ISERROR(SEARCH("CMS",O52)))</formula>
    </cfRule>
    <cfRule type="cellIs" dxfId="13363" priority="1443" operator="equal">
      <formula>0</formula>
    </cfRule>
    <cfRule type="cellIs" dxfId="13362" priority="1444" operator="greaterThan">
      <formula>0</formula>
    </cfRule>
  </conditionalFormatting>
  <conditionalFormatting sqref="O52:O55">
    <cfRule type="cellIs" dxfId="13361" priority="1437" operator="equal">
      <formula>"PMS"</formula>
    </cfRule>
    <cfRule type="containsText" dxfId="13360" priority="1438" operator="containsText" text="CMS">
      <formula>NOT(ISERROR(SEARCH("CMS",O52)))</formula>
    </cfRule>
    <cfRule type="cellIs" dxfId="13359" priority="1439" operator="equal">
      <formula>0</formula>
    </cfRule>
    <cfRule type="cellIs" dxfId="13358" priority="1440" operator="greaterThan">
      <formula>0</formula>
    </cfRule>
  </conditionalFormatting>
  <conditionalFormatting sqref="O52:O55">
    <cfRule type="cellIs" dxfId="13357" priority="1433" operator="equal">
      <formula>"PMS"</formula>
    </cfRule>
    <cfRule type="containsText" dxfId="13356" priority="1434" operator="containsText" text="CMS">
      <formula>NOT(ISERROR(SEARCH("CMS",O52)))</formula>
    </cfRule>
    <cfRule type="cellIs" dxfId="13355" priority="1435" operator="equal">
      <formula>0</formula>
    </cfRule>
    <cfRule type="cellIs" dxfId="13354" priority="1436" operator="greaterThan">
      <formula>0</formula>
    </cfRule>
  </conditionalFormatting>
  <conditionalFormatting sqref="O52:O54">
    <cfRule type="cellIs" dxfId="13353" priority="1429" operator="equal">
      <formula>"PMS"</formula>
    </cfRule>
    <cfRule type="containsText" dxfId="13352" priority="1430" operator="containsText" text="CMS">
      <formula>NOT(ISERROR(SEARCH("CMS",O52)))</formula>
    </cfRule>
    <cfRule type="cellIs" dxfId="13351" priority="1431" operator="equal">
      <formula>0</formula>
    </cfRule>
    <cfRule type="cellIs" dxfId="13350" priority="1432" operator="greaterThan">
      <formula>0</formula>
    </cfRule>
  </conditionalFormatting>
  <conditionalFormatting sqref="O52:O54">
    <cfRule type="cellIs" dxfId="13349" priority="1425" operator="equal">
      <formula>"PMS"</formula>
    </cfRule>
    <cfRule type="containsText" dxfId="13348" priority="1426" operator="containsText" text="CMS">
      <formula>NOT(ISERROR(SEARCH("CMS",O52)))</formula>
    </cfRule>
    <cfRule type="cellIs" dxfId="13347" priority="1427" operator="equal">
      <formula>0</formula>
    </cfRule>
    <cfRule type="cellIs" dxfId="13346" priority="1428" operator="greaterThan">
      <formula>0</formula>
    </cfRule>
  </conditionalFormatting>
  <conditionalFormatting sqref="O52:O54">
    <cfRule type="cellIs" dxfId="13345" priority="1421" operator="equal">
      <formula>"PMS"</formula>
    </cfRule>
    <cfRule type="containsText" dxfId="13344" priority="1422" operator="containsText" text="CMS">
      <formula>NOT(ISERROR(SEARCH("CMS",O52)))</formula>
    </cfRule>
    <cfRule type="cellIs" dxfId="13343" priority="1423" operator="equal">
      <formula>0</formula>
    </cfRule>
    <cfRule type="cellIs" dxfId="13342" priority="1424" operator="greaterThan">
      <formula>0</formula>
    </cfRule>
  </conditionalFormatting>
  <conditionalFormatting sqref="O52:O54">
    <cfRule type="cellIs" dxfId="13341" priority="1417" operator="equal">
      <formula>"PMS"</formula>
    </cfRule>
    <cfRule type="containsText" dxfId="13340" priority="1418" operator="containsText" text="CMS">
      <formula>NOT(ISERROR(SEARCH("CMS",O52)))</formula>
    </cfRule>
    <cfRule type="cellIs" dxfId="13339" priority="1419" operator="equal">
      <formula>0</formula>
    </cfRule>
    <cfRule type="cellIs" dxfId="13338" priority="1420" operator="greaterThan">
      <formula>0</formula>
    </cfRule>
  </conditionalFormatting>
  <conditionalFormatting sqref="O52:O54">
    <cfRule type="cellIs" dxfId="13337" priority="1413" operator="equal">
      <formula>"PMS"</formula>
    </cfRule>
    <cfRule type="containsText" dxfId="13336" priority="1414" operator="containsText" text="CMS">
      <formula>NOT(ISERROR(SEARCH("CMS",O52)))</formula>
    </cfRule>
    <cfRule type="cellIs" dxfId="13335" priority="1415" operator="equal">
      <formula>0</formula>
    </cfRule>
    <cfRule type="cellIs" dxfId="13334" priority="1416" operator="greaterThan">
      <formula>0</formula>
    </cfRule>
  </conditionalFormatting>
  <conditionalFormatting sqref="O52:O54">
    <cfRule type="cellIs" dxfId="13333" priority="1409" operator="equal">
      <formula>"PMS"</formula>
    </cfRule>
    <cfRule type="containsText" dxfId="13332" priority="1410" operator="containsText" text="CMS">
      <formula>NOT(ISERROR(SEARCH("CMS",O52)))</formula>
    </cfRule>
    <cfRule type="cellIs" dxfId="13331" priority="1411" operator="equal">
      <formula>0</formula>
    </cfRule>
    <cfRule type="cellIs" dxfId="13330" priority="1412" operator="greaterThan">
      <formula>0</formula>
    </cfRule>
  </conditionalFormatting>
  <conditionalFormatting sqref="O52:O54">
    <cfRule type="cellIs" dxfId="13329" priority="1405" operator="equal">
      <formula>"PMS"</formula>
    </cfRule>
    <cfRule type="containsText" dxfId="13328" priority="1406" operator="containsText" text="CMS">
      <formula>NOT(ISERROR(SEARCH("CMS",O52)))</formula>
    </cfRule>
    <cfRule type="cellIs" dxfId="13327" priority="1407" operator="equal">
      <formula>0</formula>
    </cfRule>
    <cfRule type="cellIs" dxfId="13326" priority="1408" operator="greaterThan">
      <formula>0</formula>
    </cfRule>
  </conditionalFormatting>
  <conditionalFormatting sqref="O52:O54">
    <cfRule type="cellIs" dxfId="13325" priority="1401" operator="equal">
      <formula>"PMS"</formula>
    </cfRule>
    <cfRule type="containsText" dxfId="13324" priority="1402" operator="containsText" text="CMS">
      <formula>NOT(ISERROR(SEARCH("CMS",O52)))</formula>
    </cfRule>
    <cfRule type="cellIs" dxfId="13323" priority="1403" operator="equal">
      <formula>0</formula>
    </cfRule>
    <cfRule type="cellIs" dxfId="13322" priority="1404" operator="greaterThan">
      <formula>0</formula>
    </cfRule>
  </conditionalFormatting>
  <conditionalFormatting sqref="O52:O54">
    <cfRule type="cellIs" dxfId="13321" priority="1397" operator="equal">
      <formula>"PMS"</formula>
    </cfRule>
    <cfRule type="containsText" dxfId="13320" priority="1398" operator="containsText" text="CMS">
      <formula>NOT(ISERROR(SEARCH("CMS",O52)))</formula>
    </cfRule>
    <cfRule type="cellIs" dxfId="13319" priority="1399" operator="equal">
      <formula>0</formula>
    </cfRule>
    <cfRule type="cellIs" dxfId="13318" priority="1400" operator="greaterThan">
      <formula>0</formula>
    </cfRule>
  </conditionalFormatting>
  <conditionalFormatting sqref="O52:O54">
    <cfRule type="cellIs" dxfId="13317" priority="1393" operator="equal">
      <formula>"PMS"</formula>
    </cfRule>
    <cfRule type="containsText" dxfId="13316" priority="1394" operator="containsText" text="CMS">
      <formula>NOT(ISERROR(SEARCH("CMS",O52)))</formula>
    </cfRule>
    <cfRule type="cellIs" dxfId="13315" priority="1395" operator="equal">
      <formula>0</formula>
    </cfRule>
    <cfRule type="cellIs" dxfId="13314" priority="1396" operator="greaterThan">
      <formula>0</formula>
    </cfRule>
  </conditionalFormatting>
  <conditionalFormatting sqref="O52:O54">
    <cfRule type="cellIs" dxfId="13313" priority="1389" operator="equal">
      <formula>"PMS"</formula>
    </cfRule>
    <cfRule type="containsText" dxfId="13312" priority="1390" operator="containsText" text="CMS">
      <formula>NOT(ISERROR(SEARCH("CMS",O52)))</formula>
    </cfRule>
    <cfRule type="cellIs" dxfId="13311" priority="1391" operator="equal">
      <formula>0</formula>
    </cfRule>
    <cfRule type="cellIs" dxfId="13310" priority="1392" operator="greaterThan">
      <formula>0</formula>
    </cfRule>
  </conditionalFormatting>
  <conditionalFormatting sqref="O52:O54">
    <cfRule type="cellIs" dxfId="13309" priority="1385" operator="equal">
      <formula>"PMS"</formula>
    </cfRule>
    <cfRule type="containsText" dxfId="13308" priority="1386" operator="containsText" text="CMS">
      <formula>NOT(ISERROR(SEARCH("CMS",O52)))</formula>
    </cfRule>
    <cfRule type="cellIs" dxfId="13307" priority="1387" operator="equal">
      <formula>0</formula>
    </cfRule>
    <cfRule type="cellIs" dxfId="13306" priority="1388" operator="greaterThan">
      <formula>0</formula>
    </cfRule>
  </conditionalFormatting>
  <conditionalFormatting sqref="O52:O54">
    <cfRule type="cellIs" dxfId="13305" priority="1381" operator="equal">
      <formula>"PMS"</formula>
    </cfRule>
    <cfRule type="containsText" dxfId="13304" priority="1382" operator="containsText" text="CMS">
      <formula>NOT(ISERROR(SEARCH("CMS",O52)))</formula>
    </cfRule>
    <cfRule type="cellIs" dxfId="13303" priority="1383" operator="equal">
      <formula>0</formula>
    </cfRule>
    <cfRule type="cellIs" dxfId="13302" priority="1384" operator="greaterThan">
      <formula>0</formula>
    </cfRule>
  </conditionalFormatting>
  <conditionalFormatting sqref="P52:P54">
    <cfRule type="cellIs" dxfId="13301" priority="1377" operator="equal">
      <formula>"PMS"</formula>
    </cfRule>
    <cfRule type="containsText" dxfId="13300" priority="1378" operator="containsText" text="CMS">
      <formula>NOT(ISERROR(SEARCH("CMS",P52)))</formula>
    </cfRule>
    <cfRule type="cellIs" dxfId="13299" priority="1379" operator="equal">
      <formula>0</formula>
    </cfRule>
    <cfRule type="cellIs" dxfId="13298" priority="1380" operator="greaterThan">
      <formula>0</formula>
    </cfRule>
  </conditionalFormatting>
  <conditionalFormatting sqref="P52:P54">
    <cfRule type="cellIs" dxfId="13297" priority="1373" operator="equal">
      <formula>"PMS"</formula>
    </cfRule>
    <cfRule type="containsText" dxfId="13296" priority="1374" operator="containsText" text="CMS">
      <formula>NOT(ISERROR(SEARCH("CMS",P52)))</formula>
    </cfRule>
    <cfRule type="cellIs" dxfId="13295" priority="1375" operator="equal">
      <formula>0</formula>
    </cfRule>
    <cfRule type="cellIs" dxfId="13294" priority="1376" operator="greaterThan">
      <formula>0</formula>
    </cfRule>
  </conditionalFormatting>
  <conditionalFormatting sqref="P52:P54">
    <cfRule type="cellIs" dxfId="13293" priority="1369" operator="equal">
      <formula>"PMS"</formula>
    </cfRule>
    <cfRule type="containsText" dxfId="13292" priority="1370" operator="containsText" text="CMS">
      <formula>NOT(ISERROR(SEARCH("CMS",P52)))</formula>
    </cfRule>
    <cfRule type="cellIs" dxfId="13291" priority="1371" operator="equal">
      <formula>0</formula>
    </cfRule>
    <cfRule type="cellIs" dxfId="13290" priority="1372" operator="greaterThan">
      <formula>0</formula>
    </cfRule>
  </conditionalFormatting>
  <conditionalFormatting sqref="P52:P54">
    <cfRule type="cellIs" dxfId="13289" priority="1365" operator="equal">
      <formula>"PMS"</formula>
    </cfRule>
    <cfRule type="containsText" dxfId="13288" priority="1366" operator="containsText" text="CMS">
      <formula>NOT(ISERROR(SEARCH("CMS",P52)))</formula>
    </cfRule>
    <cfRule type="cellIs" dxfId="13287" priority="1367" operator="equal">
      <formula>0</formula>
    </cfRule>
    <cfRule type="cellIs" dxfId="13286" priority="1368" operator="greaterThan">
      <formula>0</formula>
    </cfRule>
  </conditionalFormatting>
  <conditionalFormatting sqref="P57:P58">
    <cfRule type="cellIs" dxfId="13285" priority="1361" operator="equal">
      <formula>"PMS"</formula>
    </cfRule>
    <cfRule type="containsText" dxfId="13284" priority="1362" operator="containsText" text="CMS">
      <formula>NOT(ISERROR(SEARCH("CMS",P57)))</formula>
    </cfRule>
    <cfRule type="cellIs" dxfId="13283" priority="1363" operator="equal">
      <formula>0</formula>
    </cfRule>
    <cfRule type="cellIs" dxfId="13282" priority="1364" operator="greaterThan">
      <formula>0</formula>
    </cfRule>
  </conditionalFormatting>
  <conditionalFormatting sqref="P57:P58">
    <cfRule type="cellIs" dxfId="13281" priority="1357" operator="equal">
      <formula>"PMS"</formula>
    </cfRule>
    <cfRule type="containsText" dxfId="13280" priority="1358" operator="containsText" text="CMS">
      <formula>NOT(ISERROR(SEARCH("CMS",P57)))</formula>
    </cfRule>
    <cfRule type="cellIs" dxfId="13279" priority="1359" operator="equal">
      <formula>0</formula>
    </cfRule>
    <cfRule type="cellIs" dxfId="13278" priority="1360" operator="greaterThan">
      <formula>0</formula>
    </cfRule>
  </conditionalFormatting>
  <conditionalFormatting sqref="P57:P58">
    <cfRule type="cellIs" dxfId="13277" priority="1353" operator="equal">
      <formula>"PMS"</formula>
    </cfRule>
    <cfRule type="containsText" dxfId="13276" priority="1354" operator="containsText" text="CMS">
      <formula>NOT(ISERROR(SEARCH("CMS",P57)))</formula>
    </cfRule>
    <cfRule type="cellIs" dxfId="13275" priority="1355" operator="equal">
      <formula>0</formula>
    </cfRule>
    <cfRule type="cellIs" dxfId="13274" priority="1356" operator="greaterThan">
      <formula>0</formula>
    </cfRule>
  </conditionalFormatting>
  <conditionalFormatting sqref="P57:P58">
    <cfRule type="cellIs" dxfId="13273" priority="1349" operator="equal">
      <formula>"PMS"</formula>
    </cfRule>
    <cfRule type="containsText" dxfId="13272" priority="1350" operator="containsText" text="CMS">
      <formula>NOT(ISERROR(SEARCH("CMS",P57)))</formula>
    </cfRule>
    <cfRule type="cellIs" dxfId="13271" priority="1351" operator="equal">
      <formula>0</formula>
    </cfRule>
    <cfRule type="cellIs" dxfId="13270" priority="1352" operator="greaterThan">
      <formula>0</formula>
    </cfRule>
  </conditionalFormatting>
  <conditionalFormatting sqref="O47">
    <cfRule type="cellIs" dxfId="13269" priority="1345" operator="equal">
      <formula>"PMS"</formula>
    </cfRule>
    <cfRule type="containsText" dxfId="13268" priority="1346" operator="containsText" text="CMS">
      <formula>NOT(ISERROR(SEARCH("CMS",O47)))</formula>
    </cfRule>
    <cfRule type="cellIs" dxfId="13267" priority="1347" operator="equal">
      <formula>0</formula>
    </cfRule>
    <cfRule type="cellIs" dxfId="13266" priority="1348" operator="greaterThan">
      <formula>0</formula>
    </cfRule>
  </conditionalFormatting>
  <conditionalFormatting sqref="O47">
    <cfRule type="cellIs" dxfId="13265" priority="1341" operator="equal">
      <formula>"PMS"</formula>
    </cfRule>
    <cfRule type="containsText" dxfId="13264" priority="1342" operator="containsText" text="CMS">
      <formula>NOT(ISERROR(SEARCH("CMS",O47)))</formula>
    </cfRule>
    <cfRule type="cellIs" dxfId="13263" priority="1343" operator="equal">
      <formula>0</formula>
    </cfRule>
    <cfRule type="cellIs" dxfId="13262" priority="1344" operator="greaterThan">
      <formula>0</formula>
    </cfRule>
  </conditionalFormatting>
  <conditionalFormatting sqref="O47">
    <cfRule type="cellIs" dxfId="13261" priority="1337" operator="equal">
      <formula>"PMS"</formula>
    </cfRule>
    <cfRule type="containsText" dxfId="13260" priority="1338" operator="containsText" text="CMS">
      <formula>NOT(ISERROR(SEARCH("CMS",O47)))</formula>
    </cfRule>
    <cfRule type="cellIs" dxfId="13259" priority="1339" operator="equal">
      <formula>0</formula>
    </cfRule>
    <cfRule type="cellIs" dxfId="13258" priority="1340" operator="greaterThan">
      <formula>0</formula>
    </cfRule>
  </conditionalFormatting>
  <conditionalFormatting sqref="P57:P58">
    <cfRule type="cellIs" dxfId="13257" priority="1333" operator="equal">
      <formula>"PMS"</formula>
    </cfRule>
    <cfRule type="containsText" dxfId="13256" priority="1334" operator="containsText" text="CMS">
      <formula>NOT(ISERROR(SEARCH("CMS",P57)))</formula>
    </cfRule>
    <cfRule type="cellIs" dxfId="13255" priority="1335" operator="equal">
      <formula>0</formula>
    </cfRule>
    <cfRule type="cellIs" dxfId="13254" priority="1336" operator="greaterThan">
      <formula>0</formula>
    </cfRule>
  </conditionalFormatting>
  <conditionalFormatting sqref="P57:P58">
    <cfRule type="cellIs" dxfId="13253" priority="1329" operator="equal">
      <formula>"PMS"</formula>
    </cfRule>
    <cfRule type="containsText" dxfId="13252" priority="1330" operator="containsText" text="CMS">
      <formula>NOT(ISERROR(SEARCH("CMS",P57)))</formula>
    </cfRule>
    <cfRule type="cellIs" dxfId="13251" priority="1331" operator="equal">
      <formula>0</formula>
    </cfRule>
    <cfRule type="cellIs" dxfId="13250" priority="1332" operator="greaterThan">
      <formula>0</formula>
    </cfRule>
  </conditionalFormatting>
  <conditionalFormatting sqref="P57:P58">
    <cfRule type="cellIs" dxfId="13249" priority="1325" operator="equal">
      <formula>"PMS"</formula>
    </cfRule>
    <cfRule type="containsText" dxfId="13248" priority="1326" operator="containsText" text="CMS">
      <formula>NOT(ISERROR(SEARCH("CMS",P57)))</formula>
    </cfRule>
    <cfRule type="cellIs" dxfId="13247" priority="1327" operator="equal">
      <formula>0</formula>
    </cfRule>
    <cfRule type="cellIs" dxfId="13246" priority="1328" operator="greaterThan">
      <formula>0</formula>
    </cfRule>
  </conditionalFormatting>
  <conditionalFormatting sqref="P57:P58">
    <cfRule type="cellIs" dxfId="13245" priority="1321" operator="equal">
      <formula>"PMS"</formula>
    </cfRule>
    <cfRule type="containsText" dxfId="13244" priority="1322" operator="containsText" text="CMS">
      <formula>NOT(ISERROR(SEARCH("CMS",P57)))</formula>
    </cfRule>
    <cfRule type="cellIs" dxfId="13243" priority="1323" operator="equal">
      <formula>0</formula>
    </cfRule>
    <cfRule type="cellIs" dxfId="13242" priority="1324" operator="greaterThan">
      <formula>0</formula>
    </cfRule>
  </conditionalFormatting>
  <conditionalFormatting sqref="F20:F21 F77:F78 F35:F58">
    <cfRule type="cellIs" dxfId="13241" priority="1313" operator="equal">
      <formula>"PMS"</formula>
    </cfRule>
    <cfRule type="containsText" dxfId="13240" priority="1314" operator="containsText" text="CMS">
      <formula>NOT(ISERROR(SEARCH("CMS",F20)))</formula>
    </cfRule>
    <cfRule type="cellIs" dxfId="13239" priority="1315" operator="equal">
      <formula>0</formula>
    </cfRule>
    <cfRule type="cellIs" dxfId="13238" priority="1316" operator="greaterThan">
      <formula>0</formula>
    </cfRule>
    <cfRule type="cellIs" dxfId="13237" priority="1317" operator="equal">
      <formula>"PMS"</formula>
    </cfRule>
    <cfRule type="containsText" dxfId="13236" priority="1318" operator="containsText" text="CMS">
      <formula>NOT(ISERROR(SEARCH("CMS",F20)))</formula>
    </cfRule>
    <cfRule type="cellIs" dxfId="13235" priority="1319" operator="equal">
      <formula>0</formula>
    </cfRule>
    <cfRule type="cellIs" dxfId="13234" priority="1320" operator="greaterThan">
      <formula>0</formula>
    </cfRule>
  </conditionalFormatting>
  <conditionalFormatting sqref="F77:F78">
    <cfRule type="cellIs" dxfId="13233" priority="1309" operator="equal">
      <formula>"PMS"</formula>
    </cfRule>
    <cfRule type="containsText" dxfId="13232" priority="1310" operator="containsText" text="CMS">
      <formula>NOT(ISERROR(SEARCH("CMS",F77)))</formula>
    </cfRule>
    <cfRule type="cellIs" dxfId="13231" priority="1311" operator="equal">
      <formula>0</formula>
    </cfRule>
    <cfRule type="cellIs" dxfId="13230" priority="1312" operator="greaterThan">
      <formula>0</formula>
    </cfRule>
  </conditionalFormatting>
  <conditionalFormatting sqref="F20:F21">
    <cfRule type="cellIs" dxfId="13229" priority="1305" operator="equal">
      <formula>"PMS"</formula>
    </cfRule>
    <cfRule type="containsText" dxfId="13228" priority="1306" operator="containsText" text="CMS">
      <formula>NOT(ISERROR(SEARCH("CMS",F20)))</formula>
    </cfRule>
    <cfRule type="cellIs" dxfId="13227" priority="1307" operator="equal">
      <formula>0</formula>
    </cfRule>
    <cfRule type="cellIs" dxfId="13226" priority="1308" operator="greaterThan">
      <formula>0</formula>
    </cfRule>
  </conditionalFormatting>
  <conditionalFormatting sqref="F20:F21">
    <cfRule type="cellIs" dxfId="13225" priority="1301" operator="equal">
      <formula>"PMS"</formula>
    </cfRule>
    <cfRule type="containsText" dxfId="13224" priority="1302" operator="containsText" text="CMS">
      <formula>NOT(ISERROR(SEARCH("CMS",F20)))</formula>
    </cfRule>
    <cfRule type="cellIs" dxfId="13223" priority="1303" operator="equal">
      <formula>0</formula>
    </cfRule>
    <cfRule type="cellIs" dxfId="13222" priority="1304" operator="greaterThan">
      <formula>0</formula>
    </cfRule>
  </conditionalFormatting>
  <conditionalFormatting sqref="F35:F58">
    <cfRule type="cellIs" dxfId="13221" priority="1289" operator="equal">
      <formula>"PMS"</formula>
    </cfRule>
    <cfRule type="containsText" dxfId="13220" priority="1290" operator="containsText" text="CMS">
      <formula>NOT(ISERROR(SEARCH("CMS",F35)))</formula>
    </cfRule>
    <cfRule type="cellIs" dxfId="13219" priority="1291" operator="equal">
      <formula>0</formula>
    </cfRule>
    <cfRule type="cellIs" dxfId="13218" priority="1292" operator="greaterThan">
      <formula>0</formula>
    </cfRule>
  </conditionalFormatting>
  <conditionalFormatting sqref="F35:F58">
    <cfRule type="cellIs" dxfId="13217" priority="1285" operator="equal">
      <formula>"PMS"</formula>
    </cfRule>
    <cfRule type="containsText" dxfId="13216" priority="1286" operator="containsText" text="CMS">
      <formula>NOT(ISERROR(SEARCH("CMS",F35)))</formula>
    </cfRule>
    <cfRule type="cellIs" dxfId="13215" priority="1287" operator="equal">
      <formula>0</formula>
    </cfRule>
    <cfRule type="cellIs" dxfId="13214" priority="1288" operator="greaterThan">
      <formula>0</formula>
    </cfRule>
  </conditionalFormatting>
  <conditionalFormatting sqref="F57">
    <cfRule type="cellIs" dxfId="13213" priority="1281" operator="equal">
      <formula>"PMS"</formula>
    </cfRule>
    <cfRule type="containsText" dxfId="13212" priority="1282" operator="containsText" text="CMS">
      <formula>NOT(ISERROR(SEARCH("CMS",F57)))</formula>
    </cfRule>
    <cfRule type="cellIs" dxfId="13211" priority="1283" operator="equal">
      <formula>0</formula>
    </cfRule>
    <cfRule type="cellIs" dxfId="13210" priority="1284" operator="greaterThan">
      <formula>0</formula>
    </cfRule>
  </conditionalFormatting>
  <conditionalFormatting sqref="F57">
    <cfRule type="cellIs" dxfId="13209" priority="1277" operator="equal">
      <formula>"PMS"</formula>
    </cfRule>
    <cfRule type="containsText" dxfId="13208" priority="1278" operator="containsText" text="CMS">
      <formula>NOT(ISERROR(SEARCH("CMS",F57)))</formula>
    </cfRule>
    <cfRule type="cellIs" dxfId="13207" priority="1279" operator="equal">
      <formula>0</formula>
    </cfRule>
    <cfRule type="cellIs" dxfId="13206" priority="1280" operator="greaterThan">
      <formula>0</formula>
    </cfRule>
  </conditionalFormatting>
  <conditionalFormatting sqref="F57">
    <cfRule type="cellIs" dxfId="13205" priority="1273" operator="equal">
      <formula>"PMS"</formula>
    </cfRule>
    <cfRule type="containsText" dxfId="13204" priority="1274" operator="containsText" text="CMS">
      <formula>NOT(ISERROR(SEARCH("CMS",F57)))</formula>
    </cfRule>
    <cfRule type="cellIs" dxfId="13203" priority="1275" operator="equal">
      <formula>0</formula>
    </cfRule>
    <cfRule type="cellIs" dxfId="13202" priority="1276" operator="greaterThan">
      <formula>0</formula>
    </cfRule>
  </conditionalFormatting>
  <conditionalFormatting sqref="F57">
    <cfRule type="cellIs" dxfId="13201" priority="1269" operator="equal">
      <formula>"PMS"</formula>
    </cfRule>
    <cfRule type="containsText" dxfId="13200" priority="1270" operator="containsText" text="CMS">
      <formula>NOT(ISERROR(SEARCH("CMS",F57)))</formula>
    </cfRule>
    <cfRule type="cellIs" dxfId="13199" priority="1271" operator="equal">
      <formula>0</formula>
    </cfRule>
    <cfRule type="cellIs" dxfId="13198" priority="1272" operator="greaterThan">
      <formula>0</formula>
    </cfRule>
  </conditionalFormatting>
  <conditionalFormatting sqref="F58">
    <cfRule type="cellIs" dxfId="13197" priority="1265" operator="equal">
      <formula>"PMS"</formula>
    </cfRule>
    <cfRule type="containsText" dxfId="13196" priority="1266" operator="containsText" text="CMS">
      <formula>NOT(ISERROR(SEARCH("CMS",F58)))</formula>
    </cfRule>
    <cfRule type="cellIs" dxfId="13195" priority="1267" operator="equal">
      <formula>0</formula>
    </cfRule>
    <cfRule type="cellIs" dxfId="13194" priority="1268" operator="greaterThan">
      <formula>0</formula>
    </cfRule>
  </conditionalFormatting>
  <conditionalFormatting sqref="F58">
    <cfRule type="cellIs" dxfId="13193" priority="1261" operator="equal">
      <formula>"PMS"</formula>
    </cfRule>
    <cfRule type="containsText" dxfId="13192" priority="1262" operator="containsText" text="CMS">
      <formula>NOT(ISERROR(SEARCH("CMS",F58)))</formula>
    </cfRule>
    <cfRule type="cellIs" dxfId="13191" priority="1263" operator="equal">
      <formula>0</formula>
    </cfRule>
    <cfRule type="cellIs" dxfId="13190" priority="1264" operator="greaterThan">
      <formula>0</formula>
    </cfRule>
  </conditionalFormatting>
  <conditionalFormatting sqref="F58">
    <cfRule type="cellIs" dxfId="13189" priority="1257" operator="equal">
      <formula>"PMS"</formula>
    </cfRule>
    <cfRule type="containsText" dxfId="13188" priority="1258" operator="containsText" text="CMS">
      <formula>NOT(ISERROR(SEARCH("CMS",F58)))</formula>
    </cfRule>
    <cfRule type="cellIs" dxfId="13187" priority="1259" operator="equal">
      <formula>0</formula>
    </cfRule>
    <cfRule type="cellIs" dxfId="13186" priority="1260" operator="greaterThan">
      <formula>0</formula>
    </cfRule>
  </conditionalFormatting>
  <conditionalFormatting sqref="F58">
    <cfRule type="cellIs" dxfId="13185" priority="1253" operator="equal">
      <formula>"PMS"</formula>
    </cfRule>
    <cfRule type="containsText" dxfId="13184" priority="1254" operator="containsText" text="CMS">
      <formula>NOT(ISERROR(SEARCH("CMS",F58)))</formula>
    </cfRule>
    <cfRule type="cellIs" dxfId="13183" priority="1255" operator="equal">
      <formula>0</formula>
    </cfRule>
    <cfRule type="cellIs" dxfId="13182" priority="1256" operator="greaterThan">
      <formula>0</formula>
    </cfRule>
  </conditionalFormatting>
  <conditionalFormatting sqref="F19">
    <cfRule type="cellIs" dxfId="13181" priority="1249" operator="equal">
      <formula>"CMS"</formula>
    </cfRule>
    <cfRule type="cellIs" dxfId="13180" priority="1250" operator="equal">
      <formula>"PMS"</formula>
    </cfRule>
    <cfRule type="cellIs" dxfId="13179" priority="1251" operator="greaterThan">
      <formula>0</formula>
    </cfRule>
    <cfRule type="cellIs" dxfId="13178" priority="1252" operator="equal">
      <formula>0</formula>
    </cfRule>
  </conditionalFormatting>
  <conditionalFormatting sqref="F32">
    <cfRule type="cellIs" dxfId="13177" priority="1241" operator="equal">
      <formula>"PMS"</formula>
    </cfRule>
    <cfRule type="containsText" dxfId="13176" priority="1242" operator="containsText" text="CMS">
      <formula>NOT(ISERROR(SEARCH("CMS",F32)))</formula>
    </cfRule>
    <cfRule type="cellIs" dxfId="13175" priority="1243" operator="equal">
      <formula>0</formula>
    </cfRule>
    <cfRule type="cellIs" dxfId="13174" priority="1244" operator="greaterThan">
      <formula>0</formula>
    </cfRule>
    <cfRule type="cellIs" dxfId="13173" priority="1245" operator="equal">
      <formula>"PMS"</formula>
    </cfRule>
    <cfRule type="containsText" dxfId="13172" priority="1246" operator="containsText" text="CMS">
      <formula>NOT(ISERROR(SEARCH("CMS",F32)))</formula>
    </cfRule>
    <cfRule type="cellIs" dxfId="13171" priority="1247" operator="equal">
      <formula>0</formula>
    </cfRule>
    <cfRule type="cellIs" dxfId="13170" priority="1248" operator="greaterThan">
      <formula>0</formula>
    </cfRule>
  </conditionalFormatting>
  <conditionalFormatting sqref="F32">
    <cfRule type="cellIs" dxfId="13169" priority="1237" operator="equal">
      <formula>"PMS"</formula>
    </cfRule>
    <cfRule type="containsText" dxfId="13168" priority="1238" operator="containsText" text="CMS">
      <formula>NOT(ISERROR(SEARCH("CMS",F32)))</formula>
    </cfRule>
    <cfRule type="cellIs" dxfId="13167" priority="1239" operator="equal">
      <formula>0</formula>
    </cfRule>
    <cfRule type="cellIs" dxfId="13166" priority="1240" operator="greaterThan">
      <formula>0</formula>
    </cfRule>
  </conditionalFormatting>
  <conditionalFormatting sqref="F32">
    <cfRule type="cellIs" dxfId="13165" priority="1233" operator="equal">
      <formula>"PMS"</formula>
    </cfRule>
    <cfRule type="containsText" dxfId="13164" priority="1234" operator="containsText" text="CMS">
      <formula>NOT(ISERROR(SEARCH("CMS",F32)))</formula>
    </cfRule>
    <cfRule type="cellIs" dxfId="13163" priority="1235" operator="equal">
      <formula>0</formula>
    </cfRule>
    <cfRule type="cellIs" dxfId="13162" priority="1236" operator="greaterThan">
      <formula>0</formula>
    </cfRule>
  </conditionalFormatting>
  <conditionalFormatting sqref="P44">
    <cfRule type="cellIs" dxfId="13161" priority="1229" operator="equal">
      <formula>"PMS"</formula>
    </cfRule>
    <cfRule type="containsText" dxfId="13160" priority="1230" operator="containsText" text="CMS">
      <formula>NOT(ISERROR(SEARCH("CMS",P44)))</formula>
    </cfRule>
    <cfRule type="cellIs" dxfId="13159" priority="1231" operator="equal">
      <formula>0</formula>
    </cfRule>
    <cfRule type="cellIs" dxfId="13158" priority="1232" operator="greaterThan">
      <formula>0</formula>
    </cfRule>
  </conditionalFormatting>
  <conditionalFormatting sqref="P44">
    <cfRule type="cellIs" dxfId="13157" priority="1225" operator="equal">
      <formula>"PMS"</formula>
    </cfRule>
    <cfRule type="containsText" dxfId="13156" priority="1226" operator="containsText" text="CMS">
      <formula>NOT(ISERROR(SEARCH("CMS",P44)))</formula>
    </cfRule>
    <cfRule type="cellIs" dxfId="13155" priority="1227" operator="equal">
      <formula>0</formula>
    </cfRule>
    <cfRule type="cellIs" dxfId="13154" priority="1228" operator="greaterThan">
      <formula>0</formula>
    </cfRule>
  </conditionalFormatting>
  <conditionalFormatting sqref="P44">
    <cfRule type="cellIs" dxfId="13153" priority="1221" operator="equal">
      <formula>"PMS"</formula>
    </cfRule>
    <cfRule type="containsText" dxfId="13152" priority="1222" operator="containsText" text="CMS">
      <formula>NOT(ISERROR(SEARCH("CMS",P44)))</formula>
    </cfRule>
    <cfRule type="cellIs" dxfId="13151" priority="1223" operator="equal">
      <formula>0</formula>
    </cfRule>
    <cfRule type="cellIs" dxfId="13150" priority="1224" operator="greaterThan">
      <formula>0</formula>
    </cfRule>
  </conditionalFormatting>
  <conditionalFormatting sqref="P44">
    <cfRule type="cellIs" dxfId="13149" priority="1217" operator="equal">
      <formula>"PMS"</formula>
    </cfRule>
    <cfRule type="containsText" dxfId="13148" priority="1218" operator="containsText" text="CMS">
      <formula>NOT(ISERROR(SEARCH("CMS",P44)))</formula>
    </cfRule>
    <cfRule type="cellIs" dxfId="13147" priority="1219" operator="equal">
      <formula>0</formula>
    </cfRule>
    <cfRule type="cellIs" dxfId="13146" priority="1220" operator="greaterThan">
      <formula>0</formula>
    </cfRule>
  </conditionalFormatting>
  <conditionalFormatting sqref="P52:P54">
    <cfRule type="cellIs" dxfId="13145" priority="1213" operator="equal">
      <formula>"PMS"</formula>
    </cfRule>
    <cfRule type="containsText" dxfId="13144" priority="1214" operator="containsText" text="CMS">
      <formula>NOT(ISERROR(SEARCH("CMS",P52)))</formula>
    </cfRule>
    <cfRule type="cellIs" dxfId="13143" priority="1215" operator="equal">
      <formula>0</formula>
    </cfRule>
    <cfRule type="cellIs" dxfId="13142" priority="1216" operator="greaterThan">
      <formula>0</formula>
    </cfRule>
  </conditionalFormatting>
  <conditionalFormatting sqref="P52:P54">
    <cfRule type="cellIs" dxfId="13141" priority="1209" operator="equal">
      <formula>"PMS"</formula>
    </cfRule>
    <cfRule type="containsText" dxfId="13140" priority="1210" operator="containsText" text="CMS">
      <formula>NOT(ISERROR(SEARCH("CMS",P52)))</formula>
    </cfRule>
    <cfRule type="cellIs" dxfId="13139" priority="1211" operator="equal">
      <formula>0</formula>
    </cfRule>
    <cfRule type="cellIs" dxfId="13138" priority="1212" operator="greaterThan">
      <formula>0</formula>
    </cfRule>
  </conditionalFormatting>
  <conditionalFormatting sqref="P52:P54">
    <cfRule type="cellIs" dxfId="13137" priority="1205" operator="equal">
      <formula>"PMS"</formula>
    </cfRule>
    <cfRule type="containsText" dxfId="13136" priority="1206" operator="containsText" text="CMS">
      <formula>NOT(ISERROR(SEARCH("CMS",P52)))</formula>
    </cfRule>
    <cfRule type="cellIs" dxfId="13135" priority="1207" operator="equal">
      <formula>0</formula>
    </cfRule>
    <cfRule type="cellIs" dxfId="13134" priority="1208" operator="greaterThan">
      <formula>0</formula>
    </cfRule>
  </conditionalFormatting>
  <conditionalFormatting sqref="P52:P54">
    <cfRule type="cellIs" dxfId="13133" priority="1201" operator="equal">
      <formula>"PMS"</formula>
    </cfRule>
    <cfRule type="containsText" dxfId="13132" priority="1202" operator="containsText" text="CMS">
      <formula>NOT(ISERROR(SEARCH("CMS",P52)))</formula>
    </cfRule>
    <cfRule type="cellIs" dxfId="13131" priority="1203" operator="equal">
      <formula>0</formula>
    </cfRule>
    <cfRule type="cellIs" dxfId="13130" priority="1204" operator="greaterThan">
      <formula>0</formula>
    </cfRule>
  </conditionalFormatting>
  <conditionalFormatting sqref="P57:P58">
    <cfRule type="cellIs" dxfId="13129" priority="1197" operator="equal">
      <formula>"PMS"</formula>
    </cfRule>
    <cfRule type="containsText" dxfId="13128" priority="1198" operator="containsText" text="CMS">
      <formula>NOT(ISERROR(SEARCH("CMS",P57)))</formula>
    </cfRule>
    <cfRule type="cellIs" dxfId="13127" priority="1199" operator="equal">
      <formula>0</formula>
    </cfRule>
    <cfRule type="cellIs" dxfId="13126" priority="1200" operator="greaterThan">
      <formula>0</formula>
    </cfRule>
  </conditionalFormatting>
  <conditionalFormatting sqref="P57:P58">
    <cfRule type="cellIs" dxfId="13125" priority="1193" operator="equal">
      <formula>"PMS"</formula>
    </cfRule>
    <cfRule type="containsText" dxfId="13124" priority="1194" operator="containsText" text="CMS">
      <formula>NOT(ISERROR(SEARCH("CMS",P57)))</formula>
    </cfRule>
    <cfRule type="cellIs" dxfId="13123" priority="1195" operator="equal">
      <formula>0</formula>
    </cfRule>
    <cfRule type="cellIs" dxfId="13122" priority="1196" operator="greaterThan">
      <formula>0</formula>
    </cfRule>
  </conditionalFormatting>
  <conditionalFormatting sqref="P57:P58">
    <cfRule type="cellIs" dxfId="13121" priority="1189" operator="equal">
      <formula>"PMS"</formula>
    </cfRule>
    <cfRule type="containsText" dxfId="13120" priority="1190" operator="containsText" text="CMS">
      <formula>NOT(ISERROR(SEARCH("CMS",P57)))</formula>
    </cfRule>
    <cfRule type="cellIs" dxfId="13119" priority="1191" operator="equal">
      <formula>0</formula>
    </cfRule>
    <cfRule type="cellIs" dxfId="13118" priority="1192" operator="greaterThan">
      <formula>0</formula>
    </cfRule>
  </conditionalFormatting>
  <conditionalFormatting sqref="P57:P58">
    <cfRule type="cellIs" dxfId="13117" priority="1185" operator="equal">
      <formula>"PMS"</formula>
    </cfRule>
    <cfRule type="containsText" dxfId="13116" priority="1186" operator="containsText" text="CMS">
      <formula>NOT(ISERROR(SEARCH("CMS",P57)))</formula>
    </cfRule>
    <cfRule type="cellIs" dxfId="13115" priority="1187" operator="equal">
      <formula>0</formula>
    </cfRule>
    <cfRule type="cellIs" dxfId="13114" priority="1188" operator="greaterThan">
      <formula>0</formula>
    </cfRule>
  </conditionalFormatting>
  <conditionalFormatting sqref="I13:I16">
    <cfRule type="cellIs" dxfId="13113" priority="1181" operator="equal">
      <formula>"PMS"</formula>
    </cfRule>
    <cfRule type="containsText" dxfId="13112" priority="1182" operator="containsText" text="CMS">
      <formula>NOT(ISERROR(SEARCH("CMS",I13)))</formula>
    </cfRule>
    <cfRule type="cellIs" dxfId="13111" priority="1183" operator="equal">
      <formula>0</formula>
    </cfRule>
    <cfRule type="cellIs" dxfId="13110" priority="1184" operator="greaterThan">
      <formula>0</formula>
    </cfRule>
  </conditionalFormatting>
  <conditionalFormatting sqref="I13:I16">
    <cfRule type="cellIs" dxfId="13109" priority="1177" operator="equal">
      <formula>"PMS"</formula>
    </cfRule>
    <cfRule type="containsText" dxfId="13108" priority="1178" operator="containsText" text="CMS">
      <formula>NOT(ISERROR(SEARCH("CMS",I13)))</formula>
    </cfRule>
    <cfRule type="cellIs" dxfId="13107" priority="1179" operator="equal">
      <formula>0</formula>
    </cfRule>
    <cfRule type="cellIs" dxfId="13106" priority="1180" operator="greaterThan">
      <formula>0</formula>
    </cfRule>
  </conditionalFormatting>
  <conditionalFormatting sqref="I13:I15">
    <cfRule type="cellIs" dxfId="13105" priority="1173" operator="equal">
      <formula>"PMS"</formula>
    </cfRule>
    <cfRule type="containsText" dxfId="13104" priority="1174" operator="containsText" text="CMS">
      <formula>NOT(ISERROR(SEARCH("CMS",I13)))</formula>
    </cfRule>
    <cfRule type="cellIs" dxfId="13103" priority="1175" operator="equal">
      <formula>0</formula>
    </cfRule>
    <cfRule type="cellIs" dxfId="13102" priority="1176" operator="greaterThan">
      <formula>0</formula>
    </cfRule>
  </conditionalFormatting>
  <conditionalFormatting sqref="I13:I15">
    <cfRule type="cellIs" dxfId="13101" priority="1169" operator="equal">
      <formula>"PMS"</formula>
    </cfRule>
    <cfRule type="containsText" dxfId="13100" priority="1170" operator="containsText" text="CMS">
      <formula>NOT(ISERROR(SEARCH("CMS",I13)))</formula>
    </cfRule>
    <cfRule type="cellIs" dxfId="13099" priority="1171" operator="equal">
      <formula>0</formula>
    </cfRule>
    <cfRule type="cellIs" dxfId="13098" priority="1172" operator="greaterThan">
      <formula>0</formula>
    </cfRule>
  </conditionalFormatting>
  <conditionalFormatting sqref="I20:I21">
    <cfRule type="cellIs" dxfId="13097" priority="1165" operator="equal">
      <formula>"PMS"</formula>
    </cfRule>
    <cfRule type="containsText" dxfId="13096" priority="1166" operator="containsText" text="CMS">
      <formula>NOT(ISERROR(SEARCH("CMS",I20)))</formula>
    </cfRule>
    <cfRule type="cellIs" dxfId="13095" priority="1167" operator="equal">
      <formula>0</formula>
    </cfRule>
    <cfRule type="cellIs" dxfId="13094" priority="1168" operator="greaterThan">
      <formula>0</formula>
    </cfRule>
  </conditionalFormatting>
  <conditionalFormatting sqref="I20:I21">
    <cfRule type="cellIs" dxfId="13093" priority="1161" operator="equal">
      <formula>"PMS"</formula>
    </cfRule>
    <cfRule type="containsText" dxfId="13092" priority="1162" operator="containsText" text="CMS">
      <formula>NOT(ISERROR(SEARCH("CMS",I20)))</formula>
    </cfRule>
    <cfRule type="cellIs" dxfId="13091" priority="1163" operator="equal">
      <formula>0</formula>
    </cfRule>
    <cfRule type="cellIs" dxfId="13090" priority="1164" operator="greaterThan">
      <formula>0</formula>
    </cfRule>
  </conditionalFormatting>
  <conditionalFormatting sqref="I27:I28">
    <cfRule type="cellIs" dxfId="13089" priority="1157" operator="equal">
      <formula>"PMS"</formula>
    </cfRule>
    <cfRule type="containsText" dxfId="13088" priority="1158" operator="containsText" text="CMS">
      <formula>NOT(ISERROR(SEARCH("CMS",I27)))</formula>
    </cfRule>
    <cfRule type="cellIs" dxfId="13087" priority="1159" operator="equal">
      <formula>0</formula>
    </cfRule>
    <cfRule type="cellIs" dxfId="13086" priority="1160" operator="greaterThan">
      <formula>0</formula>
    </cfRule>
  </conditionalFormatting>
  <conditionalFormatting sqref="I27:I28">
    <cfRule type="cellIs" dxfId="13085" priority="1153" operator="equal">
      <formula>"PMS"</formula>
    </cfRule>
    <cfRule type="containsText" dxfId="13084" priority="1154" operator="containsText" text="CMS">
      <formula>NOT(ISERROR(SEARCH("CMS",I27)))</formula>
    </cfRule>
    <cfRule type="cellIs" dxfId="13083" priority="1155" operator="equal">
      <formula>0</formula>
    </cfRule>
    <cfRule type="cellIs" dxfId="13082" priority="1156" operator="greaterThan">
      <formula>0</formula>
    </cfRule>
  </conditionalFormatting>
  <conditionalFormatting sqref="I29">
    <cfRule type="cellIs" dxfId="13081" priority="1145" operator="equal">
      <formula>"PMS"</formula>
    </cfRule>
    <cfRule type="containsText" dxfId="13080" priority="1146" operator="containsText" text="CMS">
      <formula>NOT(ISERROR(SEARCH("CMS",I29)))</formula>
    </cfRule>
    <cfRule type="cellIs" dxfId="13079" priority="1147" operator="equal">
      <formula>0</formula>
    </cfRule>
    <cfRule type="cellIs" dxfId="13078" priority="1148" operator="greaterThan">
      <formula>0</formula>
    </cfRule>
    <cfRule type="cellIs" dxfId="13077" priority="1149" operator="equal">
      <formula>"PMS"</formula>
    </cfRule>
    <cfRule type="containsText" dxfId="13076" priority="1150" operator="containsText" text="CMS">
      <formula>NOT(ISERROR(SEARCH("CMS",I29)))</formula>
    </cfRule>
    <cfRule type="cellIs" dxfId="13075" priority="1151" operator="equal">
      <formula>0</formula>
    </cfRule>
    <cfRule type="cellIs" dxfId="13074" priority="1152" operator="greaterThan">
      <formula>0</formula>
    </cfRule>
  </conditionalFormatting>
  <conditionalFormatting sqref="I61:I63">
    <cfRule type="cellIs" dxfId="13073" priority="1137" operator="equal">
      <formula>"PMS"</formula>
    </cfRule>
    <cfRule type="containsText" dxfId="13072" priority="1138" operator="containsText" text="CMS">
      <formula>NOT(ISERROR(SEARCH("CMS",I61)))</formula>
    </cfRule>
    <cfRule type="cellIs" dxfId="13071" priority="1139" operator="equal">
      <formula>0</formula>
    </cfRule>
    <cfRule type="cellIs" dxfId="13070" priority="1140" operator="greaterThan">
      <formula>0</formula>
    </cfRule>
    <cfRule type="cellIs" dxfId="13069" priority="1141" operator="equal">
      <formula>"PMS"</formula>
    </cfRule>
    <cfRule type="containsText" dxfId="13068" priority="1142" operator="containsText" text="CMS">
      <formula>NOT(ISERROR(SEARCH("CMS",I61)))</formula>
    </cfRule>
    <cfRule type="cellIs" dxfId="13067" priority="1143" operator="equal">
      <formula>0</formula>
    </cfRule>
    <cfRule type="cellIs" dxfId="13066" priority="1144" operator="greaterThan">
      <formula>0</formula>
    </cfRule>
  </conditionalFormatting>
  <conditionalFormatting sqref="I61:I63">
    <cfRule type="cellIs" dxfId="13065" priority="1133" operator="equal">
      <formula>"PMS"</formula>
    </cfRule>
    <cfRule type="containsText" dxfId="13064" priority="1134" operator="containsText" text="CMS">
      <formula>NOT(ISERROR(SEARCH("CMS",I61)))</formula>
    </cfRule>
    <cfRule type="cellIs" dxfId="13063" priority="1135" operator="equal">
      <formula>0</formula>
    </cfRule>
    <cfRule type="cellIs" dxfId="13062" priority="1136" operator="greaterThan">
      <formula>0</formula>
    </cfRule>
  </conditionalFormatting>
  <conditionalFormatting sqref="I66:I74">
    <cfRule type="cellIs" dxfId="13061" priority="1129" operator="equal">
      <formula>"PMS"</formula>
    </cfRule>
    <cfRule type="containsText" dxfId="13060" priority="1130" operator="containsText" text="CMS">
      <formula>NOT(ISERROR(SEARCH("CMS",I66)))</formula>
    </cfRule>
    <cfRule type="cellIs" dxfId="13059" priority="1131" operator="equal">
      <formula>0</formula>
    </cfRule>
    <cfRule type="cellIs" dxfId="13058" priority="1132" operator="greaterThan">
      <formula>0</formula>
    </cfRule>
  </conditionalFormatting>
  <conditionalFormatting sqref="I66:I74">
    <cfRule type="cellIs" dxfId="13057" priority="1125" operator="equal">
      <formula>"PMS"</formula>
    </cfRule>
    <cfRule type="containsText" dxfId="13056" priority="1126" operator="containsText" text="CMS">
      <formula>NOT(ISERROR(SEARCH("CMS",I66)))</formula>
    </cfRule>
    <cfRule type="cellIs" dxfId="13055" priority="1127" operator="equal">
      <formula>0</formula>
    </cfRule>
    <cfRule type="cellIs" dxfId="13054" priority="1128" operator="greaterThan">
      <formula>0</formula>
    </cfRule>
  </conditionalFormatting>
  <conditionalFormatting sqref="I77:I78">
    <cfRule type="cellIs" dxfId="13053" priority="1121" operator="equal">
      <formula>"PMS"</formula>
    </cfRule>
    <cfRule type="containsText" dxfId="13052" priority="1122" operator="containsText" text="CMS">
      <formula>NOT(ISERROR(SEARCH("CMS",I77)))</formula>
    </cfRule>
    <cfRule type="cellIs" dxfId="13051" priority="1123" operator="equal">
      <formula>0</formula>
    </cfRule>
    <cfRule type="cellIs" dxfId="13050" priority="1124" operator="greaterThan">
      <formula>0</formula>
    </cfRule>
  </conditionalFormatting>
  <conditionalFormatting sqref="O47">
    <cfRule type="cellIs" dxfId="13049" priority="1041" operator="equal">
      <formula>"PMS"</formula>
    </cfRule>
    <cfRule type="containsText" dxfId="13048" priority="1042" operator="containsText" text="CMS">
      <formula>NOT(ISERROR(SEARCH("CMS",O47)))</formula>
    </cfRule>
    <cfRule type="cellIs" dxfId="13047" priority="1043" operator="equal">
      <formula>0</formula>
    </cfRule>
    <cfRule type="cellIs" dxfId="13046" priority="1044" operator="greaterThan">
      <formula>0</formula>
    </cfRule>
  </conditionalFormatting>
  <conditionalFormatting sqref="O47">
    <cfRule type="cellIs" dxfId="13045" priority="1037" operator="equal">
      <formula>"PMS"</formula>
    </cfRule>
    <cfRule type="containsText" dxfId="13044" priority="1038" operator="containsText" text="CMS">
      <formula>NOT(ISERROR(SEARCH("CMS",O47)))</formula>
    </cfRule>
    <cfRule type="cellIs" dxfId="13043" priority="1039" operator="equal">
      <formula>0</formula>
    </cfRule>
    <cfRule type="cellIs" dxfId="13042" priority="1040" operator="greaterThan">
      <formula>0</formula>
    </cfRule>
  </conditionalFormatting>
  <conditionalFormatting sqref="O47">
    <cfRule type="cellIs" dxfId="13041" priority="1033" operator="equal">
      <formula>"PMS"</formula>
    </cfRule>
    <cfRule type="containsText" dxfId="13040" priority="1034" operator="containsText" text="CMS">
      <formula>NOT(ISERROR(SEARCH("CMS",O47)))</formula>
    </cfRule>
    <cfRule type="cellIs" dxfId="13039" priority="1035" operator="equal">
      <formula>0</formula>
    </cfRule>
    <cfRule type="cellIs" dxfId="13038" priority="1036" operator="greaterThan">
      <formula>0</formula>
    </cfRule>
  </conditionalFormatting>
  <conditionalFormatting sqref="O47">
    <cfRule type="cellIs" dxfId="13037" priority="1029" operator="equal">
      <formula>"PMS"</formula>
    </cfRule>
    <cfRule type="containsText" dxfId="13036" priority="1030" operator="containsText" text="CMS">
      <formula>NOT(ISERROR(SEARCH("CMS",O47)))</formula>
    </cfRule>
    <cfRule type="cellIs" dxfId="13035" priority="1031" operator="equal">
      <formula>0</formula>
    </cfRule>
    <cfRule type="cellIs" dxfId="13034" priority="1032" operator="greaterThan">
      <formula>0</formula>
    </cfRule>
  </conditionalFormatting>
  <conditionalFormatting sqref="O47">
    <cfRule type="cellIs" dxfId="13033" priority="1025" operator="equal">
      <formula>"PMS"</formula>
    </cfRule>
    <cfRule type="containsText" dxfId="13032" priority="1026" operator="containsText" text="CMS">
      <formula>NOT(ISERROR(SEARCH("CMS",O47)))</formula>
    </cfRule>
    <cfRule type="cellIs" dxfId="13031" priority="1027" operator="equal">
      <formula>0</formula>
    </cfRule>
    <cfRule type="cellIs" dxfId="13030" priority="1028" operator="greaterThan">
      <formula>0</formula>
    </cfRule>
  </conditionalFormatting>
  <conditionalFormatting sqref="O47">
    <cfRule type="cellIs" dxfId="13029" priority="1021" operator="equal">
      <formula>"PMS"</formula>
    </cfRule>
    <cfRule type="containsText" dxfId="13028" priority="1022" operator="containsText" text="CMS">
      <formula>NOT(ISERROR(SEARCH("CMS",O47)))</formula>
    </cfRule>
    <cfRule type="cellIs" dxfId="13027" priority="1023" operator="equal">
      <formula>0</formula>
    </cfRule>
    <cfRule type="cellIs" dxfId="13026" priority="1024" operator="greaterThan">
      <formula>0</formula>
    </cfRule>
  </conditionalFormatting>
  <conditionalFormatting sqref="O47">
    <cfRule type="cellIs" dxfId="13025" priority="1017" operator="equal">
      <formula>"PMS"</formula>
    </cfRule>
    <cfRule type="containsText" dxfId="13024" priority="1018" operator="containsText" text="CMS">
      <formula>NOT(ISERROR(SEARCH("CMS",O47)))</formula>
    </cfRule>
    <cfRule type="cellIs" dxfId="13023" priority="1019" operator="equal">
      <formula>0</formula>
    </cfRule>
    <cfRule type="cellIs" dxfId="13022" priority="1020" operator="greaterThan">
      <formula>0</formula>
    </cfRule>
  </conditionalFormatting>
  <conditionalFormatting sqref="O47">
    <cfRule type="cellIs" dxfId="13021" priority="1013" operator="equal">
      <formula>"PMS"</formula>
    </cfRule>
    <cfRule type="containsText" dxfId="13020" priority="1014" operator="containsText" text="CMS">
      <formula>NOT(ISERROR(SEARCH("CMS",O47)))</formula>
    </cfRule>
    <cfRule type="cellIs" dxfId="13019" priority="1015" operator="equal">
      <formula>0</formula>
    </cfRule>
    <cfRule type="cellIs" dxfId="13018" priority="1016" operator="greaterThan">
      <formula>0</formula>
    </cfRule>
  </conditionalFormatting>
  <conditionalFormatting sqref="O47">
    <cfRule type="cellIs" dxfId="13017" priority="1009" operator="equal">
      <formula>"PMS"</formula>
    </cfRule>
    <cfRule type="containsText" dxfId="13016" priority="1010" operator="containsText" text="CMS">
      <formula>NOT(ISERROR(SEARCH("CMS",O47)))</formula>
    </cfRule>
    <cfRule type="cellIs" dxfId="13015" priority="1011" operator="equal">
      <formula>0</formula>
    </cfRule>
    <cfRule type="cellIs" dxfId="13014" priority="1012" operator="greaterThan">
      <formula>0</formula>
    </cfRule>
  </conditionalFormatting>
  <conditionalFormatting sqref="O47">
    <cfRule type="cellIs" dxfId="13013" priority="1005" operator="equal">
      <formula>"PMS"</formula>
    </cfRule>
    <cfRule type="containsText" dxfId="13012" priority="1006" operator="containsText" text="CMS">
      <formula>NOT(ISERROR(SEARCH("CMS",O47)))</formula>
    </cfRule>
    <cfRule type="cellIs" dxfId="13011" priority="1007" operator="equal">
      <formula>0</formula>
    </cfRule>
    <cfRule type="cellIs" dxfId="13010" priority="1008" operator="greaterThan">
      <formula>0</formula>
    </cfRule>
  </conditionalFormatting>
  <conditionalFormatting sqref="O47">
    <cfRule type="cellIs" dxfId="13009" priority="1001" operator="equal">
      <formula>"PMS"</formula>
    </cfRule>
    <cfRule type="containsText" dxfId="13008" priority="1002" operator="containsText" text="CMS">
      <formula>NOT(ISERROR(SEARCH("CMS",O47)))</formula>
    </cfRule>
    <cfRule type="cellIs" dxfId="13007" priority="1003" operator="equal">
      <formula>0</formula>
    </cfRule>
    <cfRule type="cellIs" dxfId="13006" priority="1004" operator="greaterThan">
      <formula>0</formula>
    </cfRule>
  </conditionalFormatting>
  <conditionalFormatting sqref="O47">
    <cfRule type="cellIs" dxfId="13005" priority="997" operator="equal">
      <formula>"PMS"</formula>
    </cfRule>
    <cfRule type="containsText" dxfId="13004" priority="998" operator="containsText" text="CMS">
      <formula>NOT(ISERROR(SEARCH("CMS",O47)))</formula>
    </cfRule>
    <cfRule type="cellIs" dxfId="13003" priority="999" operator="equal">
      <formula>0</formula>
    </cfRule>
    <cfRule type="cellIs" dxfId="13002" priority="1000" operator="greaterThan">
      <formula>0</formula>
    </cfRule>
  </conditionalFormatting>
  <conditionalFormatting sqref="O47">
    <cfRule type="cellIs" dxfId="13001" priority="993" operator="equal">
      <formula>"PMS"</formula>
    </cfRule>
    <cfRule type="containsText" dxfId="13000" priority="994" operator="containsText" text="CMS">
      <formula>NOT(ISERROR(SEARCH("CMS",O47)))</formula>
    </cfRule>
    <cfRule type="cellIs" dxfId="12999" priority="995" operator="equal">
      <formula>0</formula>
    </cfRule>
    <cfRule type="cellIs" dxfId="12998" priority="996" operator="greaterThan">
      <formula>0</formula>
    </cfRule>
  </conditionalFormatting>
  <conditionalFormatting sqref="O47">
    <cfRule type="cellIs" dxfId="12997" priority="989" operator="equal">
      <formula>"PMS"</formula>
    </cfRule>
    <cfRule type="containsText" dxfId="12996" priority="990" operator="containsText" text="CMS">
      <formula>NOT(ISERROR(SEARCH("CMS",O47)))</formula>
    </cfRule>
    <cfRule type="cellIs" dxfId="12995" priority="991" operator="equal">
      <formula>0</formula>
    </cfRule>
    <cfRule type="cellIs" dxfId="12994" priority="992" operator="greaterThan">
      <formula>0</formula>
    </cfRule>
  </conditionalFormatting>
  <conditionalFormatting sqref="O58">
    <cfRule type="cellIs" dxfId="12993" priority="985" operator="equal">
      <formula>"PMS"</formula>
    </cfRule>
    <cfRule type="containsText" dxfId="12992" priority="986" operator="containsText" text="CMS">
      <formula>NOT(ISERROR(SEARCH("CMS",O58)))</formula>
    </cfRule>
    <cfRule type="cellIs" dxfId="12991" priority="987" operator="equal">
      <formula>0</formula>
    </cfRule>
    <cfRule type="cellIs" dxfId="12990" priority="988" operator="greaterThan">
      <formula>0</formula>
    </cfRule>
  </conditionalFormatting>
  <conditionalFormatting sqref="O58">
    <cfRule type="cellIs" dxfId="12989" priority="981" operator="equal">
      <formula>"PMS"</formula>
    </cfRule>
    <cfRule type="containsText" dxfId="12988" priority="982" operator="containsText" text="CMS">
      <formula>NOT(ISERROR(SEARCH("CMS",O58)))</formula>
    </cfRule>
    <cfRule type="cellIs" dxfId="12987" priority="983" operator="equal">
      <formula>0</formula>
    </cfRule>
    <cfRule type="cellIs" dxfId="12986" priority="984" operator="greaterThan">
      <formula>0</formula>
    </cfRule>
  </conditionalFormatting>
  <conditionalFormatting sqref="O58">
    <cfRule type="cellIs" dxfId="12985" priority="977" operator="equal">
      <formula>"PMS"</formula>
    </cfRule>
    <cfRule type="containsText" dxfId="12984" priority="978" operator="containsText" text="CMS">
      <formula>NOT(ISERROR(SEARCH("CMS",O58)))</formula>
    </cfRule>
    <cfRule type="cellIs" dxfId="12983" priority="979" operator="equal">
      <formula>0</formula>
    </cfRule>
    <cfRule type="cellIs" dxfId="12982" priority="980" operator="greaterThan">
      <formula>0</formula>
    </cfRule>
  </conditionalFormatting>
  <conditionalFormatting sqref="O58">
    <cfRule type="cellIs" dxfId="12981" priority="973" operator="equal">
      <formula>"PMS"</formula>
    </cfRule>
    <cfRule type="containsText" dxfId="12980" priority="974" operator="containsText" text="CMS">
      <formula>NOT(ISERROR(SEARCH("CMS",O58)))</formula>
    </cfRule>
    <cfRule type="cellIs" dxfId="12979" priority="975" operator="equal">
      <formula>0</formula>
    </cfRule>
    <cfRule type="cellIs" dxfId="12978" priority="976" operator="greaterThan">
      <formula>0</formula>
    </cfRule>
  </conditionalFormatting>
  <conditionalFormatting sqref="O58">
    <cfRule type="cellIs" dxfId="12977" priority="969" operator="equal">
      <formula>"PMS"</formula>
    </cfRule>
    <cfRule type="containsText" dxfId="12976" priority="970" operator="containsText" text="CMS">
      <formula>NOT(ISERROR(SEARCH("CMS",O58)))</formula>
    </cfRule>
    <cfRule type="cellIs" dxfId="12975" priority="971" operator="equal">
      <formula>0</formula>
    </cfRule>
    <cfRule type="cellIs" dxfId="12974" priority="972" operator="greaterThan">
      <formula>0</formula>
    </cfRule>
  </conditionalFormatting>
  <conditionalFormatting sqref="O58">
    <cfRule type="cellIs" dxfId="12973" priority="965" operator="equal">
      <formula>"PMS"</formula>
    </cfRule>
    <cfRule type="containsText" dxfId="12972" priority="966" operator="containsText" text="CMS">
      <formula>NOT(ISERROR(SEARCH("CMS",O58)))</formula>
    </cfRule>
    <cfRule type="cellIs" dxfId="12971" priority="967" operator="equal">
      <formula>0</formula>
    </cfRule>
    <cfRule type="cellIs" dxfId="12970" priority="968" operator="greaterThan">
      <formula>0</formula>
    </cfRule>
  </conditionalFormatting>
  <conditionalFormatting sqref="O58">
    <cfRule type="cellIs" dxfId="12969" priority="961" operator="equal">
      <formula>"PMS"</formula>
    </cfRule>
    <cfRule type="containsText" dxfId="12968" priority="962" operator="containsText" text="CMS">
      <formula>NOT(ISERROR(SEARCH("CMS",O58)))</formula>
    </cfRule>
    <cfRule type="cellIs" dxfId="12967" priority="963" operator="equal">
      <formula>0</formula>
    </cfRule>
    <cfRule type="cellIs" dxfId="12966" priority="964" operator="greaterThan">
      <formula>0</formula>
    </cfRule>
  </conditionalFormatting>
  <conditionalFormatting sqref="O58">
    <cfRule type="cellIs" dxfId="12965" priority="957" operator="equal">
      <formula>"PMS"</formula>
    </cfRule>
    <cfRule type="containsText" dxfId="12964" priority="958" operator="containsText" text="CMS">
      <formula>NOT(ISERROR(SEARCH("CMS",O58)))</formula>
    </cfRule>
    <cfRule type="cellIs" dxfId="12963" priority="959" operator="equal">
      <formula>0</formula>
    </cfRule>
    <cfRule type="cellIs" dxfId="12962" priority="960" operator="greaterThan">
      <formula>0</formula>
    </cfRule>
  </conditionalFormatting>
  <conditionalFormatting sqref="O58">
    <cfRule type="cellIs" dxfId="12961" priority="953" operator="equal">
      <formula>"PMS"</formula>
    </cfRule>
    <cfRule type="containsText" dxfId="12960" priority="954" operator="containsText" text="CMS">
      <formula>NOT(ISERROR(SEARCH("CMS",O58)))</formula>
    </cfRule>
    <cfRule type="cellIs" dxfId="12959" priority="955" operator="equal">
      <formula>0</formula>
    </cfRule>
    <cfRule type="cellIs" dxfId="12958" priority="956" operator="greaterThan">
      <formula>0</formula>
    </cfRule>
  </conditionalFormatting>
  <conditionalFormatting sqref="O58">
    <cfRule type="cellIs" dxfId="12957" priority="949" operator="equal">
      <formula>"PMS"</formula>
    </cfRule>
    <cfRule type="containsText" dxfId="12956" priority="950" operator="containsText" text="CMS">
      <formula>NOT(ISERROR(SEARCH("CMS",O58)))</formula>
    </cfRule>
    <cfRule type="cellIs" dxfId="12955" priority="951" operator="equal">
      <formula>0</formula>
    </cfRule>
    <cfRule type="cellIs" dxfId="12954" priority="952" operator="greaterThan">
      <formula>0</formula>
    </cfRule>
  </conditionalFormatting>
  <conditionalFormatting sqref="F13:F16">
    <cfRule type="cellIs" dxfId="12953" priority="941" operator="equal">
      <formula>"PMS"</formula>
    </cfRule>
    <cfRule type="containsText" dxfId="12952" priority="942" operator="containsText" text="CMS">
      <formula>NOT(ISERROR(SEARCH("CMS",F13)))</formula>
    </cfRule>
    <cfRule type="cellIs" dxfId="12951" priority="943" operator="equal">
      <formula>0</formula>
    </cfRule>
    <cfRule type="cellIs" dxfId="12950" priority="944" operator="greaterThan">
      <formula>0</formula>
    </cfRule>
    <cfRule type="cellIs" dxfId="12949" priority="945" operator="equal">
      <formula>"PMS"</formula>
    </cfRule>
    <cfRule type="containsText" dxfId="12948" priority="946" operator="containsText" text="CMS">
      <formula>NOT(ISERROR(SEARCH("CMS",F13)))</formula>
    </cfRule>
    <cfRule type="cellIs" dxfId="12947" priority="947" operator="equal">
      <formula>0</formula>
    </cfRule>
    <cfRule type="cellIs" dxfId="12946" priority="948" operator="greaterThan">
      <formula>0</formula>
    </cfRule>
  </conditionalFormatting>
  <conditionalFormatting sqref="F13:F16">
    <cfRule type="cellIs" dxfId="12945" priority="937" operator="equal">
      <formula>"PMS"</formula>
    </cfRule>
    <cfRule type="containsText" dxfId="12944" priority="938" operator="containsText" text="CMS">
      <formula>NOT(ISERROR(SEARCH("CMS",F13)))</formula>
    </cfRule>
    <cfRule type="cellIs" dxfId="12943" priority="939" operator="equal">
      <formula>0</formula>
    </cfRule>
    <cfRule type="cellIs" dxfId="12942" priority="940" operator="greaterThan">
      <formula>0</formula>
    </cfRule>
  </conditionalFormatting>
  <conditionalFormatting sqref="F13:F16">
    <cfRule type="cellIs" dxfId="12941" priority="933" operator="equal">
      <formula>"PMS"</formula>
    </cfRule>
    <cfRule type="containsText" dxfId="12940" priority="934" operator="containsText" text="CMS">
      <formula>NOT(ISERROR(SEARCH("CMS",F13)))</formula>
    </cfRule>
    <cfRule type="cellIs" dxfId="12939" priority="935" operator="equal">
      <formula>0</formula>
    </cfRule>
    <cfRule type="cellIs" dxfId="12938" priority="936" operator="greaterThan">
      <formula>0</formula>
    </cfRule>
  </conditionalFormatting>
  <conditionalFormatting sqref="F13:F15">
    <cfRule type="cellIs" dxfId="12937" priority="929" operator="equal">
      <formula>"PMS"</formula>
    </cfRule>
    <cfRule type="containsText" dxfId="12936" priority="930" operator="containsText" text="CMS">
      <formula>NOT(ISERROR(SEARCH("CMS",F13)))</formula>
    </cfRule>
    <cfRule type="cellIs" dxfId="12935" priority="931" operator="equal">
      <formula>0</formula>
    </cfRule>
    <cfRule type="cellIs" dxfId="12934" priority="932" operator="greaterThan">
      <formula>0</formula>
    </cfRule>
  </conditionalFormatting>
  <conditionalFormatting sqref="F13:F15">
    <cfRule type="cellIs" dxfId="12933" priority="925" operator="equal">
      <formula>"PMS"</formula>
    </cfRule>
    <cfRule type="containsText" dxfId="12932" priority="926" operator="containsText" text="CMS">
      <formula>NOT(ISERROR(SEARCH("CMS",F13)))</formula>
    </cfRule>
    <cfRule type="cellIs" dxfId="12931" priority="927" operator="equal">
      <formula>0</formula>
    </cfRule>
    <cfRule type="cellIs" dxfId="12930" priority="928" operator="greaterThan">
      <formula>0</formula>
    </cfRule>
  </conditionalFormatting>
  <conditionalFormatting sqref="F24">
    <cfRule type="cellIs" dxfId="12929" priority="917" operator="equal">
      <formula>"PMS"</formula>
    </cfRule>
    <cfRule type="containsText" dxfId="12928" priority="918" operator="containsText" text="CMS">
      <formula>NOT(ISERROR(SEARCH("CMS",F24)))</formula>
    </cfRule>
    <cfRule type="cellIs" dxfId="12927" priority="919" operator="equal">
      <formula>0</formula>
    </cfRule>
    <cfRule type="cellIs" dxfId="12926" priority="920" operator="greaterThan">
      <formula>0</formula>
    </cfRule>
    <cfRule type="cellIs" dxfId="12925" priority="921" operator="equal">
      <formula>"PMS"</formula>
    </cfRule>
    <cfRule type="containsText" dxfId="12924" priority="922" operator="containsText" text="CMS">
      <formula>NOT(ISERROR(SEARCH("CMS",F24)))</formula>
    </cfRule>
    <cfRule type="cellIs" dxfId="12923" priority="923" operator="equal">
      <formula>0</formula>
    </cfRule>
    <cfRule type="cellIs" dxfId="12922" priority="924" operator="greaterThan">
      <formula>0</formula>
    </cfRule>
  </conditionalFormatting>
  <conditionalFormatting sqref="F24">
    <cfRule type="cellIs" dxfId="12921" priority="913" operator="equal">
      <formula>"PMS"</formula>
    </cfRule>
    <cfRule type="containsText" dxfId="12920" priority="914" operator="containsText" text="CMS">
      <formula>NOT(ISERROR(SEARCH("CMS",F24)))</formula>
    </cfRule>
    <cfRule type="cellIs" dxfId="12919" priority="915" operator="equal">
      <formula>0</formula>
    </cfRule>
    <cfRule type="cellIs" dxfId="12918" priority="916" operator="greaterThan">
      <formula>0</formula>
    </cfRule>
  </conditionalFormatting>
  <conditionalFormatting sqref="F24">
    <cfRule type="cellIs" dxfId="12917" priority="909" operator="equal">
      <formula>"PMS"</formula>
    </cfRule>
    <cfRule type="containsText" dxfId="12916" priority="910" operator="containsText" text="CMS">
      <formula>NOT(ISERROR(SEARCH("CMS",F24)))</formula>
    </cfRule>
    <cfRule type="cellIs" dxfId="12915" priority="911" operator="equal">
      <formula>0</formula>
    </cfRule>
    <cfRule type="cellIs" dxfId="12914" priority="912" operator="greaterThan">
      <formula>0</formula>
    </cfRule>
  </conditionalFormatting>
  <conditionalFormatting sqref="F27:F28">
    <cfRule type="cellIs" dxfId="12913" priority="901" operator="equal">
      <formula>"PMS"</formula>
    </cfRule>
    <cfRule type="containsText" dxfId="12912" priority="902" operator="containsText" text="CMS">
      <formula>NOT(ISERROR(SEARCH("CMS",F27)))</formula>
    </cfRule>
    <cfRule type="cellIs" dxfId="12911" priority="903" operator="equal">
      <formula>0</formula>
    </cfRule>
    <cfRule type="cellIs" dxfId="12910" priority="904" operator="greaterThan">
      <formula>0</formula>
    </cfRule>
    <cfRule type="cellIs" dxfId="12909" priority="905" operator="equal">
      <formula>"PMS"</formula>
    </cfRule>
    <cfRule type="containsText" dxfId="12908" priority="906" operator="containsText" text="CMS">
      <formula>NOT(ISERROR(SEARCH("CMS",F27)))</formula>
    </cfRule>
    <cfRule type="cellIs" dxfId="12907" priority="907" operator="equal">
      <formula>0</formula>
    </cfRule>
    <cfRule type="cellIs" dxfId="12906" priority="908" operator="greaterThan">
      <formula>0</formula>
    </cfRule>
  </conditionalFormatting>
  <conditionalFormatting sqref="F27:F28">
    <cfRule type="cellIs" dxfId="12905" priority="897" operator="equal">
      <formula>"PMS"</formula>
    </cfRule>
    <cfRule type="containsText" dxfId="12904" priority="898" operator="containsText" text="CMS">
      <formula>NOT(ISERROR(SEARCH("CMS",F27)))</formula>
    </cfRule>
    <cfRule type="cellIs" dxfId="12903" priority="899" operator="equal">
      <formula>0</formula>
    </cfRule>
    <cfRule type="cellIs" dxfId="12902" priority="900" operator="greaterThan">
      <formula>0</formula>
    </cfRule>
  </conditionalFormatting>
  <conditionalFormatting sqref="F27:F28">
    <cfRule type="cellIs" dxfId="12901" priority="893" operator="equal">
      <formula>"PMS"</formula>
    </cfRule>
    <cfRule type="containsText" dxfId="12900" priority="894" operator="containsText" text="CMS">
      <formula>NOT(ISERROR(SEARCH("CMS",F27)))</formula>
    </cfRule>
    <cfRule type="cellIs" dxfId="12899" priority="895" operator="equal">
      <formula>0</formula>
    </cfRule>
    <cfRule type="cellIs" dxfId="12898" priority="896" operator="greaterThan">
      <formula>0</formula>
    </cfRule>
  </conditionalFormatting>
  <conditionalFormatting sqref="F29">
    <cfRule type="cellIs" dxfId="12897" priority="885" operator="equal">
      <formula>"PMS"</formula>
    </cfRule>
    <cfRule type="containsText" dxfId="12896" priority="886" operator="containsText" text="CMS">
      <formula>NOT(ISERROR(SEARCH("CMS",F29)))</formula>
    </cfRule>
    <cfRule type="cellIs" dxfId="12895" priority="887" operator="equal">
      <formula>0</formula>
    </cfRule>
    <cfRule type="cellIs" dxfId="12894" priority="888" operator="greaterThan">
      <formula>0</formula>
    </cfRule>
    <cfRule type="cellIs" dxfId="12893" priority="889" operator="equal">
      <formula>"PMS"</formula>
    </cfRule>
    <cfRule type="containsText" dxfId="12892" priority="890" operator="containsText" text="CMS">
      <formula>NOT(ISERROR(SEARCH("CMS",F29)))</formula>
    </cfRule>
    <cfRule type="cellIs" dxfId="12891" priority="891" operator="equal">
      <formula>0</formula>
    </cfRule>
    <cfRule type="cellIs" dxfId="12890" priority="892" operator="greaterThan">
      <formula>0</formula>
    </cfRule>
  </conditionalFormatting>
  <conditionalFormatting sqref="F61:F63">
    <cfRule type="cellIs" dxfId="12889" priority="877" operator="equal">
      <formula>"PMS"</formula>
    </cfRule>
    <cfRule type="containsText" dxfId="12888" priority="878" operator="containsText" text="CMS">
      <formula>NOT(ISERROR(SEARCH("CMS",F61)))</formula>
    </cfRule>
    <cfRule type="cellIs" dxfId="12887" priority="879" operator="equal">
      <formula>0</formula>
    </cfRule>
    <cfRule type="cellIs" dxfId="12886" priority="880" operator="greaterThan">
      <formula>0</formula>
    </cfRule>
    <cfRule type="cellIs" dxfId="12885" priority="881" operator="equal">
      <formula>"PMS"</formula>
    </cfRule>
    <cfRule type="containsText" dxfId="12884" priority="882" operator="containsText" text="CMS">
      <formula>NOT(ISERROR(SEARCH("CMS",F61)))</formula>
    </cfRule>
    <cfRule type="cellIs" dxfId="12883" priority="883" operator="equal">
      <formula>0</formula>
    </cfRule>
    <cfRule type="cellIs" dxfId="12882" priority="884" operator="greaterThan">
      <formula>0</formula>
    </cfRule>
  </conditionalFormatting>
  <conditionalFormatting sqref="F61:F63">
    <cfRule type="cellIs" dxfId="12881" priority="873" operator="equal">
      <formula>"PMS"</formula>
    </cfRule>
    <cfRule type="containsText" dxfId="12880" priority="874" operator="containsText" text="CMS">
      <formula>NOT(ISERROR(SEARCH("CMS",F61)))</formula>
    </cfRule>
    <cfRule type="cellIs" dxfId="12879" priority="875" operator="equal">
      <formula>0</formula>
    </cfRule>
    <cfRule type="cellIs" dxfId="12878" priority="876" operator="greaterThan">
      <formula>0</formula>
    </cfRule>
  </conditionalFormatting>
  <conditionalFormatting sqref="F66:F74">
    <cfRule type="cellIs" dxfId="12877" priority="865" operator="equal">
      <formula>"PMS"</formula>
    </cfRule>
    <cfRule type="containsText" dxfId="12876" priority="866" operator="containsText" text="CMS">
      <formula>NOT(ISERROR(SEARCH("CMS",F66)))</formula>
    </cfRule>
    <cfRule type="cellIs" dxfId="12875" priority="867" operator="equal">
      <formula>0</formula>
    </cfRule>
    <cfRule type="cellIs" dxfId="12874" priority="868" operator="greaterThan">
      <formula>0</formula>
    </cfRule>
    <cfRule type="cellIs" dxfId="12873" priority="869" operator="equal">
      <formula>"PMS"</formula>
    </cfRule>
    <cfRule type="containsText" dxfId="12872" priority="870" operator="containsText" text="CMS">
      <formula>NOT(ISERROR(SEARCH("CMS",F66)))</formula>
    </cfRule>
    <cfRule type="cellIs" dxfId="12871" priority="871" operator="equal">
      <formula>0</formula>
    </cfRule>
    <cfRule type="cellIs" dxfId="12870" priority="872" operator="greaterThan">
      <formula>0</formula>
    </cfRule>
  </conditionalFormatting>
  <conditionalFormatting sqref="F66:F74">
    <cfRule type="cellIs" dxfId="12869" priority="861" operator="equal">
      <formula>"PMS"</formula>
    </cfRule>
    <cfRule type="containsText" dxfId="12868" priority="862" operator="containsText" text="CMS">
      <formula>NOT(ISERROR(SEARCH("CMS",F66)))</formula>
    </cfRule>
    <cfRule type="cellIs" dxfId="12867" priority="863" operator="equal">
      <formula>0</formula>
    </cfRule>
    <cfRule type="cellIs" dxfId="12866" priority="864" operator="greaterThan">
      <formula>0</formula>
    </cfRule>
  </conditionalFormatting>
  <conditionalFormatting sqref="F66:F74">
    <cfRule type="cellIs" dxfId="12865" priority="857" operator="equal">
      <formula>"PMS"</formula>
    </cfRule>
    <cfRule type="containsText" dxfId="12864" priority="858" operator="containsText" text="CMS">
      <formula>NOT(ISERROR(SEARCH("CMS",F66)))</formula>
    </cfRule>
    <cfRule type="cellIs" dxfId="12863" priority="859" operator="equal">
      <formula>0</formula>
    </cfRule>
    <cfRule type="cellIs" dxfId="12862" priority="860" operator="greaterThan">
      <formula>0</formula>
    </cfRule>
  </conditionalFormatting>
  <conditionalFormatting sqref="O55">
    <cfRule type="cellIs" dxfId="12861" priority="853" operator="equal">
      <formula>"PMS"</formula>
    </cfRule>
    <cfRule type="containsText" dxfId="12860" priority="854" operator="containsText" text="CMS">
      <formula>NOT(ISERROR(SEARCH("CMS",O55)))</formula>
    </cfRule>
    <cfRule type="cellIs" dxfId="12859" priority="855" operator="equal">
      <formula>0</formula>
    </cfRule>
    <cfRule type="cellIs" dxfId="12858" priority="856" operator="greaterThan">
      <formula>0</formula>
    </cfRule>
  </conditionalFormatting>
  <conditionalFormatting sqref="O55">
    <cfRule type="cellIs" dxfId="12857" priority="849" operator="equal">
      <formula>"PMS"</formula>
    </cfRule>
    <cfRule type="containsText" dxfId="12856" priority="850" operator="containsText" text="CMS">
      <formula>NOT(ISERROR(SEARCH("CMS",O55)))</formula>
    </cfRule>
    <cfRule type="cellIs" dxfId="12855" priority="851" operator="equal">
      <formula>0</formula>
    </cfRule>
    <cfRule type="cellIs" dxfId="12854" priority="852" operator="greaterThan">
      <formula>0</formula>
    </cfRule>
  </conditionalFormatting>
  <conditionalFormatting sqref="O55">
    <cfRule type="cellIs" dxfId="12853" priority="845" operator="equal">
      <formula>"PMS"</formula>
    </cfRule>
    <cfRule type="containsText" dxfId="12852" priority="846" operator="containsText" text="CMS">
      <formula>NOT(ISERROR(SEARCH("CMS",O55)))</formula>
    </cfRule>
    <cfRule type="cellIs" dxfId="12851" priority="847" operator="equal">
      <formula>0</formula>
    </cfRule>
    <cfRule type="cellIs" dxfId="12850" priority="848" operator="greaterThan">
      <formula>0</formula>
    </cfRule>
  </conditionalFormatting>
  <conditionalFormatting sqref="O55">
    <cfRule type="cellIs" dxfId="12849" priority="841" operator="equal">
      <formula>"PMS"</formula>
    </cfRule>
    <cfRule type="containsText" dxfId="12848" priority="842" operator="containsText" text="CMS">
      <formula>NOT(ISERROR(SEARCH("CMS",O55)))</formula>
    </cfRule>
    <cfRule type="cellIs" dxfId="12847" priority="843" operator="equal">
      <formula>0</formula>
    </cfRule>
    <cfRule type="cellIs" dxfId="12846" priority="844" operator="greaterThan">
      <formula>0</formula>
    </cfRule>
  </conditionalFormatting>
  <conditionalFormatting sqref="O55">
    <cfRule type="cellIs" dxfId="12845" priority="837" operator="equal">
      <formula>"PMS"</formula>
    </cfRule>
    <cfRule type="containsText" dxfId="12844" priority="838" operator="containsText" text="CMS">
      <formula>NOT(ISERROR(SEARCH("CMS",O55)))</formula>
    </cfRule>
    <cfRule type="cellIs" dxfId="12843" priority="839" operator="equal">
      <formula>0</formula>
    </cfRule>
    <cfRule type="cellIs" dxfId="12842" priority="840" operator="greaterThan">
      <formula>0</formula>
    </cfRule>
  </conditionalFormatting>
  <conditionalFormatting sqref="O55">
    <cfRule type="cellIs" dxfId="12841" priority="833" operator="equal">
      <formula>"PMS"</formula>
    </cfRule>
    <cfRule type="containsText" dxfId="12840" priority="834" operator="containsText" text="CMS">
      <formula>NOT(ISERROR(SEARCH("CMS",O55)))</formula>
    </cfRule>
    <cfRule type="cellIs" dxfId="12839" priority="835" operator="equal">
      <formula>0</formula>
    </cfRule>
    <cfRule type="cellIs" dxfId="12838" priority="836" operator="greaterThan">
      <formula>0</formula>
    </cfRule>
  </conditionalFormatting>
  <conditionalFormatting sqref="O55">
    <cfRule type="cellIs" dxfId="12837" priority="829" operator="equal">
      <formula>"PMS"</formula>
    </cfRule>
    <cfRule type="containsText" dxfId="12836" priority="830" operator="containsText" text="CMS">
      <formula>NOT(ISERROR(SEARCH("CMS",O55)))</formula>
    </cfRule>
    <cfRule type="cellIs" dxfId="12835" priority="831" operator="equal">
      <formula>0</formula>
    </cfRule>
    <cfRule type="cellIs" dxfId="12834" priority="832" operator="greaterThan">
      <formula>0</formula>
    </cfRule>
  </conditionalFormatting>
  <conditionalFormatting sqref="O55">
    <cfRule type="cellIs" dxfId="12833" priority="825" operator="equal">
      <formula>"PMS"</formula>
    </cfRule>
    <cfRule type="containsText" dxfId="12832" priority="826" operator="containsText" text="CMS">
      <formula>NOT(ISERROR(SEARCH("CMS",O55)))</formula>
    </cfRule>
    <cfRule type="cellIs" dxfId="12831" priority="827" operator="equal">
      <formula>0</formula>
    </cfRule>
    <cfRule type="cellIs" dxfId="12830" priority="828" operator="greaterThan">
      <formula>0</formula>
    </cfRule>
  </conditionalFormatting>
  <conditionalFormatting sqref="O55">
    <cfRule type="cellIs" dxfId="12829" priority="821" operator="equal">
      <formula>"PMS"</formula>
    </cfRule>
    <cfRule type="containsText" dxfId="12828" priority="822" operator="containsText" text="CMS">
      <formula>NOT(ISERROR(SEARCH("CMS",O55)))</formula>
    </cfRule>
    <cfRule type="cellIs" dxfId="12827" priority="823" operator="equal">
      <formula>0</formula>
    </cfRule>
    <cfRule type="cellIs" dxfId="12826" priority="824" operator="greaterThan">
      <formula>0</formula>
    </cfRule>
  </conditionalFormatting>
  <conditionalFormatting sqref="O55">
    <cfRule type="cellIs" dxfId="12825" priority="817" operator="equal">
      <formula>"PMS"</formula>
    </cfRule>
    <cfRule type="containsText" dxfId="12824" priority="818" operator="containsText" text="CMS">
      <formula>NOT(ISERROR(SEARCH("CMS",O55)))</formula>
    </cfRule>
    <cfRule type="cellIs" dxfId="12823" priority="819" operator="equal">
      <formula>0</formula>
    </cfRule>
    <cfRule type="cellIs" dxfId="12822" priority="820" operator="greaterThan">
      <formula>0</formula>
    </cfRule>
  </conditionalFormatting>
  <conditionalFormatting sqref="O47">
    <cfRule type="cellIs" dxfId="12821" priority="813" operator="equal">
      <formula>"PMS"</formula>
    </cfRule>
    <cfRule type="containsText" dxfId="12820" priority="814" operator="containsText" text="CMS">
      <formula>NOT(ISERROR(SEARCH("CMS",O47)))</formula>
    </cfRule>
    <cfRule type="cellIs" dxfId="12819" priority="815" operator="equal">
      <formula>0</formula>
    </cfRule>
    <cfRule type="cellIs" dxfId="12818" priority="816" operator="greaterThan">
      <formula>0</formula>
    </cfRule>
  </conditionalFormatting>
  <conditionalFormatting sqref="O47">
    <cfRule type="cellIs" dxfId="12817" priority="809" operator="equal">
      <formula>"PMS"</formula>
    </cfRule>
    <cfRule type="containsText" dxfId="12816" priority="810" operator="containsText" text="CMS">
      <formula>NOT(ISERROR(SEARCH("CMS",O47)))</formula>
    </cfRule>
    <cfRule type="cellIs" dxfId="12815" priority="811" operator="equal">
      <formula>0</formula>
    </cfRule>
    <cfRule type="cellIs" dxfId="12814" priority="812" operator="greaterThan">
      <formula>0</formula>
    </cfRule>
  </conditionalFormatting>
  <conditionalFormatting sqref="O47">
    <cfRule type="cellIs" dxfId="12813" priority="805" operator="equal">
      <formula>"PMS"</formula>
    </cfRule>
    <cfRule type="containsText" dxfId="12812" priority="806" operator="containsText" text="CMS">
      <formula>NOT(ISERROR(SEARCH("CMS",O47)))</formula>
    </cfRule>
    <cfRule type="cellIs" dxfId="12811" priority="807" operator="equal">
      <formula>0</formula>
    </cfRule>
    <cfRule type="cellIs" dxfId="12810" priority="808" operator="greaterThan">
      <formula>0</formula>
    </cfRule>
  </conditionalFormatting>
  <conditionalFormatting sqref="O47">
    <cfRule type="cellIs" dxfId="12809" priority="801" operator="equal">
      <formula>"PMS"</formula>
    </cfRule>
    <cfRule type="containsText" dxfId="12808" priority="802" operator="containsText" text="CMS">
      <formula>NOT(ISERROR(SEARCH("CMS",O47)))</formula>
    </cfRule>
    <cfRule type="cellIs" dxfId="12807" priority="803" operator="equal">
      <formula>0</formula>
    </cfRule>
    <cfRule type="cellIs" dxfId="12806" priority="804" operator="greaterThan">
      <formula>0</formula>
    </cfRule>
  </conditionalFormatting>
  <conditionalFormatting sqref="O47">
    <cfRule type="cellIs" dxfId="12805" priority="797" operator="equal">
      <formula>"PMS"</formula>
    </cfRule>
    <cfRule type="containsText" dxfId="12804" priority="798" operator="containsText" text="CMS">
      <formula>NOT(ISERROR(SEARCH("CMS",O47)))</formula>
    </cfRule>
    <cfRule type="cellIs" dxfId="12803" priority="799" operator="equal">
      <formula>0</formula>
    </cfRule>
    <cfRule type="cellIs" dxfId="12802" priority="800" operator="greaterThan">
      <formula>0</formula>
    </cfRule>
  </conditionalFormatting>
  <conditionalFormatting sqref="O47">
    <cfRule type="cellIs" dxfId="12801" priority="793" operator="equal">
      <formula>"PMS"</formula>
    </cfRule>
    <cfRule type="containsText" dxfId="12800" priority="794" operator="containsText" text="CMS">
      <formula>NOT(ISERROR(SEARCH("CMS",O47)))</formula>
    </cfRule>
    <cfRule type="cellIs" dxfId="12799" priority="795" operator="equal">
      <formula>0</formula>
    </cfRule>
    <cfRule type="cellIs" dxfId="12798" priority="796" operator="greaterThan">
      <formula>0</formula>
    </cfRule>
  </conditionalFormatting>
  <conditionalFormatting sqref="O47">
    <cfRule type="cellIs" dxfId="12797" priority="789" operator="equal">
      <formula>"PMS"</formula>
    </cfRule>
    <cfRule type="containsText" dxfId="12796" priority="790" operator="containsText" text="CMS">
      <formula>NOT(ISERROR(SEARCH("CMS",O47)))</formula>
    </cfRule>
    <cfRule type="cellIs" dxfId="12795" priority="791" operator="equal">
      <formula>0</formula>
    </cfRule>
    <cfRule type="cellIs" dxfId="12794" priority="792" operator="greaterThan">
      <formula>0</formula>
    </cfRule>
  </conditionalFormatting>
  <conditionalFormatting sqref="O47">
    <cfRule type="cellIs" dxfId="12793" priority="785" operator="equal">
      <formula>"PMS"</formula>
    </cfRule>
    <cfRule type="containsText" dxfId="12792" priority="786" operator="containsText" text="CMS">
      <formula>NOT(ISERROR(SEARCH("CMS",O47)))</formula>
    </cfRule>
    <cfRule type="cellIs" dxfId="12791" priority="787" operator="equal">
      <formula>0</formula>
    </cfRule>
    <cfRule type="cellIs" dxfId="12790" priority="788" operator="greaterThan">
      <formula>0</formula>
    </cfRule>
  </conditionalFormatting>
  <conditionalFormatting sqref="O47">
    <cfRule type="cellIs" dxfId="12789" priority="781" operator="equal">
      <formula>"PMS"</formula>
    </cfRule>
    <cfRule type="containsText" dxfId="12788" priority="782" operator="containsText" text="CMS">
      <formula>NOT(ISERROR(SEARCH("CMS",O47)))</formula>
    </cfRule>
    <cfRule type="cellIs" dxfId="12787" priority="783" operator="equal">
      <formula>0</formula>
    </cfRule>
    <cfRule type="cellIs" dxfId="12786" priority="784" operator="greaterThan">
      <formula>0</formula>
    </cfRule>
  </conditionalFormatting>
  <conditionalFormatting sqref="O47">
    <cfRule type="cellIs" dxfId="12785" priority="777" operator="equal">
      <formula>"PMS"</formula>
    </cfRule>
    <cfRule type="containsText" dxfId="12784" priority="778" operator="containsText" text="CMS">
      <formula>NOT(ISERROR(SEARCH("CMS",O47)))</formula>
    </cfRule>
    <cfRule type="cellIs" dxfId="12783" priority="779" operator="equal">
      <formula>0</formula>
    </cfRule>
    <cfRule type="cellIs" dxfId="12782" priority="780" operator="greaterThan">
      <formula>0</formula>
    </cfRule>
  </conditionalFormatting>
  <conditionalFormatting sqref="O47">
    <cfRule type="cellIs" dxfId="12781" priority="773" operator="equal">
      <formula>"PMS"</formula>
    </cfRule>
    <cfRule type="containsText" dxfId="12780" priority="774" operator="containsText" text="CMS">
      <formula>NOT(ISERROR(SEARCH("CMS",O47)))</formula>
    </cfRule>
    <cfRule type="cellIs" dxfId="12779" priority="775" operator="equal">
      <formula>0</formula>
    </cfRule>
    <cfRule type="cellIs" dxfId="12778" priority="776" operator="greaterThan">
      <formula>0</formula>
    </cfRule>
  </conditionalFormatting>
  <conditionalFormatting sqref="O47">
    <cfRule type="cellIs" dxfId="12777" priority="769" operator="equal">
      <formula>"PMS"</formula>
    </cfRule>
    <cfRule type="containsText" dxfId="12776" priority="770" operator="containsText" text="CMS">
      <formula>NOT(ISERROR(SEARCH("CMS",O47)))</formula>
    </cfRule>
    <cfRule type="cellIs" dxfId="12775" priority="771" operator="equal">
      <formula>0</formula>
    </cfRule>
    <cfRule type="cellIs" dxfId="12774" priority="772" operator="greaterThan">
      <formula>0</formula>
    </cfRule>
  </conditionalFormatting>
  <conditionalFormatting sqref="O47">
    <cfRule type="cellIs" dxfId="12773" priority="765" operator="equal">
      <formula>"PMS"</formula>
    </cfRule>
    <cfRule type="containsText" dxfId="12772" priority="766" operator="containsText" text="CMS">
      <formula>NOT(ISERROR(SEARCH("CMS",O47)))</formula>
    </cfRule>
    <cfRule type="cellIs" dxfId="12771" priority="767" operator="equal">
      <formula>0</formula>
    </cfRule>
    <cfRule type="cellIs" dxfId="12770" priority="768" operator="greaterThan">
      <formula>0</formula>
    </cfRule>
  </conditionalFormatting>
  <conditionalFormatting sqref="O47">
    <cfRule type="cellIs" dxfId="12769" priority="761" operator="equal">
      <formula>"PMS"</formula>
    </cfRule>
    <cfRule type="containsText" dxfId="12768" priority="762" operator="containsText" text="CMS">
      <formula>NOT(ISERROR(SEARCH("CMS",O47)))</formula>
    </cfRule>
    <cfRule type="cellIs" dxfId="12767" priority="763" operator="equal">
      <formula>0</formula>
    </cfRule>
    <cfRule type="cellIs" dxfId="12766" priority="764" operator="greaterThan">
      <formula>0</formula>
    </cfRule>
  </conditionalFormatting>
  <conditionalFormatting sqref="O47">
    <cfRule type="cellIs" dxfId="12765" priority="757" operator="equal">
      <formula>"PMS"</formula>
    </cfRule>
    <cfRule type="containsText" dxfId="12764" priority="758" operator="containsText" text="CMS">
      <formula>NOT(ISERROR(SEARCH("CMS",O47)))</formula>
    </cfRule>
    <cfRule type="cellIs" dxfId="12763" priority="759" operator="equal">
      <formula>0</formula>
    </cfRule>
    <cfRule type="cellIs" dxfId="12762" priority="760" operator="greaterThan">
      <formula>0</formula>
    </cfRule>
  </conditionalFormatting>
  <conditionalFormatting sqref="O47">
    <cfRule type="cellIs" dxfId="12761" priority="753" operator="equal">
      <formula>"PMS"</formula>
    </cfRule>
    <cfRule type="containsText" dxfId="12760" priority="754" operator="containsText" text="CMS">
      <formula>NOT(ISERROR(SEARCH("CMS",O47)))</formula>
    </cfRule>
    <cfRule type="cellIs" dxfId="12759" priority="755" operator="equal">
      <formula>0</formula>
    </cfRule>
    <cfRule type="cellIs" dxfId="12758" priority="756" operator="greaterThan">
      <formula>0</formula>
    </cfRule>
  </conditionalFormatting>
  <conditionalFormatting sqref="O47">
    <cfRule type="cellIs" dxfId="12757" priority="749" operator="equal">
      <formula>"PMS"</formula>
    </cfRule>
    <cfRule type="containsText" dxfId="12756" priority="750" operator="containsText" text="CMS">
      <formula>NOT(ISERROR(SEARCH("CMS",O47)))</formula>
    </cfRule>
    <cfRule type="cellIs" dxfId="12755" priority="751" operator="equal">
      <formula>0</formula>
    </cfRule>
    <cfRule type="cellIs" dxfId="12754" priority="752" operator="greaterThan">
      <formula>0</formula>
    </cfRule>
  </conditionalFormatting>
  <conditionalFormatting sqref="O47">
    <cfRule type="cellIs" dxfId="12753" priority="745" operator="equal">
      <formula>"PMS"</formula>
    </cfRule>
    <cfRule type="containsText" dxfId="12752" priority="746" operator="containsText" text="CMS">
      <formula>NOT(ISERROR(SEARCH("CMS",O47)))</formula>
    </cfRule>
    <cfRule type="cellIs" dxfId="12751" priority="747" operator="equal">
      <formula>0</formula>
    </cfRule>
    <cfRule type="cellIs" dxfId="12750" priority="748" operator="greaterThan">
      <formula>0</formula>
    </cfRule>
  </conditionalFormatting>
  <conditionalFormatting sqref="O47">
    <cfRule type="cellIs" dxfId="12749" priority="741" operator="equal">
      <formula>"PMS"</formula>
    </cfRule>
    <cfRule type="containsText" dxfId="12748" priority="742" operator="containsText" text="CMS">
      <formula>NOT(ISERROR(SEARCH("CMS",O47)))</formula>
    </cfRule>
    <cfRule type="cellIs" dxfId="12747" priority="743" operator="equal">
      <formula>0</formula>
    </cfRule>
    <cfRule type="cellIs" dxfId="12746" priority="744" operator="greaterThan">
      <formula>0</formula>
    </cfRule>
  </conditionalFormatting>
  <conditionalFormatting sqref="O47">
    <cfRule type="cellIs" dxfId="12745" priority="737" operator="equal">
      <formula>"PMS"</formula>
    </cfRule>
    <cfRule type="containsText" dxfId="12744" priority="738" operator="containsText" text="CMS">
      <formula>NOT(ISERROR(SEARCH("CMS",O47)))</formula>
    </cfRule>
    <cfRule type="cellIs" dxfId="12743" priority="739" operator="equal">
      <formula>0</formula>
    </cfRule>
    <cfRule type="cellIs" dxfId="12742" priority="740" operator="greaterThan">
      <formula>0</formula>
    </cfRule>
  </conditionalFormatting>
  <conditionalFormatting sqref="O47">
    <cfRule type="cellIs" dxfId="12741" priority="733" operator="equal">
      <formula>"PMS"</formula>
    </cfRule>
    <cfRule type="containsText" dxfId="12740" priority="734" operator="containsText" text="CMS">
      <formula>NOT(ISERROR(SEARCH("CMS",O47)))</formula>
    </cfRule>
    <cfRule type="cellIs" dxfId="12739" priority="735" operator="equal">
      <formula>0</formula>
    </cfRule>
    <cfRule type="cellIs" dxfId="12738" priority="736" operator="greaterThan">
      <formula>0</formula>
    </cfRule>
  </conditionalFormatting>
  <conditionalFormatting sqref="O47">
    <cfRule type="cellIs" dxfId="12737" priority="729" operator="equal">
      <formula>"PMS"</formula>
    </cfRule>
    <cfRule type="containsText" dxfId="12736" priority="730" operator="containsText" text="CMS">
      <formula>NOT(ISERROR(SEARCH("CMS",O47)))</formula>
    </cfRule>
    <cfRule type="cellIs" dxfId="12735" priority="731" operator="equal">
      <formula>0</formula>
    </cfRule>
    <cfRule type="cellIs" dxfId="12734" priority="732" operator="greaterThan">
      <formula>0</formula>
    </cfRule>
  </conditionalFormatting>
  <conditionalFormatting sqref="O47">
    <cfRule type="cellIs" dxfId="12733" priority="725" operator="equal">
      <formula>"PMS"</formula>
    </cfRule>
    <cfRule type="containsText" dxfId="12732" priority="726" operator="containsText" text="CMS">
      <formula>NOT(ISERROR(SEARCH("CMS",O47)))</formula>
    </cfRule>
    <cfRule type="cellIs" dxfId="12731" priority="727" operator="equal">
      <formula>0</formula>
    </cfRule>
    <cfRule type="cellIs" dxfId="12730" priority="728" operator="greaterThan">
      <formula>0</formula>
    </cfRule>
  </conditionalFormatting>
  <conditionalFormatting sqref="O47">
    <cfRule type="cellIs" dxfId="12729" priority="721" operator="equal">
      <formula>"PMS"</formula>
    </cfRule>
    <cfRule type="containsText" dxfId="12728" priority="722" operator="containsText" text="CMS">
      <formula>NOT(ISERROR(SEARCH("CMS",O47)))</formula>
    </cfRule>
    <cfRule type="cellIs" dxfId="12727" priority="723" operator="equal">
      <formula>0</formula>
    </cfRule>
    <cfRule type="cellIs" dxfId="12726" priority="724" operator="greaterThan">
      <formula>0</formula>
    </cfRule>
  </conditionalFormatting>
  <conditionalFormatting sqref="O52:O54">
    <cfRule type="cellIs" dxfId="12725" priority="717" operator="equal">
      <formula>"PMS"</formula>
    </cfRule>
    <cfRule type="containsText" dxfId="12724" priority="718" operator="containsText" text="CMS">
      <formula>NOT(ISERROR(SEARCH("CMS",O52)))</formula>
    </cfRule>
    <cfRule type="cellIs" dxfId="12723" priority="719" operator="equal">
      <formula>0</formula>
    </cfRule>
    <cfRule type="cellIs" dxfId="12722" priority="720" operator="greaterThan">
      <formula>0</formula>
    </cfRule>
  </conditionalFormatting>
  <conditionalFormatting sqref="O52:O54">
    <cfRule type="cellIs" dxfId="12721" priority="713" operator="equal">
      <formula>"PMS"</formula>
    </cfRule>
    <cfRule type="containsText" dxfId="12720" priority="714" operator="containsText" text="CMS">
      <formula>NOT(ISERROR(SEARCH("CMS",O52)))</formula>
    </cfRule>
    <cfRule type="cellIs" dxfId="12719" priority="715" operator="equal">
      <formula>0</formula>
    </cfRule>
    <cfRule type="cellIs" dxfId="12718" priority="716" operator="greaterThan">
      <formula>0</formula>
    </cfRule>
  </conditionalFormatting>
  <conditionalFormatting sqref="O52:O54">
    <cfRule type="cellIs" dxfId="12717" priority="709" operator="equal">
      <formula>"PMS"</formula>
    </cfRule>
    <cfRule type="containsText" dxfId="12716" priority="710" operator="containsText" text="CMS">
      <formula>NOT(ISERROR(SEARCH("CMS",O52)))</formula>
    </cfRule>
    <cfRule type="cellIs" dxfId="12715" priority="711" operator="equal">
      <formula>0</formula>
    </cfRule>
    <cfRule type="cellIs" dxfId="12714" priority="712" operator="greaterThan">
      <formula>0</formula>
    </cfRule>
  </conditionalFormatting>
  <conditionalFormatting sqref="O52:O54">
    <cfRule type="cellIs" dxfId="12713" priority="705" operator="equal">
      <formula>"PMS"</formula>
    </cfRule>
    <cfRule type="containsText" dxfId="12712" priority="706" operator="containsText" text="CMS">
      <formula>NOT(ISERROR(SEARCH("CMS",O52)))</formula>
    </cfRule>
    <cfRule type="cellIs" dxfId="12711" priority="707" operator="equal">
      <formula>0</formula>
    </cfRule>
    <cfRule type="cellIs" dxfId="12710" priority="708" operator="greaterThan">
      <formula>0</formula>
    </cfRule>
  </conditionalFormatting>
  <conditionalFormatting sqref="O52:O54">
    <cfRule type="cellIs" dxfId="12709" priority="701" operator="equal">
      <formula>"PMS"</formula>
    </cfRule>
    <cfRule type="containsText" dxfId="12708" priority="702" operator="containsText" text="CMS">
      <formula>NOT(ISERROR(SEARCH("CMS",O52)))</formula>
    </cfRule>
    <cfRule type="cellIs" dxfId="12707" priority="703" operator="equal">
      <formula>0</formula>
    </cfRule>
    <cfRule type="cellIs" dxfId="12706" priority="704" operator="greaterThan">
      <formula>0</formula>
    </cfRule>
  </conditionalFormatting>
  <conditionalFormatting sqref="O52:O54">
    <cfRule type="cellIs" dxfId="12705" priority="697" operator="equal">
      <formula>"PMS"</formula>
    </cfRule>
    <cfRule type="containsText" dxfId="12704" priority="698" operator="containsText" text="CMS">
      <formula>NOT(ISERROR(SEARCH("CMS",O52)))</formula>
    </cfRule>
    <cfRule type="cellIs" dxfId="12703" priority="699" operator="equal">
      <formula>0</formula>
    </cfRule>
    <cfRule type="cellIs" dxfId="12702" priority="700" operator="greaterThan">
      <formula>0</formula>
    </cfRule>
  </conditionalFormatting>
  <conditionalFormatting sqref="O52:O54">
    <cfRule type="cellIs" dxfId="12701" priority="693" operator="equal">
      <formula>"PMS"</formula>
    </cfRule>
    <cfRule type="containsText" dxfId="12700" priority="694" operator="containsText" text="CMS">
      <formula>NOT(ISERROR(SEARCH("CMS",O52)))</formula>
    </cfRule>
    <cfRule type="cellIs" dxfId="12699" priority="695" operator="equal">
      <formula>0</formula>
    </cfRule>
    <cfRule type="cellIs" dxfId="12698" priority="696" operator="greaterThan">
      <formula>0</formula>
    </cfRule>
  </conditionalFormatting>
  <conditionalFormatting sqref="O52:O54">
    <cfRule type="cellIs" dxfId="12697" priority="689" operator="equal">
      <formula>"PMS"</formula>
    </cfRule>
    <cfRule type="containsText" dxfId="12696" priority="690" operator="containsText" text="CMS">
      <formula>NOT(ISERROR(SEARCH("CMS",O52)))</formula>
    </cfRule>
    <cfRule type="cellIs" dxfId="12695" priority="691" operator="equal">
      <formula>0</formula>
    </cfRule>
    <cfRule type="cellIs" dxfId="12694" priority="692" operator="greaterThan">
      <formula>0</formula>
    </cfRule>
  </conditionalFormatting>
  <conditionalFormatting sqref="O52:O54">
    <cfRule type="cellIs" dxfId="12693" priority="685" operator="equal">
      <formula>"PMS"</formula>
    </cfRule>
    <cfRule type="containsText" dxfId="12692" priority="686" operator="containsText" text="CMS">
      <formula>NOT(ISERROR(SEARCH("CMS",O52)))</formula>
    </cfRule>
    <cfRule type="cellIs" dxfId="12691" priority="687" operator="equal">
      <formula>0</formula>
    </cfRule>
    <cfRule type="cellIs" dxfId="12690" priority="688" operator="greaterThan">
      <formula>0</formula>
    </cfRule>
  </conditionalFormatting>
  <conditionalFormatting sqref="O52:O54">
    <cfRule type="cellIs" dxfId="12689" priority="681" operator="equal">
      <formula>"PMS"</formula>
    </cfRule>
    <cfRule type="containsText" dxfId="12688" priority="682" operator="containsText" text="CMS">
      <formula>NOT(ISERROR(SEARCH("CMS",O52)))</formula>
    </cfRule>
    <cfRule type="cellIs" dxfId="12687" priority="683" operator="equal">
      <formula>0</formula>
    </cfRule>
    <cfRule type="cellIs" dxfId="12686" priority="684" operator="greaterThan">
      <formula>0</formula>
    </cfRule>
  </conditionalFormatting>
  <conditionalFormatting sqref="O52:O54">
    <cfRule type="cellIs" dxfId="12685" priority="677" operator="equal">
      <formula>"PMS"</formula>
    </cfRule>
    <cfRule type="containsText" dxfId="12684" priority="678" operator="containsText" text="CMS">
      <formula>NOT(ISERROR(SEARCH("CMS",O52)))</formula>
    </cfRule>
    <cfRule type="cellIs" dxfId="12683" priority="679" operator="equal">
      <formula>0</formula>
    </cfRule>
    <cfRule type="cellIs" dxfId="12682" priority="680" operator="greaterThan">
      <formula>0</formula>
    </cfRule>
  </conditionalFormatting>
  <conditionalFormatting sqref="O52:O54">
    <cfRule type="cellIs" dxfId="12681" priority="673" operator="equal">
      <formula>"PMS"</formula>
    </cfRule>
    <cfRule type="containsText" dxfId="12680" priority="674" operator="containsText" text="CMS">
      <formula>NOT(ISERROR(SEARCH("CMS",O52)))</formula>
    </cfRule>
    <cfRule type="cellIs" dxfId="12679" priority="675" operator="equal">
      <formula>0</formula>
    </cfRule>
    <cfRule type="cellIs" dxfId="12678" priority="676" operator="greaterThan">
      <formula>0</formula>
    </cfRule>
  </conditionalFormatting>
  <conditionalFormatting sqref="O52:O54">
    <cfRule type="cellIs" dxfId="12677" priority="669" operator="equal">
      <formula>"PMS"</formula>
    </cfRule>
    <cfRule type="containsText" dxfId="12676" priority="670" operator="containsText" text="CMS">
      <formula>NOT(ISERROR(SEARCH("CMS",O52)))</formula>
    </cfRule>
    <cfRule type="cellIs" dxfId="12675" priority="671" operator="equal">
      <formula>0</formula>
    </cfRule>
    <cfRule type="cellIs" dxfId="12674" priority="672" operator="greaterThan">
      <formula>0</formula>
    </cfRule>
  </conditionalFormatting>
  <conditionalFormatting sqref="O52:O54">
    <cfRule type="cellIs" dxfId="12673" priority="665" operator="equal">
      <formula>"PMS"</formula>
    </cfRule>
    <cfRule type="containsText" dxfId="12672" priority="666" operator="containsText" text="CMS">
      <formula>NOT(ISERROR(SEARCH("CMS",O52)))</formula>
    </cfRule>
    <cfRule type="cellIs" dxfId="12671" priority="667" operator="equal">
      <formula>0</formula>
    </cfRule>
    <cfRule type="cellIs" dxfId="12670" priority="668" operator="greaterThan">
      <formula>0</formula>
    </cfRule>
  </conditionalFormatting>
  <conditionalFormatting sqref="O52:O54">
    <cfRule type="cellIs" dxfId="12669" priority="661" operator="equal">
      <formula>"PMS"</formula>
    </cfRule>
    <cfRule type="containsText" dxfId="12668" priority="662" operator="containsText" text="CMS">
      <formula>NOT(ISERROR(SEARCH("CMS",O52)))</formula>
    </cfRule>
    <cfRule type="cellIs" dxfId="12667" priority="663" operator="equal">
      <formula>0</formula>
    </cfRule>
    <cfRule type="cellIs" dxfId="12666" priority="664" operator="greaterThan">
      <formula>0</formula>
    </cfRule>
  </conditionalFormatting>
  <conditionalFormatting sqref="O52:O54">
    <cfRule type="cellIs" dxfId="12665" priority="657" operator="equal">
      <formula>"PMS"</formula>
    </cfRule>
    <cfRule type="containsText" dxfId="12664" priority="658" operator="containsText" text="CMS">
      <formula>NOT(ISERROR(SEARCH("CMS",O52)))</formula>
    </cfRule>
    <cfRule type="cellIs" dxfId="12663" priority="659" operator="equal">
      <formula>0</formula>
    </cfRule>
    <cfRule type="cellIs" dxfId="12662" priority="660" operator="greaterThan">
      <formula>0</formula>
    </cfRule>
  </conditionalFormatting>
  <conditionalFormatting sqref="O52:O54">
    <cfRule type="cellIs" dxfId="12661" priority="653" operator="equal">
      <formula>"PMS"</formula>
    </cfRule>
    <cfRule type="containsText" dxfId="12660" priority="654" operator="containsText" text="CMS">
      <formula>NOT(ISERROR(SEARCH("CMS",O52)))</formula>
    </cfRule>
    <cfRule type="cellIs" dxfId="12659" priority="655" operator="equal">
      <formula>0</formula>
    </cfRule>
    <cfRule type="cellIs" dxfId="12658" priority="656" operator="greaterThan">
      <formula>0</formula>
    </cfRule>
  </conditionalFormatting>
  <conditionalFormatting sqref="O52:O54">
    <cfRule type="cellIs" dxfId="12657" priority="649" operator="equal">
      <formula>"PMS"</formula>
    </cfRule>
    <cfRule type="containsText" dxfId="12656" priority="650" operator="containsText" text="CMS">
      <formula>NOT(ISERROR(SEARCH("CMS",O52)))</formula>
    </cfRule>
    <cfRule type="cellIs" dxfId="12655" priority="651" operator="equal">
      <formula>0</formula>
    </cfRule>
    <cfRule type="cellIs" dxfId="12654" priority="652" operator="greaterThan">
      <formula>0</formula>
    </cfRule>
  </conditionalFormatting>
  <conditionalFormatting sqref="O52:O54">
    <cfRule type="cellIs" dxfId="12653" priority="645" operator="equal">
      <formula>"PMS"</formula>
    </cfRule>
    <cfRule type="containsText" dxfId="12652" priority="646" operator="containsText" text="CMS">
      <formula>NOT(ISERROR(SEARCH("CMS",O52)))</formula>
    </cfRule>
    <cfRule type="cellIs" dxfId="12651" priority="647" operator="equal">
      <formula>0</formula>
    </cfRule>
    <cfRule type="cellIs" dxfId="12650" priority="648" operator="greaterThan">
      <formula>0</formula>
    </cfRule>
  </conditionalFormatting>
  <conditionalFormatting sqref="O52:O54">
    <cfRule type="cellIs" dxfId="12649" priority="641" operator="equal">
      <formula>"PMS"</formula>
    </cfRule>
    <cfRule type="containsText" dxfId="12648" priority="642" operator="containsText" text="CMS">
      <formula>NOT(ISERROR(SEARCH("CMS",O52)))</formula>
    </cfRule>
    <cfRule type="cellIs" dxfId="12647" priority="643" operator="equal">
      <formula>0</formula>
    </cfRule>
    <cfRule type="cellIs" dxfId="12646" priority="644" operator="greaterThan">
      <formula>0</formula>
    </cfRule>
  </conditionalFormatting>
  <conditionalFormatting sqref="O52:O54">
    <cfRule type="cellIs" dxfId="12645" priority="637" operator="equal">
      <formula>"PMS"</formula>
    </cfRule>
    <cfRule type="containsText" dxfId="12644" priority="638" operator="containsText" text="CMS">
      <formula>NOT(ISERROR(SEARCH("CMS",O52)))</formula>
    </cfRule>
    <cfRule type="cellIs" dxfId="12643" priority="639" operator="equal">
      <formula>0</formula>
    </cfRule>
    <cfRule type="cellIs" dxfId="12642" priority="640" operator="greaterThan">
      <formula>0</formula>
    </cfRule>
  </conditionalFormatting>
  <conditionalFormatting sqref="O52:O54">
    <cfRule type="cellIs" dxfId="12641" priority="633" operator="equal">
      <formula>"PMS"</formula>
    </cfRule>
    <cfRule type="containsText" dxfId="12640" priority="634" operator="containsText" text="CMS">
      <formula>NOT(ISERROR(SEARCH("CMS",O52)))</formula>
    </cfRule>
    <cfRule type="cellIs" dxfId="12639" priority="635" operator="equal">
      <formula>0</formula>
    </cfRule>
    <cfRule type="cellIs" dxfId="12638" priority="636" operator="greaterThan">
      <formula>0</formula>
    </cfRule>
  </conditionalFormatting>
  <conditionalFormatting sqref="O52:O54">
    <cfRule type="cellIs" dxfId="12637" priority="629" operator="equal">
      <formula>"PMS"</formula>
    </cfRule>
    <cfRule type="containsText" dxfId="12636" priority="630" operator="containsText" text="CMS">
      <formula>NOT(ISERROR(SEARCH("CMS",O52)))</formula>
    </cfRule>
    <cfRule type="cellIs" dxfId="12635" priority="631" operator="equal">
      <formula>0</formula>
    </cfRule>
    <cfRule type="cellIs" dxfId="12634" priority="632" operator="greaterThan">
      <formula>0</formula>
    </cfRule>
  </conditionalFormatting>
  <conditionalFormatting sqref="O52:O54">
    <cfRule type="cellIs" dxfId="12633" priority="625" operator="equal">
      <formula>"PMS"</formula>
    </cfRule>
    <cfRule type="containsText" dxfId="12632" priority="626" operator="containsText" text="CMS">
      <formula>NOT(ISERROR(SEARCH("CMS",O52)))</formula>
    </cfRule>
    <cfRule type="cellIs" dxfId="12631" priority="627" operator="equal">
      <formula>0</formula>
    </cfRule>
    <cfRule type="cellIs" dxfId="12630" priority="628" operator="greaterThan">
      <formula>0</formula>
    </cfRule>
  </conditionalFormatting>
  <conditionalFormatting sqref="O52:O54">
    <cfRule type="cellIs" dxfId="12629" priority="621" operator="equal">
      <formula>"PMS"</formula>
    </cfRule>
    <cfRule type="containsText" dxfId="12628" priority="622" operator="containsText" text="CMS">
      <formula>NOT(ISERROR(SEARCH("CMS",O52)))</formula>
    </cfRule>
    <cfRule type="cellIs" dxfId="12627" priority="623" operator="equal">
      <formula>0</formula>
    </cfRule>
    <cfRule type="cellIs" dxfId="12626" priority="624" operator="greaterThan">
      <formula>0</formula>
    </cfRule>
  </conditionalFormatting>
  <conditionalFormatting sqref="O52:O54">
    <cfRule type="cellIs" dxfId="12625" priority="617" operator="equal">
      <formula>"PMS"</formula>
    </cfRule>
    <cfRule type="containsText" dxfId="12624" priority="618" operator="containsText" text="CMS">
      <formula>NOT(ISERROR(SEARCH("CMS",O52)))</formula>
    </cfRule>
    <cfRule type="cellIs" dxfId="12623" priority="619" operator="equal">
      <formula>0</formula>
    </cfRule>
    <cfRule type="cellIs" dxfId="12622" priority="620" operator="greaterThan">
      <formula>0</formula>
    </cfRule>
  </conditionalFormatting>
  <conditionalFormatting sqref="O52:O54">
    <cfRule type="cellIs" dxfId="12621" priority="613" operator="equal">
      <formula>"PMS"</formula>
    </cfRule>
    <cfRule type="containsText" dxfId="12620" priority="614" operator="containsText" text="CMS">
      <formula>NOT(ISERROR(SEARCH("CMS",O52)))</formula>
    </cfRule>
    <cfRule type="cellIs" dxfId="12619" priority="615" operator="equal">
      <formula>0</formula>
    </cfRule>
    <cfRule type="cellIs" dxfId="12618" priority="616" operator="greaterThan">
      <formula>0</formula>
    </cfRule>
  </conditionalFormatting>
  <conditionalFormatting sqref="O52:O54">
    <cfRule type="cellIs" dxfId="12617" priority="609" operator="equal">
      <formula>"PMS"</formula>
    </cfRule>
    <cfRule type="containsText" dxfId="12616" priority="610" operator="containsText" text="CMS">
      <formula>NOT(ISERROR(SEARCH("CMS",O52)))</formula>
    </cfRule>
    <cfRule type="cellIs" dxfId="12615" priority="611" operator="equal">
      <formula>0</formula>
    </cfRule>
    <cfRule type="cellIs" dxfId="12614" priority="612" operator="greaterThan">
      <formula>0</formula>
    </cfRule>
  </conditionalFormatting>
  <conditionalFormatting sqref="O52:O54">
    <cfRule type="cellIs" dxfId="12613" priority="605" operator="equal">
      <formula>"PMS"</formula>
    </cfRule>
    <cfRule type="containsText" dxfId="12612" priority="606" operator="containsText" text="CMS">
      <formula>NOT(ISERROR(SEARCH("CMS",O52)))</formula>
    </cfRule>
    <cfRule type="cellIs" dxfId="12611" priority="607" operator="equal">
      <formula>0</formula>
    </cfRule>
    <cfRule type="cellIs" dxfId="12610" priority="608" operator="greaterThan">
      <formula>0</formula>
    </cfRule>
  </conditionalFormatting>
  <conditionalFormatting sqref="O52:O54">
    <cfRule type="cellIs" dxfId="12609" priority="601" operator="equal">
      <formula>"PMS"</formula>
    </cfRule>
    <cfRule type="containsText" dxfId="12608" priority="602" operator="containsText" text="CMS">
      <formula>NOT(ISERROR(SEARCH("CMS",O52)))</formula>
    </cfRule>
    <cfRule type="cellIs" dxfId="12607" priority="603" operator="equal">
      <formula>0</formula>
    </cfRule>
    <cfRule type="cellIs" dxfId="12606" priority="604" operator="greaterThan">
      <formula>0</formula>
    </cfRule>
  </conditionalFormatting>
  <conditionalFormatting sqref="O52:O54">
    <cfRule type="cellIs" dxfId="12605" priority="597" operator="equal">
      <formula>"PMS"</formula>
    </cfRule>
    <cfRule type="containsText" dxfId="12604" priority="598" operator="containsText" text="CMS">
      <formula>NOT(ISERROR(SEARCH("CMS",O52)))</formula>
    </cfRule>
    <cfRule type="cellIs" dxfId="12603" priority="599" operator="equal">
      <formula>0</formula>
    </cfRule>
    <cfRule type="cellIs" dxfId="12602" priority="600" operator="greaterThan">
      <formula>0</formula>
    </cfRule>
  </conditionalFormatting>
  <conditionalFormatting sqref="O52:O54">
    <cfRule type="cellIs" dxfId="12601" priority="593" operator="equal">
      <formula>"PMS"</formula>
    </cfRule>
    <cfRule type="containsText" dxfId="12600" priority="594" operator="containsText" text="CMS">
      <formula>NOT(ISERROR(SEARCH("CMS",O52)))</formula>
    </cfRule>
    <cfRule type="cellIs" dxfId="12599" priority="595" operator="equal">
      <formula>0</formula>
    </cfRule>
    <cfRule type="cellIs" dxfId="12598" priority="596" operator="greaterThan">
      <formula>0</formula>
    </cfRule>
  </conditionalFormatting>
  <conditionalFormatting sqref="O52:O54">
    <cfRule type="cellIs" dxfId="12597" priority="589" operator="equal">
      <formula>"PMS"</formula>
    </cfRule>
    <cfRule type="containsText" dxfId="12596" priority="590" operator="containsText" text="CMS">
      <formula>NOT(ISERROR(SEARCH("CMS",O52)))</formula>
    </cfRule>
    <cfRule type="cellIs" dxfId="12595" priority="591" operator="equal">
      <formula>0</formula>
    </cfRule>
    <cfRule type="cellIs" dxfId="12594" priority="592" operator="greaterThan">
      <formula>0</formula>
    </cfRule>
  </conditionalFormatting>
  <conditionalFormatting sqref="O52:O54">
    <cfRule type="cellIs" dxfId="12593" priority="585" operator="equal">
      <formula>"PMS"</formula>
    </cfRule>
    <cfRule type="containsText" dxfId="12592" priority="586" operator="containsText" text="CMS">
      <formula>NOT(ISERROR(SEARCH("CMS",O52)))</formula>
    </cfRule>
    <cfRule type="cellIs" dxfId="12591" priority="587" operator="equal">
      <formula>0</formula>
    </cfRule>
    <cfRule type="cellIs" dxfId="12590" priority="588" operator="greaterThan">
      <formula>0</formula>
    </cfRule>
  </conditionalFormatting>
  <conditionalFormatting sqref="O52:O54">
    <cfRule type="cellIs" dxfId="12589" priority="581" operator="equal">
      <formula>"PMS"</formula>
    </cfRule>
    <cfRule type="containsText" dxfId="12588" priority="582" operator="containsText" text="CMS">
      <formula>NOT(ISERROR(SEARCH("CMS",O52)))</formula>
    </cfRule>
    <cfRule type="cellIs" dxfId="12587" priority="583" operator="equal">
      <formula>0</formula>
    </cfRule>
    <cfRule type="cellIs" dxfId="12586" priority="584" operator="greaterThan">
      <formula>0</formula>
    </cfRule>
  </conditionalFormatting>
  <conditionalFormatting sqref="O52:O54">
    <cfRule type="cellIs" dxfId="12585" priority="577" operator="equal">
      <formula>"PMS"</formula>
    </cfRule>
    <cfRule type="containsText" dxfId="12584" priority="578" operator="containsText" text="CMS">
      <formula>NOT(ISERROR(SEARCH("CMS",O52)))</formula>
    </cfRule>
    <cfRule type="cellIs" dxfId="12583" priority="579" operator="equal">
      <formula>0</formula>
    </cfRule>
    <cfRule type="cellIs" dxfId="12582" priority="580" operator="greaterThan">
      <formula>0</formula>
    </cfRule>
  </conditionalFormatting>
  <conditionalFormatting sqref="O52:O54">
    <cfRule type="cellIs" dxfId="12581" priority="573" operator="equal">
      <formula>"PMS"</formula>
    </cfRule>
    <cfRule type="containsText" dxfId="12580" priority="574" operator="containsText" text="CMS">
      <formula>NOT(ISERROR(SEARCH("CMS",O52)))</formula>
    </cfRule>
    <cfRule type="cellIs" dxfId="12579" priority="575" operator="equal">
      <formula>0</formula>
    </cfRule>
    <cfRule type="cellIs" dxfId="12578" priority="576" operator="greaterThan">
      <formula>0</formula>
    </cfRule>
  </conditionalFormatting>
  <conditionalFormatting sqref="O52:O54">
    <cfRule type="cellIs" dxfId="12577" priority="569" operator="equal">
      <formula>"PMS"</formula>
    </cfRule>
    <cfRule type="containsText" dxfId="12576" priority="570" operator="containsText" text="CMS">
      <formula>NOT(ISERROR(SEARCH("CMS",O52)))</formula>
    </cfRule>
    <cfRule type="cellIs" dxfId="12575" priority="571" operator="equal">
      <formula>0</formula>
    </cfRule>
    <cfRule type="cellIs" dxfId="12574" priority="572" operator="greaterThan">
      <formula>0</formula>
    </cfRule>
  </conditionalFormatting>
  <conditionalFormatting sqref="O52:O54">
    <cfRule type="cellIs" dxfId="12573" priority="565" operator="equal">
      <formula>"PMS"</formula>
    </cfRule>
    <cfRule type="containsText" dxfId="12572" priority="566" operator="containsText" text="CMS">
      <formula>NOT(ISERROR(SEARCH("CMS",O52)))</formula>
    </cfRule>
    <cfRule type="cellIs" dxfId="12571" priority="567" operator="equal">
      <formula>0</formula>
    </cfRule>
    <cfRule type="cellIs" dxfId="12570" priority="568" operator="greaterThan">
      <formula>0</formula>
    </cfRule>
  </conditionalFormatting>
  <conditionalFormatting sqref="O52:O54">
    <cfRule type="cellIs" dxfId="12569" priority="561" operator="equal">
      <formula>"PMS"</formula>
    </cfRule>
    <cfRule type="containsText" dxfId="12568" priority="562" operator="containsText" text="CMS">
      <formula>NOT(ISERROR(SEARCH("CMS",O52)))</formula>
    </cfRule>
    <cfRule type="cellIs" dxfId="12567" priority="563" operator="equal">
      <formula>0</formula>
    </cfRule>
    <cfRule type="cellIs" dxfId="12566" priority="564" operator="greaterThan">
      <formula>0</formula>
    </cfRule>
  </conditionalFormatting>
  <conditionalFormatting sqref="O52:O54">
    <cfRule type="cellIs" dxfId="12565" priority="557" operator="equal">
      <formula>"PMS"</formula>
    </cfRule>
    <cfRule type="containsText" dxfId="12564" priority="558" operator="containsText" text="CMS">
      <formula>NOT(ISERROR(SEARCH("CMS",O52)))</formula>
    </cfRule>
    <cfRule type="cellIs" dxfId="12563" priority="559" operator="equal">
      <formula>0</formula>
    </cfRule>
    <cfRule type="cellIs" dxfId="12562" priority="560" operator="greaterThan">
      <formula>0</formula>
    </cfRule>
  </conditionalFormatting>
  <conditionalFormatting sqref="O52:O54">
    <cfRule type="cellIs" dxfId="12561" priority="553" operator="equal">
      <formula>"PMS"</formula>
    </cfRule>
    <cfRule type="containsText" dxfId="12560" priority="554" operator="containsText" text="CMS">
      <formula>NOT(ISERROR(SEARCH("CMS",O52)))</formula>
    </cfRule>
    <cfRule type="cellIs" dxfId="12559" priority="555" operator="equal">
      <formula>0</formula>
    </cfRule>
    <cfRule type="cellIs" dxfId="12558" priority="556" operator="greaterThan">
      <formula>0</formula>
    </cfRule>
  </conditionalFormatting>
  <conditionalFormatting sqref="O52:O54">
    <cfRule type="cellIs" dxfId="12557" priority="549" operator="equal">
      <formula>"PMS"</formula>
    </cfRule>
    <cfRule type="containsText" dxfId="12556" priority="550" operator="containsText" text="CMS">
      <formula>NOT(ISERROR(SEARCH("CMS",O52)))</formula>
    </cfRule>
    <cfRule type="cellIs" dxfId="12555" priority="551" operator="equal">
      <formula>0</formula>
    </cfRule>
    <cfRule type="cellIs" dxfId="12554" priority="552" operator="greaterThan">
      <formula>0</formula>
    </cfRule>
  </conditionalFormatting>
  <conditionalFormatting sqref="O58">
    <cfRule type="cellIs" dxfId="12553" priority="545" operator="equal">
      <formula>"PMS"</formula>
    </cfRule>
    <cfRule type="containsText" dxfId="12552" priority="546" operator="containsText" text="CMS">
      <formula>NOT(ISERROR(SEARCH("CMS",O58)))</formula>
    </cfRule>
    <cfRule type="cellIs" dxfId="12551" priority="547" operator="equal">
      <formula>0</formula>
    </cfRule>
    <cfRule type="cellIs" dxfId="12550" priority="548" operator="greaterThan">
      <formula>0</formula>
    </cfRule>
  </conditionalFormatting>
  <conditionalFormatting sqref="O58">
    <cfRule type="cellIs" dxfId="12549" priority="541" operator="equal">
      <formula>"PMS"</formula>
    </cfRule>
    <cfRule type="containsText" dxfId="12548" priority="542" operator="containsText" text="CMS">
      <formula>NOT(ISERROR(SEARCH("CMS",O58)))</formula>
    </cfRule>
    <cfRule type="cellIs" dxfId="12547" priority="543" operator="equal">
      <formula>0</formula>
    </cfRule>
    <cfRule type="cellIs" dxfId="12546" priority="544" operator="greaterThan">
      <formula>0</formula>
    </cfRule>
  </conditionalFormatting>
  <conditionalFormatting sqref="O58">
    <cfRule type="cellIs" dxfId="12545" priority="537" operator="equal">
      <formula>"PMS"</formula>
    </cfRule>
    <cfRule type="containsText" dxfId="12544" priority="538" operator="containsText" text="CMS">
      <formula>NOT(ISERROR(SEARCH("CMS",O58)))</formula>
    </cfRule>
    <cfRule type="cellIs" dxfId="12543" priority="539" operator="equal">
      <formula>0</formula>
    </cfRule>
    <cfRule type="cellIs" dxfId="12542" priority="540" operator="greaterThan">
      <formula>0</formula>
    </cfRule>
  </conditionalFormatting>
  <conditionalFormatting sqref="O58">
    <cfRule type="cellIs" dxfId="12541" priority="533" operator="equal">
      <formula>"PMS"</formula>
    </cfRule>
    <cfRule type="containsText" dxfId="12540" priority="534" operator="containsText" text="CMS">
      <formula>NOT(ISERROR(SEARCH("CMS",O58)))</formula>
    </cfRule>
    <cfRule type="cellIs" dxfId="12539" priority="535" operator="equal">
      <formula>0</formula>
    </cfRule>
    <cfRule type="cellIs" dxfId="12538" priority="536" operator="greaterThan">
      <formula>0</formula>
    </cfRule>
  </conditionalFormatting>
  <conditionalFormatting sqref="O58">
    <cfRule type="cellIs" dxfId="12537" priority="529" operator="equal">
      <formula>"PMS"</formula>
    </cfRule>
    <cfRule type="containsText" dxfId="12536" priority="530" operator="containsText" text="CMS">
      <formula>NOT(ISERROR(SEARCH("CMS",O58)))</formula>
    </cfRule>
    <cfRule type="cellIs" dxfId="12535" priority="531" operator="equal">
      <formula>0</formula>
    </cfRule>
    <cfRule type="cellIs" dxfId="12534" priority="532" operator="greaterThan">
      <formula>0</formula>
    </cfRule>
  </conditionalFormatting>
  <conditionalFormatting sqref="O58">
    <cfRule type="cellIs" dxfId="12533" priority="525" operator="equal">
      <formula>"PMS"</formula>
    </cfRule>
    <cfRule type="containsText" dxfId="12532" priority="526" operator="containsText" text="CMS">
      <formula>NOT(ISERROR(SEARCH("CMS",O58)))</formula>
    </cfRule>
    <cfRule type="cellIs" dxfId="12531" priority="527" operator="equal">
      <formula>0</formula>
    </cfRule>
    <cfRule type="cellIs" dxfId="12530" priority="528" operator="greaterThan">
      <formula>0</formula>
    </cfRule>
  </conditionalFormatting>
  <conditionalFormatting sqref="O58">
    <cfRule type="cellIs" dxfId="12529" priority="521" operator="equal">
      <formula>"PMS"</formula>
    </cfRule>
    <cfRule type="containsText" dxfId="12528" priority="522" operator="containsText" text="CMS">
      <formula>NOT(ISERROR(SEARCH("CMS",O58)))</formula>
    </cfRule>
    <cfRule type="cellIs" dxfId="12527" priority="523" operator="equal">
      <formula>0</formula>
    </cfRule>
    <cfRule type="cellIs" dxfId="12526" priority="524" operator="greaterThan">
      <formula>0</formula>
    </cfRule>
  </conditionalFormatting>
  <conditionalFormatting sqref="O58">
    <cfRule type="cellIs" dxfId="12525" priority="517" operator="equal">
      <formula>"PMS"</formula>
    </cfRule>
    <cfRule type="containsText" dxfId="12524" priority="518" operator="containsText" text="CMS">
      <formula>NOT(ISERROR(SEARCH("CMS",O58)))</formula>
    </cfRule>
    <cfRule type="cellIs" dxfId="12523" priority="519" operator="equal">
      <formula>0</formula>
    </cfRule>
    <cfRule type="cellIs" dxfId="12522" priority="520" operator="greaterThan">
      <formula>0</formula>
    </cfRule>
  </conditionalFormatting>
  <conditionalFormatting sqref="O58">
    <cfRule type="cellIs" dxfId="12521" priority="513" operator="equal">
      <formula>"PMS"</formula>
    </cfRule>
    <cfRule type="containsText" dxfId="12520" priority="514" operator="containsText" text="CMS">
      <formula>NOT(ISERROR(SEARCH("CMS",O58)))</formula>
    </cfRule>
    <cfRule type="cellIs" dxfId="12519" priority="515" operator="equal">
      <formula>0</formula>
    </cfRule>
    <cfRule type="cellIs" dxfId="12518" priority="516" operator="greaterThan">
      <formula>0</formula>
    </cfRule>
  </conditionalFormatting>
  <conditionalFormatting sqref="O58">
    <cfRule type="cellIs" dxfId="12517" priority="509" operator="equal">
      <formula>"PMS"</formula>
    </cfRule>
    <cfRule type="containsText" dxfId="12516" priority="510" operator="containsText" text="CMS">
      <formula>NOT(ISERROR(SEARCH("CMS",O58)))</formula>
    </cfRule>
    <cfRule type="cellIs" dxfId="12515" priority="511" operator="equal">
      <formula>0</formula>
    </cfRule>
    <cfRule type="cellIs" dxfId="12514" priority="512" operator="greaterThan">
      <formula>0</formula>
    </cfRule>
  </conditionalFormatting>
  <conditionalFormatting sqref="O58">
    <cfRule type="cellIs" dxfId="12513" priority="505" operator="equal">
      <formula>"PMS"</formula>
    </cfRule>
    <cfRule type="containsText" dxfId="12512" priority="506" operator="containsText" text="CMS">
      <formula>NOT(ISERROR(SEARCH("CMS",O58)))</formula>
    </cfRule>
    <cfRule type="cellIs" dxfId="12511" priority="507" operator="equal">
      <formula>0</formula>
    </cfRule>
    <cfRule type="cellIs" dxfId="12510" priority="508" operator="greaterThan">
      <formula>0</formula>
    </cfRule>
  </conditionalFormatting>
  <conditionalFormatting sqref="O58">
    <cfRule type="cellIs" dxfId="12509" priority="501" operator="equal">
      <formula>"PMS"</formula>
    </cfRule>
    <cfRule type="containsText" dxfId="12508" priority="502" operator="containsText" text="CMS">
      <formula>NOT(ISERROR(SEARCH("CMS",O58)))</formula>
    </cfRule>
    <cfRule type="cellIs" dxfId="12507" priority="503" operator="equal">
      <formula>0</formula>
    </cfRule>
    <cfRule type="cellIs" dxfId="12506" priority="504" operator="greaterThan">
      <formula>0</formula>
    </cfRule>
  </conditionalFormatting>
  <conditionalFormatting sqref="O58">
    <cfRule type="cellIs" dxfId="12505" priority="497" operator="equal">
      <formula>"PMS"</formula>
    </cfRule>
    <cfRule type="containsText" dxfId="12504" priority="498" operator="containsText" text="CMS">
      <formula>NOT(ISERROR(SEARCH("CMS",O58)))</formula>
    </cfRule>
    <cfRule type="cellIs" dxfId="12503" priority="499" operator="equal">
      <formula>0</formula>
    </cfRule>
    <cfRule type="cellIs" dxfId="12502" priority="500" operator="greaterThan">
      <formula>0</formula>
    </cfRule>
  </conditionalFormatting>
  <conditionalFormatting sqref="O58">
    <cfRule type="cellIs" dxfId="12501" priority="493" operator="equal">
      <formula>"PMS"</formula>
    </cfRule>
    <cfRule type="containsText" dxfId="12500" priority="494" operator="containsText" text="CMS">
      <formula>NOT(ISERROR(SEARCH("CMS",O58)))</formula>
    </cfRule>
    <cfRule type="cellIs" dxfId="12499" priority="495" operator="equal">
      <formula>0</formula>
    </cfRule>
    <cfRule type="cellIs" dxfId="12498" priority="496" operator="greaterThan">
      <formula>0</formula>
    </cfRule>
  </conditionalFormatting>
  <conditionalFormatting sqref="O58">
    <cfRule type="cellIs" dxfId="12497" priority="489" operator="equal">
      <formula>"PMS"</formula>
    </cfRule>
    <cfRule type="containsText" dxfId="12496" priority="490" operator="containsText" text="CMS">
      <formula>NOT(ISERROR(SEARCH("CMS",O58)))</formula>
    </cfRule>
    <cfRule type="cellIs" dxfId="12495" priority="491" operator="equal">
      <formula>0</formula>
    </cfRule>
    <cfRule type="cellIs" dxfId="12494" priority="492" operator="greaterThan">
      <formula>0</formula>
    </cfRule>
  </conditionalFormatting>
  <conditionalFormatting sqref="O58">
    <cfRule type="cellIs" dxfId="12493" priority="485" operator="equal">
      <formula>"PMS"</formula>
    </cfRule>
    <cfRule type="containsText" dxfId="12492" priority="486" operator="containsText" text="CMS">
      <formula>NOT(ISERROR(SEARCH("CMS",O58)))</formula>
    </cfRule>
    <cfRule type="cellIs" dxfId="12491" priority="487" operator="equal">
      <formula>0</formula>
    </cfRule>
    <cfRule type="cellIs" dxfId="12490" priority="488" operator="greaterThan">
      <formula>0</formula>
    </cfRule>
  </conditionalFormatting>
  <conditionalFormatting sqref="O58">
    <cfRule type="cellIs" dxfId="12489" priority="481" operator="equal">
      <formula>"PMS"</formula>
    </cfRule>
    <cfRule type="containsText" dxfId="12488" priority="482" operator="containsText" text="CMS">
      <formula>NOT(ISERROR(SEARCH("CMS",O58)))</formula>
    </cfRule>
    <cfRule type="cellIs" dxfId="12487" priority="483" operator="equal">
      <formula>0</formula>
    </cfRule>
    <cfRule type="cellIs" dxfId="12486" priority="484" operator="greaterThan">
      <formula>0</formula>
    </cfRule>
  </conditionalFormatting>
  <conditionalFormatting sqref="O58">
    <cfRule type="cellIs" dxfId="12485" priority="477" operator="equal">
      <formula>"PMS"</formula>
    </cfRule>
    <cfRule type="containsText" dxfId="12484" priority="478" operator="containsText" text="CMS">
      <formula>NOT(ISERROR(SEARCH("CMS",O58)))</formula>
    </cfRule>
    <cfRule type="cellIs" dxfId="12483" priority="479" operator="equal">
      <formula>0</formula>
    </cfRule>
    <cfRule type="cellIs" dxfId="12482" priority="480" operator="greaterThan">
      <formula>0</formula>
    </cfRule>
  </conditionalFormatting>
  <conditionalFormatting sqref="O58">
    <cfRule type="cellIs" dxfId="12481" priority="473" operator="equal">
      <formula>"PMS"</formula>
    </cfRule>
    <cfRule type="containsText" dxfId="12480" priority="474" operator="containsText" text="CMS">
      <formula>NOT(ISERROR(SEARCH("CMS",O58)))</formula>
    </cfRule>
    <cfRule type="cellIs" dxfId="12479" priority="475" operator="equal">
      <formula>0</formula>
    </cfRule>
    <cfRule type="cellIs" dxfId="12478" priority="476" operator="greaterThan">
      <formula>0</formula>
    </cfRule>
  </conditionalFormatting>
  <conditionalFormatting sqref="O58">
    <cfRule type="cellIs" dxfId="12477" priority="469" operator="equal">
      <formula>"PMS"</formula>
    </cfRule>
    <cfRule type="containsText" dxfId="12476" priority="470" operator="containsText" text="CMS">
      <formula>NOT(ISERROR(SEARCH("CMS",O58)))</formula>
    </cfRule>
    <cfRule type="cellIs" dxfId="12475" priority="471" operator="equal">
      <formula>0</formula>
    </cfRule>
    <cfRule type="cellIs" dxfId="12474" priority="472" operator="greaterThan">
      <formula>0</formula>
    </cfRule>
  </conditionalFormatting>
  <conditionalFormatting sqref="O58">
    <cfRule type="cellIs" dxfId="12473" priority="465" operator="equal">
      <formula>"PMS"</formula>
    </cfRule>
    <cfRule type="containsText" dxfId="12472" priority="466" operator="containsText" text="CMS">
      <formula>NOT(ISERROR(SEARCH("CMS",O58)))</formula>
    </cfRule>
    <cfRule type="cellIs" dxfId="12471" priority="467" operator="equal">
      <formula>0</formula>
    </cfRule>
    <cfRule type="cellIs" dxfId="12470" priority="468" operator="greaterThan">
      <formula>0</formula>
    </cfRule>
  </conditionalFormatting>
  <conditionalFormatting sqref="O58">
    <cfRule type="cellIs" dxfId="12469" priority="461" operator="equal">
      <formula>"PMS"</formula>
    </cfRule>
    <cfRule type="containsText" dxfId="12468" priority="462" operator="containsText" text="CMS">
      <formula>NOT(ISERROR(SEARCH("CMS",O58)))</formula>
    </cfRule>
    <cfRule type="cellIs" dxfId="12467" priority="463" operator="equal">
      <formula>0</formula>
    </cfRule>
    <cfRule type="cellIs" dxfId="12466" priority="464" operator="greaterThan">
      <formula>0</formula>
    </cfRule>
  </conditionalFormatting>
  <conditionalFormatting sqref="O58">
    <cfRule type="cellIs" dxfId="12465" priority="457" operator="equal">
      <formula>"PMS"</formula>
    </cfRule>
    <cfRule type="containsText" dxfId="12464" priority="458" operator="containsText" text="CMS">
      <formula>NOT(ISERROR(SEARCH("CMS",O58)))</formula>
    </cfRule>
    <cfRule type="cellIs" dxfId="12463" priority="459" operator="equal">
      <formula>0</formula>
    </cfRule>
    <cfRule type="cellIs" dxfId="12462" priority="460" operator="greaterThan">
      <formula>0</formula>
    </cfRule>
  </conditionalFormatting>
  <conditionalFormatting sqref="O58">
    <cfRule type="cellIs" dxfId="12461" priority="453" operator="equal">
      <formula>"PMS"</formula>
    </cfRule>
    <cfRule type="containsText" dxfId="12460" priority="454" operator="containsText" text="CMS">
      <formula>NOT(ISERROR(SEARCH("CMS",O58)))</formula>
    </cfRule>
    <cfRule type="cellIs" dxfId="12459" priority="455" operator="equal">
      <formula>0</formula>
    </cfRule>
    <cfRule type="cellIs" dxfId="12458" priority="456" operator="greaterThan">
      <formula>0</formula>
    </cfRule>
  </conditionalFormatting>
  <conditionalFormatting sqref="O58">
    <cfRule type="cellIs" dxfId="12457" priority="449" operator="equal">
      <formula>"PMS"</formula>
    </cfRule>
    <cfRule type="containsText" dxfId="12456" priority="450" operator="containsText" text="CMS">
      <formula>NOT(ISERROR(SEARCH("CMS",O58)))</formula>
    </cfRule>
    <cfRule type="cellIs" dxfId="12455" priority="451" operator="equal">
      <formula>0</formula>
    </cfRule>
    <cfRule type="cellIs" dxfId="12454" priority="452" operator="greaterThan">
      <formula>0</formula>
    </cfRule>
  </conditionalFormatting>
  <conditionalFormatting sqref="O58">
    <cfRule type="cellIs" dxfId="12453" priority="445" operator="equal">
      <formula>"PMS"</formula>
    </cfRule>
    <cfRule type="containsText" dxfId="12452" priority="446" operator="containsText" text="CMS">
      <formula>NOT(ISERROR(SEARCH("CMS",O58)))</formula>
    </cfRule>
    <cfRule type="cellIs" dxfId="12451" priority="447" operator="equal">
      <formula>0</formula>
    </cfRule>
    <cfRule type="cellIs" dxfId="12450" priority="448" operator="greaterThan">
      <formula>0</formula>
    </cfRule>
  </conditionalFormatting>
  <conditionalFormatting sqref="O58">
    <cfRule type="cellIs" dxfId="12449" priority="441" operator="equal">
      <formula>"PMS"</formula>
    </cfRule>
    <cfRule type="containsText" dxfId="12448" priority="442" operator="containsText" text="CMS">
      <formula>NOT(ISERROR(SEARCH("CMS",O58)))</formula>
    </cfRule>
    <cfRule type="cellIs" dxfId="12447" priority="443" operator="equal">
      <formula>0</formula>
    </cfRule>
    <cfRule type="cellIs" dxfId="12446" priority="444" operator="greaterThan">
      <formula>0</formula>
    </cfRule>
  </conditionalFormatting>
  <conditionalFormatting sqref="O58">
    <cfRule type="cellIs" dxfId="12445" priority="437" operator="equal">
      <formula>"PMS"</formula>
    </cfRule>
    <cfRule type="containsText" dxfId="12444" priority="438" operator="containsText" text="CMS">
      <formula>NOT(ISERROR(SEARCH("CMS",O58)))</formula>
    </cfRule>
    <cfRule type="cellIs" dxfId="12443" priority="439" operator="equal">
      <formula>0</formula>
    </cfRule>
    <cfRule type="cellIs" dxfId="12442" priority="440" operator="greaterThan">
      <formula>0</formula>
    </cfRule>
  </conditionalFormatting>
  <conditionalFormatting sqref="O58">
    <cfRule type="cellIs" dxfId="12441" priority="433" operator="equal">
      <formula>"PMS"</formula>
    </cfRule>
    <cfRule type="containsText" dxfId="12440" priority="434" operator="containsText" text="CMS">
      <formula>NOT(ISERROR(SEARCH("CMS",O58)))</formula>
    </cfRule>
    <cfRule type="cellIs" dxfId="12439" priority="435" operator="equal">
      <formula>0</formula>
    </cfRule>
    <cfRule type="cellIs" dxfId="12438" priority="436" operator="greaterThan">
      <formula>0</formula>
    </cfRule>
  </conditionalFormatting>
  <conditionalFormatting sqref="O58">
    <cfRule type="cellIs" dxfId="12437" priority="429" operator="equal">
      <formula>"PMS"</formula>
    </cfRule>
    <cfRule type="containsText" dxfId="12436" priority="430" operator="containsText" text="CMS">
      <formula>NOT(ISERROR(SEARCH("CMS",O58)))</formula>
    </cfRule>
    <cfRule type="cellIs" dxfId="12435" priority="431" operator="equal">
      <formula>0</formula>
    </cfRule>
    <cfRule type="cellIs" dxfId="12434" priority="432" operator="greaterThan">
      <formula>0</formula>
    </cfRule>
  </conditionalFormatting>
  <conditionalFormatting sqref="O58">
    <cfRule type="cellIs" dxfId="12433" priority="425" operator="equal">
      <formula>"PMS"</formula>
    </cfRule>
    <cfRule type="containsText" dxfId="12432" priority="426" operator="containsText" text="CMS">
      <formula>NOT(ISERROR(SEARCH("CMS",O58)))</formula>
    </cfRule>
    <cfRule type="cellIs" dxfId="12431" priority="427" operator="equal">
      <formula>0</formula>
    </cfRule>
    <cfRule type="cellIs" dxfId="12430" priority="428" operator="greaterThan">
      <formula>0</formula>
    </cfRule>
  </conditionalFormatting>
  <conditionalFormatting sqref="O58">
    <cfRule type="cellIs" dxfId="12429" priority="421" operator="equal">
      <formula>"PMS"</formula>
    </cfRule>
    <cfRule type="containsText" dxfId="12428" priority="422" operator="containsText" text="CMS">
      <formula>NOT(ISERROR(SEARCH("CMS",O58)))</formula>
    </cfRule>
    <cfRule type="cellIs" dxfId="12427" priority="423" operator="equal">
      <formula>0</formula>
    </cfRule>
    <cfRule type="cellIs" dxfId="12426" priority="424" operator="greaterThan">
      <formula>0</formula>
    </cfRule>
  </conditionalFormatting>
  <conditionalFormatting sqref="O58">
    <cfRule type="cellIs" dxfId="12425" priority="417" operator="equal">
      <formula>"PMS"</formula>
    </cfRule>
    <cfRule type="containsText" dxfId="12424" priority="418" operator="containsText" text="CMS">
      <formula>NOT(ISERROR(SEARCH("CMS",O58)))</formula>
    </cfRule>
    <cfRule type="cellIs" dxfId="12423" priority="419" operator="equal">
      <formula>0</formula>
    </cfRule>
    <cfRule type="cellIs" dxfId="12422" priority="420" operator="greaterThan">
      <formula>0</formula>
    </cfRule>
  </conditionalFormatting>
  <conditionalFormatting sqref="O58">
    <cfRule type="cellIs" dxfId="12421" priority="413" operator="equal">
      <formula>"PMS"</formula>
    </cfRule>
    <cfRule type="containsText" dxfId="12420" priority="414" operator="containsText" text="CMS">
      <formula>NOT(ISERROR(SEARCH("CMS",O58)))</formula>
    </cfRule>
    <cfRule type="cellIs" dxfId="12419" priority="415" operator="equal">
      <formula>0</formula>
    </cfRule>
    <cfRule type="cellIs" dxfId="12418" priority="416" operator="greaterThan">
      <formula>0</formula>
    </cfRule>
  </conditionalFormatting>
  <conditionalFormatting sqref="O58">
    <cfRule type="cellIs" dxfId="12417" priority="409" operator="equal">
      <formula>"PMS"</formula>
    </cfRule>
    <cfRule type="containsText" dxfId="12416" priority="410" operator="containsText" text="CMS">
      <formula>NOT(ISERROR(SEARCH("CMS",O58)))</formula>
    </cfRule>
    <cfRule type="cellIs" dxfId="12415" priority="411" operator="equal">
      <formula>0</formula>
    </cfRule>
    <cfRule type="cellIs" dxfId="12414" priority="412" operator="greaterThan">
      <formula>0</formula>
    </cfRule>
  </conditionalFormatting>
  <conditionalFormatting sqref="O58">
    <cfRule type="cellIs" dxfId="12413" priority="405" operator="equal">
      <formula>"PMS"</formula>
    </cfRule>
    <cfRule type="containsText" dxfId="12412" priority="406" operator="containsText" text="CMS">
      <formula>NOT(ISERROR(SEARCH("CMS",O58)))</formula>
    </cfRule>
    <cfRule type="cellIs" dxfId="12411" priority="407" operator="equal">
      <formula>0</formula>
    </cfRule>
    <cfRule type="cellIs" dxfId="12410" priority="408" operator="greaterThan">
      <formula>0</formula>
    </cfRule>
  </conditionalFormatting>
  <conditionalFormatting sqref="O58">
    <cfRule type="cellIs" dxfId="12409" priority="401" operator="equal">
      <formula>"PMS"</formula>
    </cfRule>
    <cfRule type="containsText" dxfId="12408" priority="402" operator="containsText" text="CMS">
      <formula>NOT(ISERROR(SEARCH("CMS",O58)))</formula>
    </cfRule>
    <cfRule type="cellIs" dxfId="12407" priority="403" operator="equal">
      <formula>0</formula>
    </cfRule>
    <cfRule type="cellIs" dxfId="12406" priority="404" operator="greaterThan">
      <formula>0</formula>
    </cfRule>
  </conditionalFormatting>
  <conditionalFormatting sqref="O58">
    <cfRule type="cellIs" dxfId="12405" priority="397" operator="equal">
      <formula>"PMS"</formula>
    </cfRule>
    <cfRule type="containsText" dxfId="12404" priority="398" operator="containsText" text="CMS">
      <formula>NOT(ISERROR(SEARCH("CMS",O58)))</formula>
    </cfRule>
    <cfRule type="cellIs" dxfId="12403" priority="399" operator="equal">
      <formula>0</formula>
    </cfRule>
    <cfRule type="cellIs" dxfId="12402" priority="400" operator="greaterThan">
      <formula>0</formula>
    </cfRule>
  </conditionalFormatting>
  <conditionalFormatting sqref="O58">
    <cfRule type="cellIs" dxfId="12401" priority="393" operator="equal">
      <formula>"PMS"</formula>
    </cfRule>
    <cfRule type="containsText" dxfId="12400" priority="394" operator="containsText" text="CMS">
      <formula>NOT(ISERROR(SEARCH("CMS",O58)))</formula>
    </cfRule>
    <cfRule type="cellIs" dxfId="12399" priority="395" operator="equal">
      <formula>0</formula>
    </cfRule>
    <cfRule type="cellIs" dxfId="12398" priority="396" operator="greaterThan">
      <formula>0</formula>
    </cfRule>
  </conditionalFormatting>
  <conditionalFormatting sqref="O58">
    <cfRule type="cellIs" dxfId="12397" priority="389" operator="equal">
      <formula>"PMS"</formula>
    </cfRule>
    <cfRule type="containsText" dxfId="12396" priority="390" operator="containsText" text="CMS">
      <formula>NOT(ISERROR(SEARCH("CMS",O58)))</formula>
    </cfRule>
    <cfRule type="cellIs" dxfId="12395" priority="391" operator="equal">
      <formula>0</formula>
    </cfRule>
    <cfRule type="cellIs" dxfId="12394" priority="392" operator="greaterThan">
      <formula>0</formula>
    </cfRule>
  </conditionalFormatting>
  <conditionalFormatting sqref="O58">
    <cfRule type="cellIs" dxfId="12393" priority="385" operator="equal">
      <formula>"PMS"</formula>
    </cfRule>
    <cfRule type="containsText" dxfId="12392" priority="386" operator="containsText" text="CMS">
      <formula>NOT(ISERROR(SEARCH("CMS",O58)))</formula>
    </cfRule>
    <cfRule type="cellIs" dxfId="12391" priority="387" operator="equal">
      <formula>0</formula>
    </cfRule>
    <cfRule type="cellIs" dxfId="12390" priority="388" operator="greaterThan">
      <formula>0</formula>
    </cfRule>
  </conditionalFormatting>
  <conditionalFormatting sqref="O58">
    <cfRule type="cellIs" dxfId="12389" priority="381" operator="equal">
      <formula>"PMS"</formula>
    </cfRule>
    <cfRule type="containsText" dxfId="12388" priority="382" operator="containsText" text="CMS">
      <formula>NOT(ISERROR(SEARCH("CMS",O58)))</formula>
    </cfRule>
    <cfRule type="cellIs" dxfId="12387" priority="383" operator="equal">
      <formula>0</formula>
    </cfRule>
    <cfRule type="cellIs" dxfId="12386" priority="384" operator="greaterThan">
      <formula>0</formula>
    </cfRule>
  </conditionalFormatting>
  <conditionalFormatting sqref="O58">
    <cfRule type="cellIs" dxfId="12385" priority="377" operator="equal">
      <formula>"PMS"</formula>
    </cfRule>
    <cfRule type="containsText" dxfId="12384" priority="378" operator="containsText" text="CMS">
      <formula>NOT(ISERROR(SEARCH("CMS",O58)))</formula>
    </cfRule>
    <cfRule type="cellIs" dxfId="12383" priority="379" operator="equal">
      <formula>0</formula>
    </cfRule>
    <cfRule type="cellIs" dxfId="12382" priority="380" operator="greaterThan">
      <formula>0</formula>
    </cfRule>
  </conditionalFormatting>
  <conditionalFormatting sqref="O58">
    <cfRule type="cellIs" dxfId="12381" priority="373" operator="equal">
      <formula>"PMS"</formula>
    </cfRule>
    <cfRule type="containsText" dxfId="12380" priority="374" operator="containsText" text="CMS">
      <formula>NOT(ISERROR(SEARCH("CMS",O58)))</formula>
    </cfRule>
    <cfRule type="cellIs" dxfId="12379" priority="375" operator="equal">
      <formula>0</formula>
    </cfRule>
    <cfRule type="cellIs" dxfId="12378" priority="376" operator="greaterThan">
      <formula>0</formula>
    </cfRule>
  </conditionalFormatting>
  <conditionalFormatting sqref="O58">
    <cfRule type="cellIs" dxfId="12377" priority="369" operator="equal">
      <formula>"PMS"</formula>
    </cfRule>
    <cfRule type="containsText" dxfId="12376" priority="370" operator="containsText" text="CMS">
      <formula>NOT(ISERROR(SEARCH("CMS",O58)))</formula>
    </cfRule>
    <cfRule type="cellIs" dxfId="12375" priority="371" operator="equal">
      <formula>0</formula>
    </cfRule>
    <cfRule type="cellIs" dxfId="12374" priority="372" operator="greaterThan">
      <formula>0</formula>
    </cfRule>
  </conditionalFormatting>
  <conditionalFormatting sqref="O58">
    <cfRule type="cellIs" dxfId="12373" priority="365" operator="equal">
      <formula>"PMS"</formula>
    </cfRule>
    <cfRule type="containsText" dxfId="12372" priority="366" operator="containsText" text="CMS">
      <formula>NOT(ISERROR(SEARCH("CMS",O58)))</formula>
    </cfRule>
    <cfRule type="cellIs" dxfId="12371" priority="367" operator="equal">
      <formula>0</formula>
    </cfRule>
    <cfRule type="cellIs" dxfId="12370" priority="368" operator="greaterThan">
      <formula>0</formula>
    </cfRule>
  </conditionalFormatting>
  <conditionalFormatting sqref="O58">
    <cfRule type="cellIs" dxfId="12369" priority="361" operator="equal">
      <formula>"PMS"</formula>
    </cfRule>
    <cfRule type="containsText" dxfId="12368" priority="362" operator="containsText" text="CMS">
      <formula>NOT(ISERROR(SEARCH("CMS",O58)))</formula>
    </cfRule>
    <cfRule type="cellIs" dxfId="12367" priority="363" operator="equal">
      <formula>0</formula>
    </cfRule>
    <cfRule type="cellIs" dxfId="12366" priority="364" operator="greaterThan">
      <formula>0</formula>
    </cfRule>
  </conditionalFormatting>
  <conditionalFormatting sqref="O58">
    <cfRule type="cellIs" dxfId="12365" priority="357" operator="equal">
      <formula>"PMS"</formula>
    </cfRule>
    <cfRule type="containsText" dxfId="12364" priority="358" operator="containsText" text="CMS">
      <formula>NOT(ISERROR(SEARCH("CMS",O58)))</formula>
    </cfRule>
    <cfRule type="cellIs" dxfId="12363" priority="359" operator="equal">
      <formula>0</formula>
    </cfRule>
    <cfRule type="cellIs" dxfId="12362" priority="360" operator="greaterThan">
      <formula>0</formula>
    </cfRule>
  </conditionalFormatting>
  <conditionalFormatting sqref="O58">
    <cfRule type="cellIs" dxfId="12361" priority="353" operator="equal">
      <formula>"PMS"</formula>
    </cfRule>
    <cfRule type="containsText" dxfId="12360" priority="354" operator="containsText" text="CMS">
      <formula>NOT(ISERROR(SEARCH("CMS",O58)))</formula>
    </cfRule>
    <cfRule type="cellIs" dxfId="12359" priority="355" operator="equal">
      <formula>0</formula>
    </cfRule>
    <cfRule type="cellIs" dxfId="12358" priority="356" operator="greaterThan">
      <formula>0</formula>
    </cfRule>
  </conditionalFormatting>
  <conditionalFormatting sqref="O58">
    <cfRule type="cellIs" dxfId="12357" priority="349" operator="equal">
      <formula>"PMS"</formula>
    </cfRule>
    <cfRule type="containsText" dxfId="12356" priority="350" operator="containsText" text="CMS">
      <formula>NOT(ISERROR(SEARCH("CMS",O58)))</formula>
    </cfRule>
    <cfRule type="cellIs" dxfId="12355" priority="351" operator="equal">
      <formula>0</formula>
    </cfRule>
    <cfRule type="cellIs" dxfId="12354" priority="352" operator="greaterThan">
      <formula>0</formula>
    </cfRule>
  </conditionalFormatting>
  <conditionalFormatting sqref="O58">
    <cfRule type="cellIs" dxfId="12353" priority="345" operator="equal">
      <formula>"PMS"</formula>
    </cfRule>
    <cfRule type="containsText" dxfId="12352" priority="346" operator="containsText" text="CMS">
      <formula>NOT(ISERROR(SEARCH("CMS",O58)))</formula>
    </cfRule>
    <cfRule type="cellIs" dxfId="12351" priority="347" operator="equal">
      <formula>0</formula>
    </cfRule>
    <cfRule type="cellIs" dxfId="12350" priority="348" operator="greaterThan">
      <formula>0</formula>
    </cfRule>
  </conditionalFormatting>
  <conditionalFormatting sqref="O58">
    <cfRule type="cellIs" dxfId="12349" priority="341" operator="equal">
      <formula>"PMS"</formula>
    </cfRule>
    <cfRule type="containsText" dxfId="12348" priority="342" operator="containsText" text="CMS">
      <formula>NOT(ISERROR(SEARCH("CMS",O58)))</formula>
    </cfRule>
    <cfRule type="cellIs" dxfId="12347" priority="343" operator="equal">
      <formula>0</formula>
    </cfRule>
    <cfRule type="cellIs" dxfId="12346" priority="344" operator="greaterThan">
      <formula>0</formula>
    </cfRule>
  </conditionalFormatting>
  <conditionalFormatting sqref="O58">
    <cfRule type="cellIs" dxfId="12345" priority="337" operator="equal">
      <formula>"PMS"</formula>
    </cfRule>
    <cfRule type="containsText" dxfId="12344" priority="338" operator="containsText" text="CMS">
      <formula>NOT(ISERROR(SEARCH("CMS",O58)))</formula>
    </cfRule>
    <cfRule type="cellIs" dxfId="12343" priority="339" operator="equal">
      <formula>0</formula>
    </cfRule>
    <cfRule type="cellIs" dxfId="12342" priority="340" operator="greaterThan">
      <formula>0</formula>
    </cfRule>
  </conditionalFormatting>
  <conditionalFormatting sqref="O58">
    <cfRule type="cellIs" dxfId="12341" priority="333" operator="equal">
      <formula>"PMS"</formula>
    </cfRule>
    <cfRule type="containsText" dxfId="12340" priority="334" operator="containsText" text="CMS">
      <formula>NOT(ISERROR(SEARCH("CMS",O58)))</formula>
    </cfRule>
    <cfRule type="cellIs" dxfId="12339" priority="335" operator="equal">
      <formula>0</formula>
    </cfRule>
    <cfRule type="cellIs" dxfId="12338" priority="336" operator="greaterThan">
      <formula>0</formula>
    </cfRule>
  </conditionalFormatting>
  <conditionalFormatting sqref="O58">
    <cfRule type="cellIs" dxfId="12337" priority="329" operator="equal">
      <formula>"PMS"</formula>
    </cfRule>
    <cfRule type="containsText" dxfId="12336" priority="330" operator="containsText" text="CMS">
      <formula>NOT(ISERROR(SEARCH("CMS",O58)))</formula>
    </cfRule>
    <cfRule type="cellIs" dxfId="12335" priority="331" operator="equal">
      <formula>0</formula>
    </cfRule>
    <cfRule type="cellIs" dxfId="12334" priority="332" operator="greaterThan">
      <formula>0</formula>
    </cfRule>
  </conditionalFormatting>
  <conditionalFormatting sqref="O58">
    <cfRule type="cellIs" dxfId="12333" priority="325" operator="equal">
      <formula>"PMS"</formula>
    </cfRule>
    <cfRule type="containsText" dxfId="12332" priority="326" operator="containsText" text="CMS">
      <formula>NOT(ISERROR(SEARCH("CMS",O58)))</formula>
    </cfRule>
    <cfRule type="cellIs" dxfId="12331" priority="327" operator="equal">
      <formula>0</formula>
    </cfRule>
    <cfRule type="cellIs" dxfId="12330" priority="328" operator="greaterThan">
      <formula>0</formula>
    </cfRule>
  </conditionalFormatting>
  <conditionalFormatting sqref="O58">
    <cfRule type="cellIs" dxfId="12329" priority="321" operator="equal">
      <formula>"PMS"</formula>
    </cfRule>
    <cfRule type="containsText" dxfId="12328" priority="322" operator="containsText" text="CMS">
      <formula>NOT(ISERROR(SEARCH("CMS",O58)))</formula>
    </cfRule>
    <cfRule type="cellIs" dxfId="12327" priority="323" operator="equal">
      <formula>0</formula>
    </cfRule>
    <cfRule type="cellIs" dxfId="12326" priority="324" operator="greaterThan">
      <formula>0</formula>
    </cfRule>
  </conditionalFormatting>
  <conditionalFormatting sqref="O58">
    <cfRule type="cellIs" dxfId="12325" priority="317" operator="equal">
      <formula>"PMS"</formula>
    </cfRule>
    <cfRule type="containsText" dxfId="12324" priority="318" operator="containsText" text="CMS">
      <formula>NOT(ISERROR(SEARCH("CMS",O58)))</formula>
    </cfRule>
    <cfRule type="cellIs" dxfId="12323" priority="319" operator="equal">
      <formula>0</formula>
    </cfRule>
    <cfRule type="cellIs" dxfId="12322" priority="320" operator="greaterThan">
      <formula>0</formula>
    </cfRule>
  </conditionalFormatting>
  <conditionalFormatting sqref="O58">
    <cfRule type="cellIs" dxfId="12321" priority="313" operator="equal">
      <formula>"PMS"</formula>
    </cfRule>
    <cfRule type="containsText" dxfId="12320" priority="314" operator="containsText" text="CMS">
      <formula>NOT(ISERROR(SEARCH("CMS",O58)))</formula>
    </cfRule>
    <cfRule type="cellIs" dxfId="12319" priority="315" operator="equal">
      <formula>0</formula>
    </cfRule>
    <cfRule type="cellIs" dxfId="12318" priority="316" operator="greaterThan">
      <formula>0</formula>
    </cfRule>
  </conditionalFormatting>
  <conditionalFormatting sqref="O58">
    <cfRule type="cellIs" dxfId="12317" priority="309" operator="equal">
      <formula>"PMS"</formula>
    </cfRule>
    <cfRule type="containsText" dxfId="12316" priority="310" operator="containsText" text="CMS">
      <formula>NOT(ISERROR(SEARCH("CMS",O58)))</formula>
    </cfRule>
    <cfRule type="cellIs" dxfId="12315" priority="311" operator="equal">
      <formula>0</formula>
    </cfRule>
    <cfRule type="cellIs" dxfId="12314" priority="312" operator="greaterThan">
      <formula>0</formula>
    </cfRule>
  </conditionalFormatting>
  <conditionalFormatting sqref="O58">
    <cfRule type="cellIs" dxfId="12313" priority="305" operator="equal">
      <formula>"PMS"</formula>
    </cfRule>
    <cfRule type="containsText" dxfId="12312" priority="306" operator="containsText" text="CMS">
      <formula>NOT(ISERROR(SEARCH("CMS",O58)))</formula>
    </cfRule>
    <cfRule type="cellIs" dxfId="12311" priority="307" operator="equal">
      <formula>0</formula>
    </cfRule>
    <cfRule type="cellIs" dxfId="12310" priority="308" operator="greaterThan">
      <formula>0</formula>
    </cfRule>
  </conditionalFormatting>
  <conditionalFormatting sqref="O58">
    <cfRule type="cellIs" dxfId="12309" priority="301" operator="equal">
      <formula>"PMS"</formula>
    </cfRule>
    <cfRule type="containsText" dxfId="12308" priority="302" operator="containsText" text="CMS">
      <formula>NOT(ISERROR(SEARCH("CMS",O58)))</formula>
    </cfRule>
    <cfRule type="cellIs" dxfId="12307" priority="303" operator="equal">
      <formula>0</formula>
    </cfRule>
    <cfRule type="cellIs" dxfId="12306" priority="304" operator="greaterThan">
      <formula>0</formula>
    </cfRule>
  </conditionalFormatting>
  <conditionalFormatting sqref="O58">
    <cfRule type="cellIs" dxfId="12305" priority="297" operator="equal">
      <formula>"PMS"</formula>
    </cfRule>
    <cfRule type="containsText" dxfId="12304" priority="298" operator="containsText" text="CMS">
      <formula>NOT(ISERROR(SEARCH("CMS",O58)))</formula>
    </cfRule>
    <cfRule type="cellIs" dxfId="12303" priority="299" operator="equal">
      <formula>0</formula>
    </cfRule>
    <cfRule type="cellIs" dxfId="12302" priority="300" operator="greaterThan">
      <formula>0</formula>
    </cfRule>
  </conditionalFormatting>
  <conditionalFormatting sqref="O58">
    <cfRule type="cellIs" dxfId="12301" priority="293" operator="equal">
      <formula>"PMS"</formula>
    </cfRule>
    <cfRule type="containsText" dxfId="12300" priority="294" operator="containsText" text="CMS">
      <formula>NOT(ISERROR(SEARCH("CMS",O58)))</formula>
    </cfRule>
    <cfRule type="cellIs" dxfId="12299" priority="295" operator="equal">
      <formula>0</formula>
    </cfRule>
    <cfRule type="cellIs" dxfId="12298" priority="296" operator="greaterThan">
      <formula>0</formula>
    </cfRule>
  </conditionalFormatting>
  <conditionalFormatting sqref="O58">
    <cfRule type="cellIs" dxfId="12297" priority="289" operator="equal">
      <formula>"PMS"</formula>
    </cfRule>
    <cfRule type="containsText" dxfId="12296" priority="290" operator="containsText" text="CMS">
      <formula>NOT(ISERROR(SEARCH("CMS",O58)))</formula>
    </cfRule>
    <cfRule type="cellIs" dxfId="12295" priority="291" operator="equal">
      <formula>0</formula>
    </cfRule>
    <cfRule type="cellIs" dxfId="12294" priority="292" operator="greaterThan">
      <formula>0</formula>
    </cfRule>
  </conditionalFormatting>
  <conditionalFormatting sqref="O58">
    <cfRule type="cellIs" dxfId="12293" priority="285" operator="equal">
      <formula>"PMS"</formula>
    </cfRule>
    <cfRule type="containsText" dxfId="12292" priority="286" operator="containsText" text="CMS">
      <formula>NOT(ISERROR(SEARCH("CMS",O58)))</formula>
    </cfRule>
    <cfRule type="cellIs" dxfId="12291" priority="287" operator="equal">
      <formula>0</formula>
    </cfRule>
    <cfRule type="cellIs" dxfId="12290" priority="288" operator="greaterThan">
      <formula>0</formula>
    </cfRule>
  </conditionalFormatting>
  <conditionalFormatting sqref="O57">
    <cfRule type="cellIs" dxfId="12289" priority="281" operator="equal">
      <formula>"PMS"</formula>
    </cfRule>
    <cfRule type="containsText" dxfId="12288" priority="282" operator="containsText" text="CMS">
      <formula>NOT(ISERROR(SEARCH("CMS",O57)))</formula>
    </cfRule>
    <cfRule type="cellIs" dxfId="12287" priority="283" operator="equal">
      <formula>0</formula>
    </cfRule>
    <cfRule type="cellIs" dxfId="12286" priority="284" operator="greaterThan">
      <formula>0</formula>
    </cfRule>
  </conditionalFormatting>
  <conditionalFormatting sqref="O57">
    <cfRule type="cellIs" dxfId="12285" priority="277" operator="equal">
      <formula>"PMS"</formula>
    </cfRule>
    <cfRule type="containsText" dxfId="12284" priority="278" operator="containsText" text="CMS">
      <formula>NOT(ISERROR(SEARCH("CMS",O57)))</formula>
    </cfRule>
    <cfRule type="cellIs" dxfId="12283" priority="279" operator="equal">
      <formula>0</formula>
    </cfRule>
    <cfRule type="cellIs" dxfId="12282" priority="280" operator="greaterThan">
      <formula>0</formula>
    </cfRule>
  </conditionalFormatting>
  <conditionalFormatting sqref="O57">
    <cfRule type="cellIs" dxfId="12281" priority="273" operator="equal">
      <formula>"PMS"</formula>
    </cfRule>
    <cfRule type="containsText" dxfId="12280" priority="274" operator="containsText" text="CMS">
      <formula>NOT(ISERROR(SEARCH("CMS",O57)))</formula>
    </cfRule>
    <cfRule type="cellIs" dxfId="12279" priority="275" operator="equal">
      <formula>0</formula>
    </cfRule>
    <cfRule type="cellIs" dxfId="12278" priority="276" operator="greaterThan">
      <formula>0</formula>
    </cfRule>
  </conditionalFormatting>
  <conditionalFormatting sqref="O57">
    <cfRule type="cellIs" dxfId="12277" priority="269" operator="equal">
      <formula>"PMS"</formula>
    </cfRule>
    <cfRule type="containsText" dxfId="12276" priority="270" operator="containsText" text="CMS">
      <formula>NOT(ISERROR(SEARCH("CMS",O57)))</formula>
    </cfRule>
    <cfRule type="cellIs" dxfId="12275" priority="271" operator="equal">
      <formula>0</formula>
    </cfRule>
    <cfRule type="cellIs" dxfId="12274" priority="272" operator="greaterThan">
      <formula>0</formula>
    </cfRule>
  </conditionalFormatting>
  <conditionalFormatting sqref="O57">
    <cfRule type="cellIs" dxfId="12273" priority="265" operator="equal">
      <formula>"PMS"</formula>
    </cfRule>
    <cfRule type="containsText" dxfId="12272" priority="266" operator="containsText" text="CMS">
      <formula>NOT(ISERROR(SEARCH("CMS",O57)))</formula>
    </cfRule>
    <cfRule type="cellIs" dxfId="12271" priority="267" operator="equal">
      <formula>0</formula>
    </cfRule>
    <cfRule type="cellIs" dxfId="12270" priority="268" operator="greaterThan">
      <formula>0</formula>
    </cfRule>
  </conditionalFormatting>
  <conditionalFormatting sqref="O57">
    <cfRule type="cellIs" dxfId="12269" priority="261" operator="equal">
      <formula>"PMS"</formula>
    </cfRule>
    <cfRule type="containsText" dxfId="12268" priority="262" operator="containsText" text="CMS">
      <formula>NOT(ISERROR(SEARCH("CMS",O57)))</formula>
    </cfRule>
    <cfRule type="cellIs" dxfId="12267" priority="263" operator="equal">
      <formula>0</formula>
    </cfRule>
    <cfRule type="cellIs" dxfId="12266" priority="264" operator="greaterThan">
      <formula>0</formula>
    </cfRule>
  </conditionalFormatting>
  <conditionalFormatting sqref="O57">
    <cfRule type="cellIs" dxfId="12265" priority="257" operator="equal">
      <formula>"PMS"</formula>
    </cfRule>
    <cfRule type="containsText" dxfId="12264" priority="258" operator="containsText" text="CMS">
      <formula>NOT(ISERROR(SEARCH("CMS",O57)))</formula>
    </cfRule>
    <cfRule type="cellIs" dxfId="12263" priority="259" operator="equal">
      <formula>0</formula>
    </cfRule>
    <cfRule type="cellIs" dxfId="12262" priority="260" operator="greaterThan">
      <formula>0</formula>
    </cfRule>
  </conditionalFormatting>
  <conditionalFormatting sqref="O57">
    <cfRule type="cellIs" dxfId="12261" priority="253" operator="equal">
      <formula>"PMS"</formula>
    </cfRule>
    <cfRule type="containsText" dxfId="12260" priority="254" operator="containsText" text="CMS">
      <formula>NOT(ISERROR(SEARCH("CMS",O57)))</formula>
    </cfRule>
    <cfRule type="cellIs" dxfId="12259" priority="255" operator="equal">
      <formula>0</formula>
    </cfRule>
    <cfRule type="cellIs" dxfId="12258" priority="256" operator="greaterThan">
      <formula>0</formula>
    </cfRule>
  </conditionalFormatting>
  <conditionalFormatting sqref="O57">
    <cfRule type="cellIs" dxfId="12257" priority="249" operator="equal">
      <formula>"PMS"</formula>
    </cfRule>
    <cfRule type="containsText" dxfId="12256" priority="250" operator="containsText" text="CMS">
      <formula>NOT(ISERROR(SEARCH("CMS",O57)))</formula>
    </cfRule>
    <cfRule type="cellIs" dxfId="12255" priority="251" operator="equal">
      <formula>0</formula>
    </cfRule>
    <cfRule type="cellIs" dxfId="12254" priority="252" operator="greaterThan">
      <formula>0</formula>
    </cfRule>
  </conditionalFormatting>
  <conditionalFormatting sqref="O57">
    <cfRule type="cellIs" dxfId="12253" priority="245" operator="equal">
      <formula>"PMS"</formula>
    </cfRule>
    <cfRule type="containsText" dxfId="12252" priority="246" operator="containsText" text="CMS">
      <formula>NOT(ISERROR(SEARCH("CMS",O57)))</formula>
    </cfRule>
    <cfRule type="cellIs" dxfId="12251" priority="247" operator="equal">
      <formula>0</formula>
    </cfRule>
    <cfRule type="cellIs" dxfId="12250" priority="248" operator="greaterThan">
      <formula>0</formula>
    </cfRule>
  </conditionalFormatting>
  <conditionalFormatting sqref="O57">
    <cfRule type="cellIs" dxfId="12249" priority="241" operator="equal">
      <formula>"PMS"</formula>
    </cfRule>
    <cfRule type="containsText" dxfId="12248" priority="242" operator="containsText" text="CMS">
      <formula>NOT(ISERROR(SEARCH("CMS",O57)))</formula>
    </cfRule>
    <cfRule type="cellIs" dxfId="12247" priority="243" operator="equal">
      <formula>0</formula>
    </cfRule>
    <cfRule type="cellIs" dxfId="12246" priority="244" operator="greaterThan">
      <formula>0</formula>
    </cfRule>
  </conditionalFormatting>
  <conditionalFormatting sqref="O57">
    <cfRule type="cellIs" dxfId="12245" priority="237" operator="equal">
      <formula>"PMS"</formula>
    </cfRule>
    <cfRule type="containsText" dxfId="12244" priority="238" operator="containsText" text="CMS">
      <formula>NOT(ISERROR(SEARCH("CMS",O57)))</formula>
    </cfRule>
    <cfRule type="cellIs" dxfId="12243" priority="239" operator="equal">
      <formula>0</formula>
    </cfRule>
    <cfRule type="cellIs" dxfId="12242" priority="240" operator="greaterThan">
      <formula>0</formula>
    </cfRule>
  </conditionalFormatting>
  <conditionalFormatting sqref="O57">
    <cfRule type="cellIs" dxfId="12241" priority="233" operator="equal">
      <formula>"PMS"</formula>
    </cfRule>
    <cfRule type="containsText" dxfId="12240" priority="234" operator="containsText" text="CMS">
      <formula>NOT(ISERROR(SEARCH("CMS",O57)))</formula>
    </cfRule>
    <cfRule type="cellIs" dxfId="12239" priority="235" operator="equal">
      <formula>0</formula>
    </cfRule>
    <cfRule type="cellIs" dxfId="12238" priority="236" operator="greaterThan">
      <formula>0</formula>
    </cfRule>
  </conditionalFormatting>
  <conditionalFormatting sqref="O57">
    <cfRule type="cellIs" dxfId="12237" priority="229" operator="equal">
      <formula>"PMS"</formula>
    </cfRule>
    <cfRule type="containsText" dxfId="12236" priority="230" operator="containsText" text="CMS">
      <formula>NOT(ISERROR(SEARCH("CMS",O57)))</formula>
    </cfRule>
    <cfRule type="cellIs" dxfId="12235" priority="231" operator="equal">
      <formula>0</formula>
    </cfRule>
    <cfRule type="cellIs" dxfId="12234" priority="232" operator="greaterThan">
      <formula>0</formula>
    </cfRule>
  </conditionalFormatting>
  <conditionalFormatting sqref="O57">
    <cfRule type="cellIs" dxfId="12233" priority="225" operator="equal">
      <formula>"PMS"</formula>
    </cfRule>
    <cfRule type="containsText" dxfId="12232" priority="226" operator="containsText" text="CMS">
      <formula>NOT(ISERROR(SEARCH("CMS",O57)))</formula>
    </cfRule>
    <cfRule type="cellIs" dxfId="12231" priority="227" operator="equal">
      <formula>0</formula>
    </cfRule>
    <cfRule type="cellIs" dxfId="12230" priority="228" operator="greaterThan">
      <formula>0</formula>
    </cfRule>
  </conditionalFormatting>
  <conditionalFormatting sqref="O57">
    <cfRule type="cellIs" dxfId="12229" priority="221" operator="equal">
      <formula>"PMS"</formula>
    </cfRule>
    <cfRule type="containsText" dxfId="12228" priority="222" operator="containsText" text="CMS">
      <formula>NOT(ISERROR(SEARCH("CMS",O57)))</formula>
    </cfRule>
    <cfRule type="cellIs" dxfId="12227" priority="223" operator="equal">
      <formula>0</formula>
    </cfRule>
    <cfRule type="cellIs" dxfId="12226" priority="224" operator="greaterThan">
      <formula>0</formula>
    </cfRule>
  </conditionalFormatting>
  <conditionalFormatting sqref="O57">
    <cfRule type="cellIs" dxfId="12225" priority="217" operator="equal">
      <formula>"PMS"</formula>
    </cfRule>
    <cfRule type="containsText" dxfId="12224" priority="218" operator="containsText" text="CMS">
      <formula>NOT(ISERROR(SEARCH("CMS",O57)))</formula>
    </cfRule>
    <cfRule type="cellIs" dxfId="12223" priority="219" operator="equal">
      <formula>0</formula>
    </cfRule>
    <cfRule type="cellIs" dxfId="12222" priority="220" operator="greaterThan">
      <formula>0</formula>
    </cfRule>
  </conditionalFormatting>
  <conditionalFormatting sqref="O57">
    <cfRule type="cellIs" dxfId="12221" priority="213" operator="equal">
      <formula>"PMS"</formula>
    </cfRule>
    <cfRule type="containsText" dxfId="12220" priority="214" operator="containsText" text="CMS">
      <formula>NOT(ISERROR(SEARCH("CMS",O57)))</formula>
    </cfRule>
    <cfRule type="cellIs" dxfId="12219" priority="215" operator="equal">
      <formula>0</formula>
    </cfRule>
    <cfRule type="cellIs" dxfId="12218" priority="216" operator="greaterThan">
      <formula>0</formula>
    </cfRule>
  </conditionalFormatting>
  <conditionalFormatting sqref="O57">
    <cfRule type="cellIs" dxfId="12217" priority="209" operator="equal">
      <formula>"PMS"</formula>
    </cfRule>
    <cfRule type="containsText" dxfId="12216" priority="210" operator="containsText" text="CMS">
      <formula>NOT(ISERROR(SEARCH("CMS",O57)))</formula>
    </cfRule>
    <cfRule type="cellIs" dxfId="12215" priority="211" operator="equal">
      <formula>0</formula>
    </cfRule>
    <cfRule type="cellIs" dxfId="12214" priority="212" operator="greaterThan">
      <formula>0</formula>
    </cfRule>
  </conditionalFormatting>
  <conditionalFormatting sqref="O57">
    <cfRule type="cellIs" dxfId="12213" priority="205" operator="equal">
      <formula>"PMS"</formula>
    </cfRule>
    <cfRule type="containsText" dxfId="12212" priority="206" operator="containsText" text="CMS">
      <formula>NOT(ISERROR(SEARCH("CMS",O57)))</formula>
    </cfRule>
    <cfRule type="cellIs" dxfId="12211" priority="207" operator="equal">
      <formula>0</formula>
    </cfRule>
    <cfRule type="cellIs" dxfId="12210" priority="208" operator="greaterThan">
      <formula>0</formula>
    </cfRule>
  </conditionalFormatting>
  <conditionalFormatting sqref="O57">
    <cfRule type="cellIs" dxfId="12209" priority="201" operator="equal">
      <formula>"PMS"</formula>
    </cfRule>
    <cfRule type="containsText" dxfId="12208" priority="202" operator="containsText" text="CMS">
      <formula>NOT(ISERROR(SEARCH("CMS",O57)))</formula>
    </cfRule>
    <cfRule type="cellIs" dxfId="12207" priority="203" operator="equal">
      <formula>0</formula>
    </cfRule>
    <cfRule type="cellIs" dxfId="12206" priority="204" operator="greaterThan">
      <formula>0</formula>
    </cfRule>
  </conditionalFormatting>
  <conditionalFormatting sqref="O57">
    <cfRule type="cellIs" dxfId="12205" priority="197" operator="equal">
      <formula>"PMS"</formula>
    </cfRule>
    <cfRule type="containsText" dxfId="12204" priority="198" operator="containsText" text="CMS">
      <formula>NOT(ISERROR(SEARCH("CMS",O57)))</formula>
    </cfRule>
    <cfRule type="cellIs" dxfId="12203" priority="199" operator="equal">
      <formula>0</formula>
    </cfRule>
    <cfRule type="cellIs" dxfId="12202" priority="200" operator="greaterThan">
      <formula>0</formula>
    </cfRule>
  </conditionalFormatting>
  <conditionalFormatting sqref="O57">
    <cfRule type="cellIs" dxfId="12201" priority="193" operator="equal">
      <formula>"PMS"</formula>
    </cfRule>
    <cfRule type="containsText" dxfId="12200" priority="194" operator="containsText" text="CMS">
      <formula>NOT(ISERROR(SEARCH("CMS",O57)))</formula>
    </cfRule>
    <cfRule type="cellIs" dxfId="12199" priority="195" operator="equal">
      <formula>0</formula>
    </cfRule>
    <cfRule type="cellIs" dxfId="12198" priority="196" operator="greaterThan">
      <formula>0</formula>
    </cfRule>
  </conditionalFormatting>
  <conditionalFormatting sqref="O57">
    <cfRule type="cellIs" dxfId="12197" priority="189" operator="equal">
      <formula>"PMS"</formula>
    </cfRule>
    <cfRule type="containsText" dxfId="12196" priority="190" operator="containsText" text="CMS">
      <formula>NOT(ISERROR(SEARCH("CMS",O57)))</formula>
    </cfRule>
    <cfRule type="cellIs" dxfId="12195" priority="191" operator="equal">
      <formula>0</formula>
    </cfRule>
    <cfRule type="cellIs" dxfId="12194" priority="192" operator="greaterThan">
      <formula>0</formula>
    </cfRule>
  </conditionalFormatting>
  <conditionalFormatting sqref="O57">
    <cfRule type="cellIs" dxfId="12193" priority="185" operator="equal">
      <formula>"PMS"</formula>
    </cfRule>
    <cfRule type="containsText" dxfId="12192" priority="186" operator="containsText" text="CMS">
      <formula>NOT(ISERROR(SEARCH("CMS",O57)))</formula>
    </cfRule>
    <cfRule type="cellIs" dxfId="12191" priority="187" operator="equal">
      <formula>0</formula>
    </cfRule>
    <cfRule type="cellIs" dxfId="12190" priority="188" operator="greaterThan">
      <formula>0</formula>
    </cfRule>
  </conditionalFormatting>
  <conditionalFormatting sqref="O57">
    <cfRule type="cellIs" dxfId="12189" priority="181" operator="equal">
      <formula>"PMS"</formula>
    </cfRule>
    <cfRule type="containsText" dxfId="12188" priority="182" operator="containsText" text="CMS">
      <formula>NOT(ISERROR(SEARCH("CMS",O57)))</formula>
    </cfRule>
    <cfRule type="cellIs" dxfId="12187" priority="183" operator="equal">
      <formula>0</formula>
    </cfRule>
    <cfRule type="cellIs" dxfId="12186" priority="184" operator="greaterThan">
      <formula>0</formula>
    </cfRule>
  </conditionalFormatting>
  <conditionalFormatting sqref="O57">
    <cfRule type="cellIs" dxfId="12185" priority="177" operator="equal">
      <formula>"PMS"</formula>
    </cfRule>
    <cfRule type="containsText" dxfId="12184" priority="178" operator="containsText" text="CMS">
      <formula>NOT(ISERROR(SEARCH("CMS",O57)))</formula>
    </cfRule>
    <cfRule type="cellIs" dxfId="12183" priority="179" operator="equal">
      <formula>0</formula>
    </cfRule>
    <cfRule type="cellIs" dxfId="12182" priority="180" operator="greaterThan">
      <formula>0</formula>
    </cfRule>
  </conditionalFormatting>
  <conditionalFormatting sqref="O57">
    <cfRule type="cellIs" dxfId="12181" priority="173" operator="equal">
      <formula>"PMS"</formula>
    </cfRule>
    <cfRule type="containsText" dxfId="12180" priority="174" operator="containsText" text="CMS">
      <formula>NOT(ISERROR(SEARCH("CMS",O57)))</formula>
    </cfRule>
    <cfRule type="cellIs" dxfId="12179" priority="175" operator="equal">
      <formula>0</formula>
    </cfRule>
    <cfRule type="cellIs" dxfId="12178" priority="176" operator="greaterThan">
      <formula>0</formula>
    </cfRule>
  </conditionalFormatting>
  <conditionalFormatting sqref="O57">
    <cfRule type="cellIs" dxfId="12177" priority="169" operator="equal">
      <formula>"PMS"</formula>
    </cfRule>
    <cfRule type="containsText" dxfId="12176" priority="170" operator="containsText" text="CMS">
      <formula>NOT(ISERROR(SEARCH("CMS",O57)))</formula>
    </cfRule>
    <cfRule type="cellIs" dxfId="12175" priority="171" operator="equal">
      <formula>0</formula>
    </cfRule>
    <cfRule type="cellIs" dxfId="12174" priority="172" operator="greaterThan">
      <formula>0</formula>
    </cfRule>
  </conditionalFormatting>
  <conditionalFormatting sqref="O57">
    <cfRule type="cellIs" dxfId="12173" priority="165" operator="equal">
      <formula>"PMS"</formula>
    </cfRule>
    <cfRule type="containsText" dxfId="12172" priority="166" operator="containsText" text="CMS">
      <formula>NOT(ISERROR(SEARCH("CMS",O57)))</formula>
    </cfRule>
    <cfRule type="cellIs" dxfId="12171" priority="167" operator="equal">
      <formula>0</formula>
    </cfRule>
    <cfRule type="cellIs" dxfId="12170" priority="168" operator="greaterThan">
      <formula>0</formula>
    </cfRule>
  </conditionalFormatting>
  <conditionalFormatting sqref="O57">
    <cfRule type="cellIs" dxfId="12169" priority="161" operator="equal">
      <formula>"PMS"</formula>
    </cfRule>
    <cfRule type="containsText" dxfId="12168" priority="162" operator="containsText" text="CMS">
      <formula>NOT(ISERROR(SEARCH("CMS",O57)))</formula>
    </cfRule>
    <cfRule type="cellIs" dxfId="12167" priority="163" operator="equal">
      <formula>0</formula>
    </cfRule>
    <cfRule type="cellIs" dxfId="12166" priority="164" operator="greaterThan">
      <formula>0</formula>
    </cfRule>
  </conditionalFormatting>
  <conditionalFormatting sqref="O57">
    <cfRule type="cellIs" dxfId="12165" priority="157" operator="equal">
      <formula>"PMS"</formula>
    </cfRule>
    <cfRule type="containsText" dxfId="12164" priority="158" operator="containsText" text="CMS">
      <formula>NOT(ISERROR(SEARCH("CMS",O57)))</formula>
    </cfRule>
    <cfRule type="cellIs" dxfId="12163" priority="159" operator="equal">
      <formula>0</formula>
    </cfRule>
    <cfRule type="cellIs" dxfId="12162" priority="160" operator="greaterThan">
      <formula>0</formula>
    </cfRule>
  </conditionalFormatting>
  <conditionalFormatting sqref="O57">
    <cfRule type="cellIs" dxfId="12161" priority="153" operator="equal">
      <formula>"PMS"</formula>
    </cfRule>
    <cfRule type="containsText" dxfId="12160" priority="154" operator="containsText" text="CMS">
      <formula>NOT(ISERROR(SEARCH("CMS",O57)))</formula>
    </cfRule>
    <cfRule type="cellIs" dxfId="12159" priority="155" operator="equal">
      <formula>0</formula>
    </cfRule>
    <cfRule type="cellIs" dxfId="12158" priority="156" operator="greaterThan">
      <formula>0</formula>
    </cfRule>
  </conditionalFormatting>
  <conditionalFormatting sqref="O57">
    <cfRule type="cellIs" dxfId="12157" priority="149" operator="equal">
      <formula>"PMS"</formula>
    </cfRule>
    <cfRule type="containsText" dxfId="12156" priority="150" operator="containsText" text="CMS">
      <formula>NOT(ISERROR(SEARCH("CMS",O57)))</formula>
    </cfRule>
    <cfRule type="cellIs" dxfId="12155" priority="151" operator="equal">
      <formula>0</formula>
    </cfRule>
    <cfRule type="cellIs" dxfId="12154" priority="152" operator="greaterThan">
      <formula>0</formula>
    </cfRule>
  </conditionalFormatting>
  <conditionalFormatting sqref="O57">
    <cfRule type="cellIs" dxfId="12153" priority="145" operator="equal">
      <formula>"PMS"</formula>
    </cfRule>
    <cfRule type="containsText" dxfId="12152" priority="146" operator="containsText" text="CMS">
      <formula>NOT(ISERROR(SEARCH("CMS",O57)))</formula>
    </cfRule>
    <cfRule type="cellIs" dxfId="12151" priority="147" operator="equal">
      <formula>0</formula>
    </cfRule>
    <cfRule type="cellIs" dxfId="12150" priority="148" operator="greaterThan">
      <formula>0</formula>
    </cfRule>
  </conditionalFormatting>
  <conditionalFormatting sqref="O57">
    <cfRule type="cellIs" dxfId="12149" priority="141" operator="equal">
      <formula>"PMS"</formula>
    </cfRule>
    <cfRule type="containsText" dxfId="12148" priority="142" operator="containsText" text="CMS">
      <formula>NOT(ISERROR(SEARCH("CMS",O57)))</formula>
    </cfRule>
    <cfRule type="cellIs" dxfId="12147" priority="143" operator="equal">
      <formula>0</formula>
    </cfRule>
    <cfRule type="cellIs" dxfId="12146" priority="144" operator="greaterThan">
      <formula>0</formula>
    </cfRule>
  </conditionalFormatting>
  <conditionalFormatting sqref="O57">
    <cfRule type="cellIs" dxfId="12145" priority="137" operator="equal">
      <formula>"PMS"</formula>
    </cfRule>
    <cfRule type="containsText" dxfId="12144" priority="138" operator="containsText" text="CMS">
      <formula>NOT(ISERROR(SEARCH("CMS",O57)))</formula>
    </cfRule>
    <cfRule type="cellIs" dxfId="12143" priority="139" operator="equal">
      <formula>0</formula>
    </cfRule>
    <cfRule type="cellIs" dxfId="12142" priority="140" operator="greaterThan">
      <formula>0</formula>
    </cfRule>
  </conditionalFormatting>
  <conditionalFormatting sqref="O57">
    <cfRule type="cellIs" dxfId="12141" priority="133" operator="equal">
      <formula>"PMS"</formula>
    </cfRule>
    <cfRule type="containsText" dxfId="12140" priority="134" operator="containsText" text="CMS">
      <formula>NOT(ISERROR(SEARCH("CMS",O57)))</formula>
    </cfRule>
    <cfRule type="cellIs" dxfId="12139" priority="135" operator="equal">
      <formula>0</formula>
    </cfRule>
    <cfRule type="cellIs" dxfId="12138" priority="136" operator="greaterThan">
      <formula>0</formula>
    </cfRule>
  </conditionalFormatting>
  <conditionalFormatting sqref="O57">
    <cfRule type="cellIs" dxfId="12137" priority="129" operator="equal">
      <formula>"PMS"</formula>
    </cfRule>
    <cfRule type="containsText" dxfId="12136" priority="130" operator="containsText" text="CMS">
      <formula>NOT(ISERROR(SEARCH("CMS",O57)))</formula>
    </cfRule>
    <cfRule type="cellIs" dxfId="12135" priority="131" operator="equal">
      <formula>0</formula>
    </cfRule>
    <cfRule type="cellIs" dxfId="12134" priority="132" operator="greaterThan">
      <formula>0</formula>
    </cfRule>
  </conditionalFormatting>
  <conditionalFormatting sqref="O57">
    <cfRule type="cellIs" dxfId="12133" priority="125" operator="equal">
      <formula>"PMS"</formula>
    </cfRule>
    <cfRule type="containsText" dxfId="12132" priority="126" operator="containsText" text="CMS">
      <formula>NOT(ISERROR(SEARCH("CMS",O57)))</formula>
    </cfRule>
    <cfRule type="cellIs" dxfId="12131" priority="127" operator="equal">
      <formula>0</formula>
    </cfRule>
    <cfRule type="cellIs" dxfId="12130" priority="128" operator="greaterThan">
      <formula>0</formula>
    </cfRule>
  </conditionalFormatting>
  <conditionalFormatting sqref="O57">
    <cfRule type="cellIs" dxfId="12129" priority="121" operator="equal">
      <formula>"PMS"</formula>
    </cfRule>
    <cfRule type="containsText" dxfId="12128" priority="122" operator="containsText" text="CMS">
      <formula>NOT(ISERROR(SEARCH("CMS",O57)))</formula>
    </cfRule>
    <cfRule type="cellIs" dxfId="12127" priority="123" operator="equal">
      <formula>0</formula>
    </cfRule>
    <cfRule type="cellIs" dxfId="12126" priority="124" operator="greaterThan">
      <formula>0</formula>
    </cfRule>
  </conditionalFormatting>
  <conditionalFormatting sqref="O57">
    <cfRule type="cellIs" dxfId="12125" priority="117" operator="equal">
      <formula>"PMS"</formula>
    </cfRule>
    <cfRule type="containsText" dxfId="12124" priority="118" operator="containsText" text="CMS">
      <formula>NOT(ISERROR(SEARCH("CMS",O57)))</formula>
    </cfRule>
    <cfRule type="cellIs" dxfId="12123" priority="119" operator="equal">
      <formula>0</formula>
    </cfRule>
    <cfRule type="cellIs" dxfId="12122" priority="120" operator="greaterThan">
      <formula>0</formula>
    </cfRule>
  </conditionalFormatting>
  <conditionalFormatting sqref="O57">
    <cfRule type="cellIs" dxfId="12121" priority="113" operator="equal">
      <formula>"PMS"</formula>
    </cfRule>
    <cfRule type="containsText" dxfId="12120" priority="114" operator="containsText" text="CMS">
      <formula>NOT(ISERROR(SEARCH("CMS",O57)))</formula>
    </cfRule>
    <cfRule type="cellIs" dxfId="12119" priority="115" operator="equal">
      <formula>0</formula>
    </cfRule>
    <cfRule type="cellIs" dxfId="12118" priority="116" operator="greaterThan">
      <formula>0</formula>
    </cfRule>
  </conditionalFormatting>
  <conditionalFormatting sqref="O57">
    <cfRule type="cellIs" dxfId="12117" priority="109" operator="equal">
      <formula>"PMS"</formula>
    </cfRule>
    <cfRule type="containsText" dxfId="12116" priority="110" operator="containsText" text="CMS">
      <formula>NOT(ISERROR(SEARCH("CMS",O57)))</formula>
    </cfRule>
    <cfRule type="cellIs" dxfId="12115" priority="111" operator="equal">
      <formula>0</formula>
    </cfRule>
    <cfRule type="cellIs" dxfId="12114" priority="112" operator="greaterThan">
      <formula>0</formula>
    </cfRule>
  </conditionalFormatting>
  <conditionalFormatting sqref="O57">
    <cfRule type="cellIs" dxfId="12113" priority="105" operator="equal">
      <formula>"PMS"</formula>
    </cfRule>
    <cfRule type="containsText" dxfId="12112" priority="106" operator="containsText" text="CMS">
      <formula>NOT(ISERROR(SEARCH("CMS",O57)))</formula>
    </cfRule>
    <cfRule type="cellIs" dxfId="12111" priority="107" operator="equal">
      <formula>0</formula>
    </cfRule>
    <cfRule type="cellIs" dxfId="12110" priority="108" operator="greaterThan">
      <formula>0</formula>
    </cfRule>
  </conditionalFormatting>
  <conditionalFormatting sqref="O57">
    <cfRule type="cellIs" dxfId="12109" priority="101" operator="equal">
      <formula>"PMS"</formula>
    </cfRule>
    <cfRule type="containsText" dxfId="12108" priority="102" operator="containsText" text="CMS">
      <formula>NOT(ISERROR(SEARCH("CMS",O57)))</formula>
    </cfRule>
    <cfRule type="cellIs" dxfId="12107" priority="103" operator="equal">
      <formula>0</formula>
    </cfRule>
    <cfRule type="cellIs" dxfId="12106" priority="104" operator="greaterThan">
      <formula>0</formula>
    </cfRule>
  </conditionalFormatting>
  <conditionalFormatting sqref="O57">
    <cfRule type="cellIs" dxfId="12105" priority="97" operator="equal">
      <formula>"PMS"</formula>
    </cfRule>
    <cfRule type="containsText" dxfId="12104" priority="98" operator="containsText" text="CMS">
      <formula>NOT(ISERROR(SEARCH("CMS",O57)))</formula>
    </cfRule>
    <cfRule type="cellIs" dxfId="12103" priority="99" operator="equal">
      <formula>0</formula>
    </cfRule>
    <cfRule type="cellIs" dxfId="12102" priority="100" operator="greaterThan">
      <formula>0</formula>
    </cfRule>
  </conditionalFormatting>
  <conditionalFormatting sqref="O57">
    <cfRule type="cellIs" dxfId="12101" priority="93" operator="equal">
      <formula>"PMS"</formula>
    </cfRule>
    <cfRule type="containsText" dxfId="12100" priority="94" operator="containsText" text="CMS">
      <formula>NOT(ISERROR(SEARCH("CMS",O57)))</formula>
    </cfRule>
    <cfRule type="cellIs" dxfId="12099" priority="95" operator="equal">
      <formula>0</formula>
    </cfRule>
    <cfRule type="cellIs" dxfId="12098" priority="96" operator="greaterThan">
      <formula>0</formula>
    </cfRule>
  </conditionalFormatting>
  <conditionalFormatting sqref="O57">
    <cfRule type="cellIs" dxfId="12097" priority="89" operator="equal">
      <formula>"PMS"</formula>
    </cfRule>
    <cfRule type="containsText" dxfId="12096" priority="90" operator="containsText" text="CMS">
      <formula>NOT(ISERROR(SEARCH("CMS",O57)))</formula>
    </cfRule>
    <cfRule type="cellIs" dxfId="12095" priority="91" operator="equal">
      <formula>0</formula>
    </cfRule>
    <cfRule type="cellIs" dxfId="12094" priority="92" operator="greaterThan">
      <formula>0</formula>
    </cfRule>
  </conditionalFormatting>
  <conditionalFormatting sqref="O57">
    <cfRule type="cellIs" dxfId="12093" priority="85" operator="equal">
      <formula>"PMS"</formula>
    </cfRule>
    <cfRule type="containsText" dxfId="12092" priority="86" operator="containsText" text="CMS">
      <formula>NOT(ISERROR(SEARCH("CMS",O57)))</formula>
    </cfRule>
    <cfRule type="cellIs" dxfId="12091" priority="87" operator="equal">
      <formula>0</formula>
    </cfRule>
    <cfRule type="cellIs" dxfId="12090" priority="88" operator="greaterThan">
      <formula>0</formula>
    </cfRule>
  </conditionalFormatting>
  <conditionalFormatting sqref="O57">
    <cfRule type="cellIs" dxfId="12089" priority="81" operator="equal">
      <formula>"PMS"</formula>
    </cfRule>
    <cfRule type="containsText" dxfId="12088" priority="82" operator="containsText" text="CMS">
      <formula>NOT(ISERROR(SEARCH("CMS",O57)))</formula>
    </cfRule>
    <cfRule type="cellIs" dxfId="12087" priority="83" operator="equal">
      <formula>0</formula>
    </cfRule>
    <cfRule type="cellIs" dxfId="12086" priority="84" operator="greaterThan">
      <formula>0</formula>
    </cfRule>
  </conditionalFormatting>
  <conditionalFormatting sqref="O57">
    <cfRule type="cellIs" dxfId="12085" priority="77" operator="equal">
      <formula>"PMS"</formula>
    </cfRule>
    <cfRule type="containsText" dxfId="12084" priority="78" operator="containsText" text="CMS">
      <formula>NOT(ISERROR(SEARCH("CMS",O57)))</formula>
    </cfRule>
    <cfRule type="cellIs" dxfId="12083" priority="79" operator="equal">
      <formula>0</formula>
    </cfRule>
    <cfRule type="cellIs" dxfId="12082" priority="80" operator="greaterThan">
      <formula>0</formula>
    </cfRule>
  </conditionalFormatting>
  <conditionalFormatting sqref="O57">
    <cfRule type="cellIs" dxfId="12081" priority="73" operator="equal">
      <formula>"PMS"</formula>
    </cfRule>
    <cfRule type="containsText" dxfId="12080" priority="74" operator="containsText" text="CMS">
      <formula>NOT(ISERROR(SEARCH("CMS",O57)))</formula>
    </cfRule>
    <cfRule type="cellIs" dxfId="12079" priority="75" operator="equal">
      <formula>0</formula>
    </cfRule>
    <cfRule type="cellIs" dxfId="12078" priority="76" operator="greaterThan">
      <formula>0</formula>
    </cfRule>
  </conditionalFormatting>
  <conditionalFormatting sqref="O57">
    <cfRule type="cellIs" dxfId="12077" priority="69" operator="equal">
      <formula>"PMS"</formula>
    </cfRule>
    <cfRule type="containsText" dxfId="12076" priority="70" operator="containsText" text="CMS">
      <formula>NOT(ISERROR(SEARCH("CMS",O57)))</formula>
    </cfRule>
    <cfRule type="cellIs" dxfId="12075" priority="71" operator="equal">
      <formula>0</formula>
    </cfRule>
    <cfRule type="cellIs" dxfId="12074" priority="72" operator="greaterThan">
      <formula>0</formula>
    </cfRule>
  </conditionalFormatting>
  <conditionalFormatting sqref="O57">
    <cfRule type="cellIs" dxfId="12073" priority="65" operator="equal">
      <formula>"PMS"</formula>
    </cfRule>
    <cfRule type="containsText" dxfId="12072" priority="66" operator="containsText" text="CMS">
      <formula>NOT(ISERROR(SEARCH("CMS",O57)))</formula>
    </cfRule>
    <cfRule type="cellIs" dxfId="12071" priority="67" operator="equal">
      <formula>0</formula>
    </cfRule>
    <cfRule type="cellIs" dxfId="12070" priority="68" operator="greaterThan">
      <formula>0</formula>
    </cfRule>
  </conditionalFormatting>
  <conditionalFormatting sqref="O57">
    <cfRule type="cellIs" dxfId="12069" priority="61" operator="equal">
      <formula>"PMS"</formula>
    </cfRule>
    <cfRule type="containsText" dxfId="12068" priority="62" operator="containsText" text="CMS">
      <formula>NOT(ISERROR(SEARCH("CMS",O57)))</formula>
    </cfRule>
    <cfRule type="cellIs" dxfId="12067" priority="63" operator="equal">
      <formula>0</formula>
    </cfRule>
    <cfRule type="cellIs" dxfId="12066" priority="64" operator="greaterThan">
      <formula>0</formula>
    </cfRule>
  </conditionalFormatting>
  <conditionalFormatting sqref="O57">
    <cfRule type="cellIs" dxfId="12065" priority="57" operator="equal">
      <formula>"PMS"</formula>
    </cfRule>
    <cfRule type="containsText" dxfId="12064" priority="58" operator="containsText" text="CMS">
      <formula>NOT(ISERROR(SEARCH("CMS",O57)))</formula>
    </cfRule>
    <cfRule type="cellIs" dxfId="12063" priority="59" operator="equal">
      <formula>0</formula>
    </cfRule>
    <cfRule type="cellIs" dxfId="12062" priority="60" operator="greaterThan">
      <formula>0</formula>
    </cfRule>
  </conditionalFormatting>
  <conditionalFormatting sqref="O57">
    <cfRule type="cellIs" dxfId="12061" priority="53" operator="equal">
      <formula>"PMS"</formula>
    </cfRule>
    <cfRule type="containsText" dxfId="12060" priority="54" operator="containsText" text="CMS">
      <formula>NOT(ISERROR(SEARCH("CMS",O57)))</formula>
    </cfRule>
    <cfRule type="cellIs" dxfId="12059" priority="55" operator="equal">
      <formula>0</formula>
    </cfRule>
    <cfRule type="cellIs" dxfId="12058" priority="56" operator="greaterThan">
      <formula>0</formula>
    </cfRule>
  </conditionalFormatting>
  <conditionalFormatting sqref="O57">
    <cfRule type="cellIs" dxfId="12057" priority="49" operator="equal">
      <formula>"PMS"</formula>
    </cfRule>
    <cfRule type="containsText" dxfId="12056" priority="50" operator="containsText" text="CMS">
      <formula>NOT(ISERROR(SEARCH("CMS",O57)))</formula>
    </cfRule>
    <cfRule type="cellIs" dxfId="12055" priority="51" operator="equal">
      <formula>0</formula>
    </cfRule>
    <cfRule type="cellIs" dxfId="12054" priority="52" operator="greaterThan">
      <formula>0</formula>
    </cfRule>
  </conditionalFormatting>
  <conditionalFormatting sqref="O57">
    <cfRule type="cellIs" dxfId="12053" priority="45" operator="equal">
      <formula>"PMS"</formula>
    </cfRule>
    <cfRule type="containsText" dxfId="12052" priority="46" operator="containsText" text="CMS">
      <formula>NOT(ISERROR(SEARCH("CMS",O57)))</formula>
    </cfRule>
    <cfRule type="cellIs" dxfId="12051" priority="47" operator="equal">
      <formula>0</formula>
    </cfRule>
    <cfRule type="cellIs" dxfId="12050" priority="48" operator="greaterThan">
      <formula>0</formula>
    </cfRule>
  </conditionalFormatting>
  <conditionalFormatting sqref="O57">
    <cfRule type="cellIs" dxfId="12049" priority="41" operator="equal">
      <formula>"PMS"</formula>
    </cfRule>
    <cfRule type="containsText" dxfId="12048" priority="42" operator="containsText" text="CMS">
      <formula>NOT(ISERROR(SEARCH("CMS",O57)))</formula>
    </cfRule>
    <cfRule type="cellIs" dxfId="12047" priority="43" operator="equal">
      <formula>0</formula>
    </cfRule>
    <cfRule type="cellIs" dxfId="12046" priority="44" operator="greaterThan">
      <formula>0</formula>
    </cfRule>
  </conditionalFormatting>
  <conditionalFormatting sqref="O57">
    <cfRule type="cellIs" dxfId="12045" priority="37" operator="equal">
      <formula>"PMS"</formula>
    </cfRule>
    <cfRule type="containsText" dxfId="12044" priority="38" operator="containsText" text="CMS">
      <formula>NOT(ISERROR(SEARCH("CMS",O57)))</formula>
    </cfRule>
    <cfRule type="cellIs" dxfId="12043" priority="39" operator="equal">
      <formula>0</formula>
    </cfRule>
    <cfRule type="cellIs" dxfId="12042" priority="40" operator="greaterThan">
      <formula>0</formula>
    </cfRule>
  </conditionalFormatting>
  <conditionalFormatting sqref="O57">
    <cfRule type="cellIs" dxfId="12041" priority="33" operator="equal">
      <formula>"PMS"</formula>
    </cfRule>
    <cfRule type="containsText" dxfId="12040" priority="34" operator="containsText" text="CMS">
      <formula>NOT(ISERROR(SEARCH("CMS",O57)))</formula>
    </cfRule>
    <cfRule type="cellIs" dxfId="12039" priority="35" operator="equal">
      <formula>0</formula>
    </cfRule>
    <cfRule type="cellIs" dxfId="12038" priority="36" operator="greaterThan">
      <formula>0</formula>
    </cfRule>
  </conditionalFormatting>
  <conditionalFormatting sqref="U13">
    <cfRule type="cellIs" dxfId="12037" priority="29" operator="equal">
      <formula>"PMS"</formula>
    </cfRule>
    <cfRule type="containsText" dxfId="12036" priority="30" operator="containsText" text="CMS">
      <formula>NOT(ISERROR(SEARCH("CMS",U13)))</formula>
    </cfRule>
    <cfRule type="cellIs" dxfId="12035" priority="31" operator="equal">
      <formula>0</formula>
    </cfRule>
    <cfRule type="cellIs" dxfId="12034" priority="32" operator="greaterThan">
      <formula>0</formula>
    </cfRule>
  </conditionalFormatting>
  <conditionalFormatting sqref="U13">
    <cfRule type="cellIs" dxfId="12033" priority="25" operator="equal">
      <formula>"PMS"</formula>
    </cfRule>
    <cfRule type="containsText" dxfId="12032" priority="26" operator="containsText" text="CMS">
      <formula>NOT(ISERROR(SEARCH("CMS",U13)))</formula>
    </cfRule>
    <cfRule type="cellIs" dxfId="12031" priority="27" operator="equal">
      <formula>0</formula>
    </cfRule>
    <cfRule type="cellIs" dxfId="12030" priority="28" operator="greaterThan">
      <formula>0</formula>
    </cfRule>
  </conditionalFormatting>
  <conditionalFormatting sqref="Y14">
    <cfRule type="cellIs" dxfId="12029" priority="21" operator="equal">
      <formula>"PMS"</formula>
    </cfRule>
    <cfRule type="containsText" dxfId="12028" priority="22" operator="containsText" text="CMS">
      <formula>NOT(ISERROR(SEARCH("CMS",Y14)))</formula>
    </cfRule>
    <cfRule type="cellIs" dxfId="12027" priority="23" operator="equal">
      <formula>0</formula>
    </cfRule>
    <cfRule type="cellIs" dxfId="12026" priority="24" operator="greaterThan">
      <formula>0</formula>
    </cfRule>
  </conditionalFormatting>
  <conditionalFormatting sqref="Y14">
    <cfRule type="cellIs" dxfId="12025" priority="17" operator="equal">
      <formula>"PMS"</formula>
    </cfRule>
    <cfRule type="containsText" dxfId="12024" priority="18" operator="containsText" text="CMS">
      <formula>NOT(ISERROR(SEARCH("CMS",Y14)))</formula>
    </cfRule>
    <cfRule type="cellIs" dxfId="12023" priority="19" operator="equal">
      <formula>0</formula>
    </cfRule>
    <cfRule type="cellIs" dxfId="12022" priority="20" operator="greaterThan">
      <formula>0</formula>
    </cfRule>
  </conditionalFormatting>
  <conditionalFormatting sqref="Y15">
    <cfRule type="cellIs" dxfId="12021" priority="13" operator="equal">
      <formula>"PMS"</formula>
    </cfRule>
    <cfRule type="containsText" dxfId="12020" priority="14" operator="containsText" text="CMS">
      <formula>NOT(ISERROR(SEARCH("CMS",Y15)))</formula>
    </cfRule>
    <cfRule type="cellIs" dxfId="12019" priority="15" operator="equal">
      <formula>0</formula>
    </cfRule>
    <cfRule type="cellIs" dxfId="12018" priority="16" operator="greaterThan">
      <formula>0</formula>
    </cfRule>
  </conditionalFormatting>
  <conditionalFormatting sqref="Y15">
    <cfRule type="cellIs" dxfId="12017" priority="9" operator="equal">
      <formula>"PMS"</formula>
    </cfRule>
    <cfRule type="containsText" dxfId="12016" priority="10" operator="containsText" text="CMS">
      <formula>NOT(ISERROR(SEARCH("CMS",Y15)))</formula>
    </cfRule>
    <cfRule type="cellIs" dxfId="12015" priority="11" operator="equal">
      <formula>0</formula>
    </cfRule>
    <cfRule type="cellIs" dxfId="12014" priority="12" operator="greaterThan">
      <formula>0</formula>
    </cfRule>
  </conditionalFormatting>
  <conditionalFormatting sqref="Y16">
    <cfRule type="cellIs" dxfId="12013" priority="5" operator="equal">
      <formula>"PMS"</formula>
    </cfRule>
    <cfRule type="containsText" dxfId="12012" priority="6" operator="containsText" text="CMS">
      <formula>NOT(ISERROR(SEARCH("CMS",Y16)))</formula>
    </cfRule>
    <cfRule type="cellIs" dxfId="12011" priority="7" operator="equal">
      <formula>0</formula>
    </cfRule>
    <cfRule type="cellIs" dxfId="12010" priority="8" operator="greaterThan">
      <formula>0</formula>
    </cfRule>
  </conditionalFormatting>
  <conditionalFormatting sqref="Y16">
    <cfRule type="cellIs" dxfId="12009" priority="1" operator="equal">
      <formula>"PMS"</formula>
    </cfRule>
    <cfRule type="containsText" dxfId="12008" priority="2" operator="containsText" text="CMS">
      <formula>NOT(ISERROR(SEARCH("CMS",Y16)))</formula>
    </cfRule>
    <cfRule type="cellIs" dxfId="12007" priority="3" operator="equal">
      <formula>0</formula>
    </cfRule>
    <cfRule type="cellIs" dxfId="1200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34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32D05-7DE7-4DBD-BB69-8355331543BA}">
  <sheetPr codeName="Sheet117"/>
  <dimension ref="A2:DT137"/>
  <sheetViews>
    <sheetView zoomScale="70" zoomScaleNormal="70" zoomScaleSheetLayoutView="51" zoomScalePageLayoutView="55" workbookViewId="0">
      <pane xSplit="5" ySplit="11" topLeftCell="F92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S106" sqref="S10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19,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392.3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6.1</v>
      </c>
      <c r="G13" s="71">
        <v>6.5</v>
      </c>
      <c r="H13" s="71">
        <v>6.7</v>
      </c>
      <c r="I13" s="71">
        <v>6.4</v>
      </c>
      <c r="J13" s="71">
        <v>6.5</v>
      </c>
      <c r="K13" s="71">
        <v>6.8</v>
      </c>
      <c r="L13" s="71">
        <v>5</v>
      </c>
      <c r="M13" s="71">
        <v>6.4</v>
      </c>
      <c r="N13" s="71">
        <v>6.9</v>
      </c>
      <c r="O13" s="219">
        <v>6.7</v>
      </c>
      <c r="P13" s="219">
        <v>6.6</v>
      </c>
      <c r="Q13" s="71">
        <v>6.7</v>
      </c>
      <c r="R13" s="71">
        <v>6.6</v>
      </c>
      <c r="S13" s="71">
        <v>6.1</v>
      </c>
      <c r="T13" s="71">
        <v>6.8</v>
      </c>
      <c r="U13" s="71">
        <v>6.4</v>
      </c>
      <c r="V13" s="71">
        <v>6.6</v>
      </c>
      <c r="W13" s="71">
        <v>6.7</v>
      </c>
      <c r="X13" s="71">
        <v>6.7</v>
      </c>
      <c r="Y13" s="71">
        <v>6.7</v>
      </c>
      <c r="Z13" s="71">
        <v>6.7</v>
      </c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3.5</v>
      </c>
      <c r="M14" s="71"/>
      <c r="N14" s="71"/>
      <c r="O14" s="219"/>
      <c r="P14" s="219"/>
      <c r="Q14" s="71"/>
      <c r="R14" s="71"/>
      <c r="S14" s="71">
        <v>1.5</v>
      </c>
      <c r="T14" s="71">
        <v>6.7</v>
      </c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6.1</v>
      </c>
      <c r="G15" s="71">
        <v>6.5</v>
      </c>
      <c r="H15" s="71">
        <v>6.7</v>
      </c>
      <c r="I15" s="71">
        <v>6.4</v>
      </c>
      <c r="J15" s="71">
        <v>6.5</v>
      </c>
      <c r="K15" s="71">
        <v>6.8</v>
      </c>
      <c r="L15" s="71">
        <v>5</v>
      </c>
      <c r="M15" s="71">
        <v>6.4</v>
      </c>
      <c r="N15" s="71">
        <v>6.9</v>
      </c>
      <c r="O15" s="219">
        <v>6.7</v>
      </c>
      <c r="P15" s="219">
        <v>6.6</v>
      </c>
      <c r="Q15" s="71">
        <v>6.7</v>
      </c>
      <c r="R15" s="71">
        <v>6.6</v>
      </c>
      <c r="S15" s="71">
        <v>6</v>
      </c>
      <c r="T15" s="71">
        <v>6.7</v>
      </c>
      <c r="U15" s="71">
        <v>6.4</v>
      </c>
      <c r="V15" s="71">
        <v>6.6</v>
      </c>
      <c r="W15" s="71">
        <v>6.7</v>
      </c>
      <c r="X15" s="71">
        <v>6.7</v>
      </c>
      <c r="Y15" s="71">
        <v>6.6</v>
      </c>
      <c r="Z15" s="71">
        <v>6.7</v>
      </c>
      <c r="AA15" s="71">
        <v>6.5</v>
      </c>
      <c r="AB15" s="71">
        <v>6.8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1.6</v>
      </c>
      <c r="P16" s="219">
        <v>6.6</v>
      </c>
      <c r="Q16" s="71">
        <v>6.7</v>
      </c>
      <c r="R16" s="71">
        <v>6.7</v>
      </c>
      <c r="S16" s="71">
        <v>6.1</v>
      </c>
      <c r="T16" s="71"/>
      <c r="U16" s="71">
        <v>6.5</v>
      </c>
      <c r="V16" s="71">
        <v>6.6</v>
      </c>
      <c r="W16" s="71">
        <v>6.8</v>
      </c>
      <c r="X16" s="71">
        <v>6.9</v>
      </c>
      <c r="Y16" s="71">
        <v>6.7</v>
      </c>
      <c r="Z16" s="71">
        <v>6.7</v>
      </c>
      <c r="AA16" s="71">
        <v>6.5</v>
      </c>
      <c r="AB16" s="71">
        <v>6.8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12.2</v>
      </c>
      <c r="G17" s="19">
        <f t="shared" si="0"/>
        <v>13</v>
      </c>
      <c r="H17" s="19">
        <f t="shared" si="0"/>
        <v>13.4</v>
      </c>
      <c r="I17" s="19">
        <f t="shared" si="0"/>
        <v>12.8</v>
      </c>
      <c r="J17" s="19">
        <f t="shared" si="0"/>
        <v>13</v>
      </c>
      <c r="K17" s="19">
        <f t="shared" si="0"/>
        <v>13.6</v>
      </c>
      <c r="L17" s="19">
        <f t="shared" si="0"/>
        <v>13.5</v>
      </c>
      <c r="M17" s="19">
        <f t="shared" si="0"/>
        <v>12.8</v>
      </c>
      <c r="N17" s="19">
        <f t="shared" si="0"/>
        <v>13.8</v>
      </c>
      <c r="O17" s="19">
        <f t="shared" si="0"/>
        <v>15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19.899999999999999</v>
      </c>
      <c r="S17" s="19">
        <f t="shared" si="0"/>
        <v>19.7</v>
      </c>
      <c r="T17" s="19">
        <f t="shared" si="0"/>
        <v>20.2</v>
      </c>
      <c r="U17" s="19">
        <f t="shared" si="0"/>
        <v>19.3</v>
      </c>
      <c r="V17" s="19">
        <f t="shared" si="0"/>
        <v>19.799999999999997</v>
      </c>
      <c r="W17" s="19">
        <f t="shared" si="0"/>
        <v>20.2</v>
      </c>
      <c r="X17" s="19">
        <f t="shared" si="0"/>
        <v>20.3</v>
      </c>
      <c r="Y17" s="19">
        <f t="shared" si="0"/>
        <v>20</v>
      </c>
      <c r="Z17" s="19">
        <f t="shared" si="0"/>
        <v>20.100000000000001</v>
      </c>
      <c r="AA17" s="19">
        <f t="shared" si="0"/>
        <v>13</v>
      </c>
      <c r="AB17" s="19">
        <f t="shared" si="0"/>
        <v>13.6</v>
      </c>
      <c r="AC17" s="19">
        <f t="shared" si="0"/>
        <v>13.2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74.699999999999974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2.9</v>
      </c>
      <c r="J21" s="71">
        <v>2.6</v>
      </c>
      <c r="K21" s="71">
        <v>3.3</v>
      </c>
      <c r="L21" s="71">
        <v>3.3</v>
      </c>
      <c r="M21" s="71">
        <v>3.3</v>
      </c>
      <c r="N21" s="71">
        <v>3.3</v>
      </c>
      <c r="O21" s="219">
        <v>3.2</v>
      </c>
      <c r="P21" s="71">
        <v>3.3</v>
      </c>
      <c r="Q21" s="71">
        <v>3.3</v>
      </c>
      <c r="R21" s="71">
        <v>3.3</v>
      </c>
      <c r="S21" s="71" t="s">
        <v>9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23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3.3</v>
      </c>
      <c r="I22" s="19">
        <f t="shared" si="1"/>
        <v>2.9</v>
      </c>
      <c r="J22" s="19">
        <f t="shared" si="1"/>
        <v>2.6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3.2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0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58.2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/>
      <c r="M24" s="219"/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4</v>
      </c>
      <c r="W24" s="71">
        <v>4</v>
      </c>
      <c r="X24" s="71">
        <v>3.8</v>
      </c>
      <c r="Y24" s="71">
        <v>4</v>
      </c>
      <c r="Z24" s="71">
        <v>4</v>
      </c>
      <c r="AA24" s="71">
        <v>4</v>
      </c>
      <c r="AB24" s="71">
        <v>4</v>
      </c>
      <c r="AC24" s="71">
        <v>0</v>
      </c>
      <c r="AD24" s="41"/>
      <c r="AE24" s="41"/>
      <c r="AF24" s="11">
        <f>COUNTIF(F24:AC24,$AJ$8)</f>
        <v>6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4</v>
      </c>
      <c r="X25" s="19">
        <f t="shared" si="3"/>
        <v>3.8</v>
      </c>
      <c r="Y25" s="19">
        <f t="shared" si="3"/>
        <v>4</v>
      </c>
      <c r="Z25" s="19">
        <f t="shared" si="3"/>
        <v>4</v>
      </c>
      <c r="AA25" s="19">
        <f t="shared" si="3"/>
        <v>4</v>
      </c>
      <c r="AB25" s="19">
        <f t="shared" si="3"/>
        <v>4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142.79999999999998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2.8</v>
      </c>
      <c r="P27" s="71">
        <v>2.7</v>
      </c>
      <c r="Q27" s="71">
        <v>3.5</v>
      </c>
      <c r="R27" s="71">
        <v>3</v>
      </c>
      <c r="S27" s="71">
        <v>3.5</v>
      </c>
      <c r="T27" s="71">
        <v>4</v>
      </c>
      <c r="U27" s="71">
        <v>3.8</v>
      </c>
      <c r="V27" s="71">
        <v>4</v>
      </c>
      <c r="W27" s="71">
        <v>3.5</v>
      </c>
      <c r="X27" s="71">
        <v>3.5</v>
      </c>
      <c r="Y27" s="71">
        <v>3.8</v>
      </c>
      <c r="Z27" s="71">
        <v>3.8</v>
      </c>
      <c r="AA27" s="71">
        <v>4.0999999999999996</v>
      </c>
      <c r="AB27" s="71">
        <v>3.5</v>
      </c>
      <c r="AC27" s="71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3.8</v>
      </c>
      <c r="G28" s="71">
        <v>3</v>
      </c>
      <c r="H28" s="71">
        <v>2.5</v>
      </c>
      <c r="I28" s="71">
        <v>2.4</v>
      </c>
      <c r="J28" s="71">
        <v>2.4</v>
      </c>
      <c r="K28" s="71">
        <v>3</v>
      </c>
      <c r="L28" s="71">
        <v>3.8</v>
      </c>
      <c r="M28" s="71">
        <v>3.8</v>
      </c>
      <c r="N28" s="71">
        <v>4</v>
      </c>
      <c r="O28" s="219">
        <v>3.7</v>
      </c>
      <c r="P28" s="71">
        <v>2.7</v>
      </c>
      <c r="Q28" s="71">
        <v>3.5</v>
      </c>
      <c r="R28" s="71">
        <v>3</v>
      </c>
      <c r="S28" s="71">
        <v>3.5</v>
      </c>
      <c r="T28" s="71">
        <v>4</v>
      </c>
      <c r="U28" s="71">
        <v>3.8</v>
      </c>
      <c r="V28" s="71">
        <v>4</v>
      </c>
      <c r="W28" s="71">
        <v>3.5</v>
      </c>
      <c r="X28" s="71">
        <v>3.5</v>
      </c>
      <c r="Y28" s="71">
        <v>3.8</v>
      </c>
      <c r="Z28" s="71">
        <v>3.8</v>
      </c>
      <c r="AA28" s="71">
        <v>4.0999999999999996</v>
      </c>
      <c r="AB28" s="71">
        <v>3.5</v>
      </c>
      <c r="AC28" s="71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7.6</v>
      </c>
      <c r="G30" s="19">
        <f t="shared" si="4"/>
        <v>5</v>
      </c>
      <c r="H30" s="19">
        <f t="shared" si="4"/>
        <v>2.5</v>
      </c>
      <c r="I30" s="19">
        <f t="shared" si="4"/>
        <v>2.4</v>
      </c>
      <c r="J30" s="19">
        <f t="shared" si="4"/>
        <v>2.4</v>
      </c>
      <c r="K30" s="19">
        <f t="shared" si="4"/>
        <v>3</v>
      </c>
      <c r="L30" s="19">
        <f t="shared" si="4"/>
        <v>3.8</v>
      </c>
      <c r="M30" s="19">
        <f t="shared" si="4"/>
        <v>3.8</v>
      </c>
      <c r="N30" s="19">
        <f t="shared" si="4"/>
        <v>4</v>
      </c>
      <c r="O30" s="19">
        <f t="shared" si="4"/>
        <v>6.5</v>
      </c>
      <c r="P30" s="19">
        <f t="shared" si="4"/>
        <v>5.4</v>
      </c>
      <c r="Q30" s="19">
        <f t="shared" si="4"/>
        <v>7</v>
      </c>
      <c r="R30" s="19">
        <f t="shared" si="4"/>
        <v>6</v>
      </c>
      <c r="S30" s="19">
        <f t="shared" si="4"/>
        <v>7</v>
      </c>
      <c r="T30" s="19">
        <f t="shared" si="4"/>
        <v>8</v>
      </c>
      <c r="U30" s="19">
        <f t="shared" si="4"/>
        <v>7.6</v>
      </c>
      <c r="V30" s="19">
        <f t="shared" si="4"/>
        <v>8</v>
      </c>
      <c r="W30" s="19">
        <f t="shared" si="4"/>
        <v>7</v>
      </c>
      <c r="X30" s="19">
        <f t="shared" si="4"/>
        <v>7</v>
      </c>
      <c r="Y30" s="19">
        <f t="shared" si="4"/>
        <v>7.6</v>
      </c>
      <c r="Z30" s="19">
        <f t="shared" si="4"/>
        <v>7.6</v>
      </c>
      <c r="AA30" s="19">
        <f t="shared" si="4"/>
        <v>8.1999999999999993</v>
      </c>
      <c r="AB30" s="19">
        <f t="shared" si="4"/>
        <v>7</v>
      </c>
      <c r="AC30" s="19">
        <f t="shared" si="4"/>
        <v>8.4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322.83999999999992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12.01</v>
      </c>
      <c r="G32" s="71">
        <v>12.58</v>
      </c>
      <c r="H32" s="71">
        <v>12.62</v>
      </c>
      <c r="I32" s="71">
        <v>12.55</v>
      </c>
      <c r="J32" s="71">
        <v>12.54</v>
      </c>
      <c r="K32" s="71">
        <v>12.54</v>
      </c>
      <c r="L32" s="71">
        <v>14.15</v>
      </c>
      <c r="M32" s="71">
        <v>14.03</v>
      </c>
      <c r="N32" s="71">
        <v>13.65</v>
      </c>
      <c r="O32" s="71">
        <v>14.26</v>
      </c>
      <c r="P32" s="71">
        <v>12.28</v>
      </c>
      <c r="Q32" s="71">
        <v>12.23</v>
      </c>
      <c r="R32" s="71">
        <v>12.32</v>
      </c>
      <c r="S32" s="71">
        <v>14.29</v>
      </c>
      <c r="T32" s="71">
        <v>14.31</v>
      </c>
      <c r="U32" s="71">
        <v>14.31</v>
      </c>
      <c r="V32" s="71">
        <v>14.35</v>
      </c>
      <c r="W32" s="71">
        <v>13.83</v>
      </c>
      <c r="X32" s="71">
        <v>12.85</v>
      </c>
      <c r="Y32" s="71">
        <v>14.33</v>
      </c>
      <c r="Z32" s="71">
        <v>14.34</v>
      </c>
      <c r="AA32" s="71">
        <v>14.32</v>
      </c>
      <c r="AB32" s="71">
        <v>13.83</v>
      </c>
      <c r="AC32" s="71">
        <v>14.32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12.01</v>
      </c>
      <c r="G33" s="19">
        <f t="shared" si="5"/>
        <v>12.58</v>
      </c>
      <c r="H33" s="19">
        <f t="shared" si="5"/>
        <v>12.62</v>
      </c>
      <c r="I33" s="19">
        <f t="shared" si="5"/>
        <v>12.55</v>
      </c>
      <c r="J33" s="19">
        <f t="shared" si="5"/>
        <v>12.54</v>
      </c>
      <c r="K33" s="19">
        <f t="shared" si="5"/>
        <v>12.54</v>
      </c>
      <c r="L33" s="19">
        <f t="shared" si="5"/>
        <v>14.15</v>
      </c>
      <c r="M33" s="19">
        <f t="shared" si="5"/>
        <v>14.03</v>
      </c>
      <c r="N33" s="19">
        <f t="shared" si="5"/>
        <v>13.65</v>
      </c>
      <c r="O33" s="19">
        <f t="shared" si="5"/>
        <v>14.26</v>
      </c>
      <c r="P33" s="19">
        <f t="shared" si="5"/>
        <v>12.28</v>
      </c>
      <c r="Q33" s="19">
        <f t="shared" si="5"/>
        <v>12.23</v>
      </c>
      <c r="R33" s="19">
        <f t="shared" si="5"/>
        <v>12.32</v>
      </c>
      <c r="S33" s="19">
        <f t="shared" si="5"/>
        <v>14.29</v>
      </c>
      <c r="T33" s="19">
        <f t="shared" si="5"/>
        <v>14.31</v>
      </c>
      <c r="U33" s="19">
        <f t="shared" si="5"/>
        <v>14.31</v>
      </c>
      <c r="V33" s="19">
        <f t="shared" si="5"/>
        <v>14.35</v>
      </c>
      <c r="W33" s="19">
        <f t="shared" si="5"/>
        <v>13.83</v>
      </c>
      <c r="X33" s="19">
        <f t="shared" si="5"/>
        <v>12.85</v>
      </c>
      <c r="Y33" s="19">
        <f t="shared" si="5"/>
        <v>14.33</v>
      </c>
      <c r="Z33" s="19">
        <f t="shared" si="5"/>
        <v>14.34</v>
      </c>
      <c r="AA33" s="19">
        <f t="shared" si="5"/>
        <v>14.32</v>
      </c>
      <c r="AB33" s="19">
        <f t="shared" si="5"/>
        <v>13.83</v>
      </c>
      <c r="AC33" s="19">
        <f t="shared" si="5"/>
        <v>14.32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15.610000000000001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>
        <v>0.75</v>
      </c>
      <c r="U44" s="71">
        <v>0.81</v>
      </c>
      <c r="V44" s="71"/>
      <c r="W44" s="71"/>
      <c r="X44" s="71"/>
      <c r="Y44" s="71"/>
      <c r="Z44" s="71"/>
      <c r="AA44" s="71">
        <f>3.1/4</f>
        <v>0.77500000000000002</v>
      </c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3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>
        <v>0.8</v>
      </c>
      <c r="N45" s="71"/>
      <c r="O45" s="219"/>
      <c r="P45" s="71"/>
      <c r="Q45" s="71"/>
      <c r="R45" s="71"/>
      <c r="S45" s="71"/>
      <c r="T45" s="71"/>
      <c r="U45" s="71"/>
      <c r="V45" s="71">
        <v>0.8</v>
      </c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2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/>
      <c r="T46" s="71"/>
      <c r="U46" s="71"/>
      <c r="V46" s="71">
        <v>0.8</v>
      </c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1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0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0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>
        <v>0.7</v>
      </c>
      <c r="M52" s="71"/>
      <c r="N52" s="71"/>
      <c r="O52" s="219">
        <f>2.5/3</f>
        <v>0.83333333333333337</v>
      </c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>
        <f>3.1/4</f>
        <v>0.77500000000000002</v>
      </c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3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>
        <f>2.5/3</f>
        <v>0.83333333333333337</v>
      </c>
      <c r="P53" s="71"/>
      <c r="Q53" s="71"/>
      <c r="R53" s="71"/>
      <c r="S53" s="71"/>
      <c r="T53" s="71"/>
      <c r="U53" s="71"/>
      <c r="V53" s="71"/>
      <c r="W53" s="71"/>
      <c r="X53" s="71"/>
      <c r="Y53" s="71">
        <f>2.3/3</f>
        <v>0.76666666666666661</v>
      </c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2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/>
      <c r="T54" s="71"/>
      <c r="U54" s="71"/>
      <c r="V54" s="71"/>
      <c r="W54" s="71"/>
      <c r="X54" s="71"/>
      <c r="Y54" s="71">
        <f>2.3/3</f>
        <v>0.76666666666666661</v>
      </c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/>
      <c r="P55" s="71"/>
      <c r="Q55" s="71"/>
      <c r="R55" s="71"/>
      <c r="S55" s="71"/>
      <c r="T55" s="71"/>
      <c r="U55" s="71"/>
      <c r="V55" s="71"/>
      <c r="W55" s="71"/>
      <c r="X55" s="71"/>
      <c r="Y55" s="71">
        <f>2.3/3</f>
        <v>0.76666666666666661</v>
      </c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1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/>
      <c r="Q56" s="71"/>
      <c r="R56" s="71"/>
      <c r="S56" s="71"/>
      <c r="T56" s="71"/>
      <c r="U56" s="71"/>
      <c r="V56" s="71">
        <v>0.7</v>
      </c>
      <c r="W56" s="71"/>
      <c r="X56" s="71"/>
      <c r="Y56" s="71"/>
      <c r="Z56" s="71"/>
      <c r="AA56" s="71">
        <f>3.1/4</f>
        <v>0.77500000000000002</v>
      </c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3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71"/>
      <c r="Q57" s="71"/>
      <c r="R57" s="71"/>
      <c r="S57" s="71">
        <v>0.8</v>
      </c>
      <c r="T57" s="71">
        <v>0.75</v>
      </c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2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f>2.5/3</f>
        <v>0.83333333333333337</v>
      </c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>
        <f>3.1/4</f>
        <v>0.77500000000000002</v>
      </c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2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</v>
      </c>
      <c r="J59" s="19">
        <f t="shared" si="9"/>
        <v>0</v>
      </c>
      <c r="K59" s="19">
        <f t="shared" si="9"/>
        <v>0</v>
      </c>
      <c r="L59" s="19">
        <f t="shared" si="9"/>
        <v>0.7</v>
      </c>
      <c r="M59" s="19">
        <f t="shared" si="9"/>
        <v>1.6</v>
      </c>
      <c r="N59" s="19">
        <f t="shared" si="9"/>
        <v>0</v>
      </c>
      <c r="O59" s="19">
        <f t="shared" si="9"/>
        <v>2.5</v>
      </c>
      <c r="P59" s="19">
        <f t="shared" si="9"/>
        <v>0</v>
      </c>
      <c r="Q59" s="19">
        <f t="shared" si="9"/>
        <v>0</v>
      </c>
      <c r="R59" s="19">
        <f t="shared" si="9"/>
        <v>0</v>
      </c>
      <c r="S59" s="19">
        <f t="shared" si="9"/>
        <v>0.8</v>
      </c>
      <c r="T59" s="19">
        <f t="shared" si="9"/>
        <v>1.5</v>
      </c>
      <c r="U59" s="19">
        <f t="shared" si="9"/>
        <v>0.81</v>
      </c>
      <c r="V59" s="19">
        <f t="shared" si="9"/>
        <v>2.2999999999999998</v>
      </c>
      <c r="W59" s="19">
        <f>SUM(W35:W58)</f>
        <v>0</v>
      </c>
      <c r="X59" s="19">
        <f t="shared" si="9"/>
        <v>0</v>
      </c>
      <c r="Y59" s="19">
        <f>SUM(Y35:Y58)</f>
        <v>2.2999999999999998</v>
      </c>
      <c r="Z59" s="19">
        <f t="shared" si="9"/>
        <v>0</v>
      </c>
      <c r="AA59" s="19">
        <f t="shared" si="9"/>
        <v>3.1</v>
      </c>
      <c r="AB59" s="19">
        <f t="shared" si="9"/>
        <v>0</v>
      </c>
      <c r="AC59" s="19">
        <f t="shared" si="9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0.88/2</f>
        <v>0.44</v>
      </c>
      <c r="G61" s="71">
        <f>0.83/2</f>
        <v>0.41499999999999998</v>
      </c>
      <c r="H61" s="71">
        <f>0.82/2</f>
        <v>0.41</v>
      </c>
      <c r="I61" s="71">
        <v>0.4</v>
      </c>
      <c r="J61" s="71">
        <v>0.39500000000000002</v>
      </c>
      <c r="K61" s="71">
        <v>0.42499999999999999</v>
      </c>
      <c r="L61" s="71">
        <v>0.53</v>
      </c>
      <c r="M61" s="71">
        <f>1.19/2</f>
        <v>0.59499999999999997</v>
      </c>
      <c r="N61" s="71">
        <f>1.02/2</f>
        <v>0.51</v>
      </c>
      <c r="O61" s="71">
        <f>1.26/2</f>
        <v>0.63</v>
      </c>
      <c r="P61" s="71">
        <f>1.32/2</f>
        <v>0.66</v>
      </c>
      <c r="Q61" s="71">
        <f>1.4/2</f>
        <v>0.7</v>
      </c>
      <c r="R61" s="71"/>
      <c r="S61" s="71"/>
      <c r="T61" s="71"/>
      <c r="U61" s="71"/>
      <c r="V61" s="71"/>
      <c r="W61" s="71"/>
      <c r="X61" s="71">
        <f>1.28/2</f>
        <v>0.64</v>
      </c>
      <c r="Y61" s="71">
        <v>0.8</v>
      </c>
      <c r="Z61" s="71">
        <f>1.55/2</f>
        <v>0.77500000000000002</v>
      </c>
      <c r="AA61" s="71">
        <f>1.39/2</f>
        <v>0.69499999999999995</v>
      </c>
      <c r="AB61" s="71">
        <f>1.21/2</f>
        <v>0.60499999999999998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0.53</v>
      </c>
      <c r="M62" s="71">
        <f>1.19/2</f>
        <v>0.59499999999999997</v>
      </c>
      <c r="N62" s="71">
        <f>1.02/2</f>
        <v>0.51</v>
      </c>
      <c r="O62" s="71">
        <f>1.26/2</f>
        <v>0.63</v>
      </c>
      <c r="P62" s="71">
        <f>1.32/2</f>
        <v>0.66</v>
      </c>
      <c r="Q62" s="71">
        <f>1.4/2</f>
        <v>0.7</v>
      </c>
      <c r="R62" s="71">
        <f>1.22/2</f>
        <v>0.61</v>
      </c>
      <c r="S62" s="71">
        <f>1.25/2</f>
        <v>0.625</v>
      </c>
      <c r="T62" s="71">
        <f>1.32/2</f>
        <v>0.66</v>
      </c>
      <c r="U62" s="71">
        <f>1.3/2</f>
        <v>0.65</v>
      </c>
      <c r="V62" s="71">
        <f>1.3/2</f>
        <v>0.65</v>
      </c>
      <c r="W62" s="71">
        <f>1.27/2</f>
        <v>0.63500000000000001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>
        <f>0.88/2</f>
        <v>0.44</v>
      </c>
      <c r="G63" s="71">
        <f>0.83/2</f>
        <v>0.41499999999999998</v>
      </c>
      <c r="H63" s="71">
        <f>0.82/2</f>
        <v>0.41</v>
      </c>
      <c r="I63" s="380">
        <v>0.4</v>
      </c>
      <c r="J63" s="71">
        <v>0.39500000000000002</v>
      </c>
      <c r="K63" s="71">
        <v>0.42499999999999999</v>
      </c>
      <c r="L63" s="71"/>
      <c r="M63" s="71"/>
      <c r="N63" s="71"/>
      <c r="O63" s="71"/>
      <c r="P63" s="71"/>
      <c r="Q63" s="71"/>
      <c r="R63" s="71">
        <v>0.61</v>
      </c>
      <c r="S63" s="71">
        <f>1.25/2</f>
        <v>0.625</v>
      </c>
      <c r="T63" s="71">
        <f>1.32/2</f>
        <v>0.66</v>
      </c>
      <c r="U63" s="71">
        <f>1.3/2</f>
        <v>0.65</v>
      </c>
      <c r="V63" s="71">
        <f>1.3/2</f>
        <v>0.65</v>
      </c>
      <c r="W63" s="71">
        <f>1.27/2</f>
        <v>0.63500000000000001</v>
      </c>
      <c r="X63" s="71">
        <f>1.28/2</f>
        <v>0.64</v>
      </c>
      <c r="Y63" s="71">
        <v>0.8</v>
      </c>
      <c r="Z63" s="71">
        <f>1.55/2</f>
        <v>0.77500000000000002</v>
      </c>
      <c r="AA63" s="71">
        <f>1.39/2</f>
        <v>0.69499999999999995</v>
      </c>
      <c r="AB63" s="71">
        <f>1.21/2</f>
        <v>0.60499999999999998</v>
      </c>
      <c r="AC63" s="71">
        <f>1.06/2</f>
        <v>0.53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0.88</v>
      </c>
      <c r="G64" s="19">
        <f>SUM(G61:G63)</f>
        <v>0.83</v>
      </c>
      <c r="H64" s="19">
        <f>SUM(H61:H63)</f>
        <v>0.82</v>
      </c>
      <c r="I64" s="19">
        <f>SUM(I61:I63)</f>
        <v>0.8</v>
      </c>
      <c r="J64" s="19">
        <f t="shared" ref="J64:AC64" si="11">SUM(J61:J63)</f>
        <v>0.79</v>
      </c>
      <c r="K64" s="19">
        <f>SUM(K61:K63)</f>
        <v>0.85</v>
      </c>
      <c r="L64" s="19">
        <f t="shared" si="11"/>
        <v>1.06</v>
      </c>
      <c r="M64" s="19">
        <f t="shared" si="11"/>
        <v>1.19</v>
      </c>
      <c r="N64" s="19">
        <f t="shared" si="11"/>
        <v>1.02</v>
      </c>
      <c r="O64" s="19">
        <f t="shared" si="11"/>
        <v>1.26</v>
      </c>
      <c r="P64" s="19">
        <f t="shared" si="11"/>
        <v>1.32</v>
      </c>
      <c r="Q64" s="19">
        <f t="shared" si="11"/>
        <v>1.4</v>
      </c>
      <c r="R64" s="19">
        <f t="shared" si="11"/>
        <v>1.22</v>
      </c>
      <c r="S64" s="19">
        <f t="shared" si="11"/>
        <v>1.25</v>
      </c>
      <c r="T64" s="19">
        <f>SUM(T61:T63)</f>
        <v>1.32</v>
      </c>
      <c r="U64" s="19">
        <f>SUM(U61:U63)</f>
        <v>1.3</v>
      </c>
      <c r="V64" s="19">
        <f>SUM(V61:V63)</f>
        <v>1.3</v>
      </c>
      <c r="W64" s="19">
        <f t="shared" si="11"/>
        <v>1.27</v>
      </c>
      <c r="X64" s="19">
        <f t="shared" si="11"/>
        <v>1.28</v>
      </c>
      <c r="Y64" s="19">
        <f t="shared" si="11"/>
        <v>1.6</v>
      </c>
      <c r="Z64" s="19">
        <f t="shared" si="11"/>
        <v>1.55</v>
      </c>
      <c r="AA64" s="19">
        <f t="shared" si="11"/>
        <v>1.39</v>
      </c>
      <c r="AB64" s="19">
        <f t="shared" si="11"/>
        <v>1.21</v>
      </c>
      <c r="AC64" s="19">
        <f t="shared" si="11"/>
        <v>1.06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99.77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f>5.5/7</f>
        <v>0.7857142857142857</v>
      </c>
      <c r="P66" s="71"/>
      <c r="Q66" s="71"/>
      <c r="R66" s="71"/>
      <c r="S66" s="71"/>
      <c r="T66" s="71"/>
      <c r="U66" s="71"/>
      <c r="V66" s="71"/>
      <c r="W66" s="71">
        <f>3.9/6</f>
        <v>0.65</v>
      </c>
      <c r="X66" s="71">
        <f>3.7/5</f>
        <v>0.74</v>
      </c>
      <c r="Y66" s="71" t="s">
        <v>9</v>
      </c>
      <c r="Z66" s="71" t="s">
        <v>9</v>
      </c>
      <c r="AA66" s="71" t="s">
        <v>9</v>
      </c>
      <c r="AB66" s="71" t="s">
        <v>9</v>
      </c>
      <c r="AC66" s="71" t="s">
        <v>9</v>
      </c>
      <c r="AD66" s="35"/>
      <c r="AE66" s="35"/>
      <c r="AF66" s="11">
        <f t="shared" ref="AF66:AF74" si="12">COUNTIF(F66:AC66,$AF$11)</f>
        <v>5</v>
      </c>
      <c r="AG66" s="11">
        <f t="shared" ref="AG66:AG74" si="13">COUNTIF(G66:AC66,$AG$11)</f>
        <v>0</v>
      </c>
      <c r="AH66" s="11">
        <f t="shared" ref="AH66:AH74" si="14">COUNT(F66:AC66)</f>
        <v>12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4.2/5</f>
        <v>0.84000000000000008</v>
      </c>
      <c r="G67" s="71">
        <f>4/5</f>
        <v>0.8</v>
      </c>
      <c r="H67" s="71">
        <f>3.9/5</f>
        <v>0.78</v>
      </c>
      <c r="I67" s="71">
        <v>0.74</v>
      </c>
      <c r="J67" s="71">
        <v>0.76</v>
      </c>
      <c r="K67" s="71">
        <v>0.78</v>
      </c>
      <c r="L67" s="71">
        <v>0.84000000000000008</v>
      </c>
      <c r="M67" s="71">
        <f>5.1/6</f>
        <v>0.85</v>
      </c>
      <c r="N67" s="71">
        <f>4.8/6</f>
        <v>0.79999999999999993</v>
      </c>
      <c r="O67" s="71">
        <f t="shared" ref="O67:O71" si="15">5.5/7</f>
        <v>0.7857142857142857</v>
      </c>
      <c r="P67" s="71">
        <f>4.5/6</f>
        <v>0.75</v>
      </c>
      <c r="Q67" s="71">
        <f>4.4/6</f>
        <v>0.73333333333333339</v>
      </c>
      <c r="R67" s="71">
        <f>4.5/6</f>
        <v>0.75</v>
      </c>
      <c r="S67" s="71">
        <f>4.6/6</f>
        <v>0.76666666666666661</v>
      </c>
      <c r="T67" s="71">
        <f>4.7/6</f>
        <v>0.78333333333333333</v>
      </c>
      <c r="U67" s="71">
        <f>4.4/6</f>
        <v>0.73333333333333339</v>
      </c>
      <c r="V67" s="71">
        <f>4.3/6</f>
        <v>0.71666666666666667</v>
      </c>
      <c r="W67" s="71">
        <f>3.9/6</f>
        <v>0.65</v>
      </c>
      <c r="X67" s="71">
        <f>3.7/5</f>
        <v>0.74</v>
      </c>
      <c r="Y67" s="71"/>
      <c r="Z67" s="71">
        <f>4.5/6</f>
        <v>0.75</v>
      </c>
      <c r="AA67" s="71">
        <f>4.5/6</f>
        <v>0.75</v>
      </c>
      <c r="AB67" s="71">
        <f>4.5/6</f>
        <v>0.75</v>
      </c>
      <c r="AC67" s="71">
        <f>4.17/6</f>
        <v>0.69499999999999995</v>
      </c>
      <c r="AD67" s="35"/>
      <c r="AE67" s="35"/>
      <c r="AF67" s="11">
        <f t="shared" si="12"/>
        <v>0</v>
      </c>
      <c r="AG67" s="11">
        <f t="shared" si="13"/>
        <v>0</v>
      </c>
      <c r="AH67" s="11">
        <f t="shared" si="14"/>
        <v>23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4.2/5</f>
        <v>0.84000000000000008</v>
      </c>
      <c r="G68" s="71">
        <f>4/5</f>
        <v>0.8</v>
      </c>
      <c r="H68" s="71">
        <f>3.9/5</f>
        <v>0.78</v>
      </c>
      <c r="I68" s="71">
        <v>0.74</v>
      </c>
      <c r="J68" s="71">
        <v>0.76</v>
      </c>
      <c r="K68" s="71">
        <v>0.78</v>
      </c>
      <c r="L68" s="71">
        <v>0.84000000000000008</v>
      </c>
      <c r="M68" s="71">
        <f t="shared" ref="M68:M71" si="16">5.1/6</f>
        <v>0.85</v>
      </c>
      <c r="N68" s="71">
        <f t="shared" ref="N68:N71" si="17">4.8/6</f>
        <v>0.79999999999999993</v>
      </c>
      <c r="O68" s="71">
        <f t="shared" si="15"/>
        <v>0.7857142857142857</v>
      </c>
      <c r="P68" s="71">
        <f t="shared" ref="P68:P71" si="18">4.5/6</f>
        <v>0.75</v>
      </c>
      <c r="Q68" s="71">
        <f t="shared" ref="Q68:Q71" si="19">4.4/6</f>
        <v>0.73333333333333339</v>
      </c>
      <c r="R68" s="71">
        <f t="shared" ref="R68:R71" si="20">4.5/6</f>
        <v>0.75</v>
      </c>
      <c r="S68" s="71">
        <f t="shared" ref="S68:S71" si="21">4.6/6</f>
        <v>0.76666666666666661</v>
      </c>
      <c r="T68" s="71">
        <f t="shared" ref="T68:T71" si="22">4.7/6</f>
        <v>0.78333333333333333</v>
      </c>
      <c r="U68" s="71">
        <f>4.4/6</f>
        <v>0.73333333333333339</v>
      </c>
      <c r="V68" s="71">
        <f>4.3/6</f>
        <v>0.71666666666666667</v>
      </c>
      <c r="W68" s="71"/>
      <c r="X68" s="71"/>
      <c r="Y68" s="71"/>
      <c r="Z68" s="71">
        <f t="shared" ref="Z68:Z71" si="23">4.5/6</f>
        <v>0.75</v>
      </c>
      <c r="AA68" s="71">
        <f>4.5/6</f>
        <v>0.75</v>
      </c>
      <c r="AB68" s="71">
        <f>4.5/6</f>
        <v>0.75</v>
      </c>
      <c r="AC68" s="71">
        <f t="shared" ref="AC68:AC71" si="24">4.17/6</f>
        <v>0.69499999999999995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4"/>
        <v>21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>
        <f t="shared" si="16"/>
        <v>0.85</v>
      </c>
      <c r="N69" s="71">
        <f t="shared" si="17"/>
        <v>0.79999999999999993</v>
      </c>
      <c r="O69" s="71">
        <f t="shared" si="15"/>
        <v>0.7857142857142857</v>
      </c>
      <c r="P69" s="71">
        <f t="shared" si="18"/>
        <v>0.75</v>
      </c>
      <c r="Q69" s="71">
        <f t="shared" si="19"/>
        <v>0.73333333333333339</v>
      </c>
      <c r="R69" s="71">
        <f t="shared" si="20"/>
        <v>0.75</v>
      </c>
      <c r="S69" s="71">
        <f t="shared" si="21"/>
        <v>0.76666666666666661</v>
      </c>
      <c r="T69" s="71">
        <f t="shared" si="22"/>
        <v>0.78333333333333333</v>
      </c>
      <c r="U69" s="71">
        <f>4.4/6</f>
        <v>0.73333333333333339</v>
      </c>
      <c r="V69" s="71">
        <f>4.3/6</f>
        <v>0.71666666666666667</v>
      </c>
      <c r="W69" s="71">
        <f>3.9/6</f>
        <v>0.65</v>
      </c>
      <c r="X69" s="71"/>
      <c r="Y69" s="71"/>
      <c r="Z69" s="71">
        <f t="shared" si="23"/>
        <v>0.75</v>
      </c>
      <c r="AA69" s="71">
        <f>4.5/6</f>
        <v>0.75</v>
      </c>
      <c r="AB69" s="71">
        <f>4.5/6</f>
        <v>0.75</v>
      </c>
      <c r="AC69" s="71">
        <f t="shared" si="24"/>
        <v>0.69499999999999995</v>
      </c>
      <c r="AD69" s="35"/>
      <c r="AE69" s="35"/>
      <c r="AF69" s="11">
        <f t="shared" si="12"/>
        <v>0</v>
      </c>
      <c r="AG69" s="11">
        <f t="shared" si="13"/>
        <v>0</v>
      </c>
      <c r="AH69" s="11">
        <f t="shared" si="14"/>
        <v>15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ref="F70:F71" si="25">4.2/5</f>
        <v>0.84000000000000008</v>
      </c>
      <c r="G70" s="71">
        <f t="shared" ref="G70:G71" si="26">4/5</f>
        <v>0.8</v>
      </c>
      <c r="H70" s="71">
        <f t="shared" ref="H70:H71" si="27">3.9/5</f>
        <v>0.78</v>
      </c>
      <c r="I70" s="71">
        <v>0.74</v>
      </c>
      <c r="J70" s="71">
        <v>0.76</v>
      </c>
      <c r="K70" s="71">
        <v>0.78</v>
      </c>
      <c r="L70" s="71">
        <v>0.84000000000000008</v>
      </c>
      <c r="M70" s="71">
        <f t="shared" si="16"/>
        <v>0.85</v>
      </c>
      <c r="N70" s="71">
        <f t="shared" si="17"/>
        <v>0.79999999999999993</v>
      </c>
      <c r="O70" s="71">
        <f t="shared" si="15"/>
        <v>0.7857142857142857</v>
      </c>
      <c r="P70" s="71">
        <f t="shared" si="18"/>
        <v>0.75</v>
      </c>
      <c r="Q70" s="71">
        <f t="shared" si="19"/>
        <v>0.73333333333333339</v>
      </c>
      <c r="R70" s="71">
        <f t="shared" si="20"/>
        <v>0.75</v>
      </c>
      <c r="S70" s="71">
        <f t="shared" si="21"/>
        <v>0.76666666666666661</v>
      </c>
      <c r="T70" s="71">
        <f t="shared" si="22"/>
        <v>0.78333333333333333</v>
      </c>
      <c r="U70" s="71">
        <f>4.4/6</f>
        <v>0.73333333333333339</v>
      </c>
      <c r="V70" s="71">
        <f>4.3/6</f>
        <v>0.71666666666666667</v>
      </c>
      <c r="W70" s="71">
        <f>3.9/6</f>
        <v>0.65</v>
      </c>
      <c r="X70" s="71">
        <f>3.7/5</f>
        <v>0.74</v>
      </c>
      <c r="Y70" s="71"/>
      <c r="Z70" s="71">
        <f t="shared" si="23"/>
        <v>0.75</v>
      </c>
      <c r="AA70" s="71">
        <f>4.5/6</f>
        <v>0.75</v>
      </c>
      <c r="AB70" s="71">
        <f>4.5/6</f>
        <v>0.75</v>
      </c>
      <c r="AC70" s="71">
        <f t="shared" si="24"/>
        <v>0.69499999999999995</v>
      </c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23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5"/>
        <v>0.84000000000000008</v>
      </c>
      <c r="G71" s="71">
        <f t="shared" si="26"/>
        <v>0.8</v>
      </c>
      <c r="H71" s="71">
        <f t="shared" si="27"/>
        <v>0.78</v>
      </c>
      <c r="I71" s="71">
        <v>0.74</v>
      </c>
      <c r="J71" s="71">
        <v>0.76</v>
      </c>
      <c r="K71" s="71">
        <v>0.78</v>
      </c>
      <c r="L71" s="71">
        <v>0.84000000000000008</v>
      </c>
      <c r="M71" s="71">
        <f t="shared" si="16"/>
        <v>0.85</v>
      </c>
      <c r="N71" s="71">
        <f t="shared" si="17"/>
        <v>0.79999999999999993</v>
      </c>
      <c r="O71" s="71">
        <f t="shared" si="15"/>
        <v>0.7857142857142857</v>
      </c>
      <c r="P71" s="71">
        <f t="shared" si="18"/>
        <v>0.75</v>
      </c>
      <c r="Q71" s="71">
        <f t="shared" si="19"/>
        <v>0.73333333333333339</v>
      </c>
      <c r="R71" s="71">
        <f t="shared" si="20"/>
        <v>0.75</v>
      </c>
      <c r="S71" s="71">
        <f t="shared" si="21"/>
        <v>0.76666666666666661</v>
      </c>
      <c r="T71" s="71">
        <f t="shared" si="22"/>
        <v>0.78333333333333333</v>
      </c>
      <c r="U71" s="71">
        <f>4.4/6</f>
        <v>0.73333333333333339</v>
      </c>
      <c r="V71" s="71">
        <f>4.3/6</f>
        <v>0.71666666666666667</v>
      </c>
      <c r="W71" s="71">
        <f>3.9/6</f>
        <v>0.65</v>
      </c>
      <c r="X71" s="71">
        <f>3.7/5</f>
        <v>0.74</v>
      </c>
      <c r="Y71" s="71"/>
      <c r="Z71" s="71">
        <f t="shared" si="23"/>
        <v>0.75</v>
      </c>
      <c r="AA71" s="71">
        <f>4.5/6</f>
        <v>0.75</v>
      </c>
      <c r="AB71" s="71">
        <f>4.5/6</f>
        <v>0.75</v>
      </c>
      <c r="AC71" s="71">
        <f t="shared" si="24"/>
        <v>0.69499999999999995</v>
      </c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23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2"/>
        <v>24</v>
      </c>
      <c r="AG73" s="11">
        <f t="shared" si="13"/>
        <v>0</v>
      </c>
      <c r="AH73" s="11">
        <f t="shared" si="14"/>
        <v>0</v>
      </c>
    </row>
    <row r="74" spans="1:124" ht="15.75" customHeight="1" x14ac:dyDescent="0.25">
      <c r="A74" s="14" t="s">
        <v>63</v>
      </c>
      <c r="B74" s="9"/>
      <c r="C74" s="15">
        <v>0.85</v>
      </c>
      <c r="D74" s="15"/>
      <c r="E74" s="15"/>
      <c r="F74" s="71">
        <f>4.2/5</f>
        <v>0.84000000000000008</v>
      </c>
      <c r="G74" s="71">
        <f>4/5</f>
        <v>0.8</v>
      </c>
      <c r="H74" s="71">
        <f>3.9/5</f>
        <v>0.78</v>
      </c>
      <c r="I74" s="71">
        <v>0.74</v>
      </c>
      <c r="J74" s="71">
        <v>0.76</v>
      </c>
      <c r="K74" s="71">
        <v>0.78</v>
      </c>
      <c r="L74" s="71">
        <v>0.84000000000000008</v>
      </c>
      <c r="M74" s="71">
        <f t="shared" ref="M74" si="28">5.1/6</f>
        <v>0.85</v>
      </c>
      <c r="N74" s="71">
        <v>0.8</v>
      </c>
      <c r="O74" s="71">
        <f t="shared" ref="O74" si="29">5.5/7</f>
        <v>0.7857142857142857</v>
      </c>
      <c r="P74" s="71">
        <f t="shared" ref="P74" si="30">4.5/6</f>
        <v>0.75</v>
      </c>
      <c r="Q74" s="71">
        <f>4.4/6</f>
        <v>0.73333333333333339</v>
      </c>
      <c r="R74" s="71">
        <f>4.5/6</f>
        <v>0.75</v>
      </c>
      <c r="S74" s="71">
        <f>4.6/6</f>
        <v>0.76666666666666661</v>
      </c>
      <c r="T74" s="71">
        <f>4.7/6</f>
        <v>0.78333333333333333</v>
      </c>
      <c r="U74" s="71">
        <f>4.4/6</f>
        <v>0.73333333333333339</v>
      </c>
      <c r="V74" s="71">
        <f>4.3/6</f>
        <v>0.71666666666666667</v>
      </c>
      <c r="W74" s="71">
        <f>3.9/6</f>
        <v>0.65</v>
      </c>
      <c r="X74" s="71">
        <f>3.7/5</f>
        <v>0.74</v>
      </c>
      <c r="Y74" s="71"/>
      <c r="Z74" s="71">
        <f>4.5/6</f>
        <v>0.75</v>
      </c>
      <c r="AA74" s="71">
        <f>4.5/6</f>
        <v>0.75</v>
      </c>
      <c r="AB74" s="71">
        <f>4.5/6</f>
        <v>0.75</v>
      </c>
      <c r="AC74" s="71">
        <f>4.17/6</f>
        <v>0.69499999999999995</v>
      </c>
      <c r="AD74" s="31"/>
      <c r="AE74" s="31"/>
      <c r="AF74" s="11">
        <f t="shared" si="12"/>
        <v>0</v>
      </c>
      <c r="AG74" s="11">
        <f t="shared" si="13"/>
        <v>0</v>
      </c>
      <c r="AH74" s="11">
        <f t="shared" si="14"/>
        <v>23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1">SUM(F66:F74)</f>
        <v>4.2</v>
      </c>
      <c r="G75" s="19">
        <f t="shared" si="31"/>
        <v>4</v>
      </c>
      <c r="H75" s="19">
        <f t="shared" si="31"/>
        <v>3.9000000000000004</v>
      </c>
      <c r="I75" s="19">
        <f t="shared" si="31"/>
        <v>3.7</v>
      </c>
      <c r="J75" s="19">
        <f t="shared" si="31"/>
        <v>3.8</v>
      </c>
      <c r="K75" s="19">
        <f t="shared" si="31"/>
        <v>3.9000000000000004</v>
      </c>
      <c r="L75" s="19">
        <f>SUM(L66:L74)</f>
        <v>4.2</v>
      </c>
      <c r="M75" s="19">
        <f t="shared" si="31"/>
        <v>5.0999999999999996</v>
      </c>
      <c r="N75" s="19">
        <f t="shared" si="31"/>
        <v>4.8</v>
      </c>
      <c r="O75" s="19">
        <f t="shared" si="31"/>
        <v>5.5</v>
      </c>
      <c r="P75" s="19">
        <f t="shared" si="31"/>
        <v>4.5</v>
      </c>
      <c r="Q75" s="19">
        <f t="shared" si="31"/>
        <v>4.4000000000000004</v>
      </c>
      <c r="R75" s="19">
        <f t="shared" si="31"/>
        <v>4.5</v>
      </c>
      <c r="S75" s="19">
        <f t="shared" si="31"/>
        <v>4.5999999999999996</v>
      </c>
      <c r="T75" s="19">
        <f t="shared" si="31"/>
        <v>4.7</v>
      </c>
      <c r="U75" s="19">
        <f t="shared" si="31"/>
        <v>4.4000000000000004</v>
      </c>
      <c r="V75" s="19">
        <f t="shared" si="31"/>
        <v>4.3</v>
      </c>
      <c r="W75" s="19">
        <f t="shared" si="31"/>
        <v>3.9</v>
      </c>
      <c r="X75" s="19">
        <f t="shared" si="31"/>
        <v>3.7</v>
      </c>
      <c r="Y75" s="19">
        <f t="shared" si="31"/>
        <v>0</v>
      </c>
      <c r="Z75" s="19">
        <f t="shared" si="31"/>
        <v>4.5</v>
      </c>
      <c r="AA75" s="19">
        <f t="shared" si="31"/>
        <v>4.5</v>
      </c>
      <c r="AB75" s="19">
        <f t="shared" si="31"/>
        <v>4.5</v>
      </c>
      <c r="AC75" s="19">
        <f t="shared" si="31"/>
        <v>4.17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19.240000000000002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0.78</v>
      </c>
      <c r="N77" s="71">
        <v>0.72</v>
      </c>
      <c r="O77" s="71">
        <v>0.73</v>
      </c>
      <c r="P77" s="71">
        <v>0.8</v>
      </c>
      <c r="Q77" s="71">
        <v>0.83</v>
      </c>
      <c r="R77" s="71">
        <v>0.82</v>
      </c>
      <c r="S77" s="71">
        <v>0.81</v>
      </c>
      <c r="T77" s="71">
        <v>0.81</v>
      </c>
      <c r="U77" s="71">
        <v>0.82</v>
      </c>
      <c r="V77" s="71">
        <v>0.82</v>
      </c>
      <c r="W77" s="71">
        <v>0.86</v>
      </c>
      <c r="X77" s="71">
        <v>0.87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0.74</v>
      </c>
      <c r="G78" s="71">
        <v>0.73</v>
      </c>
      <c r="H78" s="71">
        <v>0.71</v>
      </c>
      <c r="I78" s="71">
        <v>0.69</v>
      </c>
      <c r="J78" s="380">
        <v>0.68</v>
      </c>
      <c r="K78" s="71">
        <v>0.68</v>
      </c>
      <c r="L78" s="71">
        <v>0.78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0.96</v>
      </c>
      <c r="AA78" s="71">
        <v>0.92</v>
      </c>
      <c r="AB78" s="71">
        <v>0.87</v>
      </c>
      <c r="AC78" s="71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2">SUM(F77:F78)</f>
        <v>0.74</v>
      </c>
      <c r="G79" s="19">
        <f>SUM(G77:G78)</f>
        <v>0.73</v>
      </c>
      <c r="H79" s="19">
        <f>SUM(H77:H78)</f>
        <v>0.71</v>
      </c>
      <c r="I79" s="19">
        <f>SUM(I77:I78)</f>
        <v>0.69</v>
      </c>
      <c r="J79" s="19">
        <f t="shared" ref="J79:AC79" si="33">SUM(J77:J78)</f>
        <v>0.68</v>
      </c>
      <c r="K79" s="19">
        <f t="shared" si="33"/>
        <v>0.68</v>
      </c>
      <c r="L79" s="19">
        <f>SUM(L77:L78)</f>
        <v>0.78</v>
      </c>
      <c r="M79" s="19">
        <f t="shared" si="33"/>
        <v>0.78</v>
      </c>
      <c r="N79" s="19">
        <f>SUM(N77:N77)</f>
        <v>0.72</v>
      </c>
      <c r="O79" s="19">
        <f>SUM(O77:O78)</f>
        <v>0.73</v>
      </c>
      <c r="P79" s="19">
        <f t="shared" si="33"/>
        <v>0.8</v>
      </c>
      <c r="Q79" s="19">
        <f t="shared" si="33"/>
        <v>0.83</v>
      </c>
      <c r="R79" s="19">
        <f t="shared" si="33"/>
        <v>0.82</v>
      </c>
      <c r="S79" s="19">
        <f t="shared" si="33"/>
        <v>0.81</v>
      </c>
      <c r="T79" s="19">
        <f t="shared" si="33"/>
        <v>0.81</v>
      </c>
      <c r="U79" s="19">
        <f t="shared" si="33"/>
        <v>0.82</v>
      </c>
      <c r="V79" s="19">
        <f t="shared" si="33"/>
        <v>0.82</v>
      </c>
      <c r="W79" s="19">
        <f t="shared" si="33"/>
        <v>0.86</v>
      </c>
      <c r="X79" s="19">
        <f t="shared" si="33"/>
        <v>0.87</v>
      </c>
      <c r="Y79" s="19">
        <f t="shared" si="33"/>
        <v>1</v>
      </c>
      <c r="Z79" s="19">
        <f t="shared" si="33"/>
        <v>0.96</v>
      </c>
      <c r="AA79" s="19">
        <f t="shared" si="33"/>
        <v>0.92</v>
      </c>
      <c r="AB79" s="19">
        <f t="shared" si="33"/>
        <v>0.87</v>
      </c>
      <c r="AC79" s="19">
        <f t="shared" si="33"/>
        <v>0.81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4">SUM(F17,F22,F25,F30,F33,F59,F64,F75,F79,F81)</f>
        <v>40.930000000000007</v>
      </c>
      <c r="G82" s="28">
        <f t="shared" si="34"/>
        <v>39.44</v>
      </c>
      <c r="H82" s="28">
        <f t="shared" si="34"/>
        <v>37.25</v>
      </c>
      <c r="I82" s="28">
        <f t="shared" si="34"/>
        <v>35.840000000000003</v>
      </c>
      <c r="J82" s="28">
        <f t="shared" si="34"/>
        <v>35.809999999999995</v>
      </c>
      <c r="K82" s="28">
        <f t="shared" si="34"/>
        <v>37.869999999999997</v>
      </c>
      <c r="L82" s="28">
        <f t="shared" si="34"/>
        <v>41.490000000000009</v>
      </c>
      <c r="M82" s="28">
        <f t="shared" si="34"/>
        <v>42.6</v>
      </c>
      <c r="N82" s="28">
        <f t="shared" si="34"/>
        <v>45.09</v>
      </c>
      <c r="O82" s="28">
        <f t="shared" si="34"/>
        <v>52.749999999999993</v>
      </c>
      <c r="P82" s="28">
        <f t="shared" si="34"/>
        <v>51.199999999999996</v>
      </c>
      <c r="Q82" s="28">
        <f t="shared" si="34"/>
        <v>53.06</v>
      </c>
      <c r="R82" s="28">
        <f t="shared" si="34"/>
        <v>51.86</v>
      </c>
      <c r="S82" s="28">
        <f t="shared" si="34"/>
        <v>52.25</v>
      </c>
      <c r="T82" s="28">
        <f t="shared" si="34"/>
        <v>57.940000000000005</v>
      </c>
      <c r="U82" s="28">
        <f t="shared" si="34"/>
        <v>55.64</v>
      </c>
      <c r="V82" s="28">
        <f t="shared" si="34"/>
        <v>58.169999999999987</v>
      </c>
      <c r="W82" s="28">
        <f t="shared" si="34"/>
        <v>54.36</v>
      </c>
      <c r="X82" s="28">
        <f t="shared" si="34"/>
        <v>53.100000000000009</v>
      </c>
      <c r="Y82" s="28">
        <f t="shared" si="34"/>
        <v>54.129999999999995</v>
      </c>
      <c r="Z82" s="28">
        <f t="shared" si="34"/>
        <v>56.35</v>
      </c>
      <c r="AA82" s="28">
        <f t="shared" si="34"/>
        <v>52.730000000000004</v>
      </c>
      <c r="AB82" s="28">
        <f t="shared" si="34"/>
        <v>48.309999999999995</v>
      </c>
      <c r="AC82" s="28">
        <f t="shared" si="34"/>
        <v>45.260000000000005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5">SUM(F22,F25)</f>
        <v>3.3</v>
      </c>
      <c r="G88" s="64">
        <f t="shared" si="35"/>
        <v>3.3</v>
      </c>
      <c r="H88" s="64">
        <f t="shared" si="35"/>
        <v>3.3</v>
      </c>
      <c r="I88" s="64">
        <f t="shared" si="35"/>
        <v>2.9</v>
      </c>
      <c r="J88" s="64">
        <f t="shared" si="35"/>
        <v>2.6</v>
      </c>
      <c r="K88" s="64">
        <f t="shared" si="35"/>
        <v>3.3</v>
      </c>
      <c r="L88" s="64">
        <f t="shared" si="35"/>
        <v>3.3</v>
      </c>
      <c r="M88" s="64">
        <f t="shared" si="35"/>
        <v>3.3</v>
      </c>
      <c r="N88" s="64">
        <f t="shared" si="35"/>
        <v>7.1</v>
      </c>
      <c r="O88" s="64">
        <f t="shared" si="35"/>
        <v>7</v>
      </c>
      <c r="P88" s="64">
        <f t="shared" si="35"/>
        <v>7.1</v>
      </c>
      <c r="Q88" s="64">
        <f t="shared" si="35"/>
        <v>7.1</v>
      </c>
      <c r="R88" s="64">
        <f t="shared" si="35"/>
        <v>7.1</v>
      </c>
      <c r="S88" s="64">
        <f t="shared" si="35"/>
        <v>3.8</v>
      </c>
      <c r="T88" s="64">
        <f t="shared" si="35"/>
        <v>7.1</v>
      </c>
      <c r="U88" s="64">
        <f t="shared" si="35"/>
        <v>7.1</v>
      </c>
      <c r="V88" s="64">
        <f t="shared" si="35"/>
        <v>7.3</v>
      </c>
      <c r="W88" s="64">
        <f t="shared" si="35"/>
        <v>7.3</v>
      </c>
      <c r="X88" s="64">
        <f t="shared" si="35"/>
        <v>7.1</v>
      </c>
      <c r="Y88" s="64">
        <f t="shared" si="35"/>
        <v>7.3</v>
      </c>
      <c r="Z88" s="64">
        <f t="shared" si="35"/>
        <v>7.3</v>
      </c>
      <c r="AA88" s="64">
        <f t="shared" si="35"/>
        <v>7.3</v>
      </c>
      <c r="AB88" s="64">
        <f t="shared" si="35"/>
        <v>7.3</v>
      </c>
      <c r="AC88" s="64">
        <f t="shared" si="35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>
        <v>0.215</v>
      </c>
      <c r="O89" s="68">
        <v>0.21099999999999999</v>
      </c>
      <c r="P89" s="68">
        <v>0.13200000000000001</v>
      </c>
      <c r="Q89" s="68">
        <v>0.22600000000000001</v>
      </c>
      <c r="R89" s="68">
        <v>0.27200000000000002</v>
      </c>
      <c r="S89" s="68">
        <v>0.27100000000000002</v>
      </c>
      <c r="T89" s="68">
        <v>0.24099999999999999</v>
      </c>
      <c r="U89" s="68">
        <v>0.16800000000000001</v>
      </c>
      <c r="V89" s="68">
        <v>0.219</v>
      </c>
      <c r="W89" s="68">
        <v>0.21299999999999999</v>
      </c>
      <c r="X89" s="68">
        <v>0.26500000000000001</v>
      </c>
      <c r="Y89" s="68">
        <v>0.27500000000000002</v>
      </c>
      <c r="Z89" s="68">
        <v>0.20499999999999999</v>
      </c>
      <c r="AA89" s="68">
        <v>0.20699999999999999</v>
      </c>
      <c r="AB89" s="68">
        <v>0.23</v>
      </c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6">F17</f>
        <v>12.2</v>
      </c>
      <c r="G90" s="64">
        <f t="shared" si="36"/>
        <v>13</v>
      </c>
      <c r="H90" s="64">
        <f t="shared" si="36"/>
        <v>13.4</v>
      </c>
      <c r="I90" s="64">
        <f t="shared" si="36"/>
        <v>12.8</v>
      </c>
      <c r="J90" s="64">
        <f t="shared" si="36"/>
        <v>13</v>
      </c>
      <c r="K90" s="64">
        <f t="shared" si="36"/>
        <v>13.6</v>
      </c>
      <c r="L90" s="64">
        <f t="shared" si="36"/>
        <v>13.5</v>
      </c>
      <c r="M90" s="64">
        <f t="shared" si="36"/>
        <v>12.8</v>
      </c>
      <c r="N90" s="64">
        <f t="shared" si="36"/>
        <v>13.8</v>
      </c>
      <c r="O90" s="64">
        <f t="shared" si="36"/>
        <v>15</v>
      </c>
      <c r="P90" s="64">
        <f t="shared" si="36"/>
        <v>19.799999999999997</v>
      </c>
      <c r="Q90" s="64">
        <f t="shared" si="36"/>
        <v>20.100000000000001</v>
      </c>
      <c r="R90" s="64">
        <f t="shared" si="36"/>
        <v>19.899999999999999</v>
      </c>
      <c r="S90" s="64">
        <f t="shared" si="36"/>
        <v>19.7</v>
      </c>
      <c r="T90" s="64">
        <f t="shared" si="36"/>
        <v>20.2</v>
      </c>
      <c r="U90" s="64">
        <f t="shared" si="36"/>
        <v>19.3</v>
      </c>
      <c r="V90" s="64">
        <f t="shared" si="36"/>
        <v>19.799999999999997</v>
      </c>
      <c r="W90" s="64">
        <f t="shared" si="36"/>
        <v>20.2</v>
      </c>
      <c r="X90" s="64">
        <f t="shared" si="36"/>
        <v>20.3</v>
      </c>
      <c r="Y90" s="64">
        <f t="shared" si="36"/>
        <v>20</v>
      </c>
      <c r="Z90" s="64">
        <f t="shared" si="36"/>
        <v>20.100000000000001</v>
      </c>
      <c r="AA90" s="64">
        <f t="shared" si="36"/>
        <v>13</v>
      </c>
      <c r="AB90" s="64">
        <f t="shared" si="36"/>
        <v>13.6</v>
      </c>
      <c r="AC90" s="64">
        <f t="shared" si="36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0.64100000000000001</v>
      </c>
      <c r="G91" s="68">
        <v>0.52600000000000002</v>
      </c>
      <c r="H91" s="68">
        <v>0.53100000000000003</v>
      </c>
      <c r="I91" s="68">
        <v>0.60099999999999998</v>
      </c>
      <c r="J91" s="68">
        <v>0.67500000000000004</v>
      </c>
      <c r="K91" s="68">
        <v>0.88400000000000001</v>
      </c>
      <c r="L91" s="68">
        <v>0.85</v>
      </c>
      <c r="M91" s="68">
        <v>0.54800000000000004</v>
      </c>
      <c r="N91" s="68">
        <v>0.53900000000000003</v>
      </c>
      <c r="O91" s="68">
        <v>0.91600000000000004</v>
      </c>
      <c r="P91" s="68">
        <v>0.84499999999999997</v>
      </c>
      <c r="Q91" s="68">
        <v>0.81699999999999995</v>
      </c>
      <c r="R91" s="68">
        <v>0.73699999999999999</v>
      </c>
      <c r="S91" s="68">
        <v>0.79300000000000004</v>
      </c>
      <c r="T91" s="68">
        <v>0.87</v>
      </c>
      <c r="U91" s="68">
        <v>0.88</v>
      </c>
      <c r="V91" s="68">
        <v>0.89100000000000001</v>
      </c>
      <c r="W91" s="68">
        <v>0.79600000000000004</v>
      </c>
      <c r="X91" s="68">
        <v>0.67900000000000005</v>
      </c>
      <c r="Y91" s="68">
        <v>0.66500000000000004</v>
      </c>
      <c r="Z91" s="68">
        <v>0.90300000000000002</v>
      </c>
      <c r="AA91" s="68">
        <v>0.878</v>
      </c>
      <c r="AB91" s="68">
        <v>0.63100000000000001</v>
      </c>
      <c r="AC91" s="68">
        <v>0.56599999999999995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37">F30</f>
        <v>7.6</v>
      </c>
      <c r="G92" s="65">
        <f t="shared" si="37"/>
        <v>5</v>
      </c>
      <c r="H92" s="65">
        <f t="shared" si="37"/>
        <v>2.5</v>
      </c>
      <c r="I92" s="65">
        <f t="shared" si="37"/>
        <v>2.4</v>
      </c>
      <c r="J92" s="65">
        <f t="shared" si="37"/>
        <v>2.4</v>
      </c>
      <c r="K92" s="65">
        <f t="shared" si="37"/>
        <v>3</v>
      </c>
      <c r="L92" s="65">
        <f t="shared" si="37"/>
        <v>3.8</v>
      </c>
      <c r="M92" s="65">
        <f t="shared" si="37"/>
        <v>3.8</v>
      </c>
      <c r="N92" s="65">
        <f t="shared" si="37"/>
        <v>4</v>
      </c>
      <c r="O92" s="65">
        <f t="shared" si="37"/>
        <v>6.5</v>
      </c>
      <c r="P92" s="65">
        <f t="shared" si="37"/>
        <v>5.4</v>
      </c>
      <c r="Q92" s="65">
        <f t="shared" si="37"/>
        <v>7</v>
      </c>
      <c r="R92" s="65">
        <f t="shared" si="37"/>
        <v>6</v>
      </c>
      <c r="S92" s="65">
        <f t="shared" si="37"/>
        <v>7</v>
      </c>
      <c r="T92" s="65">
        <f>T30</f>
        <v>8</v>
      </c>
      <c r="U92" s="65">
        <f t="shared" si="37"/>
        <v>7.6</v>
      </c>
      <c r="V92" s="65">
        <f t="shared" si="37"/>
        <v>8</v>
      </c>
      <c r="W92" s="65">
        <f t="shared" si="37"/>
        <v>7</v>
      </c>
      <c r="X92" s="65">
        <f t="shared" si="37"/>
        <v>7</v>
      </c>
      <c r="Y92" s="65">
        <f t="shared" si="37"/>
        <v>7.6</v>
      </c>
      <c r="Z92" s="65">
        <f t="shared" si="37"/>
        <v>7.6</v>
      </c>
      <c r="AA92" s="65">
        <f t="shared" si="37"/>
        <v>8.1999999999999993</v>
      </c>
      <c r="AB92" s="65">
        <f t="shared" si="37"/>
        <v>7</v>
      </c>
      <c r="AC92" s="65">
        <f t="shared" si="37"/>
        <v>8.4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0.26800000000000002</v>
      </c>
      <c r="G93" s="68">
        <v>0.26300000000000001</v>
      </c>
      <c r="H93" s="68">
        <v>0.20100000000000001</v>
      </c>
      <c r="I93" s="68">
        <v>0.21</v>
      </c>
      <c r="J93" s="68">
        <v>0.2</v>
      </c>
      <c r="K93" s="68">
        <v>0.19600000000000001</v>
      </c>
      <c r="L93" s="68">
        <v>0.19600000000000001</v>
      </c>
      <c r="M93" s="68">
        <v>0.20200000000000001</v>
      </c>
      <c r="N93" s="68">
        <v>0.2</v>
      </c>
      <c r="O93" s="68">
        <v>0.26200000000000001</v>
      </c>
      <c r="P93" s="68">
        <v>0.27700000000000002</v>
      </c>
      <c r="Q93" s="68">
        <v>0.27500000000000002</v>
      </c>
      <c r="R93" s="68">
        <v>0.251</v>
      </c>
      <c r="S93" s="68">
        <v>0.26500000000000001</v>
      </c>
      <c r="T93" s="68">
        <v>0.28000000000000003</v>
      </c>
      <c r="U93" s="68">
        <v>0.27500000000000002</v>
      </c>
      <c r="V93" s="68">
        <v>0.28299999999999997</v>
      </c>
      <c r="W93" s="68">
        <v>0.28499999999999998</v>
      </c>
      <c r="X93" s="68">
        <v>0.28000000000000003</v>
      </c>
      <c r="Y93" s="68">
        <v>0.29399999999999998</v>
      </c>
      <c r="Z93" s="68">
        <v>0.28999999999999998</v>
      </c>
      <c r="AA93" s="68">
        <v>0.27400000000000002</v>
      </c>
      <c r="AB93" s="68">
        <v>0.27600000000000002</v>
      </c>
      <c r="AC93" s="68">
        <v>0.28399999999999997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38">F33</f>
        <v>12.01</v>
      </c>
      <c r="G94" s="65">
        <f t="shared" si="38"/>
        <v>12.58</v>
      </c>
      <c r="H94" s="65">
        <f t="shared" si="38"/>
        <v>12.62</v>
      </c>
      <c r="I94" s="65">
        <f t="shared" si="38"/>
        <v>12.55</v>
      </c>
      <c r="J94" s="65">
        <f t="shared" si="38"/>
        <v>12.54</v>
      </c>
      <c r="K94" s="65">
        <f t="shared" si="38"/>
        <v>12.54</v>
      </c>
      <c r="L94" s="65">
        <f t="shared" si="38"/>
        <v>14.15</v>
      </c>
      <c r="M94" s="65">
        <f t="shared" si="38"/>
        <v>14.03</v>
      </c>
      <c r="N94" s="65">
        <f t="shared" si="38"/>
        <v>13.65</v>
      </c>
      <c r="O94" s="65">
        <f t="shared" si="38"/>
        <v>14.26</v>
      </c>
      <c r="P94" s="65">
        <f t="shared" si="38"/>
        <v>12.28</v>
      </c>
      <c r="Q94" s="65">
        <f t="shared" si="38"/>
        <v>12.23</v>
      </c>
      <c r="R94" s="65">
        <f t="shared" si="38"/>
        <v>12.32</v>
      </c>
      <c r="S94" s="65">
        <f t="shared" si="38"/>
        <v>14.29</v>
      </c>
      <c r="T94" s="65">
        <f t="shared" si="38"/>
        <v>14.31</v>
      </c>
      <c r="U94" s="65">
        <f t="shared" si="38"/>
        <v>14.31</v>
      </c>
      <c r="V94" s="65">
        <f t="shared" si="38"/>
        <v>14.35</v>
      </c>
      <c r="W94" s="65">
        <f t="shared" si="38"/>
        <v>13.83</v>
      </c>
      <c r="X94" s="65">
        <f t="shared" si="38"/>
        <v>12.85</v>
      </c>
      <c r="Y94" s="65">
        <f t="shared" si="38"/>
        <v>14.33</v>
      </c>
      <c r="Z94" s="65">
        <f t="shared" si="38"/>
        <v>14.34</v>
      </c>
      <c r="AA94" s="65">
        <f t="shared" si="38"/>
        <v>14.32</v>
      </c>
      <c r="AB94" s="65">
        <f t="shared" si="38"/>
        <v>13.83</v>
      </c>
      <c r="AC94" s="65">
        <f t="shared" si="38"/>
        <v>14.32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0.99</v>
      </c>
      <c r="G95" s="68">
        <v>0.92</v>
      </c>
      <c r="H95" s="68">
        <v>0.88</v>
      </c>
      <c r="I95" s="68">
        <v>0.95</v>
      </c>
      <c r="J95" s="68">
        <v>0.96</v>
      </c>
      <c r="K95" s="68">
        <v>0.96</v>
      </c>
      <c r="L95" s="68">
        <v>0.85</v>
      </c>
      <c r="M95" s="68">
        <v>0.97</v>
      </c>
      <c r="N95" s="68">
        <v>0.85</v>
      </c>
      <c r="O95" s="68">
        <v>0.74</v>
      </c>
      <c r="P95" s="68">
        <v>0.72</v>
      </c>
      <c r="Q95" s="68">
        <v>0.77</v>
      </c>
      <c r="R95" s="68">
        <v>0.68</v>
      </c>
      <c r="S95" s="68">
        <v>0.71</v>
      </c>
      <c r="T95" s="68">
        <v>0.69</v>
      </c>
      <c r="U95" s="68">
        <v>0.69</v>
      </c>
      <c r="V95" s="68">
        <v>0.65</v>
      </c>
      <c r="W95" s="68">
        <v>0.67</v>
      </c>
      <c r="X95" s="68">
        <v>0.65</v>
      </c>
      <c r="Y95" s="68">
        <v>0.67</v>
      </c>
      <c r="Z95" s="68">
        <v>0.66</v>
      </c>
      <c r="AA95" s="68">
        <v>0.68</v>
      </c>
      <c r="AB95" s="68">
        <v>0.67</v>
      </c>
      <c r="AC95" s="68">
        <v>0.68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39">F59</f>
        <v>0</v>
      </c>
      <c r="G96" s="64">
        <f t="shared" si="39"/>
        <v>0</v>
      </c>
      <c r="H96" s="64">
        <f t="shared" si="39"/>
        <v>0</v>
      </c>
      <c r="I96" s="64">
        <f t="shared" si="39"/>
        <v>0</v>
      </c>
      <c r="J96" s="64">
        <f t="shared" si="39"/>
        <v>0</v>
      </c>
      <c r="K96" s="64">
        <f t="shared" si="39"/>
        <v>0</v>
      </c>
      <c r="L96" s="64">
        <f t="shared" si="39"/>
        <v>0.7</v>
      </c>
      <c r="M96" s="64">
        <f t="shared" si="39"/>
        <v>1.6</v>
      </c>
      <c r="N96" s="64">
        <f t="shared" si="39"/>
        <v>0</v>
      </c>
      <c r="O96" s="64">
        <f t="shared" si="39"/>
        <v>2.5</v>
      </c>
      <c r="P96" s="64">
        <f t="shared" si="39"/>
        <v>0</v>
      </c>
      <c r="Q96" s="64">
        <f t="shared" si="39"/>
        <v>0</v>
      </c>
      <c r="R96" s="64">
        <f t="shared" si="39"/>
        <v>0</v>
      </c>
      <c r="S96" s="64">
        <f t="shared" si="39"/>
        <v>0.8</v>
      </c>
      <c r="T96" s="64">
        <f t="shared" si="39"/>
        <v>1.5</v>
      </c>
      <c r="U96" s="64">
        <f t="shared" si="39"/>
        <v>0.81</v>
      </c>
      <c r="V96" s="64">
        <f t="shared" si="39"/>
        <v>2.2999999999999998</v>
      </c>
      <c r="W96" s="64">
        <f t="shared" si="39"/>
        <v>0</v>
      </c>
      <c r="X96" s="64">
        <f t="shared" si="39"/>
        <v>0</v>
      </c>
      <c r="Y96" s="64">
        <f t="shared" si="39"/>
        <v>2.2999999999999998</v>
      </c>
      <c r="Z96" s="64">
        <f t="shared" si="39"/>
        <v>0</v>
      </c>
      <c r="AA96" s="64">
        <f t="shared" si="39"/>
        <v>3.1</v>
      </c>
      <c r="AB96" s="64">
        <f t="shared" si="39"/>
        <v>0</v>
      </c>
      <c r="AC96" s="64">
        <f t="shared" si="39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0">F64</f>
        <v>0.88</v>
      </c>
      <c r="G97" s="64">
        <f t="shared" si="40"/>
        <v>0.83</v>
      </c>
      <c r="H97" s="64">
        <f t="shared" si="40"/>
        <v>0.82</v>
      </c>
      <c r="I97" s="64">
        <f t="shared" si="40"/>
        <v>0.8</v>
      </c>
      <c r="J97" s="64">
        <f t="shared" si="40"/>
        <v>0.79</v>
      </c>
      <c r="K97" s="64">
        <f t="shared" si="40"/>
        <v>0.85</v>
      </c>
      <c r="L97" s="64">
        <f t="shared" si="40"/>
        <v>1.06</v>
      </c>
      <c r="M97" s="64">
        <f t="shared" si="40"/>
        <v>1.19</v>
      </c>
      <c r="N97" s="64">
        <f t="shared" si="40"/>
        <v>1.02</v>
      </c>
      <c r="O97" s="64">
        <f t="shared" si="40"/>
        <v>1.26</v>
      </c>
      <c r="P97" s="64">
        <f t="shared" si="40"/>
        <v>1.32</v>
      </c>
      <c r="Q97" s="64">
        <f t="shared" si="40"/>
        <v>1.4</v>
      </c>
      <c r="R97" s="64">
        <f t="shared" si="40"/>
        <v>1.22</v>
      </c>
      <c r="S97" s="64">
        <f t="shared" si="40"/>
        <v>1.25</v>
      </c>
      <c r="T97" s="64">
        <f t="shared" si="40"/>
        <v>1.32</v>
      </c>
      <c r="U97" s="64">
        <f t="shared" si="40"/>
        <v>1.3</v>
      </c>
      <c r="V97" s="64">
        <f t="shared" si="40"/>
        <v>1.3</v>
      </c>
      <c r="W97" s="64">
        <f t="shared" si="40"/>
        <v>1.27</v>
      </c>
      <c r="X97" s="64">
        <f t="shared" si="40"/>
        <v>1.28</v>
      </c>
      <c r="Y97" s="64">
        <f t="shared" si="40"/>
        <v>1.6</v>
      </c>
      <c r="Z97" s="64">
        <f t="shared" si="40"/>
        <v>1.55</v>
      </c>
      <c r="AA97" s="64">
        <f t="shared" si="40"/>
        <v>1.39</v>
      </c>
      <c r="AB97" s="64">
        <f t="shared" si="40"/>
        <v>1.21</v>
      </c>
      <c r="AC97" s="64">
        <f t="shared" si="40"/>
        <v>1.06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1">F75</f>
        <v>4.2</v>
      </c>
      <c r="G98" s="64">
        <f t="shared" si="41"/>
        <v>4</v>
      </c>
      <c r="H98" s="64">
        <f t="shared" si="41"/>
        <v>3.9000000000000004</v>
      </c>
      <c r="I98" s="64">
        <f t="shared" si="41"/>
        <v>3.7</v>
      </c>
      <c r="J98" s="64">
        <f t="shared" si="41"/>
        <v>3.8</v>
      </c>
      <c r="K98" s="64">
        <f t="shared" si="41"/>
        <v>3.9000000000000004</v>
      </c>
      <c r="L98" s="64">
        <f t="shared" si="41"/>
        <v>4.2</v>
      </c>
      <c r="M98" s="64">
        <f t="shared" si="41"/>
        <v>5.0999999999999996</v>
      </c>
      <c r="N98" s="64">
        <f t="shared" si="41"/>
        <v>4.8</v>
      </c>
      <c r="O98" s="64">
        <f t="shared" si="41"/>
        <v>5.5</v>
      </c>
      <c r="P98" s="64">
        <f t="shared" si="41"/>
        <v>4.5</v>
      </c>
      <c r="Q98" s="64">
        <f t="shared" si="41"/>
        <v>4.4000000000000004</v>
      </c>
      <c r="R98" s="64">
        <f t="shared" si="41"/>
        <v>4.5</v>
      </c>
      <c r="S98" s="64">
        <f t="shared" si="41"/>
        <v>4.5999999999999996</v>
      </c>
      <c r="T98" s="64">
        <f t="shared" si="41"/>
        <v>4.7</v>
      </c>
      <c r="U98" s="64">
        <f t="shared" si="41"/>
        <v>4.4000000000000004</v>
      </c>
      <c r="V98" s="64">
        <f t="shared" si="41"/>
        <v>4.3</v>
      </c>
      <c r="W98" s="64">
        <f t="shared" si="41"/>
        <v>3.9</v>
      </c>
      <c r="X98" s="64">
        <f t="shared" si="41"/>
        <v>3.7</v>
      </c>
      <c r="Y98" s="64">
        <f t="shared" si="41"/>
        <v>0</v>
      </c>
      <c r="Z98" s="64">
        <f t="shared" si="41"/>
        <v>4.5</v>
      </c>
      <c r="AA98" s="64">
        <f t="shared" si="41"/>
        <v>4.5</v>
      </c>
      <c r="AB98" s="64">
        <f t="shared" si="41"/>
        <v>4.5</v>
      </c>
      <c r="AC98" s="64">
        <f t="shared" si="41"/>
        <v>4.17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42">F79</f>
        <v>0.74</v>
      </c>
      <c r="G99" s="64">
        <f t="shared" si="42"/>
        <v>0.73</v>
      </c>
      <c r="H99" s="64">
        <f t="shared" si="42"/>
        <v>0.71</v>
      </c>
      <c r="I99" s="64">
        <f t="shared" si="42"/>
        <v>0.69</v>
      </c>
      <c r="J99" s="64">
        <f t="shared" si="42"/>
        <v>0.68</v>
      </c>
      <c r="K99" s="64">
        <f t="shared" si="42"/>
        <v>0.68</v>
      </c>
      <c r="L99" s="64">
        <f t="shared" si="42"/>
        <v>0.78</v>
      </c>
      <c r="M99" s="64">
        <f t="shared" si="42"/>
        <v>0.78</v>
      </c>
      <c r="N99" s="64">
        <f t="shared" si="42"/>
        <v>0.72</v>
      </c>
      <c r="O99" s="64">
        <f t="shared" si="42"/>
        <v>0.73</v>
      </c>
      <c r="P99" s="64">
        <f t="shared" si="42"/>
        <v>0.8</v>
      </c>
      <c r="Q99" s="64">
        <f t="shared" si="42"/>
        <v>0.83</v>
      </c>
      <c r="R99" s="64">
        <f t="shared" si="42"/>
        <v>0.82</v>
      </c>
      <c r="S99" s="64">
        <f t="shared" si="42"/>
        <v>0.81</v>
      </c>
      <c r="T99" s="64">
        <f t="shared" si="42"/>
        <v>0.81</v>
      </c>
      <c r="U99" s="64">
        <f t="shared" si="42"/>
        <v>0.82</v>
      </c>
      <c r="V99" s="64">
        <f t="shared" si="42"/>
        <v>0.82</v>
      </c>
      <c r="W99" s="64">
        <f t="shared" si="42"/>
        <v>0.86</v>
      </c>
      <c r="X99" s="64">
        <f t="shared" si="42"/>
        <v>0.87</v>
      </c>
      <c r="Y99" s="64">
        <f t="shared" si="42"/>
        <v>1</v>
      </c>
      <c r="Z99" s="64">
        <f t="shared" si="42"/>
        <v>0.96</v>
      </c>
      <c r="AA99" s="64">
        <f t="shared" si="42"/>
        <v>0.92</v>
      </c>
      <c r="AB99" s="64">
        <f t="shared" si="42"/>
        <v>0.87</v>
      </c>
      <c r="AC99" s="64">
        <f t="shared" si="42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43">F81</f>
        <v>0</v>
      </c>
      <c r="G100" s="64">
        <f t="shared" si="43"/>
        <v>0</v>
      </c>
      <c r="H100" s="64">
        <f t="shared" si="43"/>
        <v>0</v>
      </c>
      <c r="I100" s="64">
        <f t="shared" si="43"/>
        <v>0</v>
      </c>
      <c r="J100" s="64">
        <f t="shared" si="43"/>
        <v>0</v>
      </c>
      <c r="K100" s="64">
        <f t="shared" si="43"/>
        <v>0</v>
      </c>
      <c r="L100" s="64">
        <f t="shared" si="43"/>
        <v>0</v>
      </c>
      <c r="M100" s="64">
        <f t="shared" si="43"/>
        <v>0</v>
      </c>
      <c r="N100" s="64">
        <f t="shared" si="43"/>
        <v>0</v>
      </c>
      <c r="O100" s="64">
        <f t="shared" si="43"/>
        <v>0</v>
      </c>
      <c r="P100" s="64">
        <f t="shared" si="43"/>
        <v>0</v>
      </c>
      <c r="Q100" s="64">
        <f t="shared" si="43"/>
        <v>0</v>
      </c>
      <c r="R100" s="64">
        <f t="shared" si="43"/>
        <v>0</v>
      </c>
      <c r="S100" s="64">
        <f t="shared" si="43"/>
        <v>0</v>
      </c>
      <c r="T100" s="64">
        <f t="shared" si="43"/>
        <v>0</v>
      </c>
      <c r="U100" s="64">
        <f t="shared" si="43"/>
        <v>0</v>
      </c>
      <c r="V100" s="64">
        <f t="shared" si="43"/>
        <v>0</v>
      </c>
      <c r="W100" s="64">
        <f t="shared" si="43"/>
        <v>0</v>
      </c>
      <c r="X100" s="64">
        <f t="shared" si="43"/>
        <v>0</v>
      </c>
      <c r="Y100" s="64">
        <f t="shared" si="43"/>
        <v>0</v>
      </c>
      <c r="Z100" s="64">
        <f t="shared" si="43"/>
        <v>0</v>
      </c>
      <c r="AA100" s="64">
        <f t="shared" si="43"/>
        <v>0</v>
      </c>
      <c r="AB100" s="64">
        <f t="shared" si="43"/>
        <v>0</v>
      </c>
      <c r="AC100" s="64">
        <f t="shared" si="4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44">SUM(F88,F90,F92,F94,F96:F100,F80)</f>
        <v>40.930000000000007</v>
      </c>
      <c r="G101" s="61">
        <f t="shared" si="44"/>
        <v>39.44</v>
      </c>
      <c r="H101" s="61">
        <f t="shared" si="44"/>
        <v>37.25</v>
      </c>
      <c r="I101" s="61">
        <f t="shared" si="44"/>
        <v>35.840000000000003</v>
      </c>
      <c r="J101" s="61">
        <f t="shared" si="44"/>
        <v>35.809999999999995</v>
      </c>
      <c r="K101" s="61">
        <f t="shared" si="44"/>
        <v>37.869999999999997</v>
      </c>
      <c r="L101" s="61">
        <f t="shared" si="44"/>
        <v>41.490000000000009</v>
      </c>
      <c r="M101" s="61">
        <f t="shared" si="44"/>
        <v>42.6</v>
      </c>
      <c r="N101" s="61">
        <f t="shared" si="44"/>
        <v>45.089999999999996</v>
      </c>
      <c r="O101" s="61">
        <f t="shared" si="44"/>
        <v>52.749999999999993</v>
      </c>
      <c r="P101" s="61">
        <f t="shared" si="44"/>
        <v>51.199999999999996</v>
      </c>
      <c r="Q101" s="61">
        <f t="shared" si="44"/>
        <v>53.06</v>
      </c>
      <c r="R101" s="61">
        <f t="shared" si="44"/>
        <v>51.86</v>
      </c>
      <c r="S101" s="61">
        <f t="shared" si="44"/>
        <v>52.25</v>
      </c>
      <c r="T101" s="61">
        <f>SUM(T88,T90,T92,T94,T96:T100,T80)</f>
        <v>57.940000000000005</v>
      </c>
      <c r="U101" s="61">
        <f t="shared" si="44"/>
        <v>55.64</v>
      </c>
      <c r="V101" s="61">
        <f t="shared" si="44"/>
        <v>58.169999999999987</v>
      </c>
      <c r="W101" s="61">
        <f t="shared" si="44"/>
        <v>54.36</v>
      </c>
      <c r="X101" s="61">
        <f t="shared" si="44"/>
        <v>53.1</v>
      </c>
      <c r="Y101" s="61">
        <f t="shared" si="44"/>
        <v>54.129999999999995</v>
      </c>
      <c r="Z101" s="61">
        <f t="shared" si="44"/>
        <v>56.35</v>
      </c>
      <c r="AA101" s="61">
        <f t="shared" si="44"/>
        <v>52.730000000000004</v>
      </c>
      <c r="AB101" s="61">
        <f t="shared" si="44"/>
        <v>48.309999999999995</v>
      </c>
      <c r="AC101" s="61">
        <f t="shared" si="44"/>
        <v>45.260000000000005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>
        <v>0.93</v>
      </c>
      <c r="AA102" s="77">
        <v>0.93</v>
      </c>
      <c r="AB102" s="77">
        <v>0.93</v>
      </c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>
        <f>1+1</f>
        <v>2</v>
      </c>
      <c r="Q103" s="77">
        <f t="shared" ref="Q103:S103" si="45">1+1</f>
        <v>2</v>
      </c>
      <c r="R103" s="77">
        <f t="shared" si="45"/>
        <v>2</v>
      </c>
      <c r="S103" s="77">
        <f t="shared" si="45"/>
        <v>2</v>
      </c>
      <c r="T103" s="77">
        <v>1</v>
      </c>
      <c r="U103" s="77">
        <v>1</v>
      </c>
      <c r="V103" s="77">
        <v>1</v>
      </c>
      <c r="W103" s="77">
        <v>1</v>
      </c>
      <c r="X103" s="77">
        <v>1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>
        <v>0.73</v>
      </c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>
        <v>1.79</v>
      </c>
      <c r="V104" s="77"/>
      <c r="W104" s="77"/>
      <c r="X104" s="77">
        <v>0.5</v>
      </c>
      <c r="Y104" s="77">
        <f>0.5+4.7</f>
        <v>5.2</v>
      </c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46">SUM(F102:F104)</f>
        <v>0</v>
      </c>
      <c r="G105" s="61">
        <f t="shared" si="46"/>
        <v>0</v>
      </c>
      <c r="H105" s="61">
        <f t="shared" si="46"/>
        <v>0.73</v>
      </c>
      <c r="I105" s="61">
        <f t="shared" si="46"/>
        <v>0</v>
      </c>
      <c r="J105" s="61">
        <f t="shared" si="46"/>
        <v>0</v>
      </c>
      <c r="K105" s="61">
        <f t="shared" si="46"/>
        <v>0</v>
      </c>
      <c r="L105" s="61">
        <f t="shared" si="46"/>
        <v>0</v>
      </c>
      <c r="M105" s="61">
        <f t="shared" si="46"/>
        <v>0</v>
      </c>
      <c r="N105" s="61">
        <f t="shared" si="46"/>
        <v>0</v>
      </c>
      <c r="O105" s="61">
        <f t="shared" si="46"/>
        <v>0</v>
      </c>
      <c r="P105" s="61">
        <f t="shared" si="46"/>
        <v>2</v>
      </c>
      <c r="Q105" s="61">
        <f t="shared" si="46"/>
        <v>2</v>
      </c>
      <c r="R105" s="61">
        <f t="shared" si="46"/>
        <v>2</v>
      </c>
      <c r="S105" s="61">
        <f t="shared" si="46"/>
        <v>2</v>
      </c>
      <c r="T105" s="61">
        <f t="shared" si="46"/>
        <v>1</v>
      </c>
      <c r="U105" s="61">
        <f t="shared" si="46"/>
        <v>2.79</v>
      </c>
      <c r="V105" s="61">
        <f t="shared" si="46"/>
        <v>1</v>
      </c>
      <c r="W105" s="61">
        <f t="shared" si="46"/>
        <v>1</v>
      </c>
      <c r="X105" s="61">
        <f t="shared" si="46"/>
        <v>1.5</v>
      </c>
      <c r="Y105" s="61">
        <f t="shared" si="46"/>
        <v>5.2</v>
      </c>
      <c r="Z105" s="61">
        <f t="shared" si="46"/>
        <v>0.93</v>
      </c>
      <c r="AA105" s="61">
        <f t="shared" si="46"/>
        <v>0.93</v>
      </c>
      <c r="AB105" s="61">
        <f t="shared" si="46"/>
        <v>0.93</v>
      </c>
      <c r="AC105" s="61">
        <f t="shared" si="46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47">F101+F105</f>
        <v>40.930000000000007</v>
      </c>
      <c r="G106" s="62">
        <f t="shared" si="47"/>
        <v>39.44</v>
      </c>
      <c r="H106" s="62">
        <f t="shared" si="47"/>
        <v>37.979999999999997</v>
      </c>
      <c r="I106" s="62">
        <f t="shared" si="47"/>
        <v>35.840000000000003</v>
      </c>
      <c r="J106" s="62">
        <f t="shared" si="47"/>
        <v>35.809999999999995</v>
      </c>
      <c r="K106" s="62">
        <f t="shared" si="47"/>
        <v>37.869999999999997</v>
      </c>
      <c r="L106" s="62">
        <f t="shared" si="47"/>
        <v>41.490000000000009</v>
      </c>
      <c r="M106" s="62">
        <f t="shared" si="47"/>
        <v>42.6</v>
      </c>
      <c r="N106" s="62">
        <f t="shared" si="47"/>
        <v>45.089999999999996</v>
      </c>
      <c r="O106" s="62">
        <f t="shared" si="47"/>
        <v>52.749999999999993</v>
      </c>
      <c r="P106" s="62">
        <f t="shared" si="47"/>
        <v>53.199999999999996</v>
      </c>
      <c r="Q106" s="62">
        <f t="shared" si="47"/>
        <v>55.06</v>
      </c>
      <c r="R106" s="62">
        <f t="shared" si="47"/>
        <v>53.86</v>
      </c>
      <c r="S106" s="62">
        <f t="shared" si="47"/>
        <v>54.25</v>
      </c>
      <c r="T106" s="62">
        <f t="shared" si="47"/>
        <v>58.940000000000005</v>
      </c>
      <c r="U106" s="62">
        <f t="shared" si="47"/>
        <v>58.43</v>
      </c>
      <c r="V106" s="62">
        <f t="shared" si="47"/>
        <v>59.169999999999987</v>
      </c>
      <c r="W106" s="62">
        <f t="shared" si="47"/>
        <v>55.36</v>
      </c>
      <c r="X106" s="62">
        <f t="shared" si="47"/>
        <v>54.6</v>
      </c>
      <c r="Y106" s="62">
        <f t="shared" si="47"/>
        <v>59.33</v>
      </c>
      <c r="Z106" s="62">
        <f t="shared" si="47"/>
        <v>57.28</v>
      </c>
      <c r="AA106" s="62">
        <f t="shared" si="47"/>
        <v>53.660000000000004</v>
      </c>
      <c r="AB106" s="62">
        <f t="shared" si="47"/>
        <v>49.239999999999995</v>
      </c>
      <c r="AC106" s="62">
        <f t="shared" si="47"/>
        <v>45.260000000000005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48">(COUNT(F13:F16))*7.2+(COUNT(F27:F28)*4.9)+(COUNT(F19:F21)*4.5)-F90-F92</f>
        <v>23.300000000000004</v>
      </c>
      <c r="G107" s="63">
        <f t="shared" si="48"/>
        <v>25.1</v>
      </c>
      <c r="H107" s="63">
        <f t="shared" si="48"/>
        <v>27.200000000000003</v>
      </c>
      <c r="I107" s="63">
        <f t="shared" si="48"/>
        <v>27.900000000000002</v>
      </c>
      <c r="J107" s="63">
        <f t="shared" si="48"/>
        <v>27.700000000000003</v>
      </c>
      <c r="K107" s="63">
        <f t="shared" si="48"/>
        <v>26.5</v>
      </c>
      <c r="L107" s="63">
        <f t="shared" si="48"/>
        <v>25.8</v>
      </c>
      <c r="M107" s="63">
        <f t="shared" si="48"/>
        <v>19.300000000000004</v>
      </c>
      <c r="N107" s="63">
        <f t="shared" si="48"/>
        <v>18.100000000000005</v>
      </c>
      <c r="O107" s="63">
        <f t="shared" si="48"/>
        <v>14.400000000000006</v>
      </c>
      <c r="P107" s="63">
        <f t="shared" si="48"/>
        <v>10.700000000000008</v>
      </c>
      <c r="Q107" s="63">
        <f t="shared" si="48"/>
        <v>8.8000000000000043</v>
      </c>
      <c r="R107" s="63">
        <f t="shared" si="48"/>
        <v>10.000000000000007</v>
      </c>
      <c r="S107" s="63">
        <f t="shared" si="48"/>
        <v>11.900000000000002</v>
      </c>
      <c r="T107" s="63">
        <f>(COUNT(T13:T16))*7.2+(COUNT(T27:T28)*4.9)+(COUNT(T19:T21)*4.5)-T90-T92</f>
        <v>7.7000000000000064</v>
      </c>
      <c r="U107" s="63">
        <f t="shared" si="48"/>
        <v>9.0000000000000053</v>
      </c>
      <c r="V107" s="63">
        <f t="shared" si="48"/>
        <v>8.1000000000000085</v>
      </c>
      <c r="W107" s="63">
        <f t="shared" si="48"/>
        <v>8.7000000000000064</v>
      </c>
      <c r="X107" s="63">
        <f t="shared" si="48"/>
        <v>8.600000000000005</v>
      </c>
      <c r="Y107" s="63">
        <f t="shared" si="48"/>
        <v>8.300000000000006</v>
      </c>
      <c r="Z107" s="63">
        <f t="shared" si="48"/>
        <v>8.2000000000000046</v>
      </c>
      <c r="AA107" s="63">
        <f t="shared" si="48"/>
        <v>7.5000000000000036</v>
      </c>
      <c r="AB107" s="63">
        <f t="shared" si="48"/>
        <v>8.1000000000000032</v>
      </c>
      <c r="AC107" s="63">
        <f t="shared" si="48"/>
        <v>7.1000000000000032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4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4.200000000000002</v>
      </c>
      <c r="G108" s="206">
        <f t="shared" si="49"/>
        <v>6.0000000000000009</v>
      </c>
      <c r="H108" s="206">
        <f t="shared" si="49"/>
        <v>3.2</v>
      </c>
      <c r="I108" s="206">
        <f t="shared" si="49"/>
        <v>4.2999999999999989</v>
      </c>
      <c r="J108" s="206">
        <f t="shared" si="49"/>
        <v>4.4000000000000004</v>
      </c>
      <c r="K108" s="206">
        <f t="shared" si="49"/>
        <v>2.5000000000000009</v>
      </c>
      <c r="L108" s="206">
        <f t="shared" si="49"/>
        <v>9</v>
      </c>
      <c r="M108" s="206">
        <f t="shared" si="49"/>
        <v>2.5</v>
      </c>
      <c r="N108" s="206">
        <f t="shared" si="49"/>
        <v>2</v>
      </c>
      <c r="O108" s="206">
        <f t="shared" si="49"/>
        <v>10.500000000000004</v>
      </c>
      <c r="P108" s="206">
        <f t="shared" si="49"/>
        <v>6.7000000000000037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6.2</v>
      </c>
      <c r="R108" s="206">
        <f t="shared" ref="R108:AC108" si="5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6.6000000000000023</v>
      </c>
      <c r="S108" s="206">
        <f t="shared" si="50"/>
        <v>11.8</v>
      </c>
      <c r="T108" s="206">
        <f t="shared" si="50"/>
        <v>4.3000000000000025</v>
      </c>
      <c r="U108" s="206">
        <f t="shared" si="50"/>
        <v>5.6000000000000023</v>
      </c>
      <c r="V108" s="206">
        <f t="shared" si="50"/>
        <v>4.5000000000000044</v>
      </c>
      <c r="W108" s="206">
        <f t="shared" si="50"/>
        <v>5.1000000000000023</v>
      </c>
      <c r="X108" s="206">
        <f t="shared" si="50"/>
        <v>5.2</v>
      </c>
      <c r="Y108" s="206">
        <f t="shared" si="50"/>
        <v>4.700000000000002</v>
      </c>
      <c r="Z108" s="206">
        <f t="shared" si="50"/>
        <v>4.6000000000000005</v>
      </c>
      <c r="AA108" s="206">
        <f t="shared" si="50"/>
        <v>3.9000000000000012</v>
      </c>
      <c r="AB108" s="206">
        <f t="shared" si="50"/>
        <v>4.5000000000000009</v>
      </c>
      <c r="AC108" s="206">
        <f t="shared" si="50"/>
        <v>3.0000000000000009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60.16</v>
      </c>
      <c r="G109" s="75">
        <v>60.13</v>
      </c>
      <c r="H109" s="75">
        <v>60</v>
      </c>
      <c r="I109" s="75">
        <v>60.2</v>
      </c>
      <c r="J109" s="75">
        <v>60.26</v>
      </c>
      <c r="K109" s="75">
        <v>60.06</v>
      </c>
      <c r="L109" s="75">
        <v>60.15</v>
      </c>
      <c r="M109" s="75">
        <v>60.15</v>
      </c>
      <c r="N109" s="75">
        <v>60.06</v>
      </c>
      <c r="O109" s="75">
        <v>60.15</v>
      </c>
      <c r="P109" s="84">
        <v>60.13</v>
      </c>
      <c r="Q109" s="84">
        <v>60.15</v>
      </c>
      <c r="R109" s="84">
        <v>60.2</v>
      </c>
      <c r="S109" s="84">
        <v>60.3</v>
      </c>
      <c r="T109" s="84">
        <v>60.11</v>
      </c>
      <c r="U109" s="75">
        <v>60.25</v>
      </c>
      <c r="V109" s="75">
        <v>60.14</v>
      </c>
      <c r="W109" s="75">
        <v>60.12</v>
      </c>
      <c r="X109" s="75">
        <v>60.06</v>
      </c>
      <c r="Y109" s="75">
        <v>60.18</v>
      </c>
      <c r="Z109" s="75">
        <v>60.19</v>
      </c>
      <c r="AA109" s="75">
        <v>60.2</v>
      </c>
      <c r="AB109" s="75">
        <v>60.03</v>
      </c>
      <c r="AC109" s="75">
        <v>60.16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51">SUM(G117:G124)</f>
        <v>0</v>
      </c>
      <c r="H125" s="44">
        <f t="shared" si="51"/>
        <v>0</v>
      </c>
      <c r="I125" s="44">
        <f t="shared" si="51"/>
        <v>0</v>
      </c>
      <c r="J125" s="44">
        <f t="shared" si="51"/>
        <v>0</v>
      </c>
      <c r="K125" s="44">
        <f t="shared" si="51"/>
        <v>0</v>
      </c>
      <c r="L125" s="44">
        <f t="shared" si="51"/>
        <v>0</v>
      </c>
      <c r="M125" s="44">
        <f t="shared" si="51"/>
        <v>0</v>
      </c>
      <c r="N125" s="44">
        <f t="shared" si="51"/>
        <v>0</v>
      </c>
      <c r="O125" s="44">
        <f t="shared" si="51"/>
        <v>0</v>
      </c>
      <c r="P125" s="44">
        <f t="shared" si="51"/>
        <v>0</v>
      </c>
      <c r="Q125" s="44">
        <f t="shared" si="51"/>
        <v>0</v>
      </c>
      <c r="R125" s="44">
        <f t="shared" si="51"/>
        <v>0</v>
      </c>
      <c r="S125" s="44">
        <f t="shared" si="51"/>
        <v>0</v>
      </c>
      <c r="T125" s="44">
        <f t="shared" si="51"/>
        <v>0</v>
      </c>
      <c r="U125" s="44">
        <f t="shared" si="51"/>
        <v>0</v>
      </c>
      <c r="V125" s="44">
        <f t="shared" si="51"/>
        <v>0</v>
      </c>
      <c r="W125" s="44">
        <f t="shared" si="51"/>
        <v>0</v>
      </c>
      <c r="X125" s="44">
        <f t="shared" si="51"/>
        <v>0</v>
      </c>
      <c r="Y125" s="44">
        <f t="shared" si="51"/>
        <v>0</v>
      </c>
      <c r="Z125" s="44">
        <f t="shared" si="51"/>
        <v>0</v>
      </c>
      <c r="AA125" s="44">
        <f t="shared" si="51"/>
        <v>0</v>
      </c>
      <c r="AB125" s="44">
        <f t="shared" si="51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2005" priority="2891" operator="greaterThan">
      <formula>60.3</formula>
    </cfRule>
  </conditionalFormatting>
  <conditionalFormatting sqref="G53:G55 J56:L56 J13:K14 I57:L58 K15 J15:J16 I53:I56 I40:I50 J66:K66 K16:Q16 J24:AC24 J67:J72 J74 K67:K74 I13:I16 I27:AC28 I66:I74 J35:O50 N51:O52 L13:Q15 J53:O55 M56:O58 I20:AC21 R13:AC16 P35:AC58 I77:AC78 N61:AC63 L66:AC74">
    <cfRule type="cellIs" dxfId="12004" priority="2883" operator="equal">
      <formula>"PMS"</formula>
    </cfRule>
    <cfRule type="containsText" dxfId="12003" priority="2884" operator="containsText" text="CMS">
      <formula>NOT(ISERROR(SEARCH("CMS",G13)))</formula>
    </cfRule>
    <cfRule type="cellIs" dxfId="12002" priority="2885" operator="equal">
      <formula>0</formula>
    </cfRule>
    <cfRule type="cellIs" dxfId="12001" priority="2886" operator="greaterThan">
      <formula>0</formula>
    </cfRule>
    <cfRule type="cellIs" dxfId="12000" priority="2887" operator="equal">
      <formula>"PMS"</formula>
    </cfRule>
    <cfRule type="containsText" dxfId="11999" priority="2888" operator="containsText" text="CMS">
      <formula>NOT(ISERROR(SEARCH("CMS",G13)))</formula>
    </cfRule>
    <cfRule type="cellIs" dxfId="11998" priority="2889" operator="equal">
      <formula>0</formula>
    </cfRule>
    <cfRule type="cellIs" dxfId="11997" priority="2890" operator="greaterThan">
      <formula>0</formula>
    </cfRule>
  </conditionalFormatting>
  <conditionalFormatting sqref="O77:AC78 O61:AC63 O66:AC74">
    <cfRule type="cellIs" dxfId="11996" priority="2879" operator="equal">
      <formula>"PMS"</formula>
    </cfRule>
    <cfRule type="containsText" dxfId="11995" priority="2880" operator="containsText" text="CMS">
      <formula>NOT(ISERROR(SEARCH("CMS",O61)))</formula>
    </cfRule>
    <cfRule type="cellIs" dxfId="11994" priority="2881" operator="equal">
      <formula>0</formula>
    </cfRule>
    <cfRule type="cellIs" dxfId="11993" priority="2882" operator="greaterThan">
      <formula>0</formula>
    </cfRule>
  </conditionalFormatting>
  <conditionalFormatting sqref="P66:AC74">
    <cfRule type="cellIs" dxfId="11992" priority="2875" operator="equal">
      <formula>"PMS"</formula>
    </cfRule>
    <cfRule type="containsText" dxfId="11991" priority="2876" operator="containsText" text="CMS">
      <formula>NOT(ISERROR(SEARCH("CMS",P66)))</formula>
    </cfRule>
    <cfRule type="cellIs" dxfId="11990" priority="2877" operator="equal">
      <formula>0</formula>
    </cfRule>
    <cfRule type="cellIs" dxfId="11989" priority="2878" operator="greaterThan">
      <formula>0</formula>
    </cfRule>
  </conditionalFormatting>
  <conditionalFormatting sqref="O13:AC16">
    <cfRule type="cellIs" dxfId="11988" priority="2871" operator="equal">
      <formula>"PMS"</formula>
    </cfRule>
    <cfRule type="containsText" dxfId="11987" priority="2872" operator="containsText" text="CMS">
      <formula>NOT(ISERROR(SEARCH("CMS",O13)))</formula>
    </cfRule>
    <cfRule type="cellIs" dxfId="11986" priority="2873" operator="equal">
      <formula>0</formula>
    </cfRule>
    <cfRule type="cellIs" dxfId="11985" priority="2874" operator="greaterThan">
      <formula>0</formula>
    </cfRule>
  </conditionalFormatting>
  <conditionalFormatting sqref="P13:AC16">
    <cfRule type="cellIs" dxfId="11984" priority="2867" operator="equal">
      <formula>"PMS"</formula>
    </cfRule>
    <cfRule type="containsText" dxfId="11983" priority="2868" operator="containsText" text="CMS">
      <formula>NOT(ISERROR(SEARCH("CMS",P13)))</formula>
    </cfRule>
    <cfRule type="cellIs" dxfId="11982" priority="2869" operator="equal">
      <formula>0</formula>
    </cfRule>
    <cfRule type="cellIs" dxfId="11981" priority="2870" operator="greaterThan">
      <formula>0</formula>
    </cfRule>
  </conditionalFormatting>
  <conditionalFormatting sqref="O20:AC21">
    <cfRule type="cellIs" dxfId="11980" priority="2863" operator="equal">
      <formula>"PMS"</formula>
    </cfRule>
    <cfRule type="containsText" dxfId="11979" priority="2864" operator="containsText" text="CMS">
      <formula>NOT(ISERROR(SEARCH("CMS",O20)))</formula>
    </cfRule>
    <cfRule type="cellIs" dxfId="11978" priority="2865" operator="equal">
      <formula>0</formula>
    </cfRule>
    <cfRule type="cellIs" dxfId="11977" priority="2866" operator="greaterThan">
      <formula>0</formula>
    </cfRule>
  </conditionalFormatting>
  <conditionalFormatting sqref="P20:AC21">
    <cfRule type="cellIs" dxfId="11976" priority="2859" operator="equal">
      <formula>"PMS"</formula>
    </cfRule>
    <cfRule type="containsText" dxfId="11975" priority="2860" operator="containsText" text="CMS">
      <formula>NOT(ISERROR(SEARCH("CMS",P20)))</formula>
    </cfRule>
    <cfRule type="cellIs" dxfId="11974" priority="2861" operator="equal">
      <formula>0</formula>
    </cfRule>
    <cfRule type="cellIs" dxfId="11973" priority="2862" operator="greaterThan">
      <formula>0</formula>
    </cfRule>
  </conditionalFormatting>
  <conditionalFormatting sqref="O24:AC24">
    <cfRule type="cellIs" dxfId="11972" priority="2855" operator="equal">
      <formula>"PMS"</formula>
    </cfRule>
    <cfRule type="containsText" dxfId="11971" priority="2856" operator="containsText" text="CMS">
      <formula>NOT(ISERROR(SEARCH("CMS",O24)))</formula>
    </cfRule>
    <cfRule type="cellIs" dxfId="11970" priority="2857" operator="equal">
      <formula>0</formula>
    </cfRule>
    <cfRule type="cellIs" dxfId="11969" priority="2858" operator="greaterThan">
      <formula>0</formula>
    </cfRule>
  </conditionalFormatting>
  <conditionalFormatting sqref="P24:AC24">
    <cfRule type="cellIs" dxfId="11968" priority="2851" operator="equal">
      <formula>"PMS"</formula>
    </cfRule>
    <cfRule type="containsText" dxfId="11967" priority="2852" operator="containsText" text="CMS">
      <formula>NOT(ISERROR(SEARCH("CMS",P24)))</formula>
    </cfRule>
    <cfRule type="cellIs" dxfId="11966" priority="2853" operator="equal">
      <formula>0</formula>
    </cfRule>
    <cfRule type="cellIs" dxfId="11965" priority="2854" operator="greaterThan">
      <formula>0</formula>
    </cfRule>
  </conditionalFormatting>
  <conditionalFormatting sqref="O27:AC28">
    <cfRule type="cellIs" dxfId="11964" priority="2847" operator="equal">
      <formula>"PMS"</formula>
    </cfRule>
    <cfRule type="containsText" dxfId="11963" priority="2848" operator="containsText" text="CMS">
      <formula>NOT(ISERROR(SEARCH("CMS",O27)))</formula>
    </cfRule>
    <cfRule type="cellIs" dxfId="11962" priority="2849" operator="equal">
      <formula>0</formula>
    </cfRule>
    <cfRule type="cellIs" dxfId="11961" priority="2850" operator="greaterThan">
      <formula>0</formula>
    </cfRule>
  </conditionalFormatting>
  <conditionalFormatting sqref="P27:AC28">
    <cfRule type="cellIs" dxfId="11960" priority="2843" operator="equal">
      <formula>"PMS"</formula>
    </cfRule>
    <cfRule type="containsText" dxfId="11959" priority="2844" operator="containsText" text="CMS">
      <formula>NOT(ISERROR(SEARCH("CMS",P27)))</formula>
    </cfRule>
    <cfRule type="cellIs" dxfId="11958" priority="2845" operator="equal">
      <formula>0</formula>
    </cfRule>
    <cfRule type="cellIs" dxfId="11957" priority="2846" operator="greaterThan">
      <formula>0</formula>
    </cfRule>
  </conditionalFormatting>
  <conditionalFormatting sqref="P50 R50:S58 O35:S49 Q53:Q58 O52:P58 T35:AC58">
    <cfRule type="cellIs" dxfId="11956" priority="2839" operator="equal">
      <formula>"PMS"</formula>
    </cfRule>
    <cfRule type="containsText" dxfId="11955" priority="2840" operator="containsText" text="CMS">
      <formula>NOT(ISERROR(SEARCH("CMS",O35)))</formula>
    </cfRule>
    <cfRule type="cellIs" dxfId="11954" priority="2841" operator="equal">
      <formula>0</formula>
    </cfRule>
    <cfRule type="cellIs" dxfId="11953" priority="2842" operator="greaterThan">
      <formula>0</formula>
    </cfRule>
  </conditionalFormatting>
  <conditionalFormatting sqref="P50 R50:S58 P35:S49 O38:O49 Q53:Q58 O52:P58 T35:AC58">
    <cfRule type="cellIs" dxfId="11952" priority="2835" operator="equal">
      <formula>"PMS"</formula>
    </cfRule>
    <cfRule type="containsText" dxfId="11951" priority="2836" operator="containsText" text="CMS">
      <formula>NOT(ISERROR(SEARCH("CMS",O35)))</formula>
    </cfRule>
    <cfRule type="cellIs" dxfId="11950" priority="2837" operator="equal">
      <formula>0</formula>
    </cfRule>
    <cfRule type="cellIs" dxfId="11949" priority="2838" operator="greaterThan">
      <formula>0</formula>
    </cfRule>
  </conditionalFormatting>
  <conditionalFormatting sqref="W13:AC13 AC14:AC15 Z14:AB16 W14:X16">
    <cfRule type="cellIs" dxfId="11948" priority="2831" operator="equal">
      <formula>"PMS"</formula>
    </cfRule>
    <cfRule type="containsText" dxfId="11947" priority="2832" operator="containsText" text="CMS">
      <formula>NOT(ISERROR(SEARCH("CMS",W13)))</formula>
    </cfRule>
    <cfRule type="cellIs" dxfId="11946" priority="2833" operator="equal">
      <formula>0</formula>
    </cfRule>
    <cfRule type="cellIs" dxfId="11945" priority="2834" operator="greaterThan">
      <formula>0</formula>
    </cfRule>
  </conditionalFormatting>
  <conditionalFormatting sqref="W13:AC13 AC14:AC15 Z14:AB16 W14:X16">
    <cfRule type="cellIs" dxfId="11944" priority="2827" operator="equal">
      <formula>"PMS"</formula>
    </cfRule>
    <cfRule type="containsText" dxfId="11943" priority="2828" operator="containsText" text="CMS">
      <formula>NOT(ISERROR(SEARCH("CMS",W13)))</formula>
    </cfRule>
    <cfRule type="cellIs" dxfId="11942" priority="2829" operator="equal">
      <formula>0</formula>
    </cfRule>
    <cfRule type="cellIs" dxfId="11941" priority="2830" operator="greaterThan">
      <formula>0</formula>
    </cfRule>
  </conditionalFormatting>
  <conditionalFormatting sqref="X57:AC57">
    <cfRule type="cellIs" dxfId="11940" priority="2823" operator="equal">
      <formula>"PMS"</formula>
    </cfRule>
    <cfRule type="containsText" dxfId="11939" priority="2824" operator="containsText" text="CMS">
      <formula>NOT(ISERROR(SEARCH("CMS",X57)))</formula>
    </cfRule>
    <cfRule type="cellIs" dxfId="11938" priority="2825" operator="equal">
      <formula>0</formula>
    </cfRule>
    <cfRule type="cellIs" dxfId="11937" priority="2826" operator="greaterThan">
      <formula>0</formula>
    </cfRule>
  </conditionalFormatting>
  <conditionalFormatting sqref="X57:AC57">
    <cfRule type="cellIs" dxfId="11936" priority="2819" operator="equal">
      <formula>"PMS"</formula>
    </cfRule>
    <cfRule type="containsText" dxfId="11935" priority="2820" operator="containsText" text="CMS">
      <formula>NOT(ISERROR(SEARCH("CMS",X57)))</formula>
    </cfRule>
    <cfRule type="cellIs" dxfId="11934" priority="2821" operator="equal">
      <formula>0</formula>
    </cfRule>
    <cfRule type="cellIs" dxfId="11933" priority="2822" operator="greaterThan">
      <formula>0</formula>
    </cfRule>
  </conditionalFormatting>
  <conditionalFormatting sqref="X57:AC57">
    <cfRule type="cellIs" dxfId="11932" priority="2815" operator="equal">
      <formula>"PMS"</formula>
    </cfRule>
    <cfRule type="containsText" dxfId="11931" priority="2816" operator="containsText" text="CMS">
      <formula>NOT(ISERROR(SEARCH("CMS",X57)))</formula>
    </cfRule>
    <cfRule type="cellIs" dxfId="11930" priority="2817" operator="equal">
      <formula>0</formula>
    </cfRule>
    <cfRule type="cellIs" dxfId="11929" priority="2818" operator="greaterThan">
      <formula>0</formula>
    </cfRule>
  </conditionalFormatting>
  <conditionalFormatting sqref="X57:AC57">
    <cfRule type="cellIs" dxfId="11928" priority="2811" operator="equal">
      <formula>"PMS"</formula>
    </cfRule>
    <cfRule type="containsText" dxfId="11927" priority="2812" operator="containsText" text="CMS">
      <formula>NOT(ISERROR(SEARCH("CMS",X57)))</formula>
    </cfRule>
    <cfRule type="cellIs" dxfId="11926" priority="2813" operator="equal">
      <formula>0</formula>
    </cfRule>
    <cfRule type="cellIs" dxfId="11925" priority="2814" operator="greaterThan">
      <formula>0</formula>
    </cfRule>
  </conditionalFormatting>
  <conditionalFormatting sqref="AB58:AC58">
    <cfRule type="cellIs" dxfId="11924" priority="2807" operator="equal">
      <formula>"PMS"</formula>
    </cfRule>
    <cfRule type="containsText" dxfId="11923" priority="2808" operator="containsText" text="CMS">
      <formula>NOT(ISERROR(SEARCH("CMS",AB58)))</formula>
    </cfRule>
    <cfRule type="cellIs" dxfId="11922" priority="2809" operator="equal">
      <formula>0</formula>
    </cfRule>
    <cfRule type="cellIs" dxfId="11921" priority="2810" operator="greaterThan">
      <formula>0</formula>
    </cfRule>
  </conditionalFormatting>
  <conditionalFormatting sqref="AB58:AC58">
    <cfRule type="cellIs" dxfId="11920" priority="2803" operator="equal">
      <formula>"PMS"</formula>
    </cfRule>
    <cfRule type="containsText" dxfId="11919" priority="2804" operator="containsText" text="CMS">
      <formula>NOT(ISERROR(SEARCH("CMS",AB58)))</formula>
    </cfRule>
    <cfRule type="cellIs" dxfId="11918" priority="2805" operator="equal">
      <formula>0</formula>
    </cfRule>
    <cfRule type="cellIs" dxfId="11917" priority="2806" operator="greaterThan">
      <formula>0</formula>
    </cfRule>
  </conditionalFormatting>
  <conditionalFormatting sqref="AB58:AC58">
    <cfRule type="cellIs" dxfId="11916" priority="2799" operator="equal">
      <formula>"PMS"</formula>
    </cfRule>
    <cfRule type="containsText" dxfId="11915" priority="2800" operator="containsText" text="CMS">
      <formula>NOT(ISERROR(SEARCH("CMS",AB58)))</formula>
    </cfRule>
    <cfRule type="cellIs" dxfId="11914" priority="2801" operator="equal">
      <formula>0</formula>
    </cfRule>
    <cfRule type="cellIs" dxfId="11913" priority="2802" operator="greaterThan">
      <formula>0</formula>
    </cfRule>
  </conditionalFormatting>
  <conditionalFormatting sqref="AB58:AC58">
    <cfRule type="cellIs" dxfId="11912" priority="2795" operator="equal">
      <formula>"PMS"</formula>
    </cfRule>
    <cfRule type="containsText" dxfId="11911" priority="2796" operator="containsText" text="CMS">
      <formula>NOT(ISERROR(SEARCH("CMS",AB58)))</formula>
    </cfRule>
    <cfRule type="cellIs" dxfId="11910" priority="2797" operator="equal">
      <formula>0</formula>
    </cfRule>
    <cfRule type="cellIs" dxfId="11909" priority="2798" operator="greaterThan">
      <formula>0</formula>
    </cfRule>
  </conditionalFormatting>
  <conditionalFormatting sqref="AB78">
    <cfRule type="cellIs" dxfId="11908" priority="2791" operator="equal">
      <formula>"PMS"</formula>
    </cfRule>
    <cfRule type="containsText" dxfId="11907" priority="2792" operator="containsText" text="CMS">
      <formula>NOT(ISERROR(SEARCH("CMS",AB78)))</formula>
    </cfRule>
    <cfRule type="cellIs" dxfId="11906" priority="2793" operator="equal">
      <formula>0</formula>
    </cfRule>
    <cfRule type="cellIs" dxfId="11905" priority="2794" operator="greaterThan">
      <formula>0</formula>
    </cfRule>
  </conditionalFormatting>
  <conditionalFormatting sqref="AB78">
    <cfRule type="cellIs" dxfId="11904" priority="2787" operator="equal">
      <formula>"PMS"</formula>
    </cfRule>
    <cfRule type="containsText" dxfId="11903" priority="2788" operator="containsText" text="CMS">
      <formula>NOT(ISERROR(SEARCH("CMS",AB78)))</formula>
    </cfRule>
    <cfRule type="cellIs" dxfId="11902" priority="2789" operator="equal">
      <formula>0</formula>
    </cfRule>
    <cfRule type="cellIs" dxfId="11901" priority="2790" operator="greaterThan">
      <formula>0</formula>
    </cfRule>
  </conditionalFormatting>
  <conditionalFormatting sqref="O44:O49">
    <cfRule type="cellIs" dxfId="11900" priority="2783" operator="equal">
      <formula>"PMS"</formula>
    </cfRule>
    <cfRule type="containsText" dxfId="11899" priority="2784" operator="containsText" text="CMS">
      <formula>NOT(ISERROR(SEARCH("CMS",O44)))</formula>
    </cfRule>
    <cfRule type="cellIs" dxfId="11898" priority="2785" operator="equal">
      <formula>0</formula>
    </cfRule>
    <cfRule type="cellIs" dxfId="11897" priority="2786" operator="greaterThan">
      <formula>0</formula>
    </cfRule>
  </conditionalFormatting>
  <conditionalFormatting sqref="P56 O52:O58">
    <cfRule type="cellIs" dxfId="11896" priority="2779" operator="equal">
      <formula>"PMS"</formula>
    </cfRule>
    <cfRule type="containsText" dxfId="11895" priority="2780" operator="containsText" text="CMS">
      <formula>NOT(ISERROR(SEARCH("CMS",O52)))</formula>
    </cfRule>
    <cfRule type="cellIs" dxfId="11894" priority="2781" operator="equal">
      <formula>0</formula>
    </cfRule>
    <cfRule type="cellIs" dxfId="11893" priority="2782" operator="greaterThan">
      <formula>0</formula>
    </cfRule>
  </conditionalFormatting>
  <conditionalFormatting sqref="O49">
    <cfRule type="cellIs" dxfId="11892" priority="2775" operator="equal">
      <formula>"PMS"</formula>
    </cfRule>
    <cfRule type="containsText" dxfId="11891" priority="2776" operator="containsText" text="CMS">
      <formula>NOT(ISERROR(SEARCH("CMS",O49)))</formula>
    </cfRule>
    <cfRule type="cellIs" dxfId="11890" priority="2777" operator="equal">
      <formula>0</formula>
    </cfRule>
    <cfRule type="cellIs" dxfId="11889" priority="2778" operator="greaterThan">
      <formula>0</formula>
    </cfRule>
  </conditionalFormatting>
  <conditionalFormatting sqref="P56 O52:O58">
    <cfRule type="cellIs" dxfId="11888" priority="2771" operator="equal">
      <formula>"PMS"</formula>
    </cfRule>
    <cfRule type="containsText" dxfId="11887" priority="2772" operator="containsText" text="CMS">
      <formula>NOT(ISERROR(SEARCH("CMS",O52)))</formula>
    </cfRule>
    <cfRule type="cellIs" dxfId="11886" priority="2773" operator="equal">
      <formula>0</formula>
    </cfRule>
    <cfRule type="cellIs" dxfId="11885" priority="2774" operator="greaterThan">
      <formula>0</formula>
    </cfRule>
  </conditionalFormatting>
  <conditionalFormatting sqref="Q24:V24">
    <cfRule type="cellIs" dxfId="11884" priority="2767" operator="equal">
      <formula>"PMS"</formula>
    </cfRule>
    <cfRule type="containsText" dxfId="11883" priority="2768" operator="containsText" text="CMS">
      <formula>NOT(ISERROR(SEARCH("CMS",Q24)))</formula>
    </cfRule>
    <cfRule type="cellIs" dxfId="11882" priority="2769" operator="equal">
      <formula>0</formula>
    </cfRule>
    <cfRule type="cellIs" dxfId="11881" priority="2770" operator="greaterThan">
      <formula>0</formula>
    </cfRule>
  </conditionalFormatting>
  <conditionalFormatting sqref="Q24:V24">
    <cfRule type="cellIs" dxfId="11880" priority="2763" operator="equal">
      <formula>"PMS"</formula>
    </cfRule>
    <cfRule type="containsText" dxfId="11879" priority="2764" operator="containsText" text="CMS">
      <formula>NOT(ISERROR(SEARCH("CMS",Q24)))</formula>
    </cfRule>
    <cfRule type="cellIs" dxfId="11878" priority="2765" operator="equal">
      <formula>0</formula>
    </cfRule>
    <cfRule type="cellIs" dxfId="11877" priority="2766" operator="greaterThan">
      <formula>0</formula>
    </cfRule>
  </conditionalFormatting>
  <conditionalFormatting sqref="Q27:V28">
    <cfRule type="cellIs" dxfId="11876" priority="2759" operator="equal">
      <formula>"PMS"</formula>
    </cfRule>
    <cfRule type="containsText" dxfId="11875" priority="2760" operator="containsText" text="CMS">
      <formula>NOT(ISERROR(SEARCH("CMS",Q27)))</formula>
    </cfRule>
    <cfRule type="cellIs" dxfId="11874" priority="2761" operator="equal">
      <formula>0</formula>
    </cfRule>
    <cfRule type="cellIs" dxfId="11873" priority="2762" operator="greaterThan">
      <formula>0</formula>
    </cfRule>
  </conditionalFormatting>
  <conditionalFormatting sqref="Q27:V28">
    <cfRule type="cellIs" dxfId="11872" priority="2755" operator="equal">
      <formula>"PMS"</formula>
    </cfRule>
    <cfRule type="containsText" dxfId="11871" priority="2756" operator="containsText" text="CMS">
      <formula>NOT(ISERROR(SEARCH("CMS",Q27)))</formula>
    </cfRule>
    <cfRule type="cellIs" dxfId="11870" priority="2757" operator="equal">
      <formula>0</formula>
    </cfRule>
    <cfRule type="cellIs" dxfId="11869" priority="2758" operator="greaterThan">
      <formula>0</formula>
    </cfRule>
  </conditionalFormatting>
  <conditionalFormatting sqref="R27:V28">
    <cfRule type="cellIs" dxfId="11868" priority="2751" operator="equal">
      <formula>"PMS"</formula>
    </cfRule>
    <cfRule type="containsText" dxfId="11867" priority="2752" operator="containsText" text="CMS">
      <formula>NOT(ISERROR(SEARCH("CMS",R27)))</formula>
    </cfRule>
    <cfRule type="cellIs" dxfId="11866" priority="2753" operator="equal">
      <formula>0</formula>
    </cfRule>
    <cfRule type="cellIs" dxfId="11865" priority="2754" operator="greaterThan">
      <formula>0</formula>
    </cfRule>
  </conditionalFormatting>
  <conditionalFormatting sqref="R27:V28">
    <cfRule type="cellIs" dxfId="11864" priority="2747" operator="equal">
      <formula>"PMS"</formula>
    </cfRule>
    <cfRule type="containsText" dxfId="11863" priority="2748" operator="containsText" text="CMS">
      <formula>NOT(ISERROR(SEARCH("CMS",R27)))</formula>
    </cfRule>
    <cfRule type="cellIs" dxfId="11862" priority="2749" operator="equal">
      <formula>0</formula>
    </cfRule>
    <cfRule type="cellIs" dxfId="11861" priority="2750" operator="greaterThan">
      <formula>0</formula>
    </cfRule>
  </conditionalFormatting>
  <conditionalFormatting sqref="P56 O52:O58">
    <cfRule type="cellIs" dxfId="11860" priority="2743" operator="equal">
      <formula>"PMS"</formula>
    </cfRule>
    <cfRule type="containsText" dxfId="11859" priority="2744" operator="containsText" text="CMS">
      <formula>NOT(ISERROR(SEARCH("CMS",O52)))</formula>
    </cfRule>
    <cfRule type="cellIs" dxfId="11858" priority="2745" operator="equal">
      <formula>0</formula>
    </cfRule>
    <cfRule type="cellIs" dxfId="11857" priority="2746" operator="greaterThan">
      <formula>0</formula>
    </cfRule>
  </conditionalFormatting>
  <conditionalFormatting sqref="O44:O45">
    <cfRule type="cellIs" dxfId="11856" priority="2739" operator="equal">
      <formula>"PMS"</formula>
    </cfRule>
    <cfRule type="containsText" dxfId="11855" priority="2740" operator="containsText" text="CMS">
      <formula>NOT(ISERROR(SEARCH("CMS",O44)))</formula>
    </cfRule>
    <cfRule type="cellIs" dxfId="11854" priority="2741" operator="equal">
      <formula>0</formula>
    </cfRule>
    <cfRule type="cellIs" dxfId="11853" priority="2742" operator="greaterThan">
      <formula>0</formula>
    </cfRule>
  </conditionalFormatting>
  <conditionalFormatting sqref="O44:O45">
    <cfRule type="cellIs" dxfId="11852" priority="2735" operator="equal">
      <formula>"PMS"</formula>
    </cfRule>
    <cfRule type="containsText" dxfId="11851" priority="2736" operator="containsText" text="CMS">
      <formula>NOT(ISERROR(SEARCH("CMS",O44)))</formula>
    </cfRule>
    <cfRule type="cellIs" dxfId="11850" priority="2737" operator="equal">
      <formula>0</formula>
    </cfRule>
    <cfRule type="cellIs" dxfId="11849" priority="2738" operator="greaterThan">
      <formula>0</formula>
    </cfRule>
  </conditionalFormatting>
  <conditionalFormatting sqref="O44:O45">
    <cfRule type="cellIs" dxfId="11848" priority="2731" operator="equal">
      <formula>"PMS"</formula>
    </cfRule>
    <cfRule type="containsText" dxfId="11847" priority="2732" operator="containsText" text="CMS">
      <formula>NOT(ISERROR(SEARCH("CMS",O44)))</formula>
    </cfRule>
    <cfRule type="cellIs" dxfId="11846" priority="2733" operator="equal">
      <formula>0</formula>
    </cfRule>
    <cfRule type="cellIs" dxfId="11845" priority="2734" operator="greaterThan">
      <formula>0</formula>
    </cfRule>
  </conditionalFormatting>
  <conditionalFormatting sqref="O46">
    <cfRule type="cellIs" dxfId="11844" priority="2727" operator="equal">
      <formula>"PMS"</formula>
    </cfRule>
    <cfRule type="containsText" dxfId="11843" priority="2728" operator="containsText" text="CMS">
      <formula>NOT(ISERROR(SEARCH("CMS",O46)))</formula>
    </cfRule>
    <cfRule type="cellIs" dxfId="11842" priority="2729" operator="equal">
      <formula>0</formula>
    </cfRule>
    <cfRule type="cellIs" dxfId="11841" priority="2730" operator="greaterThan">
      <formula>0</formula>
    </cfRule>
  </conditionalFormatting>
  <conditionalFormatting sqref="O46">
    <cfRule type="cellIs" dxfId="11840" priority="2723" operator="equal">
      <formula>"PMS"</formula>
    </cfRule>
    <cfRule type="containsText" dxfId="11839" priority="2724" operator="containsText" text="CMS">
      <formula>NOT(ISERROR(SEARCH("CMS",O46)))</formula>
    </cfRule>
    <cfRule type="cellIs" dxfId="11838" priority="2725" operator="equal">
      <formula>0</formula>
    </cfRule>
    <cfRule type="cellIs" dxfId="11837" priority="2726" operator="greaterThan">
      <formula>0</formula>
    </cfRule>
  </conditionalFormatting>
  <conditionalFormatting sqref="O46">
    <cfRule type="cellIs" dxfId="11836" priority="2719" operator="equal">
      <formula>"PMS"</formula>
    </cfRule>
    <cfRule type="containsText" dxfId="11835" priority="2720" operator="containsText" text="CMS">
      <formula>NOT(ISERROR(SEARCH("CMS",O46)))</formula>
    </cfRule>
    <cfRule type="cellIs" dxfId="11834" priority="2721" operator="equal">
      <formula>0</formula>
    </cfRule>
    <cfRule type="cellIs" dxfId="11833" priority="2722" operator="greaterThan">
      <formula>0</formula>
    </cfRule>
  </conditionalFormatting>
  <conditionalFormatting sqref="I19:AC19">
    <cfRule type="cellIs" dxfId="11832" priority="2715" operator="equal">
      <formula>"CMS"</formula>
    </cfRule>
    <cfRule type="cellIs" dxfId="11831" priority="2716" operator="equal">
      <formula>"PMS"</formula>
    </cfRule>
    <cfRule type="cellIs" dxfId="11830" priority="2717" operator="greaterThan">
      <formula>0</formula>
    </cfRule>
    <cfRule type="cellIs" dxfId="11829" priority="2718" operator="equal">
      <formula>0</formula>
    </cfRule>
  </conditionalFormatting>
  <conditionalFormatting sqref="G61:G63">
    <cfRule type="cellIs" dxfId="11828" priority="2711" operator="equal">
      <formula>"CMS"</formula>
    </cfRule>
    <cfRule type="cellIs" dxfId="11827" priority="2712" operator="equal">
      <formula>"PMS"</formula>
    </cfRule>
    <cfRule type="cellIs" dxfId="11826" priority="2713" operator="greaterThan">
      <formula>0</formula>
    </cfRule>
    <cfRule type="cellIs" dxfId="11825" priority="2714" operator="equal">
      <formula>0</formula>
    </cfRule>
  </conditionalFormatting>
  <conditionalFormatting sqref="G77">
    <cfRule type="cellIs" dxfId="11824" priority="2706" operator="equal">
      <formula>"EOC"</formula>
    </cfRule>
    <cfRule type="cellIs" dxfId="11823" priority="2707" operator="equal">
      <formula>"CMS"</formula>
    </cfRule>
    <cfRule type="cellIs" dxfId="11822" priority="2708" operator="equal">
      <formula>"PMS"</formula>
    </cfRule>
    <cfRule type="cellIs" dxfId="11821" priority="2709" operator="greaterThan">
      <formula>0</formula>
    </cfRule>
    <cfRule type="cellIs" dxfId="11820" priority="2710" operator="equal">
      <formula>0</formula>
    </cfRule>
  </conditionalFormatting>
  <conditionalFormatting sqref="F109">
    <cfRule type="cellIs" dxfId="11819" priority="2705" operator="greaterThan">
      <formula>60.3</formula>
    </cfRule>
  </conditionalFormatting>
  <conditionalFormatting sqref="G36:G44 G50 G47">
    <cfRule type="cellIs" dxfId="11818" priority="2697" operator="equal">
      <formula>"PMS"</formula>
    </cfRule>
    <cfRule type="containsText" dxfId="11817" priority="2698" operator="containsText" text="CMS">
      <formula>NOT(ISERROR(SEARCH("CMS",G36)))</formula>
    </cfRule>
    <cfRule type="cellIs" dxfId="11816" priority="2699" operator="equal">
      <formula>0</formula>
    </cfRule>
    <cfRule type="cellIs" dxfId="11815" priority="2700" operator="greaterThan">
      <formula>0</formula>
    </cfRule>
    <cfRule type="cellIs" dxfId="11814" priority="2701" operator="equal">
      <formula>"PMS"</formula>
    </cfRule>
    <cfRule type="containsText" dxfId="11813" priority="2702" operator="containsText" text="CMS">
      <formula>NOT(ISERROR(SEARCH("CMS",G36)))</formula>
    </cfRule>
    <cfRule type="cellIs" dxfId="11812" priority="2703" operator="equal">
      <formula>0</formula>
    </cfRule>
    <cfRule type="cellIs" dxfId="11811" priority="2704" operator="greaterThan">
      <formula>0</formula>
    </cfRule>
  </conditionalFormatting>
  <conditionalFormatting sqref="G36:G44 G50 G47">
    <cfRule type="cellIs" dxfId="11810" priority="2693" operator="equal">
      <formula>"PMS"</formula>
    </cfRule>
    <cfRule type="containsText" dxfId="11809" priority="2694" operator="containsText" text="CMS">
      <formula>NOT(ISERROR(SEARCH("CMS",G36)))</formula>
    </cfRule>
    <cfRule type="cellIs" dxfId="11808" priority="2695" operator="equal">
      <formula>0</formula>
    </cfRule>
    <cfRule type="cellIs" dxfId="11807" priority="2696" operator="greaterThan">
      <formula>0</formula>
    </cfRule>
  </conditionalFormatting>
  <conditionalFormatting sqref="G36:G44 G50 G47">
    <cfRule type="cellIs" dxfId="11806" priority="2689" operator="equal">
      <formula>"PMS"</formula>
    </cfRule>
    <cfRule type="containsText" dxfId="11805" priority="2690" operator="containsText" text="CMS">
      <formula>NOT(ISERROR(SEARCH("CMS",G36)))</formula>
    </cfRule>
    <cfRule type="cellIs" dxfId="11804" priority="2691" operator="equal">
      <formula>0</formula>
    </cfRule>
    <cfRule type="cellIs" dxfId="11803" priority="2692" operator="greaterThan">
      <formula>0</formula>
    </cfRule>
  </conditionalFormatting>
  <conditionalFormatting sqref="I36:I39">
    <cfRule type="cellIs" dxfId="11802" priority="2681" operator="equal">
      <formula>"PMS"</formula>
    </cfRule>
    <cfRule type="containsText" dxfId="11801" priority="2682" operator="containsText" text="CMS">
      <formula>NOT(ISERROR(SEARCH("CMS",I36)))</formula>
    </cfRule>
    <cfRule type="cellIs" dxfId="11800" priority="2683" operator="equal">
      <formula>0</formula>
    </cfRule>
    <cfRule type="cellIs" dxfId="11799" priority="2684" operator="greaterThan">
      <formula>0</formula>
    </cfRule>
    <cfRule type="cellIs" dxfId="11798" priority="2685" operator="equal">
      <formula>"PMS"</formula>
    </cfRule>
    <cfRule type="containsText" dxfId="11797" priority="2686" operator="containsText" text="CMS">
      <formula>NOT(ISERROR(SEARCH("CMS",I36)))</formula>
    </cfRule>
    <cfRule type="cellIs" dxfId="11796" priority="2687" operator="equal">
      <formula>0</formula>
    </cfRule>
    <cfRule type="cellIs" dxfId="11795" priority="2688" operator="greaterThan">
      <formula>0</formula>
    </cfRule>
  </conditionalFormatting>
  <conditionalFormatting sqref="I36:I39">
    <cfRule type="cellIs" dxfId="11794" priority="2677" operator="equal">
      <formula>"PMS"</formula>
    </cfRule>
    <cfRule type="containsText" dxfId="11793" priority="2678" operator="containsText" text="CMS">
      <formula>NOT(ISERROR(SEARCH("CMS",I36)))</formula>
    </cfRule>
    <cfRule type="cellIs" dxfId="11792" priority="2679" operator="equal">
      <formula>0</formula>
    </cfRule>
    <cfRule type="cellIs" dxfId="11791" priority="2680" operator="greaterThan">
      <formula>0</formula>
    </cfRule>
  </conditionalFormatting>
  <conditionalFormatting sqref="I36:I39">
    <cfRule type="cellIs" dxfId="11790" priority="2673" operator="equal">
      <formula>"PMS"</formula>
    </cfRule>
    <cfRule type="containsText" dxfId="11789" priority="2674" operator="containsText" text="CMS">
      <formula>NOT(ISERROR(SEARCH("CMS",I36)))</formula>
    </cfRule>
    <cfRule type="cellIs" dxfId="11788" priority="2675" operator="equal">
      <formula>0</formula>
    </cfRule>
    <cfRule type="cellIs" dxfId="11787" priority="2676" operator="greaterThan">
      <formula>0</formula>
    </cfRule>
  </conditionalFormatting>
  <conditionalFormatting sqref="O49">
    <cfRule type="cellIs" dxfId="11786" priority="2669" operator="equal">
      <formula>"PMS"</formula>
    </cfRule>
    <cfRule type="containsText" dxfId="11785" priority="2670" operator="containsText" text="CMS">
      <formula>NOT(ISERROR(SEARCH("CMS",O49)))</formula>
    </cfRule>
    <cfRule type="cellIs" dxfId="11784" priority="2671" operator="equal">
      <formula>0</formula>
    </cfRule>
    <cfRule type="cellIs" dxfId="11783" priority="2672" operator="greaterThan">
      <formula>0</formula>
    </cfRule>
  </conditionalFormatting>
  <conditionalFormatting sqref="P56 O52:O58">
    <cfRule type="cellIs" dxfId="11782" priority="2665" operator="equal">
      <formula>"PMS"</formula>
    </cfRule>
    <cfRule type="containsText" dxfId="11781" priority="2666" operator="containsText" text="CMS">
      <formula>NOT(ISERROR(SEARCH("CMS",O52)))</formula>
    </cfRule>
    <cfRule type="cellIs" dxfId="11780" priority="2667" operator="equal">
      <formula>0</formula>
    </cfRule>
    <cfRule type="cellIs" dxfId="11779" priority="2668" operator="greaterThan">
      <formula>0</formula>
    </cfRule>
  </conditionalFormatting>
  <conditionalFormatting sqref="O57:P57">
    <cfRule type="cellIs" dxfId="11778" priority="2661" operator="equal">
      <formula>"PMS"</formula>
    </cfRule>
    <cfRule type="containsText" dxfId="11777" priority="2662" operator="containsText" text="CMS">
      <formula>NOT(ISERROR(SEARCH("CMS",O57)))</formula>
    </cfRule>
    <cfRule type="cellIs" dxfId="11776" priority="2663" operator="equal">
      <formula>0</formula>
    </cfRule>
    <cfRule type="cellIs" dxfId="11775" priority="2664" operator="greaterThan">
      <formula>0</formula>
    </cfRule>
  </conditionalFormatting>
  <conditionalFormatting sqref="O49">
    <cfRule type="cellIs" dxfId="11774" priority="2657" operator="equal">
      <formula>"PMS"</formula>
    </cfRule>
    <cfRule type="containsText" dxfId="11773" priority="2658" operator="containsText" text="CMS">
      <formula>NOT(ISERROR(SEARCH("CMS",O49)))</formula>
    </cfRule>
    <cfRule type="cellIs" dxfId="11772" priority="2659" operator="equal">
      <formula>0</formula>
    </cfRule>
    <cfRule type="cellIs" dxfId="11771" priority="2660" operator="greaterThan">
      <formula>0</formula>
    </cfRule>
  </conditionalFormatting>
  <conditionalFormatting sqref="P56 O52:O58">
    <cfRule type="cellIs" dxfId="11770" priority="2653" operator="equal">
      <formula>"PMS"</formula>
    </cfRule>
    <cfRule type="containsText" dxfId="11769" priority="2654" operator="containsText" text="CMS">
      <formula>NOT(ISERROR(SEARCH("CMS",O52)))</formula>
    </cfRule>
    <cfRule type="cellIs" dxfId="11768" priority="2655" operator="equal">
      <formula>0</formula>
    </cfRule>
    <cfRule type="cellIs" dxfId="11767" priority="2656" operator="greaterThan">
      <formula>0</formula>
    </cfRule>
  </conditionalFormatting>
  <conditionalFormatting sqref="O49">
    <cfRule type="cellIs" dxfId="11766" priority="2649" operator="equal">
      <formula>"PMS"</formula>
    </cfRule>
    <cfRule type="containsText" dxfId="11765" priority="2650" operator="containsText" text="CMS">
      <formula>NOT(ISERROR(SEARCH("CMS",O49)))</formula>
    </cfRule>
    <cfRule type="cellIs" dxfId="11764" priority="2651" operator="equal">
      <formula>0</formula>
    </cfRule>
    <cfRule type="cellIs" dxfId="11763" priority="2652" operator="greaterThan">
      <formula>0</formula>
    </cfRule>
  </conditionalFormatting>
  <conditionalFormatting sqref="P56 O52:O58">
    <cfRule type="cellIs" dxfId="11762" priority="2645" operator="equal">
      <formula>"PMS"</formula>
    </cfRule>
    <cfRule type="containsText" dxfId="11761" priority="2646" operator="containsText" text="CMS">
      <formula>NOT(ISERROR(SEARCH("CMS",O52)))</formula>
    </cfRule>
    <cfRule type="cellIs" dxfId="11760" priority="2647" operator="equal">
      <formula>0</formula>
    </cfRule>
    <cfRule type="cellIs" dxfId="11759" priority="2648" operator="greaterThan">
      <formula>0</formula>
    </cfRule>
  </conditionalFormatting>
  <conditionalFormatting sqref="W14:W16">
    <cfRule type="cellIs" dxfId="11758" priority="2641" operator="equal">
      <formula>"PMS"</formula>
    </cfRule>
    <cfRule type="containsText" dxfId="11757" priority="2642" operator="containsText" text="CMS">
      <formula>NOT(ISERROR(SEARCH("CMS",W14)))</formula>
    </cfRule>
    <cfRule type="cellIs" dxfId="11756" priority="2643" operator="equal">
      <formula>0</formula>
    </cfRule>
    <cfRule type="cellIs" dxfId="11755" priority="2644" operator="greaterThan">
      <formula>0</formula>
    </cfRule>
  </conditionalFormatting>
  <conditionalFormatting sqref="W14:W16">
    <cfRule type="cellIs" dxfId="11754" priority="2637" operator="equal">
      <formula>"PMS"</formula>
    </cfRule>
    <cfRule type="containsText" dxfId="11753" priority="2638" operator="containsText" text="CMS">
      <formula>NOT(ISERROR(SEARCH("CMS",W14)))</formula>
    </cfRule>
    <cfRule type="cellIs" dxfId="11752" priority="2639" operator="equal">
      <formula>0</formula>
    </cfRule>
    <cfRule type="cellIs" dxfId="11751" priority="2640" operator="greaterThan">
      <formula>0</formula>
    </cfRule>
  </conditionalFormatting>
  <conditionalFormatting sqref="X16">
    <cfRule type="cellIs" dxfId="11750" priority="2633" operator="equal">
      <formula>"PMS"</formula>
    </cfRule>
    <cfRule type="containsText" dxfId="11749" priority="2634" operator="containsText" text="CMS">
      <formula>NOT(ISERROR(SEARCH("CMS",X16)))</formula>
    </cfRule>
    <cfRule type="cellIs" dxfId="11748" priority="2635" operator="equal">
      <formula>0</formula>
    </cfRule>
    <cfRule type="cellIs" dxfId="11747" priority="2636" operator="greaterThan">
      <formula>0</formula>
    </cfRule>
  </conditionalFormatting>
  <conditionalFormatting sqref="X16">
    <cfRule type="cellIs" dxfId="11746" priority="2629" operator="equal">
      <formula>"PMS"</formula>
    </cfRule>
    <cfRule type="containsText" dxfId="11745" priority="2630" operator="containsText" text="CMS">
      <formula>NOT(ISERROR(SEARCH("CMS",X16)))</formula>
    </cfRule>
    <cfRule type="cellIs" dxfId="11744" priority="2631" operator="equal">
      <formula>0</formula>
    </cfRule>
    <cfRule type="cellIs" dxfId="11743" priority="2632" operator="greaterThan">
      <formula>0</formula>
    </cfRule>
  </conditionalFormatting>
  <conditionalFormatting sqref="O49">
    <cfRule type="cellIs" dxfId="11742" priority="2625" operator="equal">
      <formula>"PMS"</formula>
    </cfRule>
    <cfRule type="containsText" dxfId="11741" priority="2626" operator="containsText" text="CMS">
      <formula>NOT(ISERROR(SEARCH("CMS",O49)))</formula>
    </cfRule>
    <cfRule type="cellIs" dxfId="11740" priority="2627" operator="equal">
      <formula>0</formula>
    </cfRule>
    <cfRule type="cellIs" dxfId="11739" priority="2628" operator="greaterThan">
      <formula>0</formula>
    </cfRule>
  </conditionalFormatting>
  <conditionalFormatting sqref="O56:P56">
    <cfRule type="cellIs" dxfId="11738" priority="2621" operator="equal">
      <formula>"PMS"</formula>
    </cfRule>
    <cfRule type="containsText" dxfId="11737" priority="2622" operator="containsText" text="CMS">
      <formula>NOT(ISERROR(SEARCH("CMS",O56)))</formula>
    </cfRule>
    <cfRule type="cellIs" dxfId="11736" priority="2623" operator="equal">
      <formula>0</formula>
    </cfRule>
    <cfRule type="cellIs" dxfId="11735" priority="2624" operator="greaterThan">
      <formula>0</formula>
    </cfRule>
  </conditionalFormatting>
  <conditionalFormatting sqref="Z14">
    <cfRule type="cellIs" dxfId="11734" priority="2617" operator="equal">
      <formula>"PMS"</formula>
    </cfRule>
    <cfRule type="containsText" dxfId="11733" priority="2618" operator="containsText" text="CMS">
      <formula>NOT(ISERROR(SEARCH("CMS",Z14)))</formula>
    </cfRule>
    <cfRule type="cellIs" dxfId="11732" priority="2619" operator="equal">
      <formula>0</formula>
    </cfRule>
    <cfRule type="cellIs" dxfId="11731" priority="2620" operator="greaterThan">
      <formula>0</formula>
    </cfRule>
  </conditionalFormatting>
  <conditionalFormatting sqref="Z14">
    <cfRule type="cellIs" dxfId="11730" priority="2613" operator="equal">
      <formula>"PMS"</formula>
    </cfRule>
    <cfRule type="containsText" dxfId="11729" priority="2614" operator="containsText" text="CMS">
      <formula>NOT(ISERROR(SEARCH("CMS",Z14)))</formula>
    </cfRule>
    <cfRule type="cellIs" dxfId="11728" priority="2615" operator="equal">
      <formula>0</formula>
    </cfRule>
    <cfRule type="cellIs" dxfId="11727" priority="2616" operator="greaterThan">
      <formula>0</formula>
    </cfRule>
  </conditionalFormatting>
  <conditionalFormatting sqref="Z15">
    <cfRule type="cellIs" dxfId="11726" priority="2609" operator="equal">
      <formula>"PMS"</formula>
    </cfRule>
    <cfRule type="containsText" dxfId="11725" priority="2610" operator="containsText" text="CMS">
      <formula>NOT(ISERROR(SEARCH("CMS",Z15)))</formula>
    </cfRule>
    <cfRule type="cellIs" dxfId="11724" priority="2611" operator="equal">
      <formula>0</formula>
    </cfRule>
    <cfRule type="cellIs" dxfId="11723" priority="2612" operator="greaterThan">
      <formula>0</formula>
    </cfRule>
  </conditionalFormatting>
  <conditionalFormatting sqref="Z15">
    <cfRule type="cellIs" dxfId="11722" priority="2605" operator="equal">
      <formula>"PMS"</formula>
    </cfRule>
    <cfRule type="containsText" dxfId="11721" priority="2606" operator="containsText" text="CMS">
      <formula>NOT(ISERROR(SEARCH("CMS",Z15)))</formula>
    </cfRule>
    <cfRule type="cellIs" dxfId="11720" priority="2607" operator="equal">
      <formula>0</formula>
    </cfRule>
    <cfRule type="cellIs" dxfId="11719" priority="2608" operator="greaterThan">
      <formula>0</formula>
    </cfRule>
  </conditionalFormatting>
  <conditionalFormatting sqref="Z16">
    <cfRule type="cellIs" dxfId="11718" priority="2601" operator="equal">
      <formula>"PMS"</formula>
    </cfRule>
    <cfRule type="containsText" dxfId="11717" priority="2602" operator="containsText" text="CMS">
      <formula>NOT(ISERROR(SEARCH("CMS",Z16)))</formula>
    </cfRule>
    <cfRule type="cellIs" dxfId="11716" priority="2603" operator="equal">
      <formula>0</formula>
    </cfRule>
    <cfRule type="cellIs" dxfId="11715" priority="2604" operator="greaterThan">
      <formula>0</formula>
    </cfRule>
  </conditionalFormatting>
  <conditionalFormatting sqref="Z16">
    <cfRule type="cellIs" dxfId="11714" priority="2597" operator="equal">
      <formula>"PMS"</formula>
    </cfRule>
    <cfRule type="containsText" dxfId="11713" priority="2598" operator="containsText" text="CMS">
      <formula>NOT(ISERROR(SEARCH("CMS",Z16)))</formula>
    </cfRule>
    <cfRule type="cellIs" dxfId="11712" priority="2599" operator="equal">
      <formula>0</formula>
    </cfRule>
    <cfRule type="cellIs" dxfId="11711" priority="2600" operator="greaterThan">
      <formula>0</formula>
    </cfRule>
  </conditionalFormatting>
  <conditionalFormatting sqref="AA13:AA16">
    <cfRule type="cellIs" dxfId="11710" priority="2593" operator="equal">
      <formula>"PMS"</formula>
    </cfRule>
    <cfRule type="containsText" dxfId="11709" priority="2594" operator="containsText" text="CMS">
      <formula>NOT(ISERROR(SEARCH("CMS",AA13)))</formula>
    </cfRule>
    <cfRule type="cellIs" dxfId="11708" priority="2595" operator="equal">
      <formula>0</formula>
    </cfRule>
    <cfRule type="cellIs" dxfId="11707" priority="2596" operator="greaterThan">
      <formula>0</formula>
    </cfRule>
  </conditionalFormatting>
  <conditionalFormatting sqref="AA13:AA16">
    <cfRule type="cellIs" dxfId="11706" priority="2589" operator="equal">
      <formula>"PMS"</formula>
    </cfRule>
    <cfRule type="containsText" dxfId="11705" priority="2590" operator="containsText" text="CMS">
      <formula>NOT(ISERROR(SEARCH("CMS",AA13)))</formula>
    </cfRule>
    <cfRule type="cellIs" dxfId="11704" priority="2591" operator="equal">
      <formula>0</formula>
    </cfRule>
    <cfRule type="cellIs" dxfId="11703" priority="2592" operator="greaterThan">
      <formula>0</formula>
    </cfRule>
  </conditionalFormatting>
  <conditionalFormatting sqref="Z15:AA15">
    <cfRule type="cellIs" dxfId="11702" priority="2585" operator="equal">
      <formula>"PMS"</formula>
    </cfRule>
    <cfRule type="containsText" dxfId="11701" priority="2586" operator="containsText" text="CMS">
      <formula>NOT(ISERROR(SEARCH("CMS",Z15)))</formula>
    </cfRule>
    <cfRule type="cellIs" dxfId="11700" priority="2587" operator="equal">
      <formula>0</formula>
    </cfRule>
    <cfRule type="cellIs" dxfId="11699" priority="2588" operator="greaterThan">
      <formula>0</formula>
    </cfRule>
  </conditionalFormatting>
  <conditionalFormatting sqref="Z15:AA15">
    <cfRule type="cellIs" dxfId="11698" priority="2581" operator="equal">
      <formula>"PMS"</formula>
    </cfRule>
    <cfRule type="containsText" dxfId="11697" priority="2582" operator="containsText" text="CMS">
      <formula>NOT(ISERROR(SEARCH("CMS",Z15)))</formula>
    </cfRule>
    <cfRule type="cellIs" dxfId="11696" priority="2583" operator="equal">
      <formula>0</formula>
    </cfRule>
    <cfRule type="cellIs" dxfId="11695" priority="2584" operator="greaterThan">
      <formula>0</formula>
    </cfRule>
  </conditionalFormatting>
  <conditionalFormatting sqref="Z16:AA16">
    <cfRule type="cellIs" dxfId="11694" priority="2577" operator="equal">
      <formula>"PMS"</formula>
    </cfRule>
    <cfRule type="containsText" dxfId="11693" priority="2578" operator="containsText" text="CMS">
      <formula>NOT(ISERROR(SEARCH("CMS",Z16)))</formula>
    </cfRule>
    <cfRule type="cellIs" dxfId="11692" priority="2579" operator="equal">
      <formula>0</formula>
    </cfRule>
    <cfRule type="cellIs" dxfId="11691" priority="2580" operator="greaterThan">
      <formula>0</formula>
    </cfRule>
  </conditionalFormatting>
  <conditionalFormatting sqref="Z16:AA16">
    <cfRule type="cellIs" dxfId="11690" priority="2573" operator="equal">
      <formula>"PMS"</formula>
    </cfRule>
    <cfRule type="containsText" dxfId="11689" priority="2574" operator="containsText" text="CMS">
      <formula>NOT(ISERROR(SEARCH("CMS",Z16)))</formula>
    </cfRule>
    <cfRule type="cellIs" dxfId="11688" priority="2575" operator="equal">
      <formula>0</formula>
    </cfRule>
    <cfRule type="cellIs" dxfId="11687" priority="2576" operator="greaterThan">
      <formula>0</formula>
    </cfRule>
  </conditionalFormatting>
  <conditionalFormatting sqref="AA27">
    <cfRule type="cellIs" dxfId="11686" priority="2569" operator="equal">
      <formula>"PMS"</formula>
    </cfRule>
    <cfRule type="containsText" dxfId="11685" priority="2570" operator="containsText" text="CMS">
      <formula>NOT(ISERROR(SEARCH("CMS",AA27)))</formula>
    </cfRule>
    <cfRule type="cellIs" dxfId="11684" priority="2571" operator="equal">
      <formula>0</formula>
    </cfRule>
    <cfRule type="cellIs" dxfId="11683" priority="2572" operator="greaterThan">
      <formula>0</formula>
    </cfRule>
  </conditionalFormatting>
  <conditionalFormatting sqref="AA27">
    <cfRule type="cellIs" dxfId="11682" priority="2565" operator="equal">
      <formula>"PMS"</formula>
    </cfRule>
    <cfRule type="containsText" dxfId="11681" priority="2566" operator="containsText" text="CMS">
      <formula>NOT(ISERROR(SEARCH("CMS",AA27)))</formula>
    </cfRule>
    <cfRule type="cellIs" dxfId="11680" priority="2567" operator="equal">
      <formula>0</formula>
    </cfRule>
    <cfRule type="cellIs" dxfId="11679" priority="2568" operator="greaterThan">
      <formula>0</formula>
    </cfRule>
  </conditionalFormatting>
  <conditionalFormatting sqref="AA28">
    <cfRule type="cellIs" dxfId="11678" priority="2561" operator="equal">
      <formula>"PMS"</formula>
    </cfRule>
    <cfRule type="containsText" dxfId="11677" priority="2562" operator="containsText" text="CMS">
      <formula>NOT(ISERROR(SEARCH("CMS",AA28)))</formula>
    </cfRule>
    <cfRule type="cellIs" dxfId="11676" priority="2563" operator="equal">
      <formula>0</formula>
    </cfRule>
    <cfRule type="cellIs" dxfId="11675" priority="2564" operator="greaterThan">
      <formula>0</formula>
    </cfRule>
  </conditionalFormatting>
  <conditionalFormatting sqref="AA28">
    <cfRule type="cellIs" dxfId="11674" priority="2557" operator="equal">
      <formula>"PMS"</formula>
    </cfRule>
    <cfRule type="containsText" dxfId="11673" priority="2558" operator="containsText" text="CMS">
      <formula>NOT(ISERROR(SEARCH("CMS",AA28)))</formula>
    </cfRule>
    <cfRule type="cellIs" dxfId="11672" priority="2559" operator="equal">
      <formula>0</formula>
    </cfRule>
    <cfRule type="cellIs" dxfId="11671" priority="2560" operator="greaterThan">
      <formula>0</formula>
    </cfRule>
  </conditionalFormatting>
  <conditionalFormatting sqref="AB14">
    <cfRule type="cellIs" dxfId="11670" priority="2553" operator="equal">
      <formula>"PMS"</formula>
    </cfRule>
    <cfRule type="containsText" dxfId="11669" priority="2554" operator="containsText" text="CMS">
      <formula>NOT(ISERROR(SEARCH("CMS",AB14)))</formula>
    </cfRule>
    <cfRule type="cellIs" dxfId="11668" priority="2555" operator="equal">
      <formula>0</formula>
    </cfRule>
    <cfRule type="cellIs" dxfId="11667" priority="2556" operator="greaterThan">
      <formula>0</formula>
    </cfRule>
  </conditionalFormatting>
  <conditionalFormatting sqref="AB14">
    <cfRule type="cellIs" dxfId="11666" priority="2549" operator="equal">
      <formula>"PMS"</formula>
    </cfRule>
    <cfRule type="containsText" dxfId="11665" priority="2550" operator="containsText" text="CMS">
      <formula>NOT(ISERROR(SEARCH("CMS",AB14)))</formula>
    </cfRule>
    <cfRule type="cellIs" dxfId="11664" priority="2551" operator="equal">
      <formula>0</formula>
    </cfRule>
    <cfRule type="cellIs" dxfId="11663" priority="2552" operator="greaterThan">
      <formula>0</formula>
    </cfRule>
  </conditionalFormatting>
  <conditionalFormatting sqref="AB15">
    <cfRule type="cellIs" dxfId="11662" priority="2545" operator="equal">
      <formula>"PMS"</formula>
    </cfRule>
    <cfRule type="containsText" dxfId="11661" priority="2546" operator="containsText" text="CMS">
      <formula>NOT(ISERROR(SEARCH("CMS",AB15)))</formula>
    </cfRule>
    <cfRule type="cellIs" dxfId="11660" priority="2547" operator="equal">
      <formula>0</formula>
    </cfRule>
    <cfRule type="cellIs" dxfId="11659" priority="2548" operator="greaterThan">
      <formula>0</formula>
    </cfRule>
  </conditionalFormatting>
  <conditionalFormatting sqref="AB15">
    <cfRule type="cellIs" dxfId="11658" priority="2541" operator="equal">
      <formula>"PMS"</formula>
    </cfRule>
    <cfRule type="containsText" dxfId="11657" priority="2542" operator="containsText" text="CMS">
      <formula>NOT(ISERROR(SEARCH("CMS",AB15)))</formula>
    </cfRule>
    <cfRule type="cellIs" dxfId="11656" priority="2543" operator="equal">
      <formula>0</formula>
    </cfRule>
    <cfRule type="cellIs" dxfId="11655" priority="2544" operator="greaterThan">
      <formula>0</formula>
    </cfRule>
  </conditionalFormatting>
  <conditionalFormatting sqref="AB16">
    <cfRule type="cellIs" dxfId="11654" priority="2537" operator="equal">
      <formula>"PMS"</formula>
    </cfRule>
    <cfRule type="containsText" dxfId="11653" priority="2538" operator="containsText" text="CMS">
      <formula>NOT(ISERROR(SEARCH("CMS",AB16)))</formula>
    </cfRule>
    <cfRule type="cellIs" dxfId="11652" priority="2539" operator="equal">
      <formula>0</formula>
    </cfRule>
    <cfRule type="cellIs" dxfId="11651" priority="2540" operator="greaterThan">
      <formula>0</formula>
    </cfRule>
  </conditionalFormatting>
  <conditionalFormatting sqref="AB16">
    <cfRule type="cellIs" dxfId="11650" priority="2533" operator="equal">
      <formula>"PMS"</formula>
    </cfRule>
    <cfRule type="containsText" dxfId="11649" priority="2534" operator="containsText" text="CMS">
      <formula>NOT(ISERROR(SEARCH("CMS",AB16)))</formula>
    </cfRule>
    <cfRule type="cellIs" dxfId="11648" priority="2535" operator="equal">
      <formula>0</formula>
    </cfRule>
    <cfRule type="cellIs" dxfId="11647" priority="2536" operator="greaterThan">
      <formula>0</formula>
    </cfRule>
  </conditionalFormatting>
  <conditionalFormatting sqref="W14">
    <cfRule type="cellIs" dxfId="11646" priority="2529" operator="equal">
      <formula>"PMS"</formula>
    </cfRule>
    <cfRule type="containsText" dxfId="11645" priority="2530" operator="containsText" text="CMS">
      <formula>NOT(ISERROR(SEARCH("CMS",W14)))</formula>
    </cfRule>
    <cfRule type="cellIs" dxfId="11644" priority="2531" operator="equal">
      <formula>0</formula>
    </cfRule>
    <cfRule type="cellIs" dxfId="11643" priority="2532" operator="greaterThan">
      <formula>0</formula>
    </cfRule>
  </conditionalFormatting>
  <conditionalFormatting sqref="W14">
    <cfRule type="cellIs" dxfId="11642" priority="2525" operator="equal">
      <formula>"PMS"</formula>
    </cfRule>
    <cfRule type="containsText" dxfId="11641" priority="2526" operator="containsText" text="CMS">
      <formula>NOT(ISERROR(SEARCH("CMS",W14)))</formula>
    </cfRule>
    <cfRule type="cellIs" dxfId="11640" priority="2527" operator="equal">
      <formula>0</formula>
    </cfRule>
    <cfRule type="cellIs" dxfId="11639" priority="2528" operator="greaterThan">
      <formula>0</formula>
    </cfRule>
  </conditionalFormatting>
  <conditionalFormatting sqref="W15">
    <cfRule type="cellIs" dxfId="11638" priority="2521" operator="equal">
      <formula>"PMS"</formula>
    </cfRule>
    <cfRule type="containsText" dxfId="11637" priority="2522" operator="containsText" text="CMS">
      <formula>NOT(ISERROR(SEARCH("CMS",W15)))</formula>
    </cfRule>
    <cfRule type="cellIs" dxfId="11636" priority="2523" operator="equal">
      <formula>0</formula>
    </cfRule>
    <cfRule type="cellIs" dxfId="11635" priority="2524" operator="greaterThan">
      <formula>0</formula>
    </cfRule>
  </conditionalFormatting>
  <conditionalFormatting sqref="W15">
    <cfRule type="cellIs" dxfId="11634" priority="2517" operator="equal">
      <formula>"PMS"</formula>
    </cfRule>
    <cfRule type="containsText" dxfId="11633" priority="2518" operator="containsText" text="CMS">
      <formula>NOT(ISERROR(SEARCH("CMS",W15)))</formula>
    </cfRule>
    <cfRule type="cellIs" dxfId="11632" priority="2519" operator="equal">
      <formula>0</formula>
    </cfRule>
    <cfRule type="cellIs" dxfId="11631" priority="2520" operator="greaterThan">
      <formula>0</formula>
    </cfRule>
  </conditionalFormatting>
  <conditionalFormatting sqref="W16">
    <cfRule type="cellIs" dxfId="11630" priority="2513" operator="equal">
      <formula>"PMS"</formula>
    </cfRule>
    <cfRule type="containsText" dxfId="11629" priority="2514" operator="containsText" text="CMS">
      <formula>NOT(ISERROR(SEARCH("CMS",W16)))</formula>
    </cfRule>
    <cfRule type="cellIs" dxfId="11628" priority="2515" operator="equal">
      <formula>0</formula>
    </cfRule>
    <cfRule type="cellIs" dxfId="11627" priority="2516" operator="greaterThan">
      <formula>0</formula>
    </cfRule>
  </conditionalFormatting>
  <conditionalFormatting sqref="W16">
    <cfRule type="cellIs" dxfId="11626" priority="2509" operator="equal">
      <formula>"PMS"</formula>
    </cfRule>
    <cfRule type="containsText" dxfId="11625" priority="2510" operator="containsText" text="CMS">
      <formula>NOT(ISERROR(SEARCH("CMS",W16)))</formula>
    </cfRule>
    <cfRule type="cellIs" dxfId="11624" priority="2511" operator="equal">
      <formula>0</formula>
    </cfRule>
    <cfRule type="cellIs" dxfId="11623" priority="2512" operator="greaterThan">
      <formula>0</formula>
    </cfRule>
  </conditionalFormatting>
  <conditionalFormatting sqref="G56">
    <cfRule type="cellIs" dxfId="11622" priority="2501" operator="equal">
      <formula>"PMS"</formula>
    </cfRule>
    <cfRule type="containsText" dxfId="11621" priority="2502" operator="containsText" text="CMS">
      <formula>NOT(ISERROR(SEARCH("CMS",G56)))</formula>
    </cfRule>
    <cfRule type="cellIs" dxfId="11620" priority="2503" operator="equal">
      <formula>0</formula>
    </cfRule>
    <cfRule type="cellIs" dxfId="11619" priority="2504" operator="greaterThan">
      <formula>0</formula>
    </cfRule>
    <cfRule type="cellIs" dxfId="11618" priority="2505" operator="equal">
      <formula>"PMS"</formula>
    </cfRule>
    <cfRule type="containsText" dxfId="11617" priority="2506" operator="containsText" text="CMS">
      <formula>NOT(ISERROR(SEARCH("CMS",G56)))</formula>
    </cfRule>
    <cfRule type="cellIs" dxfId="11616" priority="2507" operator="equal">
      <formula>0</formula>
    </cfRule>
    <cfRule type="cellIs" dxfId="11615" priority="2508" operator="greaterThan">
      <formula>0</formula>
    </cfRule>
  </conditionalFormatting>
  <conditionalFormatting sqref="G56">
    <cfRule type="cellIs" dxfId="11614" priority="2497" operator="equal">
      <formula>"PMS"</formula>
    </cfRule>
    <cfRule type="containsText" dxfId="11613" priority="2498" operator="containsText" text="CMS">
      <formula>NOT(ISERROR(SEARCH("CMS",G56)))</formula>
    </cfRule>
    <cfRule type="cellIs" dxfId="11612" priority="2499" operator="equal">
      <formula>0</formula>
    </cfRule>
    <cfRule type="cellIs" dxfId="11611" priority="2500" operator="greaterThan">
      <formula>0</formula>
    </cfRule>
  </conditionalFormatting>
  <conditionalFormatting sqref="G56">
    <cfRule type="cellIs" dxfId="11610" priority="2493" operator="equal">
      <formula>"PMS"</formula>
    </cfRule>
    <cfRule type="containsText" dxfId="11609" priority="2494" operator="containsText" text="CMS">
      <formula>NOT(ISERROR(SEARCH("CMS",G56)))</formula>
    </cfRule>
    <cfRule type="cellIs" dxfId="11608" priority="2495" operator="equal">
      <formula>0</formula>
    </cfRule>
    <cfRule type="cellIs" dxfId="11607" priority="2496" operator="greaterThan">
      <formula>0</formula>
    </cfRule>
  </conditionalFormatting>
  <conditionalFormatting sqref="G13:G14">
    <cfRule type="cellIs" dxfId="11606" priority="2485" operator="equal">
      <formula>"PMS"</formula>
    </cfRule>
    <cfRule type="containsText" dxfId="11605" priority="2486" operator="containsText" text="CMS">
      <formula>NOT(ISERROR(SEARCH("CMS",G13)))</formula>
    </cfRule>
    <cfRule type="cellIs" dxfId="11604" priority="2487" operator="equal">
      <formula>0</formula>
    </cfRule>
    <cfRule type="cellIs" dxfId="11603" priority="2488" operator="greaterThan">
      <formula>0</formula>
    </cfRule>
    <cfRule type="cellIs" dxfId="11602" priority="2489" operator="equal">
      <formula>"PMS"</formula>
    </cfRule>
    <cfRule type="containsText" dxfId="11601" priority="2490" operator="containsText" text="CMS">
      <formula>NOT(ISERROR(SEARCH("CMS",G13)))</formula>
    </cfRule>
    <cfRule type="cellIs" dxfId="11600" priority="2491" operator="equal">
      <formula>0</formula>
    </cfRule>
    <cfRule type="cellIs" dxfId="11599" priority="2492" operator="greaterThan">
      <formula>0</formula>
    </cfRule>
  </conditionalFormatting>
  <conditionalFormatting sqref="G13:G14">
    <cfRule type="cellIs" dxfId="11598" priority="2481" operator="equal">
      <formula>"PMS"</formula>
    </cfRule>
    <cfRule type="containsText" dxfId="11597" priority="2482" operator="containsText" text="CMS">
      <formula>NOT(ISERROR(SEARCH("CMS",G13)))</formula>
    </cfRule>
    <cfRule type="cellIs" dxfId="11596" priority="2483" operator="equal">
      <formula>0</formula>
    </cfRule>
    <cfRule type="cellIs" dxfId="11595" priority="2484" operator="greaterThan">
      <formula>0</formula>
    </cfRule>
  </conditionalFormatting>
  <conditionalFormatting sqref="G13:G14">
    <cfRule type="cellIs" dxfId="11594" priority="2477" operator="equal">
      <formula>"PMS"</formula>
    </cfRule>
    <cfRule type="containsText" dxfId="11593" priority="2478" operator="containsText" text="CMS">
      <formula>NOT(ISERROR(SEARCH("CMS",G13)))</formula>
    </cfRule>
    <cfRule type="cellIs" dxfId="11592" priority="2479" operator="equal">
      <formula>0</formula>
    </cfRule>
    <cfRule type="cellIs" dxfId="11591" priority="2480" operator="greaterThan">
      <formula>0</formula>
    </cfRule>
  </conditionalFormatting>
  <conditionalFormatting sqref="G13:G14">
    <cfRule type="cellIs" dxfId="11590" priority="2473" operator="equal">
      <formula>"PMS"</formula>
    </cfRule>
    <cfRule type="containsText" dxfId="11589" priority="2474" operator="containsText" text="CMS">
      <formula>NOT(ISERROR(SEARCH("CMS",G13)))</formula>
    </cfRule>
    <cfRule type="cellIs" dxfId="11588" priority="2475" operator="equal">
      <formula>0</formula>
    </cfRule>
    <cfRule type="cellIs" dxfId="11587" priority="2476" operator="greaterThan">
      <formula>0</formula>
    </cfRule>
  </conditionalFormatting>
  <conditionalFormatting sqref="G13:G14">
    <cfRule type="cellIs" dxfId="11586" priority="2469" operator="equal">
      <formula>"PMS"</formula>
    </cfRule>
    <cfRule type="containsText" dxfId="11585" priority="2470" operator="containsText" text="CMS">
      <formula>NOT(ISERROR(SEARCH("CMS",G13)))</formula>
    </cfRule>
    <cfRule type="cellIs" dxfId="11584" priority="2471" operator="equal">
      <formula>0</formula>
    </cfRule>
    <cfRule type="cellIs" dxfId="11583" priority="2472" operator="greaterThan">
      <formula>0</formula>
    </cfRule>
  </conditionalFormatting>
  <conditionalFormatting sqref="G20">
    <cfRule type="cellIs" dxfId="11582" priority="2461" operator="equal">
      <formula>"PMS"</formula>
    </cfRule>
    <cfRule type="containsText" dxfId="11581" priority="2462" operator="containsText" text="CMS">
      <formula>NOT(ISERROR(SEARCH("CMS",G20)))</formula>
    </cfRule>
    <cfRule type="cellIs" dxfId="11580" priority="2463" operator="equal">
      <formula>0</formula>
    </cfRule>
    <cfRule type="cellIs" dxfId="11579" priority="2464" operator="greaterThan">
      <formula>0</formula>
    </cfRule>
    <cfRule type="cellIs" dxfId="11578" priority="2465" operator="equal">
      <formula>"PMS"</formula>
    </cfRule>
    <cfRule type="containsText" dxfId="11577" priority="2466" operator="containsText" text="CMS">
      <formula>NOT(ISERROR(SEARCH("CMS",G20)))</formula>
    </cfRule>
    <cfRule type="cellIs" dxfId="11576" priority="2467" operator="equal">
      <formula>0</formula>
    </cfRule>
    <cfRule type="cellIs" dxfId="11575" priority="2468" operator="greaterThan">
      <formula>0</formula>
    </cfRule>
  </conditionalFormatting>
  <conditionalFormatting sqref="G20">
    <cfRule type="cellIs" dxfId="11574" priority="2457" operator="equal">
      <formula>"PMS"</formula>
    </cfRule>
    <cfRule type="containsText" dxfId="11573" priority="2458" operator="containsText" text="CMS">
      <formula>NOT(ISERROR(SEARCH("CMS",G20)))</formula>
    </cfRule>
    <cfRule type="cellIs" dxfId="11572" priority="2459" operator="equal">
      <formula>0</formula>
    </cfRule>
    <cfRule type="cellIs" dxfId="11571" priority="2460" operator="greaterThan">
      <formula>0</formula>
    </cfRule>
  </conditionalFormatting>
  <conditionalFormatting sqref="G20">
    <cfRule type="cellIs" dxfId="11570" priority="2453" operator="equal">
      <formula>"PMS"</formula>
    </cfRule>
    <cfRule type="containsText" dxfId="11569" priority="2454" operator="containsText" text="CMS">
      <formula>NOT(ISERROR(SEARCH("CMS",G20)))</formula>
    </cfRule>
    <cfRule type="cellIs" dxfId="11568" priority="2455" operator="equal">
      <formula>0</formula>
    </cfRule>
    <cfRule type="cellIs" dxfId="11567" priority="2456" operator="greaterThan">
      <formula>0</formula>
    </cfRule>
  </conditionalFormatting>
  <conditionalFormatting sqref="G27:G29 J29 M29 P29 S29 V29 AB29">
    <cfRule type="cellIs" dxfId="11566" priority="2445" operator="equal">
      <formula>"PMS"</formula>
    </cfRule>
    <cfRule type="containsText" dxfId="11565" priority="2446" operator="containsText" text="CMS">
      <formula>NOT(ISERROR(SEARCH("CMS",G27)))</formula>
    </cfRule>
    <cfRule type="cellIs" dxfId="11564" priority="2447" operator="equal">
      <formula>0</formula>
    </cfRule>
    <cfRule type="cellIs" dxfId="11563" priority="2448" operator="greaterThan">
      <formula>0</formula>
    </cfRule>
    <cfRule type="cellIs" dxfId="11562" priority="2449" operator="equal">
      <formula>"PMS"</formula>
    </cfRule>
    <cfRule type="containsText" dxfId="11561" priority="2450" operator="containsText" text="CMS">
      <formula>NOT(ISERROR(SEARCH("CMS",G27)))</formula>
    </cfRule>
    <cfRule type="cellIs" dxfId="11560" priority="2451" operator="equal">
      <formula>0</formula>
    </cfRule>
    <cfRule type="cellIs" dxfId="11559" priority="2452" operator="greaterThan">
      <formula>0</formula>
    </cfRule>
  </conditionalFormatting>
  <conditionalFormatting sqref="G27:G29 J29 M29 P29 S29 V29 AB29">
    <cfRule type="cellIs" dxfId="11558" priority="2441" operator="equal">
      <formula>"PMS"</formula>
    </cfRule>
    <cfRule type="containsText" dxfId="11557" priority="2442" operator="containsText" text="CMS">
      <formula>NOT(ISERROR(SEARCH("CMS",G27)))</formula>
    </cfRule>
    <cfRule type="cellIs" dxfId="11556" priority="2443" operator="equal">
      <formula>0</formula>
    </cfRule>
    <cfRule type="cellIs" dxfId="11555" priority="2444" operator="greaterThan">
      <formula>0</formula>
    </cfRule>
  </conditionalFormatting>
  <conditionalFormatting sqref="G27:G29 J29 M29 P29 S29 V29 AB29">
    <cfRule type="cellIs" dxfId="11554" priority="2437" operator="equal">
      <formula>"PMS"</formula>
    </cfRule>
    <cfRule type="containsText" dxfId="11553" priority="2438" operator="containsText" text="CMS">
      <formula>NOT(ISERROR(SEARCH("CMS",G27)))</formula>
    </cfRule>
    <cfRule type="cellIs" dxfId="11552" priority="2439" operator="equal">
      <formula>0</formula>
    </cfRule>
    <cfRule type="cellIs" dxfId="11551" priority="2440" operator="greaterThan">
      <formula>0</formula>
    </cfRule>
  </conditionalFormatting>
  <conditionalFormatting sqref="G45:G46">
    <cfRule type="cellIs" dxfId="11550" priority="2429" operator="equal">
      <formula>"PMS"</formula>
    </cfRule>
    <cfRule type="containsText" dxfId="11549" priority="2430" operator="containsText" text="CMS">
      <formula>NOT(ISERROR(SEARCH("CMS",G45)))</formula>
    </cfRule>
    <cfRule type="cellIs" dxfId="11548" priority="2431" operator="equal">
      <formula>0</formula>
    </cfRule>
    <cfRule type="cellIs" dxfId="11547" priority="2432" operator="greaterThan">
      <formula>0</formula>
    </cfRule>
    <cfRule type="cellIs" dxfId="11546" priority="2433" operator="equal">
      <formula>"PMS"</formula>
    </cfRule>
    <cfRule type="containsText" dxfId="11545" priority="2434" operator="containsText" text="CMS">
      <formula>NOT(ISERROR(SEARCH("CMS",G45)))</formula>
    </cfRule>
    <cfRule type="cellIs" dxfId="11544" priority="2435" operator="equal">
      <formula>0</formula>
    </cfRule>
    <cfRule type="cellIs" dxfId="11543" priority="2436" operator="greaterThan">
      <formula>0</formula>
    </cfRule>
  </conditionalFormatting>
  <conditionalFormatting sqref="G45:G46">
    <cfRule type="cellIs" dxfId="11542" priority="2425" operator="equal">
      <formula>"PMS"</formula>
    </cfRule>
    <cfRule type="containsText" dxfId="11541" priority="2426" operator="containsText" text="CMS">
      <formula>NOT(ISERROR(SEARCH("CMS",G45)))</formula>
    </cfRule>
    <cfRule type="cellIs" dxfId="11540" priority="2427" operator="equal">
      <formula>0</formula>
    </cfRule>
    <cfRule type="cellIs" dxfId="11539" priority="2428" operator="greaterThan">
      <formula>0</formula>
    </cfRule>
  </conditionalFormatting>
  <conditionalFormatting sqref="G45:G46">
    <cfRule type="cellIs" dxfId="11538" priority="2421" operator="equal">
      <formula>"PMS"</formula>
    </cfRule>
    <cfRule type="containsText" dxfId="11537" priority="2422" operator="containsText" text="CMS">
      <formula>NOT(ISERROR(SEARCH("CMS",G45)))</formula>
    </cfRule>
    <cfRule type="cellIs" dxfId="11536" priority="2423" operator="equal">
      <formula>0</formula>
    </cfRule>
    <cfRule type="cellIs" dxfId="11535" priority="2424" operator="greaterThan">
      <formula>0</formula>
    </cfRule>
  </conditionalFormatting>
  <conditionalFormatting sqref="O48:O49">
    <cfRule type="cellIs" dxfId="11534" priority="2417" operator="equal">
      <formula>"PMS"</formula>
    </cfRule>
    <cfRule type="containsText" dxfId="11533" priority="2418" operator="containsText" text="CMS">
      <formula>NOT(ISERROR(SEARCH("CMS",O48)))</formula>
    </cfRule>
    <cfRule type="cellIs" dxfId="11532" priority="2419" operator="equal">
      <formula>0</formula>
    </cfRule>
    <cfRule type="cellIs" dxfId="11531" priority="2420" operator="greaterThan">
      <formula>0</formula>
    </cfRule>
  </conditionalFormatting>
  <conditionalFormatting sqref="O48:O49">
    <cfRule type="cellIs" dxfId="11530" priority="2413" operator="equal">
      <formula>"PMS"</formula>
    </cfRule>
    <cfRule type="containsText" dxfId="11529" priority="2414" operator="containsText" text="CMS">
      <formula>NOT(ISERROR(SEARCH("CMS",O48)))</formula>
    </cfRule>
    <cfRule type="cellIs" dxfId="11528" priority="2415" operator="equal">
      <formula>0</formula>
    </cfRule>
    <cfRule type="cellIs" dxfId="11527" priority="2416" operator="greaterThan">
      <formula>0</formula>
    </cfRule>
  </conditionalFormatting>
  <conditionalFormatting sqref="O48:O49">
    <cfRule type="cellIs" dxfId="11526" priority="2409" operator="equal">
      <formula>"PMS"</formula>
    </cfRule>
    <cfRule type="containsText" dxfId="11525" priority="2410" operator="containsText" text="CMS">
      <formula>NOT(ISERROR(SEARCH("CMS",O48)))</formula>
    </cfRule>
    <cfRule type="cellIs" dxfId="11524" priority="2411" operator="equal">
      <formula>0</formula>
    </cfRule>
    <cfRule type="cellIs" dxfId="11523" priority="2412" operator="greaterThan">
      <formula>0</formula>
    </cfRule>
  </conditionalFormatting>
  <conditionalFormatting sqref="O48:O49">
    <cfRule type="cellIs" dxfId="11522" priority="2405" operator="equal">
      <formula>"PMS"</formula>
    </cfRule>
    <cfRule type="containsText" dxfId="11521" priority="2406" operator="containsText" text="CMS">
      <formula>NOT(ISERROR(SEARCH("CMS",O48)))</formula>
    </cfRule>
    <cfRule type="cellIs" dxfId="11520" priority="2407" operator="equal">
      <formula>0</formula>
    </cfRule>
    <cfRule type="cellIs" dxfId="11519" priority="2408" operator="greaterThan">
      <formula>0</formula>
    </cfRule>
  </conditionalFormatting>
  <conditionalFormatting sqref="O56:P56">
    <cfRule type="cellIs" dxfId="11518" priority="2401" operator="equal">
      <formula>"PMS"</formula>
    </cfRule>
    <cfRule type="containsText" dxfId="11517" priority="2402" operator="containsText" text="CMS">
      <formula>NOT(ISERROR(SEARCH("CMS",O56)))</formula>
    </cfRule>
    <cfRule type="cellIs" dxfId="11516" priority="2403" operator="equal">
      <formula>0</formula>
    </cfRule>
    <cfRule type="cellIs" dxfId="11515" priority="2404" operator="greaterThan">
      <formula>0</formula>
    </cfRule>
  </conditionalFormatting>
  <conditionalFormatting sqref="O56:P56">
    <cfRule type="cellIs" dxfId="11514" priority="2397" operator="equal">
      <formula>"PMS"</formula>
    </cfRule>
    <cfRule type="containsText" dxfId="11513" priority="2398" operator="containsText" text="CMS">
      <formula>NOT(ISERROR(SEARCH("CMS",O56)))</formula>
    </cfRule>
    <cfRule type="cellIs" dxfId="11512" priority="2399" operator="equal">
      <formula>0</formula>
    </cfRule>
    <cfRule type="cellIs" dxfId="11511" priority="2400" operator="greaterThan">
      <formula>0</formula>
    </cfRule>
  </conditionalFormatting>
  <conditionalFormatting sqref="O56:P56">
    <cfRule type="cellIs" dxfId="11510" priority="2393" operator="equal">
      <formula>"PMS"</formula>
    </cfRule>
    <cfRule type="containsText" dxfId="11509" priority="2394" operator="containsText" text="CMS">
      <formula>NOT(ISERROR(SEARCH("CMS",O56)))</formula>
    </cfRule>
    <cfRule type="cellIs" dxfId="11508" priority="2395" operator="equal">
      <formula>0</formula>
    </cfRule>
    <cfRule type="cellIs" dxfId="11507" priority="2396" operator="greaterThan">
      <formula>0</formula>
    </cfRule>
  </conditionalFormatting>
  <conditionalFormatting sqref="O56:P56">
    <cfRule type="cellIs" dxfId="11506" priority="2389" operator="equal">
      <formula>"PMS"</formula>
    </cfRule>
    <cfRule type="containsText" dxfId="11505" priority="2390" operator="containsText" text="CMS">
      <formula>NOT(ISERROR(SEARCH("CMS",O56)))</formula>
    </cfRule>
    <cfRule type="cellIs" dxfId="11504" priority="2391" operator="equal">
      <formula>0</formula>
    </cfRule>
    <cfRule type="cellIs" dxfId="11503" priority="2392" operator="greaterThan">
      <formula>0</formula>
    </cfRule>
  </conditionalFormatting>
  <conditionalFormatting sqref="O57:P57">
    <cfRule type="cellIs" dxfId="11502" priority="2385" operator="equal">
      <formula>"PMS"</formula>
    </cfRule>
    <cfRule type="containsText" dxfId="11501" priority="2386" operator="containsText" text="CMS">
      <formula>NOT(ISERROR(SEARCH("CMS",O57)))</formula>
    </cfRule>
    <cfRule type="cellIs" dxfId="11500" priority="2387" operator="equal">
      <formula>0</formula>
    </cfRule>
    <cfRule type="cellIs" dxfId="11499" priority="2388" operator="greaterThan">
      <formula>0</formula>
    </cfRule>
  </conditionalFormatting>
  <conditionalFormatting sqref="O57:P57">
    <cfRule type="cellIs" dxfId="11498" priority="2381" operator="equal">
      <formula>"PMS"</formula>
    </cfRule>
    <cfRule type="containsText" dxfId="11497" priority="2382" operator="containsText" text="CMS">
      <formula>NOT(ISERROR(SEARCH("CMS",O57)))</formula>
    </cfRule>
    <cfRule type="cellIs" dxfId="11496" priority="2383" operator="equal">
      <formula>0</formula>
    </cfRule>
    <cfRule type="cellIs" dxfId="11495" priority="2384" operator="greaterThan">
      <formula>0</formula>
    </cfRule>
  </conditionalFormatting>
  <conditionalFormatting sqref="O57:P57">
    <cfRule type="cellIs" dxfId="11494" priority="2377" operator="equal">
      <formula>"PMS"</formula>
    </cfRule>
    <cfRule type="containsText" dxfId="11493" priority="2378" operator="containsText" text="CMS">
      <formula>NOT(ISERROR(SEARCH("CMS",O57)))</formula>
    </cfRule>
    <cfRule type="cellIs" dxfId="11492" priority="2379" operator="equal">
      <formula>0</formula>
    </cfRule>
    <cfRule type="cellIs" dxfId="11491" priority="2380" operator="greaterThan">
      <formula>0</formula>
    </cfRule>
  </conditionalFormatting>
  <conditionalFormatting sqref="O57:P57">
    <cfRule type="cellIs" dxfId="11490" priority="2373" operator="equal">
      <formula>"PMS"</formula>
    </cfRule>
    <cfRule type="containsText" dxfId="11489" priority="2374" operator="containsText" text="CMS">
      <formula>NOT(ISERROR(SEARCH("CMS",O57)))</formula>
    </cfRule>
    <cfRule type="cellIs" dxfId="11488" priority="2375" operator="equal">
      <formula>0</formula>
    </cfRule>
    <cfRule type="cellIs" dxfId="11487" priority="2376" operator="greaterThan">
      <formula>0</formula>
    </cfRule>
  </conditionalFormatting>
  <conditionalFormatting sqref="G48:G49">
    <cfRule type="cellIs" dxfId="11486" priority="2365" operator="equal">
      <formula>"PMS"</formula>
    </cfRule>
    <cfRule type="containsText" dxfId="11485" priority="2366" operator="containsText" text="CMS">
      <formula>NOT(ISERROR(SEARCH("CMS",G48)))</formula>
    </cfRule>
    <cfRule type="cellIs" dxfId="11484" priority="2367" operator="equal">
      <formula>0</formula>
    </cfRule>
    <cfRule type="cellIs" dxfId="11483" priority="2368" operator="greaterThan">
      <formula>0</formula>
    </cfRule>
    <cfRule type="cellIs" dxfId="11482" priority="2369" operator="equal">
      <formula>"PMS"</formula>
    </cfRule>
    <cfRule type="containsText" dxfId="11481" priority="2370" operator="containsText" text="CMS">
      <formula>NOT(ISERROR(SEARCH("CMS",G48)))</formula>
    </cfRule>
    <cfRule type="cellIs" dxfId="11480" priority="2371" operator="equal">
      <formula>0</formula>
    </cfRule>
    <cfRule type="cellIs" dxfId="11479" priority="2372" operator="greaterThan">
      <formula>0</formula>
    </cfRule>
  </conditionalFormatting>
  <conditionalFormatting sqref="G48:G49">
    <cfRule type="cellIs" dxfId="11478" priority="2361" operator="equal">
      <formula>"PMS"</formula>
    </cfRule>
    <cfRule type="containsText" dxfId="11477" priority="2362" operator="containsText" text="CMS">
      <formula>NOT(ISERROR(SEARCH("CMS",G48)))</formula>
    </cfRule>
    <cfRule type="cellIs" dxfId="11476" priority="2363" operator="equal">
      <formula>0</formula>
    </cfRule>
    <cfRule type="cellIs" dxfId="11475" priority="2364" operator="greaterThan">
      <formula>0</formula>
    </cfRule>
  </conditionalFormatting>
  <conditionalFormatting sqref="G48:G49">
    <cfRule type="cellIs" dxfId="11474" priority="2357" operator="equal">
      <formula>"PMS"</formula>
    </cfRule>
    <cfRule type="containsText" dxfId="11473" priority="2358" operator="containsText" text="CMS">
      <formula>NOT(ISERROR(SEARCH("CMS",G48)))</formula>
    </cfRule>
    <cfRule type="cellIs" dxfId="11472" priority="2359" operator="equal">
      <formula>0</formula>
    </cfRule>
    <cfRule type="cellIs" dxfId="11471" priority="2360" operator="greaterThan">
      <formula>0</formula>
    </cfRule>
  </conditionalFormatting>
  <conditionalFormatting sqref="G67:G72 G74">
    <cfRule type="cellIs" dxfId="11470" priority="2349" operator="equal">
      <formula>"PMS"</formula>
    </cfRule>
    <cfRule type="containsText" dxfId="11469" priority="2350" operator="containsText" text="CMS">
      <formula>NOT(ISERROR(SEARCH("CMS",G67)))</formula>
    </cfRule>
    <cfRule type="cellIs" dxfId="11468" priority="2351" operator="equal">
      <formula>0</formula>
    </cfRule>
    <cfRule type="cellIs" dxfId="11467" priority="2352" operator="greaterThan">
      <formula>0</formula>
    </cfRule>
    <cfRule type="cellIs" dxfId="11466" priority="2353" operator="equal">
      <formula>"PMS"</formula>
    </cfRule>
    <cfRule type="containsText" dxfId="11465" priority="2354" operator="containsText" text="CMS">
      <formula>NOT(ISERROR(SEARCH("CMS",G67)))</formula>
    </cfRule>
    <cfRule type="cellIs" dxfId="11464" priority="2355" operator="equal">
      <formula>0</formula>
    </cfRule>
    <cfRule type="cellIs" dxfId="11463" priority="2356" operator="greaterThan">
      <formula>0</formula>
    </cfRule>
  </conditionalFormatting>
  <conditionalFormatting sqref="P56 O52:O58">
    <cfRule type="cellIs" dxfId="11462" priority="2345" operator="equal">
      <formula>"PMS"</formula>
    </cfRule>
    <cfRule type="containsText" dxfId="11461" priority="2346" operator="containsText" text="CMS">
      <formula>NOT(ISERROR(SEARCH("CMS",O52)))</formula>
    </cfRule>
    <cfRule type="cellIs" dxfId="11460" priority="2347" operator="equal">
      <formula>0</formula>
    </cfRule>
    <cfRule type="cellIs" dxfId="11459" priority="2348" operator="greaterThan">
      <formula>0</formula>
    </cfRule>
  </conditionalFormatting>
  <conditionalFormatting sqref="G35 I24 I35 J73 G73">
    <cfRule type="cellIs" dxfId="11458" priority="2337" operator="equal">
      <formula>"PMS"</formula>
    </cfRule>
    <cfRule type="containsText" dxfId="11457" priority="2338" operator="containsText" text="CMS">
      <formula>NOT(ISERROR(SEARCH("CMS",G24)))</formula>
    </cfRule>
    <cfRule type="cellIs" dxfId="11456" priority="2339" operator="equal">
      <formula>0</formula>
    </cfRule>
    <cfRule type="cellIs" dxfId="11455" priority="2340" operator="greaterThan">
      <formula>0</formula>
    </cfRule>
    <cfRule type="cellIs" dxfId="11454" priority="2341" operator="equal">
      <formula>"PMS"</formula>
    </cfRule>
    <cfRule type="containsText" dxfId="11453" priority="2342" operator="containsText" text="CMS">
      <formula>NOT(ISERROR(SEARCH("CMS",G24)))</formula>
    </cfRule>
    <cfRule type="cellIs" dxfId="11452" priority="2343" operator="equal">
      <formula>0</formula>
    </cfRule>
    <cfRule type="cellIs" dxfId="11451" priority="2344" operator="greaterThan">
      <formula>0</formula>
    </cfRule>
  </conditionalFormatting>
  <conditionalFormatting sqref="J73 G73">
    <cfRule type="cellIs" dxfId="11450" priority="2333" operator="equal">
      <formula>"PMS"</formula>
    </cfRule>
    <cfRule type="containsText" dxfId="11449" priority="2334" operator="containsText" text="CMS">
      <formula>NOT(ISERROR(SEARCH("CMS",G73)))</formula>
    </cfRule>
    <cfRule type="cellIs" dxfId="11448" priority="2335" operator="equal">
      <formula>0</formula>
    </cfRule>
    <cfRule type="cellIs" dxfId="11447" priority="2336" operator="greaterThan">
      <formula>0</formula>
    </cfRule>
  </conditionalFormatting>
  <conditionalFormatting sqref="J73 G73">
    <cfRule type="cellIs" dxfId="11446" priority="2329" operator="equal">
      <formula>"PMS"</formula>
    </cfRule>
    <cfRule type="containsText" dxfId="11445" priority="2330" operator="containsText" text="CMS">
      <formula>NOT(ISERROR(SEARCH("CMS",G73)))</formula>
    </cfRule>
    <cfRule type="cellIs" dxfId="11444" priority="2331" operator="equal">
      <formula>0</formula>
    </cfRule>
    <cfRule type="cellIs" dxfId="11443" priority="2332" operator="greaterThan">
      <formula>0</formula>
    </cfRule>
  </conditionalFormatting>
  <conditionalFormatting sqref="I24">
    <cfRule type="cellIs" dxfId="11442" priority="2325" operator="equal">
      <formula>"PMS"</formula>
    </cfRule>
    <cfRule type="containsText" dxfId="11441" priority="2326" operator="containsText" text="CMS">
      <formula>NOT(ISERROR(SEARCH("CMS",I24)))</formula>
    </cfRule>
    <cfRule type="cellIs" dxfId="11440" priority="2327" operator="equal">
      <formula>0</formula>
    </cfRule>
    <cfRule type="cellIs" dxfId="11439" priority="2328" operator="greaterThan">
      <formula>0</formula>
    </cfRule>
  </conditionalFormatting>
  <conditionalFormatting sqref="I24">
    <cfRule type="cellIs" dxfId="11438" priority="2321" operator="equal">
      <formula>"PMS"</formula>
    </cfRule>
    <cfRule type="containsText" dxfId="11437" priority="2322" operator="containsText" text="CMS">
      <formula>NOT(ISERROR(SEARCH("CMS",I24)))</formula>
    </cfRule>
    <cfRule type="cellIs" dxfId="11436" priority="2323" operator="equal">
      <formula>0</formula>
    </cfRule>
    <cfRule type="cellIs" dxfId="11435" priority="2324" operator="greaterThan">
      <formula>0</formula>
    </cfRule>
  </conditionalFormatting>
  <conditionalFormatting sqref="G35 I35">
    <cfRule type="cellIs" dxfId="11434" priority="2317" operator="equal">
      <formula>"PMS"</formula>
    </cfRule>
    <cfRule type="containsText" dxfId="11433" priority="2318" operator="containsText" text="CMS">
      <formula>NOT(ISERROR(SEARCH("CMS",G35)))</formula>
    </cfRule>
    <cfRule type="cellIs" dxfId="11432" priority="2319" operator="equal">
      <formula>0</formula>
    </cfRule>
    <cfRule type="cellIs" dxfId="11431" priority="2320" operator="greaterThan">
      <formula>0</formula>
    </cfRule>
  </conditionalFormatting>
  <conditionalFormatting sqref="G35 I35">
    <cfRule type="cellIs" dxfId="11430" priority="2313" operator="equal">
      <formula>"PMS"</formula>
    </cfRule>
    <cfRule type="containsText" dxfId="11429" priority="2314" operator="containsText" text="CMS">
      <formula>NOT(ISERROR(SEARCH("CMS",G35)))</formula>
    </cfRule>
    <cfRule type="cellIs" dxfId="11428" priority="2315" operator="equal">
      <formula>0</formula>
    </cfRule>
    <cfRule type="cellIs" dxfId="11427" priority="2316" operator="greaterThan">
      <formula>0</formula>
    </cfRule>
  </conditionalFormatting>
  <conditionalFormatting sqref="G19">
    <cfRule type="cellIs" dxfId="11426" priority="2305" operator="equal">
      <formula>"PMS"</formula>
    </cfRule>
    <cfRule type="containsText" dxfId="11425" priority="2306" operator="containsText" text="CMS">
      <formula>NOT(ISERROR(SEARCH("CMS",G19)))</formula>
    </cfRule>
    <cfRule type="cellIs" dxfId="11424" priority="2307" operator="equal">
      <formula>0</formula>
    </cfRule>
    <cfRule type="cellIs" dxfId="11423" priority="2308" operator="greaterThan">
      <formula>0</formula>
    </cfRule>
    <cfRule type="cellIs" dxfId="11422" priority="2309" operator="equal">
      <formula>"PMS"</formula>
    </cfRule>
    <cfRule type="containsText" dxfId="11421" priority="2310" operator="containsText" text="CMS">
      <formula>NOT(ISERROR(SEARCH("CMS",G19)))</formula>
    </cfRule>
    <cfRule type="cellIs" dxfId="11420" priority="2311" operator="equal">
      <formula>0</formula>
    </cfRule>
    <cfRule type="cellIs" dxfId="11419" priority="2312" operator="greaterThan">
      <formula>0</formula>
    </cfRule>
  </conditionalFormatting>
  <conditionalFormatting sqref="G19">
    <cfRule type="cellIs" dxfId="11418" priority="2301" operator="equal">
      <formula>"PMS"</formula>
    </cfRule>
    <cfRule type="containsText" dxfId="11417" priority="2302" operator="containsText" text="CMS">
      <formula>NOT(ISERROR(SEARCH("CMS",G19)))</formula>
    </cfRule>
    <cfRule type="cellIs" dxfId="11416" priority="2303" operator="equal">
      <formula>0</formula>
    </cfRule>
    <cfRule type="cellIs" dxfId="11415" priority="2304" operator="greaterThan">
      <formula>0</formula>
    </cfRule>
  </conditionalFormatting>
  <conditionalFormatting sqref="G19">
    <cfRule type="cellIs" dxfId="11414" priority="2297" operator="equal">
      <formula>"PMS"</formula>
    </cfRule>
    <cfRule type="containsText" dxfId="11413" priority="2298" operator="containsText" text="CMS">
      <formula>NOT(ISERROR(SEARCH("CMS",G19)))</formula>
    </cfRule>
    <cfRule type="cellIs" dxfId="11412" priority="2299" operator="equal">
      <formula>0</formula>
    </cfRule>
    <cfRule type="cellIs" dxfId="11411" priority="2300" operator="greaterThan">
      <formula>0</formula>
    </cfRule>
  </conditionalFormatting>
  <conditionalFormatting sqref="O52:O55">
    <cfRule type="cellIs" dxfId="11410" priority="2293" operator="equal">
      <formula>"PMS"</formula>
    </cfRule>
    <cfRule type="containsText" dxfId="11409" priority="2294" operator="containsText" text="CMS">
      <formula>NOT(ISERROR(SEARCH("CMS",O52)))</formula>
    </cfRule>
    <cfRule type="cellIs" dxfId="11408" priority="2295" operator="equal">
      <formula>0</formula>
    </cfRule>
    <cfRule type="cellIs" dxfId="11407" priority="2296" operator="greaterThan">
      <formula>0</formula>
    </cfRule>
  </conditionalFormatting>
  <conditionalFormatting sqref="K61 K63">
    <cfRule type="cellIs" dxfId="11406" priority="2285" operator="equal">
      <formula>"PMS"</formula>
    </cfRule>
    <cfRule type="containsText" dxfId="11405" priority="2286" operator="containsText" text="CMS">
      <formula>NOT(ISERROR(SEARCH("CMS",K61)))</formula>
    </cfRule>
    <cfRule type="cellIs" dxfId="11404" priority="2287" operator="equal">
      <formula>0</formula>
    </cfRule>
    <cfRule type="cellIs" dxfId="11403" priority="2288" operator="greaterThan">
      <formula>0</formula>
    </cfRule>
    <cfRule type="cellIs" dxfId="11402" priority="2289" operator="equal">
      <formula>"PMS"</formula>
    </cfRule>
    <cfRule type="containsText" dxfId="11401" priority="2290" operator="containsText" text="CMS">
      <formula>NOT(ISERROR(SEARCH("CMS",K61)))</formula>
    </cfRule>
    <cfRule type="cellIs" dxfId="11400" priority="2291" operator="equal">
      <formula>0</formula>
    </cfRule>
    <cfRule type="cellIs" dxfId="11399" priority="2292" operator="greaterThan">
      <formula>0</formula>
    </cfRule>
  </conditionalFormatting>
  <conditionalFormatting sqref="O47:P47">
    <cfRule type="cellIs" dxfId="11398" priority="2281" operator="equal">
      <formula>"PMS"</formula>
    </cfRule>
    <cfRule type="containsText" dxfId="11397" priority="2282" operator="containsText" text="CMS">
      <formula>NOT(ISERROR(SEARCH("CMS",O47)))</formula>
    </cfRule>
    <cfRule type="cellIs" dxfId="11396" priority="2283" operator="equal">
      <formula>0</formula>
    </cfRule>
    <cfRule type="cellIs" dxfId="11395" priority="2284" operator="greaterThan">
      <formula>0</formula>
    </cfRule>
  </conditionalFormatting>
  <conditionalFormatting sqref="O16:P16">
    <cfRule type="cellIs" dxfId="11394" priority="2277" operator="equal">
      <formula>"PMS"</formula>
    </cfRule>
    <cfRule type="containsText" dxfId="11393" priority="2278" operator="containsText" text="CMS">
      <formula>NOT(ISERROR(SEARCH("CMS",O16)))</formula>
    </cfRule>
    <cfRule type="cellIs" dxfId="11392" priority="2279" operator="equal">
      <formula>0</formula>
    </cfRule>
    <cfRule type="cellIs" dxfId="11391" priority="2280" operator="greaterThan">
      <formula>0</formula>
    </cfRule>
  </conditionalFormatting>
  <conditionalFormatting sqref="P57">
    <cfRule type="cellIs" dxfId="11390" priority="2273" operator="equal">
      <formula>"PMS"</formula>
    </cfRule>
    <cfRule type="containsText" dxfId="11389" priority="2274" operator="containsText" text="CMS">
      <formula>NOT(ISERROR(SEARCH("CMS",P57)))</formula>
    </cfRule>
    <cfRule type="cellIs" dxfId="11388" priority="2275" operator="equal">
      <formula>0</formula>
    </cfRule>
    <cfRule type="cellIs" dxfId="11387" priority="2276" operator="greaterThan">
      <formula>0</formula>
    </cfRule>
  </conditionalFormatting>
  <conditionalFormatting sqref="P57">
    <cfRule type="cellIs" dxfId="11386" priority="2269" operator="equal">
      <formula>"PMS"</formula>
    </cfRule>
    <cfRule type="containsText" dxfId="11385" priority="2270" operator="containsText" text="CMS">
      <formula>NOT(ISERROR(SEARCH("CMS",P57)))</formula>
    </cfRule>
    <cfRule type="cellIs" dxfId="11384" priority="2271" operator="equal">
      <formula>0</formula>
    </cfRule>
    <cfRule type="cellIs" dxfId="11383" priority="2272" operator="greaterThan">
      <formula>0</formula>
    </cfRule>
  </conditionalFormatting>
  <conditionalFormatting sqref="P57">
    <cfRule type="cellIs" dxfId="11382" priority="2265" operator="equal">
      <formula>"PMS"</formula>
    </cfRule>
    <cfRule type="containsText" dxfId="11381" priority="2266" operator="containsText" text="CMS">
      <formula>NOT(ISERROR(SEARCH("CMS",P57)))</formula>
    </cfRule>
    <cfRule type="cellIs" dxfId="11380" priority="2267" operator="equal">
      <formula>0</formula>
    </cfRule>
    <cfRule type="cellIs" dxfId="11379" priority="2268" operator="greaterThan">
      <formula>0</formula>
    </cfRule>
  </conditionalFormatting>
  <conditionalFormatting sqref="P57:P58">
    <cfRule type="cellIs" dxfId="11378" priority="2261" operator="equal">
      <formula>"PMS"</formula>
    </cfRule>
    <cfRule type="containsText" dxfId="11377" priority="2262" operator="containsText" text="CMS">
      <formula>NOT(ISERROR(SEARCH("CMS",P57)))</formula>
    </cfRule>
    <cfRule type="cellIs" dxfId="11376" priority="2263" operator="equal">
      <formula>0</formula>
    </cfRule>
    <cfRule type="cellIs" dxfId="11375" priority="2264" operator="greaterThan">
      <formula>0</formula>
    </cfRule>
  </conditionalFormatting>
  <conditionalFormatting sqref="AB24">
    <cfRule type="cellIs" dxfId="11374" priority="2257" operator="equal">
      <formula>"PMS"</formula>
    </cfRule>
    <cfRule type="containsText" dxfId="11373" priority="2258" operator="containsText" text="CMS">
      <formula>NOT(ISERROR(SEARCH("CMS",AB24)))</formula>
    </cfRule>
    <cfRule type="cellIs" dxfId="11372" priority="2259" operator="equal">
      <formula>0</formula>
    </cfRule>
    <cfRule type="cellIs" dxfId="11371" priority="2260" operator="greaterThan">
      <formula>0</formula>
    </cfRule>
  </conditionalFormatting>
  <conditionalFormatting sqref="AB24">
    <cfRule type="cellIs" dxfId="11370" priority="2253" operator="equal">
      <formula>"PMS"</formula>
    </cfRule>
    <cfRule type="containsText" dxfId="11369" priority="2254" operator="containsText" text="CMS">
      <formula>NOT(ISERROR(SEARCH("CMS",AB24)))</formula>
    </cfRule>
    <cfRule type="cellIs" dxfId="11368" priority="2255" operator="equal">
      <formula>0</formula>
    </cfRule>
    <cfRule type="cellIs" dxfId="11367" priority="2256" operator="greaterThan">
      <formula>0</formula>
    </cfRule>
  </conditionalFormatting>
  <conditionalFormatting sqref="L29 O29 R29 AA29 X29:Y29 T29:U29">
    <cfRule type="cellIs" dxfId="11366" priority="2245" operator="equal">
      <formula>"PMS"</formula>
    </cfRule>
    <cfRule type="containsText" dxfId="11365" priority="2246" operator="containsText" text="CMS">
      <formula>NOT(ISERROR(SEARCH("CMS",L29)))</formula>
    </cfRule>
    <cfRule type="cellIs" dxfId="11364" priority="2247" operator="equal">
      <formula>0</formula>
    </cfRule>
    <cfRule type="cellIs" dxfId="11363" priority="2248" operator="greaterThan">
      <formula>0</formula>
    </cfRule>
    <cfRule type="cellIs" dxfId="11362" priority="2249" operator="equal">
      <formula>"PMS"</formula>
    </cfRule>
    <cfRule type="containsText" dxfId="11361" priority="2250" operator="containsText" text="CMS">
      <formula>NOT(ISERROR(SEARCH("CMS",L29)))</formula>
    </cfRule>
    <cfRule type="cellIs" dxfId="11360" priority="2251" operator="equal">
      <formula>0</formula>
    </cfRule>
    <cfRule type="cellIs" dxfId="11359" priority="2252" operator="greaterThan">
      <formula>0</formula>
    </cfRule>
  </conditionalFormatting>
  <conditionalFormatting sqref="L29 O29 R29 AA29 X29:Y29 T29:U29">
    <cfRule type="cellIs" dxfId="11358" priority="2241" operator="equal">
      <formula>"PMS"</formula>
    </cfRule>
    <cfRule type="containsText" dxfId="11357" priority="2242" operator="containsText" text="CMS">
      <formula>NOT(ISERROR(SEARCH("CMS",L29)))</formula>
    </cfRule>
    <cfRule type="cellIs" dxfId="11356" priority="2243" operator="equal">
      <formula>0</formula>
    </cfRule>
    <cfRule type="cellIs" dxfId="11355" priority="2244" operator="greaterThan">
      <formula>0</formula>
    </cfRule>
  </conditionalFormatting>
  <conditionalFormatting sqref="L29 O29 R29 AA29 X29:Y29 T29:U29">
    <cfRule type="cellIs" dxfId="11354" priority="2237" operator="equal">
      <formula>"PMS"</formula>
    </cfRule>
    <cfRule type="containsText" dxfId="11353" priority="2238" operator="containsText" text="CMS">
      <formula>NOT(ISERROR(SEARCH("CMS",L29)))</formula>
    </cfRule>
    <cfRule type="cellIs" dxfId="11352" priority="2239" operator="equal">
      <formula>0</formula>
    </cfRule>
    <cfRule type="cellIs" dxfId="11351" priority="2240" operator="greaterThan">
      <formula>0</formula>
    </cfRule>
  </conditionalFormatting>
  <conditionalFormatting sqref="K29 N29 Q29 W29 Z29 AC29">
    <cfRule type="cellIs" dxfId="11350" priority="2229" operator="equal">
      <formula>"PMS"</formula>
    </cfRule>
    <cfRule type="containsText" dxfId="11349" priority="2230" operator="containsText" text="CMS">
      <formula>NOT(ISERROR(SEARCH("CMS",K29)))</formula>
    </cfRule>
    <cfRule type="cellIs" dxfId="11348" priority="2231" operator="equal">
      <formula>0</formula>
    </cfRule>
    <cfRule type="cellIs" dxfId="11347" priority="2232" operator="greaterThan">
      <formula>0</formula>
    </cfRule>
    <cfRule type="cellIs" dxfId="11346" priority="2233" operator="equal">
      <formula>"PMS"</formula>
    </cfRule>
    <cfRule type="containsText" dxfId="11345" priority="2234" operator="containsText" text="CMS">
      <formula>NOT(ISERROR(SEARCH("CMS",K29)))</formula>
    </cfRule>
    <cfRule type="cellIs" dxfId="11344" priority="2235" operator="equal">
      <formula>0</formula>
    </cfRule>
    <cfRule type="cellIs" dxfId="11343" priority="2236" operator="greaterThan">
      <formula>0</formula>
    </cfRule>
  </conditionalFormatting>
  <conditionalFormatting sqref="G81:AC81">
    <cfRule type="cellIs" dxfId="11342" priority="2221" operator="equal">
      <formula>"PMS"</formula>
    </cfRule>
    <cfRule type="containsText" dxfId="11341" priority="2222" operator="containsText" text="CMS">
      <formula>NOT(ISERROR(SEARCH("CMS",G81)))</formula>
    </cfRule>
    <cfRule type="cellIs" dxfId="11340" priority="2223" operator="equal">
      <formula>0</formula>
    </cfRule>
    <cfRule type="cellIs" dxfId="11339" priority="2224" operator="greaterThan">
      <formula>0</formula>
    </cfRule>
    <cfRule type="cellIs" dxfId="11338" priority="2225" operator="equal">
      <formula>"PMS"</formula>
    </cfRule>
    <cfRule type="containsText" dxfId="11337" priority="2226" operator="containsText" text="CMS">
      <formula>NOT(ISERROR(SEARCH("CMS",G81)))</formula>
    </cfRule>
    <cfRule type="cellIs" dxfId="11336" priority="2227" operator="equal">
      <formula>0</formula>
    </cfRule>
    <cfRule type="cellIs" dxfId="11335" priority="2228" operator="greaterThan">
      <formula>0</formula>
    </cfRule>
  </conditionalFormatting>
  <conditionalFormatting sqref="G81:AC81">
    <cfRule type="cellIs" dxfId="11334" priority="2217" operator="equal">
      <formula>"PMS"</formula>
    </cfRule>
    <cfRule type="containsText" dxfId="11333" priority="2218" operator="containsText" text="CMS">
      <formula>NOT(ISERROR(SEARCH("CMS",G81)))</formula>
    </cfRule>
    <cfRule type="cellIs" dxfId="11332" priority="2219" operator="equal">
      <formula>0</formula>
    </cfRule>
    <cfRule type="cellIs" dxfId="11331" priority="2220" operator="greaterThan">
      <formula>0</formula>
    </cfRule>
  </conditionalFormatting>
  <conditionalFormatting sqref="G51:G52 I51:M52">
    <cfRule type="cellIs" dxfId="11330" priority="2209" operator="equal">
      <formula>"PMS"</formula>
    </cfRule>
    <cfRule type="containsText" dxfId="11329" priority="2210" operator="containsText" text="CMS">
      <formula>NOT(ISERROR(SEARCH("CMS",G51)))</formula>
    </cfRule>
    <cfRule type="cellIs" dxfId="11328" priority="2211" operator="equal">
      <formula>0</formula>
    </cfRule>
    <cfRule type="cellIs" dxfId="11327" priority="2212" operator="greaterThan">
      <formula>0</formula>
    </cfRule>
    <cfRule type="cellIs" dxfId="11326" priority="2213" operator="equal">
      <formula>"PMS"</formula>
    </cfRule>
    <cfRule type="containsText" dxfId="11325" priority="2214" operator="containsText" text="CMS">
      <formula>NOT(ISERROR(SEARCH("CMS",G51)))</formula>
    </cfRule>
    <cfRule type="cellIs" dxfId="11324" priority="2215" operator="equal">
      <formula>0</formula>
    </cfRule>
    <cfRule type="cellIs" dxfId="11323" priority="2216" operator="greaterThan">
      <formula>0</formula>
    </cfRule>
  </conditionalFormatting>
  <conditionalFormatting sqref="G51:G52 I51:M52">
    <cfRule type="cellIs" dxfId="11322" priority="2205" operator="equal">
      <formula>"PMS"</formula>
    </cfRule>
    <cfRule type="containsText" dxfId="11321" priority="2206" operator="containsText" text="CMS">
      <formula>NOT(ISERROR(SEARCH("CMS",G51)))</formula>
    </cfRule>
    <cfRule type="cellIs" dxfId="11320" priority="2207" operator="equal">
      <formula>0</formula>
    </cfRule>
    <cfRule type="cellIs" dxfId="11319" priority="2208" operator="greaterThan">
      <formula>0</formula>
    </cfRule>
  </conditionalFormatting>
  <conditionalFormatting sqref="G51:G52 I51:M52">
    <cfRule type="cellIs" dxfId="11318" priority="2201" operator="equal">
      <formula>"PMS"</formula>
    </cfRule>
    <cfRule type="containsText" dxfId="11317" priority="2202" operator="containsText" text="CMS">
      <formula>NOT(ISERROR(SEARCH("CMS",G51)))</formula>
    </cfRule>
    <cfRule type="cellIs" dxfId="11316" priority="2203" operator="equal">
      <formula>0</formula>
    </cfRule>
    <cfRule type="cellIs" dxfId="11315" priority="2204" operator="greaterThan">
      <formula>0</formula>
    </cfRule>
  </conditionalFormatting>
  <conditionalFormatting sqref="G57:G58">
    <cfRule type="cellIs" dxfId="11314" priority="2193" operator="equal">
      <formula>"PMS"</formula>
    </cfRule>
    <cfRule type="containsText" dxfId="11313" priority="2194" operator="containsText" text="CMS">
      <formula>NOT(ISERROR(SEARCH("CMS",G57)))</formula>
    </cfRule>
    <cfRule type="cellIs" dxfId="11312" priority="2195" operator="equal">
      <formula>0</formula>
    </cfRule>
    <cfRule type="cellIs" dxfId="11311" priority="2196" operator="greaterThan">
      <formula>0</formula>
    </cfRule>
    <cfRule type="cellIs" dxfId="11310" priority="2197" operator="equal">
      <formula>"PMS"</formula>
    </cfRule>
    <cfRule type="containsText" dxfId="11309" priority="2198" operator="containsText" text="CMS">
      <formula>NOT(ISERROR(SEARCH("CMS",G57)))</formula>
    </cfRule>
    <cfRule type="cellIs" dxfId="11308" priority="2199" operator="equal">
      <formula>0</formula>
    </cfRule>
    <cfRule type="cellIs" dxfId="11307" priority="2200" operator="greaterThan">
      <formula>0</formula>
    </cfRule>
  </conditionalFormatting>
  <conditionalFormatting sqref="G57:G58">
    <cfRule type="cellIs" dxfId="11306" priority="2189" operator="equal">
      <formula>"PMS"</formula>
    </cfRule>
    <cfRule type="containsText" dxfId="11305" priority="2190" operator="containsText" text="CMS">
      <formula>NOT(ISERROR(SEARCH("CMS",G57)))</formula>
    </cfRule>
    <cfRule type="cellIs" dxfId="11304" priority="2191" operator="equal">
      <formula>0</formula>
    </cfRule>
    <cfRule type="cellIs" dxfId="11303" priority="2192" operator="greaterThan">
      <formula>0</formula>
    </cfRule>
  </conditionalFormatting>
  <conditionalFormatting sqref="G57:G58">
    <cfRule type="cellIs" dxfId="11302" priority="2185" operator="equal">
      <formula>"PMS"</formula>
    </cfRule>
    <cfRule type="containsText" dxfId="11301" priority="2186" operator="containsText" text="CMS">
      <formula>NOT(ISERROR(SEARCH("CMS",G57)))</formula>
    </cfRule>
    <cfRule type="cellIs" dxfId="11300" priority="2187" operator="equal">
      <formula>0</formula>
    </cfRule>
    <cfRule type="cellIs" dxfId="11299" priority="2188" operator="greaterThan">
      <formula>0</formula>
    </cfRule>
  </conditionalFormatting>
  <conditionalFormatting sqref="G32 I32:AC32">
    <cfRule type="cellIs" dxfId="11298" priority="2177" operator="equal">
      <formula>"PMS"</formula>
    </cfRule>
    <cfRule type="containsText" dxfId="11297" priority="2178" operator="containsText" text="CMS">
      <formula>NOT(ISERROR(SEARCH("CMS",G32)))</formula>
    </cfRule>
    <cfRule type="cellIs" dxfId="11296" priority="2179" operator="equal">
      <formula>0</formula>
    </cfRule>
    <cfRule type="cellIs" dxfId="11295" priority="2180" operator="greaterThan">
      <formula>0</formula>
    </cfRule>
    <cfRule type="cellIs" dxfId="11294" priority="2181" operator="equal">
      <formula>"PMS"</formula>
    </cfRule>
    <cfRule type="containsText" dxfId="11293" priority="2182" operator="containsText" text="CMS">
      <formula>NOT(ISERROR(SEARCH("CMS",G32)))</formula>
    </cfRule>
    <cfRule type="cellIs" dxfId="11292" priority="2183" operator="equal">
      <formula>0</formula>
    </cfRule>
    <cfRule type="cellIs" dxfId="11291" priority="2184" operator="greaterThan">
      <formula>0</formula>
    </cfRule>
  </conditionalFormatting>
  <conditionalFormatting sqref="G32 I32:AC32">
    <cfRule type="cellIs" dxfId="11290" priority="2173" operator="equal">
      <formula>"PMS"</formula>
    </cfRule>
    <cfRule type="containsText" dxfId="11289" priority="2174" operator="containsText" text="CMS">
      <formula>NOT(ISERROR(SEARCH("CMS",G32)))</formula>
    </cfRule>
    <cfRule type="cellIs" dxfId="11288" priority="2175" operator="equal">
      <formula>0</formula>
    </cfRule>
    <cfRule type="cellIs" dxfId="11287" priority="2176" operator="greaterThan">
      <formula>0</formula>
    </cfRule>
  </conditionalFormatting>
  <conditionalFormatting sqref="G32 I32:AC32">
    <cfRule type="cellIs" dxfId="11286" priority="2169" operator="equal">
      <formula>"PMS"</formula>
    </cfRule>
    <cfRule type="containsText" dxfId="11285" priority="2170" operator="containsText" text="CMS">
      <formula>NOT(ISERROR(SEARCH("CMS",G32)))</formula>
    </cfRule>
    <cfRule type="cellIs" dxfId="11284" priority="2171" operator="equal">
      <formula>0</formula>
    </cfRule>
    <cfRule type="cellIs" dxfId="11283" priority="2172" operator="greaterThan">
      <formula>0</formula>
    </cfRule>
  </conditionalFormatting>
  <conditionalFormatting sqref="F81">
    <cfRule type="cellIs" dxfId="11282" priority="2161" operator="equal">
      <formula>"PMS"</formula>
    </cfRule>
    <cfRule type="containsText" dxfId="11281" priority="2162" operator="containsText" text="CMS">
      <formula>NOT(ISERROR(SEARCH("CMS",F81)))</formula>
    </cfRule>
    <cfRule type="cellIs" dxfId="11280" priority="2163" operator="equal">
      <formula>0</formula>
    </cfRule>
    <cfRule type="cellIs" dxfId="11279" priority="2164" operator="greaterThan">
      <formula>0</formula>
    </cfRule>
    <cfRule type="cellIs" dxfId="11278" priority="2165" operator="equal">
      <formula>"PMS"</formula>
    </cfRule>
    <cfRule type="containsText" dxfId="11277" priority="2166" operator="containsText" text="CMS">
      <formula>NOT(ISERROR(SEARCH("CMS",F81)))</formula>
    </cfRule>
    <cfRule type="cellIs" dxfId="11276" priority="2167" operator="equal">
      <formula>0</formula>
    </cfRule>
    <cfRule type="cellIs" dxfId="11275" priority="2168" operator="greaterThan">
      <formula>0</formula>
    </cfRule>
  </conditionalFormatting>
  <conditionalFormatting sqref="F81">
    <cfRule type="cellIs" dxfId="11274" priority="2157" operator="equal">
      <formula>"PMS"</formula>
    </cfRule>
    <cfRule type="containsText" dxfId="11273" priority="2158" operator="containsText" text="CMS">
      <formula>NOT(ISERROR(SEARCH("CMS",F81)))</formula>
    </cfRule>
    <cfRule type="cellIs" dxfId="11272" priority="2159" operator="equal">
      <formula>0</formula>
    </cfRule>
    <cfRule type="cellIs" dxfId="11271" priority="2160" operator="greaterThan">
      <formula>0</formula>
    </cfRule>
  </conditionalFormatting>
  <conditionalFormatting sqref="H13:H16">
    <cfRule type="cellIs" dxfId="11270" priority="2149" operator="equal">
      <formula>"PMS"</formula>
    </cfRule>
    <cfRule type="containsText" dxfId="11269" priority="2150" operator="containsText" text="CMS">
      <formula>NOT(ISERROR(SEARCH("CMS",H13)))</formula>
    </cfRule>
    <cfRule type="cellIs" dxfId="11268" priority="2151" operator="equal">
      <formula>0</formula>
    </cfRule>
    <cfRule type="cellIs" dxfId="11267" priority="2152" operator="greaterThan">
      <formula>0</formula>
    </cfRule>
    <cfRule type="cellIs" dxfId="11266" priority="2153" operator="equal">
      <formula>"PMS"</formula>
    </cfRule>
    <cfRule type="containsText" dxfId="11265" priority="2154" operator="containsText" text="CMS">
      <formula>NOT(ISERROR(SEARCH("CMS",H13)))</formula>
    </cfRule>
    <cfRule type="cellIs" dxfId="11264" priority="2155" operator="equal">
      <formula>0</formula>
    </cfRule>
    <cfRule type="cellIs" dxfId="11263" priority="2156" operator="greaterThan">
      <formula>0</formula>
    </cfRule>
  </conditionalFormatting>
  <conditionalFormatting sqref="H13:H16">
    <cfRule type="cellIs" dxfId="11262" priority="2145" operator="equal">
      <formula>"PMS"</formula>
    </cfRule>
    <cfRule type="containsText" dxfId="11261" priority="2146" operator="containsText" text="CMS">
      <formula>NOT(ISERROR(SEARCH("CMS",H13)))</formula>
    </cfRule>
    <cfRule type="cellIs" dxfId="11260" priority="2147" operator="equal">
      <formula>0</formula>
    </cfRule>
    <cfRule type="cellIs" dxfId="11259" priority="2148" operator="greaterThan">
      <formula>0</formula>
    </cfRule>
  </conditionalFormatting>
  <conditionalFormatting sqref="H13:H16">
    <cfRule type="cellIs" dxfId="11258" priority="2141" operator="equal">
      <formula>"PMS"</formula>
    </cfRule>
    <cfRule type="containsText" dxfId="11257" priority="2142" operator="containsText" text="CMS">
      <formula>NOT(ISERROR(SEARCH("CMS",H13)))</formula>
    </cfRule>
    <cfRule type="cellIs" dxfId="11256" priority="2143" operator="equal">
      <formula>0</formula>
    </cfRule>
    <cfRule type="cellIs" dxfId="11255" priority="2144" operator="greaterThan">
      <formula>0</formula>
    </cfRule>
  </conditionalFormatting>
  <conditionalFormatting sqref="H13">
    <cfRule type="cellIs" dxfId="11254" priority="2137" operator="equal">
      <formula>"PMS"</formula>
    </cfRule>
    <cfRule type="containsText" dxfId="11253" priority="2138" operator="containsText" text="CMS">
      <formula>NOT(ISERROR(SEARCH("CMS",H13)))</formula>
    </cfRule>
    <cfRule type="cellIs" dxfId="11252" priority="2139" operator="equal">
      <formula>0</formula>
    </cfRule>
    <cfRule type="cellIs" dxfId="11251" priority="2140" operator="greaterThan">
      <formula>0</formula>
    </cfRule>
  </conditionalFormatting>
  <conditionalFormatting sqref="H13">
    <cfRule type="cellIs" dxfId="11250" priority="2133" operator="equal">
      <formula>"PMS"</formula>
    </cfRule>
    <cfRule type="containsText" dxfId="11249" priority="2134" operator="containsText" text="CMS">
      <formula>NOT(ISERROR(SEARCH("CMS",H13)))</formula>
    </cfRule>
    <cfRule type="cellIs" dxfId="11248" priority="2135" operator="equal">
      <formula>0</formula>
    </cfRule>
    <cfRule type="cellIs" dxfId="11247" priority="2136" operator="greaterThan">
      <formula>0</formula>
    </cfRule>
  </conditionalFormatting>
  <conditionalFormatting sqref="H20:H21">
    <cfRule type="cellIs" dxfId="11246" priority="2125" operator="equal">
      <formula>"PMS"</formula>
    </cfRule>
    <cfRule type="containsText" dxfId="11245" priority="2126" operator="containsText" text="CMS">
      <formula>NOT(ISERROR(SEARCH("CMS",H20)))</formula>
    </cfRule>
    <cfRule type="cellIs" dxfId="11244" priority="2127" operator="equal">
      <formula>0</formula>
    </cfRule>
    <cfRule type="cellIs" dxfId="11243" priority="2128" operator="greaterThan">
      <formula>0</formula>
    </cfRule>
    <cfRule type="cellIs" dxfId="11242" priority="2129" operator="equal">
      <formula>"PMS"</formula>
    </cfRule>
    <cfRule type="containsText" dxfId="11241" priority="2130" operator="containsText" text="CMS">
      <formula>NOT(ISERROR(SEARCH("CMS",H20)))</formula>
    </cfRule>
    <cfRule type="cellIs" dxfId="11240" priority="2131" operator="equal">
      <formula>0</formula>
    </cfRule>
    <cfRule type="cellIs" dxfId="11239" priority="2132" operator="greaterThan">
      <formula>0</formula>
    </cfRule>
  </conditionalFormatting>
  <conditionalFormatting sqref="H20:H21">
    <cfRule type="cellIs" dxfId="11238" priority="2121" operator="equal">
      <formula>"PMS"</formula>
    </cfRule>
    <cfRule type="containsText" dxfId="11237" priority="2122" operator="containsText" text="CMS">
      <formula>NOT(ISERROR(SEARCH("CMS",H20)))</formula>
    </cfRule>
    <cfRule type="cellIs" dxfId="11236" priority="2123" operator="equal">
      <formula>0</formula>
    </cfRule>
    <cfRule type="cellIs" dxfId="11235" priority="2124" operator="greaterThan">
      <formula>0</formula>
    </cfRule>
  </conditionalFormatting>
  <conditionalFormatting sqref="H20:H21">
    <cfRule type="cellIs" dxfId="11234" priority="2117" operator="equal">
      <formula>"PMS"</formula>
    </cfRule>
    <cfRule type="containsText" dxfId="11233" priority="2118" operator="containsText" text="CMS">
      <formula>NOT(ISERROR(SEARCH("CMS",H20)))</formula>
    </cfRule>
    <cfRule type="cellIs" dxfId="11232" priority="2119" operator="equal">
      <formula>0</formula>
    </cfRule>
    <cfRule type="cellIs" dxfId="11231" priority="2120" operator="greaterThan">
      <formula>0</formula>
    </cfRule>
  </conditionalFormatting>
  <conditionalFormatting sqref="H19">
    <cfRule type="cellIs" dxfId="11230" priority="2113" operator="equal">
      <formula>"CMS"</formula>
    </cfRule>
    <cfRule type="cellIs" dxfId="11229" priority="2114" operator="equal">
      <formula>"PMS"</formula>
    </cfRule>
    <cfRule type="cellIs" dxfId="11228" priority="2115" operator="greaterThan">
      <formula>0</formula>
    </cfRule>
    <cfRule type="cellIs" dxfId="11227" priority="2116" operator="equal">
      <formula>0</formula>
    </cfRule>
  </conditionalFormatting>
  <conditionalFormatting sqref="H24">
    <cfRule type="cellIs" dxfId="11226" priority="2105" operator="equal">
      <formula>"PMS"</formula>
    </cfRule>
    <cfRule type="containsText" dxfId="11225" priority="2106" operator="containsText" text="CMS">
      <formula>NOT(ISERROR(SEARCH("CMS",H24)))</formula>
    </cfRule>
    <cfRule type="cellIs" dxfId="11224" priority="2107" operator="equal">
      <formula>0</formula>
    </cfRule>
    <cfRule type="cellIs" dxfId="11223" priority="2108" operator="greaterThan">
      <formula>0</formula>
    </cfRule>
    <cfRule type="cellIs" dxfId="11222" priority="2109" operator="equal">
      <formula>"PMS"</formula>
    </cfRule>
    <cfRule type="containsText" dxfId="11221" priority="2110" operator="containsText" text="CMS">
      <formula>NOT(ISERROR(SEARCH("CMS",H24)))</formula>
    </cfRule>
    <cfRule type="cellIs" dxfId="11220" priority="2111" operator="equal">
      <formula>0</formula>
    </cfRule>
    <cfRule type="cellIs" dxfId="11219" priority="2112" operator="greaterThan">
      <formula>0</formula>
    </cfRule>
  </conditionalFormatting>
  <conditionalFormatting sqref="H24">
    <cfRule type="cellIs" dxfId="11218" priority="2101" operator="equal">
      <formula>"PMS"</formula>
    </cfRule>
    <cfRule type="containsText" dxfId="11217" priority="2102" operator="containsText" text="CMS">
      <formula>NOT(ISERROR(SEARCH("CMS",H24)))</formula>
    </cfRule>
    <cfRule type="cellIs" dxfId="11216" priority="2103" operator="equal">
      <formula>0</formula>
    </cfRule>
    <cfRule type="cellIs" dxfId="11215" priority="2104" operator="greaterThan">
      <formula>0</formula>
    </cfRule>
  </conditionalFormatting>
  <conditionalFormatting sqref="H24">
    <cfRule type="cellIs" dxfId="11214" priority="2097" operator="equal">
      <formula>"PMS"</formula>
    </cfRule>
    <cfRule type="containsText" dxfId="11213" priority="2098" operator="containsText" text="CMS">
      <formula>NOT(ISERROR(SEARCH("CMS",H24)))</formula>
    </cfRule>
    <cfRule type="cellIs" dxfId="11212" priority="2099" operator="equal">
      <formula>0</formula>
    </cfRule>
    <cfRule type="cellIs" dxfId="11211" priority="2100" operator="greaterThan">
      <formula>0</formula>
    </cfRule>
  </conditionalFormatting>
  <conditionalFormatting sqref="H27:H28">
    <cfRule type="cellIs" dxfId="11210" priority="2089" operator="equal">
      <formula>"PMS"</formula>
    </cfRule>
    <cfRule type="containsText" dxfId="11209" priority="2090" operator="containsText" text="CMS">
      <formula>NOT(ISERROR(SEARCH("CMS",H27)))</formula>
    </cfRule>
    <cfRule type="cellIs" dxfId="11208" priority="2091" operator="equal">
      <formula>0</formula>
    </cfRule>
    <cfRule type="cellIs" dxfId="11207" priority="2092" operator="greaterThan">
      <formula>0</formula>
    </cfRule>
    <cfRule type="cellIs" dxfId="11206" priority="2093" operator="equal">
      <formula>"PMS"</formula>
    </cfRule>
    <cfRule type="containsText" dxfId="11205" priority="2094" operator="containsText" text="CMS">
      <formula>NOT(ISERROR(SEARCH("CMS",H27)))</formula>
    </cfRule>
    <cfRule type="cellIs" dxfId="11204" priority="2095" operator="equal">
      <formula>0</formula>
    </cfRule>
    <cfRule type="cellIs" dxfId="11203" priority="2096" operator="greaterThan">
      <formula>0</formula>
    </cfRule>
  </conditionalFormatting>
  <conditionalFormatting sqref="H27:H28">
    <cfRule type="cellIs" dxfId="11202" priority="2085" operator="equal">
      <formula>"PMS"</formula>
    </cfRule>
    <cfRule type="containsText" dxfId="11201" priority="2086" operator="containsText" text="CMS">
      <formula>NOT(ISERROR(SEARCH("CMS",H27)))</formula>
    </cfRule>
    <cfRule type="cellIs" dxfId="11200" priority="2087" operator="equal">
      <formula>0</formula>
    </cfRule>
    <cfRule type="cellIs" dxfId="11199" priority="2088" operator="greaterThan">
      <formula>0</formula>
    </cfRule>
  </conditionalFormatting>
  <conditionalFormatting sqref="H27:H28">
    <cfRule type="cellIs" dxfId="11198" priority="2081" operator="equal">
      <formula>"PMS"</formula>
    </cfRule>
    <cfRule type="containsText" dxfId="11197" priority="2082" operator="containsText" text="CMS">
      <formula>NOT(ISERROR(SEARCH("CMS",H27)))</formula>
    </cfRule>
    <cfRule type="cellIs" dxfId="11196" priority="2083" operator="equal">
      <formula>0</formula>
    </cfRule>
    <cfRule type="cellIs" dxfId="11195" priority="2084" operator="greaterThan">
      <formula>0</formula>
    </cfRule>
  </conditionalFormatting>
  <conditionalFormatting sqref="H29">
    <cfRule type="cellIs" dxfId="11194" priority="2073" operator="equal">
      <formula>"PMS"</formula>
    </cfRule>
    <cfRule type="containsText" dxfId="11193" priority="2074" operator="containsText" text="CMS">
      <formula>NOT(ISERROR(SEARCH("CMS",H29)))</formula>
    </cfRule>
    <cfRule type="cellIs" dxfId="11192" priority="2075" operator="equal">
      <formula>0</formula>
    </cfRule>
    <cfRule type="cellIs" dxfId="11191" priority="2076" operator="greaterThan">
      <formula>0</formula>
    </cfRule>
    <cfRule type="cellIs" dxfId="11190" priority="2077" operator="equal">
      <formula>"PMS"</formula>
    </cfRule>
    <cfRule type="containsText" dxfId="11189" priority="2078" operator="containsText" text="CMS">
      <formula>NOT(ISERROR(SEARCH("CMS",H29)))</formula>
    </cfRule>
    <cfRule type="cellIs" dxfId="11188" priority="2079" operator="equal">
      <formula>0</formula>
    </cfRule>
    <cfRule type="cellIs" dxfId="11187" priority="2080" operator="greaterThan">
      <formula>0</formula>
    </cfRule>
  </conditionalFormatting>
  <conditionalFormatting sqref="H32">
    <cfRule type="cellIs" dxfId="11186" priority="2065" operator="equal">
      <formula>"PMS"</formula>
    </cfRule>
    <cfRule type="containsText" dxfId="11185" priority="2066" operator="containsText" text="CMS">
      <formula>NOT(ISERROR(SEARCH("CMS",H32)))</formula>
    </cfRule>
    <cfRule type="cellIs" dxfId="11184" priority="2067" operator="equal">
      <formula>0</formula>
    </cfRule>
    <cfRule type="cellIs" dxfId="11183" priority="2068" operator="greaterThan">
      <formula>0</formula>
    </cfRule>
    <cfRule type="cellIs" dxfId="11182" priority="2069" operator="equal">
      <formula>"PMS"</formula>
    </cfRule>
    <cfRule type="containsText" dxfId="11181" priority="2070" operator="containsText" text="CMS">
      <formula>NOT(ISERROR(SEARCH("CMS",H32)))</formula>
    </cfRule>
    <cfRule type="cellIs" dxfId="11180" priority="2071" operator="equal">
      <formula>0</formula>
    </cfRule>
    <cfRule type="cellIs" dxfId="11179" priority="2072" operator="greaterThan">
      <formula>0</formula>
    </cfRule>
  </conditionalFormatting>
  <conditionalFormatting sqref="H32">
    <cfRule type="cellIs" dxfId="11178" priority="2061" operator="equal">
      <formula>"PMS"</formula>
    </cfRule>
    <cfRule type="containsText" dxfId="11177" priority="2062" operator="containsText" text="CMS">
      <formula>NOT(ISERROR(SEARCH("CMS",H32)))</formula>
    </cfRule>
    <cfRule type="cellIs" dxfId="11176" priority="2063" operator="equal">
      <formula>0</formula>
    </cfRule>
    <cfRule type="cellIs" dxfId="11175" priority="2064" operator="greaterThan">
      <formula>0</formula>
    </cfRule>
  </conditionalFormatting>
  <conditionalFormatting sqref="H32">
    <cfRule type="cellIs" dxfId="11174" priority="2057" operator="equal">
      <formula>"PMS"</formula>
    </cfRule>
    <cfRule type="containsText" dxfId="11173" priority="2058" operator="containsText" text="CMS">
      <formula>NOT(ISERROR(SEARCH("CMS",H32)))</formula>
    </cfRule>
    <cfRule type="cellIs" dxfId="11172" priority="2059" operator="equal">
      <formula>0</formula>
    </cfRule>
    <cfRule type="cellIs" dxfId="11171" priority="2060" operator="greaterThan">
      <formula>0</formula>
    </cfRule>
  </conditionalFormatting>
  <conditionalFormatting sqref="H35:H58">
    <cfRule type="cellIs" dxfId="11170" priority="2049" operator="equal">
      <formula>"PMS"</formula>
    </cfRule>
    <cfRule type="containsText" dxfId="11169" priority="2050" operator="containsText" text="CMS">
      <formula>NOT(ISERROR(SEARCH("CMS",H35)))</formula>
    </cfRule>
    <cfRule type="cellIs" dxfId="11168" priority="2051" operator="equal">
      <formula>0</formula>
    </cfRule>
    <cfRule type="cellIs" dxfId="11167" priority="2052" operator="greaterThan">
      <formula>0</formula>
    </cfRule>
    <cfRule type="cellIs" dxfId="11166" priority="2053" operator="equal">
      <formula>"PMS"</formula>
    </cfRule>
    <cfRule type="containsText" dxfId="11165" priority="2054" operator="containsText" text="CMS">
      <formula>NOT(ISERROR(SEARCH("CMS",H35)))</formula>
    </cfRule>
    <cfRule type="cellIs" dxfId="11164" priority="2055" operator="equal">
      <formula>0</formula>
    </cfRule>
    <cfRule type="cellIs" dxfId="11163" priority="2056" operator="greaterThan">
      <formula>0</formula>
    </cfRule>
  </conditionalFormatting>
  <conditionalFormatting sqref="H35:H58">
    <cfRule type="cellIs" dxfId="11162" priority="2045" operator="equal">
      <formula>"PMS"</formula>
    </cfRule>
    <cfRule type="containsText" dxfId="11161" priority="2046" operator="containsText" text="CMS">
      <formula>NOT(ISERROR(SEARCH("CMS",H35)))</formula>
    </cfRule>
    <cfRule type="cellIs" dxfId="11160" priority="2047" operator="equal">
      <formula>0</formula>
    </cfRule>
    <cfRule type="cellIs" dxfId="11159" priority="2048" operator="greaterThan">
      <formula>0</formula>
    </cfRule>
  </conditionalFormatting>
  <conditionalFormatting sqref="H35:H58">
    <cfRule type="cellIs" dxfId="11158" priority="2041" operator="equal">
      <formula>"PMS"</formula>
    </cfRule>
    <cfRule type="containsText" dxfId="11157" priority="2042" operator="containsText" text="CMS">
      <formula>NOT(ISERROR(SEARCH("CMS",H35)))</formula>
    </cfRule>
    <cfRule type="cellIs" dxfId="11156" priority="2043" operator="equal">
      <formula>0</formula>
    </cfRule>
    <cfRule type="cellIs" dxfId="11155" priority="2044" operator="greaterThan">
      <formula>0</formula>
    </cfRule>
  </conditionalFormatting>
  <conditionalFormatting sqref="H57">
    <cfRule type="cellIs" dxfId="11154" priority="2037" operator="equal">
      <formula>"PMS"</formula>
    </cfRule>
    <cfRule type="containsText" dxfId="11153" priority="2038" operator="containsText" text="CMS">
      <formula>NOT(ISERROR(SEARCH("CMS",H57)))</formula>
    </cfRule>
    <cfRule type="cellIs" dxfId="11152" priority="2039" operator="equal">
      <formula>0</formula>
    </cfRule>
    <cfRule type="cellIs" dxfId="11151" priority="2040" operator="greaterThan">
      <formula>0</formula>
    </cfRule>
  </conditionalFormatting>
  <conditionalFormatting sqref="H57">
    <cfRule type="cellIs" dxfId="11150" priority="2033" operator="equal">
      <formula>"PMS"</formula>
    </cfRule>
    <cfRule type="containsText" dxfId="11149" priority="2034" operator="containsText" text="CMS">
      <formula>NOT(ISERROR(SEARCH("CMS",H57)))</formula>
    </cfRule>
    <cfRule type="cellIs" dxfId="11148" priority="2035" operator="equal">
      <formula>0</formula>
    </cfRule>
    <cfRule type="cellIs" dxfId="11147" priority="2036" operator="greaterThan">
      <formula>0</formula>
    </cfRule>
  </conditionalFormatting>
  <conditionalFormatting sqref="H57">
    <cfRule type="cellIs" dxfId="11146" priority="2029" operator="equal">
      <formula>"PMS"</formula>
    </cfRule>
    <cfRule type="containsText" dxfId="11145" priority="2030" operator="containsText" text="CMS">
      <formula>NOT(ISERROR(SEARCH("CMS",H57)))</formula>
    </cfRule>
    <cfRule type="cellIs" dxfId="11144" priority="2031" operator="equal">
      <formula>0</formula>
    </cfRule>
    <cfRule type="cellIs" dxfId="11143" priority="2032" operator="greaterThan">
      <formula>0</formula>
    </cfRule>
  </conditionalFormatting>
  <conditionalFormatting sqref="H57">
    <cfRule type="cellIs" dxfId="11142" priority="2025" operator="equal">
      <formula>"PMS"</formula>
    </cfRule>
    <cfRule type="containsText" dxfId="11141" priority="2026" operator="containsText" text="CMS">
      <formula>NOT(ISERROR(SEARCH("CMS",H57)))</formula>
    </cfRule>
    <cfRule type="cellIs" dxfId="11140" priority="2027" operator="equal">
      <formula>0</formula>
    </cfRule>
    <cfRule type="cellIs" dxfId="11139" priority="2028" operator="greaterThan">
      <formula>0</formula>
    </cfRule>
  </conditionalFormatting>
  <conditionalFormatting sqref="H58">
    <cfRule type="cellIs" dxfId="11138" priority="2021" operator="equal">
      <formula>"PMS"</formula>
    </cfRule>
    <cfRule type="containsText" dxfId="11137" priority="2022" operator="containsText" text="CMS">
      <formula>NOT(ISERROR(SEARCH("CMS",H58)))</formula>
    </cfRule>
    <cfRule type="cellIs" dxfId="11136" priority="2023" operator="equal">
      <formula>0</formula>
    </cfRule>
    <cfRule type="cellIs" dxfId="11135" priority="2024" operator="greaterThan">
      <formula>0</formula>
    </cfRule>
  </conditionalFormatting>
  <conditionalFormatting sqref="H58">
    <cfRule type="cellIs" dxfId="11134" priority="2017" operator="equal">
      <formula>"PMS"</formula>
    </cfRule>
    <cfRule type="containsText" dxfId="11133" priority="2018" operator="containsText" text="CMS">
      <formula>NOT(ISERROR(SEARCH("CMS",H58)))</formula>
    </cfRule>
    <cfRule type="cellIs" dxfId="11132" priority="2019" operator="equal">
      <formula>0</formula>
    </cfRule>
    <cfRule type="cellIs" dxfId="11131" priority="2020" operator="greaterThan">
      <formula>0</formula>
    </cfRule>
  </conditionalFormatting>
  <conditionalFormatting sqref="H58">
    <cfRule type="cellIs" dxfId="11130" priority="2013" operator="equal">
      <formula>"PMS"</formula>
    </cfRule>
    <cfRule type="containsText" dxfId="11129" priority="2014" operator="containsText" text="CMS">
      <formula>NOT(ISERROR(SEARCH("CMS",H58)))</formula>
    </cfRule>
    <cfRule type="cellIs" dxfId="11128" priority="2015" operator="equal">
      <formula>0</formula>
    </cfRule>
    <cfRule type="cellIs" dxfId="11127" priority="2016" operator="greaterThan">
      <formula>0</formula>
    </cfRule>
  </conditionalFormatting>
  <conditionalFormatting sqref="H58">
    <cfRule type="cellIs" dxfId="11126" priority="2009" operator="equal">
      <formula>"PMS"</formula>
    </cfRule>
    <cfRule type="containsText" dxfId="11125" priority="2010" operator="containsText" text="CMS">
      <formula>NOT(ISERROR(SEARCH("CMS",H58)))</formula>
    </cfRule>
    <cfRule type="cellIs" dxfId="11124" priority="2011" operator="equal">
      <formula>0</formula>
    </cfRule>
    <cfRule type="cellIs" dxfId="11123" priority="2012" operator="greaterThan">
      <formula>0</formula>
    </cfRule>
  </conditionalFormatting>
  <conditionalFormatting sqref="H62">
    <cfRule type="cellIs" dxfId="11122" priority="2001" operator="equal">
      <formula>"PMS"</formula>
    </cfRule>
    <cfRule type="containsText" dxfId="11121" priority="2002" operator="containsText" text="CMS">
      <formula>NOT(ISERROR(SEARCH("CMS",H62)))</formula>
    </cfRule>
    <cfRule type="cellIs" dxfId="11120" priority="2003" operator="equal">
      <formula>0</formula>
    </cfRule>
    <cfRule type="cellIs" dxfId="11119" priority="2004" operator="greaterThan">
      <formula>0</formula>
    </cfRule>
    <cfRule type="cellIs" dxfId="11118" priority="2005" operator="equal">
      <formula>"PMS"</formula>
    </cfRule>
    <cfRule type="containsText" dxfId="11117" priority="2006" operator="containsText" text="CMS">
      <formula>NOT(ISERROR(SEARCH("CMS",H62)))</formula>
    </cfRule>
    <cfRule type="cellIs" dxfId="11116" priority="2007" operator="equal">
      <formula>0</formula>
    </cfRule>
    <cfRule type="cellIs" dxfId="11115" priority="2008" operator="greaterThan">
      <formula>0</formula>
    </cfRule>
  </conditionalFormatting>
  <conditionalFormatting sqref="H62">
    <cfRule type="cellIs" dxfId="11114" priority="1997" operator="equal">
      <formula>"PMS"</formula>
    </cfRule>
    <cfRule type="containsText" dxfId="11113" priority="1998" operator="containsText" text="CMS">
      <formula>NOT(ISERROR(SEARCH("CMS",H62)))</formula>
    </cfRule>
    <cfRule type="cellIs" dxfId="11112" priority="1999" operator="equal">
      <formula>0</formula>
    </cfRule>
    <cfRule type="cellIs" dxfId="11111" priority="2000" operator="greaterThan">
      <formula>0</formula>
    </cfRule>
  </conditionalFormatting>
  <conditionalFormatting sqref="H67:H74">
    <cfRule type="cellIs" dxfId="11110" priority="1989" operator="equal">
      <formula>"PMS"</formula>
    </cfRule>
    <cfRule type="containsText" dxfId="11109" priority="1990" operator="containsText" text="CMS">
      <formula>NOT(ISERROR(SEARCH("CMS",H67)))</formula>
    </cfRule>
    <cfRule type="cellIs" dxfId="11108" priority="1991" operator="equal">
      <formula>0</formula>
    </cfRule>
    <cfRule type="cellIs" dxfId="11107" priority="1992" operator="greaterThan">
      <formula>0</formula>
    </cfRule>
    <cfRule type="cellIs" dxfId="11106" priority="1993" operator="equal">
      <formula>"PMS"</formula>
    </cfRule>
    <cfRule type="containsText" dxfId="11105" priority="1994" operator="containsText" text="CMS">
      <formula>NOT(ISERROR(SEARCH("CMS",H67)))</formula>
    </cfRule>
    <cfRule type="cellIs" dxfId="11104" priority="1995" operator="equal">
      <formula>0</formula>
    </cfRule>
    <cfRule type="cellIs" dxfId="11103" priority="1996" operator="greaterThan">
      <formula>0</formula>
    </cfRule>
  </conditionalFormatting>
  <conditionalFormatting sqref="H67:H74">
    <cfRule type="cellIs" dxfId="11102" priority="1985" operator="equal">
      <formula>"PMS"</formula>
    </cfRule>
    <cfRule type="containsText" dxfId="11101" priority="1986" operator="containsText" text="CMS">
      <formula>NOT(ISERROR(SEARCH("CMS",H67)))</formula>
    </cfRule>
    <cfRule type="cellIs" dxfId="11100" priority="1987" operator="equal">
      <formula>0</formula>
    </cfRule>
    <cfRule type="cellIs" dxfId="11099" priority="1988" operator="greaterThan">
      <formula>0</formula>
    </cfRule>
  </conditionalFormatting>
  <conditionalFormatting sqref="H67:H74">
    <cfRule type="cellIs" dxfId="11098" priority="1981" operator="equal">
      <formula>"PMS"</formula>
    </cfRule>
    <cfRule type="containsText" dxfId="11097" priority="1982" operator="containsText" text="CMS">
      <formula>NOT(ISERROR(SEARCH("CMS",H67)))</formula>
    </cfRule>
    <cfRule type="cellIs" dxfId="11096" priority="1983" operator="equal">
      <formula>0</formula>
    </cfRule>
    <cfRule type="cellIs" dxfId="11095" priority="1984" operator="greaterThan">
      <formula>0</formula>
    </cfRule>
  </conditionalFormatting>
  <conditionalFormatting sqref="H77:H78">
    <cfRule type="cellIs" dxfId="11094" priority="1973" operator="equal">
      <formula>"PMS"</formula>
    </cfRule>
    <cfRule type="containsText" dxfId="11093" priority="1974" operator="containsText" text="CMS">
      <formula>NOT(ISERROR(SEARCH("CMS",H77)))</formula>
    </cfRule>
    <cfRule type="cellIs" dxfId="11092" priority="1975" operator="equal">
      <formula>0</formula>
    </cfRule>
    <cfRule type="cellIs" dxfId="11091" priority="1976" operator="greaterThan">
      <formula>0</formula>
    </cfRule>
    <cfRule type="cellIs" dxfId="11090" priority="1977" operator="equal">
      <formula>"PMS"</formula>
    </cfRule>
    <cfRule type="containsText" dxfId="11089" priority="1978" operator="containsText" text="CMS">
      <formula>NOT(ISERROR(SEARCH("CMS",H77)))</formula>
    </cfRule>
    <cfRule type="cellIs" dxfId="11088" priority="1979" operator="equal">
      <formula>0</formula>
    </cfRule>
    <cfRule type="cellIs" dxfId="11087" priority="1980" operator="greaterThan">
      <formula>0</formula>
    </cfRule>
  </conditionalFormatting>
  <conditionalFormatting sqref="H77:H78">
    <cfRule type="cellIs" dxfId="11086" priority="1969" operator="equal">
      <formula>"PMS"</formula>
    </cfRule>
    <cfRule type="containsText" dxfId="11085" priority="1970" operator="containsText" text="CMS">
      <formula>NOT(ISERROR(SEARCH("CMS",H77)))</formula>
    </cfRule>
    <cfRule type="cellIs" dxfId="11084" priority="1971" operator="equal">
      <formula>0</formula>
    </cfRule>
    <cfRule type="cellIs" dxfId="11083" priority="1972" operator="greaterThan">
      <formula>0</formula>
    </cfRule>
  </conditionalFormatting>
  <conditionalFormatting sqref="O56:O57">
    <cfRule type="cellIs" dxfId="11082" priority="1965" operator="equal">
      <formula>"PMS"</formula>
    </cfRule>
    <cfRule type="containsText" dxfId="11081" priority="1966" operator="containsText" text="CMS">
      <formula>NOT(ISERROR(SEARCH("CMS",O56)))</formula>
    </cfRule>
    <cfRule type="cellIs" dxfId="11080" priority="1967" operator="equal">
      <formula>0</formula>
    </cfRule>
    <cfRule type="cellIs" dxfId="11079" priority="1968" operator="greaterThan">
      <formula>0</formula>
    </cfRule>
  </conditionalFormatting>
  <conditionalFormatting sqref="O56:O57">
    <cfRule type="cellIs" dxfId="11078" priority="1961" operator="equal">
      <formula>"PMS"</formula>
    </cfRule>
    <cfRule type="containsText" dxfId="11077" priority="1962" operator="containsText" text="CMS">
      <formula>NOT(ISERROR(SEARCH("CMS",O56)))</formula>
    </cfRule>
    <cfRule type="cellIs" dxfId="11076" priority="1963" operator="equal">
      <formula>0</formula>
    </cfRule>
    <cfRule type="cellIs" dxfId="11075" priority="1964" operator="greaterThan">
      <formula>0</formula>
    </cfRule>
  </conditionalFormatting>
  <conditionalFormatting sqref="O56:O57">
    <cfRule type="cellIs" dxfId="11074" priority="1957" operator="equal">
      <formula>"PMS"</formula>
    </cfRule>
    <cfRule type="containsText" dxfId="11073" priority="1958" operator="containsText" text="CMS">
      <formula>NOT(ISERROR(SEARCH("CMS",O56)))</formula>
    </cfRule>
    <cfRule type="cellIs" dxfId="11072" priority="1959" operator="equal">
      <formula>0</formula>
    </cfRule>
    <cfRule type="cellIs" dxfId="11071" priority="1960" operator="greaterThan">
      <formula>0</formula>
    </cfRule>
  </conditionalFormatting>
  <conditionalFormatting sqref="O56:O57">
    <cfRule type="cellIs" dxfId="11070" priority="1953" operator="equal">
      <formula>"PMS"</formula>
    </cfRule>
    <cfRule type="containsText" dxfId="11069" priority="1954" operator="containsText" text="CMS">
      <formula>NOT(ISERROR(SEARCH("CMS",O56)))</formula>
    </cfRule>
    <cfRule type="cellIs" dxfId="11068" priority="1955" operator="equal">
      <formula>0</formula>
    </cfRule>
    <cfRule type="cellIs" dxfId="11067" priority="1956" operator="greaterThan">
      <formula>0</formula>
    </cfRule>
  </conditionalFormatting>
  <conditionalFormatting sqref="O56:O57">
    <cfRule type="cellIs" dxfId="11066" priority="1949" operator="equal">
      <formula>"PMS"</formula>
    </cfRule>
    <cfRule type="containsText" dxfId="11065" priority="1950" operator="containsText" text="CMS">
      <formula>NOT(ISERROR(SEARCH("CMS",O56)))</formula>
    </cfRule>
    <cfRule type="cellIs" dxfId="11064" priority="1951" operator="equal">
      <formula>0</formula>
    </cfRule>
    <cfRule type="cellIs" dxfId="11063" priority="1952" operator="greaterThan">
      <formula>0</formula>
    </cfRule>
  </conditionalFormatting>
  <conditionalFormatting sqref="O56:O57">
    <cfRule type="cellIs" dxfId="11062" priority="1945" operator="equal">
      <formula>"PMS"</formula>
    </cfRule>
    <cfRule type="containsText" dxfId="11061" priority="1946" operator="containsText" text="CMS">
      <formula>NOT(ISERROR(SEARCH("CMS",O56)))</formula>
    </cfRule>
    <cfRule type="cellIs" dxfId="11060" priority="1947" operator="equal">
      <formula>0</formula>
    </cfRule>
    <cfRule type="cellIs" dxfId="11059" priority="1948" operator="greaterThan">
      <formula>0</formula>
    </cfRule>
  </conditionalFormatting>
  <conditionalFormatting sqref="O56:O57">
    <cfRule type="cellIs" dxfId="11058" priority="1941" operator="equal">
      <formula>"PMS"</formula>
    </cfRule>
    <cfRule type="containsText" dxfId="11057" priority="1942" operator="containsText" text="CMS">
      <formula>NOT(ISERROR(SEARCH("CMS",O56)))</formula>
    </cfRule>
    <cfRule type="cellIs" dxfId="11056" priority="1943" operator="equal">
      <formula>0</formula>
    </cfRule>
    <cfRule type="cellIs" dxfId="11055" priority="1944" operator="greaterThan">
      <formula>0</formula>
    </cfRule>
  </conditionalFormatting>
  <conditionalFormatting sqref="O56:O57">
    <cfRule type="cellIs" dxfId="11054" priority="1937" operator="equal">
      <formula>"PMS"</formula>
    </cfRule>
    <cfRule type="containsText" dxfId="11053" priority="1938" operator="containsText" text="CMS">
      <formula>NOT(ISERROR(SEARCH("CMS",O56)))</formula>
    </cfRule>
    <cfRule type="cellIs" dxfId="11052" priority="1939" operator="equal">
      <formula>0</formula>
    </cfRule>
    <cfRule type="cellIs" dxfId="11051" priority="1940" operator="greaterThan">
      <formula>0</formula>
    </cfRule>
  </conditionalFormatting>
  <conditionalFormatting sqref="O56:O57">
    <cfRule type="cellIs" dxfId="11050" priority="1933" operator="equal">
      <formula>"PMS"</formula>
    </cfRule>
    <cfRule type="containsText" dxfId="11049" priority="1934" operator="containsText" text="CMS">
      <formula>NOT(ISERROR(SEARCH("CMS",O56)))</formula>
    </cfRule>
    <cfRule type="cellIs" dxfId="11048" priority="1935" operator="equal">
      <formula>0</formula>
    </cfRule>
    <cfRule type="cellIs" dxfId="11047" priority="1936" operator="greaterThan">
      <formula>0</formula>
    </cfRule>
  </conditionalFormatting>
  <conditionalFormatting sqref="O56:O57">
    <cfRule type="cellIs" dxfId="11046" priority="1929" operator="equal">
      <formula>"PMS"</formula>
    </cfRule>
    <cfRule type="containsText" dxfId="11045" priority="1930" operator="containsText" text="CMS">
      <formula>NOT(ISERROR(SEARCH("CMS",O56)))</formula>
    </cfRule>
    <cfRule type="cellIs" dxfId="11044" priority="1931" operator="equal">
      <formula>0</formula>
    </cfRule>
    <cfRule type="cellIs" dxfId="11043" priority="1932" operator="greaterThan">
      <formula>0</formula>
    </cfRule>
  </conditionalFormatting>
  <conditionalFormatting sqref="O56:O57">
    <cfRule type="cellIs" dxfId="11042" priority="1925" operator="equal">
      <formula>"PMS"</formula>
    </cfRule>
    <cfRule type="containsText" dxfId="11041" priority="1926" operator="containsText" text="CMS">
      <formula>NOT(ISERROR(SEARCH("CMS",O56)))</formula>
    </cfRule>
    <cfRule type="cellIs" dxfId="11040" priority="1927" operator="equal">
      <formula>0</formula>
    </cfRule>
    <cfRule type="cellIs" dxfId="11039" priority="1928" operator="greaterThan">
      <formula>0</formula>
    </cfRule>
  </conditionalFormatting>
  <conditionalFormatting sqref="O56:O57">
    <cfRule type="cellIs" dxfId="11038" priority="1921" operator="equal">
      <formula>"PMS"</formula>
    </cfRule>
    <cfRule type="containsText" dxfId="11037" priority="1922" operator="containsText" text="CMS">
      <formula>NOT(ISERROR(SEARCH("CMS",O56)))</formula>
    </cfRule>
    <cfRule type="cellIs" dxfId="11036" priority="1923" operator="equal">
      <formula>0</formula>
    </cfRule>
    <cfRule type="cellIs" dxfId="11035" priority="1924" operator="greaterThan">
      <formula>0</formula>
    </cfRule>
  </conditionalFormatting>
  <conditionalFormatting sqref="R77">
    <cfRule type="cellIs" dxfId="11034" priority="1917" operator="equal">
      <formula>"PMS"</formula>
    </cfRule>
    <cfRule type="containsText" dxfId="11033" priority="1918" operator="containsText" text="CMS">
      <formula>NOT(ISERROR(SEARCH("CMS",R77)))</formula>
    </cfRule>
    <cfRule type="cellIs" dxfId="11032" priority="1919" operator="equal">
      <formula>0</formula>
    </cfRule>
    <cfRule type="cellIs" dxfId="11031" priority="1920" operator="greaterThan">
      <formula>0</formula>
    </cfRule>
  </conditionalFormatting>
  <conditionalFormatting sqref="G15:G16">
    <cfRule type="cellIs" dxfId="11030" priority="1909" operator="equal">
      <formula>"PMS"</formula>
    </cfRule>
    <cfRule type="containsText" dxfId="11029" priority="1910" operator="containsText" text="CMS">
      <formula>NOT(ISERROR(SEARCH("CMS",G15)))</formula>
    </cfRule>
    <cfRule type="cellIs" dxfId="11028" priority="1911" operator="equal">
      <formula>0</formula>
    </cfRule>
    <cfRule type="cellIs" dxfId="11027" priority="1912" operator="greaterThan">
      <formula>0</formula>
    </cfRule>
    <cfRule type="cellIs" dxfId="11026" priority="1913" operator="equal">
      <formula>"PMS"</formula>
    </cfRule>
    <cfRule type="containsText" dxfId="11025" priority="1914" operator="containsText" text="CMS">
      <formula>NOT(ISERROR(SEARCH("CMS",G15)))</formula>
    </cfRule>
    <cfRule type="cellIs" dxfId="11024" priority="1915" operator="equal">
      <formula>0</formula>
    </cfRule>
    <cfRule type="cellIs" dxfId="11023" priority="1916" operator="greaterThan">
      <formula>0</formula>
    </cfRule>
  </conditionalFormatting>
  <conditionalFormatting sqref="G15:G16">
    <cfRule type="cellIs" dxfId="11022" priority="1905" operator="equal">
      <formula>"PMS"</formula>
    </cfRule>
    <cfRule type="containsText" dxfId="11021" priority="1906" operator="containsText" text="CMS">
      <formula>NOT(ISERROR(SEARCH("CMS",G15)))</formula>
    </cfRule>
    <cfRule type="cellIs" dxfId="11020" priority="1907" operator="equal">
      <formula>0</formula>
    </cfRule>
    <cfRule type="cellIs" dxfId="11019" priority="1908" operator="greaterThan">
      <formula>0</formula>
    </cfRule>
  </conditionalFormatting>
  <conditionalFormatting sqref="G15:G16">
    <cfRule type="cellIs" dxfId="11018" priority="1901" operator="equal">
      <formula>"PMS"</formula>
    </cfRule>
    <cfRule type="containsText" dxfId="11017" priority="1902" operator="containsText" text="CMS">
      <formula>NOT(ISERROR(SEARCH("CMS",G15)))</formula>
    </cfRule>
    <cfRule type="cellIs" dxfId="11016" priority="1903" operator="equal">
      <formula>0</formula>
    </cfRule>
    <cfRule type="cellIs" dxfId="11015" priority="1904" operator="greaterThan">
      <formula>0</formula>
    </cfRule>
  </conditionalFormatting>
  <conditionalFormatting sqref="G21">
    <cfRule type="cellIs" dxfId="11014" priority="1893" operator="equal">
      <formula>"PMS"</formula>
    </cfRule>
    <cfRule type="containsText" dxfId="11013" priority="1894" operator="containsText" text="CMS">
      <formula>NOT(ISERROR(SEARCH("CMS",G21)))</formula>
    </cfRule>
    <cfRule type="cellIs" dxfId="11012" priority="1895" operator="equal">
      <formula>0</formula>
    </cfRule>
    <cfRule type="cellIs" dxfId="11011" priority="1896" operator="greaterThan">
      <formula>0</formula>
    </cfRule>
    <cfRule type="cellIs" dxfId="11010" priority="1897" operator="equal">
      <formula>"PMS"</formula>
    </cfRule>
    <cfRule type="containsText" dxfId="11009" priority="1898" operator="containsText" text="CMS">
      <formula>NOT(ISERROR(SEARCH("CMS",G21)))</formula>
    </cfRule>
    <cfRule type="cellIs" dxfId="11008" priority="1899" operator="equal">
      <formula>0</formula>
    </cfRule>
    <cfRule type="cellIs" dxfId="11007" priority="1900" operator="greaterThan">
      <formula>0</formula>
    </cfRule>
  </conditionalFormatting>
  <conditionalFormatting sqref="G21">
    <cfRule type="cellIs" dxfId="11006" priority="1889" operator="equal">
      <formula>"PMS"</formula>
    </cfRule>
    <cfRule type="containsText" dxfId="11005" priority="1890" operator="containsText" text="CMS">
      <formula>NOT(ISERROR(SEARCH("CMS",G21)))</formula>
    </cfRule>
    <cfRule type="cellIs" dxfId="11004" priority="1891" operator="equal">
      <formula>0</formula>
    </cfRule>
    <cfRule type="cellIs" dxfId="11003" priority="1892" operator="greaterThan">
      <formula>0</formula>
    </cfRule>
  </conditionalFormatting>
  <conditionalFormatting sqref="G21">
    <cfRule type="cellIs" dxfId="11002" priority="1885" operator="equal">
      <formula>"PMS"</formula>
    </cfRule>
    <cfRule type="containsText" dxfId="11001" priority="1886" operator="containsText" text="CMS">
      <formula>NOT(ISERROR(SEARCH("CMS",G21)))</formula>
    </cfRule>
    <cfRule type="cellIs" dxfId="11000" priority="1887" operator="equal">
      <formula>0</formula>
    </cfRule>
    <cfRule type="cellIs" dxfId="10999" priority="1888" operator="greaterThan">
      <formula>0</formula>
    </cfRule>
  </conditionalFormatting>
  <conditionalFormatting sqref="H61 J63 J61 L63:M63 M61:M62">
    <cfRule type="cellIs" dxfId="10998" priority="1877" operator="equal">
      <formula>"PMS"</formula>
    </cfRule>
    <cfRule type="containsText" dxfId="10997" priority="1878" operator="containsText" text="CMS">
      <formula>NOT(ISERROR(SEARCH("CMS",H61)))</formula>
    </cfRule>
    <cfRule type="cellIs" dxfId="10996" priority="1879" operator="equal">
      <formula>0</formula>
    </cfRule>
    <cfRule type="cellIs" dxfId="10995" priority="1880" operator="greaterThan">
      <formula>0</formula>
    </cfRule>
    <cfRule type="cellIs" dxfId="10994" priority="1881" operator="equal">
      <formula>"PMS"</formula>
    </cfRule>
    <cfRule type="containsText" dxfId="10993" priority="1882" operator="containsText" text="CMS">
      <formula>NOT(ISERROR(SEARCH("CMS",H61)))</formula>
    </cfRule>
    <cfRule type="cellIs" dxfId="10992" priority="1883" operator="equal">
      <formula>0</formula>
    </cfRule>
    <cfRule type="cellIs" dxfId="10991" priority="1884" operator="greaterThan">
      <formula>0</formula>
    </cfRule>
  </conditionalFormatting>
  <conditionalFormatting sqref="H61 J63 J61 L63:M63 M61:M62">
    <cfRule type="cellIs" dxfId="10990" priority="1873" operator="equal">
      <formula>"PMS"</formula>
    </cfRule>
    <cfRule type="containsText" dxfId="10989" priority="1874" operator="containsText" text="CMS">
      <formula>NOT(ISERROR(SEARCH("CMS",H61)))</formula>
    </cfRule>
    <cfRule type="cellIs" dxfId="10988" priority="1875" operator="equal">
      <formula>0</formula>
    </cfRule>
    <cfRule type="cellIs" dxfId="10987" priority="1876" operator="greaterThan">
      <formula>0</formula>
    </cfRule>
  </conditionalFormatting>
  <conditionalFormatting sqref="G78">
    <cfRule type="cellIs" dxfId="10986" priority="1865" operator="equal">
      <formula>"PMS"</formula>
    </cfRule>
    <cfRule type="containsText" dxfId="10985" priority="1866" operator="containsText" text="CMS">
      <formula>NOT(ISERROR(SEARCH("CMS",G78)))</formula>
    </cfRule>
    <cfRule type="cellIs" dxfId="10984" priority="1867" operator="equal">
      <formula>0</formula>
    </cfRule>
    <cfRule type="cellIs" dxfId="10983" priority="1868" operator="greaterThan">
      <formula>0</formula>
    </cfRule>
    <cfRule type="cellIs" dxfId="10982" priority="1869" operator="equal">
      <formula>"PMS"</formula>
    </cfRule>
    <cfRule type="containsText" dxfId="10981" priority="1870" operator="containsText" text="CMS">
      <formula>NOT(ISERROR(SEARCH("CMS",G78)))</formula>
    </cfRule>
    <cfRule type="cellIs" dxfId="10980" priority="1871" operator="equal">
      <formula>0</formula>
    </cfRule>
    <cfRule type="cellIs" dxfId="10979" priority="1872" operator="greaterThan">
      <formula>0</formula>
    </cfRule>
  </conditionalFormatting>
  <conditionalFormatting sqref="G78">
    <cfRule type="cellIs" dxfId="10978" priority="1861" operator="equal">
      <formula>"PMS"</formula>
    </cfRule>
    <cfRule type="containsText" dxfId="10977" priority="1862" operator="containsText" text="CMS">
      <formula>NOT(ISERROR(SEARCH("CMS",G78)))</formula>
    </cfRule>
    <cfRule type="cellIs" dxfId="10976" priority="1863" operator="equal">
      <formula>0</formula>
    </cfRule>
    <cfRule type="cellIs" dxfId="10975" priority="1864" operator="greaterThan">
      <formula>0</formula>
    </cfRule>
  </conditionalFormatting>
  <conditionalFormatting sqref="G24">
    <cfRule type="cellIs" dxfId="10974" priority="1853" operator="equal">
      <formula>"PMS"</formula>
    </cfRule>
    <cfRule type="containsText" dxfId="10973" priority="1854" operator="containsText" text="CMS">
      <formula>NOT(ISERROR(SEARCH("CMS",G24)))</formula>
    </cfRule>
    <cfRule type="cellIs" dxfId="10972" priority="1855" operator="equal">
      <formula>0</formula>
    </cfRule>
    <cfRule type="cellIs" dxfId="10971" priority="1856" operator="greaterThan">
      <formula>0</formula>
    </cfRule>
    <cfRule type="cellIs" dxfId="10970" priority="1857" operator="equal">
      <formula>"PMS"</formula>
    </cfRule>
    <cfRule type="containsText" dxfId="10969" priority="1858" operator="containsText" text="CMS">
      <formula>NOT(ISERROR(SEARCH("CMS",G24)))</formula>
    </cfRule>
    <cfRule type="cellIs" dxfId="10968" priority="1859" operator="equal">
      <formula>0</formula>
    </cfRule>
    <cfRule type="cellIs" dxfId="10967" priority="1860" operator="greaterThan">
      <formula>0</formula>
    </cfRule>
  </conditionalFormatting>
  <conditionalFormatting sqref="G24">
    <cfRule type="cellIs" dxfId="10966" priority="1849" operator="equal">
      <formula>"PMS"</formula>
    </cfRule>
    <cfRule type="containsText" dxfId="10965" priority="1850" operator="containsText" text="CMS">
      <formula>NOT(ISERROR(SEARCH("CMS",G24)))</formula>
    </cfRule>
    <cfRule type="cellIs" dxfId="10964" priority="1851" operator="equal">
      <formula>0</formula>
    </cfRule>
    <cfRule type="cellIs" dxfId="10963" priority="1852" operator="greaterThan">
      <formula>0</formula>
    </cfRule>
  </conditionalFormatting>
  <conditionalFormatting sqref="G24">
    <cfRule type="cellIs" dxfId="10962" priority="1845" operator="equal">
      <formula>"PMS"</formula>
    </cfRule>
    <cfRule type="containsText" dxfId="10961" priority="1846" operator="containsText" text="CMS">
      <formula>NOT(ISERROR(SEARCH("CMS",G24)))</formula>
    </cfRule>
    <cfRule type="cellIs" dxfId="10960" priority="1847" operator="equal">
      <formula>0</formula>
    </cfRule>
    <cfRule type="cellIs" dxfId="10959" priority="1848" operator="greaterThan">
      <formula>0</formula>
    </cfRule>
  </conditionalFormatting>
  <conditionalFormatting sqref="O56:O57">
    <cfRule type="cellIs" dxfId="10958" priority="1841" operator="equal">
      <formula>"PMS"</formula>
    </cfRule>
    <cfRule type="containsText" dxfId="10957" priority="1842" operator="containsText" text="CMS">
      <formula>NOT(ISERROR(SEARCH("CMS",O56)))</formula>
    </cfRule>
    <cfRule type="cellIs" dxfId="10956" priority="1843" operator="equal">
      <formula>0</formula>
    </cfRule>
    <cfRule type="cellIs" dxfId="10955" priority="1844" operator="greaterThan">
      <formula>0</formula>
    </cfRule>
  </conditionalFormatting>
  <conditionalFormatting sqref="O56:O57">
    <cfRule type="cellIs" dxfId="10954" priority="1837" operator="equal">
      <formula>"PMS"</formula>
    </cfRule>
    <cfRule type="containsText" dxfId="10953" priority="1838" operator="containsText" text="CMS">
      <formula>NOT(ISERROR(SEARCH("CMS",O56)))</formula>
    </cfRule>
    <cfRule type="cellIs" dxfId="10952" priority="1839" operator="equal">
      <formula>0</formula>
    </cfRule>
    <cfRule type="cellIs" dxfId="10951" priority="1840" operator="greaterThan">
      <formula>0</formula>
    </cfRule>
  </conditionalFormatting>
  <conditionalFormatting sqref="O56:O57">
    <cfRule type="cellIs" dxfId="10950" priority="1833" operator="equal">
      <formula>"PMS"</formula>
    </cfRule>
    <cfRule type="containsText" dxfId="10949" priority="1834" operator="containsText" text="CMS">
      <formula>NOT(ISERROR(SEARCH("CMS",O56)))</formula>
    </cfRule>
    <cfRule type="cellIs" dxfId="10948" priority="1835" operator="equal">
      <formula>0</formula>
    </cfRule>
    <cfRule type="cellIs" dxfId="10947" priority="1836" operator="greaterThan">
      <formula>0</formula>
    </cfRule>
  </conditionalFormatting>
  <conditionalFormatting sqref="O56:O57">
    <cfRule type="cellIs" dxfId="10946" priority="1829" operator="equal">
      <formula>"PMS"</formula>
    </cfRule>
    <cfRule type="containsText" dxfId="10945" priority="1830" operator="containsText" text="CMS">
      <formula>NOT(ISERROR(SEARCH("CMS",O56)))</formula>
    </cfRule>
    <cfRule type="cellIs" dxfId="10944" priority="1831" operator="equal">
      <formula>0</formula>
    </cfRule>
    <cfRule type="cellIs" dxfId="10943" priority="1832" operator="greaterThan">
      <formula>0</formula>
    </cfRule>
  </conditionalFormatting>
  <conditionalFormatting sqref="O56">
    <cfRule type="cellIs" dxfId="10942" priority="1825" operator="equal">
      <formula>"PMS"</formula>
    </cfRule>
    <cfRule type="containsText" dxfId="10941" priority="1826" operator="containsText" text="CMS">
      <formula>NOT(ISERROR(SEARCH("CMS",O56)))</formula>
    </cfRule>
    <cfRule type="cellIs" dxfId="10940" priority="1827" operator="equal">
      <formula>0</formula>
    </cfRule>
    <cfRule type="cellIs" dxfId="10939" priority="1828" operator="greaterThan">
      <formula>0</formula>
    </cfRule>
  </conditionalFormatting>
  <conditionalFormatting sqref="O56">
    <cfRule type="cellIs" dxfId="10938" priority="1821" operator="equal">
      <formula>"PMS"</formula>
    </cfRule>
    <cfRule type="containsText" dxfId="10937" priority="1822" operator="containsText" text="CMS">
      <formula>NOT(ISERROR(SEARCH("CMS",O56)))</formula>
    </cfRule>
    <cfRule type="cellIs" dxfId="10936" priority="1823" operator="equal">
      <formula>0</formula>
    </cfRule>
    <cfRule type="cellIs" dxfId="10935" priority="1824" operator="greaterThan">
      <formula>0</formula>
    </cfRule>
  </conditionalFormatting>
  <conditionalFormatting sqref="O56">
    <cfRule type="cellIs" dxfId="10934" priority="1817" operator="equal">
      <formula>"PMS"</formula>
    </cfRule>
    <cfRule type="containsText" dxfId="10933" priority="1818" operator="containsText" text="CMS">
      <formula>NOT(ISERROR(SEARCH("CMS",O56)))</formula>
    </cfRule>
    <cfRule type="cellIs" dxfId="10932" priority="1819" operator="equal">
      <formula>0</formula>
    </cfRule>
    <cfRule type="cellIs" dxfId="10931" priority="1820" operator="greaterThan">
      <formula>0</formula>
    </cfRule>
  </conditionalFormatting>
  <conditionalFormatting sqref="O56">
    <cfRule type="cellIs" dxfId="10930" priority="1813" operator="equal">
      <formula>"PMS"</formula>
    </cfRule>
    <cfRule type="containsText" dxfId="10929" priority="1814" operator="containsText" text="CMS">
      <formula>NOT(ISERROR(SEARCH("CMS",O56)))</formula>
    </cfRule>
    <cfRule type="cellIs" dxfId="10928" priority="1815" operator="equal">
      <formula>0</formula>
    </cfRule>
    <cfRule type="cellIs" dxfId="10927" priority="1816" operator="greaterThan">
      <formula>0</formula>
    </cfRule>
  </conditionalFormatting>
  <conditionalFormatting sqref="O56">
    <cfRule type="cellIs" dxfId="10926" priority="1809" operator="equal">
      <formula>"PMS"</formula>
    </cfRule>
    <cfRule type="containsText" dxfId="10925" priority="1810" operator="containsText" text="CMS">
      <formula>NOT(ISERROR(SEARCH("CMS",O56)))</formula>
    </cfRule>
    <cfRule type="cellIs" dxfId="10924" priority="1811" operator="equal">
      <formula>0</formula>
    </cfRule>
    <cfRule type="cellIs" dxfId="10923" priority="1812" operator="greaterThan">
      <formula>0</formula>
    </cfRule>
  </conditionalFormatting>
  <conditionalFormatting sqref="P57:P58">
    <cfRule type="cellIs" dxfId="10922" priority="1805" operator="equal">
      <formula>"PMS"</formula>
    </cfRule>
    <cfRule type="containsText" dxfId="10921" priority="1806" operator="containsText" text="CMS">
      <formula>NOT(ISERROR(SEARCH("CMS",P57)))</formula>
    </cfRule>
    <cfRule type="cellIs" dxfId="10920" priority="1807" operator="equal">
      <formula>0</formula>
    </cfRule>
    <cfRule type="cellIs" dxfId="10919" priority="1808" operator="greaterThan">
      <formula>0</formula>
    </cfRule>
  </conditionalFormatting>
  <conditionalFormatting sqref="L61">
    <cfRule type="cellIs" dxfId="10918" priority="1797" operator="equal">
      <formula>"PMS"</formula>
    </cfRule>
    <cfRule type="containsText" dxfId="10917" priority="1798" operator="containsText" text="CMS">
      <formula>NOT(ISERROR(SEARCH("CMS",L61)))</formula>
    </cfRule>
    <cfRule type="cellIs" dxfId="10916" priority="1799" operator="equal">
      <formula>0</formula>
    </cfRule>
    <cfRule type="cellIs" dxfId="10915" priority="1800" operator="greaterThan">
      <formula>0</formula>
    </cfRule>
    <cfRule type="cellIs" dxfId="10914" priority="1801" operator="equal">
      <formula>"PMS"</formula>
    </cfRule>
    <cfRule type="containsText" dxfId="10913" priority="1802" operator="containsText" text="CMS">
      <formula>NOT(ISERROR(SEARCH("CMS",L61)))</formula>
    </cfRule>
    <cfRule type="cellIs" dxfId="10912" priority="1803" operator="equal">
      <formula>0</formula>
    </cfRule>
    <cfRule type="cellIs" dxfId="10911" priority="1804" operator="greaterThan">
      <formula>0</formula>
    </cfRule>
  </conditionalFormatting>
  <conditionalFormatting sqref="L61">
    <cfRule type="cellIs" dxfId="10910" priority="1793" operator="equal">
      <formula>"PMS"</formula>
    </cfRule>
    <cfRule type="containsText" dxfId="10909" priority="1794" operator="containsText" text="CMS">
      <formula>NOT(ISERROR(SEARCH("CMS",L61)))</formula>
    </cfRule>
    <cfRule type="cellIs" dxfId="10908" priority="1795" operator="equal">
      <formula>0</formula>
    </cfRule>
    <cfRule type="cellIs" dxfId="10907" priority="1796" operator="greaterThan">
      <formula>0</formula>
    </cfRule>
  </conditionalFormatting>
  <conditionalFormatting sqref="Z13:Z16">
    <cfRule type="cellIs" dxfId="10906" priority="1777" operator="equal">
      <formula>"PMS"</formula>
    </cfRule>
    <cfRule type="containsText" dxfId="10905" priority="1778" operator="containsText" text="CMS">
      <formula>NOT(ISERROR(SEARCH("CMS",Z13)))</formula>
    </cfRule>
    <cfRule type="cellIs" dxfId="10904" priority="1779" operator="equal">
      <formula>0</formula>
    </cfRule>
    <cfRule type="cellIs" dxfId="10903" priority="1780" operator="greaterThan">
      <formula>0</formula>
    </cfRule>
  </conditionalFormatting>
  <conditionalFormatting sqref="Z13:Z16">
    <cfRule type="cellIs" dxfId="10902" priority="1773" operator="equal">
      <formula>"PMS"</formula>
    </cfRule>
    <cfRule type="containsText" dxfId="10901" priority="1774" operator="containsText" text="CMS">
      <formula>NOT(ISERROR(SEARCH("CMS",Z13)))</formula>
    </cfRule>
    <cfRule type="cellIs" dxfId="10900" priority="1775" operator="equal">
      <formula>0</formula>
    </cfRule>
    <cfRule type="cellIs" dxfId="10899" priority="1776" operator="greaterThan">
      <formula>0</formula>
    </cfRule>
  </conditionalFormatting>
  <conditionalFormatting sqref="Z16">
    <cfRule type="cellIs" dxfId="10898" priority="1769" operator="equal">
      <formula>"PMS"</formula>
    </cfRule>
    <cfRule type="containsText" dxfId="10897" priority="1770" operator="containsText" text="CMS">
      <formula>NOT(ISERROR(SEARCH("CMS",Z16)))</formula>
    </cfRule>
    <cfRule type="cellIs" dxfId="10896" priority="1771" operator="equal">
      <formula>0</formula>
    </cfRule>
    <cfRule type="cellIs" dxfId="10895" priority="1772" operator="greaterThan">
      <formula>0</formula>
    </cfRule>
  </conditionalFormatting>
  <conditionalFormatting sqref="Z16">
    <cfRule type="cellIs" dxfId="10894" priority="1765" operator="equal">
      <formula>"PMS"</formula>
    </cfRule>
    <cfRule type="containsText" dxfId="10893" priority="1766" operator="containsText" text="CMS">
      <formula>NOT(ISERROR(SEARCH("CMS",Z16)))</formula>
    </cfRule>
    <cfRule type="cellIs" dxfId="10892" priority="1767" operator="equal">
      <formula>0</formula>
    </cfRule>
    <cfRule type="cellIs" dxfId="10891" priority="1768" operator="greaterThan">
      <formula>0</formula>
    </cfRule>
  </conditionalFormatting>
  <conditionalFormatting sqref="J62:K62">
    <cfRule type="cellIs" dxfId="10890" priority="1757" operator="equal">
      <formula>"PMS"</formula>
    </cfRule>
    <cfRule type="containsText" dxfId="10889" priority="1758" operator="containsText" text="CMS">
      <formula>NOT(ISERROR(SEARCH("CMS",J62)))</formula>
    </cfRule>
    <cfRule type="cellIs" dxfId="10888" priority="1759" operator="equal">
      <formula>0</formula>
    </cfRule>
    <cfRule type="cellIs" dxfId="10887" priority="1760" operator="greaterThan">
      <formula>0</formula>
    </cfRule>
    <cfRule type="cellIs" dxfId="10886" priority="1761" operator="equal">
      <formula>"PMS"</formula>
    </cfRule>
    <cfRule type="containsText" dxfId="10885" priority="1762" operator="containsText" text="CMS">
      <formula>NOT(ISERROR(SEARCH("CMS",J62)))</formula>
    </cfRule>
    <cfRule type="cellIs" dxfId="10884" priority="1763" operator="equal">
      <formula>0</formula>
    </cfRule>
    <cfRule type="cellIs" dxfId="10883" priority="1764" operator="greaterThan">
      <formula>0</formula>
    </cfRule>
  </conditionalFormatting>
  <conditionalFormatting sqref="J62:K62">
    <cfRule type="cellIs" dxfId="10882" priority="1753" operator="equal">
      <formula>"PMS"</formula>
    </cfRule>
    <cfRule type="containsText" dxfId="10881" priority="1754" operator="containsText" text="CMS">
      <formula>NOT(ISERROR(SEARCH("CMS",J62)))</formula>
    </cfRule>
    <cfRule type="cellIs" dxfId="10880" priority="1755" operator="equal">
      <formula>0</formula>
    </cfRule>
    <cfRule type="cellIs" dxfId="10879" priority="1756" operator="greaterThan">
      <formula>0</formula>
    </cfRule>
  </conditionalFormatting>
  <conditionalFormatting sqref="O52:O55">
    <cfRule type="cellIs" dxfId="10878" priority="1749" operator="equal">
      <formula>"PMS"</formula>
    </cfRule>
    <cfRule type="containsText" dxfId="10877" priority="1750" operator="containsText" text="CMS">
      <formula>NOT(ISERROR(SEARCH("CMS",O52)))</formula>
    </cfRule>
    <cfRule type="cellIs" dxfId="10876" priority="1751" operator="equal">
      <formula>0</formula>
    </cfRule>
    <cfRule type="cellIs" dxfId="10875" priority="1752" operator="greaterThan">
      <formula>0</formula>
    </cfRule>
  </conditionalFormatting>
  <conditionalFormatting sqref="O52:O55">
    <cfRule type="cellIs" dxfId="10874" priority="1745" operator="equal">
      <formula>"PMS"</formula>
    </cfRule>
    <cfRule type="containsText" dxfId="10873" priority="1746" operator="containsText" text="CMS">
      <formula>NOT(ISERROR(SEARCH("CMS",O52)))</formula>
    </cfRule>
    <cfRule type="cellIs" dxfId="10872" priority="1747" operator="equal">
      <formula>0</formula>
    </cfRule>
    <cfRule type="cellIs" dxfId="10871" priority="1748" operator="greaterThan">
      <formula>0</formula>
    </cfRule>
  </conditionalFormatting>
  <conditionalFormatting sqref="O52:O55">
    <cfRule type="cellIs" dxfId="10870" priority="1741" operator="equal">
      <formula>"PMS"</formula>
    </cfRule>
    <cfRule type="containsText" dxfId="10869" priority="1742" operator="containsText" text="CMS">
      <formula>NOT(ISERROR(SEARCH("CMS",O52)))</formula>
    </cfRule>
    <cfRule type="cellIs" dxfId="10868" priority="1743" operator="equal">
      <formula>0</formula>
    </cfRule>
    <cfRule type="cellIs" dxfId="10867" priority="1744" operator="greaterThan">
      <formula>0</formula>
    </cfRule>
  </conditionalFormatting>
  <conditionalFormatting sqref="O52:O55">
    <cfRule type="cellIs" dxfId="10866" priority="1737" operator="equal">
      <formula>"PMS"</formula>
    </cfRule>
    <cfRule type="containsText" dxfId="10865" priority="1738" operator="containsText" text="CMS">
      <formula>NOT(ISERROR(SEARCH("CMS",O52)))</formula>
    </cfRule>
    <cfRule type="cellIs" dxfId="10864" priority="1739" operator="equal">
      <formula>0</formula>
    </cfRule>
    <cfRule type="cellIs" dxfId="10863" priority="1740" operator="greaterThan">
      <formula>0</formula>
    </cfRule>
  </conditionalFormatting>
  <conditionalFormatting sqref="O52:O55">
    <cfRule type="cellIs" dxfId="10862" priority="1733" operator="equal">
      <formula>"PMS"</formula>
    </cfRule>
    <cfRule type="containsText" dxfId="10861" priority="1734" operator="containsText" text="CMS">
      <formula>NOT(ISERROR(SEARCH("CMS",O52)))</formula>
    </cfRule>
    <cfRule type="cellIs" dxfId="10860" priority="1735" operator="equal">
      <formula>0</formula>
    </cfRule>
    <cfRule type="cellIs" dxfId="10859" priority="1736" operator="greaterThan">
      <formula>0</formula>
    </cfRule>
  </conditionalFormatting>
  <conditionalFormatting sqref="O52:O55">
    <cfRule type="cellIs" dxfId="10858" priority="1729" operator="equal">
      <formula>"PMS"</formula>
    </cfRule>
    <cfRule type="containsText" dxfId="10857" priority="1730" operator="containsText" text="CMS">
      <formula>NOT(ISERROR(SEARCH("CMS",O52)))</formula>
    </cfRule>
    <cfRule type="cellIs" dxfId="10856" priority="1731" operator="equal">
      <formula>0</formula>
    </cfRule>
    <cfRule type="cellIs" dxfId="10855" priority="1732" operator="greaterThan">
      <formula>0</formula>
    </cfRule>
  </conditionalFormatting>
  <conditionalFormatting sqref="O52:O54">
    <cfRule type="cellIs" dxfId="10854" priority="1725" operator="equal">
      <formula>"PMS"</formula>
    </cfRule>
    <cfRule type="containsText" dxfId="10853" priority="1726" operator="containsText" text="CMS">
      <formula>NOT(ISERROR(SEARCH("CMS",O52)))</formula>
    </cfRule>
    <cfRule type="cellIs" dxfId="10852" priority="1727" operator="equal">
      <formula>0</formula>
    </cfRule>
    <cfRule type="cellIs" dxfId="10851" priority="1728" operator="greaterThan">
      <formula>0</formula>
    </cfRule>
  </conditionalFormatting>
  <conditionalFormatting sqref="O52:O54">
    <cfRule type="cellIs" dxfId="10850" priority="1721" operator="equal">
      <formula>"PMS"</formula>
    </cfRule>
    <cfRule type="containsText" dxfId="10849" priority="1722" operator="containsText" text="CMS">
      <formula>NOT(ISERROR(SEARCH("CMS",O52)))</formula>
    </cfRule>
    <cfRule type="cellIs" dxfId="10848" priority="1723" operator="equal">
      <formula>0</formula>
    </cfRule>
    <cfRule type="cellIs" dxfId="10847" priority="1724" operator="greaterThan">
      <formula>0</formula>
    </cfRule>
  </conditionalFormatting>
  <conditionalFormatting sqref="O52:O54">
    <cfRule type="cellIs" dxfId="10846" priority="1717" operator="equal">
      <formula>"PMS"</formula>
    </cfRule>
    <cfRule type="containsText" dxfId="10845" priority="1718" operator="containsText" text="CMS">
      <formula>NOT(ISERROR(SEARCH("CMS",O52)))</formula>
    </cfRule>
    <cfRule type="cellIs" dxfId="10844" priority="1719" operator="equal">
      <formula>0</formula>
    </cfRule>
    <cfRule type="cellIs" dxfId="10843" priority="1720" operator="greaterThan">
      <formula>0</formula>
    </cfRule>
  </conditionalFormatting>
  <conditionalFormatting sqref="O52:O54">
    <cfRule type="cellIs" dxfId="10842" priority="1713" operator="equal">
      <formula>"PMS"</formula>
    </cfRule>
    <cfRule type="containsText" dxfId="10841" priority="1714" operator="containsText" text="CMS">
      <formula>NOT(ISERROR(SEARCH("CMS",O52)))</formula>
    </cfRule>
    <cfRule type="cellIs" dxfId="10840" priority="1715" operator="equal">
      <formula>0</formula>
    </cfRule>
    <cfRule type="cellIs" dxfId="10839" priority="1716" operator="greaterThan">
      <formula>0</formula>
    </cfRule>
  </conditionalFormatting>
  <conditionalFormatting sqref="O52:O54">
    <cfRule type="cellIs" dxfId="10838" priority="1709" operator="equal">
      <formula>"PMS"</formula>
    </cfRule>
    <cfRule type="containsText" dxfId="10837" priority="1710" operator="containsText" text="CMS">
      <formula>NOT(ISERROR(SEARCH("CMS",O52)))</formula>
    </cfRule>
    <cfRule type="cellIs" dxfId="10836" priority="1711" operator="equal">
      <formula>0</formula>
    </cfRule>
    <cfRule type="cellIs" dxfId="10835" priority="1712" operator="greaterThan">
      <formula>0</formula>
    </cfRule>
  </conditionalFormatting>
  <conditionalFormatting sqref="O52:O54">
    <cfRule type="cellIs" dxfId="10834" priority="1705" operator="equal">
      <formula>"PMS"</formula>
    </cfRule>
    <cfRule type="containsText" dxfId="10833" priority="1706" operator="containsText" text="CMS">
      <formula>NOT(ISERROR(SEARCH("CMS",O52)))</formula>
    </cfRule>
    <cfRule type="cellIs" dxfId="10832" priority="1707" operator="equal">
      <formula>0</formula>
    </cfRule>
    <cfRule type="cellIs" dxfId="10831" priority="1708" operator="greaterThan">
      <formula>0</formula>
    </cfRule>
  </conditionalFormatting>
  <conditionalFormatting sqref="O52:O54">
    <cfRule type="cellIs" dxfId="10830" priority="1701" operator="equal">
      <formula>"PMS"</formula>
    </cfRule>
    <cfRule type="containsText" dxfId="10829" priority="1702" operator="containsText" text="CMS">
      <formula>NOT(ISERROR(SEARCH("CMS",O52)))</formula>
    </cfRule>
    <cfRule type="cellIs" dxfId="10828" priority="1703" operator="equal">
      <formula>0</formula>
    </cfRule>
    <cfRule type="cellIs" dxfId="10827" priority="1704" operator="greaterThan">
      <formula>0</formula>
    </cfRule>
  </conditionalFormatting>
  <conditionalFormatting sqref="O52:O54">
    <cfRule type="cellIs" dxfId="10826" priority="1697" operator="equal">
      <formula>"PMS"</formula>
    </cfRule>
    <cfRule type="containsText" dxfId="10825" priority="1698" operator="containsText" text="CMS">
      <formula>NOT(ISERROR(SEARCH("CMS",O52)))</formula>
    </cfRule>
    <cfRule type="cellIs" dxfId="10824" priority="1699" operator="equal">
      <formula>0</formula>
    </cfRule>
    <cfRule type="cellIs" dxfId="10823" priority="1700" operator="greaterThan">
      <formula>0</formula>
    </cfRule>
  </conditionalFormatting>
  <conditionalFormatting sqref="O52:O54">
    <cfRule type="cellIs" dxfId="10822" priority="1693" operator="equal">
      <formula>"PMS"</formula>
    </cfRule>
    <cfRule type="containsText" dxfId="10821" priority="1694" operator="containsText" text="CMS">
      <formula>NOT(ISERROR(SEARCH("CMS",O52)))</formula>
    </cfRule>
    <cfRule type="cellIs" dxfId="10820" priority="1695" operator="equal">
      <formula>0</formula>
    </cfRule>
    <cfRule type="cellIs" dxfId="10819" priority="1696" operator="greaterThan">
      <formula>0</formula>
    </cfRule>
  </conditionalFormatting>
  <conditionalFormatting sqref="O52:O54">
    <cfRule type="cellIs" dxfId="10818" priority="1689" operator="equal">
      <formula>"PMS"</formula>
    </cfRule>
    <cfRule type="containsText" dxfId="10817" priority="1690" operator="containsText" text="CMS">
      <formula>NOT(ISERROR(SEARCH("CMS",O52)))</formula>
    </cfRule>
    <cfRule type="cellIs" dxfId="10816" priority="1691" operator="equal">
      <formula>0</formula>
    </cfRule>
    <cfRule type="cellIs" dxfId="10815" priority="1692" operator="greaterThan">
      <formula>0</formula>
    </cfRule>
  </conditionalFormatting>
  <conditionalFormatting sqref="O52:O54">
    <cfRule type="cellIs" dxfId="10814" priority="1685" operator="equal">
      <formula>"PMS"</formula>
    </cfRule>
    <cfRule type="containsText" dxfId="10813" priority="1686" operator="containsText" text="CMS">
      <formula>NOT(ISERROR(SEARCH("CMS",O52)))</formula>
    </cfRule>
    <cfRule type="cellIs" dxfId="10812" priority="1687" operator="equal">
      <formula>0</formula>
    </cfRule>
    <cfRule type="cellIs" dxfId="10811" priority="1688" operator="greaterThan">
      <formula>0</formula>
    </cfRule>
  </conditionalFormatting>
  <conditionalFormatting sqref="O52:O54">
    <cfRule type="cellIs" dxfId="10810" priority="1681" operator="equal">
      <formula>"PMS"</formula>
    </cfRule>
    <cfRule type="containsText" dxfId="10809" priority="1682" operator="containsText" text="CMS">
      <formula>NOT(ISERROR(SEARCH("CMS",O52)))</formula>
    </cfRule>
    <cfRule type="cellIs" dxfId="10808" priority="1683" operator="equal">
      <formula>0</formula>
    </cfRule>
    <cfRule type="cellIs" dxfId="10807" priority="1684" operator="greaterThan">
      <formula>0</formula>
    </cfRule>
  </conditionalFormatting>
  <conditionalFormatting sqref="O52:O54">
    <cfRule type="cellIs" dxfId="10806" priority="1677" operator="equal">
      <formula>"PMS"</formula>
    </cfRule>
    <cfRule type="containsText" dxfId="10805" priority="1678" operator="containsText" text="CMS">
      <formula>NOT(ISERROR(SEARCH("CMS",O52)))</formula>
    </cfRule>
    <cfRule type="cellIs" dxfId="10804" priority="1679" operator="equal">
      <formula>0</formula>
    </cfRule>
    <cfRule type="cellIs" dxfId="10803" priority="1680" operator="greaterThan">
      <formula>0</formula>
    </cfRule>
  </conditionalFormatting>
  <conditionalFormatting sqref="P52:P54">
    <cfRule type="cellIs" dxfId="10802" priority="1673" operator="equal">
      <formula>"PMS"</formula>
    </cfRule>
    <cfRule type="containsText" dxfId="10801" priority="1674" operator="containsText" text="CMS">
      <formula>NOT(ISERROR(SEARCH("CMS",P52)))</formula>
    </cfRule>
    <cfRule type="cellIs" dxfId="10800" priority="1675" operator="equal">
      <formula>0</formula>
    </cfRule>
    <cfRule type="cellIs" dxfId="10799" priority="1676" operator="greaterThan">
      <formula>0</formula>
    </cfRule>
  </conditionalFormatting>
  <conditionalFormatting sqref="P52:P54">
    <cfRule type="cellIs" dxfId="10798" priority="1669" operator="equal">
      <formula>"PMS"</formula>
    </cfRule>
    <cfRule type="containsText" dxfId="10797" priority="1670" operator="containsText" text="CMS">
      <formula>NOT(ISERROR(SEARCH("CMS",P52)))</formula>
    </cfRule>
    <cfRule type="cellIs" dxfId="10796" priority="1671" operator="equal">
      <formula>0</formula>
    </cfRule>
    <cfRule type="cellIs" dxfId="10795" priority="1672" operator="greaterThan">
      <formula>0</formula>
    </cfRule>
  </conditionalFormatting>
  <conditionalFormatting sqref="P52:P54">
    <cfRule type="cellIs" dxfId="10794" priority="1665" operator="equal">
      <formula>"PMS"</formula>
    </cfRule>
    <cfRule type="containsText" dxfId="10793" priority="1666" operator="containsText" text="CMS">
      <formula>NOT(ISERROR(SEARCH("CMS",P52)))</formula>
    </cfRule>
    <cfRule type="cellIs" dxfId="10792" priority="1667" operator="equal">
      <formula>0</formula>
    </cfRule>
    <cfRule type="cellIs" dxfId="10791" priority="1668" operator="greaterThan">
      <formula>0</formula>
    </cfRule>
  </conditionalFormatting>
  <conditionalFormatting sqref="P52:P54">
    <cfRule type="cellIs" dxfId="10790" priority="1661" operator="equal">
      <formula>"PMS"</formula>
    </cfRule>
    <cfRule type="containsText" dxfId="10789" priority="1662" operator="containsText" text="CMS">
      <formula>NOT(ISERROR(SEARCH("CMS",P52)))</formula>
    </cfRule>
    <cfRule type="cellIs" dxfId="10788" priority="1663" operator="equal">
      <formula>0</formula>
    </cfRule>
    <cfRule type="cellIs" dxfId="10787" priority="1664" operator="greaterThan">
      <formula>0</formula>
    </cfRule>
  </conditionalFormatting>
  <conditionalFormatting sqref="P57:P58">
    <cfRule type="cellIs" dxfId="10786" priority="1657" operator="equal">
      <formula>"PMS"</formula>
    </cfRule>
    <cfRule type="containsText" dxfId="10785" priority="1658" operator="containsText" text="CMS">
      <formula>NOT(ISERROR(SEARCH("CMS",P57)))</formula>
    </cfRule>
    <cfRule type="cellIs" dxfId="10784" priority="1659" operator="equal">
      <formula>0</formula>
    </cfRule>
    <cfRule type="cellIs" dxfId="10783" priority="1660" operator="greaterThan">
      <formula>0</formula>
    </cfRule>
  </conditionalFormatting>
  <conditionalFormatting sqref="P57:P58">
    <cfRule type="cellIs" dxfId="10782" priority="1653" operator="equal">
      <formula>"PMS"</formula>
    </cfRule>
    <cfRule type="containsText" dxfId="10781" priority="1654" operator="containsText" text="CMS">
      <formula>NOT(ISERROR(SEARCH("CMS",P57)))</formula>
    </cfRule>
    <cfRule type="cellIs" dxfId="10780" priority="1655" operator="equal">
      <formula>0</formula>
    </cfRule>
    <cfRule type="cellIs" dxfId="10779" priority="1656" operator="greaterThan">
      <formula>0</formula>
    </cfRule>
  </conditionalFormatting>
  <conditionalFormatting sqref="P57:P58">
    <cfRule type="cellIs" dxfId="10778" priority="1649" operator="equal">
      <formula>"PMS"</formula>
    </cfRule>
    <cfRule type="containsText" dxfId="10777" priority="1650" operator="containsText" text="CMS">
      <formula>NOT(ISERROR(SEARCH("CMS",P57)))</formula>
    </cfRule>
    <cfRule type="cellIs" dxfId="10776" priority="1651" operator="equal">
      <formula>0</formula>
    </cfRule>
    <cfRule type="cellIs" dxfId="10775" priority="1652" operator="greaterThan">
      <formula>0</formula>
    </cfRule>
  </conditionalFormatting>
  <conditionalFormatting sqref="P57:P58">
    <cfRule type="cellIs" dxfId="10774" priority="1645" operator="equal">
      <formula>"PMS"</formula>
    </cfRule>
    <cfRule type="containsText" dxfId="10773" priority="1646" operator="containsText" text="CMS">
      <formula>NOT(ISERROR(SEARCH("CMS",P57)))</formula>
    </cfRule>
    <cfRule type="cellIs" dxfId="10772" priority="1647" operator="equal">
      <formula>0</formula>
    </cfRule>
    <cfRule type="cellIs" dxfId="10771" priority="1648" operator="greaterThan">
      <formula>0</formula>
    </cfRule>
  </conditionalFormatting>
  <conditionalFormatting sqref="O47">
    <cfRule type="cellIs" dxfId="10770" priority="1641" operator="equal">
      <formula>"PMS"</formula>
    </cfRule>
    <cfRule type="containsText" dxfId="10769" priority="1642" operator="containsText" text="CMS">
      <formula>NOT(ISERROR(SEARCH("CMS",O47)))</formula>
    </cfRule>
    <cfRule type="cellIs" dxfId="10768" priority="1643" operator="equal">
      <formula>0</formula>
    </cfRule>
    <cfRule type="cellIs" dxfId="10767" priority="1644" operator="greaterThan">
      <formula>0</formula>
    </cfRule>
  </conditionalFormatting>
  <conditionalFormatting sqref="O47">
    <cfRule type="cellIs" dxfId="10766" priority="1637" operator="equal">
      <formula>"PMS"</formula>
    </cfRule>
    <cfRule type="containsText" dxfId="10765" priority="1638" operator="containsText" text="CMS">
      <formula>NOT(ISERROR(SEARCH("CMS",O47)))</formula>
    </cfRule>
    <cfRule type="cellIs" dxfId="10764" priority="1639" operator="equal">
      <formula>0</formula>
    </cfRule>
    <cfRule type="cellIs" dxfId="10763" priority="1640" operator="greaterThan">
      <formula>0</formula>
    </cfRule>
  </conditionalFormatting>
  <conditionalFormatting sqref="O47">
    <cfRule type="cellIs" dxfId="10762" priority="1633" operator="equal">
      <formula>"PMS"</formula>
    </cfRule>
    <cfRule type="containsText" dxfId="10761" priority="1634" operator="containsText" text="CMS">
      <formula>NOT(ISERROR(SEARCH("CMS",O47)))</formula>
    </cfRule>
    <cfRule type="cellIs" dxfId="10760" priority="1635" operator="equal">
      <formula>0</formula>
    </cfRule>
    <cfRule type="cellIs" dxfId="10759" priority="1636" operator="greaterThan">
      <formula>0</formula>
    </cfRule>
  </conditionalFormatting>
  <conditionalFormatting sqref="P57:P58">
    <cfRule type="cellIs" dxfId="10758" priority="1629" operator="equal">
      <formula>"PMS"</formula>
    </cfRule>
    <cfRule type="containsText" dxfId="10757" priority="1630" operator="containsText" text="CMS">
      <formula>NOT(ISERROR(SEARCH("CMS",P57)))</formula>
    </cfRule>
    <cfRule type="cellIs" dxfId="10756" priority="1631" operator="equal">
      <formula>0</formula>
    </cfRule>
    <cfRule type="cellIs" dxfId="10755" priority="1632" operator="greaterThan">
      <formula>0</formula>
    </cfRule>
  </conditionalFormatting>
  <conditionalFormatting sqref="P57:P58">
    <cfRule type="cellIs" dxfId="10754" priority="1625" operator="equal">
      <formula>"PMS"</formula>
    </cfRule>
    <cfRule type="containsText" dxfId="10753" priority="1626" operator="containsText" text="CMS">
      <formula>NOT(ISERROR(SEARCH("CMS",P57)))</formula>
    </cfRule>
    <cfRule type="cellIs" dxfId="10752" priority="1627" operator="equal">
      <formula>0</formula>
    </cfRule>
    <cfRule type="cellIs" dxfId="10751" priority="1628" operator="greaterThan">
      <formula>0</formula>
    </cfRule>
  </conditionalFormatting>
  <conditionalFormatting sqref="P57:P58">
    <cfRule type="cellIs" dxfId="10750" priority="1621" operator="equal">
      <formula>"PMS"</formula>
    </cfRule>
    <cfRule type="containsText" dxfId="10749" priority="1622" operator="containsText" text="CMS">
      <formula>NOT(ISERROR(SEARCH("CMS",P57)))</formula>
    </cfRule>
    <cfRule type="cellIs" dxfId="10748" priority="1623" operator="equal">
      <formula>0</formula>
    </cfRule>
    <cfRule type="cellIs" dxfId="10747" priority="1624" operator="greaterThan">
      <formula>0</formula>
    </cfRule>
  </conditionalFormatting>
  <conditionalFormatting sqref="P57:P58">
    <cfRule type="cellIs" dxfId="10746" priority="1617" operator="equal">
      <formula>"PMS"</formula>
    </cfRule>
    <cfRule type="containsText" dxfId="10745" priority="1618" operator="containsText" text="CMS">
      <formula>NOT(ISERROR(SEARCH("CMS",P57)))</formula>
    </cfRule>
    <cfRule type="cellIs" dxfId="10744" priority="1619" operator="equal">
      <formula>0</formula>
    </cfRule>
    <cfRule type="cellIs" dxfId="10743" priority="1620" operator="greaterThan">
      <formula>0</formula>
    </cfRule>
  </conditionalFormatting>
  <conditionalFormatting sqref="F20:F21 F77:F78 F35:F58">
    <cfRule type="cellIs" dxfId="10742" priority="1609" operator="equal">
      <formula>"PMS"</formula>
    </cfRule>
    <cfRule type="containsText" dxfId="10741" priority="1610" operator="containsText" text="CMS">
      <formula>NOT(ISERROR(SEARCH("CMS",F20)))</formula>
    </cfRule>
    <cfRule type="cellIs" dxfId="10740" priority="1611" operator="equal">
      <formula>0</formula>
    </cfRule>
    <cfRule type="cellIs" dxfId="10739" priority="1612" operator="greaterThan">
      <formula>0</formula>
    </cfRule>
    <cfRule type="cellIs" dxfId="10738" priority="1613" operator="equal">
      <formula>"PMS"</formula>
    </cfRule>
    <cfRule type="containsText" dxfId="10737" priority="1614" operator="containsText" text="CMS">
      <formula>NOT(ISERROR(SEARCH("CMS",F20)))</formula>
    </cfRule>
    <cfRule type="cellIs" dxfId="10736" priority="1615" operator="equal">
      <formula>0</formula>
    </cfRule>
    <cfRule type="cellIs" dxfId="10735" priority="1616" operator="greaterThan">
      <formula>0</formula>
    </cfRule>
  </conditionalFormatting>
  <conditionalFormatting sqref="F77:F78">
    <cfRule type="cellIs" dxfId="10734" priority="1605" operator="equal">
      <formula>"PMS"</formula>
    </cfRule>
    <cfRule type="containsText" dxfId="10733" priority="1606" operator="containsText" text="CMS">
      <formula>NOT(ISERROR(SEARCH("CMS",F77)))</formula>
    </cfRule>
    <cfRule type="cellIs" dxfId="10732" priority="1607" operator="equal">
      <formula>0</formula>
    </cfRule>
    <cfRule type="cellIs" dxfId="10731" priority="1608" operator="greaterThan">
      <formula>0</formula>
    </cfRule>
  </conditionalFormatting>
  <conditionalFormatting sqref="F20:F21">
    <cfRule type="cellIs" dxfId="10730" priority="1601" operator="equal">
      <formula>"PMS"</formula>
    </cfRule>
    <cfRule type="containsText" dxfId="10729" priority="1602" operator="containsText" text="CMS">
      <formula>NOT(ISERROR(SEARCH("CMS",F20)))</formula>
    </cfRule>
    <cfRule type="cellIs" dxfId="10728" priority="1603" operator="equal">
      <formula>0</formula>
    </cfRule>
    <cfRule type="cellIs" dxfId="10727" priority="1604" operator="greaterThan">
      <formula>0</formula>
    </cfRule>
  </conditionalFormatting>
  <conditionalFormatting sqref="F20:F21">
    <cfRule type="cellIs" dxfId="10726" priority="1597" operator="equal">
      <formula>"PMS"</formula>
    </cfRule>
    <cfRule type="containsText" dxfId="10725" priority="1598" operator="containsText" text="CMS">
      <formula>NOT(ISERROR(SEARCH("CMS",F20)))</formula>
    </cfRule>
    <cfRule type="cellIs" dxfId="10724" priority="1599" operator="equal">
      <formula>0</formula>
    </cfRule>
    <cfRule type="cellIs" dxfId="10723" priority="1600" operator="greaterThan">
      <formula>0</formula>
    </cfRule>
  </conditionalFormatting>
  <conditionalFormatting sqref="F35:F58">
    <cfRule type="cellIs" dxfId="10722" priority="1593" operator="equal">
      <formula>"PMS"</formula>
    </cfRule>
    <cfRule type="containsText" dxfId="10721" priority="1594" operator="containsText" text="CMS">
      <formula>NOT(ISERROR(SEARCH("CMS",F35)))</formula>
    </cfRule>
    <cfRule type="cellIs" dxfId="10720" priority="1595" operator="equal">
      <formula>0</formula>
    </cfRule>
    <cfRule type="cellIs" dxfId="10719" priority="1596" operator="greaterThan">
      <formula>0</formula>
    </cfRule>
  </conditionalFormatting>
  <conditionalFormatting sqref="F35:F58">
    <cfRule type="cellIs" dxfId="10718" priority="1589" operator="equal">
      <formula>"PMS"</formula>
    </cfRule>
    <cfRule type="containsText" dxfId="10717" priority="1590" operator="containsText" text="CMS">
      <formula>NOT(ISERROR(SEARCH("CMS",F35)))</formula>
    </cfRule>
    <cfRule type="cellIs" dxfId="10716" priority="1591" operator="equal">
      <formula>0</formula>
    </cfRule>
    <cfRule type="cellIs" dxfId="10715" priority="1592" operator="greaterThan">
      <formula>0</formula>
    </cfRule>
  </conditionalFormatting>
  <conditionalFormatting sqref="F57">
    <cfRule type="cellIs" dxfId="10714" priority="1585" operator="equal">
      <formula>"PMS"</formula>
    </cfRule>
    <cfRule type="containsText" dxfId="10713" priority="1586" operator="containsText" text="CMS">
      <formula>NOT(ISERROR(SEARCH("CMS",F57)))</formula>
    </cfRule>
    <cfRule type="cellIs" dxfId="10712" priority="1587" operator="equal">
      <formula>0</formula>
    </cfRule>
    <cfRule type="cellIs" dxfId="10711" priority="1588" operator="greaterThan">
      <formula>0</formula>
    </cfRule>
  </conditionalFormatting>
  <conditionalFormatting sqref="F57">
    <cfRule type="cellIs" dxfId="10710" priority="1581" operator="equal">
      <formula>"PMS"</formula>
    </cfRule>
    <cfRule type="containsText" dxfId="10709" priority="1582" operator="containsText" text="CMS">
      <formula>NOT(ISERROR(SEARCH("CMS",F57)))</formula>
    </cfRule>
    <cfRule type="cellIs" dxfId="10708" priority="1583" operator="equal">
      <formula>0</formula>
    </cfRule>
    <cfRule type="cellIs" dxfId="10707" priority="1584" operator="greaterThan">
      <formula>0</formula>
    </cfRule>
  </conditionalFormatting>
  <conditionalFormatting sqref="F57">
    <cfRule type="cellIs" dxfId="10706" priority="1577" operator="equal">
      <formula>"PMS"</formula>
    </cfRule>
    <cfRule type="containsText" dxfId="10705" priority="1578" operator="containsText" text="CMS">
      <formula>NOT(ISERROR(SEARCH("CMS",F57)))</formula>
    </cfRule>
    <cfRule type="cellIs" dxfId="10704" priority="1579" operator="equal">
      <formula>0</formula>
    </cfRule>
    <cfRule type="cellIs" dxfId="10703" priority="1580" operator="greaterThan">
      <formula>0</formula>
    </cfRule>
  </conditionalFormatting>
  <conditionalFormatting sqref="F57">
    <cfRule type="cellIs" dxfId="10702" priority="1573" operator="equal">
      <formula>"PMS"</formula>
    </cfRule>
    <cfRule type="containsText" dxfId="10701" priority="1574" operator="containsText" text="CMS">
      <formula>NOT(ISERROR(SEARCH("CMS",F57)))</formula>
    </cfRule>
    <cfRule type="cellIs" dxfId="10700" priority="1575" operator="equal">
      <formula>0</formula>
    </cfRule>
    <cfRule type="cellIs" dxfId="10699" priority="1576" operator="greaterThan">
      <formula>0</formula>
    </cfRule>
  </conditionalFormatting>
  <conditionalFormatting sqref="F58">
    <cfRule type="cellIs" dxfId="10698" priority="1569" operator="equal">
      <formula>"PMS"</formula>
    </cfRule>
    <cfRule type="containsText" dxfId="10697" priority="1570" operator="containsText" text="CMS">
      <formula>NOT(ISERROR(SEARCH("CMS",F58)))</formula>
    </cfRule>
    <cfRule type="cellIs" dxfId="10696" priority="1571" operator="equal">
      <formula>0</formula>
    </cfRule>
    <cfRule type="cellIs" dxfId="10695" priority="1572" operator="greaterThan">
      <formula>0</formula>
    </cfRule>
  </conditionalFormatting>
  <conditionalFormatting sqref="F58">
    <cfRule type="cellIs" dxfId="10694" priority="1565" operator="equal">
      <formula>"PMS"</formula>
    </cfRule>
    <cfRule type="containsText" dxfId="10693" priority="1566" operator="containsText" text="CMS">
      <formula>NOT(ISERROR(SEARCH("CMS",F58)))</formula>
    </cfRule>
    <cfRule type="cellIs" dxfId="10692" priority="1567" operator="equal">
      <formula>0</formula>
    </cfRule>
    <cfRule type="cellIs" dxfId="10691" priority="1568" operator="greaterThan">
      <formula>0</formula>
    </cfRule>
  </conditionalFormatting>
  <conditionalFormatting sqref="F58">
    <cfRule type="cellIs" dxfId="10690" priority="1561" operator="equal">
      <formula>"PMS"</formula>
    </cfRule>
    <cfRule type="containsText" dxfId="10689" priority="1562" operator="containsText" text="CMS">
      <formula>NOT(ISERROR(SEARCH("CMS",F58)))</formula>
    </cfRule>
    <cfRule type="cellIs" dxfId="10688" priority="1563" operator="equal">
      <formula>0</formula>
    </cfRule>
    <cfRule type="cellIs" dxfId="10687" priority="1564" operator="greaterThan">
      <formula>0</formula>
    </cfRule>
  </conditionalFormatting>
  <conditionalFormatting sqref="F58">
    <cfRule type="cellIs" dxfId="10686" priority="1557" operator="equal">
      <formula>"PMS"</formula>
    </cfRule>
    <cfRule type="containsText" dxfId="10685" priority="1558" operator="containsText" text="CMS">
      <formula>NOT(ISERROR(SEARCH("CMS",F58)))</formula>
    </cfRule>
    <cfRule type="cellIs" dxfId="10684" priority="1559" operator="equal">
      <formula>0</formula>
    </cfRule>
    <cfRule type="cellIs" dxfId="10683" priority="1560" operator="greaterThan">
      <formula>0</formula>
    </cfRule>
  </conditionalFormatting>
  <conditionalFormatting sqref="F19">
    <cfRule type="cellIs" dxfId="10682" priority="1553" operator="equal">
      <formula>"CMS"</formula>
    </cfRule>
    <cfRule type="cellIs" dxfId="10681" priority="1554" operator="equal">
      <formula>"PMS"</formula>
    </cfRule>
    <cfRule type="cellIs" dxfId="10680" priority="1555" operator="greaterThan">
      <formula>0</formula>
    </cfRule>
    <cfRule type="cellIs" dxfId="10679" priority="1556" operator="equal">
      <formula>0</formula>
    </cfRule>
  </conditionalFormatting>
  <conditionalFormatting sqref="F32">
    <cfRule type="cellIs" dxfId="10678" priority="1545" operator="equal">
      <formula>"PMS"</formula>
    </cfRule>
    <cfRule type="containsText" dxfId="10677" priority="1546" operator="containsText" text="CMS">
      <formula>NOT(ISERROR(SEARCH("CMS",F32)))</formula>
    </cfRule>
    <cfRule type="cellIs" dxfId="10676" priority="1547" operator="equal">
      <formula>0</formula>
    </cfRule>
    <cfRule type="cellIs" dxfId="10675" priority="1548" operator="greaterThan">
      <formula>0</formula>
    </cfRule>
    <cfRule type="cellIs" dxfId="10674" priority="1549" operator="equal">
      <formula>"PMS"</formula>
    </cfRule>
    <cfRule type="containsText" dxfId="10673" priority="1550" operator="containsText" text="CMS">
      <formula>NOT(ISERROR(SEARCH("CMS",F32)))</formula>
    </cfRule>
    <cfRule type="cellIs" dxfId="10672" priority="1551" operator="equal">
      <formula>0</formula>
    </cfRule>
    <cfRule type="cellIs" dxfId="10671" priority="1552" operator="greaterThan">
      <formula>0</formula>
    </cfRule>
  </conditionalFormatting>
  <conditionalFormatting sqref="F32">
    <cfRule type="cellIs" dxfId="10670" priority="1541" operator="equal">
      <formula>"PMS"</formula>
    </cfRule>
    <cfRule type="containsText" dxfId="10669" priority="1542" operator="containsText" text="CMS">
      <formula>NOT(ISERROR(SEARCH("CMS",F32)))</formula>
    </cfRule>
    <cfRule type="cellIs" dxfId="10668" priority="1543" operator="equal">
      <formula>0</formula>
    </cfRule>
    <cfRule type="cellIs" dxfId="10667" priority="1544" operator="greaterThan">
      <formula>0</formula>
    </cfRule>
  </conditionalFormatting>
  <conditionalFormatting sqref="F32">
    <cfRule type="cellIs" dxfId="10666" priority="1537" operator="equal">
      <formula>"PMS"</formula>
    </cfRule>
    <cfRule type="containsText" dxfId="10665" priority="1538" operator="containsText" text="CMS">
      <formula>NOT(ISERROR(SEARCH("CMS",F32)))</formula>
    </cfRule>
    <cfRule type="cellIs" dxfId="10664" priority="1539" operator="equal">
      <formula>0</formula>
    </cfRule>
    <cfRule type="cellIs" dxfId="10663" priority="1540" operator="greaterThan">
      <formula>0</formula>
    </cfRule>
  </conditionalFormatting>
  <conditionalFormatting sqref="P44">
    <cfRule type="cellIs" dxfId="10662" priority="1533" operator="equal">
      <formula>"PMS"</formula>
    </cfRule>
    <cfRule type="containsText" dxfId="10661" priority="1534" operator="containsText" text="CMS">
      <formula>NOT(ISERROR(SEARCH("CMS",P44)))</formula>
    </cfRule>
    <cfRule type="cellIs" dxfId="10660" priority="1535" operator="equal">
      <formula>0</formula>
    </cfRule>
    <cfRule type="cellIs" dxfId="10659" priority="1536" operator="greaterThan">
      <formula>0</formula>
    </cfRule>
  </conditionalFormatting>
  <conditionalFormatting sqref="P44">
    <cfRule type="cellIs" dxfId="10658" priority="1529" operator="equal">
      <formula>"PMS"</formula>
    </cfRule>
    <cfRule type="containsText" dxfId="10657" priority="1530" operator="containsText" text="CMS">
      <formula>NOT(ISERROR(SEARCH("CMS",P44)))</formula>
    </cfRule>
    <cfRule type="cellIs" dxfId="10656" priority="1531" operator="equal">
      <formula>0</formula>
    </cfRule>
    <cfRule type="cellIs" dxfId="10655" priority="1532" operator="greaterThan">
      <formula>0</formula>
    </cfRule>
  </conditionalFormatting>
  <conditionalFormatting sqref="P44">
    <cfRule type="cellIs" dxfId="10654" priority="1525" operator="equal">
      <formula>"PMS"</formula>
    </cfRule>
    <cfRule type="containsText" dxfId="10653" priority="1526" operator="containsText" text="CMS">
      <formula>NOT(ISERROR(SEARCH("CMS",P44)))</formula>
    </cfRule>
    <cfRule type="cellIs" dxfId="10652" priority="1527" operator="equal">
      <formula>0</formula>
    </cfRule>
    <cfRule type="cellIs" dxfId="10651" priority="1528" operator="greaterThan">
      <formula>0</formula>
    </cfRule>
  </conditionalFormatting>
  <conditionalFormatting sqref="P44">
    <cfRule type="cellIs" dxfId="10650" priority="1521" operator="equal">
      <formula>"PMS"</formula>
    </cfRule>
    <cfRule type="containsText" dxfId="10649" priority="1522" operator="containsText" text="CMS">
      <formula>NOT(ISERROR(SEARCH("CMS",P44)))</formula>
    </cfRule>
    <cfRule type="cellIs" dxfId="10648" priority="1523" operator="equal">
      <formula>0</formula>
    </cfRule>
    <cfRule type="cellIs" dxfId="10647" priority="1524" operator="greaterThan">
      <formula>0</formula>
    </cfRule>
  </conditionalFormatting>
  <conditionalFormatting sqref="P52:P54">
    <cfRule type="cellIs" dxfId="10646" priority="1517" operator="equal">
      <formula>"PMS"</formula>
    </cfRule>
    <cfRule type="containsText" dxfId="10645" priority="1518" operator="containsText" text="CMS">
      <formula>NOT(ISERROR(SEARCH("CMS",P52)))</formula>
    </cfRule>
    <cfRule type="cellIs" dxfId="10644" priority="1519" operator="equal">
      <formula>0</formula>
    </cfRule>
    <cfRule type="cellIs" dxfId="10643" priority="1520" operator="greaterThan">
      <formula>0</formula>
    </cfRule>
  </conditionalFormatting>
  <conditionalFormatting sqref="P52:P54">
    <cfRule type="cellIs" dxfId="10642" priority="1513" operator="equal">
      <formula>"PMS"</formula>
    </cfRule>
    <cfRule type="containsText" dxfId="10641" priority="1514" operator="containsText" text="CMS">
      <formula>NOT(ISERROR(SEARCH("CMS",P52)))</formula>
    </cfRule>
    <cfRule type="cellIs" dxfId="10640" priority="1515" operator="equal">
      <formula>0</formula>
    </cfRule>
    <cfRule type="cellIs" dxfId="10639" priority="1516" operator="greaterThan">
      <formula>0</formula>
    </cfRule>
  </conditionalFormatting>
  <conditionalFormatting sqref="P52:P54">
    <cfRule type="cellIs" dxfId="10638" priority="1509" operator="equal">
      <formula>"PMS"</formula>
    </cfRule>
    <cfRule type="containsText" dxfId="10637" priority="1510" operator="containsText" text="CMS">
      <formula>NOT(ISERROR(SEARCH("CMS",P52)))</formula>
    </cfRule>
    <cfRule type="cellIs" dxfId="10636" priority="1511" operator="equal">
      <formula>0</formula>
    </cfRule>
    <cfRule type="cellIs" dxfId="10635" priority="1512" operator="greaterThan">
      <formula>0</formula>
    </cfRule>
  </conditionalFormatting>
  <conditionalFormatting sqref="P52:P54">
    <cfRule type="cellIs" dxfId="10634" priority="1505" operator="equal">
      <formula>"PMS"</formula>
    </cfRule>
    <cfRule type="containsText" dxfId="10633" priority="1506" operator="containsText" text="CMS">
      <formula>NOT(ISERROR(SEARCH("CMS",P52)))</formula>
    </cfRule>
    <cfRule type="cellIs" dxfId="10632" priority="1507" operator="equal">
      <formula>0</formula>
    </cfRule>
    <cfRule type="cellIs" dxfId="10631" priority="1508" operator="greaterThan">
      <formula>0</formula>
    </cfRule>
  </conditionalFormatting>
  <conditionalFormatting sqref="P57:P58">
    <cfRule type="cellIs" dxfId="10630" priority="1501" operator="equal">
      <formula>"PMS"</formula>
    </cfRule>
    <cfRule type="containsText" dxfId="10629" priority="1502" operator="containsText" text="CMS">
      <formula>NOT(ISERROR(SEARCH("CMS",P57)))</formula>
    </cfRule>
    <cfRule type="cellIs" dxfId="10628" priority="1503" operator="equal">
      <formula>0</formula>
    </cfRule>
    <cfRule type="cellIs" dxfId="10627" priority="1504" operator="greaterThan">
      <formula>0</formula>
    </cfRule>
  </conditionalFormatting>
  <conditionalFormatting sqref="P57:P58">
    <cfRule type="cellIs" dxfId="10626" priority="1497" operator="equal">
      <formula>"PMS"</formula>
    </cfRule>
    <cfRule type="containsText" dxfId="10625" priority="1498" operator="containsText" text="CMS">
      <formula>NOT(ISERROR(SEARCH("CMS",P57)))</formula>
    </cfRule>
    <cfRule type="cellIs" dxfId="10624" priority="1499" operator="equal">
      <formula>0</formula>
    </cfRule>
    <cfRule type="cellIs" dxfId="10623" priority="1500" operator="greaterThan">
      <formula>0</formula>
    </cfRule>
  </conditionalFormatting>
  <conditionalFormatting sqref="P57:P58">
    <cfRule type="cellIs" dxfId="10622" priority="1493" operator="equal">
      <formula>"PMS"</formula>
    </cfRule>
    <cfRule type="containsText" dxfId="10621" priority="1494" operator="containsText" text="CMS">
      <formula>NOT(ISERROR(SEARCH("CMS",P57)))</formula>
    </cfRule>
    <cfRule type="cellIs" dxfId="10620" priority="1495" operator="equal">
      <formula>0</formula>
    </cfRule>
    <cfRule type="cellIs" dxfId="10619" priority="1496" operator="greaterThan">
      <formula>0</formula>
    </cfRule>
  </conditionalFormatting>
  <conditionalFormatting sqref="P57:P58">
    <cfRule type="cellIs" dxfId="10618" priority="1489" operator="equal">
      <formula>"PMS"</formula>
    </cfRule>
    <cfRule type="containsText" dxfId="10617" priority="1490" operator="containsText" text="CMS">
      <formula>NOT(ISERROR(SEARCH("CMS",P57)))</formula>
    </cfRule>
    <cfRule type="cellIs" dxfId="10616" priority="1491" operator="equal">
      <formula>0</formula>
    </cfRule>
    <cfRule type="cellIs" dxfId="10615" priority="1492" operator="greaterThan">
      <formula>0</formula>
    </cfRule>
  </conditionalFormatting>
  <conditionalFormatting sqref="I13:I16">
    <cfRule type="cellIs" dxfId="10614" priority="1485" operator="equal">
      <formula>"PMS"</formula>
    </cfRule>
    <cfRule type="containsText" dxfId="10613" priority="1486" operator="containsText" text="CMS">
      <formula>NOT(ISERROR(SEARCH("CMS",I13)))</formula>
    </cfRule>
    <cfRule type="cellIs" dxfId="10612" priority="1487" operator="equal">
      <formula>0</formula>
    </cfRule>
    <cfRule type="cellIs" dxfId="10611" priority="1488" operator="greaterThan">
      <formula>0</formula>
    </cfRule>
  </conditionalFormatting>
  <conditionalFormatting sqref="I13:I16">
    <cfRule type="cellIs" dxfId="10610" priority="1481" operator="equal">
      <formula>"PMS"</formula>
    </cfRule>
    <cfRule type="containsText" dxfId="10609" priority="1482" operator="containsText" text="CMS">
      <formula>NOT(ISERROR(SEARCH("CMS",I13)))</formula>
    </cfRule>
    <cfRule type="cellIs" dxfId="10608" priority="1483" operator="equal">
      <formula>0</formula>
    </cfRule>
    <cfRule type="cellIs" dxfId="10607" priority="1484" operator="greaterThan">
      <formula>0</formula>
    </cfRule>
  </conditionalFormatting>
  <conditionalFormatting sqref="I13:I15">
    <cfRule type="cellIs" dxfId="10606" priority="1477" operator="equal">
      <formula>"PMS"</formula>
    </cfRule>
    <cfRule type="containsText" dxfId="10605" priority="1478" operator="containsText" text="CMS">
      <formula>NOT(ISERROR(SEARCH("CMS",I13)))</formula>
    </cfRule>
    <cfRule type="cellIs" dxfId="10604" priority="1479" operator="equal">
      <formula>0</formula>
    </cfRule>
    <cfRule type="cellIs" dxfId="10603" priority="1480" operator="greaterThan">
      <formula>0</formula>
    </cfRule>
  </conditionalFormatting>
  <conditionalFormatting sqref="I13:I15">
    <cfRule type="cellIs" dxfId="10602" priority="1473" operator="equal">
      <formula>"PMS"</formula>
    </cfRule>
    <cfRule type="containsText" dxfId="10601" priority="1474" operator="containsText" text="CMS">
      <formula>NOT(ISERROR(SEARCH("CMS",I13)))</formula>
    </cfRule>
    <cfRule type="cellIs" dxfId="10600" priority="1475" operator="equal">
      <formula>0</formula>
    </cfRule>
    <cfRule type="cellIs" dxfId="10599" priority="1476" operator="greaterThan">
      <formula>0</formula>
    </cfRule>
  </conditionalFormatting>
  <conditionalFormatting sqref="I20:I21">
    <cfRule type="cellIs" dxfId="10598" priority="1469" operator="equal">
      <formula>"PMS"</formula>
    </cfRule>
    <cfRule type="containsText" dxfId="10597" priority="1470" operator="containsText" text="CMS">
      <formula>NOT(ISERROR(SEARCH("CMS",I20)))</formula>
    </cfRule>
    <cfRule type="cellIs" dxfId="10596" priority="1471" operator="equal">
      <formula>0</formula>
    </cfRule>
    <cfRule type="cellIs" dxfId="10595" priority="1472" operator="greaterThan">
      <formula>0</formula>
    </cfRule>
  </conditionalFormatting>
  <conditionalFormatting sqref="I20:I21">
    <cfRule type="cellIs" dxfId="10594" priority="1465" operator="equal">
      <formula>"PMS"</formula>
    </cfRule>
    <cfRule type="containsText" dxfId="10593" priority="1466" operator="containsText" text="CMS">
      <formula>NOT(ISERROR(SEARCH("CMS",I20)))</formula>
    </cfRule>
    <cfRule type="cellIs" dxfId="10592" priority="1467" operator="equal">
      <formula>0</formula>
    </cfRule>
    <cfRule type="cellIs" dxfId="10591" priority="1468" operator="greaterThan">
      <formula>0</formula>
    </cfRule>
  </conditionalFormatting>
  <conditionalFormatting sqref="I27:I28">
    <cfRule type="cellIs" dxfId="10590" priority="1461" operator="equal">
      <formula>"PMS"</formula>
    </cfRule>
    <cfRule type="containsText" dxfId="10589" priority="1462" operator="containsText" text="CMS">
      <formula>NOT(ISERROR(SEARCH("CMS",I27)))</formula>
    </cfRule>
    <cfRule type="cellIs" dxfId="10588" priority="1463" operator="equal">
      <formula>0</formula>
    </cfRule>
    <cfRule type="cellIs" dxfId="10587" priority="1464" operator="greaterThan">
      <formula>0</formula>
    </cfRule>
  </conditionalFormatting>
  <conditionalFormatting sqref="I27:I28">
    <cfRule type="cellIs" dxfId="10586" priority="1457" operator="equal">
      <formula>"PMS"</formula>
    </cfRule>
    <cfRule type="containsText" dxfId="10585" priority="1458" operator="containsText" text="CMS">
      <formula>NOT(ISERROR(SEARCH("CMS",I27)))</formula>
    </cfRule>
    <cfRule type="cellIs" dxfId="10584" priority="1459" operator="equal">
      <formula>0</formula>
    </cfRule>
    <cfRule type="cellIs" dxfId="10583" priority="1460" operator="greaterThan">
      <formula>0</formula>
    </cfRule>
  </conditionalFormatting>
  <conditionalFormatting sqref="I29">
    <cfRule type="cellIs" dxfId="10582" priority="1449" operator="equal">
      <formula>"PMS"</formula>
    </cfRule>
    <cfRule type="containsText" dxfId="10581" priority="1450" operator="containsText" text="CMS">
      <formula>NOT(ISERROR(SEARCH("CMS",I29)))</formula>
    </cfRule>
    <cfRule type="cellIs" dxfId="10580" priority="1451" operator="equal">
      <formula>0</formula>
    </cfRule>
    <cfRule type="cellIs" dxfId="10579" priority="1452" operator="greaterThan">
      <formula>0</formula>
    </cfRule>
    <cfRule type="cellIs" dxfId="10578" priority="1453" operator="equal">
      <formula>"PMS"</formula>
    </cfRule>
    <cfRule type="containsText" dxfId="10577" priority="1454" operator="containsText" text="CMS">
      <formula>NOT(ISERROR(SEARCH("CMS",I29)))</formula>
    </cfRule>
    <cfRule type="cellIs" dxfId="10576" priority="1455" operator="equal">
      <formula>0</formula>
    </cfRule>
    <cfRule type="cellIs" dxfId="10575" priority="1456" operator="greaterThan">
      <formula>0</formula>
    </cfRule>
  </conditionalFormatting>
  <conditionalFormatting sqref="I61:I63">
    <cfRule type="cellIs" dxfId="10574" priority="1441" operator="equal">
      <formula>"PMS"</formula>
    </cfRule>
    <cfRule type="containsText" dxfId="10573" priority="1442" operator="containsText" text="CMS">
      <formula>NOT(ISERROR(SEARCH("CMS",I61)))</formula>
    </cfRule>
    <cfRule type="cellIs" dxfId="10572" priority="1443" operator="equal">
      <formula>0</formula>
    </cfRule>
    <cfRule type="cellIs" dxfId="10571" priority="1444" operator="greaterThan">
      <formula>0</formula>
    </cfRule>
    <cfRule type="cellIs" dxfId="10570" priority="1445" operator="equal">
      <formula>"PMS"</formula>
    </cfRule>
    <cfRule type="containsText" dxfId="10569" priority="1446" operator="containsText" text="CMS">
      <formula>NOT(ISERROR(SEARCH("CMS",I61)))</formula>
    </cfRule>
    <cfRule type="cellIs" dxfId="10568" priority="1447" operator="equal">
      <formula>0</formula>
    </cfRule>
    <cfRule type="cellIs" dxfId="10567" priority="1448" operator="greaterThan">
      <formula>0</formula>
    </cfRule>
  </conditionalFormatting>
  <conditionalFormatting sqref="I61:I63">
    <cfRule type="cellIs" dxfId="10566" priority="1437" operator="equal">
      <formula>"PMS"</formula>
    </cfRule>
    <cfRule type="containsText" dxfId="10565" priority="1438" operator="containsText" text="CMS">
      <formula>NOT(ISERROR(SEARCH("CMS",I61)))</formula>
    </cfRule>
    <cfRule type="cellIs" dxfId="10564" priority="1439" operator="equal">
      <formula>0</formula>
    </cfRule>
    <cfRule type="cellIs" dxfId="10563" priority="1440" operator="greaterThan">
      <formula>0</formula>
    </cfRule>
  </conditionalFormatting>
  <conditionalFormatting sqref="I66:I74">
    <cfRule type="cellIs" dxfId="10562" priority="1433" operator="equal">
      <formula>"PMS"</formula>
    </cfRule>
    <cfRule type="containsText" dxfId="10561" priority="1434" operator="containsText" text="CMS">
      <formula>NOT(ISERROR(SEARCH("CMS",I66)))</formula>
    </cfRule>
    <cfRule type="cellIs" dxfId="10560" priority="1435" operator="equal">
      <formula>0</formula>
    </cfRule>
    <cfRule type="cellIs" dxfId="10559" priority="1436" operator="greaterThan">
      <formula>0</formula>
    </cfRule>
  </conditionalFormatting>
  <conditionalFormatting sqref="I66:I74">
    <cfRule type="cellIs" dxfId="10558" priority="1429" operator="equal">
      <formula>"PMS"</formula>
    </cfRule>
    <cfRule type="containsText" dxfId="10557" priority="1430" operator="containsText" text="CMS">
      <formula>NOT(ISERROR(SEARCH("CMS",I66)))</formula>
    </cfRule>
    <cfRule type="cellIs" dxfId="10556" priority="1431" operator="equal">
      <formula>0</formula>
    </cfRule>
    <cfRule type="cellIs" dxfId="10555" priority="1432" operator="greaterThan">
      <formula>0</formula>
    </cfRule>
  </conditionalFormatting>
  <conditionalFormatting sqref="I77:I78">
    <cfRule type="cellIs" dxfId="10554" priority="1425" operator="equal">
      <formula>"PMS"</formula>
    </cfRule>
    <cfRule type="containsText" dxfId="10553" priority="1426" operator="containsText" text="CMS">
      <formula>NOT(ISERROR(SEARCH("CMS",I77)))</formula>
    </cfRule>
    <cfRule type="cellIs" dxfId="10552" priority="1427" operator="equal">
      <formula>0</formula>
    </cfRule>
    <cfRule type="cellIs" dxfId="10551" priority="1428" operator="greaterThan">
      <formula>0</formula>
    </cfRule>
  </conditionalFormatting>
  <conditionalFormatting sqref="O47">
    <cfRule type="cellIs" dxfId="10550" priority="1421" operator="equal">
      <formula>"PMS"</formula>
    </cfRule>
    <cfRule type="containsText" dxfId="10549" priority="1422" operator="containsText" text="CMS">
      <formula>NOT(ISERROR(SEARCH("CMS",O47)))</formula>
    </cfRule>
    <cfRule type="cellIs" dxfId="10548" priority="1423" operator="equal">
      <formula>0</formula>
    </cfRule>
    <cfRule type="cellIs" dxfId="10547" priority="1424" operator="greaterThan">
      <formula>0</formula>
    </cfRule>
  </conditionalFormatting>
  <conditionalFormatting sqref="O47">
    <cfRule type="cellIs" dxfId="10546" priority="1417" operator="equal">
      <formula>"PMS"</formula>
    </cfRule>
    <cfRule type="containsText" dxfId="10545" priority="1418" operator="containsText" text="CMS">
      <formula>NOT(ISERROR(SEARCH("CMS",O47)))</formula>
    </cfRule>
    <cfRule type="cellIs" dxfId="10544" priority="1419" operator="equal">
      <formula>0</formula>
    </cfRule>
    <cfRule type="cellIs" dxfId="10543" priority="1420" operator="greaterThan">
      <formula>0</formula>
    </cfRule>
  </conditionalFormatting>
  <conditionalFormatting sqref="O47">
    <cfRule type="cellIs" dxfId="10542" priority="1413" operator="equal">
      <formula>"PMS"</formula>
    </cfRule>
    <cfRule type="containsText" dxfId="10541" priority="1414" operator="containsText" text="CMS">
      <formula>NOT(ISERROR(SEARCH("CMS",O47)))</formula>
    </cfRule>
    <cfRule type="cellIs" dxfId="10540" priority="1415" operator="equal">
      <formula>0</formula>
    </cfRule>
    <cfRule type="cellIs" dxfId="10539" priority="1416" operator="greaterThan">
      <formula>0</formula>
    </cfRule>
  </conditionalFormatting>
  <conditionalFormatting sqref="O47">
    <cfRule type="cellIs" dxfId="10538" priority="1409" operator="equal">
      <formula>"PMS"</formula>
    </cfRule>
    <cfRule type="containsText" dxfId="10537" priority="1410" operator="containsText" text="CMS">
      <formula>NOT(ISERROR(SEARCH("CMS",O47)))</formula>
    </cfRule>
    <cfRule type="cellIs" dxfId="10536" priority="1411" operator="equal">
      <formula>0</formula>
    </cfRule>
    <cfRule type="cellIs" dxfId="10535" priority="1412" operator="greaterThan">
      <formula>0</formula>
    </cfRule>
  </conditionalFormatting>
  <conditionalFormatting sqref="O47">
    <cfRule type="cellIs" dxfId="10534" priority="1405" operator="equal">
      <formula>"PMS"</formula>
    </cfRule>
    <cfRule type="containsText" dxfId="10533" priority="1406" operator="containsText" text="CMS">
      <formula>NOT(ISERROR(SEARCH("CMS",O47)))</formula>
    </cfRule>
    <cfRule type="cellIs" dxfId="10532" priority="1407" operator="equal">
      <formula>0</formula>
    </cfRule>
    <cfRule type="cellIs" dxfId="10531" priority="1408" operator="greaterThan">
      <formula>0</formula>
    </cfRule>
  </conditionalFormatting>
  <conditionalFormatting sqref="O47">
    <cfRule type="cellIs" dxfId="10530" priority="1401" operator="equal">
      <formula>"PMS"</formula>
    </cfRule>
    <cfRule type="containsText" dxfId="10529" priority="1402" operator="containsText" text="CMS">
      <formula>NOT(ISERROR(SEARCH("CMS",O47)))</formula>
    </cfRule>
    <cfRule type="cellIs" dxfId="10528" priority="1403" operator="equal">
      <formula>0</formula>
    </cfRule>
    <cfRule type="cellIs" dxfId="10527" priority="1404" operator="greaterThan">
      <formula>0</formula>
    </cfRule>
  </conditionalFormatting>
  <conditionalFormatting sqref="O47">
    <cfRule type="cellIs" dxfId="10526" priority="1397" operator="equal">
      <formula>"PMS"</formula>
    </cfRule>
    <cfRule type="containsText" dxfId="10525" priority="1398" operator="containsText" text="CMS">
      <formula>NOT(ISERROR(SEARCH("CMS",O47)))</formula>
    </cfRule>
    <cfRule type="cellIs" dxfId="10524" priority="1399" operator="equal">
      <formula>0</formula>
    </cfRule>
    <cfRule type="cellIs" dxfId="10523" priority="1400" operator="greaterThan">
      <formula>0</formula>
    </cfRule>
  </conditionalFormatting>
  <conditionalFormatting sqref="O47">
    <cfRule type="cellIs" dxfId="10522" priority="1393" operator="equal">
      <formula>"PMS"</formula>
    </cfRule>
    <cfRule type="containsText" dxfId="10521" priority="1394" operator="containsText" text="CMS">
      <formula>NOT(ISERROR(SEARCH("CMS",O47)))</formula>
    </cfRule>
    <cfRule type="cellIs" dxfId="10520" priority="1395" operator="equal">
      <formula>0</formula>
    </cfRule>
    <cfRule type="cellIs" dxfId="10519" priority="1396" operator="greaterThan">
      <formula>0</formula>
    </cfRule>
  </conditionalFormatting>
  <conditionalFormatting sqref="O47">
    <cfRule type="cellIs" dxfId="10518" priority="1389" operator="equal">
      <formula>"PMS"</formula>
    </cfRule>
    <cfRule type="containsText" dxfId="10517" priority="1390" operator="containsText" text="CMS">
      <formula>NOT(ISERROR(SEARCH("CMS",O47)))</formula>
    </cfRule>
    <cfRule type="cellIs" dxfId="10516" priority="1391" operator="equal">
      <formula>0</formula>
    </cfRule>
    <cfRule type="cellIs" dxfId="10515" priority="1392" operator="greaterThan">
      <formula>0</formula>
    </cfRule>
  </conditionalFormatting>
  <conditionalFormatting sqref="O47">
    <cfRule type="cellIs" dxfId="10514" priority="1385" operator="equal">
      <formula>"PMS"</formula>
    </cfRule>
    <cfRule type="containsText" dxfId="10513" priority="1386" operator="containsText" text="CMS">
      <formula>NOT(ISERROR(SEARCH("CMS",O47)))</formula>
    </cfRule>
    <cfRule type="cellIs" dxfId="10512" priority="1387" operator="equal">
      <formula>0</formula>
    </cfRule>
    <cfRule type="cellIs" dxfId="10511" priority="1388" operator="greaterThan">
      <formula>0</formula>
    </cfRule>
  </conditionalFormatting>
  <conditionalFormatting sqref="O47">
    <cfRule type="cellIs" dxfId="10510" priority="1381" operator="equal">
      <formula>"PMS"</formula>
    </cfRule>
    <cfRule type="containsText" dxfId="10509" priority="1382" operator="containsText" text="CMS">
      <formula>NOT(ISERROR(SEARCH("CMS",O47)))</formula>
    </cfRule>
    <cfRule type="cellIs" dxfId="10508" priority="1383" operator="equal">
      <formula>0</formula>
    </cfRule>
    <cfRule type="cellIs" dxfId="10507" priority="1384" operator="greaterThan">
      <formula>0</formula>
    </cfRule>
  </conditionalFormatting>
  <conditionalFormatting sqref="O47">
    <cfRule type="cellIs" dxfId="10506" priority="1377" operator="equal">
      <formula>"PMS"</formula>
    </cfRule>
    <cfRule type="containsText" dxfId="10505" priority="1378" operator="containsText" text="CMS">
      <formula>NOT(ISERROR(SEARCH("CMS",O47)))</formula>
    </cfRule>
    <cfRule type="cellIs" dxfId="10504" priority="1379" operator="equal">
      <formula>0</formula>
    </cfRule>
    <cfRule type="cellIs" dxfId="10503" priority="1380" operator="greaterThan">
      <formula>0</formula>
    </cfRule>
  </conditionalFormatting>
  <conditionalFormatting sqref="O47">
    <cfRule type="cellIs" dxfId="10502" priority="1373" operator="equal">
      <formula>"PMS"</formula>
    </cfRule>
    <cfRule type="containsText" dxfId="10501" priority="1374" operator="containsText" text="CMS">
      <formula>NOT(ISERROR(SEARCH("CMS",O47)))</formula>
    </cfRule>
    <cfRule type="cellIs" dxfId="10500" priority="1375" operator="equal">
      <formula>0</formula>
    </cfRule>
    <cfRule type="cellIs" dxfId="10499" priority="1376" operator="greaterThan">
      <formula>0</formula>
    </cfRule>
  </conditionalFormatting>
  <conditionalFormatting sqref="O47">
    <cfRule type="cellIs" dxfId="10498" priority="1369" operator="equal">
      <formula>"PMS"</formula>
    </cfRule>
    <cfRule type="containsText" dxfId="10497" priority="1370" operator="containsText" text="CMS">
      <formula>NOT(ISERROR(SEARCH("CMS",O47)))</formula>
    </cfRule>
    <cfRule type="cellIs" dxfId="10496" priority="1371" operator="equal">
      <formula>0</formula>
    </cfRule>
    <cfRule type="cellIs" dxfId="10495" priority="1372" operator="greaterThan">
      <formula>0</formula>
    </cfRule>
  </conditionalFormatting>
  <conditionalFormatting sqref="O58">
    <cfRule type="cellIs" dxfId="10494" priority="1365" operator="equal">
      <formula>"PMS"</formula>
    </cfRule>
    <cfRule type="containsText" dxfId="10493" priority="1366" operator="containsText" text="CMS">
      <formula>NOT(ISERROR(SEARCH("CMS",O58)))</formula>
    </cfRule>
    <cfRule type="cellIs" dxfId="10492" priority="1367" operator="equal">
      <formula>0</formula>
    </cfRule>
    <cfRule type="cellIs" dxfId="10491" priority="1368" operator="greaterThan">
      <formula>0</formula>
    </cfRule>
  </conditionalFormatting>
  <conditionalFormatting sqref="O58">
    <cfRule type="cellIs" dxfId="10490" priority="1361" operator="equal">
      <formula>"PMS"</formula>
    </cfRule>
    <cfRule type="containsText" dxfId="10489" priority="1362" operator="containsText" text="CMS">
      <formula>NOT(ISERROR(SEARCH("CMS",O58)))</formula>
    </cfRule>
    <cfRule type="cellIs" dxfId="10488" priority="1363" operator="equal">
      <formula>0</formula>
    </cfRule>
    <cfRule type="cellIs" dxfId="10487" priority="1364" operator="greaterThan">
      <formula>0</formula>
    </cfRule>
  </conditionalFormatting>
  <conditionalFormatting sqref="O58">
    <cfRule type="cellIs" dxfId="10486" priority="1357" operator="equal">
      <formula>"PMS"</formula>
    </cfRule>
    <cfRule type="containsText" dxfId="10485" priority="1358" operator="containsText" text="CMS">
      <formula>NOT(ISERROR(SEARCH("CMS",O58)))</formula>
    </cfRule>
    <cfRule type="cellIs" dxfId="10484" priority="1359" operator="equal">
      <formula>0</formula>
    </cfRule>
    <cfRule type="cellIs" dxfId="10483" priority="1360" operator="greaterThan">
      <formula>0</formula>
    </cfRule>
  </conditionalFormatting>
  <conditionalFormatting sqref="O58">
    <cfRule type="cellIs" dxfId="10482" priority="1353" operator="equal">
      <formula>"PMS"</formula>
    </cfRule>
    <cfRule type="containsText" dxfId="10481" priority="1354" operator="containsText" text="CMS">
      <formula>NOT(ISERROR(SEARCH("CMS",O58)))</formula>
    </cfRule>
    <cfRule type="cellIs" dxfId="10480" priority="1355" operator="equal">
      <formula>0</formula>
    </cfRule>
    <cfRule type="cellIs" dxfId="10479" priority="1356" operator="greaterThan">
      <formula>0</formula>
    </cfRule>
  </conditionalFormatting>
  <conditionalFormatting sqref="O58">
    <cfRule type="cellIs" dxfId="10478" priority="1349" operator="equal">
      <formula>"PMS"</formula>
    </cfRule>
    <cfRule type="containsText" dxfId="10477" priority="1350" operator="containsText" text="CMS">
      <formula>NOT(ISERROR(SEARCH("CMS",O58)))</formula>
    </cfRule>
    <cfRule type="cellIs" dxfId="10476" priority="1351" operator="equal">
      <formula>0</formula>
    </cfRule>
    <cfRule type="cellIs" dxfId="10475" priority="1352" operator="greaterThan">
      <formula>0</formula>
    </cfRule>
  </conditionalFormatting>
  <conditionalFormatting sqref="O58">
    <cfRule type="cellIs" dxfId="10474" priority="1345" operator="equal">
      <formula>"PMS"</formula>
    </cfRule>
    <cfRule type="containsText" dxfId="10473" priority="1346" operator="containsText" text="CMS">
      <formula>NOT(ISERROR(SEARCH("CMS",O58)))</formula>
    </cfRule>
    <cfRule type="cellIs" dxfId="10472" priority="1347" operator="equal">
      <formula>0</formula>
    </cfRule>
    <cfRule type="cellIs" dxfId="10471" priority="1348" operator="greaterThan">
      <formula>0</formula>
    </cfRule>
  </conditionalFormatting>
  <conditionalFormatting sqref="O58">
    <cfRule type="cellIs" dxfId="10470" priority="1341" operator="equal">
      <formula>"PMS"</formula>
    </cfRule>
    <cfRule type="containsText" dxfId="10469" priority="1342" operator="containsText" text="CMS">
      <formula>NOT(ISERROR(SEARCH("CMS",O58)))</formula>
    </cfRule>
    <cfRule type="cellIs" dxfId="10468" priority="1343" operator="equal">
      <formula>0</formula>
    </cfRule>
    <cfRule type="cellIs" dxfId="10467" priority="1344" operator="greaterThan">
      <formula>0</formula>
    </cfRule>
  </conditionalFormatting>
  <conditionalFormatting sqref="O58">
    <cfRule type="cellIs" dxfId="10466" priority="1337" operator="equal">
      <formula>"PMS"</formula>
    </cfRule>
    <cfRule type="containsText" dxfId="10465" priority="1338" operator="containsText" text="CMS">
      <formula>NOT(ISERROR(SEARCH("CMS",O58)))</formula>
    </cfRule>
    <cfRule type="cellIs" dxfId="10464" priority="1339" operator="equal">
      <formula>0</formula>
    </cfRule>
    <cfRule type="cellIs" dxfId="10463" priority="1340" operator="greaterThan">
      <formula>0</formula>
    </cfRule>
  </conditionalFormatting>
  <conditionalFormatting sqref="O58">
    <cfRule type="cellIs" dxfId="10462" priority="1333" operator="equal">
      <formula>"PMS"</formula>
    </cfRule>
    <cfRule type="containsText" dxfId="10461" priority="1334" operator="containsText" text="CMS">
      <formula>NOT(ISERROR(SEARCH("CMS",O58)))</formula>
    </cfRule>
    <cfRule type="cellIs" dxfId="10460" priority="1335" operator="equal">
      <formula>0</formula>
    </cfRule>
    <cfRule type="cellIs" dxfId="10459" priority="1336" operator="greaterThan">
      <formula>0</formula>
    </cfRule>
  </conditionalFormatting>
  <conditionalFormatting sqref="O58">
    <cfRule type="cellIs" dxfId="10458" priority="1329" operator="equal">
      <formula>"PMS"</formula>
    </cfRule>
    <cfRule type="containsText" dxfId="10457" priority="1330" operator="containsText" text="CMS">
      <formula>NOT(ISERROR(SEARCH("CMS",O58)))</formula>
    </cfRule>
    <cfRule type="cellIs" dxfId="10456" priority="1331" operator="equal">
      <formula>0</formula>
    </cfRule>
    <cfRule type="cellIs" dxfId="10455" priority="1332" operator="greaterThan">
      <formula>0</formula>
    </cfRule>
  </conditionalFormatting>
  <conditionalFormatting sqref="F61">
    <cfRule type="cellIs" dxfId="10454" priority="1257" operator="equal">
      <formula>"PMS"</formula>
    </cfRule>
    <cfRule type="containsText" dxfId="10453" priority="1258" operator="containsText" text="CMS">
      <formula>NOT(ISERROR(SEARCH("CMS",F61)))</formula>
    </cfRule>
    <cfRule type="cellIs" dxfId="10452" priority="1259" operator="equal">
      <formula>0</formula>
    </cfRule>
    <cfRule type="cellIs" dxfId="10451" priority="1260" operator="greaterThan">
      <formula>0</formula>
    </cfRule>
    <cfRule type="cellIs" dxfId="10450" priority="1261" operator="equal">
      <formula>"PMS"</formula>
    </cfRule>
    <cfRule type="containsText" dxfId="10449" priority="1262" operator="containsText" text="CMS">
      <formula>NOT(ISERROR(SEARCH("CMS",F61)))</formula>
    </cfRule>
    <cfRule type="cellIs" dxfId="10448" priority="1263" operator="equal">
      <formula>0</formula>
    </cfRule>
    <cfRule type="cellIs" dxfId="10447" priority="1264" operator="greaterThan">
      <formula>0</formula>
    </cfRule>
  </conditionalFormatting>
  <conditionalFormatting sqref="F61">
    <cfRule type="cellIs" dxfId="10446" priority="1253" operator="equal">
      <formula>"PMS"</formula>
    </cfRule>
    <cfRule type="containsText" dxfId="10445" priority="1254" operator="containsText" text="CMS">
      <formula>NOT(ISERROR(SEARCH("CMS",F61)))</formula>
    </cfRule>
    <cfRule type="cellIs" dxfId="10444" priority="1255" operator="equal">
      <formula>0</formula>
    </cfRule>
    <cfRule type="cellIs" dxfId="10443" priority="1256" operator="greaterThan">
      <formula>0</formula>
    </cfRule>
  </conditionalFormatting>
  <conditionalFormatting sqref="O55">
    <cfRule type="cellIs" dxfId="10442" priority="1233" operator="equal">
      <formula>"PMS"</formula>
    </cfRule>
    <cfRule type="containsText" dxfId="10441" priority="1234" operator="containsText" text="CMS">
      <formula>NOT(ISERROR(SEARCH("CMS",O55)))</formula>
    </cfRule>
    <cfRule type="cellIs" dxfId="10440" priority="1235" operator="equal">
      <formula>0</formula>
    </cfRule>
    <cfRule type="cellIs" dxfId="10439" priority="1236" operator="greaterThan">
      <formula>0</formula>
    </cfRule>
  </conditionalFormatting>
  <conditionalFormatting sqref="O55">
    <cfRule type="cellIs" dxfId="10438" priority="1229" operator="equal">
      <formula>"PMS"</formula>
    </cfRule>
    <cfRule type="containsText" dxfId="10437" priority="1230" operator="containsText" text="CMS">
      <formula>NOT(ISERROR(SEARCH("CMS",O55)))</formula>
    </cfRule>
    <cfRule type="cellIs" dxfId="10436" priority="1231" operator="equal">
      <formula>0</formula>
    </cfRule>
    <cfRule type="cellIs" dxfId="10435" priority="1232" operator="greaterThan">
      <formula>0</formula>
    </cfRule>
  </conditionalFormatting>
  <conditionalFormatting sqref="O55">
    <cfRule type="cellIs" dxfId="10434" priority="1225" operator="equal">
      <formula>"PMS"</formula>
    </cfRule>
    <cfRule type="containsText" dxfId="10433" priority="1226" operator="containsText" text="CMS">
      <formula>NOT(ISERROR(SEARCH("CMS",O55)))</formula>
    </cfRule>
    <cfRule type="cellIs" dxfId="10432" priority="1227" operator="equal">
      <formula>0</formula>
    </cfRule>
    <cfRule type="cellIs" dxfId="10431" priority="1228" operator="greaterThan">
      <formula>0</formula>
    </cfRule>
  </conditionalFormatting>
  <conditionalFormatting sqref="O55">
    <cfRule type="cellIs" dxfId="10430" priority="1221" operator="equal">
      <formula>"PMS"</formula>
    </cfRule>
    <cfRule type="containsText" dxfId="10429" priority="1222" operator="containsText" text="CMS">
      <formula>NOT(ISERROR(SEARCH("CMS",O55)))</formula>
    </cfRule>
    <cfRule type="cellIs" dxfId="10428" priority="1223" operator="equal">
      <formula>0</formula>
    </cfRule>
    <cfRule type="cellIs" dxfId="10427" priority="1224" operator="greaterThan">
      <formula>0</formula>
    </cfRule>
  </conditionalFormatting>
  <conditionalFormatting sqref="O55">
    <cfRule type="cellIs" dxfId="10426" priority="1217" operator="equal">
      <formula>"PMS"</formula>
    </cfRule>
    <cfRule type="containsText" dxfId="10425" priority="1218" operator="containsText" text="CMS">
      <formula>NOT(ISERROR(SEARCH("CMS",O55)))</formula>
    </cfRule>
    <cfRule type="cellIs" dxfId="10424" priority="1219" operator="equal">
      <formula>0</formula>
    </cfRule>
    <cfRule type="cellIs" dxfId="10423" priority="1220" operator="greaterThan">
      <formula>0</formula>
    </cfRule>
  </conditionalFormatting>
  <conditionalFormatting sqref="O55">
    <cfRule type="cellIs" dxfId="10422" priority="1213" operator="equal">
      <formula>"PMS"</formula>
    </cfRule>
    <cfRule type="containsText" dxfId="10421" priority="1214" operator="containsText" text="CMS">
      <formula>NOT(ISERROR(SEARCH("CMS",O55)))</formula>
    </cfRule>
    <cfRule type="cellIs" dxfId="10420" priority="1215" operator="equal">
      <formula>0</formula>
    </cfRule>
    <cfRule type="cellIs" dxfId="10419" priority="1216" operator="greaterThan">
      <formula>0</formula>
    </cfRule>
  </conditionalFormatting>
  <conditionalFormatting sqref="O55">
    <cfRule type="cellIs" dxfId="10418" priority="1209" operator="equal">
      <formula>"PMS"</formula>
    </cfRule>
    <cfRule type="containsText" dxfId="10417" priority="1210" operator="containsText" text="CMS">
      <formula>NOT(ISERROR(SEARCH("CMS",O55)))</formula>
    </cfRule>
    <cfRule type="cellIs" dxfId="10416" priority="1211" operator="equal">
      <formula>0</formula>
    </cfRule>
    <cfRule type="cellIs" dxfId="10415" priority="1212" operator="greaterThan">
      <formula>0</formula>
    </cfRule>
  </conditionalFormatting>
  <conditionalFormatting sqref="O55">
    <cfRule type="cellIs" dxfId="10414" priority="1205" operator="equal">
      <formula>"PMS"</formula>
    </cfRule>
    <cfRule type="containsText" dxfId="10413" priority="1206" operator="containsText" text="CMS">
      <formula>NOT(ISERROR(SEARCH("CMS",O55)))</formula>
    </cfRule>
    <cfRule type="cellIs" dxfId="10412" priority="1207" operator="equal">
      <formula>0</formula>
    </cfRule>
    <cfRule type="cellIs" dxfId="10411" priority="1208" operator="greaterThan">
      <formula>0</formula>
    </cfRule>
  </conditionalFormatting>
  <conditionalFormatting sqref="O55">
    <cfRule type="cellIs" dxfId="10410" priority="1201" operator="equal">
      <formula>"PMS"</formula>
    </cfRule>
    <cfRule type="containsText" dxfId="10409" priority="1202" operator="containsText" text="CMS">
      <formula>NOT(ISERROR(SEARCH("CMS",O55)))</formula>
    </cfRule>
    <cfRule type="cellIs" dxfId="10408" priority="1203" operator="equal">
      <formula>0</formula>
    </cfRule>
    <cfRule type="cellIs" dxfId="10407" priority="1204" operator="greaterThan">
      <formula>0</formula>
    </cfRule>
  </conditionalFormatting>
  <conditionalFormatting sqref="O55">
    <cfRule type="cellIs" dxfId="10406" priority="1197" operator="equal">
      <formula>"PMS"</formula>
    </cfRule>
    <cfRule type="containsText" dxfId="10405" priority="1198" operator="containsText" text="CMS">
      <formula>NOT(ISERROR(SEARCH("CMS",O55)))</formula>
    </cfRule>
    <cfRule type="cellIs" dxfId="10404" priority="1199" operator="equal">
      <formula>0</formula>
    </cfRule>
    <cfRule type="cellIs" dxfId="10403" priority="1200" operator="greaterThan">
      <formula>0</formula>
    </cfRule>
  </conditionalFormatting>
  <conditionalFormatting sqref="O47">
    <cfRule type="cellIs" dxfId="10402" priority="1193" operator="equal">
      <formula>"PMS"</formula>
    </cfRule>
    <cfRule type="containsText" dxfId="10401" priority="1194" operator="containsText" text="CMS">
      <formula>NOT(ISERROR(SEARCH("CMS",O47)))</formula>
    </cfRule>
    <cfRule type="cellIs" dxfId="10400" priority="1195" operator="equal">
      <formula>0</formula>
    </cfRule>
    <cfRule type="cellIs" dxfId="10399" priority="1196" operator="greaterThan">
      <formula>0</formula>
    </cfRule>
  </conditionalFormatting>
  <conditionalFormatting sqref="O47">
    <cfRule type="cellIs" dxfId="10398" priority="1189" operator="equal">
      <formula>"PMS"</formula>
    </cfRule>
    <cfRule type="containsText" dxfId="10397" priority="1190" operator="containsText" text="CMS">
      <formula>NOT(ISERROR(SEARCH("CMS",O47)))</formula>
    </cfRule>
    <cfRule type="cellIs" dxfId="10396" priority="1191" operator="equal">
      <formula>0</formula>
    </cfRule>
    <cfRule type="cellIs" dxfId="10395" priority="1192" operator="greaterThan">
      <formula>0</formula>
    </cfRule>
  </conditionalFormatting>
  <conditionalFormatting sqref="O47">
    <cfRule type="cellIs" dxfId="10394" priority="1185" operator="equal">
      <formula>"PMS"</formula>
    </cfRule>
    <cfRule type="containsText" dxfId="10393" priority="1186" operator="containsText" text="CMS">
      <formula>NOT(ISERROR(SEARCH("CMS",O47)))</formula>
    </cfRule>
    <cfRule type="cellIs" dxfId="10392" priority="1187" operator="equal">
      <formula>0</formula>
    </cfRule>
    <cfRule type="cellIs" dxfId="10391" priority="1188" operator="greaterThan">
      <formula>0</formula>
    </cfRule>
  </conditionalFormatting>
  <conditionalFormatting sqref="O47">
    <cfRule type="cellIs" dxfId="10390" priority="1181" operator="equal">
      <formula>"PMS"</formula>
    </cfRule>
    <cfRule type="containsText" dxfId="10389" priority="1182" operator="containsText" text="CMS">
      <formula>NOT(ISERROR(SEARCH("CMS",O47)))</formula>
    </cfRule>
    <cfRule type="cellIs" dxfId="10388" priority="1183" operator="equal">
      <formula>0</formula>
    </cfRule>
    <cfRule type="cellIs" dxfId="10387" priority="1184" operator="greaterThan">
      <formula>0</formula>
    </cfRule>
  </conditionalFormatting>
  <conditionalFormatting sqref="O47">
    <cfRule type="cellIs" dxfId="10386" priority="1177" operator="equal">
      <formula>"PMS"</formula>
    </cfRule>
    <cfRule type="containsText" dxfId="10385" priority="1178" operator="containsText" text="CMS">
      <formula>NOT(ISERROR(SEARCH("CMS",O47)))</formula>
    </cfRule>
    <cfRule type="cellIs" dxfId="10384" priority="1179" operator="equal">
      <formula>0</formula>
    </cfRule>
    <cfRule type="cellIs" dxfId="10383" priority="1180" operator="greaterThan">
      <formula>0</formula>
    </cfRule>
  </conditionalFormatting>
  <conditionalFormatting sqref="O47">
    <cfRule type="cellIs" dxfId="10382" priority="1173" operator="equal">
      <formula>"PMS"</formula>
    </cfRule>
    <cfRule type="containsText" dxfId="10381" priority="1174" operator="containsText" text="CMS">
      <formula>NOT(ISERROR(SEARCH("CMS",O47)))</formula>
    </cfRule>
    <cfRule type="cellIs" dxfId="10380" priority="1175" operator="equal">
      <formula>0</formula>
    </cfRule>
    <cfRule type="cellIs" dxfId="10379" priority="1176" operator="greaterThan">
      <formula>0</formula>
    </cfRule>
  </conditionalFormatting>
  <conditionalFormatting sqref="O47">
    <cfRule type="cellIs" dxfId="10378" priority="1169" operator="equal">
      <formula>"PMS"</formula>
    </cfRule>
    <cfRule type="containsText" dxfId="10377" priority="1170" operator="containsText" text="CMS">
      <formula>NOT(ISERROR(SEARCH("CMS",O47)))</formula>
    </cfRule>
    <cfRule type="cellIs" dxfId="10376" priority="1171" operator="equal">
      <formula>0</formula>
    </cfRule>
    <cfRule type="cellIs" dxfId="10375" priority="1172" operator="greaterThan">
      <formula>0</formula>
    </cfRule>
  </conditionalFormatting>
  <conditionalFormatting sqref="O47">
    <cfRule type="cellIs" dxfId="10374" priority="1165" operator="equal">
      <formula>"PMS"</formula>
    </cfRule>
    <cfRule type="containsText" dxfId="10373" priority="1166" operator="containsText" text="CMS">
      <formula>NOT(ISERROR(SEARCH("CMS",O47)))</formula>
    </cfRule>
    <cfRule type="cellIs" dxfId="10372" priority="1167" operator="equal">
      <formula>0</formula>
    </cfRule>
    <cfRule type="cellIs" dxfId="10371" priority="1168" operator="greaterThan">
      <formula>0</formula>
    </cfRule>
  </conditionalFormatting>
  <conditionalFormatting sqref="O47">
    <cfRule type="cellIs" dxfId="10370" priority="1161" operator="equal">
      <formula>"PMS"</formula>
    </cfRule>
    <cfRule type="containsText" dxfId="10369" priority="1162" operator="containsText" text="CMS">
      <formula>NOT(ISERROR(SEARCH("CMS",O47)))</formula>
    </cfRule>
    <cfRule type="cellIs" dxfId="10368" priority="1163" operator="equal">
      <formula>0</formula>
    </cfRule>
    <cfRule type="cellIs" dxfId="10367" priority="1164" operator="greaterThan">
      <formula>0</formula>
    </cfRule>
  </conditionalFormatting>
  <conditionalFormatting sqref="O47">
    <cfRule type="cellIs" dxfId="10366" priority="1157" operator="equal">
      <formula>"PMS"</formula>
    </cfRule>
    <cfRule type="containsText" dxfId="10365" priority="1158" operator="containsText" text="CMS">
      <formula>NOT(ISERROR(SEARCH("CMS",O47)))</formula>
    </cfRule>
    <cfRule type="cellIs" dxfId="10364" priority="1159" operator="equal">
      <formula>0</formula>
    </cfRule>
    <cfRule type="cellIs" dxfId="10363" priority="1160" operator="greaterThan">
      <formula>0</formula>
    </cfRule>
  </conditionalFormatting>
  <conditionalFormatting sqref="O47">
    <cfRule type="cellIs" dxfId="10362" priority="1153" operator="equal">
      <formula>"PMS"</formula>
    </cfRule>
    <cfRule type="containsText" dxfId="10361" priority="1154" operator="containsText" text="CMS">
      <formula>NOT(ISERROR(SEARCH("CMS",O47)))</formula>
    </cfRule>
    <cfRule type="cellIs" dxfId="10360" priority="1155" operator="equal">
      <formula>0</formula>
    </cfRule>
    <cfRule type="cellIs" dxfId="10359" priority="1156" operator="greaterThan">
      <formula>0</formula>
    </cfRule>
  </conditionalFormatting>
  <conditionalFormatting sqref="O47">
    <cfRule type="cellIs" dxfId="10358" priority="1149" operator="equal">
      <formula>"PMS"</formula>
    </cfRule>
    <cfRule type="containsText" dxfId="10357" priority="1150" operator="containsText" text="CMS">
      <formula>NOT(ISERROR(SEARCH("CMS",O47)))</formula>
    </cfRule>
    <cfRule type="cellIs" dxfId="10356" priority="1151" operator="equal">
      <formula>0</formula>
    </cfRule>
    <cfRule type="cellIs" dxfId="10355" priority="1152" operator="greaterThan">
      <formula>0</formula>
    </cfRule>
  </conditionalFormatting>
  <conditionalFormatting sqref="O47">
    <cfRule type="cellIs" dxfId="10354" priority="1145" operator="equal">
      <formula>"PMS"</formula>
    </cfRule>
    <cfRule type="containsText" dxfId="10353" priority="1146" operator="containsText" text="CMS">
      <formula>NOT(ISERROR(SEARCH("CMS",O47)))</formula>
    </cfRule>
    <cfRule type="cellIs" dxfId="10352" priority="1147" operator="equal">
      <formula>0</formula>
    </cfRule>
    <cfRule type="cellIs" dxfId="10351" priority="1148" operator="greaterThan">
      <formula>0</formula>
    </cfRule>
  </conditionalFormatting>
  <conditionalFormatting sqref="O47">
    <cfRule type="cellIs" dxfId="10350" priority="1141" operator="equal">
      <formula>"PMS"</formula>
    </cfRule>
    <cfRule type="containsText" dxfId="10349" priority="1142" operator="containsText" text="CMS">
      <formula>NOT(ISERROR(SEARCH("CMS",O47)))</formula>
    </cfRule>
    <cfRule type="cellIs" dxfId="10348" priority="1143" operator="equal">
      <formula>0</formula>
    </cfRule>
    <cfRule type="cellIs" dxfId="10347" priority="1144" operator="greaterThan">
      <formula>0</formula>
    </cfRule>
  </conditionalFormatting>
  <conditionalFormatting sqref="O47">
    <cfRule type="cellIs" dxfId="10346" priority="1137" operator="equal">
      <formula>"PMS"</formula>
    </cfRule>
    <cfRule type="containsText" dxfId="10345" priority="1138" operator="containsText" text="CMS">
      <formula>NOT(ISERROR(SEARCH("CMS",O47)))</formula>
    </cfRule>
    <cfRule type="cellIs" dxfId="10344" priority="1139" operator="equal">
      <formula>0</formula>
    </cfRule>
    <cfRule type="cellIs" dxfId="10343" priority="1140" operator="greaterThan">
      <formula>0</formula>
    </cfRule>
  </conditionalFormatting>
  <conditionalFormatting sqref="O47">
    <cfRule type="cellIs" dxfId="10342" priority="1133" operator="equal">
      <formula>"PMS"</formula>
    </cfRule>
    <cfRule type="containsText" dxfId="10341" priority="1134" operator="containsText" text="CMS">
      <formula>NOT(ISERROR(SEARCH("CMS",O47)))</formula>
    </cfRule>
    <cfRule type="cellIs" dxfId="10340" priority="1135" operator="equal">
      <formula>0</formula>
    </cfRule>
    <cfRule type="cellIs" dxfId="10339" priority="1136" operator="greaterThan">
      <formula>0</formula>
    </cfRule>
  </conditionalFormatting>
  <conditionalFormatting sqref="O47">
    <cfRule type="cellIs" dxfId="10338" priority="1129" operator="equal">
      <formula>"PMS"</formula>
    </cfRule>
    <cfRule type="containsText" dxfId="10337" priority="1130" operator="containsText" text="CMS">
      <formula>NOT(ISERROR(SEARCH("CMS",O47)))</formula>
    </cfRule>
    <cfRule type="cellIs" dxfId="10336" priority="1131" operator="equal">
      <formula>0</formula>
    </cfRule>
    <cfRule type="cellIs" dxfId="10335" priority="1132" operator="greaterThan">
      <formula>0</formula>
    </cfRule>
  </conditionalFormatting>
  <conditionalFormatting sqref="O47">
    <cfRule type="cellIs" dxfId="10334" priority="1125" operator="equal">
      <formula>"PMS"</formula>
    </cfRule>
    <cfRule type="containsText" dxfId="10333" priority="1126" operator="containsText" text="CMS">
      <formula>NOT(ISERROR(SEARCH("CMS",O47)))</formula>
    </cfRule>
    <cfRule type="cellIs" dxfId="10332" priority="1127" operator="equal">
      <formula>0</formula>
    </cfRule>
    <cfRule type="cellIs" dxfId="10331" priority="1128" operator="greaterThan">
      <formula>0</formula>
    </cfRule>
  </conditionalFormatting>
  <conditionalFormatting sqref="O47">
    <cfRule type="cellIs" dxfId="10330" priority="1121" operator="equal">
      <formula>"PMS"</formula>
    </cfRule>
    <cfRule type="containsText" dxfId="10329" priority="1122" operator="containsText" text="CMS">
      <formula>NOT(ISERROR(SEARCH("CMS",O47)))</formula>
    </cfRule>
    <cfRule type="cellIs" dxfId="10328" priority="1123" operator="equal">
      <formula>0</formula>
    </cfRule>
    <cfRule type="cellIs" dxfId="10327" priority="1124" operator="greaterThan">
      <formula>0</formula>
    </cfRule>
  </conditionalFormatting>
  <conditionalFormatting sqref="O47">
    <cfRule type="cellIs" dxfId="10326" priority="1117" operator="equal">
      <formula>"PMS"</formula>
    </cfRule>
    <cfRule type="containsText" dxfId="10325" priority="1118" operator="containsText" text="CMS">
      <formula>NOT(ISERROR(SEARCH("CMS",O47)))</formula>
    </cfRule>
    <cfRule type="cellIs" dxfId="10324" priority="1119" operator="equal">
      <formula>0</formula>
    </cfRule>
    <cfRule type="cellIs" dxfId="10323" priority="1120" operator="greaterThan">
      <formula>0</formula>
    </cfRule>
  </conditionalFormatting>
  <conditionalFormatting sqref="O47">
    <cfRule type="cellIs" dxfId="10322" priority="1113" operator="equal">
      <formula>"PMS"</formula>
    </cfRule>
    <cfRule type="containsText" dxfId="10321" priority="1114" operator="containsText" text="CMS">
      <formula>NOT(ISERROR(SEARCH("CMS",O47)))</formula>
    </cfRule>
    <cfRule type="cellIs" dxfId="10320" priority="1115" operator="equal">
      <formula>0</formula>
    </cfRule>
    <cfRule type="cellIs" dxfId="10319" priority="1116" operator="greaterThan">
      <formula>0</formula>
    </cfRule>
  </conditionalFormatting>
  <conditionalFormatting sqref="O47">
    <cfRule type="cellIs" dxfId="10318" priority="1109" operator="equal">
      <formula>"PMS"</formula>
    </cfRule>
    <cfRule type="containsText" dxfId="10317" priority="1110" operator="containsText" text="CMS">
      <formula>NOT(ISERROR(SEARCH("CMS",O47)))</formula>
    </cfRule>
    <cfRule type="cellIs" dxfId="10316" priority="1111" operator="equal">
      <formula>0</formula>
    </cfRule>
    <cfRule type="cellIs" dxfId="10315" priority="1112" operator="greaterThan">
      <formula>0</formula>
    </cfRule>
  </conditionalFormatting>
  <conditionalFormatting sqref="O47">
    <cfRule type="cellIs" dxfId="10314" priority="1105" operator="equal">
      <formula>"PMS"</formula>
    </cfRule>
    <cfRule type="containsText" dxfId="10313" priority="1106" operator="containsText" text="CMS">
      <formula>NOT(ISERROR(SEARCH("CMS",O47)))</formula>
    </cfRule>
    <cfRule type="cellIs" dxfId="10312" priority="1107" operator="equal">
      <formula>0</formula>
    </cfRule>
    <cfRule type="cellIs" dxfId="10311" priority="1108" operator="greaterThan">
      <formula>0</formula>
    </cfRule>
  </conditionalFormatting>
  <conditionalFormatting sqref="O47">
    <cfRule type="cellIs" dxfId="10310" priority="1101" operator="equal">
      <formula>"PMS"</formula>
    </cfRule>
    <cfRule type="containsText" dxfId="10309" priority="1102" operator="containsText" text="CMS">
      <formula>NOT(ISERROR(SEARCH("CMS",O47)))</formula>
    </cfRule>
    <cfRule type="cellIs" dxfId="10308" priority="1103" operator="equal">
      <formula>0</formula>
    </cfRule>
    <cfRule type="cellIs" dxfId="10307" priority="1104" operator="greaterThan">
      <formula>0</formula>
    </cfRule>
  </conditionalFormatting>
  <conditionalFormatting sqref="O52:O54">
    <cfRule type="cellIs" dxfId="10306" priority="1097" operator="equal">
      <formula>"PMS"</formula>
    </cfRule>
    <cfRule type="containsText" dxfId="10305" priority="1098" operator="containsText" text="CMS">
      <formula>NOT(ISERROR(SEARCH("CMS",O52)))</formula>
    </cfRule>
    <cfRule type="cellIs" dxfId="10304" priority="1099" operator="equal">
      <formula>0</formula>
    </cfRule>
    <cfRule type="cellIs" dxfId="10303" priority="1100" operator="greaterThan">
      <formula>0</formula>
    </cfRule>
  </conditionalFormatting>
  <conditionalFormatting sqref="O52:O54">
    <cfRule type="cellIs" dxfId="10302" priority="1093" operator="equal">
      <formula>"PMS"</formula>
    </cfRule>
    <cfRule type="containsText" dxfId="10301" priority="1094" operator="containsText" text="CMS">
      <formula>NOT(ISERROR(SEARCH("CMS",O52)))</formula>
    </cfRule>
    <cfRule type="cellIs" dxfId="10300" priority="1095" operator="equal">
      <formula>0</formula>
    </cfRule>
    <cfRule type="cellIs" dxfId="10299" priority="1096" operator="greaterThan">
      <formula>0</formula>
    </cfRule>
  </conditionalFormatting>
  <conditionalFormatting sqref="O52:O54">
    <cfRule type="cellIs" dxfId="10298" priority="1089" operator="equal">
      <formula>"PMS"</formula>
    </cfRule>
    <cfRule type="containsText" dxfId="10297" priority="1090" operator="containsText" text="CMS">
      <formula>NOT(ISERROR(SEARCH("CMS",O52)))</formula>
    </cfRule>
    <cfRule type="cellIs" dxfId="10296" priority="1091" operator="equal">
      <formula>0</formula>
    </cfRule>
    <cfRule type="cellIs" dxfId="10295" priority="1092" operator="greaterThan">
      <formula>0</formula>
    </cfRule>
  </conditionalFormatting>
  <conditionalFormatting sqref="O52:O54">
    <cfRule type="cellIs" dxfId="10294" priority="1085" operator="equal">
      <formula>"PMS"</formula>
    </cfRule>
    <cfRule type="containsText" dxfId="10293" priority="1086" operator="containsText" text="CMS">
      <formula>NOT(ISERROR(SEARCH("CMS",O52)))</formula>
    </cfRule>
    <cfRule type="cellIs" dxfId="10292" priority="1087" operator="equal">
      <formula>0</formula>
    </cfRule>
    <cfRule type="cellIs" dxfId="10291" priority="1088" operator="greaterThan">
      <formula>0</formula>
    </cfRule>
  </conditionalFormatting>
  <conditionalFormatting sqref="O52:O54">
    <cfRule type="cellIs" dxfId="10290" priority="1081" operator="equal">
      <formula>"PMS"</formula>
    </cfRule>
    <cfRule type="containsText" dxfId="10289" priority="1082" operator="containsText" text="CMS">
      <formula>NOT(ISERROR(SEARCH("CMS",O52)))</formula>
    </cfRule>
    <cfRule type="cellIs" dxfId="10288" priority="1083" operator="equal">
      <formula>0</formula>
    </cfRule>
    <cfRule type="cellIs" dxfId="10287" priority="1084" operator="greaterThan">
      <formula>0</formula>
    </cfRule>
  </conditionalFormatting>
  <conditionalFormatting sqref="O52:O54">
    <cfRule type="cellIs" dxfId="10286" priority="1077" operator="equal">
      <formula>"PMS"</formula>
    </cfRule>
    <cfRule type="containsText" dxfId="10285" priority="1078" operator="containsText" text="CMS">
      <formula>NOT(ISERROR(SEARCH("CMS",O52)))</formula>
    </cfRule>
    <cfRule type="cellIs" dxfId="10284" priority="1079" operator="equal">
      <formula>0</formula>
    </cfRule>
    <cfRule type="cellIs" dxfId="10283" priority="1080" operator="greaterThan">
      <formula>0</formula>
    </cfRule>
  </conditionalFormatting>
  <conditionalFormatting sqref="O52:O54">
    <cfRule type="cellIs" dxfId="10282" priority="1073" operator="equal">
      <formula>"PMS"</formula>
    </cfRule>
    <cfRule type="containsText" dxfId="10281" priority="1074" operator="containsText" text="CMS">
      <formula>NOT(ISERROR(SEARCH("CMS",O52)))</formula>
    </cfRule>
    <cfRule type="cellIs" dxfId="10280" priority="1075" operator="equal">
      <formula>0</formula>
    </cfRule>
    <cfRule type="cellIs" dxfId="10279" priority="1076" operator="greaterThan">
      <formula>0</formula>
    </cfRule>
  </conditionalFormatting>
  <conditionalFormatting sqref="O52:O54">
    <cfRule type="cellIs" dxfId="10278" priority="1069" operator="equal">
      <formula>"PMS"</formula>
    </cfRule>
    <cfRule type="containsText" dxfId="10277" priority="1070" operator="containsText" text="CMS">
      <formula>NOT(ISERROR(SEARCH("CMS",O52)))</formula>
    </cfRule>
    <cfRule type="cellIs" dxfId="10276" priority="1071" operator="equal">
      <formula>0</formula>
    </cfRule>
    <cfRule type="cellIs" dxfId="10275" priority="1072" operator="greaterThan">
      <formula>0</formula>
    </cfRule>
  </conditionalFormatting>
  <conditionalFormatting sqref="O52:O54">
    <cfRule type="cellIs" dxfId="10274" priority="1065" operator="equal">
      <formula>"PMS"</formula>
    </cfRule>
    <cfRule type="containsText" dxfId="10273" priority="1066" operator="containsText" text="CMS">
      <formula>NOT(ISERROR(SEARCH("CMS",O52)))</formula>
    </cfRule>
    <cfRule type="cellIs" dxfId="10272" priority="1067" operator="equal">
      <formula>0</formula>
    </cfRule>
    <cfRule type="cellIs" dxfId="10271" priority="1068" operator="greaterThan">
      <formula>0</formula>
    </cfRule>
  </conditionalFormatting>
  <conditionalFormatting sqref="O52:O54">
    <cfRule type="cellIs" dxfId="10270" priority="1061" operator="equal">
      <formula>"PMS"</formula>
    </cfRule>
    <cfRule type="containsText" dxfId="10269" priority="1062" operator="containsText" text="CMS">
      <formula>NOT(ISERROR(SEARCH("CMS",O52)))</formula>
    </cfRule>
    <cfRule type="cellIs" dxfId="10268" priority="1063" operator="equal">
      <formula>0</formula>
    </cfRule>
    <cfRule type="cellIs" dxfId="10267" priority="1064" operator="greaterThan">
      <formula>0</formula>
    </cfRule>
  </conditionalFormatting>
  <conditionalFormatting sqref="O52:O54">
    <cfRule type="cellIs" dxfId="10266" priority="1057" operator="equal">
      <formula>"PMS"</formula>
    </cfRule>
    <cfRule type="containsText" dxfId="10265" priority="1058" operator="containsText" text="CMS">
      <formula>NOT(ISERROR(SEARCH("CMS",O52)))</formula>
    </cfRule>
    <cfRule type="cellIs" dxfId="10264" priority="1059" operator="equal">
      <formula>0</formula>
    </cfRule>
    <cfRule type="cellIs" dxfId="10263" priority="1060" operator="greaterThan">
      <formula>0</formula>
    </cfRule>
  </conditionalFormatting>
  <conditionalFormatting sqref="O52:O54">
    <cfRule type="cellIs" dxfId="10262" priority="1053" operator="equal">
      <formula>"PMS"</formula>
    </cfRule>
    <cfRule type="containsText" dxfId="10261" priority="1054" operator="containsText" text="CMS">
      <formula>NOT(ISERROR(SEARCH("CMS",O52)))</formula>
    </cfRule>
    <cfRule type="cellIs" dxfId="10260" priority="1055" operator="equal">
      <formula>0</formula>
    </cfRule>
    <cfRule type="cellIs" dxfId="10259" priority="1056" operator="greaterThan">
      <formula>0</formula>
    </cfRule>
  </conditionalFormatting>
  <conditionalFormatting sqref="O52:O54">
    <cfRule type="cellIs" dxfId="10258" priority="1049" operator="equal">
      <formula>"PMS"</formula>
    </cfRule>
    <cfRule type="containsText" dxfId="10257" priority="1050" operator="containsText" text="CMS">
      <formula>NOT(ISERROR(SEARCH("CMS",O52)))</formula>
    </cfRule>
    <cfRule type="cellIs" dxfId="10256" priority="1051" operator="equal">
      <formula>0</formula>
    </cfRule>
    <cfRule type="cellIs" dxfId="10255" priority="1052" operator="greaterThan">
      <formula>0</formula>
    </cfRule>
  </conditionalFormatting>
  <conditionalFormatting sqref="O52:O54">
    <cfRule type="cellIs" dxfId="10254" priority="1045" operator="equal">
      <formula>"PMS"</formula>
    </cfRule>
    <cfRule type="containsText" dxfId="10253" priority="1046" operator="containsText" text="CMS">
      <formula>NOT(ISERROR(SEARCH("CMS",O52)))</formula>
    </cfRule>
    <cfRule type="cellIs" dxfId="10252" priority="1047" operator="equal">
      <formula>0</formula>
    </cfRule>
    <cfRule type="cellIs" dxfId="10251" priority="1048" operator="greaterThan">
      <formula>0</formula>
    </cfRule>
  </conditionalFormatting>
  <conditionalFormatting sqref="O52:O54">
    <cfRule type="cellIs" dxfId="10250" priority="1041" operator="equal">
      <formula>"PMS"</formula>
    </cfRule>
    <cfRule type="containsText" dxfId="10249" priority="1042" operator="containsText" text="CMS">
      <formula>NOT(ISERROR(SEARCH("CMS",O52)))</formula>
    </cfRule>
    <cfRule type="cellIs" dxfId="10248" priority="1043" operator="equal">
      <formula>0</formula>
    </cfRule>
    <cfRule type="cellIs" dxfId="10247" priority="1044" operator="greaterThan">
      <formula>0</formula>
    </cfRule>
  </conditionalFormatting>
  <conditionalFormatting sqref="O52:O54">
    <cfRule type="cellIs" dxfId="10246" priority="1037" operator="equal">
      <formula>"PMS"</formula>
    </cfRule>
    <cfRule type="containsText" dxfId="10245" priority="1038" operator="containsText" text="CMS">
      <formula>NOT(ISERROR(SEARCH("CMS",O52)))</formula>
    </cfRule>
    <cfRule type="cellIs" dxfId="10244" priority="1039" operator="equal">
      <formula>0</formula>
    </cfRule>
    <cfRule type="cellIs" dxfId="10243" priority="1040" operator="greaterThan">
      <formula>0</formula>
    </cfRule>
  </conditionalFormatting>
  <conditionalFormatting sqref="O52:O54">
    <cfRule type="cellIs" dxfId="10242" priority="1033" operator="equal">
      <formula>"PMS"</formula>
    </cfRule>
    <cfRule type="containsText" dxfId="10241" priority="1034" operator="containsText" text="CMS">
      <formula>NOT(ISERROR(SEARCH("CMS",O52)))</formula>
    </cfRule>
    <cfRule type="cellIs" dxfId="10240" priority="1035" operator="equal">
      <formula>0</formula>
    </cfRule>
    <cfRule type="cellIs" dxfId="10239" priority="1036" operator="greaterThan">
      <formula>0</formula>
    </cfRule>
  </conditionalFormatting>
  <conditionalFormatting sqref="O52:O54">
    <cfRule type="cellIs" dxfId="10238" priority="1029" operator="equal">
      <formula>"PMS"</formula>
    </cfRule>
    <cfRule type="containsText" dxfId="10237" priority="1030" operator="containsText" text="CMS">
      <formula>NOT(ISERROR(SEARCH("CMS",O52)))</formula>
    </cfRule>
    <cfRule type="cellIs" dxfId="10236" priority="1031" operator="equal">
      <formula>0</formula>
    </cfRule>
    <cfRule type="cellIs" dxfId="10235" priority="1032" operator="greaterThan">
      <formula>0</formula>
    </cfRule>
  </conditionalFormatting>
  <conditionalFormatting sqref="O52:O54">
    <cfRule type="cellIs" dxfId="10234" priority="1025" operator="equal">
      <formula>"PMS"</formula>
    </cfRule>
    <cfRule type="containsText" dxfId="10233" priority="1026" operator="containsText" text="CMS">
      <formula>NOT(ISERROR(SEARCH("CMS",O52)))</formula>
    </cfRule>
    <cfRule type="cellIs" dxfId="10232" priority="1027" operator="equal">
      <formula>0</formula>
    </cfRule>
    <cfRule type="cellIs" dxfId="10231" priority="1028" operator="greaterThan">
      <formula>0</formula>
    </cfRule>
  </conditionalFormatting>
  <conditionalFormatting sqref="O52:O54">
    <cfRule type="cellIs" dxfId="10230" priority="1021" operator="equal">
      <formula>"PMS"</formula>
    </cfRule>
    <cfRule type="containsText" dxfId="10229" priority="1022" operator="containsText" text="CMS">
      <formula>NOT(ISERROR(SEARCH("CMS",O52)))</formula>
    </cfRule>
    <cfRule type="cellIs" dxfId="10228" priority="1023" operator="equal">
      <formula>0</formula>
    </cfRule>
    <cfRule type="cellIs" dxfId="10227" priority="1024" operator="greaterThan">
      <formula>0</formula>
    </cfRule>
  </conditionalFormatting>
  <conditionalFormatting sqref="O52:O54">
    <cfRule type="cellIs" dxfId="10226" priority="1017" operator="equal">
      <formula>"PMS"</formula>
    </cfRule>
    <cfRule type="containsText" dxfId="10225" priority="1018" operator="containsText" text="CMS">
      <formula>NOT(ISERROR(SEARCH("CMS",O52)))</formula>
    </cfRule>
    <cfRule type="cellIs" dxfId="10224" priority="1019" operator="equal">
      <formula>0</formula>
    </cfRule>
    <cfRule type="cellIs" dxfId="10223" priority="1020" operator="greaterThan">
      <formula>0</formula>
    </cfRule>
  </conditionalFormatting>
  <conditionalFormatting sqref="O52:O54">
    <cfRule type="cellIs" dxfId="10222" priority="1013" operator="equal">
      <formula>"PMS"</formula>
    </cfRule>
    <cfRule type="containsText" dxfId="10221" priority="1014" operator="containsText" text="CMS">
      <formula>NOT(ISERROR(SEARCH("CMS",O52)))</formula>
    </cfRule>
    <cfRule type="cellIs" dxfId="10220" priority="1015" operator="equal">
      <formula>0</formula>
    </cfRule>
    <cfRule type="cellIs" dxfId="10219" priority="1016" operator="greaterThan">
      <formula>0</formula>
    </cfRule>
  </conditionalFormatting>
  <conditionalFormatting sqref="O52:O54">
    <cfRule type="cellIs" dxfId="10218" priority="1009" operator="equal">
      <formula>"PMS"</formula>
    </cfRule>
    <cfRule type="containsText" dxfId="10217" priority="1010" operator="containsText" text="CMS">
      <formula>NOT(ISERROR(SEARCH("CMS",O52)))</formula>
    </cfRule>
    <cfRule type="cellIs" dxfId="10216" priority="1011" operator="equal">
      <formula>0</formula>
    </cfRule>
    <cfRule type="cellIs" dxfId="10215" priority="1012" operator="greaterThan">
      <formula>0</formula>
    </cfRule>
  </conditionalFormatting>
  <conditionalFormatting sqref="O52:O54">
    <cfRule type="cellIs" dxfId="10214" priority="1005" operator="equal">
      <formula>"PMS"</formula>
    </cfRule>
    <cfRule type="containsText" dxfId="10213" priority="1006" operator="containsText" text="CMS">
      <formula>NOT(ISERROR(SEARCH("CMS",O52)))</formula>
    </cfRule>
    <cfRule type="cellIs" dxfId="10212" priority="1007" operator="equal">
      <formula>0</formula>
    </cfRule>
    <cfRule type="cellIs" dxfId="10211" priority="1008" operator="greaterThan">
      <formula>0</formula>
    </cfRule>
  </conditionalFormatting>
  <conditionalFormatting sqref="O52:O54">
    <cfRule type="cellIs" dxfId="10210" priority="1001" operator="equal">
      <formula>"PMS"</formula>
    </cfRule>
    <cfRule type="containsText" dxfId="10209" priority="1002" operator="containsText" text="CMS">
      <formula>NOT(ISERROR(SEARCH("CMS",O52)))</formula>
    </cfRule>
    <cfRule type="cellIs" dxfId="10208" priority="1003" operator="equal">
      <formula>0</formula>
    </cfRule>
    <cfRule type="cellIs" dxfId="10207" priority="1004" operator="greaterThan">
      <formula>0</formula>
    </cfRule>
  </conditionalFormatting>
  <conditionalFormatting sqref="O52:O54">
    <cfRule type="cellIs" dxfId="10206" priority="997" operator="equal">
      <formula>"PMS"</formula>
    </cfRule>
    <cfRule type="containsText" dxfId="10205" priority="998" operator="containsText" text="CMS">
      <formula>NOT(ISERROR(SEARCH("CMS",O52)))</formula>
    </cfRule>
    <cfRule type="cellIs" dxfId="10204" priority="999" operator="equal">
      <formula>0</formula>
    </cfRule>
    <cfRule type="cellIs" dxfId="10203" priority="1000" operator="greaterThan">
      <formula>0</formula>
    </cfRule>
  </conditionalFormatting>
  <conditionalFormatting sqref="O52:O54">
    <cfRule type="cellIs" dxfId="10202" priority="993" operator="equal">
      <formula>"PMS"</formula>
    </cfRule>
    <cfRule type="containsText" dxfId="10201" priority="994" operator="containsText" text="CMS">
      <formula>NOT(ISERROR(SEARCH("CMS",O52)))</formula>
    </cfRule>
    <cfRule type="cellIs" dxfId="10200" priority="995" operator="equal">
      <formula>0</formula>
    </cfRule>
    <cfRule type="cellIs" dxfId="10199" priority="996" operator="greaterThan">
      <formula>0</formula>
    </cfRule>
  </conditionalFormatting>
  <conditionalFormatting sqref="O52:O54">
    <cfRule type="cellIs" dxfId="10198" priority="989" operator="equal">
      <formula>"PMS"</formula>
    </cfRule>
    <cfRule type="containsText" dxfId="10197" priority="990" operator="containsText" text="CMS">
      <formula>NOT(ISERROR(SEARCH("CMS",O52)))</formula>
    </cfRule>
    <cfRule type="cellIs" dxfId="10196" priority="991" operator="equal">
      <formula>0</formula>
    </cfRule>
    <cfRule type="cellIs" dxfId="10195" priority="992" operator="greaterThan">
      <formula>0</formula>
    </cfRule>
  </conditionalFormatting>
  <conditionalFormatting sqref="O52:O54">
    <cfRule type="cellIs" dxfId="10194" priority="985" operator="equal">
      <formula>"PMS"</formula>
    </cfRule>
    <cfRule type="containsText" dxfId="10193" priority="986" operator="containsText" text="CMS">
      <formula>NOT(ISERROR(SEARCH("CMS",O52)))</formula>
    </cfRule>
    <cfRule type="cellIs" dxfId="10192" priority="987" operator="equal">
      <formula>0</formula>
    </cfRule>
    <cfRule type="cellIs" dxfId="10191" priority="988" operator="greaterThan">
      <formula>0</formula>
    </cfRule>
  </conditionalFormatting>
  <conditionalFormatting sqref="O52:O54">
    <cfRule type="cellIs" dxfId="10190" priority="981" operator="equal">
      <formula>"PMS"</formula>
    </cfRule>
    <cfRule type="containsText" dxfId="10189" priority="982" operator="containsText" text="CMS">
      <formula>NOT(ISERROR(SEARCH("CMS",O52)))</formula>
    </cfRule>
    <cfRule type="cellIs" dxfId="10188" priority="983" operator="equal">
      <formula>0</formula>
    </cfRule>
    <cfRule type="cellIs" dxfId="10187" priority="984" operator="greaterThan">
      <formula>0</formula>
    </cfRule>
  </conditionalFormatting>
  <conditionalFormatting sqref="O52:O54">
    <cfRule type="cellIs" dxfId="10186" priority="977" operator="equal">
      <formula>"PMS"</formula>
    </cfRule>
    <cfRule type="containsText" dxfId="10185" priority="978" operator="containsText" text="CMS">
      <formula>NOT(ISERROR(SEARCH("CMS",O52)))</formula>
    </cfRule>
    <cfRule type="cellIs" dxfId="10184" priority="979" operator="equal">
      <formula>0</formula>
    </cfRule>
    <cfRule type="cellIs" dxfId="10183" priority="980" operator="greaterThan">
      <formula>0</formula>
    </cfRule>
  </conditionalFormatting>
  <conditionalFormatting sqref="O52:O54">
    <cfRule type="cellIs" dxfId="10182" priority="973" operator="equal">
      <formula>"PMS"</formula>
    </cfRule>
    <cfRule type="containsText" dxfId="10181" priority="974" operator="containsText" text="CMS">
      <formula>NOT(ISERROR(SEARCH("CMS",O52)))</formula>
    </cfRule>
    <cfRule type="cellIs" dxfId="10180" priority="975" operator="equal">
      <formula>0</formula>
    </cfRule>
    <cfRule type="cellIs" dxfId="10179" priority="976" operator="greaterThan">
      <formula>0</formula>
    </cfRule>
  </conditionalFormatting>
  <conditionalFormatting sqref="O52:O54">
    <cfRule type="cellIs" dxfId="10178" priority="969" operator="equal">
      <formula>"PMS"</formula>
    </cfRule>
    <cfRule type="containsText" dxfId="10177" priority="970" operator="containsText" text="CMS">
      <formula>NOT(ISERROR(SEARCH("CMS",O52)))</formula>
    </cfRule>
    <cfRule type="cellIs" dxfId="10176" priority="971" operator="equal">
      <formula>0</formula>
    </cfRule>
    <cfRule type="cellIs" dxfId="10175" priority="972" operator="greaterThan">
      <formula>0</formula>
    </cfRule>
  </conditionalFormatting>
  <conditionalFormatting sqref="O52:O54">
    <cfRule type="cellIs" dxfId="10174" priority="965" operator="equal">
      <formula>"PMS"</formula>
    </cfRule>
    <cfRule type="containsText" dxfId="10173" priority="966" operator="containsText" text="CMS">
      <formula>NOT(ISERROR(SEARCH("CMS",O52)))</formula>
    </cfRule>
    <cfRule type="cellIs" dxfId="10172" priority="967" operator="equal">
      <formula>0</formula>
    </cfRule>
    <cfRule type="cellIs" dxfId="10171" priority="968" operator="greaterThan">
      <formula>0</formula>
    </cfRule>
  </conditionalFormatting>
  <conditionalFormatting sqref="O52:O54">
    <cfRule type="cellIs" dxfId="10170" priority="961" operator="equal">
      <formula>"PMS"</formula>
    </cfRule>
    <cfRule type="containsText" dxfId="10169" priority="962" operator="containsText" text="CMS">
      <formula>NOT(ISERROR(SEARCH("CMS",O52)))</formula>
    </cfRule>
    <cfRule type="cellIs" dxfId="10168" priority="963" operator="equal">
      <formula>0</formula>
    </cfRule>
    <cfRule type="cellIs" dxfId="10167" priority="964" operator="greaterThan">
      <formula>0</formula>
    </cfRule>
  </conditionalFormatting>
  <conditionalFormatting sqref="O52:O54">
    <cfRule type="cellIs" dxfId="10166" priority="957" operator="equal">
      <formula>"PMS"</formula>
    </cfRule>
    <cfRule type="containsText" dxfId="10165" priority="958" operator="containsText" text="CMS">
      <formula>NOT(ISERROR(SEARCH("CMS",O52)))</formula>
    </cfRule>
    <cfRule type="cellIs" dxfId="10164" priority="959" operator="equal">
      <formula>0</formula>
    </cfRule>
    <cfRule type="cellIs" dxfId="10163" priority="960" operator="greaterThan">
      <formula>0</formula>
    </cfRule>
  </conditionalFormatting>
  <conditionalFormatting sqref="O52:O54">
    <cfRule type="cellIs" dxfId="10162" priority="953" operator="equal">
      <formula>"PMS"</formula>
    </cfRule>
    <cfRule type="containsText" dxfId="10161" priority="954" operator="containsText" text="CMS">
      <formula>NOT(ISERROR(SEARCH("CMS",O52)))</formula>
    </cfRule>
    <cfRule type="cellIs" dxfId="10160" priority="955" operator="equal">
      <formula>0</formula>
    </cfRule>
    <cfRule type="cellIs" dxfId="10159" priority="956" operator="greaterThan">
      <formula>0</formula>
    </cfRule>
  </conditionalFormatting>
  <conditionalFormatting sqref="O52:O54">
    <cfRule type="cellIs" dxfId="10158" priority="949" operator="equal">
      <formula>"PMS"</formula>
    </cfRule>
    <cfRule type="containsText" dxfId="10157" priority="950" operator="containsText" text="CMS">
      <formula>NOT(ISERROR(SEARCH("CMS",O52)))</formula>
    </cfRule>
    <cfRule type="cellIs" dxfId="10156" priority="951" operator="equal">
      <formula>0</formula>
    </cfRule>
    <cfRule type="cellIs" dxfId="10155" priority="952" operator="greaterThan">
      <formula>0</formula>
    </cfRule>
  </conditionalFormatting>
  <conditionalFormatting sqref="O52:O54">
    <cfRule type="cellIs" dxfId="10154" priority="945" operator="equal">
      <formula>"PMS"</formula>
    </cfRule>
    <cfRule type="containsText" dxfId="10153" priority="946" operator="containsText" text="CMS">
      <formula>NOT(ISERROR(SEARCH("CMS",O52)))</formula>
    </cfRule>
    <cfRule type="cellIs" dxfId="10152" priority="947" operator="equal">
      <formula>0</formula>
    </cfRule>
    <cfRule type="cellIs" dxfId="10151" priority="948" operator="greaterThan">
      <formula>0</formula>
    </cfRule>
  </conditionalFormatting>
  <conditionalFormatting sqref="O52:O54">
    <cfRule type="cellIs" dxfId="10150" priority="941" operator="equal">
      <formula>"PMS"</formula>
    </cfRule>
    <cfRule type="containsText" dxfId="10149" priority="942" operator="containsText" text="CMS">
      <formula>NOT(ISERROR(SEARCH("CMS",O52)))</formula>
    </cfRule>
    <cfRule type="cellIs" dxfId="10148" priority="943" operator="equal">
      <formula>0</formula>
    </cfRule>
    <cfRule type="cellIs" dxfId="10147" priority="944" operator="greaterThan">
      <formula>0</formula>
    </cfRule>
  </conditionalFormatting>
  <conditionalFormatting sqref="O52:O54">
    <cfRule type="cellIs" dxfId="10146" priority="937" operator="equal">
      <formula>"PMS"</formula>
    </cfRule>
    <cfRule type="containsText" dxfId="10145" priority="938" operator="containsText" text="CMS">
      <formula>NOT(ISERROR(SEARCH("CMS",O52)))</formula>
    </cfRule>
    <cfRule type="cellIs" dxfId="10144" priority="939" operator="equal">
      <formula>0</formula>
    </cfRule>
    <cfRule type="cellIs" dxfId="10143" priority="940" operator="greaterThan">
      <formula>0</formula>
    </cfRule>
  </conditionalFormatting>
  <conditionalFormatting sqref="O52:O54">
    <cfRule type="cellIs" dxfId="10142" priority="933" operator="equal">
      <formula>"PMS"</formula>
    </cfRule>
    <cfRule type="containsText" dxfId="10141" priority="934" operator="containsText" text="CMS">
      <formula>NOT(ISERROR(SEARCH("CMS",O52)))</formula>
    </cfRule>
    <cfRule type="cellIs" dxfId="10140" priority="935" operator="equal">
      <formula>0</formula>
    </cfRule>
    <cfRule type="cellIs" dxfId="10139" priority="936" operator="greaterThan">
      <formula>0</formula>
    </cfRule>
  </conditionalFormatting>
  <conditionalFormatting sqref="O52:O54">
    <cfRule type="cellIs" dxfId="10138" priority="929" operator="equal">
      <formula>"PMS"</formula>
    </cfRule>
    <cfRule type="containsText" dxfId="10137" priority="930" operator="containsText" text="CMS">
      <formula>NOT(ISERROR(SEARCH("CMS",O52)))</formula>
    </cfRule>
    <cfRule type="cellIs" dxfId="10136" priority="931" operator="equal">
      <formula>0</formula>
    </cfRule>
    <cfRule type="cellIs" dxfId="10135" priority="932" operator="greaterThan">
      <formula>0</formula>
    </cfRule>
  </conditionalFormatting>
  <conditionalFormatting sqref="O58">
    <cfRule type="cellIs" dxfId="10134" priority="925" operator="equal">
      <formula>"PMS"</formula>
    </cfRule>
    <cfRule type="containsText" dxfId="10133" priority="926" operator="containsText" text="CMS">
      <formula>NOT(ISERROR(SEARCH("CMS",O58)))</formula>
    </cfRule>
    <cfRule type="cellIs" dxfId="10132" priority="927" operator="equal">
      <formula>0</formula>
    </cfRule>
    <cfRule type="cellIs" dxfId="10131" priority="928" operator="greaterThan">
      <formula>0</formula>
    </cfRule>
  </conditionalFormatting>
  <conditionalFormatting sqref="O58">
    <cfRule type="cellIs" dxfId="10130" priority="921" operator="equal">
      <formula>"PMS"</formula>
    </cfRule>
    <cfRule type="containsText" dxfId="10129" priority="922" operator="containsText" text="CMS">
      <formula>NOT(ISERROR(SEARCH("CMS",O58)))</formula>
    </cfRule>
    <cfRule type="cellIs" dxfId="10128" priority="923" operator="equal">
      <formula>0</formula>
    </cfRule>
    <cfRule type="cellIs" dxfId="10127" priority="924" operator="greaterThan">
      <formula>0</formula>
    </cfRule>
  </conditionalFormatting>
  <conditionalFormatting sqref="O58">
    <cfRule type="cellIs" dxfId="10126" priority="917" operator="equal">
      <formula>"PMS"</formula>
    </cfRule>
    <cfRule type="containsText" dxfId="10125" priority="918" operator="containsText" text="CMS">
      <formula>NOT(ISERROR(SEARCH("CMS",O58)))</formula>
    </cfRule>
    <cfRule type="cellIs" dxfId="10124" priority="919" operator="equal">
      <formula>0</formula>
    </cfRule>
    <cfRule type="cellIs" dxfId="10123" priority="920" operator="greaterThan">
      <formula>0</formula>
    </cfRule>
  </conditionalFormatting>
  <conditionalFormatting sqref="O58">
    <cfRule type="cellIs" dxfId="10122" priority="913" operator="equal">
      <formula>"PMS"</formula>
    </cfRule>
    <cfRule type="containsText" dxfId="10121" priority="914" operator="containsText" text="CMS">
      <formula>NOT(ISERROR(SEARCH("CMS",O58)))</formula>
    </cfRule>
    <cfRule type="cellIs" dxfId="10120" priority="915" operator="equal">
      <formula>0</formula>
    </cfRule>
    <cfRule type="cellIs" dxfId="10119" priority="916" operator="greaterThan">
      <formula>0</formula>
    </cfRule>
  </conditionalFormatting>
  <conditionalFormatting sqref="O58">
    <cfRule type="cellIs" dxfId="10118" priority="909" operator="equal">
      <formula>"PMS"</formula>
    </cfRule>
    <cfRule type="containsText" dxfId="10117" priority="910" operator="containsText" text="CMS">
      <formula>NOT(ISERROR(SEARCH("CMS",O58)))</formula>
    </cfRule>
    <cfRule type="cellIs" dxfId="10116" priority="911" operator="equal">
      <formula>0</formula>
    </cfRule>
    <cfRule type="cellIs" dxfId="10115" priority="912" operator="greaterThan">
      <formula>0</formula>
    </cfRule>
  </conditionalFormatting>
  <conditionalFormatting sqref="O58">
    <cfRule type="cellIs" dxfId="10114" priority="905" operator="equal">
      <formula>"PMS"</formula>
    </cfRule>
    <cfRule type="containsText" dxfId="10113" priority="906" operator="containsText" text="CMS">
      <formula>NOT(ISERROR(SEARCH("CMS",O58)))</formula>
    </cfRule>
    <cfRule type="cellIs" dxfId="10112" priority="907" operator="equal">
      <formula>0</formula>
    </cfRule>
    <cfRule type="cellIs" dxfId="10111" priority="908" operator="greaterThan">
      <formula>0</formula>
    </cfRule>
  </conditionalFormatting>
  <conditionalFormatting sqref="O58">
    <cfRule type="cellIs" dxfId="10110" priority="901" operator="equal">
      <formula>"PMS"</formula>
    </cfRule>
    <cfRule type="containsText" dxfId="10109" priority="902" operator="containsText" text="CMS">
      <formula>NOT(ISERROR(SEARCH("CMS",O58)))</formula>
    </cfRule>
    <cfRule type="cellIs" dxfId="10108" priority="903" operator="equal">
      <formula>0</formula>
    </cfRule>
    <cfRule type="cellIs" dxfId="10107" priority="904" operator="greaterThan">
      <formula>0</formula>
    </cfRule>
  </conditionalFormatting>
  <conditionalFormatting sqref="O58">
    <cfRule type="cellIs" dxfId="10106" priority="897" operator="equal">
      <formula>"PMS"</formula>
    </cfRule>
    <cfRule type="containsText" dxfId="10105" priority="898" operator="containsText" text="CMS">
      <formula>NOT(ISERROR(SEARCH("CMS",O58)))</formula>
    </cfRule>
    <cfRule type="cellIs" dxfId="10104" priority="899" operator="equal">
      <formula>0</formula>
    </cfRule>
    <cfRule type="cellIs" dxfId="10103" priority="900" operator="greaterThan">
      <formula>0</formula>
    </cfRule>
  </conditionalFormatting>
  <conditionalFormatting sqref="O58">
    <cfRule type="cellIs" dxfId="10102" priority="893" operator="equal">
      <formula>"PMS"</formula>
    </cfRule>
    <cfRule type="containsText" dxfId="10101" priority="894" operator="containsText" text="CMS">
      <formula>NOT(ISERROR(SEARCH("CMS",O58)))</formula>
    </cfRule>
    <cfRule type="cellIs" dxfId="10100" priority="895" operator="equal">
      <formula>0</formula>
    </cfRule>
    <cfRule type="cellIs" dxfId="10099" priority="896" operator="greaterThan">
      <formula>0</formula>
    </cfRule>
  </conditionalFormatting>
  <conditionalFormatting sqref="O58">
    <cfRule type="cellIs" dxfId="10098" priority="889" operator="equal">
      <formula>"PMS"</formula>
    </cfRule>
    <cfRule type="containsText" dxfId="10097" priority="890" operator="containsText" text="CMS">
      <formula>NOT(ISERROR(SEARCH("CMS",O58)))</formula>
    </cfRule>
    <cfRule type="cellIs" dxfId="10096" priority="891" operator="equal">
      <formula>0</formula>
    </cfRule>
    <cfRule type="cellIs" dxfId="10095" priority="892" operator="greaterThan">
      <formula>0</formula>
    </cfRule>
  </conditionalFormatting>
  <conditionalFormatting sqref="O58">
    <cfRule type="cellIs" dxfId="10094" priority="885" operator="equal">
      <formula>"PMS"</formula>
    </cfRule>
    <cfRule type="containsText" dxfId="10093" priority="886" operator="containsText" text="CMS">
      <formula>NOT(ISERROR(SEARCH("CMS",O58)))</formula>
    </cfRule>
    <cfRule type="cellIs" dxfId="10092" priority="887" operator="equal">
      <formula>0</formula>
    </cfRule>
    <cfRule type="cellIs" dxfId="10091" priority="888" operator="greaterThan">
      <formula>0</formula>
    </cfRule>
  </conditionalFormatting>
  <conditionalFormatting sqref="O58">
    <cfRule type="cellIs" dxfId="10090" priority="881" operator="equal">
      <formula>"PMS"</formula>
    </cfRule>
    <cfRule type="containsText" dxfId="10089" priority="882" operator="containsText" text="CMS">
      <formula>NOT(ISERROR(SEARCH("CMS",O58)))</formula>
    </cfRule>
    <cfRule type="cellIs" dxfId="10088" priority="883" operator="equal">
      <formula>0</formula>
    </cfRule>
    <cfRule type="cellIs" dxfId="10087" priority="884" operator="greaterThan">
      <formula>0</formula>
    </cfRule>
  </conditionalFormatting>
  <conditionalFormatting sqref="O58">
    <cfRule type="cellIs" dxfId="10086" priority="877" operator="equal">
      <formula>"PMS"</formula>
    </cfRule>
    <cfRule type="containsText" dxfId="10085" priority="878" operator="containsText" text="CMS">
      <formula>NOT(ISERROR(SEARCH("CMS",O58)))</formula>
    </cfRule>
    <cfRule type="cellIs" dxfId="10084" priority="879" operator="equal">
      <formula>0</formula>
    </cfRule>
    <cfRule type="cellIs" dxfId="10083" priority="880" operator="greaterThan">
      <formula>0</formula>
    </cfRule>
  </conditionalFormatting>
  <conditionalFormatting sqref="O58">
    <cfRule type="cellIs" dxfId="10082" priority="873" operator="equal">
      <formula>"PMS"</formula>
    </cfRule>
    <cfRule type="containsText" dxfId="10081" priority="874" operator="containsText" text="CMS">
      <formula>NOT(ISERROR(SEARCH("CMS",O58)))</formula>
    </cfRule>
    <cfRule type="cellIs" dxfId="10080" priority="875" operator="equal">
      <formula>0</formula>
    </cfRule>
    <cfRule type="cellIs" dxfId="10079" priority="876" operator="greaterThan">
      <formula>0</formula>
    </cfRule>
  </conditionalFormatting>
  <conditionalFormatting sqref="O58">
    <cfRule type="cellIs" dxfId="10078" priority="869" operator="equal">
      <formula>"PMS"</formula>
    </cfRule>
    <cfRule type="containsText" dxfId="10077" priority="870" operator="containsText" text="CMS">
      <formula>NOT(ISERROR(SEARCH("CMS",O58)))</formula>
    </cfRule>
    <cfRule type="cellIs" dxfId="10076" priority="871" operator="equal">
      <formula>0</formula>
    </cfRule>
    <cfRule type="cellIs" dxfId="10075" priority="872" operator="greaterThan">
      <formula>0</formula>
    </cfRule>
  </conditionalFormatting>
  <conditionalFormatting sqref="O58">
    <cfRule type="cellIs" dxfId="10074" priority="865" operator="equal">
      <formula>"PMS"</formula>
    </cfRule>
    <cfRule type="containsText" dxfId="10073" priority="866" operator="containsText" text="CMS">
      <formula>NOT(ISERROR(SEARCH("CMS",O58)))</formula>
    </cfRule>
    <cfRule type="cellIs" dxfId="10072" priority="867" operator="equal">
      <formula>0</formula>
    </cfRule>
    <cfRule type="cellIs" dxfId="10071" priority="868" operator="greaterThan">
      <formula>0</formula>
    </cfRule>
  </conditionalFormatting>
  <conditionalFormatting sqref="O58">
    <cfRule type="cellIs" dxfId="10070" priority="861" operator="equal">
      <formula>"PMS"</formula>
    </cfRule>
    <cfRule type="containsText" dxfId="10069" priority="862" operator="containsText" text="CMS">
      <formula>NOT(ISERROR(SEARCH("CMS",O58)))</formula>
    </cfRule>
    <cfRule type="cellIs" dxfId="10068" priority="863" operator="equal">
      <formula>0</formula>
    </cfRule>
    <cfRule type="cellIs" dxfId="10067" priority="864" operator="greaterThan">
      <formula>0</formula>
    </cfRule>
  </conditionalFormatting>
  <conditionalFormatting sqref="O58">
    <cfRule type="cellIs" dxfId="10066" priority="857" operator="equal">
      <formula>"PMS"</formula>
    </cfRule>
    <cfRule type="containsText" dxfId="10065" priority="858" operator="containsText" text="CMS">
      <formula>NOT(ISERROR(SEARCH("CMS",O58)))</formula>
    </cfRule>
    <cfRule type="cellIs" dxfId="10064" priority="859" operator="equal">
      <formula>0</formula>
    </cfRule>
    <cfRule type="cellIs" dxfId="10063" priority="860" operator="greaterThan">
      <formula>0</formula>
    </cfRule>
  </conditionalFormatting>
  <conditionalFormatting sqref="O58">
    <cfRule type="cellIs" dxfId="10062" priority="853" operator="equal">
      <formula>"PMS"</formula>
    </cfRule>
    <cfRule type="containsText" dxfId="10061" priority="854" operator="containsText" text="CMS">
      <formula>NOT(ISERROR(SEARCH("CMS",O58)))</formula>
    </cfRule>
    <cfRule type="cellIs" dxfId="10060" priority="855" operator="equal">
      <formula>0</formula>
    </cfRule>
    <cfRule type="cellIs" dxfId="10059" priority="856" operator="greaterThan">
      <formula>0</formula>
    </cfRule>
  </conditionalFormatting>
  <conditionalFormatting sqref="O58">
    <cfRule type="cellIs" dxfId="10058" priority="849" operator="equal">
      <formula>"PMS"</formula>
    </cfRule>
    <cfRule type="containsText" dxfId="10057" priority="850" operator="containsText" text="CMS">
      <formula>NOT(ISERROR(SEARCH("CMS",O58)))</formula>
    </cfRule>
    <cfRule type="cellIs" dxfId="10056" priority="851" operator="equal">
      <formula>0</formula>
    </cfRule>
    <cfRule type="cellIs" dxfId="10055" priority="852" operator="greaterThan">
      <formula>0</formula>
    </cfRule>
  </conditionalFormatting>
  <conditionalFormatting sqref="O58">
    <cfRule type="cellIs" dxfId="10054" priority="845" operator="equal">
      <formula>"PMS"</formula>
    </cfRule>
    <cfRule type="containsText" dxfId="10053" priority="846" operator="containsText" text="CMS">
      <formula>NOT(ISERROR(SEARCH("CMS",O58)))</formula>
    </cfRule>
    <cfRule type="cellIs" dxfId="10052" priority="847" operator="equal">
      <formula>0</formula>
    </cfRule>
    <cfRule type="cellIs" dxfId="10051" priority="848" operator="greaterThan">
      <formula>0</formula>
    </cfRule>
  </conditionalFormatting>
  <conditionalFormatting sqref="O58">
    <cfRule type="cellIs" dxfId="10050" priority="841" operator="equal">
      <formula>"PMS"</formula>
    </cfRule>
    <cfRule type="containsText" dxfId="10049" priority="842" operator="containsText" text="CMS">
      <formula>NOT(ISERROR(SEARCH("CMS",O58)))</formula>
    </cfRule>
    <cfRule type="cellIs" dxfId="10048" priority="843" operator="equal">
      <formula>0</formula>
    </cfRule>
    <cfRule type="cellIs" dxfId="10047" priority="844" operator="greaterThan">
      <formula>0</formula>
    </cfRule>
  </conditionalFormatting>
  <conditionalFormatting sqref="O58">
    <cfRule type="cellIs" dxfId="10046" priority="837" operator="equal">
      <formula>"PMS"</formula>
    </cfRule>
    <cfRule type="containsText" dxfId="10045" priority="838" operator="containsText" text="CMS">
      <formula>NOT(ISERROR(SEARCH("CMS",O58)))</formula>
    </cfRule>
    <cfRule type="cellIs" dxfId="10044" priority="839" operator="equal">
      <formula>0</formula>
    </cfRule>
    <cfRule type="cellIs" dxfId="10043" priority="840" operator="greaterThan">
      <formula>0</formula>
    </cfRule>
  </conditionalFormatting>
  <conditionalFormatting sqref="O58">
    <cfRule type="cellIs" dxfId="10042" priority="833" operator="equal">
      <formula>"PMS"</formula>
    </cfRule>
    <cfRule type="containsText" dxfId="10041" priority="834" operator="containsText" text="CMS">
      <formula>NOT(ISERROR(SEARCH("CMS",O58)))</formula>
    </cfRule>
    <cfRule type="cellIs" dxfId="10040" priority="835" operator="equal">
      <formula>0</formula>
    </cfRule>
    <cfRule type="cellIs" dxfId="10039" priority="836" operator="greaterThan">
      <formula>0</formula>
    </cfRule>
  </conditionalFormatting>
  <conditionalFormatting sqref="O58">
    <cfRule type="cellIs" dxfId="10038" priority="829" operator="equal">
      <formula>"PMS"</formula>
    </cfRule>
    <cfRule type="containsText" dxfId="10037" priority="830" operator="containsText" text="CMS">
      <formula>NOT(ISERROR(SEARCH("CMS",O58)))</formula>
    </cfRule>
    <cfRule type="cellIs" dxfId="10036" priority="831" operator="equal">
      <formula>0</formula>
    </cfRule>
    <cfRule type="cellIs" dxfId="10035" priority="832" operator="greaterThan">
      <formula>0</formula>
    </cfRule>
  </conditionalFormatting>
  <conditionalFormatting sqref="O58">
    <cfRule type="cellIs" dxfId="10034" priority="825" operator="equal">
      <formula>"PMS"</formula>
    </cfRule>
    <cfRule type="containsText" dxfId="10033" priority="826" operator="containsText" text="CMS">
      <formula>NOT(ISERROR(SEARCH("CMS",O58)))</formula>
    </cfRule>
    <cfRule type="cellIs" dxfId="10032" priority="827" operator="equal">
      <formula>0</formula>
    </cfRule>
    <cfRule type="cellIs" dxfId="10031" priority="828" operator="greaterThan">
      <formula>0</formula>
    </cfRule>
  </conditionalFormatting>
  <conditionalFormatting sqref="O58">
    <cfRule type="cellIs" dxfId="10030" priority="821" operator="equal">
      <formula>"PMS"</formula>
    </cfRule>
    <cfRule type="containsText" dxfId="10029" priority="822" operator="containsText" text="CMS">
      <formula>NOT(ISERROR(SEARCH("CMS",O58)))</formula>
    </cfRule>
    <cfRule type="cellIs" dxfId="10028" priority="823" operator="equal">
      <formula>0</formula>
    </cfRule>
    <cfRule type="cellIs" dxfId="10027" priority="824" operator="greaterThan">
      <formula>0</formula>
    </cfRule>
  </conditionalFormatting>
  <conditionalFormatting sqref="O58">
    <cfRule type="cellIs" dxfId="10026" priority="817" operator="equal">
      <formula>"PMS"</formula>
    </cfRule>
    <cfRule type="containsText" dxfId="10025" priority="818" operator="containsText" text="CMS">
      <formula>NOT(ISERROR(SEARCH("CMS",O58)))</formula>
    </cfRule>
    <cfRule type="cellIs" dxfId="10024" priority="819" operator="equal">
      <formula>0</formula>
    </cfRule>
    <cfRule type="cellIs" dxfId="10023" priority="820" operator="greaterThan">
      <formula>0</formula>
    </cfRule>
  </conditionalFormatting>
  <conditionalFormatting sqref="O58">
    <cfRule type="cellIs" dxfId="10022" priority="813" operator="equal">
      <formula>"PMS"</formula>
    </cfRule>
    <cfRule type="containsText" dxfId="10021" priority="814" operator="containsText" text="CMS">
      <formula>NOT(ISERROR(SEARCH("CMS",O58)))</formula>
    </cfRule>
    <cfRule type="cellIs" dxfId="10020" priority="815" operator="equal">
      <formula>0</formula>
    </cfRule>
    <cfRule type="cellIs" dxfId="10019" priority="816" operator="greaterThan">
      <formula>0</formula>
    </cfRule>
  </conditionalFormatting>
  <conditionalFormatting sqref="O58">
    <cfRule type="cellIs" dxfId="10018" priority="809" operator="equal">
      <formula>"PMS"</formula>
    </cfRule>
    <cfRule type="containsText" dxfId="10017" priority="810" operator="containsText" text="CMS">
      <formula>NOT(ISERROR(SEARCH("CMS",O58)))</formula>
    </cfRule>
    <cfRule type="cellIs" dxfId="10016" priority="811" operator="equal">
      <formula>0</formula>
    </cfRule>
    <cfRule type="cellIs" dxfId="10015" priority="812" operator="greaterThan">
      <formula>0</formula>
    </cfRule>
  </conditionalFormatting>
  <conditionalFormatting sqref="O58">
    <cfRule type="cellIs" dxfId="10014" priority="805" operator="equal">
      <formula>"PMS"</formula>
    </cfRule>
    <cfRule type="containsText" dxfId="10013" priority="806" operator="containsText" text="CMS">
      <formula>NOT(ISERROR(SEARCH("CMS",O58)))</formula>
    </cfRule>
    <cfRule type="cellIs" dxfId="10012" priority="807" operator="equal">
      <formula>0</formula>
    </cfRule>
    <cfRule type="cellIs" dxfId="10011" priority="808" operator="greaterThan">
      <formula>0</formula>
    </cfRule>
  </conditionalFormatting>
  <conditionalFormatting sqref="O58">
    <cfRule type="cellIs" dxfId="10010" priority="801" operator="equal">
      <formula>"PMS"</formula>
    </cfRule>
    <cfRule type="containsText" dxfId="10009" priority="802" operator="containsText" text="CMS">
      <formula>NOT(ISERROR(SEARCH("CMS",O58)))</formula>
    </cfRule>
    <cfRule type="cellIs" dxfId="10008" priority="803" operator="equal">
      <formula>0</formula>
    </cfRule>
    <cfRule type="cellIs" dxfId="10007" priority="804" operator="greaterThan">
      <formula>0</formula>
    </cfRule>
  </conditionalFormatting>
  <conditionalFormatting sqref="O58">
    <cfRule type="cellIs" dxfId="10006" priority="797" operator="equal">
      <formula>"PMS"</formula>
    </cfRule>
    <cfRule type="containsText" dxfId="10005" priority="798" operator="containsText" text="CMS">
      <formula>NOT(ISERROR(SEARCH("CMS",O58)))</formula>
    </cfRule>
    <cfRule type="cellIs" dxfId="10004" priority="799" operator="equal">
      <formula>0</formula>
    </cfRule>
    <cfRule type="cellIs" dxfId="10003" priority="800" operator="greaterThan">
      <formula>0</formula>
    </cfRule>
  </conditionalFormatting>
  <conditionalFormatting sqref="O58">
    <cfRule type="cellIs" dxfId="10002" priority="793" operator="equal">
      <formula>"PMS"</formula>
    </cfRule>
    <cfRule type="containsText" dxfId="10001" priority="794" operator="containsText" text="CMS">
      <formula>NOT(ISERROR(SEARCH("CMS",O58)))</formula>
    </cfRule>
    <cfRule type="cellIs" dxfId="10000" priority="795" operator="equal">
      <formula>0</formula>
    </cfRule>
    <cfRule type="cellIs" dxfId="9999" priority="796" operator="greaterThan">
      <formula>0</formula>
    </cfRule>
  </conditionalFormatting>
  <conditionalFormatting sqref="O58">
    <cfRule type="cellIs" dxfId="9998" priority="789" operator="equal">
      <formula>"PMS"</formula>
    </cfRule>
    <cfRule type="containsText" dxfId="9997" priority="790" operator="containsText" text="CMS">
      <formula>NOT(ISERROR(SEARCH("CMS",O58)))</formula>
    </cfRule>
    <cfRule type="cellIs" dxfId="9996" priority="791" operator="equal">
      <formula>0</formula>
    </cfRule>
    <cfRule type="cellIs" dxfId="9995" priority="792" operator="greaterThan">
      <formula>0</formula>
    </cfRule>
  </conditionalFormatting>
  <conditionalFormatting sqref="O58">
    <cfRule type="cellIs" dxfId="9994" priority="785" operator="equal">
      <formula>"PMS"</formula>
    </cfRule>
    <cfRule type="containsText" dxfId="9993" priority="786" operator="containsText" text="CMS">
      <formula>NOT(ISERROR(SEARCH("CMS",O58)))</formula>
    </cfRule>
    <cfRule type="cellIs" dxfId="9992" priority="787" operator="equal">
      <formula>0</formula>
    </cfRule>
    <cfRule type="cellIs" dxfId="9991" priority="788" operator="greaterThan">
      <formula>0</formula>
    </cfRule>
  </conditionalFormatting>
  <conditionalFormatting sqref="O58">
    <cfRule type="cellIs" dxfId="9990" priority="781" operator="equal">
      <formula>"PMS"</formula>
    </cfRule>
    <cfRule type="containsText" dxfId="9989" priority="782" operator="containsText" text="CMS">
      <formula>NOT(ISERROR(SEARCH("CMS",O58)))</formula>
    </cfRule>
    <cfRule type="cellIs" dxfId="9988" priority="783" operator="equal">
      <formula>0</formula>
    </cfRule>
    <cfRule type="cellIs" dxfId="9987" priority="784" operator="greaterThan">
      <formula>0</formula>
    </cfRule>
  </conditionalFormatting>
  <conditionalFormatting sqref="O58">
    <cfRule type="cellIs" dxfId="9986" priority="777" operator="equal">
      <formula>"PMS"</formula>
    </cfRule>
    <cfRule type="containsText" dxfId="9985" priority="778" operator="containsText" text="CMS">
      <formula>NOT(ISERROR(SEARCH("CMS",O58)))</formula>
    </cfRule>
    <cfRule type="cellIs" dxfId="9984" priority="779" operator="equal">
      <formula>0</formula>
    </cfRule>
    <cfRule type="cellIs" dxfId="9983" priority="780" operator="greaterThan">
      <formula>0</formula>
    </cfRule>
  </conditionalFormatting>
  <conditionalFormatting sqref="O58">
    <cfRule type="cellIs" dxfId="9982" priority="773" operator="equal">
      <formula>"PMS"</formula>
    </cfRule>
    <cfRule type="containsText" dxfId="9981" priority="774" operator="containsText" text="CMS">
      <formula>NOT(ISERROR(SEARCH("CMS",O58)))</formula>
    </cfRule>
    <cfRule type="cellIs" dxfId="9980" priority="775" operator="equal">
      <formula>0</formula>
    </cfRule>
    <cfRule type="cellIs" dxfId="9979" priority="776" operator="greaterThan">
      <formula>0</formula>
    </cfRule>
  </conditionalFormatting>
  <conditionalFormatting sqref="O58">
    <cfRule type="cellIs" dxfId="9978" priority="769" operator="equal">
      <formula>"PMS"</formula>
    </cfRule>
    <cfRule type="containsText" dxfId="9977" priority="770" operator="containsText" text="CMS">
      <formula>NOT(ISERROR(SEARCH("CMS",O58)))</formula>
    </cfRule>
    <cfRule type="cellIs" dxfId="9976" priority="771" operator="equal">
      <formula>0</formula>
    </cfRule>
    <cfRule type="cellIs" dxfId="9975" priority="772" operator="greaterThan">
      <formula>0</formula>
    </cfRule>
  </conditionalFormatting>
  <conditionalFormatting sqref="O58">
    <cfRule type="cellIs" dxfId="9974" priority="765" operator="equal">
      <formula>"PMS"</formula>
    </cfRule>
    <cfRule type="containsText" dxfId="9973" priority="766" operator="containsText" text="CMS">
      <formula>NOT(ISERROR(SEARCH("CMS",O58)))</formula>
    </cfRule>
    <cfRule type="cellIs" dxfId="9972" priority="767" operator="equal">
      <formula>0</formula>
    </cfRule>
    <cfRule type="cellIs" dxfId="9971" priority="768" operator="greaterThan">
      <formula>0</formula>
    </cfRule>
  </conditionalFormatting>
  <conditionalFormatting sqref="O58">
    <cfRule type="cellIs" dxfId="9970" priority="761" operator="equal">
      <formula>"PMS"</formula>
    </cfRule>
    <cfRule type="containsText" dxfId="9969" priority="762" operator="containsText" text="CMS">
      <formula>NOT(ISERROR(SEARCH("CMS",O58)))</formula>
    </cfRule>
    <cfRule type="cellIs" dxfId="9968" priority="763" operator="equal">
      <formula>0</formula>
    </cfRule>
    <cfRule type="cellIs" dxfId="9967" priority="764" operator="greaterThan">
      <formula>0</formula>
    </cfRule>
  </conditionalFormatting>
  <conditionalFormatting sqref="O58">
    <cfRule type="cellIs" dxfId="9966" priority="757" operator="equal">
      <formula>"PMS"</formula>
    </cfRule>
    <cfRule type="containsText" dxfId="9965" priority="758" operator="containsText" text="CMS">
      <formula>NOT(ISERROR(SEARCH("CMS",O58)))</formula>
    </cfRule>
    <cfRule type="cellIs" dxfId="9964" priority="759" operator="equal">
      <formula>0</formula>
    </cfRule>
    <cfRule type="cellIs" dxfId="9963" priority="760" operator="greaterThan">
      <formula>0</formula>
    </cfRule>
  </conditionalFormatting>
  <conditionalFormatting sqref="O58">
    <cfRule type="cellIs" dxfId="9962" priority="753" operator="equal">
      <formula>"PMS"</formula>
    </cfRule>
    <cfRule type="containsText" dxfId="9961" priority="754" operator="containsText" text="CMS">
      <formula>NOT(ISERROR(SEARCH("CMS",O58)))</formula>
    </cfRule>
    <cfRule type="cellIs" dxfId="9960" priority="755" operator="equal">
      <formula>0</formula>
    </cfRule>
    <cfRule type="cellIs" dxfId="9959" priority="756" operator="greaterThan">
      <formula>0</formula>
    </cfRule>
  </conditionalFormatting>
  <conditionalFormatting sqref="O58">
    <cfRule type="cellIs" dxfId="9958" priority="749" operator="equal">
      <formula>"PMS"</formula>
    </cfRule>
    <cfRule type="containsText" dxfId="9957" priority="750" operator="containsText" text="CMS">
      <formula>NOT(ISERROR(SEARCH("CMS",O58)))</formula>
    </cfRule>
    <cfRule type="cellIs" dxfId="9956" priority="751" operator="equal">
      <formula>0</formula>
    </cfRule>
    <cfRule type="cellIs" dxfId="9955" priority="752" operator="greaterThan">
      <formula>0</formula>
    </cfRule>
  </conditionalFormatting>
  <conditionalFormatting sqref="O58">
    <cfRule type="cellIs" dxfId="9954" priority="745" operator="equal">
      <formula>"PMS"</formula>
    </cfRule>
    <cfRule type="containsText" dxfId="9953" priority="746" operator="containsText" text="CMS">
      <formula>NOT(ISERROR(SEARCH("CMS",O58)))</formula>
    </cfRule>
    <cfRule type="cellIs" dxfId="9952" priority="747" operator="equal">
      <formula>0</formula>
    </cfRule>
    <cfRule type="cellIs" dxfId="9951" priority="748" operator="greaterThan">
      <formula>0</formula>
    </cfRule>
  </conditionalFormatting>
  <conditionalFormatting sqref="O58">
    <cfRule type="cellIs" dxfId="9950" priority="741" operator="equal">
      <formula>"PMS"</formula>
    </cfRule>
    <cfRule type="containsText" dxfId="9949" priority="742" operator="containsText" text="CMS">
      <formula>NOT(ISERROR(SEARCH("CMS",O58)))</formula>
    </cfRule>
    <cfRule type="cellIs" dxfId="9948" priority="743" operator="equal">
      <formula>0</formula>
    </cfRule>
    <cfRule type="cellIs" dxfId="9947" priority="744" operator="greaterThan">
      <formula>0</formula>
    </cfRule>
  </conditionalFormatting>
  <conditionalFormatting sqref="O58">
    <cfRule type="cellIs" dxfId="9946" priority="737" operator="equal">
      <formula>"PMS"</formula>
    </cfRule>
    <cfRule type="containsText" dxfId="9945" priority="738" operator="containsText" text="CMS">
      <formula>NOT(ISERROR(SEARCH("CMS",O58)))</formula>
    </cfRule>
    <cfRule type="cellIs" dxfId="9944" priority="739" operator="equal">
      <formula>0</formula>
    </cfRule>
    <cfRule type="cellIs" dxfId="9943" priority="740" operator="greaterThan">
      <formula>0</formula>
    </cfRule>
  </conditionalFormatting>
  <conditionalFormatting sqref="O58">
    <cfRule type="cellIs" dxfId="9942" priority="733" operator="equal">
      <formula>"PMS"</formula>
    </cfRule>
    <cfRule type="containsText" dxfId="9941" priority="734" operator="containsText" text="CMS">
      <formula>NOT(ISERROR(SEARCH("CMS",O58)))</formula>
    </cfRule>
    <cfRule type="cellIs" dxfId="9940" priority="735" operator="equal">
      <formula>0</formula>
    </cfRule>
    <cfRule type="cellIs" dxfId="9939" priority="736" operator="greaterThan">
      <formula>0</formula>
    </cfRule>
  </conditionalFormatting>
  <conditionalFormatting sqref="O58">
    <cfRule type="cellIs" dxfId="9938" priority="729" operator="equal">
      <formula>"PMS"</formula>
    </cfRule>
    <cfRule type="containsText" dxfId="9937" priority="730" operator="containsText" text="CMS">
      <formula>NOT(ISERROR(SEARCH("CMS",O58)))</formula>
    </cfRule>
    <cfRule type="cellIs" dxfId="9936" priority="731" operator="equal">
      <formula>0</formula>
    </cfRule>
    <cfRule type="cellIs" dxfId="9935" priority="732" operator="greaterThan">
      <formula>0</formula>
    </cfRule>
  </conditionalFormatting>
  <conditionalFormatting sqref="O58">
    <cfRule type="cellIs" dxfId="9934" priority="725" operator="equal">
      <formula>"PMS"</formula>
    </cfRule>
    <cfRule type="containsText" dxfId="9933" priority="726" operator="containsText" text="CMS">
      <formula>NOT(ISERROR(SEARCH("CMS",O58)))</formula>
    </cfRule>
    <cfRule type="cellIs" dxfId="9932" priority="727" operator="equal">
      <formula>0</formula>
    </cfRule>
    <cfRule type="cellIs" dxfId="9931" priority="728" operator="greaterThan">
      <formula>0</formula>
    </cfRule>
  </conditionalFormatting>
  <conditionalFormatting sqref="O58">
    <cfRule type="cellIs" dxfId="9930" priority="721" operator="equal">
      <formula>"PMS"</formula>
    </cfRule>
    <cfRule type="containsText" dxfId="9929" priority="722" operator="containsText" text="CMS">
      <formula>NOT(ISERROR(SEARCH("CMS",O58)))</formula>
    </cfRule>
    <cfRule type="cellIs" dxfId="9928" priority="723" operator="equal">
      <formula>0</formula>
    </cfRule>
    <cfRule type="cellIs" dxfId="9927" priority="724" operator="greaterThan">
      <formula>0</formula>
    </cfRule>
  </conditionalFormatting>
  <conditionalFormatting sqref="O58">
    <cfRule type="cellIs" dxfId="9926" priority="717" operator="equal">
      <formula>"PMS"</formula>
    </cfRule>
    <cfRule type="containsText" dxfId="9925" priority="718" operator="containsText" text="CMS">
      <formula>NOT(ISERROR(SEARCH("CMS",O58)))</formula>
    </cfRule>
    <cfRule type="cellIs" dxfId="9924" priority="719" operator="equal">
      <formula>0</formula>
    </cfRule>
    <cfRule type="cellIs" dxfId="9923" priority="720" operator="greaterThan">
      <formula>0</formula>
    </cfRule>
  </conditionalFormatting>
  <conditionalFormatting sqref="O58">
    <cfRule type="cellIs" dxfId="9922" priority="713" operator="equal">
      <formula>"PMS"</formula>
    </cfRule>
    <cfRule type="containsText" dxfId="9921" priority="714" operator="containsText" text="CMS">
      <formula>NOT(ISERROR(SEARCH("CMS",O58)))</formula>
    </cfRule>
    <cfRule type="cellIs" dxfId="9920" priority="715" operator="equal">
      <formula>0</formula>
    </cfRule>
    <cfRule type="cellIs" dxfId="9919" priority="716" operator="greaterThan">
      <formula>0</formula>
    </cfRule>
  </conditionalFormatting>
  <conditionalFormatting sqref="O58">
    <cfRule type="cellIs" dxfId="9918" priority="709" operator="equal">
      <formula>"PMS"</formula>
    </cfRule>
    <cfRule type="containsText" dxfId="9917" priority="710" operator="containsText" text="CMS">
      <formula>NOT(ISERROR(SEARCH("CMS",O58)))</formula>
    </cfRule>
    <cfRule type="cellIs" dxfId="9916" priority="711" operator="equal">
      <formula>0</formula>
    </cfRule>
    <cfRule type="cellIs" dxfId="9915" priority="712" operator="greaterThan">
      <formula>0</formula>
    </cfRule>
  </conditionalFormatting>
  <conditionalFormatting sqref="O58">
    <cfRule type="cellIs" dxfId="9914" priority="705" operator="equal">
      <formula>"PMS"</formula>
    </cfRule>
    <cfRule type="containsText" dxfId="9913" priority="706" operator="containsText" text="CMS">
      <formula>NOT(ISERROR(SEARCH("CMS",O58)))</formula>
    </cfRule>
    <cfRule type="cellIs" dxfId="9912" priority="707" operator="equal">
      <formula>0</formula>
    </cfRule>
    <cfRule type="cellIs" dxfId="9911" priority="708" operator="greaterThan">
      <formula>0</formula>
    </cfRule>
  </conditionalFormatting>
  <conditionalFormatting sqref="O58">
    <cfRule type="cellIs" dxfId="9910" priority="701" operator="equal">
      <formula>"PMS"</formula>
    </cfRule>
    <cfRule type="containsText" dxfId="9909" priority="702" operator="containsText" text="CMS">
      <formula>NOT(ISERROR(SEARCH("CMS",O58)))</formula>
    </cfRule>
    <cfRule type="cellIs" dxfId="9908" priority="703" operator="equal">
      <formula>0</formula>
    </cfRule>
    <cfRule type="cellIs" dxfId="9907" priority="704" operator="greaterThan">
      <formula>0</formula>
    </cfRule>
  </conditionalFormatting>
  <conditionalFormatting sqref="O58">
    <cfRule type="cellIs" dxfId="9906" priority="697" operator="equal">
      <formula>"PMS"</formula>
    </cfRule>
    <cfRule type="containsText" dxfId="9905" priority="698" operator="containsText" text="CMS">
      <formula>NOT(ISERROR(SEARCH("CMS",O58)))</formula>
    </cfRule>
    <cfRule type="cellIs" dxfId="9904" priority="699" operator="equal">
      <formula>0</formula>
    </cfRule>
    <cfRule type="cellIs" dxfId="9903" priority="700" operator="greaterThan">
      <formula>0</formula>
    </cfRule>
  </conditionalFormatting>
  <conditionalFormatting sqref="O58">
    <cfRule type="cellIs" dxfId="9902" priority="693" operator="equal">
      <formula>"PMS"</formula>
    </cfRule>
    <cfRule type="containsText" dxfId="9901" priority="694" operator="containsText" text="CMS">
      <formula>NOT(ISERROR(SEARCH("CMS",O58)))</formula>
    </cfRule>
    <cfRule type="cellIs" dxfId="9900" priority="695" operator="equal">
      <formula>0</formula>
    </cfRule>
    <cfRule type="cellIs" dxfId="9899" priority="696" operator="greaterThan">
      <formula>0</formula>
    </cfRule>
  </conditionalFormatting>
  <conditionalFormatting sqref="O58">
    <cfRule type="cellIs" dxfId="9898" priority="689" operator="equal">
      <formula>"PMS"</formula>
    </cfRule>
    <cfRule type="containsText" dxfId="9897" priority="690" operator="containsText" text="CMS">
      <formula>NOT(ISERROR(SEARCH("CMS",O58)))</formula>
    </cfRule>
    <cfRule type="cellIs" dxfId="9896" priority="691" operator="equal">
      <formula>0</formula>
    </cfRule>
    <cfRule type="cellIs" dxfId="9895" priority="692" operator="greaterThan">
      <formula>0</formula>
    </cfRule>
  </conditionalFormatting>
  <conditionalFormatting sqref="O58">
    <cfRule type="cellIs" dxfId="9894" priority="685" operator="equal">
      <formula>"PMS"</formula>
    </cfRule>
    <cfRule type="containsText" dxfId="9893" priority="686" operator="containsText" text="CMS">
      <formula>NOT(ISERROR(SEARCH("CMS",O58)))</formula>
    </cfRule>
    <cfRule type="cellIs" dxfId="9892" priority="687" operator="equal">
      <formula>0</formula>
    </cfRule>
    <cfRule type="cellIs" dxfId="9891" priority="688" operator="greaterThan">
      <formula>0</formula>
    </cfRule>
  </conditionalFormatting>
  <conditionalFormatting sqref="O58">
    <cfRule type="cellIs" dxfId="9890" priority="681" operator="equal">
      <formula>"PMS"</formula>
    </cfRule>
    <cfRule type="containsText" dxfId="9889" priority="682" operator="containsText" text="CMS">
      <formula>NOT(ISERROR(SEARCH("CMS",O58)))</formula>
    </cfRule>
    <cfRule type="cellIs" dxfId="9888" priority="683" operator="equal">
      <formula>0</formula>
    </cfRule>
    <cfRule type="cellIs" dxfId="9887" priority="684" operator="greaterThan">
      <formula>0</formula>
    </cfRule>
  </conditionalFormatting>
  <conditionalFormatting sqref="O58">
    <cfRule type="cellIs" dxfId="9886" priority="677" operator="equal">
      <formula>"PMS"</formula>
    </cfRule>
    <cfRule type="containsText" dxfId="9885" priority="678" operator="containsText" text="CMS">
      <formula>NOT(ISERROR(SEARCH("CMS",O58)))</formula>
    </cfRule>
    <cfRule type="cellIs" dxfId="9884" priority="679" operator="equal">
      <formula>0</formula>
    </cfRule>
    <cfRule type="cellIs" dxfId="9883" priority="680" operator="greaterThan">
      <formula>0</formula>
    </cfRule>
  </conditionalFormatting>
  <conditionalFormatting sqref="O58">
    <cfRule type="cellIs" dxfId="9882" priority="673" operator="equal">
      <formula>"PMS"</formula>
    </cfRule>
    <cfRule type="containsText" dxfId="9881" priority="674" operator="containsText" text="CMS">
      <formula>NOT(ISERROR(SEARCH("CMS",O58)))</formula>
    </cfRule>
    <cfRule type="cellIs" dxfId="9880" priority="675" operator="equal">
      <formula>0</formula>
    </cfRule>
    <cfRule type="cellIs" dxfId="9879" priority="676" operator="greaterThan">
      <formula>0</formula>
    </cfRule>
  </conditionalFormatting>
  <conditionalFormatting sqref="O58">
    <cfRule type="cellIs" dxfId="9878" priority="669" operator="equal">
      <formula>"PMS"</formula>
    </cfRule>
    <cfRule type="containsText" dxfId="9877" priority="670" operator="containsText" text="CMS">
      <formula>NOT(ISERROR(SEARCH("CMS",O58)))</formula>
    </cfRule>
    <cfRule type="cellIs" dxfId="9876" priority="671" operator="equal">
      <formula>0</formula>
    </cfRule>
    <cfRule type="cellIs" dxfId="9875" priority="672" operator="greaterThan">
      <formula>0</formula>
    </cfRule>
  </conditionalFormatting>
  <conditionalFormatting sqref="O58">
    <cfRule type="cellIs" dxfId="9874" priority="665" operator="equal">
      <formula>"PMS"</formula>
    </cfRule>
    <cfRule type="containsText" dxfId="9873" priority="666" operator="containsText" text="CMS">
      <formula>NOT(ISERROR(SEARCH("CMS",O58)))</formula>
    </cfRule>
    <cfRule type="cellIs" dxfId="9872" priority="667" operator="equal">
      <formula>0</formula>
    </cfRule>
    <cfRule type="cellIs" dxfId="9871" priority="668" operator="greaterThan">
      <formula>0</formula>
    </cfRule>
  </conditionalFormatting>
  <conditionalFormatting sqref="O57">
    <cfRule type="cellIs" dxfId="9870" priority="661" operator="equal">
      <formula>"PMS"</formula>
    </cfRule>
    <cfRule type="containsText" dxfId="9869" priority="662" operator="containsText" text="CMS">
      <formula>NOT(ISERROR(SEARCH("CMS",O57)))</formula>
    </cfRule>
    <cfRule type="cellIs" dxfId="9868" priority="663" operator="equal">
      <formula>0</formula>
    </cfRule>
    <cfRule type="cellIs" dxfId="9867" priority="664" operator="greaterThan">
      <formula>0</formula>
    </cfRule>
  </conditionalFormatting>
  <conditionalFormatting sqref="O57">
    <cfRule type="cellIs" dxfId="9866" priority="657" operator="equal">
      <formula>"PMS"</formula>
    </cfRule>
    <cfRule type="containsText" dxfId="9865" priority="658" operator="containsText" text="CMS">
      <formula>NOT(ISERROR(SEARCH("CMS",O57)))</formula>
    </cfRule>
    <cfRule type="cellIs" dxfId="9864" priority="659" operator="equal">
      <formula>0</formula>
    </cfRule>
    <cfRule type="cellIs" dxfId="9863" priority="660" operator="greaterThan">
      <formula>0</formula>
    </cfRule>
  </conditionalFormatting>
  <conditionalFormatting sqref="O57">
    <cfRule type="cellIs" dxfId="9862" priority="653" operator="equal">
      <formula>"PMS"</formula>
    </cfRule>
    <cfRule type="containsText" dxfId="9861" priority="654" operator="containsText" text="CMS">
      <formula>NOT(ISERROR(SEARCH("CMS",O57)))</formula>
    </cfRule>
    <cfRule type="cellIs" dxfId="9860" priority="655" operator="equal">
      <formula>0</formula>
    </cfRule>
    <cfRule type="cellIs" dxfId="9859" priority="656" operator="greaterThan">
      <formula>0</formula>
    </cfRule>
  </conditionalFormatting>
  <conditionalFormatting sqref="O57">
    <cfRule type="cellIs" dxfId="9858" priority="649" operator="equal">
      <formula>"PMS"</formula>
    </cfRule>
    <cfRule type="containsText" dxfId="9857" priority="650" operator="containsText" text="CMS">
      <formula>NOT(ISERROR(SEARCH("CMS",O57)))</formula>
    </cfRule>
    <cfRule type="cellIs" dxfId="9856" priority="651" operator="equal">
      <formula>0</formula>
    </cfRule>
    <cfRule type="cellIs" dxfId="9855" priority="652" operator="greaterThan">
      <formula>0</formula>
    </cfRule>
  </conditionalFormatting>
  <conditionalFormatting sqref="O57">
    <cfRule type="cellIs" dxfId="9854" priority="645" operator="equal">
      <formula>"PMS"</formula>
    </cfRule>
    <cfRule type="containsText" dxfId="9853" priority="646" operator="containsText" text="CMS">
      <formula>NOT(ISERROR(SEARCH("CMS",O57)))</formula>
    </cfRule>
    <cfRule type="cellIs" dxfId="9852" priority="647" operator="equal">
      <formula>0</formula>
    </cfRule>
    <cfRule type="cellIs" dxfId="9851" priority="648" operator="greaterThan">
      <formula>0</formula>
    </cfRule>
  </conditionalFormatting>
  <conditionalFormatting sqref="O57">
    <cfRule type="cellIs" dxfId="9850" priority="641" operator="equal">
      <formula>"PMS"</formula>
    </cfRule>
    <cfRule type="containsText" dxfId="9849" priority="642" operator="containsText" text="CMS">
      <formula>NOT(ISERROR(SEARCH("CMS",O57)))</formula>
    </cfRule>
    <cfRule type="cellIs" dxfId="9848" priority="643" operator="equal">
      <formula>0</formula>
    </cfRule>
    <cfRule type="cellIs" dxfId="9847" priority="644" operator="greaterThan">
      <formula>0</formula>
    </cfRule>
  </conditionalFormatting>
  <conditionalFormatting sqref="O57">
    <cfRule type="cellIs" dxfId="9846" priority="637" operator="equal">
      <formula>"PMS"</formula>
    </cfRule>
    <cfRule type="containsText" dxfId="9845" priority="638" operator="containsText" text="CMS">
      <formula>NOT(ISERROR(SEARCH("CMS",O57)))</formula>
    </cfRule>
    <cfRule type="cellIs" dxfId="9844" priority="639" operator="equal">
      <formula>0</formula>
    </cfRule>
    <cfRule type="cellIs" dxfId="9843" priority="640" operator="greaterThan">
      <formula>0</formula>
    </cfRule>
  </conditionalFormatting>
  <conditionalFormatting sqref="O57">
    <cfRule type="cellIs" dxfId="9842" priority="633" operator="equal">
      <formula>"PMS"</formula>
    </cfRule>
    <cfRule type="containsText" dxfId="9841" priority="634" operator="containsText" text="CMS">
      <formula>NOT(ISERROR(SEARCH("CMS",O57)))</formula>
    </cfRule>
    <cfRule type="cellIs" dxfId="9840" priority="635" operator="equal">
      <formula>0</formula>
    </cfRule>
    <cfRule type="cellIs" dxfId="9839" priority="636" operator="greaterThan">
      <formula>0</formula>
    </cfRule>
  </conditionalFormatting>
  <conditionalFormatting sqref="O57">
    <cfRule type="cellIs" dxfId="9838" priority="629" operator="equal">
      <formula>"PMS"</formula>
    </cfRule>
    <cfRule type="containsText" dxfId="9837" priority="630" operator="containsText" text="CMS">
      <formula>NOT(ISERROR(SEARCH("CMS",O57)))</formula>
    </cfRule>
    <cfRule type="cellIs" dxfId="9836" priority="631" operator="equal">
      <formula>0</formula>
    </cfRule>
    <cfRule type="cellIs" dxfId="9835" priority="632" operator="greaterThan">
      <formula>0</formula>
    </cfRule>
  </conditionalFormatting>
  <conditionalFormatting sqref="O57">
    <cfRule type="cellIs" dxfId="9834" priority="625" operator="equal">
      <formula>"PMS"</formula>
    </cfRule>
    <cfRule type="containsText" dxfId="9833" priority="626" operator="containsText" text="CMS">
      <formula>NOT(ISERROR(SEARCH("CMS",O57)))</formula>
    </cfRule>
    <cfRule type="cellIs" dxfId="9832" priority="627" operator="equal">
      <formula>0</formula>
    </cfRule>
    <cfRule type="cellIs" dxfId="9831" priority="628" operator="greaterThan">
      <formula>0</formula>
    </cfRule>
  </conditionalFormatting>
  <conditionalFormatting sqref="O57">
    <cfRule type="cellIs" dxfId="9830" priority="621" operator="equal">
      <formula>"PMS"</formula>
    </cfRule>
    <cfRule type="containsText" dxfId="9829" priority="622" operator="containsText" text="CMS">
      <formula>NOT(ISERROR(SEARCH("CMS",O57)))</formula>
    </cfRule>
    <cfRule type="cellIs" dxfId="9828" priority="623" operator="equal">
      <formula>0</formula>
    </cfRule>
    <cfRule type="cellIs" dxfId="9827" priority="624" operator="greaterThan">
      <formula>0</formula>
    </cfRule>
  </conditionalFormatting>
  <conditionalFormatting sqref="O57">
    <cfRule type="cellIs" dxfId="9826" priority="617" operator="equal">
      <formula>"PMS"</formula>
    </cfRule>
    <cfRule type="containsText" dxfId="9825" priority="618" operator="containsText" text="CMS">
      <formula>NOT(ISERROR(SEARCH("CMS",O57)))</formula>
    </cfRule>
    <cfRule type="cellIs" dxfId="9824" priority="619" operator="equal">
      <formula>0</formula>
    </cfRule>
    <cfRule type="cellIs" dxfId="9823" priority="620" operator="greaterThan">
      <formula>0</formula>
    </cfRule>
  </conditionalFormatting>
  <conditionalFormatting sqref="O57">
    <cfRule type="cellIs" dxfId="9822" priority="613" operator="equal">
      <formula>"PMS"</formula>
    </cfRule>
    <cfRule type="containsText" dxfId="9821" priority="614" operator="containsText" text="CMS">
      <formula>NOT(ISERROR(SEARCH("CMS",O57)))</formula>
    </cfRule>
    <cfRule type="cellIs" dxfId="9820" priority="615" operator="equal">
      <formula>0</formula>
    </cfRule>
    <cfRule type="cellIs" dxfId="9819" priority="616" operator="greaterThan">
      <formula>0</formula>
    </cfRule>
  </conditionalFormatting>
  <conditionalFormatting sqref="O57">
    <cfRule type="cellIs" dxfId="9818" priority="609" operator="equal">
      <formula>"PMS"</formula>
    </cfRule>
    <cfRule type="containsText" dxfId="9817" priority="610" operator="containsText" text="CMS">
      <formula>NOT(ISERROR(SEARCH("CMS",O57)))</formula>
    </cfRule>
    <cfRule type="cellIs" dxfId="9816" priority="611" operator="equal">
      <formula>0</formula>
    </cfRule>
    <cfRule type="cellIs" dxfId="9815" priority="612" operator="greaterThan">
      <formula>0</formula>
    </cfRule>
  </conditionalFormatting>
  <conditionalFormatting sqref="O57">
    <cfRule type="cellIs" dxfId="9814" priority="605" operator="equal">
      <formula>"PMS"</formula>
    </cfRule>
    <cfRule type="containsText" dxfId="9813" priority="606" operator="containsText" text="CMS">
      <formula>NOT(ISERROR(SEARCH("CMS",O57)))</formula>
    </cfRule>
    <cfRule type="cellIs" dxfId="9812" priority="607" operator="equal">
      <formula>0</formula>
    </cfRule>
    <cfRule type="cellIs" dxfId="9811" priority="608" operator="greaterThan">
      <formula>0</formula>
    </cfRule>
  </conditionalFormatting>
  <conditionalFormatting sqref="O57">
    <cfRule type="cellIs" dxfId="9810" priority="601" operator="equal">
      <formula>"PMS"</formula>
    </cfRule>
    <cfRule type="containsText" dxfId="9809" priority="602" operator="containsText" text="CMS">
      <formula>NOT(ISERROR(SEARCH("CMS",O57)))</formula>
    </cfRule>
    <cfRule type="cellIs" dxfId="9808" priority="603" operator="equal">
      <formula>0</formula>
    </cfRule>
    <cfRule type="cellIs" dxfId="9807" priority="604" operator="greaterThan">
      <formula>0</formula>
    </cfRule>
  </conditionalFormatting>
  <conditionalFormatting sqref="O57">
    <cfRule type="cellIs" dxfId="9806" priority="597" operator="equal">
      <formula>"PMS"</formula>
    </cfRule>
    <cfRule type="containsText" dxfId="9805" priority="598" operator="containsText" text="CMS">
      <formula>NOT(ISERROR(SEARCH("CMS",O57)))</formula>
    </cfRule>
    <cfRule type="cellIs" dxfId="9804" priority="599" operator="equal">
      <formula>0</formula>
    </cfRule>
    <cfRule type="cellIs" dxfId="9803" priority="600" operator="greaterThan">
      <formula>0</formula>
    </cfRule>
  </conditionalFormatting>
  <conditionalFormatting sqref="O57">
    <cfRule type="cellIs" dxfId="9802" priority="593" operator="equal">
      <formula>"PMS"</formula>
    </cfRule>
    <cfRule type="containsText" dxfId="9801" priority="594" operator="containsText" text="CMS">
      <formula>NOT(ISERROR(SEARCH("CMS",O57)))</formula>
    </cfRule>
    <cfRule type="cellIs" dxfId="9800" priority="595" operator="equal">
      <formula>0</formula>
    </cfRule>
    <cfRule type="cellIs" dxfId="9799" priority="596" operator="greaterThan">
      <formula>0</formula>
    </cfRule>
  </conditionalFormatting>
  <conditionalFormatting sqref="O57">
    <cfRule type="cellIs" dxfId="9798" priority="589" operator="equal">
      <formula>"PMS"</formula>
    </cfRule>
    <cfRule type="containsText" dxfId="9797" priority="590" operator="containsText" text="CMS">
      <formula>NOT(ISERROR(SEARCH("CMS",O57)))</formula>
    </cfRule>
    <cfRule type="cellIs" dxfId="9796" priority="591" operator="equal">
      <formula>0</formula>
    </cfRule>
    <cfRule type="cellIs" dxfId="9795" priority="592" operator="greaterThan">
      <formula>0</formula>
    </cfRule>
  </conditionalFormatting>
  <conditionalFormatting sqref="O57">
    <cfRule type="cellIs" dxfId="9794" priority="585" operator="equal">
      <formula>"PMS"</formula>
    </cfRule>
    <cfRule type="containsText" dxfId="9793" priority="586" operator="containsText" text="CMS">
      <formula>NOT(ISERROR(SEARCH("CMS",O57)))</formula>
    </cfRule>
    <cfRule type="cellIs" dxfId="9792" priority="587" operator="equal">
      <formula>0</formula>
    </cfRule>
    <cfRule type="cellIs" dxfId="9791" priority="588" operator="greaterThan">
      <formula>0</formula>
    </cfRule>
  </conditionalFormatting>
  <conditionalFormatting sqref="O57">
    <cfRule type="cellIs" dxfId="9790" priority="581" operator="equal">
      <formula>"PMS"</formula>
    </cfRule>
    <cfRule type="containsText" dxfId="9789" priority="582" operator="containsText" text="CMS">
      <formula>NOT(ISERROR(SEARCH("CMS",O57)))</formula>
    </cfRule>
    <cfRule type="cellIs" dxfId="9788" priority="583" operator="equal">
      <formula>0</formula>
    </cfRule>
    <cfRule type="cellIs" dxfId="9787" priority="584" operator="greaterThan">
      <formula>0</formula>
    </cfRule>
  </conditionalFormatting>
  <conditionalFormatting sqref="O57">
    <cfRule type="cellIs" dxfId="9786" priority="577" operator="equal">
      <formula>"PMS"</formula>
    </cfRule>
    <cfRule type="containsText" dxfId="9785" priority="578" operator="containsText" text="CMS">
      <formula>NOT(ISERROR(SEARCH("CMS",O57)))</formula>
    </cfRule>
    <cfRule type="cellIs" dxfId="9784" priority="579" operator="equal">
      <formula>0</formula>
    </cfRule>
    <cfRule type="cellIs" dxfId="9783" priority="580" operator="greaterThan">
      <formula>0</formula>
    </cfRule>
  </conditionalFormatting>
  <conditionalFormatting sqref="O57">
    <cfRule type="cellIs" dxfId="9782" priority="573" operator="equal">
      <formula>"PMS"</formula>
    </cfRule>
    <cfRule type="containsText" dxfId="9781" priority="574" operator="containsText" text="CMS">
      <formula>NOT(ISERROR(SEARCH("CMS",O57)))</formula>
    </cfRule>
    <cfRule type="cellIs" dxfId="9780" priority="575" operator="equal">
      <formula>0</formula>
    </cfRule>
    <cfRule type="cellIs" dxfId="9779" priority="576" operator="greaterThan">
      <formula>0</formula>
    </cfRule>
  </conditionalFormatting>
  <conditionalFormatting sqref="O57">
    <cfRule type="cellIs" dxfId="9778" priority="569" operator="equal">
      <formula>"PMS"</formula>
    </cfRule>
    <cfRule type="containsText" dxfId="9777" priority="570" operator="containsText" text="CMS">
      <formula>NOT(ISERROR(SEARCH("CMS",O57)))</formula>
    </cfRule>
    <cfRule type="cellIs" dxfId="9776" priority="571" operator="equal">
      <formula>0</formula>
    </cfRule>
    <cfRule type="cellIs" dxfId="9775" priority="572" operator="greaterThan">
      <formula>0</formula>
    </cfRule>
  </conditionalFormatting>
  <conditionalFormatting sqref="O57">
    <cfRule type="cellIs" dxfId="9774" priority="565" operator="equal">
      <formula>"PMS"</formula>
    </cfRule>
    <cfRule type="containsText" dxfId="9773" priority="566" operator="containsText" text="CMS">
      <formula>NOT(ISERROR(SEARCH("CMS",O57)))</formula>
    </cfRule>
    <cfRule type="cellIs" dxfId="9772" priority="567" operator="equal">
      <formula>0</formula>
    </cfRule>
    <cfRule type="cellIs" dxfId="9771" priority="568" operator="greaterThan">
      <formula>0</formula>
    </cfRule>
  </conditionalFormatting>
  <conditionalFormatting sqref="O57">
    <cfRule type="cellIs" dxfId="9770" priority="561" operator="equal">
      <formula>"PMS"</formula>
    </cfRule>
    <cfRule type="containsText" dxfId="9769" priority="562" operator="containsText" text="CMS">
      <formula>NOT(ISERROR(SEARCH("CMS",O57)))</formula>
    </cfRule>
    <cfRule type="cellIs" dxfId="9768" priority="563" operator="equal">
      <formula>0</formula>
    </cfRule>
    <cfRule type="cellIs" dxfId="9767" priority="564" operator="greaterThan">
      <formula>0</formula>
    </cfRule>
  </conditionalFormatting>
  <conditionalFormatting sqref="O57">
    <cfRule type="cellIs" dxfId="9766" priority="557" operator="equal">
      <formula>"PMS"</formula>
    </cfRule>
    <cfRule type="containsText" dxfId="9765" priority="558" operator="containsText" text="CMS">
      <formula>NOT(ISERROR(SEARCH("CMS",O57)))</formula>
    </cfRule>
    <cfRule type="cellIs" dxfId="9764" priority="559" operator="equal">
      <formula>0</formula>
    </cfRule>
    <cfRule type="cellIs" dxfId="9763" priority="560" operator="greaterThan">
      <formula>0</formula>
    </cfRule>
  </conditionalFormatting>
  <conditionalFormatting sqref="O57">
    <cfRule type="cellIs" dxfId="9762" priority="553" operator="equal">
      <formula>"PMS"</formula>
    </cfRule>
    <cfRule type="containsText" dxfId="9761" priority="554" operator="containsText" text="CMS">
      <formula>NOT(ISERROR(SEARCH("CMS",O57)))</formula>
    </cfRule>
    <cfRule type="cellIs" dxfId="9760" priority="555" operator="equal">
      <formula>0</formula>
    </cfRule>
    <cfRule type="cellIs" dxfId="9759" priority="556" operator="greaterThan">
      <formula>0</formula>
    </cfRule>
  </conditionalFormatting>
  <conditionalFormatting sqref="O57">
    <cfRule type="cellIs" dxfId="9758" priority="549" operator="equal">
      <formula>"PMS"</formula>
    </cfRule>
    <cfRule type="containsText" dxfId="9757" priority="550" operator="containsText" text="CMS">
      <formula>NOT(ISERROR(SEARCH("CMS",O57)))</formula>
    </cfRule>
    <cfRule type="cellIs" dxfId="9756" priority="551" operator="equal">
      <formula>0</formula>
    </cfRule>
    <cfRule type="cellIs" dxfId="9755" priority="552" operator="greaterThan">
      <formula>0</formula>
    </cfRule>
  </conditionalFormatting>
  <conditionalFormatting sqref="O57">
    <cfRule type="cellIs" dxfId="9754" priority="545" operator="equal">
      <formula>"PMS"</formula>
    </cfRule>
    <cfRule type="containsText" dxfId="9753" priority="546" operator="containsText" text="CMS">
      <formula>NOT(ISERROR(SEARCH("CMS",O57)))</formula>
    </cfRule>
    <cfRule type="cellIs" dxfId="9752" priority="547" operator="equal">
      <formula>0</formula>
    </cfRule>
    <cfRule type="cellIs" dxfId="9751" priority="548" operator="greaterThan">
      <formula>0</formula>
    </cfRule>
  </conditionalFormatting>
  <conditionalFormatting sqref="O57">
    <cfRule type="cellIs" dxfId="9750" priority="541" operator="equal">
      <formula>"PMS"</formula>
    </cfRule>
    <cfRule type="containsText" dxfId="9749" priority="542" operator="containsText" text="CMS">
      <formula>NOT(ISERROR(SEARCH("CMS",O57)))</formula>
    </cfRule>
    <cfRule type="cellIs" dxfId="9748" priority="543" operator="equal">
      <formula>0</formula>
    </cfRule>
    <cfRule type="cellIs" dxfId="9747" priority="544" operator="greaterThan">
      <formula>0</formula>
    </cfRule>
  </conditionalFormatting>
  <conditionalFormatting sqref="O57">
    <cfRule type="cellIs" dxfId="9746" priority="537" operator="equal">
      <formula>"PMS"</formula>
    </cfRule>
    <cfRule type="containsText" dxfId="9745" priority="538" operator="containsText" text="CMS">
      <formula>NOT(ISERROR(SEARCH("CMS",O57)))</formula>
    </cfRule>
    <cfRule type="cellIs" dxfId="9744" priority="539" operator="equal">
      <formula>0</formula>
    </cfRule>
    <cfRule type="cellIs" dxfId="9743" priority="540" operator="greaterThan">
      <formula>0</formula>
    </cfRule>
  </conditionalFormatting>
  <conditionalFormatting sqref="O57">
    <cfRule type="cellIs" dxfId="9742" priority="533" operator="equal">
      <formula>"PMS"</formula>
    </cfRule>
    <cfRule type="containsText" dxfId="9741" priority="534" operator="containsText" text="CMS">
      <formula>NOT(ISERROR(SEARCH("CMS",O57)))</formula>
    </cfRule>
    <cfRule type="cellIs" dxfId="9740" priority="535" operator="equal">
      <formula>0</formula>
    </cfRule>
    <cfRule type="cellIs" dxfId="9739" priority="536" operator="greaterThan">
      <formula>0</formula>
    </cfRule>
  </conditionalFormatting>
  <conditionalFormatting sqref="O57">
    <cfRule type="cellIs" dxfId="9738" priority="529" operator="equal">
      <formula>"PMS"</formula>
    </cfRule>
    <cfRule type="containsText" dxfId="9737" priority="530" operator="containsText" text="CMS">
      <formula>NOT(ISERROR(SEARCH("CMS",O57)))</formula>
    </cfRule>
    <cfRule type="cellIs" dxfId="9736" priority="531" operator="equal">
      <formula>0</formula>
    </cfRule>
    <cfRule type="cellIs" dxfId="9735" priority="532" operator="greaterThan">
      <formula>0</formula>
    </cfRule>
  </conditionalFormatting>
  <conditionalFormatting sqref="O57">
    <cfRule type="cellIs" dxfId="9734" priority="525" operator="equal">
      <formula>"PMS"</formula>
    </cfRule>
    <cfRule type="containsText" dxfId="9733" priority="526" operator="containsText" text="CMS">
      <formula>NOT(ISERROR(SEARCH("CMS",O57)))</formula>
    </cfRule>
    <cfRule type="cellIs" dxfId="9732" priority="527" operator="equal">
      <formula>0</formula>
    </cfRule>
    <cfRule type="cellIs" dxfId="9731" priority="528" operator="greaterThan">
      <formula>0</formula>
    </cfRule>
  </conditionalFormatting>
  <conditionalFormatting sqref="O57">
    <cfRule type="cellIs" dxfId="9730" priority="521" operator="equal">
      <formula>"PMS"</formula>
    </cfRule>
    <cfRule type="containsText" dxfId="9729" priority="522" operator="containsText" text="CMS">
      <formula>NOT(ISERROR(SEARCH("CMS",O57)))</formula>
    </cfRule>
    <cfRule type="cellIs" dxfId="9728" priority="523" operator="equal">
      <formula>0</formula>
    </cfRule>
    <cfRule type="cellIs" dxfId="9727" priority="524" operator="greaterThan">
      <formula>0</formula>
    </cfRule>
  </conditionalFormatting>
  <conditionalFormatting sqref="O57">
    <cfRule type="cellIs" dxfId="9726" priority="517" operator="equal">
      <formula>"PMS"</formula>
    </cfRule>
    <cfRule type="containsText" dxfId="9725" priority="518" operator="containsText" text="CMS">
      <formula>NOT(ISERROR(SEARCH("CMS",O57)))</formula>
    </cfRule>
    <cfRule type="cellIs" dxfId="9724" priority="519" operator="equal">
      <formula>0</formula>
    </cfRule>
    <cfRule type="cellIs" dxfId="9723" priority="520" operator="greaterThan">
      <formula>0</formula>
    </cfRule>
  </conditionalFormatting>
  <conditionalFormatting sqref="O57">
    <cfRule type="cellIs" dxfId="9722" priority="513" operator="equal">
      <formula>"PMS"</formula>
    </cfRule>
    <cfRule type="containsText" dxfId="9721" priority="514" operator="containsText" text="CMS">
      <formula>NOT(ISERROR(SEARCH("CMS",O57)))</formula>
    </cfRule>
    <cfRule type="cellIs" dxfId="9720" priority="515" operator="equal">
      <formula>0</formula>
    </cfRule>
    <cfRule type="cellIs" dxfId="9719" priority="516" operator="greaterThan">
      <formula>0</formula>
    </cfRule>
  </conditionalFormatting>
  <conditionalFormatting sqref="O57">
    <cfRule type="cellIs" dxfId="9718" priority="509" operator="equal">
      <formula>"PMS"</formula>
    </cfRule>
    <cfRule type="containsText" dxfId="9717" priority="510" operator="containsText" text="CMS">
      <formula>NOT(ISERROR(SEARCH("CMS",O57)))</formula>
    </cfRule>
    <cfRule type="cellIs" dxfId="9716" priority="511" operator="equal">
      <formula>0</formula>
    </cfRule>
    <cfRule type="cellIs" dxfId="9715" priority="512" operator="greaterThan">
      <formula>0</formula>
    </cfRule>
  </conditionalFormatting>
  <conditionalFormatting sqref="O57">
    <cfRule type="cellIs" dxfId="9714" priority="505" operator="equal">
      <formula>"PMS"</formula>
    </cfRule>
    <cfRule type="containsText" dxfId="9713" priority="506" operator="containsText" text="CMS">
      <formula>NOT(ISERROR(SEARCH("CMS",O57)))</formula>
    </cfRule>
    <cfRule type="cellIs" dxfId="9712" priority="507" operator="equal">
      <formula>0</formula>
    </cfRule>
    <cfRule type="cellIs" dxfId="9711" priority="508" operator="greaterThan">
      <formula>0</formula>
    </cfRule>
  </conditionalFormatting>
  <conditionalFormatting sqref="O57">
    <cfRule type="cellIs" dxfId="9710" priority="501" operator="equal">
      <formula>"PMS"</formula>
    </cfRule>
    <cfRule type="containsText" dxfId="9709" priority="502" operator="containsText" text="CMS">
      <formula>NOT(ISERROR(SEARCH("CMS",O57)))</formula>
    </cfRule>
    <cfRule type="cellIs" dxfId="9708" priority="503" operator="equal">
      <formula>0</formula>
    </cfRule>
    <cfRule type="cellIs" dxfId="9707" priority="504" operator="greaterThan">
      <formula>0</formula>
    </cfRule>
  </conditionalFormatting>
  <conditionalFormatting sqref="O57">
    <cfRule type="cellIs" dxfId="9706" priority="497" operator="equal">
      <formula>"PMS"</formula>
    </cfRule>
    <cfRule type="containsText" dxfId="9705" priority="498" operator="containsText" text="CMS">
      <formula>NOT(ISERROR(SEARCH("CMS",O57)))</formula>
    </cfRule>
    <cfRule type="cellIs" dxfId="9704" priority="499" operator="equal">
      <formula>0</formula>
    </cfRule>
    <cfRule type="cellIs" dxfId="9703" priority="500" operator="greaterThan">
      <formula>0</formula>
    </cfRule>
  </conditionalFormatting>
  <conditionalFormatting sqref="O57">
    <cfRule type="cellIs" dxfId="9702" priority="493" operator="equal">
      <formula>"PMS"</formula>
    </cfRule>
    <cfRule type="containsText" dxfId="9701" priority="494" operator="containsText" text="CMS">
      <formula>NOT(ISERROR(SEARCH("CMS",O57)))</formula>
    </cfRule>
    <cfRule type="cellIs" dxfId="9700" priority="495" operator="equal">
      <formula>0</formula>
    </cfRule>
    <cfRule type="cellIs" dxfId="9699" priority="496" operator="greaterThan">
      <formula>0</formula>
    </cfRule>
  </conditionalFormatting>
  <conditionalFormatting sqref="O57">
    <cfRule type="cellIs" dxfId="9698" priority="489" operator="equal">
      <formula>"PMS"</formula>
    </cfRule>
    <cfRule type="containsText" dxfId="9697" priority="490" operator="containsText" text="CMS">
      <formula>NOT(ISERROR(SEARCH("CMS",O57)))</formula>
    </cfRule>
    <cfRule type="cellIs" dxfId="9696" priority="491" operator="equal">
      <formula>0</formula>
    </cfRule>
    <cfRule type="cellIs" dxfId="9695" priority="492" operator="greaterThan">
      <formula>0</formula>
    </cfRule>
  </conditionalFormatting>
  <conditionalFormatting sqref="O57">
    <cfRule type="cellIs" dxfId="9694" priority="485" operator="equal">
      <formula>"PMS"</formula>
    </cfRule>
    <cfRule type="containsText" dxfId="9693" priority="486" operator="containsText" text="CMS">
      <formula>NOT(ISERROR(SEARCH("CMS",O57)))</formula>
    </cfRule>
    <cfRule type="cellIs" dxfId="9692" priority="487" operator="equal">
      <formula>0</formula>
    </cfRule>
    <cfRule type="cellIs" dxfId="9691" priority="488" operator="greaterThan">
      <formula>0</formula>
    </cfRule>
  </conditionalFormatting>
  <conditionalFormatting sqref="O57">
    <cfRule type="cellIs" dxfId="9690" priority="481" operator="equal">
      <formula>"PMS"</formula>
    </cfRule>
    <cfRule type="containsText" dxfId="9689" priority="482" operator="containsText" text="CMS">
      <formula>NOT(ISERROR(SEARCH("CMS",O57)))</formula>
    </cfRule>
    <cfRule type="cellIs" dxfId="9688" priority="483" operator="equal">
      <formula>0</formula>
    </cfRule>
    <cfRule type="cellIs" dxfId="9687" priority="484" operator="greaterThan">
      <formula>0</formula>
    </cfRule>
  </conditionalFormatting>
  <conditionalFormatting sqref="O57">
    <cfRule type="cellIs" dxfId="9686" priority="477" operator="equal">
      <formula>"PMS"</formula>
    </cfRule>
    <cfRule type="containsText" dxfId="9685" priority="478" operator="containsText" text="CMS">
      <formula>NOT(ISERROR(SEARCH("CMS",O57)))</formula>
    </cfRule>
    <cfRule type="cellIs" dxfId="9684" priority="479" operator="equal">
      <formula>0</formula>
    </cfRule>
    <cfRule type="cellIs" dxfId="9683" priority="480" operator="greaterThan">
      <formula>0</formula>
    </cfRule>
  </conditionalFormatting>
  <conditionalFormatting sqref="O57">
    <cfRule type="cellIs" dxfId="9682" priority="473" operator="equal">
      <formula>"PMS"</formula>
    </cfRule>
    <cfRule type="containsText" dxfId="9681" priority="474" operator="containsText" text="CMS">
      <formula>NOT(ISERROR(SEARCH("CMS",O57)))</formula>
    </cfRule>
    <cfRule type="cellIs" dxfId="9680" priority="475" operator="equal">
      <formula>0</formula>
    </cfRule>
    <cfRule type="cellIs" dxfId="9679" priority="476" operator="greaterThan">
      <formula>0</formula>
    </cfRule>
  </conditionalFormatting>
  <conditionalFormatting sqref="O57">
    <cfRule type="cellIs" dxfId="9678" priority="469" operator="equal">
      <formula>"PMS"</formula>
    </cfRule>
    <cfRule type="containsText" dxfId="9677" priority="470" operator="containsText" text="CMS">
      <formula>NOT(ISERROR(SEARCH("CMS",O57)))</formula>
    </cfRule>
    <cfRule type="cellIs" dxfId="9676" priority="471" operator="equal">
      <formula>0</formula>
    </cfRule>
    <cfRule type="cellIs" dxfId="9675" priority="472" operator="greaterThan">
      <formula>0</formula>
    </cfRule>
  </conditionalFormatting>
  <conditionalFormatting sqref="O57">
    <cfRule type="cellIs" dxfId="9674" priority="465" operator="equal">
      <formula>"PMS"</formula>
    </cfRule>
    <cfRule type="containsText" dxfId="9673" priority="466" operator="containsText" text="CMS">
      <formula>NOT(ISERROR(SEARCH("CMS",O57)))</formula>
    </cfRule>
    <cfRule type="cellIs" dxfId="9672" priority="467" operator="equal">
      <formula>0</formula>
    </cfRule>
    <cfRule type="cellIs" dxfId="9671" priority="468" operator="greaterThan">
      <formula>0</formula>
    </cfRule>
  </conditionalFormatting>
  <conditionalFormatting sqref="O57">
    <cfRule type="cellIs" dxfId="9670" priority="461" operator="equal">
      <formula>"PMS"</formula>
    </cfRule>
    <cfRule type="containsText" dxfId="9669" priority="462" operator="containsText" text="CMS">
      <formula>NOT(ISERROR(SEARCH("CMS",O57)))</formula>
    </cfRule>
    <cfRule type="cellIs" dxfId="9668" priority="463" operator="equal">
      <formula>0</formula>
    </cfRule>
    <cfRule type="cellIs" dxfId="9667" priority="464" operator="greaterThan">
      <formula>0</formula>
    </cfRule>
  </conditionalFormatting>
  <conditionalFormatting sqref="O57">
    <cfRule type="cellIs" dxfId="9666" priority="457" operator="equal">
      <formula>"PMS"</formula>
    </cfRule>
    <cfRule type="containsText" dxfId="9665" priority="458" operator="containsText" text="CMS">
      <formula>NOT(ISERROR(SEARCH("CMS",O57)))</formula>
    </cfRule>
    <cfRule type="cellIs" dxfId="9664" priority="459" operator="equal">
      <formula>0</formula>
    </cfRule>
    <cfRule type="cellIs" dxfId="9663" priority="460" operator="greaterThan">
      <formula>0</formula>
    </cfRule>
  </conditionalFormatting>
  <conditionalFormatting sqref="O57">
    <cfRule type="cellIs" dxfId="9662" priority="453" operator="equal">
      <formula>"PMS"</formula>
    </cfRule>
    <cfRule type="containsText" dxfId="9661" priority="454" operator="containsText" text="CMS">
      <formula>NOT(ISERROR(SEARCH("CMS",O57)))</formula>
    </cfRule>
    <cfRule type="cellIs" dxfId="9660" priority="455" operator="equal">
      <formula>0</formula>
    </cfRule>
    <cfRule type="cellIs" dxfId="9659" priority="456" operator="greaterThan">
      <formula>0</formula>
    </cfRule>
  </conditionalFormatting>
  <conditionalFormatting sqref="O57">
    <cfRule type="cellIs" dxfId="9658" priority="449" operator="equal">
      <formula>"PMS"</formula>
    </cfRule>
    <cfRule type="containsText" dxfId="9657" priority="450" operator="containsText" text="CMS">
      <formula>NOT(ISERROR(SEARCH("CMS",O57)))</formula>
    </cfRule>
    <cfRule type="cellIs" dxfId="9656" priority="451" operator="equal">
      <formula>0</formula>
    </cfRule>
    <cfRule type="cellIs" dxfId="9655" priority="452" operator="greaterThan">
      <formula>0</formula>
    </cfRule>
  </conditionalFormatting>
  <conditionalFormatting sqref="O57">
    <cfRule type="cellIs" dxfId="9654" priority="445" operator="equal">
      <formula>"PMS"</formula>
    </cfRule>
    <cfRule type="containsText" dxfId="9653" priority="446" operator="containsText" text="CMS">
      <formula>NOT(ISERROR(SEARCH("CMS",O57)))</formula>
    </cfRule>
    <cfRule type="cellIs" dxfId="9652" priority="447" operator="equal">
      <formula>0</formula>
    </cfRule>
    <cfRule type="cellIs" dxfId="9651" priority="448" operator="greaterThan">
      <formula>0</formula>
    </cfRule>
  </conditionalFormatting>
  <conditionalFormatting sqref="O57">
    <cfRule type="cellIs" dxfId="9650" priority="441" operator="equal">
      <formula>"PMS"</formula>
    </cfRule>
    <cfRule type="containsText" dxfId="9649" priority="442" operator="containsText" text="CMS">
      <formula>NOT(ISERROR(SEARCH("CMS",O57)))</formula>
    </cfRule>
    <cfRule type="cellIs" dxfId="9648" priority="443" operator="equal">
      <formula>0</formula>
    </cfRule>
    <cfRule type="cellIs" dxfId="9647" priority="444" operator="greaterThan">
      <formula>0</formula>
    </cfRule>
  </conditionalFormatting>
  <conditionalFormatting sqref="O57">
    <cfRule type="cellIs" dxfId="9646" priority="437" operator="equal">
      <formula>"PMS"</formula>
    </cfRule>
    <cfRule type="containsText" dxfId="9645" priority="438" operator="containsText" text="CMS">
      <formula>NOT(ISERROR(SEARCH("CMS",O57)))</formula>
    </cfRule>
    <cfRule type="cellIs" dxfId="9644" priority="439" operator="equal">
      <formula>0</formula>
    </cfRule>
    <cfRule type="cellIs" dxfId="9643" priority="440" operator="greaterThan">
      <formula>0</formula>
    </cfRule>
  </conditionalFormatting>
  <conditionalFormatting sqref="O57">
    <cfRule type="cellIs" dxfId="9642" priority="433" operator="equal">
      <formula>"PMS"</formula>
    </cfRule>
    <cfRule type="containsText" dxfId="9641" priority="434" operator="containsText" text="CMS">
      <formula>NOT(ISERROR(SEARCH("CMS",O57)))</formula>
    </cfRule>
    <cfRule type="cellIs" dxfId="9640" priority="435" operator="equal">
      <formula>0</formula>
    </cfRule>
    <cfRule type="cellIs" dxfId="9639" priority="436" operator="greaterThan">
      <formula>0</formula>
    </cfRule>
  </conditionalFormatting>
  <conditionalFormatting sqref="O57">
    <cfRule type="cellIs" dxfId="9638" priority="429" operator="equal">
      <formula>"PMS"</formula>
    </cfRule>
    <cfRule type="containsText" dxfId="9637" priority="430" operator="containsText" text="CMS">
      <formula>NOT(ISERROR(SEARCH("CMS",O57)))</formula>
    </cfRule>
    <cfRule type="cellIs" dxfId="9636" priority="431" operator="equal">
      <formula>0</formula>
    </cfRule>
    <cfRule type="cellIs" dxfId="9635" priority="432" operator="greaterThan">
      <formula>0</formula>
    </cfRule>
  </conditionalFormatting>
  <conditionalFormatting sqref="O57">
    <cfRule type="cellIs" dxfId="9634" priority="425" operator="equal">
      <formula>"PMS"</formula>
    </cfRule>
    <cfRule type="containsText" dxfId="9633" priority="426" operator="containsText" text="CMS">
      <formula>NOT(ISERROR(SEARCH("CMS",O57)))</formula>
    </cfRule>
    <cfRule type="cellIs" dxfId="9632" priority="427" operator="equal">
      <formula>0</formula>
    </cfRule>
    <cfRule type="cellIs" dxfId="9631" priority="428" operator="greaterThan">
      <formula>0</formula>
    </cfRule>
  </conditionalFormatting>
  <conditionalFormatting sqref="O57">
    <cfRule type="cellIs" dxfId="9630" priority="421" operator="equal">
      <formula>"PMS"</formula>
    </cfRule>
    <cfRule type="containsText" dxfId="9629" priority="422" operator="containsText" text="CMS">
      <formula>NOT(ISERROR(SEARCH("CMS",O57)))</formula>
    </cfRule>
    <cfRule type="cellIs" dxfId="9628" priority="423" operator="equal">
      <formula>0</formula>
    </cfRule>
    <cfRule type="cellIs" dxfId="9627" priority="424" operator="greaterThan">
      <formula>0</formula>
    </cfRule>
  </conditionalFormatting>
  <conditionalFormatting sqref="O57">
    <cfRule type="cellIs" dxfId="9626" priority="417" operator="equal">
      <formula>"PMS"</formula>
    </cfRule>
    <cfRule type="containsText" dxfId="9625" priority="418" operator="containsText" text="CMS">
      <formula>NOT(ISERROR(SEARCH("CMS",O57)))</formula>
    </cfRule>
    <cfRule type="cellIs" dxfId="9624" priority="419" operator="equal">
      <formula>0</formula>
    </cfRule>
    <cfRule type="cellIs" dxfId="9623" priority="420" operator="greaterThan">
      <formula>0</formula>
    </cfRule>
  </conditionalFormatting>
  <conditionalFormatting sqref="O57">
    <cfRule type="cellIs" dxfId="9622" priority="413" operator="equal">
      <formula>"PMS"</formula>
    </cfRule>
    <cfRule type="containsText" dxfId="9621" priority="414" operator="containsText" text="CMS">
      <formula>NOT(ISERROR(SEARCH("CMS",O57)))</formula>
    </cfRule>
    <cfRule type="cellIs" dxfId="9620" priority="415" operator="equal">
      <formula>0</formula>
    </cfRule>
    <cfRule type="cellIs" dxfId="9619" priority="416" operator="greaterThan">
      <formula>0</formula>
    </cfRule>
  </conditionalFormatting>
  <conditionalFormatting sqref="U13">
    <cfRule type="cellIs" dxfId="9618" priority="409" operator="equal">
      <formula>"PMS"</formula>
    </cfRule>
    <cfRule type="containsText" dxfId="9617" priority="410" operator="containsText" text="CMS">
      <formula>NOT(ISERROR(SEARCH("CMS",U13)))</formula>
    </cfRule>
    <cfRule type="cellIs" dxfId="9616" priority="411" operator="equal">
      <formula>0</formula>
    </cfRule>
    <cfRule type="cellIs" dxfId="9615" priority="412" operator="greaterThan">
      <formula>0</formula>
    </cfRule>
  </conditionalFormatting>
  <conditionalFormatting sqref="U13">
    <cfRule type="cellIs" dxfId="9614" priority="405" operator="equal">
      <formula>"PMS"</formula>
    </cfRule>
    <cfRule type="containsText" dxfId="9613" priority="406" operator="containsText" text="CMS">
      <formula>NOT(ISERROR(SEARCH("CMS",U13)))</formula>
    </cfRule>
    <cfRule type="cellIs" dxfId="9612" priority="407" operator="equal">
      <formula>0</formula>
    </cfRule>
    <cfRule type="cellIs" dxfId="9611" priority="408" operator="greaterThan">
      <formula>0</formula>
    </cfRule>
  </conditionalFormatting>
  <conditionalFormatting sqref="Y14">
    <cfRule type="cellIs" dxfId="9610" priority="401" operator="equal">
      <formula>"PMS"</formula>
    </cfRule>
    <cfRule type="containsText" dxfId="9609" priority="402" operator="containsText" text="CMS">
      <formula>NOT(ISERROR(SEARCH("CMS",Y14)))</formula>
    </cfRule>
    <cfRule type="cellIs" dxfId="9608" priority="403" operator="equal">
      <formula>0</formula>
    </cfRule>
    <cfRule type="cellIs" dxfId="9607" priority="404" operator="greaterThan">
      <formula>0</formula>
    </cfRule>
  </conditionalFormatting>
  <conditionalFormatting sqref="Y14">
    <cfRule type="cellIs" dxfId="9606" priority="397" operator="equal">
      <formula>"PMS"</formula>
    </cfRule>
    <cfRule type="containsText" dxfId="9605" priority="398" operator="containsText" text="CMS">
      <formula>NOT(ISERROR(SEARCH("CMS",Y14)))</formula>
    </cfRule>
    <cfRule type="cellIs" dxfId="9604" priority="399" operator="equal">
      <formula>0</formula>
    </cfRule>
    <cfRule type="cellIs" dxfId="9603" priority="400" operator="greaterThan">
      <formula>0</formula>
    </cfRule>
  </conditionalFormatting>
  <conditionalFormatting sqref="Y15">
    <cfRule type="cellIs" dxfId="9602" priority="393" operator="equal">
      <formula>"PMS"</formula>
    </cfRule>
    <cfRule type="containsText" dxfId="9601" priority="394" operator="containsText" text="CMS">
      <formula>NOT(ISERROR(SEARCH("CMS",Y15)))</formula>
    </cfRule>
    <cfRule type="cellIs" dxfId="9600" priority="395" operator="equal">
      <formula>0</formula>
    </cfRule>
    <cfRule type="cellIs" dxfId="9599" priority="396" operator="greaterThan">
      <formula>0</formula>
    </cfRule>
  </conditionalFormatting>
  <conditionalFormatting sqref="Y15">
    <cfRule type="cellIs" dxfId="9598" priority="389" operator="equal">
      <formula>"PMS"</formula>
    </cfRule>
    <cfRule type="containsText" dxfId="9597" priority="390" operator="containsText" text="CMS">
      <formula>NOT(ISERROR(SEARCH("CMS",Y15)))</formula>
    </cfRule>
    <cfRule type="cellIs" dxfId="9596" priority="391" operator="equal">
      <formula>0</formula>
    </cfRule>
    <cfRule type="cellIs" dxfId="9595" priority="392" operator="greaterThan">
      <formula>0</formula>
    </cfRule>
  </conditionalFormatting>
  <conditionalFormatting sqref="Y16">
    <cfRule type="cellIs" dxfId="9594" priority="385" operator="equal">
      <formula>"PMS"</formula>
    </cfRule>
    <cfRule type="containsText" dxfId="9593" priority="386" operator="containsText" text="CMS">
      <formula>NOT(ISERROR(SEARCH("CMS",Y16)))</formula>
    </cfRule>
    <cfRule type="cellIs" dxfId="9592" priority="387" operator="equal">
      <formula>0</formula>
    </cfRule>
    <cfRule type="cellIs" dxfId="9591" priority="388" operator="greaterThan">
      <formula>0</formula>
    </cfRule>
  </conditionalFormatting>
  <conditionalFormatting sqref="Y16">
    <cfRule type="cellIs" dxfId="9590" priority="381" operator="equal">
      <formula>"PMS"</formula>
    </cfRule>
    <cfRule type="containsText" dxfId="9589" priority="382" operator="containsText" text="CMS">
      <formula>NOT(ISERROR(SEARCH("CMS",Y16)))</formula>
    </cfRule>
    <cfRule type="cellIs" dxfId="9588" priority="383" operator="equal">
      <formula>0</formula>
    </cfRule>
    <cfRule type="cellIs" dxfId="9587" priority="384" operator="greaterThan">
      <formula>0</formula>
    </cfRule>
  </conditionalFormatting>
  <conditionalFormatting sqref="F24">
    <cfRule type="cellIs" dxfId="9586" priority="373" operator="equal">
      <formula>"PMS"</formula>
    </cfRule>
    <cfRule type="containsText" dxfId="9585" priority="374" operator="containsText" text="CMS">
      <formula>NOT(ISERROR(SEARCH("CMS",F24)))</formula>
    </cfRule>
    <cfRule type="cellIs" dxfId="9584" priority="375" operator="equal">
      <formula>0</formula>
    </cfRule>
    <cfRule type="cellIs" dxfId="9583" priority="376" operator="greaterThan">
      <formula>0</formula>
    </cfRule>
    <cfRule type="cellIs" dxfId="9582" priority="377" operator="equal">
      <formula>"PMS"</formula>
    </cfRule>
    <cfRule type="containsText" dxfId="9581" priority="378" operator="containsText" text="CMS">
      <formula>NOT(ISERROR(SEARCH("CMS",F24)))</formula>
    </cfRule>
    <cfRule type="cellIs" dxfId="9580" priority="379" operator="equal">
      <formula>0</formula>
    </cfRule>
    <cfRule type="cellIs" dxfId="9579" priority="380" operator="greaterThan">
      <formula>0</formula>
    </cfRule>
  </conditionalFormatting>
  <conditionalFormatting sqref="F24">
    <cfRule type="cellIs" dxfId="9578" priority="369" operator="equal">
      <formula>"PMS"</formula>
    </cfRule>
    <cfRule type="containsText" dxfId="9577" priority="370" operator="containsText" text="CMS">
      <formula>NOT(ISERROR(SEARCH("CMS",F24)))</formula>
    </cfRule>
    <cfRule type="cellIs" dxfId="9576" priority="371" operator="equal">
      <formula>0</formula>
    </cfRule>
    <cfRule type="cellIs" dxfId="9575" priority="372" operator="greaterThan">
      <formula>0</formula>
    </cfRule>
  </conditionalFormatting>
  <conditionalFormatting sqref="F24">
    <cfRule type="cellIs" dxfId="9574" priority="365" operator="equal">
      <formula>"PMS"</formula>
    </cfRule>
    <cfRule type="containsText" dxfId="9573" priority="366" operator="containsText" text="CMS">
      <formula>NOT(ISERROR(SEARCH("CMS",F24)))</formula>
    </cfRule>
    <cfRule type="cellIs" dxfId="9572" priority="367" operator="equal">
      <formula>0</formula>
    </cfRule>
    <cfRule type="cellIs" dxfId="9571" priority="368" operator="greaterThan">
      <formula>0</formula>
    </cfRule>
  </conditionalFormatting>
  <conditionalFormatting sqref="F27:F28">
    <cfRule type="cellIs" dxfId="9570" priority="357" operator="equal">
      <formula>"PMS"</formula>
    </cfRule>
    <cfRule type="containsText" dxfId="9569" priority="358" operator="containsText" text="CMS">
      <formula>NOT(ISERROR(SEARCH("CMS",F27)))</formula>
    </cfRule>
    <cfRule type="cellIs" dxfId="9568" priority="359" operator="equal">
      <formula>0</formula>
    </cfRule>
    <cfRule type="cellIs" dxfId="9567" priority="360" operator="greaterThan">
      <formula>0</formula>
    </cfRule>
    <cfRule type="cellIs" dxfId="9566" priority="361" operator="equal">
      <formula>"PMS"</formula>
    </cfRule>
    <cfRule type="containsText" dxfId="9565" priority="362" operator="containsText" text="CMS">
      <formula>NOT(ISERROR(SEARCH("CMS",F27)))</formula>
    </cfRule>
    <cfRule type="cellIs" dxfId="9564" priority="363" operator="equal">
      <formula>0</formula>
    </cfRule>
    <cfRule type="cellIs" dxfId="9563" priority="364" operator="greaterThan">
      <formula>0</formula>
    </cfRule>
  </conditionalFormatting>
  <conditionalFormatting sqref="F27:F28">
    <cfRule type="cellIs" dxfId="9562" priority="353" operator="equal">
      <formula>"PMS"</formula>
    </cfRule>
    <cfRule type="containsText" dxfId="9561" priority="354" operator="containsText" text="CMS">
      <formula>NOT(ISERROR(SEARCH("CMS",F27)))</formula>
    </cfRule>
    <cfRule type="cellIs" dxfId="9560" priority="355" operator="equal">
      <formula>0</formula>
    </cfRule>
    <cfRule type="cellIs" dxfId="9559" priority="356" operator="greaterThan">
      <formula>0</formula>
    </cfRule>
  </conditionalFormatting>
  <conditionalFormatting sqref="F27:F28">
    <cfRule type="cellIs" dxfId="9558" priority="349" operator="equal">
      <formula>"PMS"</formula>
    </cfRule>
    <cfRule type="containsText" dxfId="9557" priority="350" operator="containsText" text="CMS">
      <formula>NOT(ISERROR(SEARCH("CMS",F27)))</formula>
    </cfRule>
    <cfRule type="cellIs" dxfId="9556" priority="351" operator="equal">
      <formula>0</formula>
    </cfRule>
    <cfRule type="cellIs" dxfId="9555" priority="352" operator="greaterThan">
      <formula>0</formula>
    </cfRule>
  </conditionalFormatting>
  <conditionalFormatting sqref="F29">
    <cfRule type="cellIs" dxfId="9554" priority="341" operator="equal">
      <formula>"PMS"</formula>
    </cfRule>
    <cfRule type="containsText" dxfId="9553" priority="342" operator="containsText" text="CMS">
      <formula>NOT(ISERROR(SEARCH("CMS",F29)))</formula>
    </cfRule>
    <cfRule type="cellIs" dxfId="9552" priority="343" operator="equal">
      <formula>0</formula>
    </cfRule>
    <cfRule type="cellIs" dxfId="9551" priority="344" operator="greaterThan">
      <formula>0</formula>
    </cfRule>
    <cfRule type="cellIs" dxfId="9550" priority="345" operator="equal">
      <formula>"PMS"</formula>
    </cfRule>
    <cfRule type="containsText" dxfId="9549" priority="346" operator="containsText" text="CMS">
      <formula>NOT(ISERROR(SEARCH("CMS",F29)))</formula>
    </cfRule>
    <cfRule type="cellIs" dxfId="9548" priority="347" operator="equal">
      <formula>0</formula>
    </cfRule>
    <cfRule type="cellIs" dxfId="9547" priority="348" operator="greaterThan">
      <formula>0</formula>
    </cfRule>
  </conditionalFormatting>
  <conditionalFormatting sqref="G66:H66 F66:F74">
    <cfRule type="cellIs" dxfId="9546" priority="333" operator="equal">
      <formula>"PMS"</formula>
    </cfRule>
    <cfRule type="containsText" dxfId="9545" priority="334" operator="containsText" text="CMS">
      <formula>NOT(ISERROR(SEARCH("CMS",F66)))</formula>
    </cfRule>
    <cfRule type="cellIs" dxfId="9544" priority="335" operator="equal">
      <formula>0</formula>
    </cfRule>
    <cfRule type="cellIs" dxfId="9543" priority="336" operator="greaterThan">
      <formula>0</formula>
    </cfRule>
    <cfRule type="cellIs" dxfId="9542" priority="337" operator="equal">
      <formula>"PMS"</formula>
    </cfRule>
    <cfRule type="containsText" dxfId="9541" priority="338" operator="containsText" text="CMS">
      <formula>NOT(ISERROR(SEARCH("CMS",F66)))</formula>
    </cfRule>
    <cfRule type="cellIs" dxfId="9540" priority="339" operator="equal">
      <formula>0</formula>
    </cfRule>
    <cfRule type="cellIs" dxfId="9539" priority="340" operator="greaterThan">
      <formula>0</formula>
    </cfRule>
  </conditionalFormatting>
  <conditionalFormatting sqref="G66:H66 F66:F74">
    <cfRule type="cellIs" dxfId="9538" priority="329" operator="equal">
      <formula>"PMS"</formula>
    </cfRule>
    <cfRule type="containsText" dxfId="9537" priority="330" operator="containsText" text="CMS">
      <formula>NOT(ISERROR(SEARCH("CMS",F66)))</formula>
    </cfRule>
    <cfRule type="cellIs" dxfId="9536" priority="331" operator="equal">
      <formula>0</formula>
    </cfRule>
    <cfRule type="cellIs" dxfId="9535" priority="332" operator="greaterThan">
      <formula>0</formula>
    </cfRule>
  </conditionalFormatting>
  <conditionalFormatting sqref="G66:H66 F66:F74">
    <cfRule type="cellIs" dxfId="9534" priority="325" operator="equal">
      <formula>"PMS"</formula>
    </cfRule>
    <cfRule type="containsText" dxfId="9533" priority="326" operator="containsText" text="CMS">
      <formula>NOT(ISERROR(SEARCH("CMS",F66)))</formula>
    </cfRule>
    <cfRule type="cellIs" dxfId="9532" priority="327" operator="equal">
      <formula>0</formula>
    </cfRule>
    <cfRule type="cellIs" dxfId="9531" priority="328" operator="greaterThan">
      <formula>0</formula>
    </cfRule>
  </conditionalFormatting>
  <conditionalFormatting sqref="F13:F16">
    <cfRule type="cellIs" dxfId="9530" priority="317" operator="equal">
      <formula>"PMS"</formula>
    </cfRule>
    <cfRule type="containsText" dxfId="9529" priority="318" operator="containsText" text="CMS">
      <formula>NOT(ISERROR(SEARCH("CMS",F13)))</formula>
    </cfRule>
    <cfRule type="cellIs" dxfId="9528" priority="319" operator="equal">
      <formula>0</formula>
    </cfRule>
    <cfRule type="cellIs" dxfId="9527" priority="320" operator="greaterThan">
      <formula>0</formula>
    </cfRule>
    <cfRule type="cellIs" dxfId="9526" priority="321" operator="equal">
      <formula>"PMS"</formula>
    </cfRule>
    <cfRule type="containsText" dxfId="9525" priority="322" operator="containsText" text="CMS">
      <formula>NOT(ISERROR(SEARCH("CMS",F13)))</formula>
    </cfRule>
    <cfRule type="cellIs" dxfId="9524" priority="323" operator="equal">
      <formula>0</formula>
    </cfRule>
    <cfRule type="cellIs" dxfId="9523" priority="324" operator="greaterThan">
      <formula>0</formula>
    </cfRule>
  </conditionalFormatting>
  <conditionalFormatting sqref="F13:F16">
    <cfRule type="cellIs" dxfId="9522" priority="313" operator="equal">
      <formula>"PMS"</formula>
    </cfRule>
    <cfRule type="containsText" dxfId="9521" priority="314" operator="containsText" text="CMS">
      <formula>NOT(ISERROR(SEARCH("CMS",F13)))</formula>
    </cfRule>
    <cfRule type="cellIs" dxfId="9520" priority="315" operator="equal">
      <formula>0</formula>
    </cfRule>
    <cfRule type="cellIs" dxfId="9519" priority="316" operator="greaterThan">
      <formula>0</formula>
    </cfRule>
  </conditionalFormatting>
  <conditionalFormatting sqref="F13:F16">
    <cfRule type="cellIs" dxfId="9518" priority="309" operator="equal">
      <formula>"PMS"</formula>
    </cfRule>
    <cfRule type="containsText" dxfId="9517" priority="310" operator="containsText" text="CMS">
      <formula>NOT(ISERROR(SEARCH("CMS",F13)))</formula>
    </cfRule>
    <cfRule type="cellIs" dxfId="9516" priority="311" operator="equal">
      <formula>0</formula>
    </cfRule>
    <cfRule type="cellIs" dxfId="9515" priority="312" operator="greaterThan">
      <formula>0</formula>
    </cfRule>
  </conditionalFormatting>
  <conditionalFormatting sqref="F13:F15">
    <cfRule type="cellIs" dxfId="9514" priority="305" operator="equal">
      <formula>"PMS"</formula>
    </cfRule>
    <cfRule type="containsText" dxfId="9513" priority="306" operator="containsText" text="CMS">
      <formula>NOT(ISERROR(SEARCH("CMS",F13)))</formula>
    </cfRule>
    <cfRule type="cellIs" dxfId="9512" priority="307" operator="equal">
      <formula>0</formula>
    </cfRule>
    <cfRule type="cellIs" dxfId="9511" priority="308" operator="greaterThan">
      <formula>0</formula>
    </cfRule>
  </conditionalFormatting>
  <conditionalFormatting sqref="F13:F15">
    <cfRule type="cellIs" dxfId="9510" priority="301" operator="equal">
      <formula>"PMS"</formula>
    </cfRule>
    <cfRule type="containsText" dxfId="9509" priority="302" operator="containsText" text="CMS">
      <formula>NOT(ISERROR(SEARCH("CMS",F13)))</formula>
    </cfRule>
    <cfRule type="cellIs" dxfId="9508" priority="303" operator="equal">
      <formula>0</formula>
    </cfRule>
    <cfRule type="cellIs" dxfId="9507" priority="304" operator="greaterThan">
      <formula>0</formula>
    </cfRule>
  </conditionalFormatting>
  <conditionalFormatting sqref="F62">
    <cfRule type="cellIs" dxfId="9506" priority="293" operator="equal">
      <formula>"PMS"</formula>
    </cfRule>
    <cfRule type="containsText" dxfId="9505" priority="294" operator="containsText" text="CMS">
      <formula>NOT(ISERROR(SEARCH("CMS",F62)))</formula>
    </cfRule>
    <cfRule type="cellIs" dxfId="9504" priority="295" operator="equal">
      <formula>0</formula>
    </cfRule>
    <cfRule type="cellIs" dxfId="9503" priority="296" operator="greaterThan">
      <formula>0</formula>
    </cfRule>
    <cfRule type="cellIs" dxfId="9502" priority="297" operator="equal">
      <formula>"PMS"</formula>
    </cfRule>
    <cfRule type="containsText" dxfId="9501" priority="298" operator="containsText" text="CMS">
      <formula>NOT(ISERROR(SEARCH("CMS",F62)))</formula>
    </cfRule>
    <cfRule type="cellIs" dxfId="9500" priority="299" operator="equal">
      <formula>0</formula>
    </cfRule>
    <cfRule type="cellIs" dxfId="9499" priority="300" operator="greaterThan">
      <formula>0</formula>
    </cfRule>
  </conditionalFormatting>
  <conditionalFormatting sqref="F62">
    <cfRule type="cellIs" dxfId="9498" priority="289" operator="equal">
      <formula>"PMS"</formula>
    </cfRule>
    <cfRule type="containsText" dxfId="9497" priority="290" operator="containsText" text="CMS">
      <formula>NOT(ISERROR(SEARCH("CMS",F62)))</formula>
    </cfRule>
    <cfRule type="cellIs" dxfId="9496" priority="291" operator="equal">
      <formula>0</formula>
    </cfRule>
    <cfRule type="cellIs" dxfId="9495" priority="292" operator="greaterThan">
      <formula>0</formula>
    </cfRule>
  </conditionalFormatting>
  <conditionalFormatting sqref="H63">
    <cfRule type="cellIs" dxfId="9494" priority="281" operator="equal">
      <formula>"PMS"</formula>
    </cfRule>
    <cfRule type="containsText" dxfId="9493" priority="282" operator="containsText" text="CMS">
      <formula>NOT(ISERROR(SEARCH("CMS",H63)))</formula>
    </cfRule>
    <cfRule type="cellIs" dxfId="9492" priority="283" operator="equal">
      <formula>0</formula>
    </cfRule>
    <cfRule type="cellIs" dxfId="9491" priority="284" operator="greaterThan">
      <formula>0</formula>
    </cfRule>
    <cfRule type="cellIs" dxfId="9490" priority="285" operator="equal">
      <formula>"PMS"</formula>
    </cfRule>
    <cfRule type="containsText" dxfId="9489" priority="286" operator="containsText" text="CMS">
      <formula>NOT(ISERROR(SEARCH("CMS",H63)))</formula>
    </cfRule>
    <cfRule type="cellIs" dxfId="9488" priority="287" operator="equal">
      <formula>0</formula>
    </cfRule>
    <cfRule type="cellIs" dxfId="9487" priority="288" operator="greaterThan">
      <formula>0</formula>
    </cfRule>
  </conditionalFormatting>
  <conditionalFormatting sqref="H63">
    <cfRule type="cellIs" dxfId="9486" priority="277" operator="equal">
      <formula>"PMS"</formula>
    </cfRule>
    <cfRule type="containsText" dxfId="9485" priority="278" operator="containsText" text="CMS">
      <formula>NOT(ISERROR(SEARCH("CMS",H63)))</formula>
    </cfRule>
    <cfRule type="cellIs" dxfId="9484" priority="279" operator="equal">
      <formula>0</formula>
    </cfRule>
    <cfRule type="cellIs" dxfId="9483" priority="280" operator="greaterThan">
      <formula>0</formula>
    </cfRule>
  </conditionalFormatting>
  <conditionalFormatting sqref="F63">
    <cfRule type="cellIs" dxfId="9482" priority="269" operator="equal">
      <formula>"PMS"</formula>
    </cfRule>
    <cfRule type="containsText" dxfId="9481" priority="270" operator="containsText" text="CMS">
      <formula>NOT(ISERROR(SEARCH("CMS",F63)))</formula>
    </cfRule>
    <cfRule type="cellIs" dxfId="9480" priority="271" operator="equal">
      <formula>0</formula>
    </cfRule>
    <cfRule type="cellIs" dxfId="9479" priority="272" operator="greaterThan">
      <formula>0</formula>
    </cfRule>
    <cfRule type="cellIs" dxfId="9478" priority="273" operator="equal">
      <formula>"PMS"</formula>
    </cfRule>
    <cfRule type="containsText" dxfId="9477" priority="274" operator="containsText" text="CMS">
      <formula>NOT(ISERROR(SEARCH("CMS",F63)))</formula>
    </cfRule>
    <cfRule type="cellIs" dxfId="9476" priority="275" operator="equal">
      <formula>0</formula>
    </cfRule>
    <cfRule type="cellIs" dxfId="9475" priority="276" operator="greaterThan">
      <formula>0</formula>
    </cfRule>
  </conditionalFormatting>
  <conditionalFormatting sqref="F63">
    <cfRule type="cellIs" dxfId="9474" priority="265" operator="equal">
      <formula>"PMS"</formula>
    </cfRule>
    <cfRule type="containsText" dxfId="9473" priority="266" operator="containsText" text="CMS">
      <formula>NOT(ISERROR(SEARCH("CMS",F63)))</formula>
    </cfRule>
    <cfRule type="cellIs" dxfId="9472" priority="267" operator="equal">
      <formula>0</formula>
    </cfRule>
    <cfRule type="cellIs" dxfId="9471" priority="268" operator="greaterThan">
      <formula>0</formula>
    </cfRule>
  </conditionalFormatting>
  <conditionalFormatting sqref="L62">
    <cfRule type="cellIs" dxfId="9470" priority="257" operator="equal">
      <formula>"PMS"</formula>
    </cfRule>
    <cfRule type="containsText" dxfId="9469" priority="258" operator="containsText" text="CMS">
      <formula>NOT(ISERROR(SEARCH("CMS",L62)))</formula>
    </cfRule>
    <cfRule type="cellIs" dxfId="9468" priority="259" operator="equal">
      <formula>0</formula>
    </cfRule>
    <cfRule type="cellIs" dxfId="9467" priority="260" operator="greaterThan">
      <formula>0</formula>
    </cfRule>
    <cfRule type="cellIs" dxfId="9466" priority="261" operator="equal">
      <formula>"PMS"</formula>
    </cfRule>
    <cfRule type="containsText" dxfId="9465" priority="262" operator="containsText" text="CMS">
      <formula>NOT(ISERROR(SEARCH("CMS",L62)))</formula>
    </cfRule>
    <cfRule type="cellIs" dxfId="9464" priority="263" operator="equal">
      <formula>0</formula>
    </cfRule>
    <cfRule type="cellIs" dxfId="9463" priority="264" operator="greaterThan">
      <formula>0</formula>
    </cfRule>
  </conditionalFormatting>
  <conditionalFormatting sqref="L62">
    <cfRule type="cellIs" dxfId="9462" priority="253" operator="equal">
      <formula>"PMS"</formula>
    </cfRule>
    <cfRule type="containsText" dxfId="9461" priority="254" operator="containsText" text="CMS">
      <formula>NOT(ISERROR(SEARCH("CMS",L62)))</formula>
    </cfRule>
    <cfRule type="cellIs" dxfId="9460" priority="255" operator="equal">
      <formula>0</formula>
    </cfRule>
    <cfRule type="cellIs" dxfId="9459" priority="256" operator="greaterThan">
      <formula>0</formula>
    </cfRule>
  </conditionalFormatting>
  <conditionalFormatting sqref="O58">
    <cfRule type="cellIs" dxfId="9458" priority="249" operator="equal">
      <formula>"PMS"</formula>
    </cfRule>
    <cfRule type="containsText" dxfId="9457" priority="250" operator="containsText" text="CMS">
      <formula>NOT(ISERROR(SEARCH("CMS",O58)))</formula>
    </cfRule>
    <cfRule type="cellIs" dxfId="9456" priority="251" operator="equal">
      <formula>0</formula>
    </cfRule>
    <cfRule type="cellIs" dxfId="9455" priority="252" operator="greaterThan">
      <formula>0</formula>
    </cfRule>
  </conditionalFormatting>
  <conditionalFormatting sqref="O58">
    <cfRule type="cellIs" dxfId="9454" priority="245" operator="equal">
      <formula>"PMS"</formula>
    </cfRule>
    <cfRule type="containsText" dxfId="9453" priority="246" operator="containsText" text="CMS">
      <formula>NOT(ISERROR(SEARCH("CMS",O58)))</formula>
    </cfRule>
    <cfRule type="cellIs" dxfId="9452" priority="247" operator="equal">
      <formula>0</formula>
    </cfRule>
    <cfRule type="cellIs" dxfId="9451" priority="248" operator="greaterThan">
      <formula>0</formula>
    </cfRule>
  </conditionalFormatting>
  <conditionalFormatting sqref="O58">
    <cfRule type="cellIs" dxfId="9450" priority="241" operator="equal">
      <formula>"PMS"</formula>
    </cfRule>
    <cfRule type="containsText" dxfId="9449" priority="242" operator="containsText" text="CMS">
      <formula>NOT(ISERROR(SEARCH("CMS",O58)))</formula>
    </cfRule>
    <cfRule type="cellIs" dxfId="9448" priority="243" operator="equal">
      <formula>0</formula>
    </cfRule>
    <cfRule type="cellIs" dxfId="9447" priority="244" operator="greaterThan">
      <formula>0</formula>
    </cfRule>
  </conditionalFormatting>
  <conditionalFormatting sqref="O58">
    <cfRule type="cellIs" dxfId="9446" priority="237" operator="equal">
      <formula>"PMS"</formula>
    </cfRule>
    <cfRule type="containsText" dxfId="9445" priority="238" operator="containsText" text="CMS">
      <formula>NOT(ISERROR(SEARCH("CMS",O58)))</formula>
    </cfRule>
    <cfRule type="cellIs" dxfId="9444" priority="239" operator="equal">
      <formula>0</formula>
    </cfRule>
    <cfRule type="cellIs" dxfId="9443" priority="240" operator="greaterThan">
      <formula>0</formula>
    </cfRule>
  </conditionalFormatting>
  <conditionalFormatting sqref="O58">
    <cfRule type="cellIs" dxfId="9442" priority="233" operator="equal">
      <formula>"PMS"</formula>
    </cfRule>
    <cfRule type="containsText" dxfId="9441" priority="234" operator="containsText" text="CMS">
      <formula>NOT(ISERROR(SEARCH("CMS",O58)))</formula>
    </cfRule>
    <cfRule type="cellIs" dxfId="9440" priority="235" operator="equal">
      <formula>0</formula>
    </cfRule>
    <cfRule type="cellIs" dxfId="9439" priority="236" operator="greaterThan">
      <formula>0</formula>
    </cfRule>
  </conditionalFormatting>
  <conditionalFormatting sqref="O58">
    <cfRule type="cellIs" dxfId="9438" priority="229" operator="equal">
      <formula>"PMS"</formula>
    </cfRule>
    <cfRule type="containsText" dxfId="9437" priority="230" operator="containsText" text="CMS">
      <formula>NOT(ISERROR(SEARCH("CMS",O58)))</formula>
    </cfRule>
    <cfRule type="cellIs" dxfId="9436" priority="231" operator="equal">
      <formula>0</formula>
    </cfRule>
    <cfRule type="cellIs" dxfId="9435" priority="232" operator="greaterThan">
      <formula>0</formula>
    </cfRule>
  </conditionalFormatting>
  <conditionalFormatting sqref="O58">
    <cfRule type="cellIs" dxfId="9434" priority="225" operator="equal">
      <formula>"PMS"</formula>
    </cfRule>
    <cfRule type="containsText" dxfId="9433" priority="226" operator="containsText" text="CMS">
      <formula>NOT(ISERROR(SEARCH("CMS",O58)))</formula>
    </cfRule>
    <cfRule type="cellIs" dxfId="9432" priority="227" operator="equal">
      <formula>0</formula>
    </cfRule>
    <cfRule type="cellIs" dxfId="9431" priority="228" operator="greaterThan">
      <formula>0</formula>
    </cfRule>
  </conditionalFormatting>
  <conditionalFormatting sqref="O58">
    <cfRule type="cellIs" dxfId="9430" priority="221" operator="equal">
      <formula>"PMS"</formula>
    </cfRule>
    <cfRule type="containsText" dxfId="9429" priority="222" operator="containsText" text="CMS">
      <formula>NOT(ISERROR(SEARCH("CMS",O58)))</formula>
    </cfRule>
    <cfRule type="cellIs" dxfId="9428" priority="223" operator="equal">
      <formula>0</formula>
    </cfRule>
    <cfRule type="cellIs" dxfId="9427" priority="224" operator="greaterThan">
      <formula>0</formula>
    </cfRule>
  </conditionalFormatting>
  <conditionalFormatting sqref="O58">
    <cfRule type="cellIs" dxfId="9426" priority="217" operator="equal">
      <formula>"PMS"</formula>
    </cfRule>
    <cfRule type="containsText" dxfId="9425" priority="218" operator="containsText" text="CMS">
      <formula>NOT(ISERROR(SEARCH("CMS",O58)))</formula>
    </cfRule>
    <cfRule type="cellIs" dxfId="9424" priority="219" operator="equal">
      <formula>0</formula>
    </cfRule>
    <cfRule type="cellIs" dxfId="9423" priority="220" operator="greaterThan">
      <formula>0</formula>
    </cfRule>
  </conditionalFormatting>
  <conditionalFormatting sqref="O58">
    <cfRule type="cellIs" dxfId="9422" priority="213" operator="equal">
      <formula>"PMS"</formula>
    </cfRule>
    <cfRule type="containsText" dxfId="9421" priority="214" operator="containsText" text="CMS">
      <formula>NOT(ISERROR(SEARCH("CMS",O58)))</formula>
    </cfRule>
    <cfRule type="cellIs" dxfId="9420" priority="215" operator="equal">
      <formula>0</formula>
    </cfRule>
    <cfRule type="cellIs" dxfId="9419" priority="216" operator="greaterThan">
      <formula>0</formula>
    </cfRule>
  </conditionalFormatting>
  <conditionalFormatting sqref="O58">
    <cfRule type="cellIs" dxfId="9418" priority="209" operator="equal">
      <formula>"PMS"</formula>
    </cfRule>
    <cfRule type="containsText" dxfId="9417" priority="210" operator="containsText" text="CMS">
      <formula>NOT(ISERROR(SEARCH("CMS",O58)))</formula>
    </cfRule>
    <cfRule type="cellIs" dxfId="9416" priority="211" operator="equal">
      <formula>0</formula>
    </cfRule>
    <cfRule type="cellIs" dxfId="9415" priority="212" operator="greaterThan">
      <formula>0</formula>
    </cfRule>
  </conditionalFormatting>
  <conditionalFormatting sqref="O58">
    <cfRule type="cellIs" dxfId="9414" priority="205" operator="equal">
      <formula>"PMS"</formula>
    </cfRule>
    <cfRule type="containsText" dxfId="9413" priority="206" operator="containsText" text="CMS">
      <formula>NOT(ISERROR(SEARCH("CMS",O58)))</formula>
    </cfRule>
    <cfRule type="cellIs" dxfId="9412" priority="207" operator="equal">
      <formula>0</formula>
    </cfRule>
    <cfRule type="cellIs" dxfId="9411" priority="208" operator="greaterThan">
      <formula>0</formula>
    </cfRule>
  </conditionalFormatting>
  <conditionalFormatting sqref="O58">
    <cfRule type="cellIs" dxfId="9410" priority="201" operator="equal">
      <formula>"PMS"</formula>
    </cfRule>
    <cfRule type="containsText" dxfId="9409" priority="202" operator="containsText" text="CMS">
      <formula>NOT(ISERROR(SEARCH("CMS",O58)))</formula>
    </cfRule>
    <cfRule type="cellIs" dxfId="9408" priority="203" operator="equal">
      <formula>0</formula>
    </cfRule>
    <cfRule type="cellIs" dxfId="9407" priority="204" operator="greaterThan">
      <formula>0</formula>
    </cfRule>
  </conditionalFormatting>
  <conditionalFormatting sqref="O58">
    <cfRule type="cellIs" dxfId="9406" priority="197" operator="equal">
      <formula>"PMS"</formula>
    </cfRule>
    <cfRule type="containsText" dxfId="9405" priority="198" operator="containsText" text="CMS">
      <formula>NOT(ISERROR(SEARCH("CMS",O58)))</formula>
    </cfRule>
    <cfRule type="cellIs" dxfId="9404" priority="199" operator="equal">
      <formula>0</formula>
    </cfRule>
    <cfRule type="cellIs" dxfId="9403" priority="200" operator="greaterThan">
      <formula>0</formula>
    </cfRule>
  </conditionalFormatting>
  <conditionalFormatting sqref="O58">
    <cfRule type="cellIs" dxfId="9402" priority="193" operator="equal">
      <formula>"PMS"</formula>
    </cfRule>
    <cfRule type="containsText" dxfId="9401" priority="194" operator="containsText" text="CMS">
      <formula>NOT(ISERROR(SEARCH("CMS",O58)))</formula>
    </cfRule>
    <cfRule type="cellIs" dxfId="9400" priority="195" operator="equal">
      <formula>0</formula>
    </cfRule>
    <cfRule type="cellIs" dxfId="9399" priority="196" operator="greaterThan">
      <formula>0</formula>
    </cfRule>
  </conditionalFormatting>
  <conditionalFormatting sqref="O58">
    <cfRule type="cellIs" dxfId="9398" priority="189" operator="equal">
      <formula>"PMS"</formula>
    </cfRule>
    <cfRule type="containsText" dxfId="9397" priority="190" operator="containsText" text="CMS">
      <formula>NOT(ISERROR(SEARCH("CMS",O58)))</formula>
    </cfRule>
    <cfRule type="cellIs" dxfId="9396" priority="191" operator="equal">
      <formula>0</formula>
    </cfRule>
    <cfRule type="cellIs" dxfId="9395" priority="192" operator="greaterThan">
      <formula>0</formula>
    </cfRule>
  </conditionalFormatting>
  <conditionalFormatting sqref="O58">
    <cfRule type="cellIs" dxfId="9394" priority="185" operator="equal">
      <formula>"PMS"</formula>
    </cfRule>
    <cfRule type="containsText" dxfId="9393" priority="186" operator="containsText" text="CMS">
      <formula>NOT(ISERROR(SEARCH("CMS",O58)))</formula>
    </cfRule>
    <cfRule type="cellIs" dxfId="9392" priority="187" operator="equal">
      <formula>0</formula>
    </cfRule>
    <cfRule type="cellIs" dxfId="9391" priority="188" operator="greaterThan">
      <formula>0</formula>
    </cfRule>
  </conditionalFormatting>
  <conditionalFormatting sqref="O58">
    <cfRule type="cellIs" dxfId="9390" priority="181" operator="equal">
      <formula>"PMS"</formula>
    </cfRule>
    <cfRule type="containsText" dxfId="9389" priority="182" operator="containsText" text="CMS">
      <formula>NOT(ISERROR(SEARCH("CMS",O58)))</formula>
    </cfRule>
    <cfRule type="cellIs" dxfId="9388" priority="183" operator="equal">
      <formula>0</formula>
    </cfRule>
    <cfRule type="cellIs" dxfId="9387" priority="184" operator="greaterThan">
      <formula>0</formula>
    </cfRule>
  </conditionalFormatting>
  <conditionalFormatting sqref="O58">
    <cfRule type="cellIs" dxfId="9386" priority="177" operator="equal">
      <formula>"PMS"</formula>
    </cfRule>
    <cfRule type="containsText" dxfId="9385" priority="178" operator="containsText" text="CMS">
      <formula>NOT(ISERROR(SEARCH("CMS",O58)))</formula>
    </cfRule>
    <cfRule type="cellIs" dxfId="9384" priority="179" operator="equal">
      <formula>0</formula>
    </cfRule>
    <cfRule type="cellIs" dxfId="9383" priority="180" operator="greaterThan">
      <formula>0</formula>
    </cfRule>
  </conditionalFormatting>
  <conditionalFormatting sqref="O58">
    <cfRule type="cellIs" dxfId="9382" priority="173" operator="equal">
      <formula>"PMS"</formula>
    </cfRule>
    <cfRule type="containsText" dxfId="9381" priority="174" operator="containsText" text="CMS">
      <formula>NOT(ISERROR(SEARCH("CMS",O58)))</formula>
    </cfRule>
    <cfRule type="cellIs" dxfId="9380" priority="175" operator="equal">
      <formula>0</formula>
    </cfRule>
    <cfRule type="cellIs" dxfId="9379" priority="176" operator="greaterThan">
      <formula>0</formula>
    </cfRule>
  </conditionalFormatting>
  <conditionalFormatting sqref="O58">
    <cfRule type="cellIs" dxfId="9378" priority="169" operator="equal">
      <formula>"PMS"</formula>
    </cfRule>
    <cfRule type="containsText" dxfId="9377" priority="170" operator="containsText" text="CMS">
      <formula>NOT(ISERROR(SEARCH("CMS",O58)))</formula>
    </cfRule>
    <cfRule type="cellIs" dxfId="9376" priority="171" operator="equal">
      <formula>0</formula>
    </cfRule>
    <cfRule type="cellIs" dxfId="9375" priority="172" operator="greaterThan">
      <formula>0</formula>
    </cfRule>
  </conditionalFormatting>
  <conditionalFormatting sqref="O58">
    <cfRule type="cellIs" dxfId="9374" priority="165" operator="equal">
      <formula>"PMS"</formula>
    </cfRule>
    <cfRule type="containsText" dxfId="9373" priority="166" operator="containsText" text="CMS">
      <formula>NOT(ISERROR(SEARCH("CMS",O58)))</formula>
    </cfRule>
    <cfRule type="cellIs" dxfId="9372" priority="167" operator="equal">
      <formula>0</formula>
    </cfRule>
    <cfRule type="cellIs" dxfId="9371" priority="168" operator="greaterThan">
      <formula>0</formula>
    </cfRule>
  </conditionalFormatting>
  <conditionalFormatting sqref="O58">
    <cfRule type="cellIs" dxfId="9370" priority="161" operator="equal">
      <formula>"PMS"</formula>
    </cfRule>
    <cfRule type="containsText" dxfId="9369" priority="162" operator="containsText" text="CMS">
      <formula>NOT(ISERROR(SEARCH("CMS",O58)))</formula>
    </cfRule>
    <cfRule type="cellIs" dxfId="9368" priority="163" operator="equal">
      <formula>0</formula>
    </cfRule>
    <cfRule type="cellIs" dxfId="9367" priority="164" operator="greaterThan">
      <formula>0</formula>
    </cfRule>
  </conditionalFormatting>
  <conditionalFormatting sqref="O58">
    <cfRule type="cellIs" dxfId="9366" priority="157" operator="equal">
      <formula>"PMS"</formula>
    </cfRule>
    <cfRule type="containsText" dxfId="9365" priority="158" operator="containsText" text="CMS">
      <formula>NOT(ISERROR(SEARCH("CMS",O58)))</formula>
    </cfRule>
    <cfRule type="cellIs" dxfId="9364" priority="159" operator="equal">
      <formula>0</formula>
    </cfRule>
    <cfRule type="cellIs" dxfId="9363" priority="160" operator="greaterThan">
      <formula>0</formula>
    </cfRule>
  </conditionalFormatting>
  <conditionalFormatting sqref="O58">
    <cfRule type="cellIs" dxfId="9362" priority="153" operator="equal">
      <formula>"PMS"</formula>
    </cfRule>
    <cfRule type="containsText" dxfId="9361" priority="154" operator="containsText" text="CMS">
      <formula>NOT(ISERROR(SEARCH("CMS",O58)))</formula>
    </cfRule>
    <cfRule type="cellIs" dxfId="9360" priority="155" operator="equal">
      <formula>0</formula>
    </cfRule>
    <cfRule type="cellIs" dxfId="9359" priority="156" operator="greaterThan">
      <formula>0</formula>
    </cfRule>
  </conditionalFormatting>
  <conditionalFormatting sqref="O58">
    <cfRule type="cellIs" dxfId="9358" priority="149" operator="equal">
      <formula>"PMS"</formula>
    </cfRule>
    <cfRule type="containsText" dxfId="9357" priority="150" operator="containsText" text="CMS">
      <formula>NOT(ISERROR(SEARCH("CMS",O58)))</formula>
    </cfRule>
    <cfRule type="cellIs" dxfId="9356" priority="151" operator="equal">
      <formula>0</formula>
    </cfRule>
    <cfRule type="cellIs" dxfId="9355" priority="152" operator="greaterThan">
      <formula>0</formula>
    </cfRule>
  </conditionalFormatting>
  <conditionalFormatting sqref="O58">
    <cfRule type="cellIs" dxfId="9354" priority="145" operator="equal">
      <formula>"PMS"</formula>
    </cfRule>
    <cfRule type="containsText" dxfId="9353" priority="146" operator="containsText" text="CMS">
      <formula>NOT(ISERROR(SEARCH("CMS",O58)))</formula>
    </cfRule>
    <cfRule type="cellIs" dxfId="9352" priority="147" operator="equal">
      <formula>0</formula>
    </cfRule>
    <cfRule type="cellIs" dxfId="9351" priority="148" operator="greaterThan">
      <formula>0</formula>
    </cfRule>
  </conditionalFormatting>
  <conditionalFormatting sqref="O58">
    <cfRule type="cellIs" dxfId="9350" priority="141" operator="equal">
      <formula>"PMS"</formula>
    </cfRule>
    <cfRule type="containsText" dxfId="9349" priority="142" operator="containsText" text="CMS">
      <formula>NOT(ISERROR(SEARCH("CMS",O58)))</formula>
    </cfRule>
    <cfRule type="cellIs" dxfId="9348" priority="143" operator="equal">
      <formula>0</formula>
    </cfRule>
    <cfRule type="cellIs" dxfId="9347" priority="144" operator="greaterThan">
      <formula>0</formula>
    </cfRule>
  </conditionalFormatting>
  <conditionalFormatting sqref="O58">
    <cfRule type="cellIs" dxfId="9346" priority="137" operator="equal">
      <formula>"PMS"</formula>
    </cfRule>
    <cfRule type="containsText" dxfId="9345" priority="138" operator="containsText" text="CMS">
      <formula>NOT(ISERROR(SEARCH("CMS",O58)))</formula>
    </cfRule>
    <cfRule type="cellIs" dxfId="9344" priority="139" operator="equal">
      <formula>0</formula>
    </cfRule>
    <cfRule type="cellIs" dxfId="9343" priority="140" operator="greaterThan">
      <formula>0</formula>
    </cfRule>
  </conditionalFormatting>
  <conditionalFormatting sqref="O58">
    <cfRule type="cellIs" dxfId="9342" priority="133" operator="equal">
      <formula>"PMS"</formula>
    </cfRule>
    <cfRule type="containsText" dxfId="9341" priority="134" operator="containsText" text="CMS">
      <formula>NOT(ISERROR(SEARCH("CMS",O58)))</formula>
    </cfRule>
    <cfRule type="cellIs" dxfId="9340" priority="135" operator="equal">
      <formula>0</formula>
    </cfRule>
    <cfRule type="cellIs" dxfId="9339" priority="136" operator="greaterThan">
      <formula>0</formula>
    </cfRule>
  </conditionalFormatting>
  <conditionalFormatting sqref="O58">
    <cfRule type="cellIs" dxfId="9338" priority="129" operator="equal">
      <formula>"PMS"</formula>
    </cfRule>
    <cfRule type="containsText" dxfId="9337" priority="130" operator="containsText" text="CMS">
      <formula>NOT(ISERROR(SEARCH("CMS",O58)))</formula>
    </cfRule>
    <cfRule type="cellIs" dxfId="9336" priority="131" operator="equal">
      <formula>0</formula>
    </cfRule>
    <cfRule type="cellIs" dxfId="9335" priority="132" operator="greaterThan">
      <formula>0</formula>
    </cfRule>
  </conditionalFormatting>
  <conditionalFormatting sqref="O58">
    <cfRule type="cellIs" dxfId="9334" priority="125" operator="equal">
      <formula>"PMS"</formula>
    </cfRule>
    <cfRule type="containsText" dxfId="9333" priority="126" operator="containsText" text="CMS">
      <formula>NOT(ISERROR(SEARCH("CMS",O58)))</formula>
    </cfRule>
    <cfRule type="cellIs" dxfId="9332" priority="127" operator="equal">
      <formula>0</formula>
    </cfRule>
    <cfRule type="cellIs" dxfId="9331" priority="128" operator="greaterThan">
      <formula>0</formula>
    </cfRule>
  </conditionalFormatting>
  <conditionalFormatting sqref="O58">
    <cfRule type="cellIs" dxfId="9330" priority="121" operator="equal">
      <formula>"PMS"</formula>
    </cfRule>
    <cfRule type="containsText" dxfId="9329" priority="122" operator="containsText" text="CMS">
      <formula>NOT(ISERROR(SEARCH("CMS",O58)))</formula>
    </cfRule>
    <cfRule type="cellIs" dxfId="9328" priority="123" operator="equal">
      <formula>0</formula>
    </cfRule>
    <cfRule type="cellIs" dxfId="9327" priority="124" operator="greaterThan">
      <formula>0</formula>
    </cfRule>
  </conditionalFormatting>
  <conditionalFormatting sqref="O58">
    <cfRule type="cellIs" dxfId="9326" priority="117" operator="equal">
      <formula>"PMS"</formula>
    </cfRule>
    <cfRule type="containsText" dxfId="9325" priority="118" operator="containsText" text="CMS">
      <formula>NOT(ISERROR(SEARCH("CMS",O58)))</formula>
    </cfRule>
    <cfRule type="cellIs" dxfId="9324" priority="119" operator="equal">
      <formula>0</formula>
    </cfRule>
    <cfRule type="cellIs" dxfId="9323" priority="120" operator="greaterThan">
      <formula>0</formula>
    </cfRule>
  </conditionalFormatting>
  <conditionalFormatting sqref="O58">
    <cfRule type="cellIs" dxfId="9322" priority="113" operator="equal">
      <formula>"PMS"</formula>
    </cfRule>
    <cfRule type="containsText" dxfId="9321" priority="114" operator="containsText" text="CMS">
      <formula>NOT(ISERROR(SEARCH("CMS",O58)))</formula>
    </cfRule>
    <cfRule type="cellIs" dxfId="9320" priority="115" operator="equal">
      <formula>0</formula>
    </cfRule>
    <cfRule type="cellIs" dxfId="9319" priority="116" operator="greaterThan">
      <formula>0</formula>
    </cfRule>
  </conditionalFormatting>
  <conditionalFormatting sqref="O58">
    <cfRule type="cellIs" dxfId="9318" priority="109" operator="equal">
      <formula>"PMS"</formula>
    </cfRule>
    <cfRule type="containsText" dxfId="9317" priority="110" operator="containsText" text="CMS">
      <formula>NOT(ISERROR(SEARCH("CMS",O58)))</formula>
    </cfRule>
    <cfRule type="cellIs" dxfId="9316" priority="111" operator="equal">
      <formula>0</formula>
    </cfRule>
    <cfRule type="cellIs" dxfId="9315" priority="112" operator="greaterThan">
      <formula>0</formula>
    </cfRule>
  </conditionalFormatting>
  <conditionalFormatting sqref="O58">
    <cfRule type="cellIs" dxfId="9314" priority="105" operator="equal">
      <formula>"PMS"</formula>
    </cfRule>
    <cfRule type="containsText" dxfId="9313" priority="106" operator="containsText" text="CMS">
      <formula>NOT(ISERROR(SEARCH("CMS",O58)))</formula>
    </cfRule>
    <cfRule type="cellIs" dxfId="9312" priority="107" operator="equal">
      <formula>0</formula>
    </cfRule>
    <cfRule type="cellIs" dxfId="9311" priority="108" operator="greaterThan">
      <formula>0</formula>
    </cfRule>
  </conditionalFormatting>
  <conditionalFormatting sqref="O58">
    <cfRule type="cellIs" dxfId="9310" priority="101" operator="equal">
      <formula>"PMS"</formula>
    </cfRule>
    <cfRule type="containsText" dxfId="9309" priority="102" operator="containsText" text="CMS">
      <formula>NOT(ISERROR(SEARCH("CMS",O58)))</formula>
    </cfRule>
    <cfRule type="cellIs" dxfId="9308" priority="103" operator="equal">
      <formula>0</formula>
    </cfRule>
    <cfRule type="cellIs" dxfId="9307" priority="104" operator="greaterThan">
      <formula>0</formula>
    </cfRule>
  </conditionalFormatting>
  <conditionalFormatting sqref="O58">
    <cfRule type="cellIs" dxfId="9306" priority="97" operator="equal">
      <formula>"PMS"</formula>
    </cfRule>
    <cfRule type="containsText" dxfId="9305" priority="98" operator="containsText" text="CMS">
      <formula>NOT(ISERROR(SEARCH("CMS",O58)))</formula>
    </cfRule>
    <cfRule type="cellIs" dxfId="9304" priority="99" operator="equal">
      <formula>0</formula>
    </cfRule>
    <cfRule type="cellIs" dxfId="9303" priority="100" operator="greaterThan">
      <formula>0</formula>
    </cfRule>
  </conditionalFormatting>
  <conditionalFormatting sqref="O58">
    <cfRule type="cellIs" dxfId="9302" priority="93" operator="equal">
      <formula>"PMS"</formula>
    </cfRule>
    <cfRule type="containsText" dxfId="9301" priority="94" operator="containsText" text="CMS">
      <formula>NOT(ISERROR(SEARCH("CMS",O58)))</formula>
    </cfRule>
    <cfRule type="cellIs" dxfId="9300" priority="95" operator="equal">
      <formula>0</formula>
    </cfRule>
    <cfRule type="cellIs" dxfId="9299" priority="96" operator="greaterThan">
      <formula>0</formula>
    </cfRule>
  </conditionalFormatting>
  <conditionalFormatting sqref="O58">
    <cfRule type="cellIs" dxfId="9298" priority="89" operator="equal">
      <formula>"PMS"</formula>
    </cfRule>
    <cfRule type="containsText" dxfId="9297" priority="90" operator="containsText" text="CMS">
      <formula>NOT(ISERROR(SEARCH("CMS",O58)))</formula>
    </cfRule>
    <cfRule type="cellIs" dxfId="9296" priority="91" operator="equal">
      <formula>0</formula>
    </cfRule>
    <cfRule type="cellIs" dxfId="9295" priority="92" operator="greaterThan">
      <formula>0</formula>
    </cfRule>
  </conditionalFormatting>
  <conditionalFormatting sqref="O58">
    <cfRule type="cellIs" dxfId="9294" priority="85" operator="equal">
      <formula>"PMS"</formula>
    </cfRule>
    <cfRule type="containsText" dxfId="9293" priority="86" operator="containsText" text="CMS">
      <formula>NOT(ISERROR(SEARCH("CMS",O58)))</formula>
    </cfRule>
    <cfRule type="cellIs" dxfId="9292" priority="87" operator="equal">
      <formula>0</formula>
    </cfRule>
    <cfRule type="cellIs" dxfId="9291" priority="88" operator="greaterThan">
      <formula>0</formula>
    </cfRule>
  </conditionalFormatting>
  <conditionalFormatting sqref="O58">
    <cfRule type="cellIs" dxfId="9290" priority="81" operator="equal">
      <formula>"PMS"</formula>
    </cfRule>
    <cfRule type="containsText" dxfId="9289" priority="82" operator="containsText" text="CMS">
      <formula>NOT(ISERROR(SEARCH("CMS",O58)))</formula>
    </cfRule>
    <cfRule type="cellIs" dxfId="9288" priority="83" operator="equal">
      <formula>0</formula>
    </cfRule>
    <cfRule type="cellIs" dxfId="9287" priority="84" operator="greaterThan">
      <formula>0</formula>
    </cfRule>
  </conditionalFormatting>
  <conditionalFormatting sqref="O58">
    <cfRule type="cellIs" dxfId="9286" priority="77" operator="equal">
      <formula>"PMS"</formula>
    </cfRule>
    <cfRule type="containsText" dxfId="9285" priority="78" operator="containsText" text="CMS">
      <formula>NOT(ISERROR(SEARCH("CMS",O58)))</formula>
    </cfRule>
    <cfRule type="cellIs" dxfId="9284" priority="79" operator="equal">
      <formula>0</formula>
    </cfRule>
    <cfRule type="cellIs" dxfId="9283" priority="80" operator="greaterThan">
      <formula>0</formula>
    </cfRule>
  </conditionalFormatting>
  <conditionalFormatting sqref="O58">
    <cfRule type="cellIs" dxfId="9282" priority="73" operator="equal">
      <formula>"PMS"</formula>
    </cfRule>
    <cfRule type="containsText" dxfId="9281" priority="74" operator="containsText" text="CMS">
      <formula>NOT(ISERROR(SEARCH("CMS",O58)))</formula>
    </cfRule>
    <cfRule type="cellIs" dxfId="9280" priority="75" operator="equal">
      <formula>0</formula>
    </cfRule>
    <cfRule type="cellIs" dxfId="9279" priority="76" operator="greaterThan">
      <formula>0</formula>
    </cfRule>
  </conditionalFormatting>
  <conditionalFormatting sqref="O58">
    <cfRule type="cellIs" dxfId="9278" priority="69" operator="equal">
      <formula>"PMS"</formula>
    </cfRule>
    <cfRule type="containsText" dxfId="9277" priority="70" operator="containsText" text="CMS">
      <formula>NOT(ISERROR(SEARCH("CMS",O58)))</formula>
    </cfRule>
    <cfRule type="cellIs" dxfId="9276" priority="71" operator="equal">
      <formula>0</formula>
    </cfRule>
    <cfRule type="cellIs" dxfId="9275" priority="72" operator="greaterThan">
      <formula>0</formula>
    </cfRule>
  </conditionalFormatting>
  <conditionalFormatting sqref="O58">
    <cfRule type="cellIs" dxfId="9274" priority="65" operator="equal">
      <formula>"PMS"</formula>
    </cfRule>
    <cfRule type="containsText" dxfId="9273" priority="66" operator="containsText" text="CMS">
      <formula>NOT(ISERROR(SEARCH("CMS",O58)))</formula>
    </cfRule>
    <cfRule type="cellIs" dxfId="9272" priority="67" operator="equal">
      <formula>0</formula>
    </cfRule>
    <cfRule type="cellIs" dxfId="9271" priority="68" operator="greaterThan">
      <formula>0</formula>
    </cfRule>
  </conditionalFormatting>
  <conditionalFormatting sqref="O58">
    <cfRule type="cellIs" dxfId="9270" priority="61" operator="equal">
      <formula>"PMS"</formula>
    </cfRule>
    <cfRule type="containsText" dxfId="9269" priority="62" operator="containsText" text="CMS">
      <formula>NOT(ISERROR(SEARCH("CMS",O58)))</formula>
    </cfRule>
    <cfRule type="cellIs" dxfId="9268" priority="63" operator="equal">
      <formula>0</formula>
    </cfRule>
    <cfRule type="cellIs" dxfId="9267" priority="64" operator="greaterThan">
      <formula>0</formula>
    </cfRule>
  </conditionalFormatting>
  <conditionalFormatting sqref="O58">
    <cfRule type="cellIs" dxfId="9266" priority="57" operator="equal">
      <formula>"PMS"</formula>
    </cfRule>
    <cfRule type="containsText" dxfId="9265" priority="58" operator="containsText" text="CMS">
      <formula>NOT(ISERROR(SEARCH("CMS",O58)))</formula>
    </cfRule>
    <cfRule type="cellIs" dxfId="9264" priority="59" operator="equal">
      <formula>0</formula>
    </cfRule>
    <cfRule type="cellIs" dxfId="9263" priority="60" operator="greaterThan">
      <formula>0</formula>
    </cfRule>
  </conditionalFormatting>
  <conditionalFormatting sqref="O58">
    <cfRule type="cellIs" dxfId="9262" priority="53" operator="equal">
      <formula>"PMS"</formula>
    </cfRule>
    <cfRule type="containsText" dxfId="9261" priority="54" operator="containsText" text="CMS">
      <formula>NOT(ISERROR(SEARCH("CMS",O58)))</formula>
    </cfRule>
    <cfRule type="cellIs" dxfId="9260" priority="55" operator="equal">
      <formula>0</formula>
    </cfRule>
    <cfRule type="cellIs" dxfId="9259" priority="56" operator="greaterThan">
      <formula>0</formula>
    </cfRule>
  </conditionalFormatting>
  <conditionalFormatting sqref="O58">
    <cfRule type="cellIs" dxfId="9258" priority="49" operator="equal">
      <formula>"PMS"</formula>
    </cfRule>
    <cfRule type="containsText" dxfId="9257" priority="50" operator="containsText" text="CMS">
      <formula>NOT(ISERROR(SEARCH("CMS",O58)))</formula>
    </cfRule>
    <cfRule type="cellIs" dxfId="9256" priority="51" operator="equal">
      <formula>0</formula>
    </cfRule>
    <cfRule type="cellIs" dxfId="9255" priority="52" operator="greaterThan">
      <formula>0</formula>
    </cfRule>
  </conditionalFormatting>
  <conditionalFormatting sqref="O58">
    <cfRule type="cellIs" dxfId="9254" priority="45" operator="equal">
      <formula>"PMS"</formula>
    </cfRule>
    <cfRule type="containsText" dxfId="9253" priority="46" operator="containsText" text="CMS">
      <formula>NOT(ISERROR(SEARCH("CMS",O58)))</formula>
    </cfRule>
    <cfRule type="cellIs" dxfId="9252" priority="47" operator="equal">
      <formula>0</formula>
    </cfRule>
    <cfRule type="cellIs" dxfId="9251" priority="48" operator="greaterThan">
      <formula>0</formula>
    </cfRule>
  </conditionalFormatting>
  <conditionalFormatting sqref="O58">
    <cfRule type="cellIs" dxfId="9250" priority="41" operator="equal">
      <formula>"PMS"</formula>
    </cfRule>
    <cfRule type="containsText" dxfId="9249" priority="42" operator="containsText" text="CMS">
      <formula>NOT(ISERROR(SEARCH("CMS",O58)))</formula>
    </cfRule>
    <cfRule type="cellIs" dxfId="9248" priority="43" operator="equal">
      <formula>0</formula>
    </cfRule>
    <cfRule type="cellIs" dxfId="9247" priority="44" operator="greaterThan">
      <formula>0</formula>
    </cfRule>
  </conditionalFormatting>
  <conditionalFormatting sqref="O58">
    <cfRule type="cellIs" dxfId="9246" priority="37" operator="equal">
      <formula>"PMS"</formula>
    </cfRule>
    <cfRule type="containsText" dxfId="9245" priority="38" operator="containsText" text="CMS">
      <formula>NOT(ISERROR(SEARCH("CMS",O58)))</formula>
    </cfRule>
    <cfRule type="cellIs" dxfId="9244" priority="39" operator="equal">
      <formula>0</formula>
    </cfRule>
    <cfRule type="cellIs" dxfId="9243" priority="40" operator="greaterThan">
      <formula>0</formula>
    </cfRule>
  </conditionalFormatting>
  <conditionalFormatting sqref="O58">
    <cfRule type="cellIs" dxfId="9242" priority="33" operator="equal">
      <formula>"PMS"</formula>
    </cfRule>
    <cfRule type="containsText" dxfId="9241" priority="34" operator="containsText" text="CMS">
      <formula>NOT(ISERROR(SEARCH("CMS",O58)))</formula>
    </cfRule>
    <cfRule type="cellIs" dxfId="9240" priority="35" operator="equal">
      <formula>0</formula>
    </cfRule>
    <cfRule type="cellIs" dxfId="9239" priority="36" operator="greaterThan">
      <formula>0</formula>
    </cfRule>
  </conditionalFormatting>
  <conditionalFormatting sqref="O58">
    <cfRule type="cellIs" dxfId="9238" priority="29" operator="equal">
      <formula>"PMS"</formula>
    </cfRule>
    <cfRule type="containsText" dxfId="9237" priority="30" operator="containsText" text="CMS">
      <formula>NOT(ISERROR(SEARCH("CMS",O58)))</formula>
    </cfRule>
    <cfRule type="cellIs" dxfId="9236" priority="31" operator="equal">
      <formula>0</formula>
    </cfRule>
    <cfRule type="cellIs" dxfId="9235" priority="32" operator="greaterThan">
      <formula>0</formula>
    </cfRule>
  </conditionalFormatting>
  <conditionalFormatting sqref="O58">
    <cfRule type="cellIs" dxfId="9234" priority="25" operator="equal">
      <formula>"PMS"</formula>
    </cfRule>
    <cfRule type="containsText" dxfId="9233" priority="26" operator="containsText" text="CMS">
      <formula>NOT(ISERROR(SEARCH("CMS",O58)))</formula>
    </cfRule>
    <cfRule type="cellIs" dxfId="9232" priority="27" operator="equal">
      <formula>0</formula>
    </cfRule>
    <cfRule type="cellIs" dxfId="9231" priority="28" operator="greaterThan">
      <formula>0</formula>
    </cfRule>
  </conditionalFormatting>
  <conditionalFormatting sqref="O58">
    <cfRule type="cellIs" dxfId="9230" priority="21" operator="equal">
      <formula>"PMS"</formula>
    </cfRule>
    <cfRule type="containsText" dxfId="9229" priority="22" operator="containsText" text="CMS">
      <formula>NOT(ISERROR(SEARCH("CMS",O58)))</formula>
    </cfRule>
    <cfRule type="cellIs" dxfId="9228" priority="23" operator="equal">
      <formula>0</formula>
    </cfRule>
    <cfRule type="cellIs" dxfId="9227" priority="24" operator="greaterThan">
      <formula>0</formula>
    </cfRule>
  </conditionalFormatting>
  <conditionalFormatting sqref="O58">
    <cfRule type="cellIs" dxfId="9226" priority="17" operator="equal">
      <formula>"PMS"</formula>
    </cfRule>
    <cfRule type="containsText" dxfId="9225" priority="18" operator="containsText" text="CMS">
      <formula>NOT(ISERROR(SEARCH("CMS",O58)))</formula>
    </cfRule>
    <cfRule type="cellIs" dxfId="9224" priority="19" operator="equal">
      <formula>0</formula>
    </cfRule>
    <cfRule type="cellIs" dxfId="9223" priority="20" operator="greaterThan">
      <formula>0</formula>
    </cfRule>
  </conditionalFormatting>
  <conditionalFormatting sqref="O58">
    <cfRule type="cellIs" dxfId="9222" priority="13" operator="equal">
      <formula>"PMS"</formula>
    </cfRule>
    <cfRule type="containsText" dxfId="9221" priority="14" operator="containsText" text="CMS">
      <formula>NOT(ISERROR(SEARCH("CMS",O58)))</formula>
    </cfRule>
    <cfRule type="cellIs" dxfId="9220" priority="15" operator="equal">
      <formula>0</formula>
    </cfRule>
    <cfRule type="cellIs" dxfId="9219" priority="16" operator="greaterThan">
      <formula>0</formula>
    </cfRule>
  </conditionalFormatting>
  <conditionalFormatting sqref="O58">
    <cfRule type="cellIs" dxfId="9218" priority="9" operator="equal">
      <formula>"PMS"</formula>
    </cfRule>
    <cfRule type="containsText" dxfId="9217" priority="10" operator="containsText" text="CMS">
      <formula>NOT(ISERROR(SEARCH("CMS",O58)))</formula>
    </cfRule>
    <cfRule type="cellIs" dxfId="9216" priority="11" operator="equal">
      <formula>0</formula>
    </cfRule>
    <cfRule type="cellIs" dxfId="9215" priority="12" operator="greaterThan">
      <formula>0</formula>
    </cfRule>
  </conditionalFormatting>
  <conditionalFormatting sqref="O58">
    <cfRule type="cellIs" dxfId="9214" priority="5" operator="equal">
      <formula>"PMS"</formula>
    </cfRule>
    <cfRule type="containsText" dxfId="9213" priority="6" operator="containsText" text="CMS">
      <formula>NOT(ISERROR(SEARCH("CMS",O58)))</formula>
    </cfRule>
    <cfRule type="cellIs" dxfId="9212" priority="7" operator="equal">
      <formula>0</formula>
    </cfRule>
    <cfRule type="cellIs" dxfId="9211" priority="8" operator="greaterThan">
      <formula>0</formula>
    </cfRule>
  </conditionalFormatting>
  <conditionalFormatting sqref="O58">
    <cfRule type="cellIs" dxfId="9210" priority="1" operator="equal">
      <formula>"PMS"</formula>
    </cfRule>
    <cfRule type="containsText" dxfId="9209" priority="2" operator="containsText" text="CMS">
      <formula>NOT(ISERROR(SEARCH("CMS",O58)))</formula>
    </cfRule>
    <cfRule type="cellIs" dxfId="9208" priority="3" operator="equal">
      <formula>0</formula>
    </cfRule>
    <cfRule type="cellIs" dxfId="920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67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79D70-6F5C-40AB-B9A6-707C97DFDBF1}">
  <sheetPr codeName="Sheet118"/>
  <dimension ref="A2:DT137"/>
  <sheetViews>
    <sheetView tabSelected="1" zoomScale="70" zoomScaleNormal="70" zoomScaleSheetLayoutView="51" zoomScalePageLayoutView="55" workbookViewId="0">
      <pane xSplit="5" ySplit="11" topLeftCell="F80" activePane="bottomRight" state="frozen"/>
      <selection activeCell="AC106" sqref="AC106"/>
      <selection pane="topRight" activeCell="AC106" sqref="AC106"/>
      <selection pane="bottomLeft" activeCell="AC106" sqref="AC106"/>
      <selection pane="bottomRight" activeCell="Y109" sqref="Y10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02"/>
      <c r="N8" s="402"/>
      <c r="O8" s="40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03" t="str" cm="1">
        <f t="array" aca="1" ref="M9" ca="1">TEXT(TODAY(),"mmmm")&amp;" "&amp;MID(CELL("filename",A1),FIND("]",CELL("filename",A1))+1,255)&amp;", "&amp;TEXT(TODAY(),"yyyy")</f>
        <v>February 20, 2025</v>
      </c>
      <c r="N9" s="403"/>
      <c r="O9" s="40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342.4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>
        <v>1.5</v>
      </c>
      <c r="P13" s="219">
        <v>6.9</v>
      </c>
      <c r="Q13" s="71">
        <v>6.3</v>
      </c>
      <c r="R13" s="71">
        <v>6</v>
      </c>
      <c r="S13" s="71">
        <v>6.7</v>
      </c>
      <c r="T13" s="71">
        <v>3.7</v>
      </c>
      <c r="U13" s="71">
        <v>7</v>
      </c>
      <c r="V13" s="71">
        <v>6.5</v>
      </c>
      <c r="W13" s="71">
        <v>6.3</v>
      </c>
      <c r="X13" s="71">
        <v>6.9</v>
      </c>
      <c r="Y13" s="71">
        <v>6.7</v>
      </c>
      <c r="Z13" s="71">
        <v>6.8</v>
      </c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12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>
        <v>1.5</v>
      </c>
      <c r="K14" s="71"/>
      <c r="L14" s="71"/>
      <c r="M14" s="10" t="s">
        <v>7</v>
      </c>
      <c r="N14" s="10" t="s">
        <v>7</v>
      </c>
      <c r="O14" s="10" t="s">
        <v>7</v>
      </c>
      <c r="P14" s="10" t="s">
        <v>7</v>
      </c>
      <c r="Q14" s="10" t="s">
        <v>7</v>
      </c>
      <c r="R14" s="10">
        <v>2</v>
      </c>
      <c r="S14" s="10" t="s">
        <v>7</v>
      </c>
      <c r="T14" s="10" t="s">
        <v>7</v>
      </c>
      <c r="U14" s="10" t="s">
        <v>7</v>
      </c>
      <c r="V14" s="10" t="s">
        <v>7</v>
      </c>
      <c r="W14" s="10" t="s">
        <v>7</v>
      </c>
      <c r="X14" s="10" t="s">
        <v>7</v>
      </c>
      <c r="Y14" s="10" t="s">
        <v>7</v>
      </c>
      <c r="Z14" s="10" t="s">
        <v>7</v>
      </c>
      <c r="AA14" s="10" t="s">
        <v>7</v>
      </c>
      <c r="AB14" s="10" t="s">
        <v>7</v>
      </c>
      <c r="AC14" s="10" t="s">
        <v>7</v>
      </c>
      <c r="AD14" s="41"/>
      <c r="AE14" s="41"/>
      <c r="AF14" s="11">
        <f>COUNTIF(F14:AC14,$AJ$8)</f>
        <v>0</v>
      </c>
      <c r="AG14" s="11">
        <f>COUNTIF(F14:AD14,$AJ$7)</f>
        <v>16</v>
      </c>
      <c r="AH14" s="11">
        <f>COUNT(F14:AC14)</f>
        <v>2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6.6</v>
      </c>
      <c r="H15" s="71">
        <v>6.5</v>
      </c>
      <c r="I15" s="71">
        <v>6.6</v>
      </c>
      <c r="J15" s="71">
        <v>5.9</v>
      </c>
      <c r="K15" s="71">
        <v>6.5</v>
      </c>
      <c r="L15" s="71">
        <v>6.7</v>
      </c>
      <c r="M15" s="71">
        <v>6.7</v>
      </c>
      <c r="N15" s="71">
        <v>6.6</v>
      </c>
      <c r="O15" s="219">
        <v>6.6</v>
      </c>
      <c r="P15" s="219">
        <v>6.8</v>
      </c>
      <c r="Q15" s="71">
        <v>6.3</v>
      </c>
      <c r="R15" s="71">
        <v>6</v>
      </c>
      <c r="S15" s="71">
        <v>6.7</v>
      </c>
      <c r="T15" s="71">
        <v>2.8</v>
      </c>
      <c r="U15" s="71">
        <v>7</v>
      </c>
      <c r="V15" s="71">
        <v>6.4</v>
      </c>
      <c r="W15" s="71">
        <v>6.3</v>
      </c>
      <c r="X15" s="71">
        <v>6.8</v>
      </c>
      <c r="Y15" s="71">
        <v>6.7</v>
      </c>
      <c r="Z15" s="71">
        <v>6.8</v>
      </c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6.5</v>
      </c>
      <c r="I16" s="71">
        <v>6.6</v>
      </c>
      <c r="J16" s="71">
        <v>5.9</v>
      </c>
      <c r="K16" s="71">
        <v>6.5</v>
      </c>
      <c r="L16" s="71">
        <v>6.7</v>
      </c>
      <c r="M16" s="71">
        <v>6.7</v>
      </c>
      <c r="N16" s="71">
        <v>6.6</v>
      </c>
      <c r="O16" s="71">
        <v>6.6</v>
      </c>
      <c r="P16" s="219">
        <v>6.4</v>
      </c>
      <c r="Q16" s="71">
        <v>6.3</v>
      </c>
      <c r="R16" s="71">
        <v>6</v>
      </c>
      <c r="S16" s="71">
        <v>6.7</v>
      </c>
      <c r="T16" s="71">
        <v>2.7</v>
      </c>
      <c r="U16" s="71">
        <v>7</v>
      </c>
      <c r="V16" s="71">
        <v>6.5</v>
      </c>
      <c r="W16" s="71">
        <v>6.4</v>
      </c>
      <c r="X16" s="71">
        <v>6.9</v>
      </c>
      <c r="Y16" s="71">
        <v>6.7</v>
      </c>
      <c r="Z16" s="71">
        <v>6.8</v>
      </c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13</v>
      </c>
      <c r="I17" s="19">
        <f t="shared" si="0"/>
        <v>13.2</v>
      </c>
      <c r="J17" s="19">
        <f t="shared" si="0"/>
        <v>13.3</v>
      </c>
      <c r="K17" s="19">
        <f t="shared" si="0"/>
        <v>13</v>
      </c>
      <c r="L17" s="19">
        <f t="shared" si="0"/>
        <v>13.4</v>
      </c>
      <c r="M17" s="19">
        <f t="shared" si="0"/>
        <v>13.4</v>
      </c>
      <c r="N17" s="19">
        <f t="shared" si="0"/>
        <v>13.2</v>
      </c>
      <c r="O17" s="19">
        <f t="shared" si="0"/>
        <v>14.7</v>
      </c>
      <c r="P17" s="19">
        <f t="shared" si="0"/>
        <v>20.100000000000001</v>
      </c>
      <c r="Q17" s="19">
        <f t="shared" si="0"/>
        <v>18.899999999999999</v>
      </c>
      <c r="R17" s="19">
        <f t="shared" si="0"/>
        <v>20</v>
      </c>
      <c r="S17" s="19">
        <f t="shared" si="0"/>
        <v>20.100000000000001</v>
      </c>
      <c r="T17" s="19">
        <f t="shared" si="0"/>
        <v>9.1999999999999993</v>
      </c>
      <c r="U17" s="19">
        <f t="shared" si="0"/>
        <v>21</v>
      </c>
      <c r="V17" s="19">
        <f t="shared" si="0"/>
        <v>19.399999999999999</v>
      </c>
      <c r="W17" s="19">
        <f t="shared" si="0"/>
        <v>19</v>
      </c>
      <c r="X17" s="19">
        <f t="shared" si="0"/>
        <v>20.6</v>
      </c>
      <c r="Y17" s="19">
        <f t="shared" si="0"/>
        <v>20.100000000000001</v>
      </c>
      <c r="Z17" s="19">
        <f t="shared" si="0"/>
        <v>20.399999999999999</v>
      </c>
      <c r="AA17" s="19">
        <f t="shared" si="0"/>
        <v>0</v>
      </c>
      <c r="AB17" s="19">
        <f t="shared" si="0"/>
        <v>0</v>
      </c>
      <c r="AC17" s="19">
        <f t="shared" si="0"/>
        <v>0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28.1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/>
      <c r="AB19" s="71"/>
      <c r="AC19" s="71"/>
      <c r="AD19" s="41"/>
      <c r="AE19" s="41"/>
      <c r="AF19" s="11">
        <f>COUNTIF(F19:AC19,$AJ$8)</f>
        <v>21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2.8</v>
      </c>
      <c r="I21" s="71">
        <v>3</v>
      </c>
      <c r="J21" s="71">
        <v>3.1</v>
      </c>
      <c r="K21" s="71">
        <v>2.7</v>
      </c>
      <c r="L21" s="71">
        <v>3.3</v>
      </c>
      <c r="M21" s="71">
        <v>3.3</v>
      </c>
      <c r="N21" s="71">
        <v>3.3</v>
      </c>
      <c r="O21" s="71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/>
      <c r="AB21" s="71"/>
      <c r="AC21" s="71"/>
      <c r="AD21" s="41"/>
      <c r="AE21" s="41"/>
      <c r="AF21" s="11">
        <f>COUNTIF(F21:AC21,$AJ$8)</f>
        <v>12</v>
      </c>
      <c r="AG21" s="11">
        <f>COUNTIF(G21:AD21,$AJ$7)</f>
        <v>0</v>
      </c>
      <c r="AH21" s="11">
        <f>COUNT(F21:AC21)</f>
        <v>9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2.8</v>
      </c>
      <c r="I22" s="19">
        <f t="shared" si="1"/>
        <v>3</v>
      </c>
      <c r="J22" s="19">
        <f t="shared" si="1"/>
        <v>3.1</v>
      </c>
      <c r="K22" s="19">
        <f t="shared" si="1"/>
        <v>2.7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35.700000000000003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1.7</v>
      </c>
      <c r="O24" s="219" t="s">
        <v>9</v>
      </c>
      <c r="P24" s="219" t="s">
        <v>9</v>
      </c>
      <c r="Q24" s="71" t="s">
        <v>9</v>
      </c>
      <c r="R24" s="71">
        <v>3.5</v>
      </c>
      <c r="S24" s="71">
        <v>3.8</v>
      </c>
      <c r="T24" s="71">
        <v>3.8</v>
      </c>
      <c r="U24" s="71">
        <v>3.8</v>
      </c>
      <c r="V24" s="71">
        <v>3.7</v>
      </c>
      <c r="W24" s="71">
        <v>3.7</v>
      </c>
      <c r="X24" s="71">
        <v>3.7</v>
      </c>
      <c r="Y24" s="71">
        <v>4</v>
      </c>
      <c r="Z24" s="71">
        <v>4</v>
      </c>
      <c r="AA24" s="71"/>
      <c r="AB24" s="71"/>
      <c r="AC24" s="71"/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1.7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3.5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3.7</v>
      </c>
      <c r="W25" s="19">
        <f t="shared" si="3"/>
        <v>3.7</v>
      </c>
      <c r="X25" s="19">
        <f t="shared" si="3"/>
        <v>3.7</v>
      </c>
      <c r="Y25" s="19">
        <f t="shared" si="3"/>
        <v>4</v>
      </c>
      <c r="Z25" s="19">
        <f t="shared" si="3"/>
        <v>4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122.5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2.5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2</v>
      </c>
      <c r="N27" s="71">
        <v>3.8</v>
      </c>
      <c r="O27" s="71">
        <v>3.7</v>
      </c>
      <c r="P27" s="71">
        <v>3.9</v>
      </c>
      <c r="Q27" s="71">
        <v>3.9</v>
      </c>
      <c r="R27" s="71">
        <v>3.5</v>
      </c>
      <c r="S27" s="71">
        <v>3.7</v>
      </c>
      <c r="T27" s="71">
        <v>3.4</v>
      </c>
      <c r="U27" s="71">
        <v>3.8</v>
      </c>
      <c r="V27" s="71">
        <v>4</v>
      </c>
      <c r="W27" s="71">
        <v>3.7</v>
      </c>
      <c r="X27" s="71">
        <v>3.9</v>
      </c>
      <c r="Y27" s="71">
        <v>3.8</v>
      </c>
      <c r="Z27" s="71">
        <v>4.0999999999999996</v>
      </c>
      <c r="AA27" s="71"/>
      <c r="AB27" s="71"/>
      <c r="AC27" s="71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3.4</v>
      </c>
      <c r="G28" s="71">
        <v>3.8</v>
      </c>
      <c r="H28" s="71">
        <v>2.8</v>
      </c>
      <c r="I28" s="71"/>
      <c r="J28" s="71"/>
      <c r="K28" s="71">
        <v>3</v>
      </c>
      <c r="L28" s="71">
        <v>3.6</v>
      </c>
      <c r="M28" s="71">
        <v>3</v>
      </c>
      <c r="N28" s="71">
        <v>3.8</v>
      </c>
      <c r="O28" s="219">
        <v>3.7</v>
      </c>
      <c r="P28" s="71">
        <v>3.9</v>
      </c>
      <c r="Q28" s="71">
        <v>3.9</v>
      </c>
      <c r="R28" s="71">
        <v>3.5</v>
      </c>
      <c r="S28" s="71">
        <v>3.7</v>
      </c>
      <c r="T28" s="71">
        <v>3.4</v>
      </c>
      <c r="U28" s="71">
        <v>3.8</v>
      </c>
      <c r="V28" s="71">
        <v>4</v>
      </c>
      <c r="W28" s="71">
        <v>3.7</v>
      </c>
      <c r="X28" s="71">
        <v>3.9</v>
      </c>
      <c r="Y28" s="71">
        <v>3.8</v>
      </c>
      <c r="Z28" s="71">
        <v>4.0999999999999996</v>
      </c>
      <c r="AA28" s="71"/>
      <c r="AB28" s="71"/>
      <c r="AC28" s="71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</row>
    <row r="29" spans="1:51" ht="18" x14ac:dyDescent="0.25">
      <c r="A29" s="14" t="s">
        <v>1355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5.9</v>
      </c>
      <c r="G30" s="19">
        <f t="shared" si="4"/>
        <v>3.8</v>
      </c>
      <c r="H30" s="19">
        <f t="shared" si="4"/>
        <v>2.8</v>
      </c>
      <c r="I30" s="19">
        <f t="shared" si="4"/>
        <v>0</v>
      </c>
      <c r="J30" s="19">
        <f t="shared" si="4"/>
        <v>0</v>
      </c>
      <c r="K30" s="19">
        <f t="shared" si="4"/>
        <v>3</v>
      </c>
      <c r="L30" s="19">
        <f t="shared" si="4"/>
        <v>3.6</v>
      </c>
      <c r="M30" s="19">
        <f t="shared" si="4"/>
        <v>5</v>
      </c>
      <c r="N30" s="19">
        <f t="shared" si="4"/>
        <v>7.6</v>
      </c>
      <c r="O30" s="19">
        <f t="shared" si="4"/>
        <v>7.4</v>
      </c>
      <c r="P30" s="19">
        <f t="shared" si="4"/>
        <v>7.8</v>
      </c>
      <c r="Q30" s="19">
        <f t="shared" si="4"/>
        <v>7.8</v>
      </c>
      <c r="R30" s="19">
        <f t="shared" si="4"/>
        <v>7</v>
      </c>
      <c r="S30" s="19">
        <f t="shared" si="4"/>
        <v>7.4</v>
      </c>
      <c r="T30" s="19">
        <f t="shared" si="4"/>
        <v>6.8</v>
      </c>
      <c r="U30" s="19">
        <f t="shared" si="4"/>
        <v>7.6</v>
      </c>
      <c r="V30" s="19">
        <f t="shared" si="4"/>
        <v>8</v>
      </c>
      <c r="W30" s="19">
        <f t="shared" si="4"/>
        <v>7.4</v>
      </c>
      <c r="X30" s="19">
        <f t="shared" si="4"/>
        <v>7.8</v>
      </c>
      <c r="Y30" s="19">
        <f t="shared" si="4"/>
        <v>7.6</v>
      </c>
      <c r="Z30" s="19">
        <f t="shared" si="4"/>
        <v>8.1999999999999993</v>
      </c>
      <c r="AA30" s="19">
        <f t="shared" si="4"/>
        <v>0</v>
      </c>
      <c r="AB30" s="19">
        <f t="shared" si="4"/>
        <v>0</v>
      </c>
      <c r="AC30" s="19">
        <f t="shared" si="4"/>
        <v>0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257.69000000000005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12.81</v>
      </c>
      <c r="G32" s="71">
        <v>12.83</v>
      </c>
      <c r="H32" s="71">
        <v>12.84</v>
      </c>
      <c r="I32" s="71">
        <v>14.3</v>
      </c>
      <c r="J32" s="71">
        <v>14.33</v>
      </c>
      <c r="K32" s="71">
        <v>13.31</v>
      </c>
      <c r="L32" s="71">
        <v>14.37</v>
      </c>
      <c r="M32" s="71">
        <v>13.39</v>
      </c>
      <c r="N32" s="71">
        <v>14.36</v>
      </c>
      <c r="O32" s="71">
        <v>14.32</v>
      </c>
      <c r="P32" s="71">
        <v>14.31</v>
      </c>
      <c r="Q32" s="71">
        <v>14.28</v>
      </c>
      <c r="R32" s="71">
        <v>14.33</v>
      </c>
      <c r="S32" s="71">
        <v>14.24</v>
      </c>
      <c r="T32" s="71" t="s">
        <v>9</v>
      </c>
      <c r="U32" s="71" t="s">
        <v>9</v>
      </c>
      <c r="V32" s="71">
        <v>7.49</v>
      </c>
      <c r="W32" s="71">
        <v>13.83</v>
      </c>
      <c r="X32" s="71">
        <v>13.81</v>
      </c>
      <c r="Y32" s="71">
        <v>14.17</v>
      </c>
      <c r="Z32" s="71">
        <v>14.37</v>
      </c>
      <c r="AA32" s="71"/>
      <c r="AB32" s="71"/>
      <c r="AC32" s="71"/>
      <c r="AD32" s="41"/>
      <c r="AE32" s="41"/>
      <c r="AF32" s="11">
        <f>COUNTIF(F32:AC32,$AF$11)</f>
        <v>2</v>
      </c>
      <c r="AG32" s="11">
        <f>COUNTIF(G32:AC32,$AG$11)</f>
        <v>0</v>
      </c>
      <c r="AH32" s="11">
        <f>COUNT(F32:AC32)</f>
        <v>19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12.81</v>
      </c>
      <c r="G33" s="19">
        <f t="shared" si="5"/>
        <v>12.83</v>
      </c>
      <c r="H33" s="19">
        <f t="shared" si="5"/>
        <v>12.84</v>
      </c>
      <c r="I33" s="19">
        <f t="shared" si="5"/>
        <v>14.3</v>
      </c>
      <c r="J33" s="19">
        <f t="shared" si="5"/>
        <v>14.33</v>
      </c>
      <c r="K33" s="19">
        <f t="shared" si="5"/>
        <v>13.31</v>
      </c>
      <c r="L33" s="19">
        <f t="shared" si="5"/>
        <v>14.37</v>
      </c>
      <c r="M33" s="19">
        <f t="shared" si="5"/>
        <v>13.39</v>
      </c>
      <c r="N33" s="19">
        <f t="shared" si="5"/>
        <v>14.36</v>
      </c>
      <c r="O33" s="19">
        <f t="shared" si="5"/>
        <v>14.32</v>
      </c>
      <c r="P33" s="19">
        <f t="shared" si="5"/>
        <v>14.31</v>
      </c>
      <c r="Q33" s="19">
        <f t="shared" si="5"/>
        <v>14.28</v>
      </c>
      <c r="R33" s="19">
        <f t="shared" si="5"/>
        <v>14.33</v>
      </c>
      <c r="S33" s="19">
        <f t="shared" si="5"/>
        <v>14.24</v>
      </c>
      <c r="T33" s="19">
        <f t="shared" si="5"/>
        <v>0</v>
      </c>
      <c r="U33" s="19">
        <f t="shared" si="5"/>
        <v>0</v>
      </c>
      <c r="V33" s="19">
        <f t="shared" si="5"/>
        <v>7.49</v>
      </c>
      <c r="W33" s="19">
        <f t="shared" si="5"/>
        <v>13.83</v>
      </c>
      <c r="X33" s="19">
        <f t="shared" si="5"/>
        <v>13.81</v>
      </c>
      <c r="Y33" s="19">
        <f t="shared" si="5"/>
        <v>14.17</v>
      </c>
      <c r="Z33" s="19">
        <f t="shared" si="5"/>
        <v>14.37</v>
      </c>
      <c r="AA33" s="19">
        <f t="shared" si="5"/>
        <v>0</v>
      </c>
      <c r="AB33" s="19">
        <f t="shared" si="5"/>
        <v>0</v>
      </c>
      <c r="AC33" s="19">
        <f t="shared" si="5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65.5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 t="s">
        <v>9</v>
      </c>
      <c r="V39" s="71" t="s">
        <v>9</v>
      </c>
      <c r="W39" s="71" t="s">
        <v>9</v>
      </c>
      <c r="X39" s="71" t="s">
        <v>9</v>
      </c>
      <c r="Y39" s="71" t="s">
        <v>9</v>
      </c>
      <c r="Z39" s="71" t="s">
        <v>9</v>
      </c>
      <c r="AA39" s="71"/>
      <c r="AB39" s="71"/>
      <c r="AC39" s="71"/>
      <c r="AD39" s="41"/>
      <c r="AE39" s="41"/>
      <c r="AF39" s="11">
        <f t="shared" si="6"/>
        <v>6</v>
      </c>
      <c r="AG39" s="11">
        <f t="shared" si="7"/>
        <v>0</v>
      </c>
      <c r="AH39" s="11">
        <f t="shared" si="8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>
        <v>0.95</v>
      </c>
      <c r="V40" s="71">
        <v>0.95</v>
      </c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2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/>
      <c r="AB41" s="71"/>
      <c r="AC41" s="71"/>
      <c r="AD41" s="41"/>
      <c r="AE41" s="41"/>
      <c r="AF41" s="11">
        <f t="shared" si="6"/>
        <v>6</v>
      </c>
      <c r="AG41" s="11">
        <f t="shared" si="7"/>
        <v>0</v>
      </c>
      <c r="AH41" s="11">
        <f t="shared" si="8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>
        <v>0.95</v>
      </c>
      <c r="V43" s="71">
        <v>0.95</v>
      </c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2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>
        <f>8/10</f>
        <v>0.8</v>
      </c>
      <c r="P44" s="71"/>
      <c r="Q44" s="71"/>
      <c r="R44" s="71"/>
      <c r="S44" s="71"/>
      <c r="T44" s="71">
        <v>0.78</v>
      </c>
      <c r="U44" s="71">
        <f>10.7/13</f>
        <v>0.82307692307692304</v>
      </c>
      <c r="V44" s="71"/>
      <c r="W44" s="71"/>
      <c r="X44" s="71"/>
      <c r="Y44" s="71">
        <v>0.8</v>
      </c>
      <c r="Z44" s="71">
        <v>0.8</v>
      </c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5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>
        <f t="shared" ref="O45:O46" si="9">8/10</f>
        <v>0.8</v>
      </c>
      <c r="P45" s="71">
        <f>6.5/8</f>
        <v>0.8125</v>
      </c>
      <c r="Q45" s="71">
        <v>0.8</v>
      </c>
      <c r="R45" s="71"/>
      <c r="S45" s="71"/>
      <c r="T45" s="71"/>
      <c r="U45" s="71">
        <f t="shared" ref="U45:U49" si="10">10.7/13</f>
        <v>0.82307692307692304</v>
      </c>
      <c r="V45" s="71">
        <f>5.7/7</f>
        <v>0.81428571428571428</v>
      </c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5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>
        <f t="shared" si="9"/>
        <v>0.8</v>
      </c>
      <c r="P46" s="71">
        <f t="shared" ref="P46:P47" si="11">6.5/8</f>
        <v>0.8125</v>
      </c>
      <c r="Q46" s="71">
        <v>0.8</v>
      </c>
      <c r="R46" s="71"/>
      <c r="S46" s="71"/>
      <c r="T46" s="71"/>
      <c r="U46" s="71">
        <f t="shared" si="10"/>
        <v>0.82307692307692304</v>
      </c>
      <c r="V46" s="71">
        <f>5.7/7</f>
        <v>0.81428571428571428</v>
      </c>
      <c r="W46" s="71">
        <v>0.8</v>
      </c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6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/>
      <c r="P47" s="71">
        <f t="shared" si="11"/>
        <v>0.8125</v>
      </c>
      <c r="Q47" s="71">
        <v>0.8</v>
      </c>
      <c r="R47" s="71"/>
      <c r="S47" s="71"/>
      <c r="T47" s="71"/>
      <c r="U47" s="71">
        <f t="shared" si="10"/>
        <v>0.82307692307692304</v>
      </c>
      <c r="V47" s="71">
        <f>5.7/7</f>
        <v>0.81428571428571428</v>
      </c>
      <c r="W47" s="71">
        <v>0.8</v>
      </c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5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>
        <f t="shared" si="10"/>
        <v>0.82307692307692304</v>
      </c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1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>
        <f>8/10</f>
        <v>0.8</v>
      </c>
      <c r="P49" s="71">
        <f>6.5/8</f>
        <v>0.8125</v>
      </c>
      <c r="Q49" s="71">
        <v>0.8</v>
      </c>
      <c r="R49" s="71"/>
      <c r="S49" s="71"/>
      <c r="T49" s="71"/>
      <c r="U49" s="71">
        <f t="shared" si="10"/>
        <v>0.82307692307692304</v>
      </c>
      <c r="V49" s="71">
        <f>5.7/7</f>
        <v>0.81428571428571428</v>
      </c>
      <c r="W49" s="71">
        <v>0.8</v>
      </c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6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19">
        <f t="shared" ref="O52:O56" si="12">8/10</f>
        <v>0.8</v>
      </c>
      <c r="P52" s="71"/>
      <c r="Q52" s="71">
        <v>0.8</v>
      </c>
      <c r="R52" s="71">
        <v>0.78</v>
      </c>
      <c r="S52" s="71">
        <f>3.9/5</f>
        <v>0.78</v>
      </c>
      <c r="T52" s="71">
        <f>3.9/5</f>
        <v>0.78</v>
      </c>
      <c r="U52" s="71">
        <f t="shared" ref="U52:U58" si="13">10.7/13</f>
        <v>0.82307692307692304</v>
      </c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7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>
        <f t="shared" si="12"/>
        <v>0.8</v>
      </c>
      <c r="P53" s="71">
        <f t="shared" ref="P53:P56" si="14">6.5/8</f>
        <v>0.8125</v>
      </c>
      <c r="Q53" s="71">
        <v>0.8</v>
      </c>
      <c r="R53" s="71">
        <v>0.78</v>
      </c>
      <c r="S53" s="71">
        <v>0.78</v>
      </c>
      <c r="T53" s="71"/>
      <c r="U53" s="71">
        <f t="shared" si="13"/>
        <v>0.82307692307692304</v>
      </c>
      <c r="V53" s="71">
        <f t="shared" ref="V53:V55" si="15">5.7/7</f>
        <v>0.81428571428571428</v>
      </c>
      <c r="W53" s="71">
        <v>0.8</v>
      </c>
      <c r="X53" s="71">
        <v>0.75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10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>
        <f t="shared" si="12"/>
        <v>0.8</v>
      </c>
      <c r="P54" s="71">
        <f t="shared" si="14"/>
        <v>0.8125</v>
      </c>
      <c r="Q54" s="71">
        <v>0.8</v>
      </c>
      <c r="R54" s="71">
        <v>0.78</v>
      </c>
      <c r="S54" s="71">
        <v>0.78</v>
      </c>
      <c r="T54" s="71"/>
      <c r="U54" s="71">
        <f t="shared" si="13"/>
        <v>0.82307692307692304</v>
      </c>
      <c r="V54" s="71">
        <f t="shared" si="15"/>
        <v>0.81428571428571428</v>
      </c>
      <c r="W54" s="71">
        <v>0.8</v>
      </c>
      <c r="X54" s="71">
        <v>0.75</v>
      </c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9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>
        <f t="shared" si="12"/>
        <v>0.8</v>
      </c>
      <c r="P55" s="71">
        <f t="shared" si="14"/>
        <v>0.8125</v>
      </c>
      <c r="Q55" s="71">
        <v>0.8</v>
      </c>
      <c r="R55" s="71"/>
      <c r="S55" s="71"/>
      <c r="T55" s="71"/>
      <c r="U55" s="71">
        <f t="shared" si="13"/>
        <v>0.82307692307692304</v>
      </c>
      <c r="V55" s="71">
        <f t="shared" si="15"/>
        <v>0.81428571428571428</v>
      </c>
      <c r="W55" s="71">
        <v>0.8</v>
      </c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6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f t="shared" si="12"/>
        <v>0.8</v>
      </c>
      <c r="P56" s="71">
        <f t="shared" si="14"/>
        <v>0.8125</v>
      </c>
      <c r="Q56" s="71">
        <v>0.8</v>
      </c>
      <c r="R56" s="71"/>
      <c r="S56" s="71"/>
      <c r="T56" s="71">
        <v>0.78</v>
      </c>
      <c r="U56" s="71">
        <f t="shared" si="13"/>
        <v>0.82307692307692304</v>
      </c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5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71"/>
      <c r="Q57" s="71"/>
      <c r="R57" s="71">
        <v>0.78</v>
      </c>
      <c r="S57" s="71">
        <v>0.78</v>
      </c>
      <c r="T57" s="71">
        <v>0.78</v>
      </c>
      <c r="U57" s="71">
        <f t="shared" si="13"/>
        <v>0.82307692307692304</v>
      </c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5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f>8/10</f>
        <v>0.8</v>
      </c>
      <c r="P58" s="71"/>
      <c r="Q58" s="71">
        <v>0.8</v>
      </c>
      <c r="R58" s="71">
        <v>0.78</v>
      </c>
      <c r="S58" s="71">
        <v>0.78</v>
      </c>
      <c r="T58" s="71">
        <v>0.78</v>
      </c>
      <c r="U58" s="71">
        <f t="shared" si="13"/>
        <v>0.82307692307692304</v>
      </c>
      <c r="V58" s="71"/>
      <c r="W58" s="71"/>
      <c r="X58" s="71"/>
      <c r="Y58" s="71">
        <v>0.8</v>
      </c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7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6">SUM(F35:F58)</f>
        <v>0</v>
      </c>
      <c r="G59" s="19">
        <f t="shared" si="16"/>
        <v>0</v>
      </c>
      <c r="H59" s="19">
        <f t="shared" si="16"/>
        <v>0</v>
      </c>
      <c r="I59" s="19">
        <f t="shared" si="16"/>
        <v>0</v>
      </c>
      <c r="J59" s="19">
        <f t="shared" si="16"/>
        <v>0</v>
      </c>
      <c r="K59" s="19">
        <f t="shared" si="16"/>
        <v>0</v>
      </c>
      <c r="L59" s="19">
        <f t="shared" si="16"/>
        <v>0</v>
      </c>
      <c r="M59" s="19">
        <f t="shared" si="16"/>
        <v>0</v>
      </c>
      <c r="N59" s="19">
        <f t="shared" si="16"/>
        <v>0</v>
      </c>
      <c r="O59" s="19">
        <f t="shared" si="16"/>
        <v>7.9999999999999991</v>
      </c>
      <c r="P59" s="19">
        <f t="shared" si="16"/>
        <v>6.5</v>
      </c>
      <c r="Q59" s="19">
        <f t="shared" si="16"/>
        <v>7.9999999999999991</v>
      </c>
      <c r="R59" s="19">
        <f t="shared" si="16"/>
        <v>3.9000000000000004</v>
      </c>
      <c r="S59" s="19">
        <f t="shared" si="16"/>
        <v>3.9000000000000004</v>
      </c>
      <c r="T59" s="19">
        <f t="shared" si="16"/>
        <v>3.9000000000000004</v>
      </c>
      <c r="U59" s="19">
        <f t="shared" si="16"/>
        <v>12.600000000000001</v>
      </c>
      <c r="V59" s="19">
        <f t="shared" si="16"/>
        <v>7.5999999999999988</v>
      </c>
      <c r="W59" s="19">
        <f>SUM(W35:W58)</f>
        <v>4.8</v>
      </c>
      <c r="X59" s="19">
        <f t="shared" si="16"/>
        <v>1.5</v>
      </c>
      <c r="Y59" s="19">
        <f>SUM(Y35:Y58)</f>
        <v>4</v>
      </c>
      <c r="Z59" s="19">
        <f t="shared" si="16"/>
        <v>0.8</v>
      </c>
      <c r="AA59" s="19">
        <f t="shared" si="16"/>
        <v>0</v>
      </c>
      <c r="AB59" s="19">
        <f t="shared" si="16"/>
        <v>0</v>
      </c>
      <c r="AC59" s="19">
        <f t="shared" si="16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22.849999999999998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1/2</f>
        <v>0.5</v>
      </c>
      <c r="G61" s="71">
        <f>0.91/2</f>
        <v>0.45500000000000002</v>
      </c>
      <c r="H61" s="71">
        <f>0.83/2</f>
        <v>0.41499999999999998</v>
      </c>
      <c r="I61" s="71">
        <v>0.4</v>
      </c>
      <c r="J61" s="71">
        <v>0.39</v>
      </c>
      <c r="K61" s="71">
        <f>0.87/2</f>
        <v>0.435</v>
      </c>
      <c r="L61" s="71"/>
      <c r="M61" s="71"/>
      <c r="N61" s="71"/>
      <c r="O61" s="71"/>
      <c r="P61" s="71"/>
      <c r="Q61" s="71"/>
      <c r="R61" s="71">
        <f>1.28/2</f>
        <v>0.64</v>
      </c>
      <c r="S61" s="71">
        <f>1.22/2</f>
        <v>0.61</v>
      </c>
      <c r="T61" s="71">
        <f>1.13/2</f>
        <v>0.56499999999999995</v>
      </c>
      <c r="U61" s="71">
        <v>0.56000000000000005</v>
      </c>
      <c r="V61" s="71">
        <v>0.55000000000000004</v>
      </c>
      <c r="W61" s="71">
        <v>0.56000000000000005</v>
      </c>
      <c r="X61" s="71">
        <f>1.21/2</f>
        <v>0.60499999999999998</v>
      </c>
      <c r="Y61" s="71">
        <f>1.3/2</f>
        <v>0.65</v>
      </c>
      <c r="Z61" s="71">
        <f>1.22/2</f>
        <v>0.61</v>
      </c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15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1/2</f>
        <v>0.5</v>
      </c>
      <c r="G62" s="71">
        <f>0.91/2</f>
        <v>0.45500000000000002</v>
      </c>
      <c r="H62" s="71">
        <f>0.83/2</f>
        <v>0.41499999999999998</v>
      </c>
      <c r="I62" s="71">
        <v>0.4</v>
      </c>
      <c r="J62" s="71">
        <v>0.39</v>
      </c>
      <c r="K62" s="71">
        <f>0.87/2</f>
        <v>0.435</v>
      </c>
      <c r="L62" s="71">
        <f>1.04/2</f>
        <v>0.52</v>
      </c>
      <c r="M62" s="71">
        <f>1.17/2</f>
        <v>0.58499999999999996</v>
      </c>
      <c r="N62" s="71">
        <f>1.07/2</f>
        <v>0.53500000000000003</v>
      </c>
      <c r="O62" s="71">
        <f>1.23/2</f>
        <v>0.61499999999999999</v>
      </c>
      <c r="P62" s="71">
        <f>1.23/2</f>
        <v>0.61499999999999999</v>
      </c>
      <c r="Q62" s="71">
        <f>1.22/2</f>
        <v>0.61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1.3/2</f>
        <v>0.65</v>
      </c>
      <c r="Z62" s="71">
        <f>1.22/2</f>
        <v>0.61</v>
      </c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>
        <v>0</v>
      </c>
      <c r="G63" s="71">
        <v>0</v>
      </c>
      <c r="H63" s="71">
        <v>0</v>
      </c>
      <c r="I63" s="380">
        <v>0</v>
      </c>
      <c r="J63" s="71">
        <v>0</v>
      </c>
      <c r="K63" s="71">
        <v>0</v>
      </c>
      <c r="L63" s="71">
        <v>0.52</v>
      </c>
      <c r="M63" s="71">
        <v>0.58499999999999996</v>
      </c>
      <c r="N63" s="71">
        <v>0.53500000000000003</v>
      </c>
      <c r="O63" s="71">
        <v>0.61499999999999999</v>
      </c>
      <c r="P63" s="71">
        <v>0.61499999999999999</v>
      </c>
      <c r="Q63" s="71">
        <v>0.61</v>
      </c>
      <c r="R63" s="71">
        <v>0.64</v>
      </c>
      <c r="S63" s="71">
        <f>1.22/2</f>
        <v>0.61</v>
      </c>
      <c r="T63" s="71">
        <f>1.13/2</f>
        <v>0.56499999999999995</v>
      </c>
      <c r="U63" s="71">
        <v>0.56000000000000005</v>
      </c>
      <c r="V63" s="71">
        <v>0.55000000000000004</v>
      </c>
      <c r="W63" s="71">
        <v>0.56000000000000005</v>
      </c>
      <c r="X63" s="71"/>
      <c r="Y63" s="71"/>
      <c r="Z63" s="71"/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7">SUM(F61:F63)</f>
        <v>1</v>
      </c>
      <c r="G64" s="19">
        <f>SUM(G61:G63)</f>
        <v>0.91</v>
      </c>
      <c r="H64" s="19">
        <f>SUM(H61:H63)</f>
        <v>0.83</v>
      </c>
      <c r="I64" s="19">
        <f>SUM(I61:I63)</f>
        <v>0.8</v>
      </c>
      <c r="J64" s="19">
        <f t="shared" ref="J64:AC64" si="18">SUM(J61:J63)</f>
        <v>0.78</v>
      </c>
      <c r="K64" s="19">
        <f>SUM(K61:K63)</f>
        <v>0.87</v>
      </c>
      <c r="L64" s="19">
        <f t="shared" si="18"/>
        <v>1.04</v>
      </c>
      <c r="M64" s="19">
        <f t="shared" si="18"/>
        <v>1.17</v>
      </c>
      <c r="N64" s="19">
        <f t="shared" si="18"/>
        <v>1.07</v>
      </c>
      <c r="O64" s="19">
        <f t="shared" si="18"/>
        <v>1.23</v>
      </c>
      <c r="P64" s="19">
        <f t="shared" si="18"/>
        <v>1.23</v>
      </c>
      <c r="Q64" s="19">
        <f t="shared" si="18"/>
        <v>1.22</v>
      </c>
      <c r="R64" s="19">
        <f t="shared" si="18"/>
        <v>1.28</v>
      </c>
      <c r="S64" s="19">
        <f t="shared" si="18"/>
        <v>1.22</v>
      </c>
      <c r="T64" s="19">
        <f>SUM(T61:T63)</f>
        <v>1.1299999999999999</v>
      </c>
      <c r="U64" s="19">
        <f>SUM(U61:U63)</f>
        <v>1.1200000000000001</v>
      </c>
      <c r="V64" s="19">
        <f>SUM(V61:V63)</f>
        <v>1.1000000000000001</v>
      </c>
      <c r="W64" s="19">
        <f t="shared" si="18"/>
        <v>1.1200000000000001</v>
      </c>
      <c r="X64" s="19">
        <f t="shared" si="18"/>
        <v>1.21</v>
      </c>
      <c r="Y64" s="19">
        <f t="shared" si="18"/>
        <v>1.3</v>
      </c>
      <c r="Z64" s="19">
        <f t="shared" si="18"/>
        <v>1.22</v>
      </c>
      <c r="AA64" s="19">
        <f t="shared" si="18"/>
        <v>0</v>
      </c>
      <c r="AB64" s="19">
        <f t="shared" si="18"/>
        <v>0</v>
      </c>
      <c r="AC64" s="19">
        <f t="shared" si="18"/>
        <v>0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65.810000000000016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 t="s">
        <v>9</v>
      </c>
      <c r="G66" s="71" t="s">
        <v>9</v>
      </c>
      <c r="H66" s="71" t="s">
        <v>9</v>
      </c>
      <c r="I66" s="71" t="s">
        <v>9</v>
      </c>
      <c r="J66" s="71" t="s">
        <v>9</v>
      </c>
      <c r="K66" s="71" t="s">
        <v>9</v>
      </c>
      <c r="L66" s="71" t="s">
        <v>9</v>
      </c>
      <c r="M66" s="71" t="s">
        <v>9</v>
      </c>
      <c r="N66" s="71">
        <f>4.5/6</f>
        <v>0.75</v>
      </c>
      <c r="O66" s="71">
        <f>5.3/6</f>
        <v>0.8833333333333333</v>
      </c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>
        <f>5.31/7</f>
        <v>0.75857142857142856</v>
      </c>
      <c r="AA66" s="71"/>
      <c r="AB66" s="71"/>
      <c r="AC66" s="71"/>
      <c r="AD66" s="35"/>
      <c r="AE66" s="35"/>
      <c r="AF66" s="11">
        <f t="shared" ref="AF66:AF74" si="19">COUNTIF(F66:AC66,$AF$11)</f>
        <v>8</v>
      </c>
      <c r="AG66" s="11">
        <f t="shared" ref="AG66:AG74" si="20">COUNTIF(G66:AC66,$AG$11)</f>
        <v>0</v>
      </c>
      <c r="AH66" s="11">
        <f t="shared" ref="AH66:AH74" si="21">COUNT(F66:AC66)</f>
        <v>3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4.26/6</f>
        <v>0.71</v>
      </c>
      <c r="G67" s="71">
        <f>4.44/6</f>
        <v>0.7400000000000001</v>
      </c>
      <c r="H67" s="71">
        <f>4.11/6</f>
        <v>0.68500000000000005</v>
      </c>
      <c r="I67" s="71">
        <v>0.78400000000000003</v>
      </c>
      <c r="J67" s="71">
        <v>0.75800000000000001</v>
      </c>
      <c r="K67" s="71">
        <f>3.97/5</f>
        <v>0.79400000000000004</v>
      </c>
      <c r="L67" s="71">
        <f>4.74/5</f>
        <v>0.94800000000000006</v>
      </c>
      <c r="M67" s="71">
        <f>4.63/5</f>
        <v>0.92599999999999993</v>
      </c>
      <c r="N67" s="71">
        <f t="shared" ref="N67:N68" si="22">4.5/6</f>
        <v>0.75</v>
      </c>
      <c r="O67" s="71">
        <f t="shared" ref="O67:Q71" si="23">5.3/6</f>
        <v>0.8833333333333333</v>
      </c>
      <c r="P67" s="71"/>
      <c r="Q67" s="71"/>
      <c r="R67" s="71"/>
      <c r="S67" s="71"/>
      <c r="T67" s="71"/>
      <c r="U67" s="71"/>
      <c r="V67" s="71"/>
      <c r="W67" s="71"/>
      <c r="X67" s="71">
        <f>1.56/5</f>
        <v>0.312</v>
      </c>
      <c r="Y67" s="71"/>
      <c r="Z67" s="71">
        <f>5.31/7</f>
        <v>0.75857142857142856</v>
      </c>
      <c r="AA67" s="71"/>
      <c r="AB67" s="71"/>
      <c r="AC67" s="71"/>
      <c r="AD67" s="35"/>
      <c r="AE67" s="35"/>
      <c r="AF67" s="11">
        <f t="shared" si="19"/>
        <v>0</v>
      </c>
      <c r="AG67" s="11">
        <f t="shared" si="20"/>
        <v>0</v>
      </c>
      <c r="AH67" s="11">
        <f t="shared" si="21"/>
        <v>12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 t="shared" ref="F68:F71" si="24">4.26/6</f>
        <v>0.71</v>
      </c>
      <c r="G68" s="71">
        <f t="shared" ref="G68:G71" si="25">4.44/6</f>
        <v>0.7400000000000001</v>
      </c>
      <c r="H68" s="71">
        <f t="shared" ref="H68:H71" si="26">4.11/6</f>
        <v>0.68500000000000005</v>
      </c>
      <c r="I68" s="71">
        <v>0.78400000000000003</v>
      </c>
      <c r="J68" s="71">
        <v>0.75800000000000001</v>
      </c>
      <c r="K68" s="71">
        <f>3.97/5</f>
        <v>0.79400000000000004</v>
      </c>
      <c r="L68" s="71">
        <f>4.74/5</f>
        <v>0.94800000000000006</v>
      </c>
      <c r="M68" s="71">
        <f>4.63/5</f>
        <v>0.92599999999999993</v>
      </c>
      <c r="N68" s="71">
        <f t="shared" si="22"/>
        <v>0.75</v>
      </c>
      <c r="O68" s="71">
        <f t="shared" si="23"/>
        <v>0.8833333333333333</v>
      </c>
      <c r="P68" s="71"/>
      <c r="Q68" s="71"/>
      <c r="R68" s="71"/>
      <c r="S68" s="71"/>
      <c r="T68" s="71"/>
      <c r="U68" s="71"/>
      <c r="V68" s="71"/>
      <c r="W68" s="71"/>
      <c r="X68" s="71">
        <f>1.56/5</f>
        <v>0.312</v>
      </c>
      <c r="Y68" s="71"/>
      <c r="Z68" s="71">
        <f>5.31/7</f>
        <v>0.75857142857142856</v>
      </c>
      <c r="AA68" s="71"/>
      <c r="AB68" s="71"/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1"/>
        <v>12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f t="shared" si="24"/>
        <v>0.71</v>
      </c>
      <c r="G69" s="71">
        <f t="shared" si="25"/>
        <v>0.7400000000000001</v>
      </c>
      <c r="H69" s="71">
        <f t="shared" si="26"/>
        <v>0.68500000000000005</v>
      </c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>
        <f>5.31/7</f>
        <v>0.75857142857142856</v>
      </c>
      <c r="AA69" s="71"/>
      <c r="AB69" s="71"/>
      <c r="AC69" s="71"/>
      <c r="AD69" s="35"/>
      <c r="AE69" s="35"/>
      <c r="AF69" s="11">
        <f t="shared" si="19"/>
        <v>0</v>
      </c>
      <c r="AG69" s="11">
        <f t="shared" si="20"/>
        <v>0</v>
      </c>
      <c r="AH69" s="11">
        <f t="shared" si="21"/>
        <v>4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si="24"/>
        <v>0.71</v>
      </c>
      <c r="G70" s="71">
        <f t="shared" si="25"/>
        <v>0.7400000000000001</v>
      </c>
      <c r="H70" s="71">
        <f t="shared" si="26"/>
        <v>0.68500000000000005</v>
      </c>
      <c r="I70" s="71">
        <v>0.78400000000000003</v>
      </c>
      <c r="J70" s="71">
        <v>0.75800000000000001</v>
      </c>
      <c r="K70" s="71">
        <f t="shared" ref="K70:K71" si="27">3.97/5</f>
        <v>0.79400000000000004</v>
      </c>
      <c r="L70" s="71">
        <f t="shared" ref="L70:L71" si="28">4.74/5</f>
        <v>0.94800000000000006</v>
      </c>
      <c r="M70" s="71">
        <f t="shared" ref="M70:M71" si="29">4.63/5</f>
        <v>0.92599999999999993</v>
      </c>
      <c r="N70" s="71">
        <f t="shared" ref="N70:N71" si="30">4.5/6</f>
        <v>0.75</v>
      </c>
      <c r="O70" s="71">
        <f t="shared" ref="O70:O71" si="31">5.3/6</f>
        <v>0.8833333333333333</v>
      </c>
      <c r="P70" s="71"/>
      <c r="Q70" s="71">
        <f>1.11/2</f>
        <v>0.55500000000000005</v>
      </c>
      <c r="R70" s="71">
        <f>2.2/3</f>
        <v>0.73333333333333339</v>
      </c>
      <c r="S70" s="71">
        <f>2.28/3</f>
        <v>0.7599999999999999</v>
      </c>
      <c r="T70" s="71">
        <f>2.48/3</f>
        <v>0.82666666666666666</v>
      </c>
      <c r="U70" s="71">
        <f>2.41/3</f>
        <v>0.80333333333333334</v>
      </c>
      <c r="V70" s="71">
        <f>2.36/3</f>
        <v>0.78666666666666663</v>
      </c>
      <c r="W70" s="71">
        <f>2.44/3</f>
        <v>0.81333333333333335</v>
      </c>
      <c r="X70" s="71">
        <f>1.56/5</f>
        <v>0.312</v>
      </c>
      <c r="Y70" s="71"/>
      <c r="Z70" s="71">
        <f>5.31/7</f>
        <v>0.75857142857142856</v>
      </c>
      <c r="AA70" s="71"/>
      <c r="AB70" s="71"/>
      <c r="AC70" s="71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19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4"/>
        <v>0.71</v>
      </c>
      <c r="G71" s="71">
        <f t="shared" si="25"/>
        <v>0.7400000000000001</v>
      </c>
      <c r="H71" s="71">
        <f t="shared" si="26"/>
        <v>0.68500000000000005</v>
      </c>
      <c r="I71" s="71">
        <v>0.78400000000000003</v>
      </c>
      <c r="J71" s="71">
        <v>0.75800000000000001</v>
      </c>
      <c r="K71" s="71">
        <f t="shared" si="27"/>
        <v>0.79400000000000004</v>
      </c>
      <c r="L71" s="71">
        <f t="shared" si="28"/>
        <v>0.94800000000000006</v>
      </c>
      <c r="M71" s="71">
        <f t="shared" si="29"/>
        <v>0.92599999999999993</v>
      </c>
      <c r="N71" s="71">
        <f t="shared" si="30"/>
        <v>0.75</v>
      </c>
      <c r="O71" s="71">
        <f t="shared" si="31"/>
        <v>0.8833333333333333</v>
      </c>
      <c r="P71" s="71"/>
      <c r="Q71" s="71">
        <f>1.11/2</f>
        <v>0.55500000000000005</v>
      </c>
      <c r="R71" s="71">
        <f>2.2/3</f>
        <v>0.73333333333333339</v>
      </c>
      <c r="S71" s="71">
        <f>2.28/3</f>
        <v>0.7599999999999999</v>
      </c>
      <c r="T71" s="71">
        <f>2.48/3</f>
        <v>0.82666666666666666</v>
      </c>
      <c r="U71" s="71">
        <f>2.41/3</f>
        <v>0.80333333333333334</v>
      </c>
      <c r="V71" s="71">
        <f>2.36/3</f>
        <v>0.78666666666666663</v>
      </c>
      <c r="W71" s="71">
        <f>2.44/3</f>
        <v>0.81333333333333335</v>
      </c>
      <c r="X71" s="71">
        <f>1.56/5</f>
        <v>0.312</v>
      </c>
      <c r="Y71" s="71"/>
      <c r="Z71" s="71">
        <f>5.31/7</f>
        <v>0.75857142857142856</v>
      </c>
      <c r="AA71" s="71"/>
      <c r="AB71" s="71"/>
      <c r="AC71" s="71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19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/>
      <c r="AB73" s="71"/>
      <c r="AC73" s="71"/>
      <c r="AD73" s="29"/>
      <c r="AE73" s="29"/>
      <c r="AF73" s="11">
        <f t="shared" si="19"/>
        <v>21</v>
      </c>
      <c r="AG73" s="11">
        <f t="shared" si="20"/>
        <v>0</v>
      </c>
      <c r="AH73" s="11">
        <f t="shared" si="21"/>
        <v>0</v>
      </c>
    </row>
    <row r="74" spans="1:124" ht="15.75" customHeight="1" x14ac:dyDescent="0.25">
      <c r="A74" s="14" t="s">
        <v>63</v>
      </c>
      <c r="B74" s="9"/>
      <c r="C74" s="15">
        <v>0.85</v>
      </c>
      <c r="D74" s="15"/>
      <c r="E74" s="15"/>
      <c r="F74" s="71">
        <f>4.26/6</f>
        <v>0.71</v>
      </c>
      <c r="G74" s="71">
        <f>4.44/6</f>
        <v>0.7400000000000001</v>
      </c>
      <c r="H74" s="71">
        <f>4.11/6</f>
        <v>0.68500000000000005</v>
      </c>
      <c r="I74" s="71">
        <v>0.78400000000000003</v>
      </c>
      <c r="J74" s="71">
        <v>0.75800000000000001</v>
      </c>
      <c r="K74" s="71">
        <f>3.97/5</f>
        <v>0.79400000000000004</v>
      </c>
      <c r="L74" s="71">
        <f t="shared" ref="L74" si="32">4.74/5</f>
        <v>0.94800000000000006</v>
      </c>
      <c r="M74" s="71">
        <f>4.63/5</f>
        <v>0.92599999999999993</v>
      </c>
      <c r="N74" s="71">
        <f>4.5/6</f>
        <v>0.75</v>
      </c>
      <c r="O74" s="71">
        <f>5.3/6</f>
        <v>0.8833333333333333</v>
      </c>
      <c r="P74" s="71"/>
      <c r="Q74" s="71"/>
      <c r="R74" s="71">
        <f>2.2/3</f>
        <v>0.73333333333333339</v>
      </c>
      <c r="S74" s="71">
        <f>2.28/3</f>
        <v>0.7599999999999999</v>
      </c>
      <c r="T74" s="71">
        <f>2.48/3</f>
        <v>0.82666666666666666</v>
      </c>
      <c r="U74" s="71">
        <f>2.41/3</f>
        <v>0.80333333333333334</v>
      </c>
      <c r="V74" s="71">
        <f>2.36/3</f>
        <v>0.78666666666666663</v>
      </c>
      <c r="W74" s="71">
        <f>2.44/3</f>
        <v>0.81333333333333335</v>
      </c>
      <c r="X74" s="71">
        <f>1.56/5</f>
        <v>0.312</v>
      </c>
      <c r="Y74" s="71"/>
      <c r="Z74" s="71">
        <f>5.31/7</f>
        <v>0.75857142857142856</v>
      </c>
      <c r="AA74" s="71"/>
      <c r="AB74" s="71"/>
      <c r="AC74" s="71"/>
      <c r="AD74" s="31"/>
      <c r="AE74" s="31"/>
      <c r="AF74" s="11">
        <f t="shared" si="19"/>
        <v>0</v>
      </c>
      <c r="AG74" s="11">
        <f t="shared" si="20"/>
        <v>0</v>
      </c>
      <c r="AH74" s="11">
        <f t="shared" si="21"/>
        <v>18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3">SUM(F66:F74)</f>
        <v>4.26</v>
      </c>
      <c r="G75" s="19">
        <f t="shared" si="33"/>
        <v>4.4400000000000004</v>
      </c>
      <c r="H75" s="19">
        <f t="shared" si="33"/>
        <v>4.1100000000000003</v>
      </c>
      <c r="I75" s="19">
        <f t="shared" si="33"/>
        <v>3.92</v>
      </c>
      <c r="J75" s="19">
        <f t="shared" si="33"/>
        <v>3.79</v>
      </c>
      <c r="K75" s="19">
        <f t="shared" si="33"/>
        <v>3.97</v>
      </c>
      <c r="L75" s="19">
        <f>SUM(L66:L74)</f>
        <v>4.74</v>
      </c>
      <c r="M75" s="19">
        <f t="shared" si="33"/>
        <v>4.63</v>
      </c>
      <c r="N75" s="19">
        <f t="shared" si="33"/>
        <v>4.5</v>
      </c>
      <c r="O75" s="19">
        <f t="shared" si="33"/>
        <v>5.2999999999999989</v>
      </c>
      <c r="P75" s="19">
        <f t="shared" si="33"/>
        <v>0</v>
      </c>
      <c r="Q75" s="19">
        <f t="shared" si="33"/>
        <v>1.1100000000000001</v>
      </c>
      <c r="R75" s="19">
        <f t="shared" si="33"/>
        <v>2.2000000000000002</v>
      </c>
      <c r="S75" s="19">
        <f t="shared" si="33"/>
        <v>2.2799999999999998</v>
      </c>
      <c r="T75" s="19">
        <f t="shared" si="33"/>
        <v>2.48</v>
      </c>
      <c r="U75" s="19">
        <f t="shared" si="33"/>
        <v>2.41</v>
      </c>
      <c r="V75" s="19">
        <f t="shared" si="33"/>
        <v>2.36</v>
      </c>
      <c r="W75" s="19">
        <f t="shared" si="33"/>
        <v>2.44</v>
      </c>
      <c r="X75" s="19">
        <f t="shared" si="33"/>
        <v>1.56</v>
      </c>
      <c r="Y75" s="19">
        <f t="shared" si="33"/>
        <v>0</v>
      </c>
      <c r="Z75" s="19">
        <f t="shared" si="33"/>
        <v>5.3100000000000005</v>
      </c>
      <c r="AA75" s="19">
        <f t="shared" si="33"/>
        <v>0</v>
      </c>
      <c r="AB75" s="19">
        <f t="shared" si="33"/>
        <v>0</v>
      </c>
      <c r="AC75" s="19">
        <f t="shared" si="33"/>
        <v>0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16.330000000000002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0.81</v>
      </c>
      <c r="N77" s="71">
        <v>0.71</v>
      </c>
      <c r="O77" s="71">
        <v>0.77</v>
      </c>
      <c r="P77" s="71">
        <v>0.81</v>
      </c>
      <c r="Q77" s="71">
        <v>0.86</v>
      </c>
      <c r="R77" s="71">
        <v>0.83</v>
      </c>
      <c r="S77" s="71">
        <v>0.84</v>
      </c>
      <c r="T77" s="71">
        <v>0.84</v>
      </c>
      <c r="U77" s="71">
        <v>0.84</v>
      </c>
      <c r="V77" s="71">
        <v>0.87</v>
      </c>
      <c r="W77" s="71"/>
      <c r="X77" s="71">
        <v>0.91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0.87</v>
      </c>
      <c r="G78" s="71">
        <v>0.74</v>
      </c>
      <c r="H78" s="71">
        <v>0.72</v>
      </c>
      <c r="I78" s="71">
        <v>0.71</v>
      </c>
      <c r="J78" s="380">
        <v>0.72</v>
      </c>
      <c r="K78" s="71">
        <v>0.73</v>
      </c>
      <c r="L78" s="71">
        <v>0.82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0.97</v>
      </c>
      <c r="Z78" s="71">
        <v>0.96</v>
      </c>
      <c r="AA78" s="71"/>
      <c r="AB78" s="71"/>
      <c r="AC78" s="71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4">SUM(F77:F78)</f>
        <v>0.87</v>
      </c>
      <c r="G79" s="19">
        <f>SUM(G77:G78)</f>
        <v>0.74</v>
      </c>
      <c r="H79" s="19">
        <f>SUM(H77:H78)</f>
        <v>0.72</v>
      </c>
      <c r="I79" s="19">
        <f>SUM(I77:I78)</f>
        <v>0.71</v>
      </c>
      <c r="J79" s="19">
        <f t="shared" ref="J79:AC79" si="35">SUM(J77:J78)</f>
        <v>0.72</v>
      </c>
      <c r="K79" s="19">
        <f t="shared" si="35"/>
        <v>0.73</v>
      </c>
      <c r="L79" s="19">
        <f>SUM(L77:L78)</f>
        <v>0.82</v>
      </c>
      <c r="M79" s="19">
        <f t="shared" si="35"/>
        <v>0.81</v>
      </c>
      <c r="N79" s="19">
        <f>SUM(N77:N77)</f>
        <v>0.71</v>
      </c>
      <c r="O79" s="19">
        <f>SUM(O77:O78)</f>
        <v>0.77</v>
      </c>
      <c r="P79" s="19">
        <f t="shared" si="35"/>
        <v>0.81</v>
      </c>
      <c r="Q79" s="19">
        <f t="shared" si="35"/>
        <v>0.86</v>
      </c>
      <c r="R79" s="19">
        <f t="shared" si="35"/>
        <v>0.83</v>
      </c>
      <c r="S79" s="19">
        <f t="shared" si="35"/>
        <v>0.84</v>
      </c>
      <c r="T79" s="19">
        <f t="shared" si="35"/>
        <v>0.84</v>
      </c>
      <c r="U79" s="19">
        <f t="shared" si="35"/>
        <v>0.84</v>
      </c>
      <c r="V79" s="19">
        <f t="shared" si="35"/>
        <v>0.87</v>
      </c>
      <c r="W79" s="19">
        <f t="shared" si="35"/>
        <v>0</v>
      </c>
      <c r="X79" s="19">
        <f t="shared" si="35"/>
        <v>0.91</v>
      </c>
      <c r="Y79" s="19">
        <f t="shared" si="35"/>
        <v>0.97</v>
      </c>
      <c r="Z79" s="19">
        <f t="shared" si="35"/>
        <v>0.96</v>
      </c>
      <c r="AA79" s="19">
        <f t="shared" si="35"/>
        <v>0</v>
      </c>
      <c r="AB79" s="19">
        <f t="shared" si="35"/>
        <v>0</v>
      </c>
      <c r="AC79" s="19">
        <f t="shared" si="35"/>
        <v>0</v>
      </c>
      <c r="AD79" s="34"/>
      <c r="AE79" s="34"/>
      <c r="AF79" s="11"/>
      <c r="AG79" s="11"/>
      <c r="AH79" s="11"/>
    </row>
    <row r="80" spans="1:124" ht="18" x14ac:dyDescent="0.25">
      <c r="A80" s="373" t="s">
        <v>1129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6">SUM(F17,F22,F25,F30,F33,F59,F64,F75,F79,F81)</f>
        <v>41.339999999999996</v>
      </c>
      <c r="G82" s="28">
        <f t="shared" si="36"/>
        <v>39.22</v>
      </c>
      <c r="H82" s="28">
        <f t="shared" si="36"/>
        <v>37.1</v>
      </c>
      <c r="I82" s="28">
        <f t="shared" si="36"/>
        <v>35.93</v>
      </c>
      <c r="J82" s="28">
        <f t="shared" si="36"/>
        <v>36.020000000000003</v>
      </c>
      <c r="K82" s="28">
        <f t="shared" si="36"/>
        <v>37.579999999999991</v>
      </c>
      <c r="L82" s="28">
        <f t="shared" si="36"/>
        <v>41.27</v>
      </c>
      <c r="M82" s="28">
        <f t="shared" si="36"/>
        <v>41.70000000000001</v>
      </c>
      <c r="N82" s="28">
        <f t="shared" si="36"/>
        <v>46.44</v>
      </c>
      <c r="O82" s="28">
        <f t="shared" si="36"/>
        <v>51.72</v>
      </c>
      <c r="P82" s="28">
        <f t="shared" si="36"/>
        <v>50.75</v>
      </c>
      <c r="Q82" s="28">
        <f t="shared" si="36"/>
        <v>52.169999999999995</v>
      </c>
      <c r="R82" s="28">
        <f t="shared" si="36"/>
        <v>53.04</v>
      </c>
      <c r="S82" s="28">
        <f t="shared" si="36"/>
        <v>53.780000000000008</v>
      </c>
      <c r="T82" s="28">
        <f t="shared" si="36"/>
        <v>28.150000000000002</v>
      </c>
      <c r="U82" s="28">
        <f t="shared" si="36"/>
        <v>49.370000000000005</v>
      </c>
      <c r="V82" s="28">
        <f t="shared" si="36"/>
        <v>50.519999999999996</v>
      </c>
      <c r="W82" s="28">
        <f t="shared" si="36"/>
        <v>52.289999999999992</v>
      </c>
      <c r="X82" s="28">
        <f t="shared" si="36"/>
        <v>51.09</v>
      </c>
      <c r="Y82" s="28">
        <f t="shared" si="36"/>
        <v>52.14</v>
      </c>
      <c r="Z82" s="28">
        <f t="shared" si="36"/>
        <v>55.259999999999991</v>
      </c>
      <c r="AA82" s="28">
        <f t="shared" si="36"/>
        <v>0</v>
      </c>
      <c r="AB82" s="28">
        <f t="shared" si="36"/>
        <v>0</v>
      </c>
      <c r="AC82" s="28">
        <f t="shared" si="36"/>
        <v>0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04" t="s">
        <v>68</v>
      </c>
      <c r="B84" s="404"/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7">SUM(F22,F25)</f>
        <v>3.3</v>
      </c>
      <c r="G88" s="64">
        <f t="shared" si="37"/>
        <v>3.3</v>
      </c>
      <c r="H88" s="64">
        <f t="shared" si="37"/>
        <v>2.8</v>
      </c>
      <c r="I88" s="64">
        <f t="shared" si="37"/>
        <v>3</v>
      </c>
      <c r="J88" s="64">
        <f t="shared" si="37"/>
        <v>3.1</v>
      </c>
      <c r="K88" s="64">
        <f t="shared" si="37"/>
        <v>2.7</v>
      </c>
      <c r="L88" s="64">
        <f t="shared" si="37"/>
        <v>3.3</v>
      </c>
      <c r="M88" s="64">
        <f t="shared" si="37"/>
        <v>3.3</v>
      </c>
      <c r="N88" s="64">
        <f t="shared" si="37"/>
        <v>5</v>
      </c>
      <c r="O88" s="64">
        <f t="shared" si="37"/>
        <v>0</v>
      </c>
      <c r="P88" s="64">
        <f t="shared" si="37"/>
        <v>0</v>
      </c>
      <c r="Q88" s="64">
        <f t="shared" si="37"/>
        <v>0</v>
      </c>
      <c r="R88" s="64">
        <f t="shared" si="37"/>
        <v>3.5</v>
      </c>
      <c r="S88" s="64">
        <f t="shared" si="37"/>
        <v>3.8</v>
      </c>
      <c r="T88" s="64">
        <f t="shared" si="37"/>
        <v>3.8</v>
      </c>
      <c r="U88" s="64">
        <f t="shared" si="37"/>
        <v>3.8</v>
      </c>
      <c r="V88" s="64">
        <f t="shared" si="37"/>
        <v>3.7</v>
      </c>
      <c r="W88" s="64">
        <f t="shared" si="37"/>
        <v>3.7</v>
      </c>
      <c r="X88" s="64">
        <f t="shared" si="37"/>
        <v>3.7</v>
      </c>
      <c r="Y88" s="64">
        <f t="shared" si="37"/>
        <v>4</v>
      </c>
      <c r="Z88" s="64">
        <f t="shared" si="37"/>
        <v>4</v>
      </c>
      <c r="AA88" s="64">
        <f t="shared" si="37"/>
        <v>0</v>
      </c>
      <c r="AB88" s="64">
        <f t="shared" si="37"/>
        <v>0</v>
      </c>
      <c r="AC88" s="64">
        <f t="shared" si="37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13" t="s">
        <v>71</v>
      </c>
      <c r="B89" s="413"/>
      <c r="C89" s="414"/>
      <c r="D89" s="45"/>
      <c r="E89" s="45"/>
      <c r="F89" s="68"/>
      <c r="G89" s="68"/>
      <c r="H89" s="68"/>
      <c r="I89" s="68"/>
      <c r="J89" s="68"/>
      <c r="K89" s="68"/>
      <c r="L89" s="68">
        <v>3.9E-2</v>
      </c>
      <c r="M89" s="68"/>
      <c r="N89" s="68"/>
      <c r="O89" s="68"/>
      <c r="P89" s="68"/>
      <c r="Q89" s="68"/>
      <c r="R89" s="68">
        <v>0.17499999999999999</v>
      </c>
      <c r="S89" s="68">
        <v>0.17299999999999999</v>
      </c>
      <c r="T89" s="68">
        <v>0.185</v>
      </c>
      <c r="U89" s="68">
        <v>0.16600000000000001</v>
      </c>
      <c r="V89" s="68">
        <v>0.18</v>
      </c>
      <c r="W89" s="68">
        <v>0.17599999999999999</v>
      </c>
      <c r="X89" s="68">
        <v>0.216</v>
      </c>
      <c r="Y89" s="68">
        <v>0.20100000000000001</v>
      </c>
      <c r="Z89" s="68">
        <v>0.248</v>
      </c>
      <c r="AA89" s="68"/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8">F17</f>
        <v>13.2</v>
      </c>
      <c r="G90" s="64">
        <f t="shared" si="38"/>
        <v>13.2</v>
      </c>
      <c r="H90" s="64">
        <f t="shared" si="38"/>
        <v>13</v>
      </c>
      <c r="I90" s="64">
        <f t="shared" si="38"/>
        <v>13.2</v>
      </c>
      <c r="J90" s="64">
        <f t="shared" si="38"/>
        <v>13.3</v>
      </c>
      <c r="K90" s="64">
        <f t="shared" si="38"/>
        <v>13</v>
      </c>
      <c r="L90" s="64">
        <f t="shared" si="38"/>
        <v>13.4</v>
      </c>
      <c r="M90" s="64">
        <f t="shared" si="38"/>
        <v>13.4</v>
      </c>
      <c r="N90" s="64">
        <f t="shared" si="38"/>
        <v>13.2</v>
      </c>
      <c r="O90" s="64">
        <f t="shared" si="38"/>
        <v>14.7</v>
      </c>
      <c r="P90" s="64">
        <f t="shared" si="38"/>
        <v>20.100000000000001</v>
      </c>
      <c r="Q90" s="64">
        <f t="shared" si="38"/>
        <v>18.899999999999999</v>
      </c>
      <c r="R90" s="64">
        <f t="shared" si="38"/>
        <v>20</v>
      </c>
      <c r="S90" s="64">
        <f t="shared" si="38"/>
        <v>20.100000000000001</v>
      </c>
      <c r="T90" s="64">
        <f t="shared" si="38"/>
        <v>9.1999999999999993</v>
      </c>
      <c r="U90" s="64">
        <f t="shared" si="38"/>
        <v>21</v>
      </c>
      <c r="V90" s="64">
        <f t="shared" si="38"/>
        <v>19.399999999999999</v>
      </c>
      <c r="W90" s="64">
        <f t="shared" si="38"/>
        <v>19</v>
      </c>
      <c r="X90" s="64">
        <f t="shared" si="38"/>
        <v>20.6</v>
      </c>
      <c r="Y90" s="64">
        <f t="shared" si="38"/>
        <v>20.100000000000001</v>
      </c>
      <c r="Z90" s="64">
        <f t="shared" si="38"/>
        <v>20.399999999999999</v>
      </c>
      <c r="AA90" s="64">
        <f t="shared" si="38"/>
        <v>0</v>
      </c>
      <c r="AB90" s="64">
        <f t="shared" si="38"/>
        <v>0</v>
      </c>
      <c r="AC90" s="64">
        <f t="shared" si="38"/>
        <v>0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13" t="s">
        <v>73</v>
      </c>
      <c r="B91" s="413"/>
      <c r="C91" s="414"/>
      <c r="D91" s="45"/>
      <c r="E91" s="45"/>
      <c r="F91" s="68">
        <v>0.59199999999999997</v>
      </c>
      <c r="G91" s="68">
        <v>0.61099999999999999</v>
      </c>
      <c r="H91" s="68">
        <v>0.74199999999999999</v>
      </c>
      <c r="I91" s="68">
        <v>0.78500000000000003</v>
      </c>
      <c r="J91" s="68">
        <v>0.73799999999999999</v>
      </c>
      <c r="K91" s="68">
        <v>0.66</v>
      </c>
      <c r="L91" s="68">
        <v>0.58899999999999997</v>
      </c>
      <c r="M91" s="68">
        <v>0.86199999999999999</v>
      </c>
      <c r="N91" s="68">
        <v>0.67200000000000004</v>
      </c>
      <c r="O91" s="68">
        <v>0.7</v>
      </c>
      <c r="P91" s="68">
        <v>0.68600000000000005</v>
      </c>
      <c r="Q91" s="68">
        <v>0.9</v>
      </c>
      <c r="R91" s="68">
        <v>0.97099999999999997</v>
      </c>
      <c r="S91" s="68">
        <v>0.7</v>
      </c>
      <c r="T91" s="68">
        <v>0.79900000000000004</v>
      </c>
      <c r="U91" s="68">
        <v>0.96299999999999997</v>
      </c>
      <c r="V91" s="68">
        <v>0.67700000000000005</v>
      </c>
      <c r="W91" s="68">
        <v>0.64500000000000002</v>
      </c>
      <c r="X91" s="68">
        <v>0.65400000000000003</v>
      </c>
      <c r="Y91" s="68">
        <v>0.88100000000000001</v>
      </c>
      <c r="Z91" s="68">
        <v>0.93</v>
      </c>
      <c r="AA91" s="68"/>
      <c r="AB91" s="68"/>
      <c r="AC91" s="68"/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39">F30</f>
        <v>5.9</v>
      </c>
      <c r="G92" s="65">
        <f t="shared" si="39"/>
        <v>3.8</v>
      </c>
      <c r="H92" s="65">
        <f t="shared" si="39"/>
        <v>2.8</v>
      </c>
      <c r="I92" s="65">
        <f t="shared" si="39"/>
        <v>0</v>
      </c>
      <c r="J92" s="65">
        <f t="shared" si="39"/>
        <v>0</v>
      </c>
      <c r="K92" s="65">
        <f t="shared" si="39"/>
        <v>3</v>
      </c>
      <c r="L92" s="65">
        <f t="shared" si="39"/>
        <v>3.6</v>
      </c>
      <c r="M92" s="65">
        <f t="shared" si="39"/>
        <v>5</v>
      </c>
      <c r="N92" s="65">
        <f t="shared" si="39"/>
        <v>7.6</v>
      </c>
      <c r="O92" s="65">
        <f t="shared" si="39"/>
        <v>7.4</v>
      </c>
      <c r="P92" s="65">
        <f t="shared" si="39"/>
        <v>7.8</v>
      </c>
      <c r="Q92" s="65">
        <f t="shared" si="39"/>
        <v>7.8</v>
      </c>
      <c r="R92" s="65">
        <f t="shared" si="39"/>
        <v>7</v>
      </c>
      <c r="S92" s="65">
        <f t="shared" si="39"/>
        <v>7.4</v>
      </c>
      <c r="T92" s="65">
        <f>T30</f>
        <v>6.8</v>
      </c>
      <c r="U92" s="65">
        <f t="shared" si="39"/>
        <v>7.6</v>
      </c>
      <c r="V92" s="65">
        <f t="shared" si="39"/>
        <v>8</v>
      </c>
      <c r="W92" s="65">
        <f t="shared" si="39"/>
        <v>7.4</v>
      </c>
      <c r="X92" s="65">
        <f t="shared" si="39"/>
        <v>7.8</v>
      </c>
      <c r="Y92" s="65">
        <f t="shared" si="39"/>
        <v>7.6</v>
      </c>
      <c r="Z92" s="65">
        <f t="shared" si="39"/>
        <v>8.1999999999999993</v>
      </c>
      <c r="AA92" s="65">
        <f t="shared" si="39"/>
        <v>0</v>
      </c>
      <c r="AB92" s="65">
        <f t="shared" si="39"/>
        <v>0</v>
      </c>
      <c r="AC92" s="65">
        <f t="shared" si="39"/>
        <v>0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13" t="s">
        <v>74</v>
      </c>
      <c r="B93" s="413"/>
      <c r="C93" s="414"/>
      <c r="D93" s="45"/>
      <c r="E93" s="45"/>
      <c r="F93" s="68">
        <v>0.26600000000000001</v>
      </c>
      <c r="G93" s="68">
        <v>0.17599999999999999</v>
      </c>
      <c r="H93" s="68">
        <v>0.18099999999999999</v>
      </c>
      <c r="I93" s="68">
        <v>0.112</v>
      </c>
      <c r="J93" s="68">
        <v>0.121</v>
      </c>
      <c r="K93" s="68">
        <v>0.20300000000000001</v>
      </c>
      <c r="L93" s="68">
        <v>0.20599999999999999</v>
      </c>
      <c r="M93" s="68">
        <v>0.28100000000000003</v>
      </c>
      <c r="N93" s="68">
        <v>0.26200000000000001</v>
      </c>
      <c r="O93" s="68">
        <v>0.27300000000000002</v>
      </c>
      <c r="P93" s="68">
        <v>0.27800000000000002</v>
      </c>
      <c r="Q93" s="68">
        <v>0.28299999999999997</v>
      </c>
      <c r="R93" s="68">
        <v>0.28699999999999998</v>
      </c>
      <c r="S93" s="68">
        <v>0.30399999999999999</v>
      </c>
      <c r="T93" s="68">
        <v>0.28399999999999997</v>
      </c>
      <c r="U93" s="68">
        <v>0.26900000000000002</v>
      </c>
      <c r="V93" s="68">
        <v>0.27500000000000002</v>
      </c>
      <c r="W93" s="68">
        <v>0.27800000000000002</v>
      </c>
      <c r="X93" s="68">
        <v>0.28199999999999997</v>
      </c>
      <c r="Y93" s="68">
        <v>0.29399999999999998</v>
      </c>
      <c r="Z93" s="68">
        <v>0.27600000000000002</v>
      </c>
      <c r="AA93" s="68"/>
      <c r="AB93" s="68"/>
      <c r="AC93" s="68"/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0">F33</f>
        <v>12.81</v>
      </c>
      <c r="G94" s="65">
        <f t="shared" si="40"/>
        <v>12.83</v>
      </c>
      <c r="H94" s="65">
        <f t="shared" si="40"/>
        <v>12.84</v>
      </c>
      <c r="I94" s="65">
        <f t="shared" si="40"/>
        <v>14.3</v>
      </c>
      <c r="J94" s="65">
        <f t="shared" si="40"/>
        <v>14.33</v>
      </c>
      <c r="K94" s="65">
        <f t="shared" si="40"/>
        <v>13.31</v>
      </c>
      <c r="L94" s="65">
        <f t="shared" si="40"/>
        <v>14.37</v>
      </c>
      <c r="M94" s="65">
        <f t="shared" si="40"/>
        <v>13.39</v>
      </c>
      <c r="N94" s="65">
        <f t="shared" si="40"/>
        <v>14.36</v>
      </c>
      <c r="O94" s="65">
        <f t="shared" si="40"/>
        <v>14.32</v>
      </c>
      <c r="P94" s="65">
        <f t="shared" si="40"/>
        <v>14.31</v>
      </c>
      <c r="Q94" s="65">
        <f t="shared" si="40"/>
        <v>14.28</v>
      </c>
      <c r="R94" s="65">
        <f t="shared" si="40"/>
        <v>14.33</v>
      </c>
      <c r="S94" s="65">
        <f t="shared" si="40"/>
        <v>14.24</v>
      </c>
      <c r="T94" s="65">
        <f t="shared" si="40"/>
        <v>0</v>
      </c>
      <c r="U94" s="65">
        <f t="shared" si="40"/>
        <v>0</v>
      </c>
      <c r="V94" s="65">
        <f t="shared" si="40"/>
        <v>7.49</v>
      </c>
      <c r="W94" s="65">
        <f t="shared" si="40"/>
        <v>13.83</v>
      </c>
      <c r="X94" s="65">
        <f t="shared" si="40"/>
        <v>13.81</v>
      </c>
      <c r="Y94" s="65">
        <f t="shared" si="40"/>
        <v>14.17</v>
      </c>
      <c r="Z94" s="65">
        <f t="shared" si="40"/>
        <v>14.37</v>
      </c>
      <c r="AA94" s="65">
        <f t="shared" si="40"/>
        <v>0</v>
      </c>
      <c r="AB94" s="65">
        <f t="shared" si="40"/>
        <v>0</v>
      </c>
      <c r="AC94" s="65">
        <f t="shared" si="40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13" t="s">
        <v>75</v>
      </c>
      <c r="B95" s="413"/>
      <c r="C95" s="414"/>
      <c r="D95" s="68"/>
      <c r="E95" s="68"/>
      <c r="F95" s="68">
        <v>0.69</v>
      </c>
      <c r="G95" s="68">
        <v>0.67</v>
      </c>
      <c r="H95" s="68">
        <v>0.66</v>
      </c>
      <c r="I95" s="68">
        <v>0.66</v>
      </c>
      <c r="J95" s="68">
        <v>0.67</v>
      </c>
      <c r="K95" s="68">
        <v>0.66</v>
      </c>
      <c r="L95" s="68">
        <v>0.63</v>
      </c>
      <c r="M95" s="68">
        <v>0.61</v>
      </c>
      <c r="N95" s="68">
        <v>0.64</v>
      </c>
      <c r="O95" s="68">
        <v>0.68</v>
      </c>
      <c r="P95" s="68">
        <v>0.69</v>
      </c>
      <c r="Q95" s="68">
        <v>0.72</v>
      </c>
      <c r="R95" s="68">
        <v>0.67</v>
      </c>
      <c r="S95" s="68">
        <v>0.76</v>
      </c>
      <c r="T95" s="68">
        <v>0</v>
      </c>
      <c r="U95" s="68">
        <v>0</v>
      </c>
      <c r="V95" s="68">
        <v>0.51</v>
      </c>
      <c r="W95" s="68">
        <v>1.17</v>
      </c>
      <c r="X95" s="68">
        <v>1.19</v>
      </c>
      <c r="Y95" s="68">
        <v>0.83</v>
      </c>
      <c r="Z95" s="68">
        <v>0.63</v>
      </c>
      <c r="AA95" s="68"/>
      <c r="AB95" s="68"/>
      <c r="AC95" s="68"/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1">F59</f>
        <v>0</v>
      </c>
      <c r="G96" s="64">
        <f t="shared" si="41"/>
        <v>0</v>
      </c>
      <c r="H96" s="64">
        <f t="shared" si="41"/>
        <v>0</v>
      </c>
      <c r="I96" s="64">
        <f t="shared" si="41"/>
        <v>0</v>
      </c>
      <c r="J96" s="64">
        <f t="shared" si="41"/>
        <v>0</v>
      </c>
      <c r="K96" s="64">
        <f t="shared" si="41"/>
        <v>0</v>
      </c>
      <c r="L96" s="64">
        <f t="shared" si="41"/>
        <v>0</v>
      </c>
      <c r="M96" s="64">
        <f t="shared" si="41"/>
        <v>0</v>
      </c>
      <c r="N96" s="64">
        <f t="shared" si="41"/>
        <v>0</v>
      </c>
      <c r="O96" s="64">
        <f t="shared" si="41"/>
        <v>7.9999999999999991</v>
      </c>
      <c r="P96" s="64">
        <f t="shared" si="41"/>
        <v>6.5</v>
      </c>
      <c r="Q96" s="64">
        <f t="shared" si="41"/>
        <v>7.9999999999999991</v>
      </c>
      <c r="R96" s="64">
        <f t="shared" si="41"/>
        <v>3.9000000000000004</v>
      </c>
      <c r="S96" s="64">
        <f t="shared" si="41"/>
        <v>3.9000000000000004</v>
      </c>
      <c r="T96" s="64">
        <f t="shared" si="41"/>
        <v>3.9000000000000004</v>
      </c>
      <c r="U96" s="64">
        <f t="shared" si="41"/>
        <v>12.600000000000001</v>
      </c>
      <c r="V96" s="64">
        <f t="shared" si="41"/>
        <v>7.5999999999999988</v>
      </c>
      <c r="W96" s="64">
        <f t="shared" si="41"/>
        <v>4.8</v>
      </c>
      <c r="X96" s="64">
        <f t="shared" si="41"/>
        <v>1.5</v>
      </c>
      <c r="Y96" s="64">
        <f t="shared" si="41"/>
        <v>4</v>
      </c>
      <c r="Z96" s="64">
        <f t="shared" si="41"/>
        <v>0.8</v>
      </c>
      <c r="AA96" s="64">
        <f t="shared" si="41"/>
        <v>0</v>
      </c>
      <c r="AB96" s="64">
        <f t="shared" si="41"/>
        <v>0</v>
      </c>
      <c r="AC96" s="64">
        <f t="shared" si="41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2">F64</f>
        <v>1</v>
      </c>
      <c r="G97" s="64">
        <f t="shared" si="42"/>
        <v>0.91</v>
      </c>
      <c r="H97" s="64">
        <f t="shared" si="42"/>
        <v>0.83</v>
      </c>
      <c r="I97" s="64">
        <f t="shared" si="42"/>
        <v>0.8</v>
      </c>
      <c r="J97" s="64">
        <f t="shared" si="42"/>
        <v>0.78</v>
      </c>
      <c r="K97" s="64">
        <f t="shared" si="42"/>
        <v>0.87</v>
      </c>
      <c r="L97" s="64">
        <f t="shared" si="42"/>
        <v>1.04</v>
      </c>
      <c r="M97" s="64">
        <f t="shared" si="42"/>
        <v>1.17</v>
      </c>
      <c r="N97" s="64">
        <f t="shared" si="42"/>
        <v>1.07</v>
      </c>
      <c r="O97" s="64">
        <f t="shared" si="42"/>
        <v>1.23</v>
      </c>
      <c r="P97" s="64">
        <f t="shared" si="42"/>
        <v>1.23</v>
      </c>
      <c r="Q97" s="64">
        <f t="shared" si="42"/>
        <v>1.22</v>
      </c>
      <c r="R97" s="64">
        <f t="shared" si="42"/>
        <v>1.28</v>
      </c>
      <c r="S97" s="64">
        <f t="shared" si="42"/>
        <v>1.22</v>
      </c>
      <c r="T97" s="64">
        <f t="shared" si="42"/>
        <v>1.1299999999999999</v>
      </c>
      <c r="U97" s="64">
        <f t="shared" si="42"/>
        <v>1.1200000000000001</v>
      </c>
      <c r="V97" s="64">
        <f t="shared" si="42"/>
        <v>1.1000000000000001</v>
      </c>
      <c r="W97" s="64">
        <f t="shared" si="42"/>
        <v>1.1200000000000001</v>
      </c>
      <c r="X97" s="64">
        <f t="shared" si="42"/>
        <v>1.21</v>
      </c>
      <c r="Y97" s="64">
        <f t="shared" si="42"/>
        <v>1.3</v>
      </c>
      <c r="Z97" s="64">
        <f t="shared" si="42"/>
        <v>1.22</v>
      </c>
      <c r="AA97" s="64">
        <f t="shared" si="42"/>
        <v>0</v>
      </c>
      <c r="AB97" s="64">
        <f t="shared" si="42"/>
        <v>0</v>
      </c>
      <c r="AC97" s="64">
        <f t="shared" si="42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3">F75</f>
        <v>4.26</v>
      </c>
      <c r="G98" s="64">
        <f t="shared" si="43"/>
        <v>4.4400000000000004</v>
      </c>
      <c r="H98" s="64">
        <f t="shared" si="43"/>
        <v>4.1100000000000003</v>
      </c>
      <c r="I98" s="64">
        <f t="shared" si="43"/>
        <v>3.92</v>
      </c>
      <c r="J98" s="64">
        <f t="shared" si="43"/>
        <v>3.79</v>
      </c>
      <c r="K98" s="64">
        <f t="shared" si="43"/>
        <v>3.97</v>
      </c>
      <c r="L98" s="64">
        <f t="shared" si="43"/>
        <v>4.74</v>
      </c>
      <c r="M98" s="64">
        <f t="shared" si="43"/>
        <v>4.63</v>
      </c>
      <c r="N98" s="64">
        <f t="shared" si="43"/>
        <v>4.5</v>
      </c>
      <c r="O98" s="64">
        <f t="shared" si="43"/>
        <v>5.2999999999999989</v>
      </c>
      <c r="P98" s="64">
        <f t="shared" si="43"/>
        <v>0</v>
      </c>
      <c r="Q98" s="64">
        <f t="shared" si="43"/>
        <v>1.1100000000000001</v>
      </c>
      <c r="R98" s="64">
        <f t="shared" si="43"/>
        <v>2.2000000000000002</v>
      </c>
      <c r="S98" s="64">
        <f t="shared" si="43"/>
        <v>2.2799999999999998</v>
      </c>
      <c r="T98" s="64">
        <f t="shared" si="43"/>
        <v>2.48</v>
      </c>
      <c r="U98" s="64">
        <f t="shared" si="43"/>
        <v>2.41</v>
      </c>
      <c r="V98" s="64">
        <f t="shared" si="43"/>
        <v>2.36</v>
      </c>
      <c r="W98" s="64">
        <f t="shared" si="43"/>
        <v>2.44</v>
      </c>
      <c r="X98" s="64">
        <f t="shared" si="43"/>
        <v>1.56</v>
      </c>
      <c r="Y98" s="64">
        <f t="shared" si="43"/>
        <v>0</v>
      </c>
      <c r="Z98" s="64">
        <f t="shared" si="43"/>
        <v>5.3100000000000005</v>
      </c>
      <c r="AA98" s="64">
        <f t="shared" si="43"/>
        <v>0</v>
      </c>
      <c r="AB98" s="64">
        <f t="shared" si="43"/>
        <v>0</v>
      </c>
      <c r="AC98" s="64">
        <f t="shared" si="43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44">F79</f>
        <v>0.87</v>
      </c>
      <c r="G99" s="64">
        <f t="shared" si="44"/>
        <v>0.74</v>
      </c>
      <c r="H99" s="64">
        <f t="shared" si="44"/>
        <v>0.72</v>
      </c>
      <c r="I99" s="64">
        <f t="shared" si="44"/>
        <v>0.71</v>
      </c>
      <c r="J99" s="64">
        <f t="shared" si="44"/>
        <v>0.72</v>
      </c>
      <c r="K99" s="64">
        <f t="shared" si="44"/>
        <v>0.73</v>
      </c>
      <c r="L99" s="64">
        <f t="shared" si="44"/>
        <v>0.82</v>
      </c>
      <c r="M99" s="64">
        <f t="shared" si="44"/>
        <v>0.81</v>
      </c>
      <c r="N99" s="64">
        <f t="shared" si="44"/>
        <v>0.71</v>
      </c>
      <c r="O99" s="64">
        <f t="shared" si="44"/>
        <v>0.77</v>
      </c>
      <c r="P99" s="64">
        <f t="shared" si="44"/>
        <v>0.81</v>
      </c>
      <c r="Q99" s="64">
        <f t="shared" si="44"/>
        <v>0.86</v>
      </c>
      <c r="R99" s="64">
        <f t="shared" si="44"/>
        <v>0.83</v>
      </c>
      <c r="S99" s="64">
        <f t="shared" si="44"/>
        <v>0.84</v>
      </c>
      <c r="T99" s="64">
        <f t="shared" si="44"/>
        <v>0.84</v>
      </c>
      <c r="U99" s="64">
        <f t="shared" si="44"/>
        <v>0.84</v>
      </c>
      <c r="V99" s="64">
        <f t="shared" si="44"/>
        <v>0.87</v>
      </c>
      <c r="W99" s="64">
        <f t="shared" si="44"/>
        <v>0</v>
      </c>
      <c r="X99" s="64">
        <f t="shared" si="44"/>
        <v>0.91</v>
      </c>
      <c r="Y99" s="64">
        <f t="shared" si="44"/>
        <v>0.97</v>
      </c>
      <c r="Z99" s="64">
        <f t="shared" si="44"/>
        <v>0.96</v>
      </c>
      <c r="AA99" s="64">
        <f t="shared" si="44"/>
        <v>0</v>
      </c>
      <c r="AB99" s="64">
        <f t="shared" si="44"/>
        <v>0</v>
      </c>
      <c r="AC99" s="64">
        <f t="shared" si="44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1129</v>
      </c>
      <c r="B100" s="400"/>
      <c r="C100" s="401"/>
      <c r="D100" s="45"/>
      <c r="E100" s="45"/>
      <c r="F100" s="64">
        <f t="shared" ref="F100:AC100" si="45">F81</f>
        <v>0</v>
      </c>
      <c r="G100" s="64">
        <f t="shared" si="45"/>
        <v>0</v>
      </c>
      <c r="H100" s="64">
        <f t="shared" si="45"/>
        <v>0</v>
      </c>
      <c r="I100" s="64">
        <f t="shared" si="45"/>
        <v>0</v>
      </c>
      <c r="J100" s="64">
        <f t="shared" si="45"/>
        <v>0</v>
      </c>
      <c r="K100" s="64">
        <f t="shared" si="45"/>
        <v>0</v>
      </c>
      <c r="L100" s="64">
        <f t="shared" si="45"/>
        <v>0</v>
      </c>
      <c r="M100" s="64">
        <f t="shared" si="45"/>
        <v>0</v>
      </c>
      <c r="N100" s="64">
        <f t="shared" si="45"/>
        <v>0</v>
      </c>
      <c r="O100" s="64">
        <f t="shared" si="45"/>
        <v>0</v>
      </c>
      <c r="P100" s="64">
        <f t="shared" si="45"/>
        <v>0</v>
      </c>
      <c r="Q100" s="64">
        <f t="shared" si="45"/>
        <v>0</v>
      </c>
      <c r="R100" s="64">
        <f t="shared" si="45"/>
        <v>0</v>
      </c>
      <c r="S100" s="64">
        <f t="shared" si="45"/>
        <v>0</v>
      </c>
      <c r="T100" s="64">
        <f t="shared" si="45"/>
        <v>0</v>
      </c>
      <c r="U100" s="64">
        <f t="shared" si="45"/>
        <v>0</v>
      </c>
      <c r="V100" s="64">
        <f t="shared" si="45"/>
        <v>0</v>
      </c>
      <c r="W100" s="64">
        <f t="shared" si="45"/>
        <v>0</v>
      </c>
      <c r="X100" s="64">
        <f t="shared" si="45"/>
        <v>0</v>
      </c>
      <c r="Y100" s="64">
        <f t="shared" si="45"/>
        <v>0</v>
      </c>
      <c r="Z100" s="64">
        <f t="shared" si="45"/>
        <v>0</v>
      </c>
      <c r="AA100" s="64">
        <f t="shared" si="45"/>
        <v>0</v>
      </c>
      <c r="AB100" s="64">
        <f t="shared" si="45"/>
        <v>0</v>
      </c>
      <c r="AC100" s="64">
        <f t="shared" si="4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2" t="s">
        <v>76</v>
      </c>
      <c r="B101" s="412"/>
      <c r="C101" s="412"/>
      <c r="D101" s="47"/>
      <c r="E101" s="47"/>
      <c r="F101" s="61">
        <f t="shared" ref="F101:AC101" si="46">SUM(F88,F90,F92,F94,F96:F100,F80)</f>
        <v>41.339999999999996</v>
      </c>
      <c r="G101" s="61">
        <f t="shared" si="46"/>
        <v>39.22</v>
      </c>
      <c r="H101" s="61">
        <f t="shared" si="46"/>
        <v>37.1</v>
      </c>
      <c r="I101" s="61">
        <f t="shared" si="46"/>
        <v>35.93</v>
      </c>
      <c r="J101" s="61">
        <f t="shared" si="46"/>
        <v>36.020000000000003</v>
      </c>
      <c r="K101" s="61">
        <f t="shared" si="46"/>
        <v>37.579999999999991</v>
      </c>
      <c r="L101" s="61">
        <f t="shared" si="46"/>
        <v>41.27</v>
      </c>
      <c r="M101" s="61">
        <f t="shared" si="46"/>
        <v>41.70000000000001</v>
      </c>
      <c r="N101" s="61">
        <f t="shared" si="46"/>
        <v>46.44</v>
      </c>
      <c r="O101" s="61">
        <f t="shared" si="46"/>
        <v>51.72</v>
      </c>
      <c r="P101" s="61">
        <f t="shared" si="46"/>
        <v>50.75</v>
      </c>
      <c r="Q101" s="61">
        <f t="shared" si="46"/>
        <v>52.169999999999995</v>
      </c>
      <c r="R101" s="61">
        <f t="shared" si="46"/>
        <v>53.04</v>
      </c>
      <c r="S101" s="61">
        <f t="shared" si="46"/>
        <v>53.780000000000008</v>
      </c>
      <c r="T101" s="61">
        <f>SUM(T88,T90,T92,T94,T96:T100,T80)</f>
        <v>28.150000000000002</v>
      </c>
      <c r="U101" s="61">
        <f t="shared" si="46"/>
        <v>49.370000000000005</v>
      </c>
      <c r="V101" s="61">
        <f t="shared" si="46"/>
        <v>50.519999999999996</v>
      </c>
      <c r="W101" s="61">
        <f t="shared" si="46"/>
        <v>52.289999999999992</v>
      </c>
      <c r="X101" s="61">
        <f t="shared" si="46"/>
        <v>51.09</v>
      </c>
      <c r="Y101" s="61">
        <f t="shared" si="46"/>
        <v>52.14</v>
      </c>
      <c r="Z101" s="61">
        <f t="shared" si="46"/>
        <v>55.259999999999991</v>
      </c>
      <c r="AA101" s="61">
        <f t="shared" si="46"/>
        <v>0</v>
      </c>
      <c r="AB101" s="61">
        <f t="shared" si="46"/>
        <v>0</v>
      </c>
      <c r="AC101" s="61">
        <f t="shared" si="4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5" t="s">
        <v>77</v>
      </c>
      <c r="B102" s="415"/>
      <c r="C102" s="41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>
        <f>1.6+2</f>
        <v>3.6</v>
      </c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5" t="s">
        <v>78</v>
      </c>
      <c r="B103" s="415"/>
      <c r="C103" s="41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>
        <v>5.3</v>
      </c>
      <c r="Q103" s="77">
        <v>4.1900000000000004</v>
      </c>
      <c r="R103" s="77">
        <v>4.1900000000000004</v>
      </c>
      <c r="S103" s="77">
        <v>4.1900000000000004</v>
      </c>
      <c r="T103" s="77">
        <v>4.1900000000000004</v>
      </c>
      <c r="U103" s="77">
        <v>4.1900000000000004</v>
      </c>
      <c r="V103" s="77">
        <v>4.1900000000000004</v>
      </c>
      <c r="W103" s="77">
        <v>4.1900000000000004</v>
      </c>
      <c r="X103" s="77">
        <v>4.1900000000000004</v>
      </c>
      <c r="Y103" s="77">
        <v>4.1900000000000004</v>
      </c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5" t="s">
        <v>79</v>
      </c>
      <c r="B104" s="415"/>
      <c r="C104" s="415"/>
      <c r="D104" s="46"/>
      <c r="E104" s="46"/>
      <c r="F104" s="77"/>
      <c r="G104" s="77"/>
      <c r="H104" s="77"/>
      <c r="I104" s="77">
        <v>0.83</v>
      </c>
      <c r="J104" s="77">
        <v>0.83</v>
      </c>
      <c r="K104" s="77"/>
      <c r="L104" s="77"/>
      <c r="M104" s="77">
        <v>0.9</v>
      </c>
      <c r="N104" s="77"/>
      <c r="O104" s="77"/>
      <c r="P104" s="77"/>
      <c r="Q104" s="77"/>
      <c r="R104" s="77"/>
      <c r="S104" s="77"/>
      <c r="T104" s="77">
        <f>34.6484-6.8214</f>
        <v>27.827000000000002</v>
      </c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2" t="s">
        <v>80</v>
      </c>
      <c r="B105" s="412"/>
      <c r="C105" s="412"/>
      <c r="D105" s="47"/>
      <c r="E105" s="47"/>
      <c r="F105" s="61">
        <f t="shared" ref="F105:AC105" si="47">SUM(F102:F104)</f>
        <v>0</v>
      </c>
      <c r="G105" s="61">
        <f t="shared" si="47"/>
        <v>0</v>
      </c>
      <c r="H105" s="61">
        <f t="shared" si="47"/>
        <v>0</v>
      </c>
      <c r="I105" s="61">
        <f t="shared" si="47"/>
        <v>0.83</v>
      </c>
      <c r="J105" s="61">
        <f t="shared" si="47"/>
        <v>0.83</v>
      </c>
      <c r="K105" s="61">
        <f t="shared" si="47"/>
        <v>0</v>
      </c>
      <c r="L105" s="61">
        <f t="shared" si="47"/>
        <v>0</v>
      </c>
      <c r="M105" s="61">
        <f t="shared" si="47"/>
        <v>0.9</v>
      </c>
      <c r="N105" s="61">
        <f t="shared" si="47"/>
        <v>0</v>
      </c>
      <c r="O105" s="61">
        <f t="shared" si="47"/>
        <v>0</v>
      </c>
      <c r="P105" s="61">
        <f t="shared" si="47"/>
        <v>5.3</v>
      </c>
      <c r="Q105" s="61">
        <f t="shared" si="47"/>
        <v>4.1900000000000004</v>
      </c>
      <c r="R105" s="61">
        <f t="shared" si="47"/>
        <v>4.1900000000000004</v>
      </c>
      <c r="S105" s="61">
        <f t="shared" si="47"/>
        <v>4.1900000000000004</v>
      </c>
      <c r="T105" s="61">
        <f t="shared" si="47"/>
        <v>32.017000000000003</v>
      </c>
      <c r="U105" s="61">
        <f t="shared" si="47"/>
        <v>7.7900000000000009</v>
      </c>
      <c r="V105" s="61">
        <f t="shared" si="47"/>
        <v>4.1900000000000004</v>
      </c>
      <c r="W105" s="61">
        <f t="shared" si="47"/>
        <v>4.1900000000000004</v>
      </c>
      <c r="X105" s="61">
        <f t="shared" si="47"/>
        <v>4.1900000000000004</v>
      </c>
      <c r="Y105" s="61">
        <f t="shared" si="47"/>
        <v>4.1900000000000004</v>
      </c>
      <c r="Z105" s="61">
        <f t="shared" si="47"/>
        <v>0</v>
      </c>
      <c r="AA105" s="61">
        <f t="shared" si="47"/>
        <v>0</v>
      </c>
      <c r="AB105" s="61">
        <f t="shared" si="47"/>
        <v>0</v>
      </c>
      <c r="AC105" s="61">
        <f t="shared" si="47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6" t="s">
        <v>81</v>
      </c>
      <c r="B106" s="416"/>
      <c r="C106" s="416"/>
      <c r="D106" s="48"/>
      <c r="E106" s="48"/>
      <c r="F106" s="62">
        <f t="shared" ref="F106:AC106" si="48">F101+F105</f>
        <v>41.339999999999996</v>
      </c>
      <c r="G106" s="62">
        <f t="shared" si="48"/>
        <v>39.22</v>
      </c>
      <c r="H106" s="62">
        <f t="shared" si="48"/>
        <v>37.1</v>
      </c>
      <c r="I106" s="62">
        <f t="shared" si="48"/>
        <v>36.76</v>
      </c>
      <c r="J106" s="62">
        <f t="shared" si="48"/>
        <v>36.85</v>
      </c>
      <c r="K106" s="62">
        <f t="shared" si="48"/>
        <v>37.579999999999991</v>
      </c>
      <c r="L106" s="62">
        <f t="shared" si="48"/>
        <v>41.27</v>
      </c>
      <c r="M106" s="62">
        <f t="shared" si="48"/>
        <v>42.600000000000009</v>
      </c>
      <c r="N106" s="62">
        <f t="shared" si="48"/>
        <v>46.44</v>
      </c>
      <c r="O106" s="62">
        <f t="shared" si="48"/>
        <v>51.72</v>
      </c>
      <c r="P106" s="62">
        <f t="shared" si="48"/>
        <v>56.05</v>
      </c>
      <c r="Q106" s="62">
        <f t="shared" si="48"/>
        <v>56.359999999999992</v>
      </c>
      <c r="R106" s="62">
        <f t="shared" si="48"/>
        <v>57.23</v>
      </c>
      <c r="S106" s="62">
        <f t="shared" si="48"/>
        <v>57.970000000000006</v>
      </c>
      <c r="T106" s="62">
        <f t="shared" si="48"/>
        <v>60.167000000000002</v>
      </c>
      <c r="U106" s="62">
        <f t="shared" si="48"/>
        <v>57.160000000000004</v>
      </c>
      <c r="V106" s="62">
        <f t="shared" si="48"/>
        <v>54.709999999999994</v>
      </c>
      <c r="W106" s="62">
        <f t="shared" si="48"/>
        <v>56.47999999999999</v>
      </c>
      <c r="X106" s="62">
        <f t="shared" si="48"/>
        <v>55.28</v>
      </c>
      <c r="Y106" s="62">
        <f t="shared" si="48"/>
        <v>56.33</v>
      </c>
      <c r="Z106" s="62">
        <f t="shared" si="48"/>
        <v>55.259999999999991</v>
      </c>
      <c r="AA106" s="62">
        <f t="shared" si="48"/>
        <v>0</v>
      </c>
      <c r="AB106" s="62">
        <f t="shared" si="48"/>
        <v>0</v>
      </c>
      <c r="AC106" s="62">
        <f t="shared" si="48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7" t="s">
        <v>82</v>
      </c>
      <c r="B107" s="417"/>
      <c r="C107" s="417"/>
      <c r="D107" s="52"/>
      <c r="E107" s="52"/>
      <c r="F107" s="63">
        <f t="shared" ref="F107:AC107" si="49">(COUNT(F13:F16))*7.2+(COUNT(F27:F28)*4.9)+(COUNT(F19:F21)*4.5)-F90-F92</f>
        <v>9.6000000000000032</v>
      </c>
      <c r="G107" s="63">
        <f t="shared" si="49"/>
        <v>11.700000000000003</v>
      </c>
      <c r="H107" s="63">
        <f t="shared" si="49"/>
        <v>12.900000000000002</v>
      </c>
      <c r="I107" s="63">
        <f t="shared" si="49"/>
        <v>10.600000000000001</v>
      </c>
      <c r="J107" s="63">
        <f t="shared" si="49"/>
        <v>17.7</v>
      </c>
      <c r="K107" s="63">
        <f t="shared" si="49"/>
        <v>12.700000000000003</v>
      </c>
      <c r="L107" s="63">
        <f t="shared" si="49"/>
        <v>11.700000000000003</v>
      </c>
      <c r="M107" s="63">
        <f t="shared" si="49"/>
        <v>10.300000000000002</v>
      </c>
      <c r="N107" s="63">
        <f t="shared" si="49"/>
        <v>7.9000000000000039</v>
      </c>
      <c r="O107" s="63">
        <f t="shared" si="49"/>
        <v>9.3000000000000025</v>
      </c>
      <c r="P107" s="63">
        <f t="shared" si="49"/>
        <v>3.5000000000000009</v>
      </c>
      <c r="Q107" s="63">
        <f t="shared" si="49"/>
        <v>4.7000000000000037</v>
      </c>
      <c r="R107" s="63">
        <f t="shared" si="49"/>
        <v>11.600000000000001</v>
      </c>
      <c r="S107" s="63">
        <f t="shared" si="49"/>
        <v>3.9000000000000004</v>
      </c>
      <c r="T107" s="63">
        <f>(COUNT(T13:T16))*7.2+(COUNT(T27:T28)*4.9)+(COUNT(T19:T21)*4.5)-T90-T92</f>
        <v>15.400000000000002</v>
      </c>
      <c r="U107" s="63">
        <f t="shared" si="49"/>
        <v>2.8000000000000025</v>
      </c>
      <c r="V107" s="63">
        <f t="shared" si="49"/>
        <v>4.0000000000000036</v>
      </c>
      <c r="W107" s="63">
        <f t="shared" si="49"/>
        <v>5.0000000000000018</v>
      </c>
      <c r="X107" s="63">
        <f t="shared" si="49"/>
        <v>3.0000000000000009</v>
      </c>
      <c r="Y107" s="63">
        <f t="shared" si="49"/>
        <v>3.7000000000000011</v>
      </c>
      <c r="Z107" s="63">
        <f t="shared" si="49"/>
        <v>2.8000000000000043</v>
      </c>
      <c r="AA107" s="63">
        <f t="shared" si="49"/>
        <v>0</v>
      </c>
      <c r="AB107" s="63">
        <f t="shared" si="49"/>
        <v>0</v>
      </c>
      <c r="AC107" s="63">
        <f t="shared" si="49"/>
        <v>0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8" t="s">
        <v>83</v>
      </c>
      <c r="B108" s="419"/>
      <c r="C108" s="420"/>
      <c r="D108" s="205"/>
      <c r="E108" s="205"/>
      <c r="F108" s="206">
        <f t="shared" ref="F108:P108" si="5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4.9000000000000012</v>
      </c>
      <c r="G108" s="206">
        <f t="shared" si="50"/>
        <v>2.1000000000000014</v>
      </c>
      <c r="H108" s="206">
        <f t="shared" si="50"/>
        <v>3.8000000000000007</v>
      </c>
      <c r="I108" s="206">
        <f t="shared" si="50"/>
        <v>2.7000000000000011</v>
      </c>
      <c r="J108" s="206">
        <f t="shared" si="50"/>
        <v>9.7000000000000011</v>
      </c>
      <c r="K108" s="206">
        <f t="shared" si="50"/>
        <v>3.7</v>
      </c>
      <c r="L108" s="206">
        <f t="shared" si="50"/>
        <v>2.1000000000000005</v>
      </c>
      <c r="M108" s="206">
        <f t="shared" si="50"/>
        <v>12.8</v>
      </c>
      <c r="N108" s="206">
        <f t="shared" si="50"/>
        <v>13.200000000000006</v>
      </c>
      <c r="O108" s="206">
        <f t="shared" si="50"/>
        <v>15.1</v>
      </c>
      <c r="P108" s="206">
        <f t="shared" si="50"/>
        <v>9.3000000000000007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11.900000000000002</v>
      </c>
      <c r="R108" s="206">
        <f t="shared" ref="R108:AC108" si="5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11.8</v>
      </c>
      <c r="S108" s="206">
        <f t="shared" si="51"/>
        <v>11</v>
      </c>
      <c r="T108" s="206">
        <f t="shared" si="51"/>
        <v>22.5</v>
      </c>
      <c r="U108" s="206">
        <f t="shared" si="51"/>
        <v>9.9000000000000021</v>
      </c>
      <c r="V108" s="206">
        <f t="shared" si="51"/>
        <v>11.200000000000003</v>
      </c>
      <c r="W108" s="206">
        <f t="shared" si="51"/>
        <v>12.2</v>
      </c>
      <c r="X108" s="206">
        <f t="shared" si="51"/>
        <v>10.199999999999999</v>
      </c>
      <c r="Y108" s="206">
        <f t="shared" si="51"/>
        <v>10.6</v>
      </c>
      <c r="Z108" s="206">
        <f t="shared" si="51"/>
        <v>9.7000000000000028</v>
      </c>
      <c r="AA108" s="206">
        <f t="shared" si="51"/>
        <v>7.2</v>
      </c>
      <c r="AB108" s="206">
        <f t="shared" si="51"/>
        <v>7.2</v>
      </c>
      <c r="AC108" s="206">
        <f t="shared" si="51"/>
        <v>7.2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21" t="s">
        <v>84</v>
      </c>
      <c r="B109" s="421"/>
      <c r="C109" s="421"/>
      <c r="D109" s="60"/>
      <c r="E109" s="73"/>
      <c r="F109" s="75">
        <v>60.2</v>
      </c>
      <c r="G109" s="75">
        <v>60.18</v>
      </c>
      <c r="H109" s="75">
        <v>60.21</v>
      </c>
      <c r="I109" s="75">
        <v>60.13</v>
      </c>
      <c r="J109" s="75">
        <v>60.22</v>
      </c>
      <c r="K109" s="75">
        <v>60.28</v>
      </c>
      <c r="L109" s="75">
        <v>60.04</v>
      </c>
      <c r="M109" s="75">
        <v>60.33</v>
      </c>
      <c r="N109" s="75">
        <v>60.2</v>
      </c>
      <c r="O109" s="75">
        <v>60.12</v>
      </c>
      <c r="P109" s="84">
        <v>60.16</v>
      </c>
      <c r="Q109" s="84">
        <v>60.2</v>
      </c>
      <c r="R109" s="84">
        <v>60.18</v>
      </c>
      <c r="S109" s="84">
        <v>60.1</v>
      </c>
      <c r="T109" s="84">
        <v>60.51</v>
      </c>
      <c r="U109" s="75">
        <v>60.13</v>
      </c>
      <c r="V109" s="75">
        <v>60.27</v>
      </c>
      <c r="W109" s="75">
        <v>60.2</v>
      </c>
      <c r="X109" s="75">
        <v>60.06</v>
      </c>
      <c r="Y109" s="75"/>
      <c r="Z109" s="75"/>
      <c r="AA109" s="75"/>
      <c r="AB109" s="75"/>
      <c r="AC109" s="75"/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21" t="s">
        <v>85</v>
      </c>
      <c r="B110" s="421"/>
      <c r="C110" s="42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21" t="s">
        <v>86</v>
      </c>
      <c r="B111" s="421"/>
      <c r="C111" s="42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2" t="s">
        <v>87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23" t="s">
        <v>88</v>
      </c>
      <c r="B125" s="424"/>
      <c r="C125" s="425"/>
      <c r="D125" s="51"/>
      <c r="E125" s="51"/>
      <c r="F125" s="44">
        <f>SUM(F117:F124)</f>
        <v>0</v>
      </c>
      <c r="G125" s="44">
        <f t="shared" ref="G125:AB125" si="52">SUM(G117:G124)</f>
        <v>0</v>
      </c>
      <c r="H125" s="44">
        <f t="shared" si="52"/>
        <v>0</v>
      </c>
      <c r="I125" s="44">
        <f t="shared" si="52"/>
        <v>0</v>
      </c>
      <c r="J125" s="44">
        <f t="shared" si="52"/>
        <v>0</v>
      </c>
      <c r="K125" s="44">
        <f t="shared" si="52"/>
        <v>0</v>
      </c>
      <c r="L125" s="44">
        <f t="shared" si="52"/>
        <v>0</v>
      </c>
      <c r="M125" s="44">
        <f t="shared" si="52"/>
        <v>0</v>
      </c>
      <c r="N125" s="44">
        <f t="shared" si="52"/>
        <v>0</v>
      </c>
      <c r="O125" s="44">
        <f t="shared" si="52"/>
        <v>0</v>
      </c>
      <c r="P125" s="44">
        <f t="shared" si="52"/>
        <v>0</v>
      </c>
      <c r="Q125" s="44">
        <f t="shared" si="52"/>
        <v>0</v>
      </c>
      <c r="R125" s="44">
        <f t="shared" si="52"/>
        <v>0</v>
      </c>
      <c r="S125" s="44">
        <f t="shared" si="52"/>
        <v>0</v>
      </c>
      <c r="T125" s="44">
        <f t="shared" si="52"/>
        <v>0</v>
      </c>
      <c r="U125" s="44">
        <f t="shared" si="52"/>
        <v>0</v>
      </c>
      <c r="V125" s="44">
        <f t="shared" si="52"/>
        <v>0</v>
      </c>
      <c r="W125" s="44">
        <f t="shared" si="52"/>
        <v>0</v>
      </c>
      <c r="X125" s="44">
        <f t="shared" si="52"/>
        <v>0</v>
      </c>
      <c r="Y125" s="44">
        <f t="shared" si="52"/>
        <v>0</v>
      </c>
      <c r="Z125" s="44">
        <f t="shared" si="52"/>
        <v>0</v>
      </c>
      <c r="AA125" s="44">
        <f t="shared" si="52"/>
        <v>0</v>
      </c>
      <c r="AB125" s="44">
        <f t="shared" si="52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15:C116"/>
    <mergeCell ref="F115:AC115"/>
    <mergeCell ref="A117:C117"/>
    <mergeCell ref="A118:C118"/>
    <mergeCell ref="A119:C119"/>
    <mergeCell ref="A120:C120"/>
    <mergeCell ref="A107:C107"/>
    <mergeCell ref="A108:C108"/>
    <mergeCell ref="A109:C109"/>
    <mergeCell ref="A110:C110"/>
    <mergeCell ref="A111:C111"/>
    <mergeCell ref="A113:AC113"/>
    <mergeCell ref="A101:C101"/>
    <mergeCell ref="A102:C102"/>
    <mergeCell ref="A103:C103"/>
    <mergeCell ref="A104:C104"/>
    <mergeCell ref="A105:C105"/>
    <mergeCell ref="A106:C106"/>
    <mergeCell ref="A95:C95"/>
    <mergeCell ref="A96:C96"/>
    <mergeCell ref="A97:C97"/>
    <mergeCell ref="A98:C98"/>
    <mergeCell ref="A99:C99"/>
    <mergeCell ref="A100:C100"/>
    <mergeCell ref="A89:C89"/>
    <mergeCell ref="A90:C90"/>
    <mergeCell ref="A91:C91"/>
    <mergeCell ref="A92:C92"/>
    <mergeCell ref="A93:C93"/>
    <mergeCell ref="A94:C94"/>
    <mergeCell ref="M8:O8"/>
    <mergeCell ref="M9:O9"/>
    <mergeCell ref="A84:AC84"/>
    <mergeCell ref="A86:C87"/>
    <mergeCell ref="F86:AC86"/>
    <mergeCell ref="A88:C88"/>
  </mergeCells>
  <conditionalFormatting sqref="G109:AC109">
    <cfRule type="cellIs" dxfId="9206" priority="8907" operator="greaterThan">
      <formula>60.3</formula>
    </cfRule>
  </conditionalFormatting>
  <conditionalFormatting sqref="G53:G55 J56:L56 J13:K14 I57:L58 I53:I56 I40:I50 J66:K66 J67:J72 J74 I13:I16 I27:AC28 I66:I74 L13:AC13 K67:K74 L14 J15:AC16 N51:O52 J53:O55 J35:O50 O52:O56 M56:O58 J24:AC24 I20:AC21 P35:AC58 I77:AC78 N61:AC63 L66:AC74">
    <cfRule type="cellIs" dxfId="9205" priority="8899" operator="equal">
      <formula>"PMS"</formula>
    </cfRule>
    <cfRule type="containsText" dxfId="9204" priority="8900" operator="containsText" text="CMS">
      <formula>NOT(ISERROR(SEARCH("CMS",G13)))</formula>
    </cfRule>
    <cfRule type="cellIs" dxfId="9203" priority="8901" operator="equal">
      <formula>0</formula>
    </cfRule>
    <cfRule type="cellIs" dxfId="9202" priority="8902" operator="greaterThan">
      <formula>0</formula>
    </cfRule>
    <cfRule type="cellIs" dxfId="9201" priority="8903" operator="equal">
      <formula>"PMS"</formula>
    </cfRule>
    <cfRule type="containsText" dxfId="9200" priority="8904" operator="containsText" text="CMS">
      <formula>NOT(ISERROR(SEARCH("CMS",G13)))</formula>
    </cfRule>
    <cfRule type="cellIs" dxfId="9199" priority="8905" operator="equal">
      <formula>0</formula>
    </cfRule>
    <cfRule type="cellIs" dxfId="9198" priority="8906" operator="greaterThan">
      <formula>0</formula>
    </cfRule>
  </conditionalFormatting>
  <conditionalFormatting sqref="O77:AC78 O61:AC63 O66:AC74">
    <cfRule type="cellIs" dxfId="9197" priority="8895" operator="equal">
      <formula>"PMS"</formula>
    </cfRule>
    <cfRule type="containsText" dxfId="9196" priority="8896" operator="containsText" text="CMS">
      <formula>NOT(ISERROR(SEARCH("CMS",O61)))</formula>
    </cfRule>
    <cfRule type="cellIs" dxfId="9195" priority="8897" operator="equal">
      <formula>0</formula>
    </cfRule>
    <cfRule type="cellIs" dxfId="9194" priority="8898" operator="greaterThan">
      <formula>0</formula>
    </cfRule>
  </conditionalFormatting>
  <conditionalFormatting sqref="P66:AC74">
    <cfRule type="cellIs" dxfId="9193" priority="8891" operator="equal">
      <formula>"PMS"</formula>
    </cfRule>
    <cfRule type="containsText" dxfId="9192" priority="8892" operator="containsText" text="CMS">
      <formula>NOT(ISERROR(SEARCH("CMS",P66)))</formula>
    </cfRule>
    <cfRule type="cellIs" dxfId="9191" priority="8893" operator="equal">
      <formula>0</formula>
    </cfRule>
    <cfRule type="cellIs" dxfId="9190" priority="8894" operator="greaterThan">
      <formula>0</formula>
    </cfRule>
  </conditionalFormatting>
  <conditionalFormatting sqref="O13:AC13 O15:AC16">
    <cfRule type="cellIs" dxfId="9189" priority="8887" operator="equal">
      <formula>"PMS"</formula>
    </cfRule>
    <cfRule type="containsText" dxfId="9188" priority="8888" operator="containsText" text="CMS">
      <formula>NOT(ISERROR(SEARCH("CMS",O13)))</formula>
    </cfRule>
    <cfRule type="cellIs" dxfId="9187" priority="8889" operator="equal">
      <formula>0</formula>
    </cfRule>
    <cfRule type="cellIs" dxfId="9186" priority="8890" operator="greaterThan">
      <formula>0</formula>
    </cfRule>
  </conditionalFormatting>
  <conditionalFormatting sqref="P13:AC13 P15:AC16">
    <cfRule type="cellIs" dxfId="9185" priority="8883" operator="equal">
      <formula>"PMS"</formula>
    </cfRule>
    <cfRule type="containsText" dxfId="9184" priority="8884" operator="containsText" text="CMS">
      <formula>NOT(ISERROR(SEARCH("CMS",P13)))</formula>
    </cfRule>
    <cfRule type="cellIs" dxfId="9183" priority="8885" operator="equal">
      <formula>0</formula>
    </cfRule>
    <cfRule type="cellIs" dxfId="9182" priority="8886" operator="greaterThan">
      <formula>0</formula>
    </cfRule>
  </conditionalFormatting>
  <conditionalFormatting sqref="O20:AC21">
    <cfRule type="cellIs" dxfId="9181" priority="8879" operator="equal">
      <formula>"PMS"</formula>
    </cfRule>
    <cfRule type="containsText" dxfId="9180" priority="8880" operator="containsText" text="CMS">
      <formula>NOT(ISERROR(SEARCH("CMS",O20)))</formula>
    </cfRule>
    <cfRule type="cellIs" dxfId="9179" priority="8881" operator="equal">
      <formula>0</formula>
    </cfRule>
    <cfRule type="cellIs" dxfId="9178" priority="8882" operator="greaterThan">
      <formula>0</formula>
    </cfRule>
  </conditionalFormatting>
  <conditionalFormatting sqref="P20:AC21">
    <cfRule type="cellIs" dxfId="9177" priority="8875" operator="equal">
      <formula>"PMS"</formula>
    </cfRule>
    <cfRule type="containsText" dxfId="9176" priority="8876" operator="containsText" text="CMS">
      <formula>NOT(ISERROR(SEARCH("CMS",P20)))</formula>
    </cfRule>
    <cfRule type="cellIs" dxfId="9175" priority="8877" operator="equal">
      <formula>0</formula>
    </cfRule>
    <cfRule type="cellIs" dxfId="9174" priority="8878" operator="greaterThan">
      <formula>0</formula>
    </cfRule>
  </conditionalFormatting>
  <conditionalFormatting sqref="O24:AC24">
    <cfRule type="cellIs" dxfId="9173" priority="8871" operator="equal">
      <formula>"PMS"</formula>
    </cfRule>
    <cfRule type="containsText" dxfId="9172" priority="8872" operator="containsText" text="CMS">
      <formula>NOT(ISERROR(SEARCH("CMS",O24)))</formula>
    </cfRule>
    <cfRule type="cellIs" dxfId="9171" priority="8873" operator="equal">
      <formula>0</formula>
    </cfRule>
    <cfRule type="cellIs" dxfId="9170" priority="8874" operator="greaterThan">
      <formula>0</formula>
    </cfRule>
  </conditionalFormatting>
  <conditionalFormatting sqref="O24:AC24">
    <cfRule type="cellIs" dxfId="9169" priority="8867" operator="equal">
      <formula>"PMS"</formula>
    </cfRule>
    <cfRule type="containsText" dxfId="9168" priority="8868" operator="containsText" text="CMS">
      <formula>NOT(ISERROR(SEARCH("CMS",O24)))</formula>
    </cfRule>
    <cfRule type="cellIs" dxfId="9167" priority="8869" operator="equal">
      <formula>0</formula>
    </cfRule>
    <cfRule type="cellIs" dxfId="9166" priority="8870" operator="greaterThan">
      <formula>0</formula>
    </cfRule>
  </conditionalFormatting>
  <conditionalFormatting sqref="O27:AC28">
    <cfRule type="cellIs" dxfId="9165" priority="8863" operator="equal">
      <formula>"PMS"</formula>
    </cfRule>
    <cfRule type="containsText" dxfId="9164" priority="8864" operator="containsText" text="CMS">
      <formula>NOT(ISERROR(SEARCH("CMS",O27)))</formula>
    </cfRule>
    <cfRule type="cellIs" dxfId="9163" priority="8865" operator="equal">
      <formula>0</formula>
    </cfRule>
    <cfRule type="cellIs" dxfId="9162" priority="8866" operator="greaterThan">
      <formula>0</formula>
    </cfRule>
  </conditionalFormatting>
  <conditionalFormatting sqref="P27:AC28">
    <cfRule type="cellIs" dxfId="9161" priority="8859" operator="equal">
      <formula>"PMS"</formula>
    </cfRule>
    <cfRule type="containsText" dxfId="9160" priority="8860" operator="containsText" text="CMS">
      <formula>NOT(ISERROR(SEARCH("CMS",P27)))</formula>
    </cfRule>
    <cfRule type="cellIs" dxfId="9159" priority="8861" operator="equal">
      <formula>0</formula>
    </cfRule>
    <cfRule type="cellIs" dxfId="9158" priority="8862" operator="greaterThan">
      <formula>0</formula>
    </cfRule>
  </conditionalFormatting>
  <conditionalFormatting sqref="P50 R50:S58 O35:S49 O52:Q58 T35:AC58">
    <cfRule type="cellIs" dxfId="9157" priority="8855" operator="equal">
      <formula>"PMS"</formula>
    </cfRule>
    <cfRule type="containsText" dxfId="9156" priority="8856" operator="containsText" text="CMS">
      <formula>NOT(ISERROR(SEARCH("CMS",O35)))</formula>
    </cfRule>
    <cfRule type="cellIs" dxfId="9155" priority="8857" operator="equal">
      <formula>0</formula>
    </cfRule>
    <cfRule type="cellIs" dxfId="9154" priority="8858" operator="greaterThan">
      <formula>0</formula>
    </cfRule>
  </conditionalFormatting>
  <conditionalFormatting sqref="P50 R50:S58 O38:O49 P35:S49 O52:Q58 T35:AC58">
    <cfRule type="cellIs" dxfId="9153" priority="8851" operator="equal">
      <formula>"PMS"</formula>
    </cfRule>
    <cfRule type="containsText" dxfId="9152" priority="8852" operator="containsText" text="CMS">
      <formula>NOT(ISERROR(SEARCH("CMS",O35)))</formula>
    </cfRule>
    <cfRule type="cellIs" dxfId="9151" priority="8853" operator="equal">
      <formula>0</formula>
    </cfRule>
    <cfRule type="cellIs" dxfId="9150" priority="8854" operator="greaterThan">
      <formula>0</formula>
    </cfRule>
  </conditionalFormatting>
  <conditionalFormatting sqref="W13:AC13 AC15 Z15:AB16 W15:X16">
    <cfRule type="cellIs" dxfId="9149" priority="8847" operator="equal">
      <formula>"PMS"</formula>
    </cfRule>
    <cfRule type="containsText" dxfId="9148" priority="8848" operator="containsText" text="CMS">
      <formula>NOT(ISERROR(SEARCH("CMS",W13)))</formula>
    </cfRule>
    <cfRule type="cellIs" dxfId="9147" priority="8849" operator="equal">
      <formula>0</formula>
    </cfRule>
    <cfRule type="cellIs" dxfId="9146" priority="8850" operator="greaterThan">
      <formula>0</formula>
    </cfRule>
  </conditionalFormatting>
  <conditionalFormatting sqref="W13:AC13 AC15 Z15:AB16 W15:X16">
    <cfRule type="cellIs" dxfId="9145" priority="8843" operator="equal">
      <formula>"PMS"</formula>
    </cfRule>
    <cfRule type="containsText" dxfId="9144" priority="8844" operator="containsText" text="CMS">
      <formula>NOT(ISERROR(SEARCH("CMS",W13)))</formula>
    </cfRule>
    <cfRule type="cellIs" dxfId="9143" priority="8845" operator="equal">
      <formula>0</formula>
    </cfRule>
    <cfRule type="cellIs" dxfId="9142" priority="8846" operator="greaterThan">
      <formula>0</formula>
    </cfRule>
  </conditionalFormatting>
  <conditionalFormatting sqref="X57:AC57">
    <cfRule type="cellIs" dxfId="9141" priority="8839" operator="equal">
      <formula>"PMS"</formula>
    </cfRule>
    <cfRule type="containsText" dxfId="9140" priority="8840" operator="containsText" text="CMS">
      <formula>NOT(ISERROR(SEARCH("CMS",X57)))</formula>
    </cfRule>
    <cfRule type="cellIs" dxfId="9139" priority="8841" operator="equal">
      <formula>0</formula>
    </cfRule>
    <cfRule type="cellIs" dxfId="9138" priority="8842" operator="greaterThan">
      <formula>0</formula>
    </cfRule>
  </conditionalFormatting>
  <conditionalFormatting sqref="X57:AC57">
    <cfRule type="cellIs" dxfId="9137" priority="8835" operator="equal">
      <formula>"PMS"</formula>
    </cfRule>
    <cfRule type="containsText" dxfId="9136" priority="8836" operator="containsText" text="CMS">
      <formula>NOT(ISERROR(SEARCH("CMS",X57)))</formula>
    </cfRule>
    <cfRule type="cellIs" dxfId="9135" priority="8837" operator="equal">
      <formula>0</formula>
    </cfRule>
    <cfRule type="cellIs" dxfId="9134" priority="8838" operator="greaterThan">
      <formula>0</formula>
    </cfRule>
  </conditionalFormatting>
  <conditionalFormatting sqref="X57:AC57">
    <cfRule type="cellIs" dxfId="9133" priority="8831" operator="equal">
      <formula>"PMS"</formula>
    </cfRule>
    <cfRule type="containsText" dxfId="9132" priority="8832" operator="containsText" text="CMS">
      <formula>NOT(ISERROR(SEARCH("CMS",X57)))</formula>
    </cfRule>
    <cfRule type="cellIs" dxfId="9131" priority="8833" operator="equal">
      <formula>0</formula>
    </cfRule>
    <cfRule type="cellIs" dxfId="9130" priority="8834" operator="greaterThan">
      <formula>0</formula>
    </cfRule>
  </conditionalFormatting>
  <conditionalFormatting sqref="X57:AC57">
    <cfRule type="cellIs" dxfId="9129" priority="8827" operator="equal">
      <formula>"PMS"</formula>
    </cfRule>
    <cfRule type="containsText" dxfId="9128" priority="8828" operator="containsText" text="CMS">
      <formula>NOT(ISERROR(SEARCH("CMS",X57)))</formula>
    </cfRule>
    <cfRule type="cellIs" dxfId="9127" priority="8829" operator="equal">
      <formula>0</formula>
    </cfRule>
    <cfRule type="cellIs" dxfId="9126" priority="8830" operator="greaterThan">
      <formula>0</formula>
    </cfRule>
  </conditionalFormatting>
  <conditionalFormatting sqref="AB58:AC58">
    <cfRule type="cellIs" dxfId="9125" priority="8823" operator="equal">
      <formula>"PMS"</formula>
    </cfRule>
    <cfRule type="containsText" dxfId="9124" priority="8824" operator="containsText" text="CMS">
      <formula>NOT(ISERROR(SEARCH("CMS",AB58)))</formula>
    </cfRule>
    <cfRule type="cellIs" dxfId="9123" priority="8825" operator="equal">
      <formula>0</formula>
    </cfRule>
    <cfRule type="cellIs" dxfId="9122" priority="8826" operator="greaterThan">
      <formula>0</formula>
    </cfRule>
  </conditionalFormatting>
  <conditionalFormatting sqref="AB58:AC58">
    <cfRule type="cellIs" dxfId="9121" priority="8819" operator="equal">
      <formula>"PMS"</formula>
    </cfRule>
    <cfRule type="containsText" dxfId="9120" priority="8820" operator="containsText" text="CMS">
      <formula>NOT(ISERROR(SEARCH("CMS",AB58)))</formula>
    </cfRule>
    <cfRule type="cellIs" dxfId="9119" priority="8821" operator="equal">
      <formula>0</formula>
    </cfRule>
    <cfRule type="cellIs" dxfId="9118" priority="8822" operator="greaterThan">
      <formula>0</formula>
    </cfRule>
  </conditionalFormatting>
  <conditionalFormatting sqref="AB58:AC58">
    <cfRule type="cellIs" dxfId="9117" priority="8815" operator="equal">
      <formula>"PMS"</formula>
    </cfRule>
    <cfRule type="containsText" dxfId="9116" priority="8816" operator="containsText" text="CMS">
      <formula>NOT(ISERROR(SEARCH("CMS",AB58)))</formula>
    </cfRule>
    <cfRule type="cellIs" dxfId="9115" priority="8817" operator="equal">
      <formula>0</formula>
    </cfRule>
    <cfRule type="cellIs" dxfId="9114" priority="8818" operator="greaterThan">
      <formula>0</formula>
    </cfRule>
  </conditionalFormatting>
  <conditionalFormatting sqref="AB58:AC58">
    <cfRule type="cellIs" dxfId="9113" priority="8811" operator="equal">
      <formula>"PMS"</formula>
    </cfRule>
    <cfRule type="containsText" dxfId="9112" priority="8812" operator="containsText" text="CMS">
      <formula>NOT(ISERROR(SEARCH("CMS",AB58)))</formula>
    </cfRule>
    <cfRule type="cellIs" dxfId="9111" priority="8813" operator="equal">
      <formula>0</formula>
    </cfRule>
    <cfRule type="cellIs" dxfId="9110" priority="8814" operator="greaterThan">
      <formula>0</formula>
    </cfRule>
  </conditionalFormatting>
  <conditionalFormatting sqref="AB78">
    <cfRule type="cellIs" dxfId="9109" priority="8807" operator="equal">
      <formula>"PMS"</formula>
    </cfRule>
    <cfRule type="containsText" dxfId="9108" priority="8808" operator="containsText" text="CMS">
      <formula>NOT(ISERROR(SEARCH("CMS",AB78)))</formula>
    </cfRule>
    <cfRule type="cellIs" dxfId="9107" priority="8809" operator="equal">
      <formula>0</formula>
    </cfRule>
    <cfRule type="cellIs" dxfId="9106" priority="8810" operator="greaterThan">
      <formula>0</formula>
    </cfRule>
  </conditionalFormatting>
  <conditionalFormatting sqref="AB78">
    <cfRule type="cellIs" dxfId="9105" priority="8803" operator="equal">
      <formula>"PMS"</formula>
    </cfRule>
    <cfRule type="containsText" dxfId="9104" priority="8804" operator="containsText" text="CMS">
      <formula>NOT(ISERROR(SEARCH("CMS",AB78)))</formula>
    </cfRule>
    <cfRule type="cellIs" dxfId="9103" priority="8805" operator="equal">
      <formula>0</formula>
    </cfRule>
    <cfRule type="cellIs" dxfId="9102" priority="8806" operator="greaterThan">
      <formula>0</formula>
    </cfRule>
  </conditionalFormatting>
  <conditionalFormatting sqref="O44:O49">
    <cfRule type="cellIs" dxfId="9101" priority="8799" operator="equal">
      <formula>"PMS"</formula>
    </cfRule>
    <cfRule type="containsText" dxfId="9100" priority="8800" operator="containsText" text="CMS">
      <formula>NOT(ISERROR(SEARCH("CMS",O44)))</formula>
    </cfRule>
    <cfRule type="cellIs" dxfId="9099" priority="8801" operator="equal">
      <formula>0</formula>
    </cfRule>
    <cfRule type="cellIs" dxfId="9098" priority="8802" operator="greaterThan">
      <formula>0</formula>
    </cfRule>
  </conditionalFormatting>
  <conditionalFormatting sqref="P56 O52:O58">
    <cfRule type="cellIs" dxfId="9097" priority="8795" operator="equal">
      <formula>"PMS"</formula>
    </cfRule>
    <cfRule type="containsText" dxfId="9096" priority="8796" operator="containsText" text="CMS">
      <formula>NOT(ISERROR(SEARCH("CMS",O52)))</formula>
    </cfRule>
    <cfRule type="cellIs" dxfId="9095" priority="8797" operator="equal">
      <formula>0</formula>
    </cfRule>
    <cfRule type="cellIs" dxfId="9094" priority="8798" operator="greaterThan">
      <formula>0</formula>
    </cfRule>
  </conditionalFormatting>
  <conditionalFormatting sqref="O49">
    <cfRule type="cellIs" dxfId="9093" priority="8791" operator="equal">
      <formula>"PMS"</formula>
    </cfRule>
    <cfRule type="containsText" dxfId="9092" priority="8792" operator="containsText" text="CMS">
      <formula>NOT(ISERROR(SEARCH("CMS",O49)))</formula>
    </cfRule>
    <cfRule type="cellIs" dxfId="9091" priority="8793" operator="equal">
      <formula>0</formula>
    </cfRule>
    <cfRule type="cellIs" dxfId="9090" priority="8794" operator="greaterThan">
      <formula>0</formula>
    </cfRule>
  </conditionalFormatting>
  <conditionalFormatting sqref="P56 O52:O58">
    <cfRule type="cellIs" dxfId="9089" priority="8787" operator="equal">
      <formula>"PMS"</formula>
    </cfRule>
    <cfRule type="containsText" dxfId="9088" priority="8788" operator="containsText" text="CMS">
      <formula>NOT(ISERROR(SEARCH("CMS",O52)))</formula>
    </cfRule>
    <cfRule type="cellIs" dxfId="9087" priority="8789" operator="equal">
      <formula>0</formula>
    </cfRule>
    <cfRule type="cellIs" dxfId="9086" priority="8790" operator="greaterThan">
      <formula>0</formula>
    </cfRule>
  </conditionalFormatting>
  <conditionalFormatting sqref="Q24:V24">
    <cfRule type="cellIs" dxfId="9085" priority="8783" operator="equal">
      <formula>"PMS"</formula>
    </cfRule>
    <cfRule type="containsText" dxfId="9084" priority="8784" operator="containsText" text="CMS">
      <formula>NOT(ISERROR(SEARCH("CMS",Q24)))</formula>
    </cfRule>
    <cfRule type="cellIs" dxfId="9083" priority="8785" operator="equal">
      <formula>0</formula>
    </cfRule>
    <cfRule type="cellIs" dxfId="9082" priority="8786" operator="greaterThan">
      <formula>0</formula>
    </cfRule>
  </conditionalFormatting>
  <conditionalFormatting sqref="Q24:V24">
    <cfRule type="cellIs" dxfId="9081" priority="8779" operator="equal">
      <formula>"PMS"</formula>
    </cfRule>
    <cfRule type="containsText" dxfId="9080" priority="8780" operator="containsText" text="CMS">
      <formula>NOT(ISERROR(SEARCH("CMS",Q24)))</formula>
    </cfRule>
    <cfRule type="cellIs" dxfId="9079" priority="8781" operator="equal">
      <formula>0</formula>
    </cfRule>
    <cfRule type="cellIs" dxfId="9078" priority="8782" operator="greaterThan">
      <formula>0</formula>
    </cfRule>
  </conditionalFormatting>
  <conditionalFormatting sqref="Q27:V28">
    <cfRule type="cellIs" dxfId="9077" priority="8775" operator="equal">
      <formula>"PMS"</formula>
    </cfRule>
    <cfRule type="containsText" dxfId="9076" priority="8776" operator="containsText" text="CMS">
      <formula>NOT(ISERROR(SEARCH("CMS",Q27)))</formula>
    </cfRule>
    <cfRule type="cellIs" dxfId="9075" priority="8777" operator="equal">
      <formula>0</formula>
    </cfRule>
    <cfRule type="cellIs" dxfId="9074" priority="8778" operator="greaterThan">
      <formula>0</formula>
    </cfRule>
  </conditionalFormatting>
  <conditionalFormatting sqref="Q27:V28">
    <cfRule type="cellIs" dxfId="9073" priority="8771" operator="equal">
      <formula>"PMS"</formula>
    </cfRule>
    <cfRule type="containsText" dxfId="9072" priority="8772" operator="containsText" text="CMS">
      <formula>NOT(ISERROR(SEARCH("CMS",Q27)))</formula>
    </cfRule>
    <cfRule type="cellIs" dxfId="9071" priority="8773" operator="equal">
      <formula>0</formula>
    </cfRule>
    <cfRule type="cellIs" dxfId="9070" priority="8774" operator="greaterThan">
      <formula>0</formula>
    </cfRule>
  </conditionalFormatting>
  <conditionalFormatting sqref="R27:V28">
    <cfRule type="cellIs" dxfId="9069" priority="8767" operator="equal">
      <formula>"PMS"</formula>
    </cfRule>
    <cfRule type="containsText" dxfId="9068" priority="8768" operator="containsText" text="CMS">
      <formula>NOT(ISERROR(SEARCH("CMS",R27)))</formula>
    </cfRule>
    <cfRule type="cellIs" dxfId="9067" priority="8769" operator="equal">
      <formula>0</formula>
    </cfRule>
    <cfRule type="cellIs" dxfId="9066" priority="8770" operator="greaterThan">
      <formula>0</formula>
    </cfRule>
  </conditionalFormatting>
  <conditionalFormatting sqref="R27:V28">
    <cfRule type="cellIs" dxfId="9065" priority="8763" operator="equal">
      <formula>"PMS"</formula>
    </cfRule>
    <cfRule type="containsText" dxfId="9064" priority="8764" operator="containsText" text="CMS">
      <formula>NOT(ISERROR(SEARCH("CMS",R27)))</formula>
    </cfRule>
    <cfRule type="cellIs" dxfId="9063" priority="8765" operator="equal">
      <formula>0</formula>
    </cfRule>
    <cfRule type="cellIs" dxfId="9062" priority="8766" operator="greaterThan">
      <formula>0</formula>
    </cfRule>
  </conditionalFormatting>
  <conditionalFormatting sqref="P56 O52:O58">
    <cfRule type="cellIs" dxfId="9061" priority="8759" operator="equal">
      <formula>"PMS"</formula>
    </cfRule>
    <cfRule type="containsText" dxfId="9060" priority="8760" operator="containsText" text="CMS">
      <formula>NOT(ISERROR(SEARCH("CMS",O52)))</formula>
    </cfRule>
    <cfRule type="cellIs" dxfId="9059" priority="8761" operator="equal">
      <formula>0</formula>
    </cfRule>
    <cfRule type="cellIs" dxfId="9058" priority="8762" operator="greaterThan">
      <formula>0</formula>
    </cfRule>
  </conditionalFormatting>
  <conditionalFormatting sqref="O44:O46">
    <cfRule type="cellIs" dxfId="9057" priority="8755" operator="equal">
      <formula>"PMS"</formula>
    </cfRule>
    <cfRule type="containsText" dxfId="9056" priority="8756" operator="containsText" text="CMS">
      <formula>NOT(ISERROR(SEARCH("CMS",O44)))</formula>
    </cfRule>
    <cfRule type="cellIs" dxfId="9055" priority="8757" operator="equal">
      <formula>0</formula>
    </cfRule>
    <cfRule type="cellIs" dxfId="9054" priority="8758" operator="greaterThan">
      <formula>0</formula>
    </cfRule>
  </conditionalFormatting>
  <conditionalFormatting sqref="O44:O46">
    <cfRule type="cellIs" dxfId="9053" priority="8751" operator="equal">
      <formula>"PMS"</formula>
    </cfRule>
    <cfRule type="containsText" dxfId="9052" priority="8752" operator="containsText" text="CMS">
      <formula>NOT(ISERROR(SEARCH("CMS",O44)))</formula>
    </cfRule>
    <cfRule type="cellIs" dxfId="9051" priority="8753" operator="equal">
      <formula>0</formula>
    </cfRule>
    <cfRule type="cellIs" dxfId="9050" priority="8754" operator="greaterThan">
      <formula>0</formula>
    </cfRule>
  </conditionalFormatting>
  <conditionalFormatting sqref="O44:O46">
    <cfRule type="cellIs" dxfId="9049" priority="8747" operator="equal">
      <formula>"PMS"</formula>
    </cfRule>
    <cfRule type="containsText" dxfId="9048" priority="8748" operator="containsText" text="CMS">
      <formula>NOT(ISERROR(SEARCH("CMS",O44)))</formula>
    </cfRule>
    <cfRule type="cellIs" dxfId="9047" priority="8749" operator="equal">
      <formula>0</formula>
    </cfRule>
    <cfRule type="cellIs" dxfId="9046" priority="8750" operator="greaterThan">
      <formula>0</formula>
    </cfRule>
  </conditionalFormatting>
  <conditionalFormatting sqref="O46">
    <cfRule type="cellIs" dxfId="9045" priority="8743" operator="equal">
      <formula>"PMS"</formula>
    </cfRule>
    <cfRule type="containsText" dxfId="9044" priority="8744" operator="containsText" text="CMS">
      <formula>NOT(ISERROR(SEARCH("CMS",O46)))</formula>
    </cfRule>
    <cfRule type="cellIs" dxfId="9043" priority="8745" operator="equal">
      <formula>0</formula>
    </cfRule>
    <cfRule type="cellIs" dxfId="9042" priority="8746" operator="greaterThan">
      <formula>0</formula>
    </cfRule>
  </conditionalFormatting>
  <conditionalFormatting sqref="O46">
    <cfRule type="cellIs" dxfId="9041" priority="8739" operator="equal">
      <formula>"PMS"</formula>
    </cfRule>
    <cfRule type="containsText" dxfId="9040" priority="8740" operator="containsText" text="CMS">
      <formula>NOT(ISERROR(SEARCH("CMS",O46)))</formula>
    </cfRule>
    <cfRule type="cellIs" dxfId="9039" priority="8741" operator="equal">
      <formula>0</formula>
    </cfRule>
    <cfRule type="cellIs" dxfId="9038" priority="8742" operator="greaterThan">
      <formula>0</formula>
    </cfRule>
  </conditionalFormatting>
  <conditionalFormatting sqref="O46">
    <cfRule type="cellIs" dxfId="9037" priority="8735" operator="equal">
      <formula>"PMS"</formula>
    </cfRule>
    <cfRule type="containsText" dxfId="9036" priority="8736" operator="containsText" text="CMS">
      <formula>NOT(ISERROR(SEARCH("CMS",O46)))</formula>
    </cfRule>
    <cfRule type="cellIs" dxfId="9035" priority="8737" operator="equal">
      <formula>0</formula>
    </cfRule>
    <cfRule type="cellIs" dxfId="9034" priority="8738" operator="greaterThan">
      <formula>0</formula>
    </cfRule>
  </conditionalFormatting>
  <conditionalFormatting sqref="I19:AC19">
    <cfRule type="cellIs" dxfId="9033" priority="8731" operator="equal">
      <formula>"CMS"</formula>
    </cfRule>
    <cfRule type="cellIs" dxfId="9032" priority="8732" operator="equal">
      <formula>"PMS"</formula>
    </cfRule>
    <cfRule type="cellIs" dxfId="9031" priority="8733" operator="greaterThan">
      <formula>0</formula>
    </cfRule>
    <cfRule type="cellIs" dxfId="9030" priority="8734" operator="equal">
      <formula>0</formula>
    </cfRule>
  </conditionalFormatting>
  <conditionalFormatting sqref="G61:G63">
    <cfRule type="cellIs" dxfId="9029" priority="8727" operator="equal">
      <formula>"CMS"</formula>
    </cfRule>
    <cfRule type="cellIs" dxfId="9028" priority="8728" operator="equal">
      <formula>"PMS"</formula>
    </cfRule>
    <cfRule type="cellIs" dxfId="9027" priority="8729" operator="greaterThan">
      <formula>0</formula>
    </cfRule>
    <cfRule type="cellIs" dxfId="9026" priority="8730" operator="equal">
      <formula>0</formula>
    </cfRule>
  </conditionalFormatting>
  <conditionalFormatting sqref="G77">
    <cfRule type="cellIs" dxfId="9025" priority="8722" operator="equal">
      <formula>"EOC"</formula>
    </cfRule>
    <cfRule type="cellIs" dxfId="9024" priority="8723" operator="equal">
      <formula>"CMS"</formula>
    </cfRule>
    <cfRule type="cellIs" dxfId="9023" priority="8724" operator="equal">
      <formula>"PMS"</formula>
    </cfRule>
    <cfRule type="cellIs" dxfId="9022" priority="8725" operator="greaterThan">
      <formula>0</formula>
    </cfRule>
    <cfRule type="cellIs" dxfId="9021" priority="8726" operator="equal">
      <formula>0</formula>
    </cfRule>
  </conditionalFormatting>
  <conditionalFormatting sqref="F109">
    <cfRule type="cellIs" dxfId="9020" priority="8721" operator="greaterThan">
      <formula>60.3</formula>
    </cfRule>
  </conditionalFormatting>
  <conditionalFormatting sqref="G36:G44 G50 G47">
    <cfRule type="cellIs" dxfId="9019" priority="8713" operator="equal">
      <formula>"PMS"</formula>
    </cfRule>
    <cfRule type="containsText" dxfId="9018" priority="8714" operator="containsText" text="CMS">
      <formula>NOT(ISERROR(SEARCH("CMS",G36)))</formula>
    </cfRule>
    <cfRule type="cellIs" dxfId="9017" priority="8715" operator="equal">
      <formula>0</formula>
    </cfRule>
    <cfRule type="cellIs" dxfId="9016" priority="8716" operator="greaterThan">
      <formula>0</formula>
    </cfRule>
    <cfRule type="cellIs" dxfId="9015" priority="8717" operator="equal">
      <formula>"PMS"</formula>
    </cfRule>
    <cfRule type="containsText" dxfId="9014" priority="8718" operator="containsText" text="CMS">
      <formula>NOT(ISERROR(SEARCH("CMS",G36)))</formula>
    </cfRule>
    <cfRule type="cellIs" dxfId="9013" priority="8719" operator="equal">
      <formula>0</formula>
    </cfRule>
    <cfRule type="cellIs" dxfId="9012" priority="8720" operator="greaterThan">
      <formula>0</formula>
    </cfRule>
  </conditionalFormatting>
  <conditionalFormatting sqref="G36:G44 G50 G47">
    <cfRule type="cellIs" dxfId="9011" priority="8709" operator="equal">
      <formula>"PMS"</formula>
    </cfRule>
    <cfRule type="containsText" dxfId="9010" priority="8710" operator="containsText" text="CMS">
      <formula>NOT(ISERROR(SEARCH("CMS",G36)))</formula>
    </cfRule>
    <cfRule type="cellIs" dxfId="9009" priority="8711" operator="equal">
      <formula>0</formula>
    </cfRule>
    <cfRule type="cellIs" dxfId="9008" priority="8712" operator="greaterThan">
      <formula>0</formula>
    </cfRule>
  </conditionalFormatting>
  <conditionalFormatting sqref="G36:G44 G50 G47">
    <cfRule type="cellIs" dxfId="9007" priority="8705" operator="equal">
      <formula>"PMS"</formula>
    </cfRule>
    <cfRule type="containsText" dxfId="9006" priority="8706" operator="containsText" text="CMS">
      <formula>NOT(ISERROR(SEARCH("CMS",G36)))</formula>
    </cfRule>
    <cfRule type="cellIs" dxfId="9005" priority="8707" operator="equal">
      <formula>0</formula>
    </cfRule>
    <cfRule type="cellIs" dxfId="9004" priority="8708" operator="greaterThan">
      <formula>0</formula>
    </cfRule>
  </conditionalFormatting>
  <conditionalFormatting sqref="I36:I39">
    <cfRule type="cellIs" dxfId="9003" priority="8697" operator="equal">
      <formula>"PMS"</formula>
    </cfRule>
    <cfRule type="containsText" dxfId="9002" priority="8698" operator="containsText" text="CMS">
      <formula>NOT(ISERROR(SEARCH("CMS",I36)))</formula>
    </cfRule>
    <cfRule type="cellIs" dxfId="9001" priority="8699" operator="equal">
      <formula>0</formula>
    </cfRule>
    <cfRule type="cellIs" dxfId="9000" priority="8700" operator="greaterThan">
      <formula>0</formula>
    </cfRule>
    <cfRule type="cellIs" dxfId="8999" priority="8701" operator="equal">
      <formula>"PMS"</formula>
    </cfRule>
    <cfRule type="containsText" dxfId="8998" priority="8702" operator="containsText" text="CMS">
      <formula>NOT(ISERROR(SEARCH("CMS",I36)))</formula>
    </cfRule>
    <cfRule type="cellIs" dxfId="8997" priority="8703" operator="equal">
      <formula>0</formula>
    </cfRule>
    <cfRule type="cellIs" dxfId="8996" priority="8704" operator="greaterThan">
      <formula>0</formula>
    </cfRule>
  </conditionalFormatting>
  <conditionalFormatting sqref="I36:I39">
    <cfRule type="cellIs" dxfId="8995" priority="8693" operator="equal">
      <formula>"PMS"</formula>
    </cfRule>
    <cfRule type="containsText" dxfId="8994" priority="8694" operator="containsText" text="CMS">
      <formula>NOT(ISERROR(SEARCH("CMS",I36)))</formula>
    </cfRule>
    <cfRule type="cellIs" dxfId="8993" priority="8695" operator="equal">
      <formula>0</formula>
    </cfRule>
    <cfRule type="cellIs" dxfId="8992" priority="8696" operator="greaterThan">
      <formula>0</formula>
    </cfRule>
  </conditionalFormatting>
  <conditionalFormatting sqref="I36:I39">
    <cfRule type="cellIs" dxfId="8991" priority="8689" operator="equal">
      <formula>"PMS"</formula>
    </cfRule>
    <cfRule type="containsText" dxfId="8990" priority="8690" operator="containsText" text="CMS">
      <formula>NOT(ISERROR(SEARCH("CMS",I36)))</formula>
    </cfRule>
    <cfRule type="cellIs" dxfId="8989" priority="8691" operator="equal">
      <formula>0</formula>
    </cfRule>
    <cfRule type="cellIs" dxfId="8988" priority="8692" operator="greaterThan">
      <formula>0</formula>
    </cfRule>
  </conditionalFormatting>
  <conditionalFormatting sqref="O49">
    <cfRule type="cellIs" dxfId="8987" priority="8685" operator="equal">
      <formula>"PMS"</formula>
    </cfRule>
    <cfRule type="containsText" dxfId="8986" priority="8686" operator="containsText" text="CMS">
      <formula>NOT(ISERROR(SEARCH("CMS",O49)))</formula>
    </cfRule>
    <cfRule type="cellIs" dxfId="8985" priority="8687" operator="equal">
      <formula>0</formula>
    </cfRule>
    <cfRule type="cellIs" dxfId="8984" priority="8688" operator="greaterThan">
      <formula>0</formula>
    </cfRule>
  </conditionalFormatting>
  <conditionalFormatting sqref="P56 O52:O58">
    <cfRule type="cellIs" dxfId="8983" priority="8681" operator="equal">
      <formula>"PMS"</formula>
    </cfRule>
    <cfRule type="containsText" dxfId="8982" priority="8682" operator="containsText" text="CMS">
      <formula>NOT(ISERROR(SEARCH("CMS",O52)))</formula>
    </cfRule>
    <cfRule type="cellIs" dxfId="8981" priority="8683" operator="equal">
      <formula>0</formula>
    </cfRule>
    <cfRule type="cellIs" dxfId="8980" priority="8684" operator="greaterThan">
      <formula>0</formula>
    </cfRule>
  </conditionalFormatting>
  <conditionalFormatting sqref="O57:P57">
    <cfRule type="cellIs" dxfId="8979" priority="8677" operator="equal">
      <formula>"PMS"</formula>
    </cfRule>
    <cfRule type="containsText" dxfId="8978" priority="8678" operator="containsText" text="CMS">
      <formula>NOT(ISERROR(SEARCH("CMS",O57)))</formula>
    </cfRule>
    <cfRule type="cellIs" dxfId="8977" priority="8679" operator="equal">
      <formula>0</formula>
    </cfRule>
    <cfRule type="cellIs" dxfId="8976" priority="8680" operator="greaterThan">
      <formula>0</formula>
    </cfRule>
  </conditionalFormatting>
  <conditionalFormatting sqref="O49">
    <cfRule type="cellIs" dxfId="8975" priority="8673" operator="equal">
      <formula>"PMS"</formula>
    </cfRule>
    <cfRule type="containsText" dxfId="8974" priority="8674" operator="containsText" text="CMS">
      <formula>NOT(ISERROR(SEARCH("CMS",O49)))</formula>
    </cfRule>
    <cfRule type="cellIs" dxfId="8973" priority="8675" operator="equal">
      <formula>0</formula>
    </cfRule>
    <cfRule type="cellIs" dxfId="8972" priority="8676" operator="greaterThan">
      <formula>0</formula>
    </cfRule>
  </conditionalFormatting>
  <conditionalFormatting sqref="P56 O52:O58">
    <cfRule type="cellIs" dxfId="8971" priority="8669" operator="equal">
      <formula>"PMS"</formula>
    </cfRule>
    <cfRule type="containsText" dxfId="8970" priority="8670" operator="containsText" text="CMS">
      <formula>NOT(ISERROR(SEARCH("CMS",O52)))</formula>
    </cfRule>
    <cfRule type="cellIs" dxfId="8969" priority="8671" operator="equal">
      <formula>0</formula>
    </cfRule>
    <cfRule type="cellIs" dxfId="8968" priority="8672" operator="greaterThan">
      <formula>0</formula>
    </cfRule>
  </conditionalFormatting>
  <conditionalFormatting sqref="O49">
    <cfRule type="cellIs" dxfId="8967" priority="8665" operator="equal">
      <formula>"PMS"</formula>
    </cfRule>
    <cfRule type="containsText" dxfId="8966" priority="8666" operator="containsText" text="CMS">
      <formula>NOT(ISERROR(SEARCH("CMS",O49)))</formula>
    </cfRule>
    <cfRule type="cellIs" dxfId="8965" priority="8667" operator="equal">
      <formula>0</formula>
    </cfRule>
    <cfRule type="cellIs" dxfId="8964" priority="8668" operator="greaterThan">
      <formula>0</formula>
    </cfRule>
  </conditionalFormatting>
  <conditionalFormatting sqref="P56 O52:O58">
    <cfRule type="cellIs" dxfId="8963" priority="8661" operator="equal">
      <formula>"PMS"</formula>
    </cfRule>
    <cfRule type="containsText" dxfId="8962" priority="8662" operator="containsText" text="CMS">
      <formula>NOT(ISERROR(SEARCH("CMS",O52)))</formula>
    </cfRule>
    <cfRule type="cellIs" dxfId="8961" priority="8663" operator="equal">
      <formula>0</formula>
    </cfRule>
    <cfRule type="cellIs" dxfId="8960" priority="8664" operator="greaterThan">
      <formula>0</formula>
    </cfRule>
  </conditionalFormatting>
  <conditionalFormatting sqref="W15:W16">
    <cfRule type="cellIs" dxfId="8959" priority="8657" operator="equal">
      <formula>"PMS"</formula>
    </cfRule>
    <cfRule type="containsText" dxfId="8958" priority="8658" operator="containsText" text="CMS">
      <formula>NOT(ISERROR(SEARCH("CMS",W15)))</formula>
    </cfRule>
    <cfRule type="cellIs" dxfId="8957" priority="8659" operator="equal">
      <formula>0</formula>
    </cfRule>
    <cfRule type="cellIs" dxfId="8956" priority="8660" operator="greaterThan">
      <formula>0</formula>
    </cfRule>
  </conditionalFormatting>
  <conditionalFormatting sqref="W15:W16">
    <cfRule type="cellIs" dxfId="8955" priority="8653" operator="equal">
      <formula>"PMS"</formula>
    </cfRule>
    <cfRule type="containsText" dxfId="8954" priority="8654" operator="containsText" text="CMS">
      <formula>NOT(ISERROR(SEARCH("CMS",W15)))</formula>
    </cfRule>
    <cfRule type="cellIs" dxfId="8953" priority="8655" operator="equal">
      <formula>0</formula>
    </cfRule>
    <cfRule type="cellIs" dxfId="8952" priority="8656" operator="greaterThan">
      <formula>0</formula>
    </cfRule>
  </conditionalFormatting>
  <conditionalFormatting sqref="X16">
    <cfRule type="cellIs" dxfId="8951" priority="8649" operator="equal">
      <formula>"PMS"</formula>
    </cfRule>
    <cfRule type="containsText" dxfId="8950" priority="8650" operator="containsText" text="CMS">
      <formula>NOT(ISERROR(SEARCH("CMS",X16)))</formula>
    </cfRule>
    <cfRule type="cellIs" dxfId="8949" priority="8651" operator="equal">
      <formula>0</formula>
    </cfRule>
    <cfRule type="cellIs" dxfId="8948" priority="8652" operator="greaterThan">
      <formula>0</formula>
    </cfRule>
  </conditionalFormatting>
  <conditionalFormatting sqref="X16">
    <cfRule type="cellIs" dxfId="8947" priority="8645" operator="equal">
      <formula>"PMS"</formula>
    </cfRule>
    <cfRule type="containsText" dxfId="8946" priority="8646" operator="containsText" text="CMS">
      <formula>NOT(ISERROR(SEARCH("CMS",X16)))</formula>
    </cfRule>
    <cfRule type="cellIs" dxfId="8945" priority="8647" operator="equal">
      <formula>0</formula>
    </cfRule>
    <cfRule type="cellIs" dxfId="8944" priority="8648" operator="greaterThan">
      <formula>0</formula>
    </cfRule>
  </conditionalFormatting>
  <conditionalFormatting sqref="O49">
    <cfRule type="cellIs" dxfId="8943" priority="8641" operator="equal">
      <formula>"PMS"</formula>
    </cfRule>
    <cfRule type="containsText" dxfId="8942" priority="8642" operator="containsText" text="CMS">
      <formula>NOT(ISERROR(SEARCH("CMS",O49)))</formula>
    </cfRule>
    <cfRule type="cellIs" dxfId="8941" priority="8643" operator="equal">
      <formula>0</formula>
    </cfRule>
    <cfRule type="cellIs" dxfId="8940" priority="8644" operator="greaterThan">
      <formula>0</formula>
    </cfRule>
  </conditionalFormatting>
  <conditionalFormatting sqref="O56:P56">
    <cfRule type="cellIs" dxfId="8939" priority="8637" operator="equal">
      <formula>"PMS"</formula>
    </cfRule>
    <cfRule type="containsText" dxfId="8938" priority="8638" operator="containsText" text="CMS">
      <formula>NOT(ISERROR(SEARCH("CMS",O56)))</formula>
    </cfRule>
    <cfRule type="cellIs" dxfId="8937" priority="8639" operator="equal">
      <formula>0</formula>
    </cfRule>
    <cfRule type="cellIs" dxfId="8936" priority="8640" operator="greaterThan">
      <formula>0</formula>
    </cfRule>
  </conditionalFormatting>
  <conditionalFormatting sqref="Z15">
    <cfRule type="cellIs" dxfId="8927" priority="8625" operator="equal">
      <formula>"PMS"</formula>
    </cfRule>
    <cfRule type="containsText" dxfId="8926" priority="8626" operator="containsText" text="CMS">
      <formula>NOT(ISERROR(SEARCH("CMS",Z15)))</formula>
    </cfRule>
    <cfRule type="cellIs" dxfId="8925" priority="8627" operator="equal">
      <formula>0</formula>
    </cfRule>
    <cfRule type="cellIs" dxfId="8924" priority="8628" operator="greaterThan">
      <formula>0</formula>
    </cfRule>
  </conditionalFormatting>
  <conditionalFormatting sqref="Z15">
    <cfRule type="cellIs" dxfId="8923" priority="8621" operator="equal">
      <formula>"PMS"</formula>
    </cfRule>
    <cfRule type="containsText" dxfId="8922" priority="8622" operator="containsText" text="CMS">
      <formula>NOT(ISERROR(SEARCH("CMS",Z15)))</formula>
    </cfRule>
    <cfRule type="cellIs" dxfId="8921" priority="8623" operator="equal">
      <formula>0</formula>
    </cfRule>
    <cfRule type="cellIs" dxfId="8920" priority="8624" operator="greaterThan">
      <formula>0</formula>
    </cfRule>
  </conditionalFormatting>
  <conditionalFormatting sqref="Z16">
    <cfRule type="cellIs" dxfId="8919" priority="8617" operator="equal">
      <formula>"PMS"</formula>
    </cfRule>
    <cfRule type="containsText" dxfId="8918" priority="8618" operator="containsText" text="CMS">
      <formula>NOT(ISERROR(SEARCH("CMS",Z16)))</formula>
    </cfRule>
    <cfRule type="cellIs" dxfId="8917" priority="8619" operator="equal">
      <formula>0</formula>
    </cfRule>
    <cfRule type="cellIs" dxfId="8916" priority="8620" operator="greaterThan">
      <formula>0</formula>
    </cfRule>
  </conditionalFormatting>
  <conditionalFormatting sqref="Z16">
    <cfRule type="cellIs" dxfId="8915" priority="8613" operator="equal">
      <formula>"PMS"</formula>
    </cfRule>
    <cfRule type="containsText" dxfId="8914" priority="8614" operator="containsText" text="CMS">
      <formula>NOT(ISERROR(SEARCH("CMS",Z16)))</formula>
    </cfRule>
    <cfRule type="cellIs" dxfId="8913" priority="8615" operator="equal">
      <formula>0</formula>
    </cfRule>
    <cfRule type="cellIs" dxfId="8912" priority="8616" operator="greaterThan">
      <formula>0</formula>
    </cfRule>
  </conditionalFormatting>
  <conditionalFormatting sqref="AA13 AA15:AA16">
    <cfRule type="cellIs" dxfId="8911" priority="8609" operator="equal">
      <formula>"PMS"</formula>
    </cfRule>
    <cfRule type="containsText" dxfId="8910" priority="8610" operator="containsText" text="CMS">
      <formula>NOT(ISERROR(SEARCH("CMS",AA13)))</formula>
    </cfRule>
    <cfRule type="cellIs" dxfId="8909" priority="8611" operator="equal">
      <formula>0</formula>
    </cfRule>
    <cfRule type="cellIs" dxfId="8908" priority="8612" operator="greaterThan">
      <formula>0</formula>
    </cfRule>
  </conditionalFormatting>
  <conditionalFormatting sqref="AA13 AA15:AA16">
    <cfRule type="cellIs" dxfId="8907" priority="8605" operator="equal">
      <formula>"PMS"</formula>
    </cfRule>
    <cfRule type="containsText" dxfId="8906" priority="8606" operator="containsText" text="CMS">
      <formula>NOT(ISERROR(SEARCH("CMS",AA13)))</formula>
    </cfRule>
    <cfRule type="cellIs" dxfId="8905" priority="8607" operator="equal">
      <formula>0</formula>
    </cfRule>
    <cfRule type="cellIs" dxfId="8904" priority="8608" operator="greaterThan">
      <formula>0</formula>
    </cfRule>
  </conditionalFormatting>
  <conditionalFormatting sqref="Z15:AA15">
    <cfRule type="cellIs" dxfId="8903" priority="8601" operator="equal">
      <formula>"PMS"</formula>
    </cfRule>
    <cfRule type="containsText" dxfId="8902" priority="8602" operator="containsText" text="CMS">
      <formula>NOT(ISERROR(SEARCH("CMS",Z15)))</formula>
    </cfRule>
    <cfRule type="cellIs" dxfId="8901" priority="8603" operator="equal">
      <formula>0</formula>
    </cfRule>
    <cfRule type="cellIs" dxfId="8900" priority="8604" operator="greaterThan">
      <formula>0</formula>
    </cfRule>
  </conditionalFormatting>
  <conditionalFormatting sqref="Z15:AA15">
    <cfRule type="cellIs" dxfId="8899" priority="8597" operator="equal">
      <formula>"PMS"</formula>
    </cfRule>
    <cfRule type="containsText" dxfId="8898" priority="8598" operator="containsText" text="CMS">
      <formula>NOT(ISERROR(SEARCH("CMS",Z15)))</formula>
    </cfRule>
    <cfRule type="cellIs" dxfId="8897" priority="8599" operator="equal">
      <formula>0</formula>
    </cfRule>
    <cfRule type="cellIs" dxfId="8896" priority="8600" operator="greaterThan">
      <formula>0</formula>
    </cfRule>
  </conditionalFormatting>
  <conditionalFormatting sqref="Z16:AA16">
    <cfRule type="cellIs" dxfId="8895" priority="8593" operator="equal">
      <formula>"PMS"</formula>
    </cfRule>
    <cfRule type="containsText" dxfId="8894" priority="8594" operator="containsText" text="CMS">
      <formula>NOT(ISERROR(SEARCH("CMS",Z16)))</formula>
    </cfRule>
    <cfRule type="cellIs" dxfId="8893" priority="8595" operator="equal">
      <formula>0</formula>
    </cfRule>
    <cfRule type="cellIs" dxfId="8892" priority="8596" operator="greaterThan">
      <formula>0</formula>
    </cfRule>
  </conditionalFormatting>
  <conditionalFormatting sqref="Z16:AA16">
    <cfRule type="cellIs" dxfId="8891" priority="8589" operator="equal">
      <formula>"PMS"</formula>
    </cfRule>
    <cfRule type="containsText" dxfId="8890" priority="8590" operator="containsText" text="CMS">
      <formula>NOT(ISERROR(SEARCH("CMS",Z16)))</formula>
    </cfRule>
    <cfRule type="cellIs" dxfId="8889" priority="8591" operator="equal">
      <formula>0</formula>
    </cfRule>
    <cfRule type="cellIs" dxfId="8888" priority="8592" operator="greaterThan">
      <formula>0</formula>
    </cfRule>
  </conditionalFormatting>
  <conditionalFormatting sqref="AA27">
    <cfRule type="cellIs" dxfId="8887" priority="8585" operator="equal">
      <formula>"PMS"</formula>
    </cfRule>
    <cfRule type="containsText" dxfId="8886" priority="8586" operator="containsText" text="CMS">
      <formula>NOT(ISERROR(SEARCH("CMS",AA27)))</formula>
    </cfRule>
    <cfRule type="cellIs" dxfId="8885" priority="8587" operator="equal">
      <formula>0</formula>
    </cfRule>
    <cfRule type="cellIs" dxfId="8884" priority="8588" operator="greaterThan">
      <formula>0</formula>
    </cfRule>
  </conditionalFormatting>
  <conditionalFormatting sqref="AA27">
    <cfRule type="cellIs" dxfId="8883" priority="8581" operator="equal">
      <formula>"PMS"</formula>
    </cfRule>
    <cfRule type="containsText" dxfId="8882" priority="8582" operator="containsText" text="CMS">
      <formula>NOT(ISERROR(SEARCH("CMS",AA27)))</formula>
    </cfRule>
    <cfRule type="cellIs" dxfId="8881" priority="8583" operator="equal">
      <formula>0</formula>
    </cfRule>
    <cfRule type="cellIs" dxfId="8880" priority="8584" operator="greaterThan">
      <formula>0</formula>
    </cfRule>
  </conditionalFormatting>
  <conditionalFormatting sqref="AA28">
    <cfRule type="cellIs" dxfId="8879" priority="8577" operator="equal">
      <formula>"PMS"</formula>
    </cfRule>
    <cfRule type="containsText" dxfId="8878" priority="8578" operator="containsText" text="CMS">
      <formula>NOT(ISERROR(SEARCH("CMS",AA28)))</formula>
    </cfRule>
    <cfRule type="cellIs" dxfId="8877" priority="8579" operator="equal">
      <formula>0</formula>
    </cfRule>
    <cfRule type="cellIs" dxfId="8876" priority="8580" operator="greaterThan">
      <formula>0</formula>
    </cfRule>
  </conditionalFormatting>
  <conditionalFormatting sqref="AA28">
    <cfRule type="cellIs" dxfId="8875" priority="8573" operator="equal">
      <formula>"PMS"</formula>
    </cfRule>
    <cfRule type="containsText" dxfId="8874" priority="8574" operator="containsText" text="CMS">
      <formula>NOT(ISERROR(SEARCH("CMS",AA28)))</formula>
    </cfRule>
    <cfRule type="cellIs" dxfId="8873" priority="8575" operator="equal">
      <formula>0</formula>
    </cfRule>
    <cfRule type="cellIs" dxfId="8872" priority="8576" operator="greaterThan">
      <formula>0</formula>
    </cfRule>
  </conditionalFormatting>
  <conditionalFormatting sqref="AB15">
    <cfRule type="cellIs" dxfId="8863" priority="8561" operator="equal">
      <formula>"PMS"</formula>
    </cfRule>
    <cfRule type="containsText" dxfId="8862" priority="8562" operator="containsText" text="CMS">
      <formula>NOT(ISERROR(SEARCH("CMS",AB15)))</formula>
    </cfRule>
    <cfRule type="cellIs" dxfId="8861" priority="8563" operator="equal">
      <formula>0</formula>
    </cfRule>
    <cfRule type="cellIs" dxfId="8860" priority="8564" operator="greaterThan">
      <formula>0</formula>
    </cfRule>
  </conditionalFormatting>
  <conditionalFormatting sqref="AB15">
    <cfRule type="cellIs" dxfId="8859" priority="8557" operator="equal">
      <formula>"PMS"</formula>
    </cfRule>
    <cfRule type="containsText" dxfId="8858" priority="8558" operator="containsText" text="CMS">
      <formula>NOT(ISERROR(SEARCH("CMS",AB15)))</formula>
    </cfRule>
    <cfRule type="cellIs" dxfId="8857" priority="8559" operator="equal">
      <formula>0</formula>
    </cfRule>
    <cfRule type="cellIs" dxfId="8856" priority="8560" operator="greaterThan">
      <formula>0</formula>
    </cfRule>
  </conditionalFormatting>
  <conditionalFormatting sqref="AB16">
    <cfRule type="cellIs" dxfId="8855" priority="8553" operator="equal">
      <formula>"PMS"</formula>
    </cfRule>
    <cfRule type="containsText" dxfId="8854" priority="8554" operator="containsText" text="CMS">
      <formula>NOT(ISERROR(SEARCH("CMS",AB16)))</formula>
    </cfRule>
    <cfRule type="cellIs" dxfId="8853" priority="8555" operator="equal">
      <formula>0</formula>
    </cfRule>
    <cfRule type="cellIs" dxfId="8852" priority="8556" operator="greaterThan">
      <formula>0</formula>
    </cfRule>
  </conditionalFormatting>
  <conditionalFormatting sqref="AB16">
    <cfRule type="cellIs" dxfId="8851" priority="8549" operator="equal">
      <formula>"PMS"</formula>
    </cfRule>
    <cfRule type="containsText" dxfId="8850" priority="8550" operator="containsText" text="CMS">
      <formula>NOT(ISERROR(SEARCH("CMS",AB16)))</formula>
    </cfRule>
    <cfRule type="cellIs" dxfId="8849" priority="8551" operator="equal">
      <formula>0</formula>
    </cfRule>
    <cfRule type="cellIs" dxfId="8848" priority="8552" operator="greaterThan">
      <formula>0</formula>
    </cfRule>
  </conditionalFormatting>
  <conditionalFormatting sqref="W15">
    <cfRule type="cellIs" dxfId="8839" priority="8537" operator="equal">
      <formula>"PMS"</formula>
    </cfRule>
    <cfRule type="containsText" dxfId="8838" priority="8538" operator="containsText" text="CMS">
      <formula>NOT(ISERROR(SEARCH("CMS",W15)))</formula>
    </cfRule>
    <cfRule type="cellIs" dxfId="8837" priority="8539" operator="equal">
      <formula>0</formula>
    </cfRule>
    <cfRule type="cellIs" dxfId="8836" priority="8540" operator="greaterThan">
      <formula>0</formula>
    </cfRule>
  </conditionalFormatting>
  <conditionalFormatting sqref="W15">
    <cfRule type="cellIs" dxfId="8835" priority="8533" operator="equal">
      <formula>"PMS"</formula>
    </cfRule>
    <cfRule type="containsText" dxfId="8834" priority="8534" operator="containsText" text="CMS">
      <formula>NOT(ISERROR(SEARCH("CMS",W15)))</formula>
    </cfRule>
    <cfRule type="cellIs" dxfId="8833" priority="8535" operator="equal">
      <formula>0</formula>
    </cfRule>
    <cfRule type="cellIs" dxfId="8832" priority="8536" operator="greaterThan">
      <formula>0</formula>
    </cfRule>
  </conditionalFormatting>
  <conditionalFormatting sqref="W16">
    <cfRule type="cellIs" dxfId="8831" priority="8529" operator="equal">
      <formula>"PMS"</formula>
    </cfRule>
    <cfRule type="containsText" dxfId="8830" priority="8530" operator="containsText" text="CMS">
      <formula>NOT(ISERROR(SEARCH("CMS",W16)))</formula>
    </cfRule>
    <cfRule type="cellIs" dxfId="8829" priority="8531" operator="equal">
      <formula>0</formula>
    </cfRule>
    <cfRule type="cellIs" dxfId="8828" priority="8532" operator="greaterThan">
      <formula>0</formula>
    </cfRule>
  </conditionalFormatting>
  <conditionalFormatting sqref="W16">
    <cfRule type="cellIs" dxfId="8827" priority="8525" operator="equal">
      <formula>"PMS"</formula>
    </cfRule>
    <cfRule type="containsText" dxfId="8826" priority="8526" operator="containsText" text="CMS">
      <formula>NOT(ISERROR(SEARCH("CMS",W16)))</formula>
    </cfRule>
    <cfRule type="cellIs" dxfId="8825" priority="8527" operator="equal">
      <formula>0</formula>
    </cfRule>
    <cfRule type="cellIs" dxfId="8824" priority="8528" operator="greaterThan">
      <formula>0</formula>
    </cfRule>
  </conditionalFormatting>
  <conditionalFormatting sqref="G56">
    <cfRule type="cellIs" dxfId="8823" priority="8517" operator="equal">
      <formula>"PMS"</formula>
    </cfRule>
    <cfRule type="containsText" dxfId="8822" priority="8518" operator="containsText" text="CMS">
      <formula>NOT(ISERROR(SEARCH("CMS",G56)))</formula>
    </cfRule>
    <cfRule type="cellIs" dxfId="8821" priority="8519" operator="equal">
      <formula>0</formula>
    </cfRule>
    <cfRule type="cellIs" dxfId="8820" priority="8520" operator="greaterThan">
      <formula>0</formula>
    </cfRule>
    <cfRule type="cellIs" dxfId="8819" priority="8521" operator="equal">
      <formula>"PMS"</formula>
    </cfRule>
    <cfRule type="containsText" dxfId="8818" priority="8522" operator="containsText" text="CMS">
      <formula>NOT(ISERROR(SEARCH("CMS",G56)))</formula>
    </cfRule>
    <cfRule type="cellIs" dxfId="8817" priority="8523" operator="equal">
      <formula>0</formula>
    </cfRule>
    <cfRule type="cellIs" dxfId="8816" priority="8524" operator="greaterThan">
      <formula>0</formula>
    </cfRule>
  </conditionalFormatting>
  <conditionalFormatting sqref="G56">
    <cfRule type="cellIs" dxfId="8815" priority="8513" operator="equal">
      <formula>"PMS"</formula>
    </cfRule>
    <cfRule type="containsText" dxfId="8814" priority="8514" operator="containsText" text="CMS">
      <formula>NOT(ISERROR(SEARCH("CMS",G56)))</formula>
    </cfRule>
    <cfRule type="cellIs" dxfId="8813" priority="8515" operator="equal">
      <formula>0</formula>
    </cfRule>
    <cfRule type="cellIs" dxfId="8812" priority="8516" operator="greaterThan">
      <formula>0</formula>
    </cfRule>
  </conditionalFormatting>
  <conditionalFormatting sqref="G56">
    <cfRule type="cellIs" dxfId="8811" priority="8509" operator="equal">
      <formula>"PMS"</formula>
    </cfRule>
    <cfRule type="containsText" dxfId="8810" priority="8510" operator="containsText" text="CMS">
      <formula>NOT(ISERROR(SEARCH("CMS",G56)))</formula>
    </cfRule>
    <cfRule type="cellIs" dxfId="8809" priority="8511" operator="equal">
      <formula>0</formula>
    </cfRule>
    <cfRule type="cellIs" dxfId="8808" priority="8512" operator="greaterThan">
      <formula>0</formula>
    </cfRule>
  </conditionalFormatting>
  <conditionalFormatting sqref="G13:G14">
    <cfRule type="cellIs" dxfId="8807" priority="8501" operator="equal">
      <formula>"PMS"</formula>
    </cfRule>
    <cfRule type="containsText" dxfId="8806" priority="8502" operator="containsText" text="CMS">
      <formula>NOT(ISERROR(SEARCH("CMS",G13)))</formula>
    </cfRule>
    <cfRule type="cellIs" dxfId="8805" priority="8503" operator="equal">
      <formula>0</formula>
    </cfRule>
    <cfRule type="cellIs" dxfId="8804" priority="8504" operator="greaterThan">
      <formula>0</formula>
    </cfRule>
    <cfRule type="cellIs" dxfId="8803" priority="8505" operator="equal">
      <formula>"PMS"</formula>
    </cfRule>
    <cfRule type="containsText" dxfId="8802" priority="8506" operator="containsText" text="CMS">
      <formula>NOT(ISERROR(SEARCH("CMS",G13)))</formula>
    </cfRule>
    <cfRule type="cellIs" dxfId="8801" priority="8507" operator="equal">
      <formula>0</formula>
    </cfRule>
    <cfRule type="cellIs" dxfId="8800" priority="8508" operator="greaterThan">
      <formula>0</formula>
    </cfRule>
  </conditionalFormatting>
  <conditionalFormatting sqref="G13:G14">
    <cfRule type="cellIs" dxfId="8799" priority="8497" operator="equal">
      <formula>"PMS"</formula>
    </cfRule>
    <cfRule type="containsText" dxfId="8798" priority="8498" operator="containsText" text="CMS">
      <formula>NOT(ISERROR(SEARCH("CMS",G13)))</formula>
    </cfRule>
    <cfRule type="cellIs" dxfId="8797" priority="8499" operator="equal">
      <formula>0</formula>
    </cfRule>
    <cfRule type="cellIs" dxfId="8796" priority="8500" operator="greaterThan">
      <formula>0</formula>
    </cfRule>
  </conditionalFormatting>
  <conditionalFormatting sqref="G13:G14">
    <cfRule type="cellIs" dxfId="8795" priority="8493" operator="equal">
      <formula>"PMS"</formula>
    </cfRule>
    <cfRule type="containsText" dxfId="8794" priority="8494" operator="containsText" text="CMS">
      <formula>NOT(ISERROR(SEARCH("CMS",G13)))</formula>
    </cfRule>
    <cfRule type="cellIs" dxfId="8793" priority="8495" operator="equal">
      <formula>0</formula>
    </cfRule>
    <cfRule type="cellIs" dxfId="8792" priority="8496" operator="greaterThan">
      <formula>0</formula>
    </cfRule>
  </conditionalFormatting>
  <conditionalFormatting sqref="G13:G14">
    <cfRule type="cellIs" dxfId="8791" priority="8489" operator="equal">
      <formula>"PMS"</formula>
    </cfRule>
    <cfRule type="containsText" dxfId="8790" priority="8490" operator="containsText" text="CMS">
      <formula>NOT(ISERROR(SEARCH("CMS",G13)))</formula>
    </cfRule>
    <cfRule type="cellIs" dxfId="8789" priority="8491" operator="equal">
      <formula>0</formula>
    </cfRule>
    <cfRule type="cellIs" dxfId="8788" priority="8492" operator="greaterThan">
      <formula>0</formula>
    </cfRule>
  </conditionalFormatting>
  <conditionalFormatting sqref="G13:G14">
    <cfRule type="cellIs" dxfId="8787" priority="8485" operator="equal">
      <formula>"PMS"</formula>
    </cfRule>
    <cfRule type="containsText" dxfId="8786" priority="8486" operator="containsText" text="CMS">
      <formula>NOT(ISERROR(SEARCH("CMS",G13)))</formula>
    </cfRule>
    <cfRule type="cellIs" dxfId="8785" priority="8487" operator="equal">
      <formula>0</formula>
    </cfRule>
    <cfRule type="cellIs" dxfId="8784" priority="8488" operator="greaterThan">
      <formula>0</formula>
    </cfRule>
  </conditionalFormatting>
  <conditionalFormatting sqref="G20">
    <cfRule type="cellIs" dxfId="8783" priority="8477" operator="equal">
      <formula>"PMS"</formula>
    </cfRule>
    <cfRule type="containsText" dxfId="8782" priority="8478" operator="containsText" text="CMS">
      <formula>NOT(ISERROR(SEARCH("CMS",G20)))</formula>
    </cfRule>
    <cfRule type="cellIs" dxfId="8781" priority="8479" operator="equal">
      <formula>0</formula>
    </cfRule>
    <cfRule type="cellIs" dxfId="8780" priority="8480" operator="greaterThan">
      <formula>0</formula>
    </cfRule>
    <cfRule type="cellIs" dxfId="8779" priority="8481" operator="equal">
      <formula>"PMS"</formula>
    </cfRule>
    <cfRule type="containsText" dxfId="8778" priority="8482" operator="containsText" text="CMS">
      <formula>NOT(ISERROR(SEARCH("CMS",G20)))</formula>
    </cfRule>
    <cfRule type="cellIs" dxfId="8777" priority="8483" operator="equal">
      <formula>0</formula>
    </cfRule>
    <cfRule type="cellIs" dxfId="8776" priority="8484" operator="greaterThan">
      <formula>0</formula>
    </cfRule>
  </conditionalFormatting>
  <conditionalFormatting sqref="G20">
    <cfRule type="cellIs" dxfId="8775" priority="8473" operator="equal">
      <formula>"PMS"</formula>
    </cfRule>
    <cfRule type="containsText" dxfId="8774" priority="8474" operator="containsText" text="CMS">
      <formula>NOT(ISERROR(SEARCH("CMS",G20)))</formula>
    </cfRule>
    <cfRule type="cellIs" dxfId="8773" priority="8475" operator="equal">
      <formula>0</formula>
    </cfRule>
    <cfRule type="cellIs" dxfId="8772" priority="8476" operator="greaterThan">
      <formula>0</formula>
    </cfRule>
  </conditionalFormatting>
  <conditionalFormatting sqref="G20">
    <cfRule type="cellIs" dxfId="8771" priority="8469" operator="equal">
      <formula>"PMS"</formula>
    </cfRule>
    <cfRule type="containsText" dxfId="8770" priority="8470" operator="containsText" text="CMS">
      <formula>NOT(ISERROR(SEARCH("CMS",G20)))</formula>
    </cfRule>
    <cfRule type="cellIs" dxfId="8769" priority="8471" operator="equal">
      <formula>0</formula>
    </cfRule>
    <cfRule type="cellIs" dxfId="8768" priority="8472" operator="greaterThan">
      <formula>0</formula>
    </cfRule>
  </conditionalFormatting>
  <conditionalFormatting sqref="G27:G29 J29 M29 P29 S29 V29 AB29">
    <cfRule type="cellIs" dxfId="8767" priority="8461" operator="equal">
      <formula>"PMS"</formula>
    </cfRule>
    <cfRule type="containsText" dxfId="8766" priority="8462" operator="containsText" text="CMS">
      <formula>NOT(ISERROR(SEARCH("CMS",G27)))</formula>
    </cfRule>
    <cfRule type="cellIs" dxfId="8765" priority="8463" operator="equal">
      <formula>0</formula>
    </cfRule>
    <cfRule type="cellIs" dxfId="8764" priority="8464" operator="greaterThan">
      <formula>0</formula>
    </cfRule>
    <cfRule type="cellIs" dxfId="8763" priority="8465" operator="equal">
      <formula>"PMS"</formula>
    </cfRule>
    <cfRule type="containsText" dxfId="8762" priority="8466" operator="containsText" text="CMS">
      <formula>NOT(ISERROR(SEARCH("CMS",G27)))</formula>
    </cfRule>
    <cfRule type="cellIs" dxfId="8761" priority="8467" operator="equal">
      <formula>0</formula>
    </cfRule>
    <cfRule type="cellIs" dxfId="8760" priority="8468" operator="greaterThan">
      <formula>0</formula>
    </cfRule>
  </conditionalFormatting>
  <conditionalFormatting sqref="G27:G29 J29 M29 P29 S29 V29 AB29">
    <cfRule type="cellIs" dxfId="8759" priority="8457" operator="equal">
      <formula>"PMS"</formula>
    </cfRule>
    <cfRule type="containsText" dxfId="8758" priority="8458" operator="containsText" text="CMS">
      <formula>NOT(ISERROR(SEARCH("CMS",G27)))</formula>
    </cfRule>
    <cfRule type="cellIs" dxfId="8757" priority="8459" operator="equal">
      <formula>0</formula>
    </cfRule>
    <cfRule type="cellIs" dxfId="8756" priority="8460" operator="greaterThan">
      <formula>0</formula>
    </cfRule>
  </conditionalFormatting>
  <conditionalFormatting sqref="G27:G29 J29 M29 P29 S29 V29 AB29">
    <cfRule type="cellIs" dxfId="8755" priority="8453" operator="equal">
      <formula>"PMS"</formula>
    </cfRule>
    <cfRule type="containsText" dxfId="8754" priority="8454" operator="containsText" text="CMS">
      <formula>NOT(ISERROR(SEARCH("CMS",G27)))</formula>
    </cfRule>
    <cfRule type="cellIs" dxfId="8753" priority="8455" operator="equal">
      <formula>0</formula>
    </cfRule>
    <cfRule type="cellIs" dxfId="8752" priority="8456" operator="greaterThan">
      <formula>0</formula>
    </cfRule>
  </conditionalFormatting>
  <conditionalFormatting sqref="G45:G46">
    <cfRule type="cellIs" dxfId="8751" priority="8445" operator="equal">
      <formula>"PMS"</formula>
    </cfRule>
    <cfRule type="containsText" dxfId="8750" priority="8446" operator="containsText" text="CMS">
      <formula>NOT(ISERROR(SEARCH("CMS",G45)))</formula>
    </cfRule>
    <cfRule type="cellIs" dxfId="8749" priority="8447" operator="equal">
      <formula>0</formula>
    </cfRule>
    <cfRule type="cellIs" dxfId="8748" priority="8448" operator="greaterThan">
      <formula>0</formula>
    </cfRule>
    <cfRule type="cellIs" dxfId="8747" priority="8449" operator="equal">
      <formula>"PMS"</formula>
    </cfRule>
    <cfRule type="containsText" dxfId="8746" priority="8450" operator="containsText" text="CMS">
      <formula>NOT(ISERROR(SEARCH("CMS",G45)))</formula>
    </cfRule>
    <cfRule type="cellIs" dxfId="8745" priority="8451" operator="equal">
      <formula>0</formula>
    </cfRule>
    <cfRule type="cellIs" dxfId="8744" priority="8452" operator="greaterThan">
      <formula>0</formula>
    </cfRule>
  </conditionalFormatting>
  <conditionalFormatting sqref="G45:G46">
    <cfRule type="cellIs" dxfId="8743" priority="8441" operator="equal">
      <formula>"PMS"</formula>
    </cfRule>
    <cfRule type="containsText" dxfId="8742" priority="8442" operator="containsText" text="CMS">
      <formula>NOT(ISERROR(SEARCH("CMS",G45)))</formula>
    </cfRule>
    <cfRule type="cellIs" dxfId="8741" priority="8443" operator="equal">
      <formula>0</formula>
    </cfRule>
    <cfRule type="cellIs" dxfId="8740" priority="8444" operator="greaterThan">
      <formula>0</formula>
    </cfRule>
  </conditionalFormatting>
  <conditionalFormatting sqref="G45:G46">
    <cfRule type="cellIs" dxfId="8739" priority="8437" operator="equal">
      <formula>"PMS"</formula>
    </cfRule>
    <cfRule type="containsText" dxfId="8738" priority="8438" operator="containsText" text="CMS">
      <formula>NOT(ISERROR(SEARCH("CMS",G45)))</formula>
    </cfRule>
    <cfRule type="cellIs" dxfId="8737" priority="8439" operator="equal">
      <formula>0</formula>
    </cfRule>
    <cfRule type="cellIs" dxfId="8736" priority="8440" operator="greaterThan">
      <formula>0</formula>
    </cfRule>
  </conditionalFormatting>
  <conditionalFormatting sqref="O48:O49">
    <cfRule type="cellIs" dxfId="8735" priority="8433" operator="equal">
      <formula>"PMS"</formula>
    </cfRule>
    <cfRule type="containsText" dxfId="8734" priority="8434" operator="containsText" text="CMS">
      <formula>NOT(ISERROR(SEARCH("CMS",O48)))</formula>
    </cfRule>
    <cfRule type="cellIs" dxfId="8733" priority="8435" operator="equal">
      <formula>0</formula>
    </cfRule>
    <cfRule type="cellIs" dxfId="8732" priority="8436" operator="greaterThan">
      <formula>0</formula>
    </cfRule>
  </conditionalFormatting>
  <conditionalFormatting sqref="O48:O49">
    <cfRule type="cellIs" dxfId="8731" priority="8429" operator="equal">
      <formula>"PMS"</formula>
    </cfRule>
    <cfRule type="containsText" dxfId="8730" priority="8430" operator="containsText" text="CMS">
      <formula>NOT(ISERROR(SEARCH("CMS",O48)))</formula>
    </cfRule>
    <cfRule type="cellIs" dxfId="8729" priority="8431" operator="equal">
      <formula>0</formula>
    </cfRule>
    <cfRule type="cellIs" dxfId="8728" priority="8432" operator="greaterThan">
      <formula>0</formula>
    </cfRule>
  </conditionalFormatting>
  <conditionalFormatting sqref="O48:O49">
    <cfRule type="cellIs" dxfId="8727" priority="8425" operator="equal">
      <formula>"PMS"</formula>
    </cfRule>
    <cfRule type="containsText" dxfId="8726" priority="8426" operator="containsText" text="CMS">
      <formula>NOT(ISERROR(SEARCH("CMS",O48)))</formula>
    </cfRule>
    <cfRule type="cellIs" dxfId="8725" priority="8427" operator="equal">
      <formula>0</formula>
    </cfRule>
    <cfRule type="cellIs" dxfId="8724" priority="8428" operator="greaterThan">
      <formula>0</formula>
    </cfRule>
  </conditionalFormatting>
  <conditionalFormatting sqref="O48:O49">
    <cfRule type="cellIs" dxfId="8723" priority="8421" operator="equal">
      <formula>"PMS"</formula>
    </cfRule>
    <cfRule type="containsText" dxfId="8722" priority="8422" operator="containsText" text="CMS">
      <formula>NOT(ISERROR(SEARCH("CMS",O48)))</formula>
    </cfRule>
    <cfRule type="cellIs" dxfId="8721" priority="8423" operator="equal">
      <formula>0</formula>
    </cfRule>
    <cfRule type="cellIs" dxfId="8720" priority="8424" operator="greaterThan">
      <formula>0</formula>
    </cfRule>
  </conditionalFormatting>
  <conditionalFormatting sqref="O56:P56">
    <cfRule type="cellIs" dxfId="8719" priority="8417" operator="equal">
      <formula>"PMS"</formula>
    </cfRule>
    <cfRule type="containsText" dxfId="8718" priority="8418" operator="containsText" text="CMS">
      <formula>NOT(ISERROR(SEARCH("CMS",O56)))</formula>
    </cfRule>
    <cfRule type="cellIs" dxfId="8717" priority="8419" operator="equal">
      <formula>0</formula>
    </cfRule>
    <cfRule type="cellIs" dxfId="8716" priority="8420" operator="greaterThan">
      <formula>0</formula>
    </cfRule>
  </conditionalFormatting>
  <conditionalFormatting sqref="O56:P56">
    <cfRule type="cellIs" dxfId="8715" priority="8413" operator="equal">
      <formula>"PMS"</formula>
    </cfRule>
    <cfRule type="containsText" dxfId="8714" priority="8414" operator="containsText" text="CMS">
      <formula>NOT(ISERROR(SEARCH("CMS",O56)))</formula>
    </cfRule>
    <cfRule type="cellIs" dxfId="8713" priority="8415" operator="equal">
      <formula>0</formula>
    </cfRule>
    <cfRule type="cellIs" dxfId="8712" priority="8416" operator="greaterThan">
      <formula>0</formula>
    </cfRule>
  </conditionalFormatting>
  <conditionalFormatting sqref="O56:P56">
    <cfRule type="cellIs" dxfId="8711" priority="8409" operator="equal">
      <formula>"PMS"</formula>
    </cfRule>
    <cfRule type="containsText" dxfId="8710" priority="8410" operator="containsText" text="CMS">
      <formula>NOT(ISERROR(SEARCH("CMS",O56)))</formula>
    </cfRule>
    <cfRule type="cellIs" dxfId="8709" priority="8411" operator="equal">
      <formula>0</formula>
    </cfRule>
    <cfRule type="cellIs" dxfId="8708" priority="8412" operator="greaterThan">
      <formula>0</formula>
    </cfRule>
  </conditionalFormatting>
  <conditionalFormatting sqref="O56:P56">
    <cfRule type="cellIs" dxfId="8707" priority="8405" operator="equal">
      <formula>"PMS"</formula>
    </cfRule>
    <cfRule type="containsText" dxfId="8706" priority="8406" operator="containsText" text="CMS">
      <formula>NOT(ISERROR(SEARCH("CMS",O56)))</formula>
    </cfRule>
    <cfRule type="cellIs" dxfId="8705" priority="8407" operator="equal">
      <formula>0</formula>
    </cfRule>
    <cfRule type="cellIs" dxfId="8704" priority="8408" operator="greaterThan">
      <formula>0</formula>
    </cfRule>
  </conditionalFormatting>
  <conditionalFormatting sqref="O57:P57">
    <cfRule type="cellIs" dxfId="8703" priority="8401" operator="equal">
      <formula>"PMS"</formula>
    </cfRule>
    <cfRule type="containsText" dxfId="8702" priority="8402" operator="containsText" text="CMS">
      <formula>NOT(ISERROR(SEARCH("CMS",O57)))</formula>
    </cfRule>
    <cfRule type="cellIs" dxfId="8701" priority="8403" operator="equal">
      <formula>0</formula>
    </cfRule>
    <cfRule type="cellIs" dxfId="8700" priority="8404" operator="greaterThan">
      <formula>0</formula>
    </cfRule>
  </conditionalFormatting>
  <conditionalFormatting sqref="O57:P57">
    <cfRule type="cellIs" dxfId="8699" priority="8397" operator="equal">
      <formula>"PMS"</formula>
    </cfRule>
    <cfRule type="containsText" dxfId="8698" priority="8398" operator="containsText" text="CMS">
      <formula>NOT(ISERROR(SEARCH("CMS",O57)))</formula>
    </cfRule>
    <cfRule type="cellIs" dxfId="8697" priority="8399" operator="equal">
      <formula>0</formula>
    </cfRule>
    <cfRule type="cellIs" dxfId="8696" priority="8400" operator="greaterThan">
      <formula>0</formula>
    </cfRule>
  </conditionalFormatting>
  <conditionalFormatting sqref="O57:P57">
    <cfRule type="cellIs" dxfId="8695" priority="8393" operator="equal">
      <formula>"PMS"</formula>
    </cfRule>
    <cfRule type="containsText" dxfId="8694" priority="8394" operator="containsText" text="CMS">
      <formula>NOT(ISERROR(SEARCH("CMS",O57)))</formula>
    </cfRule>
    <cfRule type="cellIs" dxfId="8693" priority="8395" operator="equal">
      <formula>0</formula>
    </cfRule>
    <cfRule type="cellIs" dxfId="8692" priority="8396" operator="greaterThan">
      <formula>0</formula>
    </cfRule>
  </conditionalFormatting>
  <conditionalFormatting sqref="O57:P57">
    <cfRule type="cellIs" dxfId="8691" priority="8389" operator="equal">
      <formula>"PMS"</formula>
    </cfRule>
    <cfRule type="containsText" dxfId="8690" priority="8390" operator="containsText" text="CMS">
      <formula>NOT(ISERROR(SEARCH("CMS",O57)))</formula>
    </cfRule>
    <cfRule type="cellIs" dxfId="8689" priority="8391" operator="equal">
      <formula>0</formula>
    </cfRule>
    <cfRule type="cellIs" dxfId="8688" priority="8392" operator="greaterThan">
      <formula>0</formula>
    </cfRule>
  </conditionalFormatting>
  <conditionalFormatting sqref="G48:G49">
    <cfRule type="cellIs" dxfId="8687" priority="8381" operator="equal">
      <formula>"PMS"</formula>
    </cfRule>
    <cfRule type="containsText" dxfId="8686" priority="8382" operator="containsText" text="CMS">
      <formula>NOT(ISERROR(SEARCH("CMS",G48)))</formula>
    </cfRule>
    <cfRule type="cellIs" dxfId="8685" priority="8383" operator="equal">
      <formula>0</formula>
    </cfRule>
    <cfRule type="cellIs" dxfId="8684" priority="8384" operator="greaterThan">
      <formula>0</formula>
    </cfRule>
    <cfRule type="cellIs" dxfId="8683" priority="8385" operator="equal">
      <formula>"PMS"</formula>
    </cfRule>
    <cfRule type="containsText" dxfId="8682" priority="8386" operator="containsText" text="CMS">
      <formula>NOT(ISERROR(SEARCH("CMS",G48)))</formula>
    </cfRule>
    <cfRule type="cellIs" dxfId="8681" priority="8387" operator="equal">
      <formula>0</formula>
    </cfRule>
    <cfRule type="cellIs" dxfId="8680" priority="8388" operator="greaterThan">
      <formula>0</formula>
    </cfRule>
  </conditionalFormatting>
  <conditionalFormatting sqref="G48:G49">
    <cfRule type="cellIs" dxfId="8679" priority="8377" operator="equal">
      <formula>"PMS"</formula>
    </cfRule>
    <cfRule type="containsText" dxfId="8678" priority="8378" operator="containsText" text="CMS">
      <formula>NOT(ISERROR(SEARCH("CMS",G48)))</formula>
    </cfRule>
    <cfRule type="cellIs" dxfId="8677" priority="8379" operator="equal">
      <formula>0</formula>
    </cfRule>
    <cfRule type="cellIs" dxfId="8676" priority="8380" operator="greaterThan">
      <formula>0</formula>
    </cfRule>
  </conditionalFormatting>
  <conditionalFormatting sqref="G48:G49">
    <cfRule type="cellIs" dxfId="8675" priority="8373" operator="equal">
      <formula>"PMS"</formula>
    </cfRule>
    <cfRule type="containsText" dxfId="8674" priority="8374" operator="containsText" text="CMS">
      <formula>NOT(ISERROR(SEARCH("CMS",G48)))</formula>
    </cfRule>
    <cfRule type="cellIs" dxfId="8673" priority="8375" operator="equal">
      <formula>0</formula>
    </cfRule>
    <cfRule type="cellIs" dxfId="8672" priority="8376" operator="greaterThan">
      <formula>0</formula>
    </cfRule>
  </conditionalFormatting>
  <conditionalFormatting sqref="G67:G72 G74">
    <cfRule type="cellIs" dxfId="8671" priority="8365" operator="equal">
      <formula>"PMS"</formula>
    </cfRule>
    <cfRule type="containsText" dxfId="8670" priority="8366" operator="containsText" text="CMS">
      <formula>NOT(ISERROR(SEARCH("CMS",G67)))</formula>
    </cfRule>
    <cfRule type="cellIs" dxfId="8669" priority="8367" operator="equal">
      <formula>0</formula>
    </cfRule>
    <cfRule type="cellIs" dxfId="8668" priority="8368" operator="greaterThan">
      <formula>0</formula>
    </cfRule>
    <cfRule type="cellIs" dxfId="8667" priority="8369" operator="equal">
      <formula>"PMS"</formula>
    </cfRule>
    <cfRule type="containsText" dxfId="8666" priority="8370" operator="containsText" text="CMS">
      <formula>NOT(ISERROR(SEARCH("CMS",G67)))</formula>
    </cfRule>
    <cfRule type="cellIs" dxfId="8665" priority="8371" operator="equal">
      <formula>0</formula>
    </cfRule>
    <cfRule type="cellIs" dxfId="8664" priority="8372" operator="greaterThan">
      <formula>0</formula>
    </cfRule>
  </conditionalFormatting>
  <conditionalFormatting sqref="P56 O52:O58">
    <cfRule type="cellIs" dxfId="8663" priority="8361" operator="equal">
      <formula>"PMS"</formula>
    </cfRule>
    <cfRule type="containsText" dxfId="8662" priority="8362" operator="containsText" text="CMS">
      <formula>NOT(ISERROR(SEARCH("CMS",O52)))</formula>
    </cfRule>
    <cfRule type="cellIs" dxfId="8661" priority="8363" operator="equal">
      <formula>0</formula>
    </cfRule>
    <cfRule type="cellIs" dxfId="8660" priority="8364" operator="greaterThan">
      <formula>0</formula>
    </cfRule>
  </conditionalFormatting>
  <conditionalFormatting sqref="G35 I24 I35 J73 G73">
    <cfRule type="cellIs" dxfId="8659" priority="8353" operator="equal">
      <formula>"PMS"</formula>
    </cfRule>
    <cfRule type="containsText" dxfId="8658" priority="8354" operator="containsText" text="CMS">
      <formula>NOT(ISERROR(SEARCH("CMS",G24)))</formula>
    </cfRule>
    <cfRule type="cellIs" dxfId="8657" priority="8355" operator="equal">
      <formula>0</formula>
    </cfRule>
    <cfRule type="cellIs" dxfId="8656" priority="8356" operator="greaterThan">
      <formula>0</formula>
    </cfRule>
    <cfRule type="cellIs" dxfId="8655" priority="8357" operator="equal">
      <formula>"PMS"</formula>
    </cfRule>
    <cfRule type="containsText" dxfId="8654" priority="8358" operator="containsText" text="CMS">
      <formula>NOT(ISERROR(SEARCH("CMS",G24)))</formula>
    </cfRule>
    <cfRule type="cellIs" dxfId="8653" priority="8359" operator="equal">
      <formula>0</formula>
    </cfRule>
    <cfRule type="cellIs" dxfId="8652" priority="8360" operator="greaterThan">
      <formula>0</formula>
    </cfRule>
  </conditionalFormatting>
  <conditionalFormatting sqref="J73 G73">
    <cfRule type="cellIs" dxfId="8651" priority="8349" operator="equal">
      <formula>"PMS"</formula>
    </cfRule>
    <cfRule type="containsText" dxfId="8650" priority="8350" operator="containsText" text="CMS">
      <formula>NOT(ISERROR(SEARCH("CMS",G73)))</formula>
    </cfRule>
    <cfRule type="cellIs" dxfId="8649" priority="8351" operator="equal">
      <formula>0</formula>
    </cfRule>
    <cfRule type="cellIs" dxfId="8648" priority="8352" operator="greaterThan">
      <formula>0</formula>
    </cfRule>
  </conditionalFormatting>
  <conditionalFormatting sqref="J73 G73">
    <cfRule type="cellIs" dxfId="8647" priority="8345" operator="equal">
      <formula>"PMS"</formula>
    </cfRule>
    <cfRule type="containsText" dxfId="8646" priority="8346" operator="containsText" text="CMS">
      <formula>NOT(ISERROR(SEARCH("CMS",G73)))</formula>
    </cfRule>
    <cfRule type="cellIs" dxfId="8645" priority="8347" operator="equal">
      <formula>0</formula>
    </cfRule>
    <cfRule type="cellIs" dxfId="8644" priority="8348" operator="greaterThan">
      <formula>0</formula>
    </cfRule>
  </conditionalFormatting>
  <conditionalFormatting sqref="I24">
    <cfRule type="cellIs" dxfId="8643" priority="8341" operator="equal">
      <formula>"PMS"</formula>
    </cfRule>
    <cfRule type="containsText" dxfId="8642" priority="8342" operator="containsText" text="CMS">
      <formula>NOT(ISERROR(SEARCH("CMS",I24)))</formula>
    </cfRule>
    <cfRule type="cellIs" dxfId="8641" priority="8343" operator="equal">
      <formula>0</formula>
    </cfRule>
    <cfRule type="cellIs" dxfId="8640" priority="8344" operator="greaterThan">
      <formula>0</formula>
    </cfRule>
  </conditionalFormatting>
  <conditionalFormatting sqref="I24">
    <cfRule type="cellIs" dxfId="8639" priority="8337" operator="equal">
      <formula>"PMS"</formula>
    </cfRule>
    <cfRule type="containsText" dxfId="8638" priority="8338" operator="containsText" text="CMS">
      <formula>NOT(ISERROR(SEARCH("CMS",I24)))</formula>
    </cfRule>
    <cfRule type="cellIs" dxfId="8637" priority="8339" operator="equal">
      <formula>0</formula>
    </cfRule>
    <cfRule type="cellIs" dxfId="8636" priority="8340" operator="greaterThan">
      <formula>0</formula>
    </cfRule>
  </conditionalFormatting>
  <conditionalFormatting sqref="G35 I35">
    <cfRule type="cellIs" dxfId="8635" priority="8333" operator="equal">
      <formula>"PMS"</formula>
    </cfRule>
    <cfRule type="containsText" dxfId="8634" priority="8334" operator="containsText" text="CMS">
      <formula>NOT(ISERROR(SEARCH("CMS",G35)))</formula>
    </cfRule>
    <cfRule type="cellIs" dxfId="8633" priority="8335" operator="equal">
      <formula>0</formula>
    </cfRule>
    <cfRule type="cellIs" dxfId="8632" priority="8336" operator="greaterThan">
      <formula>0</formula>
    </cfRule>
  </conditionalFormatting>
  <conditionalFormatting sqref="G35 I35">
    <cfRule type="cellIs" dxfId="8631" priority="8329" operator="equal">
      <formula>"PMS"</formula>
    </cfRule>
    <cfRule type="containsText" dxfId="8630" priority="8330" operator="containsText" text="CMS">
      <formula>NOT(ISERROR(SEARCH("CMS",G35)))</formula>
    </cfRule>
    <cfRule type="cellIs" dxfId="8629" priority="8331" operator="equal">
      <formula>0</formula>
    </cfRule>
    <cfRule type="cellIs" dxfId="8628" priority="8332" operator="greaterThan">
      <formula>0</formula>
    </cfRule>
  </conditionalFormatting>
  <conditionalFormatting sqref="G19">
    <cfRule type="cellIs" dxfId="8627" priority="8321" operator="equal">
      <formula>"PMS"</formula>
    </cfRule>
    <cfRule type="containsText" dxfId="8626" priority="8322" operator="containsText" text="CMS">
      <formula>NOT(ISERROR(SEARCH("CMS",G19)))</formula>
    </cfRule>
    <cfRule type="cellIs" dxfId="8625" priority="8323" operator="equal">
      <formula>0</formula>
    </cfRule>
    <cfRule type="cellIs" dxfId="8624" priority="8324" operator="greaterThan">
      <formula>0</formula>
    </cfRule>
    <cfRule type="cellIs" dxfId="8623" priority="8325" operator="equal">
      <formula>"PMS"</formula>
    </cfRule>
    <cfRule type="containsText" dxfId="8622" priority="8326" operator="containsText" text="CMS">
      <formula>NOT(ISERROR(SEARCH("CMS",G19)))</formula>
    </cfRule>
    <cfRule type="cellIs" dxfId="8621" priority="8327" operator="equal">
      <formula>0</formula>
    </cfRule>
    <cfRule type="cellIs" dxfId="8620" priority="8328" operator="greaterThan">
      <formula>0</formula>
    </cfRule>
  </conditionalFormatting>
  <conditionalFormatting sqref="G19">
    <cfRule type="cellIs" dxfId="8619" priority="8317" operator="equal">
      <formula>"PMS"</formula>
    </cfRule>
    <cfRule type="containsText" dxfId="8618" priority="8318" operator="containsText" text="CMS">
      <formula>NOT(ISERROR(SEARCH("CMS",G19)))</formula>
    </cfRule>
    <cfRule type="cellIs" dxfId="8617" priority="8319" operator="equal">
      <formula>0</formula>
    </cfRule>
    <cfRule type="cellIs" dxfId="8616" priority="8320" operator="greaterThan">
      <formula>0</formula>
    </cfRule>
  </conditionalFormatting>
  <conditionalFormatting sqref="G19">
    <cfRule type="cellIs" dxfId="8615" priority="8313" operator="equal">
      <formula>"PMS"</formula>
    </cfRule>
    <cfRule type="containsText" dxfId="8614" priority="8314" operator="containsText" text="CMS">
      <formula>NOT(ISERROR(SEARCH("CMS",G19)))</formula>
    </cfRule>
    <cfRule type="cellIs" dxfId="8613" priority="8315" operator="equal">
      <formula>0</formula>
    </cfRule>
    <cfRule type="cellIs" dxfId="8612" priority="8316" operator="greaterThan">
      <formula>0</formula>
    </cfRule>
  </conditionalFormatting>
  <conditionalFormatting sqref="O52:O55">
    <cfRule type="cellIs" dxfId="8611" priority="8309" operator="equal">
      <formula>"PMS"</formula>
    </cfRule>
    <cfRule type="containsText" dxfId="8610" priority="8310" operator="containsText" text="CMS">
      <formula>NOT(ISERROR(SEARCH("CMS",O52)))</formula>
    </cfRule>
    <cfRule type="cellIs" dxfId="8609" priority="8311" operator="equal">
      <formula>0</formula>
    </cfRule>
    <cfRule type="cellIs" dxfId="8608" priority="8312" operator="greaterThan">
      <formula>0</formula>
    </cfRule>
  </conditionalFormatting>
  <conditionalFormatting sqref="K61:K63">
    <cfRule type="cellIs" dxfId="8607" priority="8301" operator="equal">
      <formula>"PMS"</formula>
    </cfRule>
    <cfRule type="containsText" dxfId="8606" priority="8302" operator="containsText" text="CMS">
      <formula>NOT(ISERROR(SEARCH("CMS",K61)))</formula>
    </cfRule>
    <cfRule type="cellIs" dxfId="8605" priority="8303" operator="equal">
      <formula>0</formula>
    </cfRule>
    <cfRule type="cellIs" dxfId="8604" priority="8304" operator="greaterThan">
      <formula>0</formula>
    </cfRule>
    <cfRule type="cellIs" dxfId="8603" priority="8305" operator="equal">
      <formula>"PMS"</formula>
    </cfRule>
    <cfRule type="containsText" dxfId="8602" priority="8306" operator="containsText" text="CMS">
      <formula>NOT(ISERROR(SEARCH("CMS",K61)))</formula>
    </cfRule>
    <cfRule type="cellIs" dxfId="8601" priority="8307" operator="equal">
      <formula>0</formula>
    </cfRule>
    <cfRule type="cellIs" dxfId="8600" priority="8308" operator="greaterThan">
      <formula>0</formula>
    </cfRule>
  </conditionalFormatting>
  <conditionalFormatting sqref="O47:P47">
    <cfRule type="cellIs" dxfId="8599" priority="8297" operator="equal">
      <formula>"PMS"</formula>
    </cfRule>
    <cfRule type="containsText" dxfId="8598" priority="8298" operator="containsText" text="CMS">
      <formula>NOT(ISERROR(SEARCH("CMS",O47)))</formula>
    </cfRule>
    <cfRule type="cellIs" dxfId="8597" priority="8299" operator="equal">
      <formula>0</formula>
    </cfRule>
    <cfRule type="cellIs" dxfId="8596" priority="8300" operator="greaterThan">
      <formula>0</formula>
    </cfRule>
  </conditionalFormatting>
  <conditionalFormatting sqref="O16:P16">
    <cfRule type="cellIs" dxfId="8595" priority="8293" operator="equal">
      <formula>"PMS"</formula>
    </cfRule>
    <cfRule type="containsText" dxfId="8594" priority="8294" operator="containsText" text="CMS">
      <formula>NOT(ISERROR(SEARCH("CMS",O16)))</formula>
    </cfRule>
    <cfRule type="cellIs" dxfId="8593" priority="8295" operator="equal">
      <formula>0</formula>
    </cfRule>
    <cfRule type="cellIs" dxfId="8592" priority="8296" operator="greaterThan">
      <formula>0</formula>
    </cfRule>
  </conditionalFormatting>
  <conditionalFormatting sqref="P57">
    <cfRule type="cellIs" dxfId="8591" priority="8289" operator="equal">
      <formula>"PMS"</formula>
    </cfRule>
    <cfRule type="containsText" dxfId="8590" priority="8290" operator="containsText" text="CMS">
      <formula>NOT(ISERROR(SEARCH("CMS",P57)))</formula>
    </cfRule>
    <cfRule type="cellIs" dxfId="8589" priority="8291" operator="equal">
      <formula>0</formula>
    </cfRule>
    <cfRule type="cellIs" dxfId="8588" priority="8292" operator="greaterThan">
      <formula>0</formula>
    </cfRule>
  </conditionalFormatting>
  <conditionalFormatting sqref="P57">
    <cfRule type="cellIs" dxfId="8587" priority="8285" operator="equal">
      <formula>"PMS"</formula>
    </cfRule>
    <cfRule type="containsText" dxfId="8586" priority="8286" operator="containsText" text="CMS">
      <formula>NOT(ISERROR(SEARCH("CMS",P57)))</formula>
    </cfRule>
    <cfRule type="cellIs" dxfId="8585" priority="8287" operator="equal">
      <formula>0</formula>
    </cfRule>
    <cfRule type="cellIs" dxfId="8584" priority="8288" operator="greaterThan">
      <formula>0</formula>
    </cfRule>
  </conditionalFormatting>
  <conditionalFormatting sqref="P57">
    <cfRule type="cellIs" dxfId="8583" priority="8281" operator="equal">
      <formula>"PMS"</formula>
    </cfRule>
    <cfRule type="containsText" dxfId="8582" priority="8282" operator="containsText" text="CMS">
      <formula>NOT(ISERROR(SEARCH("CMS",P57)))</formula>
    </cfRule>
    <cfRule type="cellIs" dxfId="8581" priority="8283" operator="equal">
      <formula>0</formula>
    </cfRule>
    <cfRule type="cellIs" dxfId="8580" priority="8284" operator="greaterThan">
      <formula>0</formula>
    </cfRule>
  </conditionalFormatting>
  <conditionalFormatting sqref="P57:P58">
    <cfRule type="cellIs" dxfId="8579" priority="8277" operator="equal">
      <formula>"PMS"</formula>
    </cfRule>
    <cfRule type="containsText" dxfId="8578" priority="8278" operator="containsText" text="CMS">
      <formula>NOT(ISERROR(SEARCH("CMS",P57)))</formula>
    </cfRule>
    <cfRule type="cellIs" dxfId="8577" priority="8279" operator="equal">
      <formula>0</formula>
    </cfRule>
    <cfRule type="cellIs" dxfId="8576" priority="8280" operator="greaterThan">
      <formula>0</formula>
    </cfRule>
  </conditionalFormatting>
  <conditionalFormatting sqref="AB24">
    <cfRule type="cellIs" dxfId="8575" priority="8273" operator="equal">
      <formula>"PMS"</formula>
    </cfRule>
    <cfRule type="containsText" dxfId="8574" priority="8274" operator="containsText" text="CMS">
      <formula>NOT(ISERROR(SEARCH("CMS",AB24)))</formula>
    </cfRule>
    <cfRule type="cellIs" dxfId="8573" priority="8275" operator="equal">
      <formula>0</formula>
    </cfRule>
    <cfRule type="cellIs" dxfId="8572" priority="8276" operator="greaterThan">
      <formula>0</formula>
    </cfRule>
  </conditionalFormatting>
  <conditionalFormatting sqref="AB24">
    <cfRule type="cellIs" dxfId="8571" priority="8269" operator="equal">
      <formula>"PMS"</formula>
    </cfRule>
    <cfRule type="containsText" dxfId="8570" priority="8270" operator="containsText" text="CMS">
      <formula>NOT(ISERROR(SEARCH("CMS",AB24)))</formula>
    </cfRule>
    <cfRule type="cellIs" dxfId="8569" priority="8271" operator="equal">
      <formula>0</formula>
    </cfRule>
    <cfRule type="cellIs" dxfId="8568" priority="8272" operator="greaterThan">
      <formula>0</formula>
    </cfRule>
  </conditionalFormatting>
  <conditionalFormatting sqref="L29 O29 R29 AA29 X29:Y29 T29:U29">
    <cfRule type="cellIs" dxfId="8567" priority="8261" operator="equal">
      <formula>"PMS"</formula>
    </cfRule>
    <cfRule type="containsText" dxfId="8566" priority="8262" operator="containsText" text="CMS">
      <formula>NOT(ISERROR(SEARCH("CMS",L29)))</formula>
    </cfRule>
    <cfRule type="cellIs" dxfId="8565" priority="8263" operator="equal">
      <formula>0</formula>
    </cfRule>
    <cfRule type="cellIs" dxfId="8564" priority="8264" operator="greaterThan">
      <formula>0</formula>
    </cfRule>
    <cfRule type="cellIs" dxfId="8563" priority="8265" operator="equal">
      <formula>"PMS"</formula>
    </cfRule>
    <cfRule type="containsText" dxfId="8562" priority="8266" operator="containsText" text="CMS">
      <formula>NOT(ISERROR(SEARCH("CMS",L29)))</formula>
    </cfRule>
    <cfRule type="cellIs" dxfId="8561" priority="8267" operator="equal">
      <formula>0</formula>
    </cfRule>
    <cfRule type="cellIs" dxfId="8560" priority="8268" operator="greaterThan">
      <formula>0</formula>
    </cfRule>
  </conditionalFormatting>
  <conditionalFormatting sqref="L29 O29 R29 AA29 X29:Y29 T29:U29">
    <cfRule type="cellIs" dxfId="8559" priority="8257" operator="equal">
      <formula>"PMS"</formula>
    </cfRule>
    <cfRule type="containsText" dxfId="8558" priority="8258" operator="containsText" text="CMS">
      <formula>NOT(ISERROR(SEARCH("CMS",L29)))</formula>
    </cfRule>
    <cfRule type="cellIs" dxfId="8557" priority="8259" operator="equal">
      <formula>0</formula>
    </cfRule>
    <cfRule type="cellIs" dxfId="8556" priority="8260" operator="greaterThan">
      <formula>0</formula>
    </cfRule>
  </conditionalFormatting>
  <conditionalFormatting sqref="L29 O29 R29 AA29 X29:Y29 T29:U29">
    <cfRule type="cellIs" dxfId="8555" priority="8253" operator="equal">
      <formula>"PMS"</formula>
    </cfRule>
    <cfRule type="containsText" dxfId="8554" priority="8254" operator="containsText" text="CMS">
      <formula>NOT(ISERROR(SEARCH("CMS",L29)))</formula>
    </cfRule>
    <cfRule type="cellIs" dxfId="8553" priority="8255" operator="equal">
      <formula>0</formula>
    </cfRule>
    <cfRule type="cellIs" dxfId="8552" priority="8256" operator="greaterThan">
      <formula>0</formula>
    </cfRule>
  </conditionalFormatting>
  <conditionalFormatting sqref="K29 N29 Q29 W29 Z29 AC29">
    <cfRule type="cellIs" dxfId="8551" priority="8245" operator="equal">
      <formula>"PMS"</formula>
    </cfRule>
    <cfRule type="containsText" dxfId="8550" priority="8246" operator="containsText" text="CMS">
      <formula>NOT(ISERROR(SEARCH("CMS",K29)))</formula>
    </cfRule>
    <cfRule type="cellIs" dxfId="8549" priority="8247" operator="equal">
      <formula>0</formula>
    </cfRule>
    <cfRule type="cellIs" dxfId="8548" priority="8248" operator="greaterThan">
      <formula>0</formula>
    </cfRule>
    <cfRule type="cellIs" dxfId="8547" priority="8249" operator="equal">
      <formula>"PMS"</formula>
    </cfRule>
    <cfRule type="containsText" dxfId="8546" priority="8250" operator="containsText" text="CMS">
      <formula>NOT(ISERROR(SEARCH("CMS",K29)))</formula>
    </cfRule>
    <cfRule type="cellIs" dxfId="8545" priority="8251" operator="equal">
      <formula>0</formula>
    </cfRule>
    <cfRule type="cellIs" dxfId="8544" priority="8252" operator="greaterThan">
      <formula>0</formula>
    </cfRule>
  </conditionalFormatting>
  <conditionalFormatting sqref="G81:AC81">
    <cfRule type="cellIs" dxfId="8543" priority="8237" operator="equal">
      <formula>"PMS"</formula>
    </cfRule>
    <cfRule type="containsText" dxfId="8542" priority="8238" operator="containsText" text="CMS">
      <formula>NOT(ISERROR(SEARCH("CMS",G81)))</formula>
    </cfRule>
    <cfRule type="cellIs" dxfId="8541" priority="8239" operator="equal">
      <formula>0</formula>
    </cfRule>
    <cfRule type="cellIs" dxfId="8540" priority="8240" operator="greaterThan">
      <formula>0</formula>
    </cfRule>
    <cfRule type="cellIs" dxfId="8539" priority="8241" operator="equal">
      <formula>"PMS"</formula>
    </cfRule>
    <cfRule type="containsText" dxfId="8538" priority="8242" operator="containsText" text="CMS">
      <formula>NOT(ISERROR(SEARCH("CMS",G81)))</formula>
    </cfRule>
    <cfRule type="cellIs" dxfId="8537" priority="8243" operator="equal">
      <formula>0</formula>
    </cfRule>
    <cfRule type="cellIs" dxfId="8536" priority="8244" operator="greaterThan">
      <formula>0</formula>
    </cfRule>
  </conditionalFormatting>
  <conditionalFormatting sqref="G81:AC81">
    <cfRule type="cellIs" dxfId="8535" priority="8233" operator="equal">
      <formula>"PMS"</formula>
    </cfRule>
    <cfRule type="containsText" dxfId="8534" priority="8234" operator="containsText" text="CMS">
      <formula>NOT(ISERROR(SEARCH("CMS",G81)))</formula>
    </cfRule>
    <cfRule type="cellIs" dxfId="8533" priority="8235" operator="equal">
      <formula>0</formula>
    </cfRule>
    <cfRule type="cellIs" dxfId="8532" priority="8236" operator="greaterThan">
      <formula>0</formula>
    </cfRule>
  </conditionalFormatting>
  <conditionalFormatting sqref="G51:G52 I51:M52">
    <cfRule type="cellIs" dxfId="8531" priority="8225" operator="equal">
      <formula>"PMS"</formula>
    </cfRule>
    <cfRule type="containsText" dxfId="8530" priority="8226" operator="containsText" text="CMS">
      <formula>NOT(ISERROR(SEARCH("CMS",G51)))</formula>
    </cfRule>
    <cfRule type="cellIs" dxfId="8529" priority="8227" operator="equal">
      <formula>0</formula>
    </cfRule>
    <cfRule type="cellIs" dxfId="8528" priority="8228" operator="greaterThan">
      <formula>0</formula>
    </cfRule>
    <cfRule type="cellIs" dxfId="8527" priority="8229" operator="equal">
      <formula>"PMS"</formula>
    </cfRule>
    <cfRule type="containsText" dxfId="8526" priority="8230" operator="containsText" text="CMS">
      <formula>NOT(ISERROR(SEARCH("CMS",G51)))</formula>
    </cfRule>
    <cfRule type="cellIs" dxfId="8525" priority="8231" operator="equal">
      <formula>0</formula>
    </cfRule>
    <cfRule type="cellIs" dxfId="8524" priority="8232" operator="greaterThan">
      <formula>0</formula>
    </cfRule>
  </conditionalFormatting>
  <conditionalFormatting sqref="G51:G52 I51:M52">
    <cfRule type="cellIs" dxfId="8523" priority="8221" operator="equal">
      <formula>"PMS"</formula>
    </cfRule>
    <cfRule type="containsText" dxfId="8522" priority="8222" operator="containsText" text="CMS">
      <formula>NOT(ISERROR(SEARCH("CMS",G51)))</formula>
    </cfRule>
    <cfRule type="cellIs" dxfId="8521" priority="8223" operator="equal">
      <formula>0</formula>
    </cfRule>
    <cfRule type="cellIs" dxfId="8520" priority="8224" operator="greaterThan">
      <formula>0</formula>
    </cfRule>
  </conditionalFormatting>
  <conditionalFormatting sqref="G51:G52 I51:M52">
    <cfRule type="cellIs" dxfId="8519" priority="8217" operator="equal">
      <formula>"PMS"</formula>
    </cfRule>
    <cfRule type="containsText" dxfId="8518" priority="8218" operator="containsText" text="CMS">
      <formula>NOT(ISERROR(SEARCH("CMS",G51)))</formula>
    </cfRule>
    <cfRule type="cellIs" dxfId="8517" priority="8219" operator="equal">
      <formula>0</formula>
    </cfRule>
    <cfRule type="cellIs" dxfId="8516" priority="8220" operator="greaterThan">
      <formula>0</formula>
    </cfRule>
  </conditionalFormatting>
  <conditionalFormatting sqref="G57:G58">
    <cfRule type="cellIs" dxfId="8515" priority="8209" operator="equal">
      <formula>"PMS"</formula>
    </cfRule>
    <cfRule type="containsText" dxfId="8514" priority="8210" operator="containsText" text="CMS">
      <formula>NOT(ISERROR(SEARCH("CMS",G57)))</formula>
    </cfRule>
    <cfRule type="cellIs" dxfId="8513" priority="8211" operator="equal">
      <formula>0</formula>
    </cfRule>
    <cfRule type="cellIs" dxfId="8512" priority="8212" operator="greaterThan">
      <formula>0</formula>
    </cfRule>
    <cfRule type="cellIs" dxfId="8511" priority="8213" operator="equal">
      <formula>"PMS"</formula>
    </cfRule>
    <cfRule type="containsText" dxfId="8510" priority="8214" operator="containsText" text="CMS">
      <formula>NOT(ISERROR(SEARCH("CMS",G57)))</formula>
    </cfRule>
    <cfRule type="cellIs" dxfId="8509" priority="8215" operator="equal">
      <formula>0</formula>
    </cfRule>
    <cfRule type="cellIs" dxfId="8508" priority="8216" operator="greaterThan">
      <formula>0</formula>
    </cfRule>
  </conditionalFormatting>
  <conditionalFormatting sqref="G57:G58">
    <cfRule type="cellIs" dxfId="8507" priority="8205" operator="equal">
      <formula>"PMS"</formula>
    </cfRule>
    <cfRule type="containsText" dxfId="8506" priority="8206" operator="containsText" text="CMS">
      <formula>NOT(ISERROR(SEARCH("CMS",G57)))</formula>
    </cfRule>
    <cfRule type="cellIs" dxfId="8505" priority="8207" operator="equal">
      <formula>0</formula>
    </cfRule>
    <cfRule type="cellIs" dxfId="8504" priority="8208" operator="greaterThan">
      <formula>0</formula>
    </cfRule>
  </conditionalFormatting>
  <conditionalFormatting sqref="G57:G58">
    <cfRule type="cellIs" dxfId="8503" priority="8201" operator="equal">
      <formula>"PMS"</formula>
    </cfRule>
    <cfRule type="containsText" dxfId="8502" priority="8202" operator="containsText" text="CMS">
      <formula>NOT(ISERROR(SEARCH("CMS",G57)))</formula>
    </cfRule>
    <cfRule type="cellIs" dxfId="8501" priority="8203" operator="equal">
      <formula>0</formula>
    </cfRule>
    <cfRule type="cellIs" dxfId="8500" priority="8204" operator="greaterThan">
      <formula>0</formula>
    </cfRule>
  </conditionalFormatting>
  <conditionalFormatting sqref="G32 I32:AC32">
    <cfRule type="cellIs" dxfId="8499" priority="8193" operator="equal">
      <formula>"PMS"</formula>
    </cfRule>
    <cfRule type="containsText" dxfId="8498" priority="8194" operator="containsText" text="CMS">
      <formula>NOT(ISERROR(SEARCH("CMS",G32)))</formula>
    </cfRule>
    <cfRule type="cellIs" dxfId="8497" priority="8195" operator="equal">
      <formula>0</formula>
    </cfRule>
    <cfRule type="cellIs" dxfId="8496" priority="8196" operator="greaterThan">
      <formula>0</formula>
    </cfRule>
    <cfRule type="cellIs" dxfId="8495" priority="8197" operator="equal">
      <formula>"PMS"</formula>
    </cfRule>
    <cfRule type="containsText" dxfId="8494" priority="8198" operator="containsText" text="CMS">
      <formula>NOT(ISERROR(SEARCH("CMS",G32)))</formula>
    </cfRule>
    <cfRule type="cellIs" dxfId="8493" priority="8199" operator="equal">
      <formula>0</formula>
    </cfRule>
    <cfRule type="cellIs" dxfId="8492" priority="8200" operator="greaterThan">
      <formula>0</formula>
    </cfRule>
  </conditionalFormatting>
  <conditionalFormatting sqref="G32 I32:AC32">
    <cfRule type="cellIs" dxfId="8491" priority="8189" operator="equal">
      <formula>"PMS"</formula>
    </cfRule>
    <cfRule type="containsText" dxfId="8490" priority="8190" operator="containsText" text="CMS">
      <formula>NOT(ISERROR(SEARCH("CMS",G32)))</formula>
    </cfRule>
    <cfRule type="cellIs" dxfId="8489" priority="8191" operator="equal">
      <formula>0</formula>
    </cfRule>
    <cfRule type="cellIs" dxfId="8488" priority="8192" operator="greaterThan">
      <formula>0</formula>
    </cfRule>
  </conditionalFormatting>
  <conditionalFormatting sqref="G32 I32:AC32">
    <cfRule type="cellIs" dxfId="8487" priority="8185" operator="equal">
      <formula>"PMS"</formula>
    </cfRule>
    <cfRule type="containsText" dxfId="8486" priority="8186" operator="containsText" text="CMS">
      <formula>NOT(ISERROR(SEARCH("CMS",G32)))</formula>
    </cfRule>
    <cfRule type="cellIs" dxfId="8485" priority="8187" operator="equal">
      <formula>0</formula>
    </cfRule>
    <cfRule type="cellIs" dxfId="8484" priority="8188" operator="greaterThan">
      <formula>0</formula>
    </cfRule>
  </conditionalFormatting>
  <conditionalFormatting sqref="F81">
    <cfRule type="cellIs" dxfId="8483" priority="8177" operator="equal">
      <formula>"PMS"</formula>
    </cfRule>
    <cfRule type="containsText" dxfId="8482" priority="8178" operator="containsText" text="CMS">
      <formula>NOT(ISERROR(SEARCH("CMS",F81)))</formula>
    </cfRule>
    <cfRule type="cellIs" dxfId="8481" priority="8179" operator="equal">
      <formula>0</formula>
    </cfRule>
    <cfRule type="cellIs" dxfId="8480" priority="8180" operator="greaterThan">
      <formula>0</formula>
    </cfRule>
    <cfRule type="cellIs" dxfId="8479" priority="8181" operator="equal">
      <formula>"PMS"</formula>
    </cfRule>
    <cfRule type="containsText" dxfId="8478" priority="8182" operator="containsText" text="CMS">
      <formula>NOT(ISERROR(SEARCH("CMS",F81)))</formula>
    </cfRule>
    <cfRule type="cellIs" dxfId="8477" priority="8183" operator="equal">
      <formula>0</formula>
    </cfRule>
    <cfRule type="cellIs" dxfId="8476" priority="8184" operator="greaterThan">
      <formula>0</formula>
    </cfRule>
  </conditionalFormatting>
  <conditionalFormatting sqref="F81">
    <cfRule type="cellIs" dxfId="8475" priority="8173" operator="equal">
      <formula>"PMS"</formula>
    </cfRule>
    <cfRule type="containsText" dxfId="8474" priority="8174" operator="containsText" text="CMS">
      <formula>NOT(ISERROR(SEARCH("CMS",F81)))</formula>
    </cfRule>
    <cfRule type="cellIs" dxfId="8473" priority="8175" operator="equal">
      <formula>0</formula>
    </cfRule>
    <cfRule type="cellIs" dxfId="8472" priority="8176" operator="greaterThan">
      <formula>0</formula>
    </cfRule>
  </conditionalFormatting>
  <conditionalFormatting sqref="H13:H16">
    <cfRule type="cellIs" dxfId="8471" priority="8165" operator="equal">
      <formula>"PMS"</formula>
    </cfRule>
    <cfRule type="containsText" dxfId="8470" priority="8166" operator="containsText" text="CMS">
      <formula>NOT(ISERROR(SEARCH("CMS",H13)))</formula>
    </cfRule>
    <cfRule type="cellIs" dxfId="8469" priority="8167" operator="equal">
      <formula>0</formula>
    </cfRule>
    <cfRule type="cellIs" dxfId="8468" priority="8168" operator="greaterThan">
      <formula>0</formula>
    </cfRule>
    <cfRule type="cellIs" dxfId="8467" priority="8169" operator="equal">
      <formula>"PMS"</formula>
    </cfRule>
    <cfRule type="containsText" dxfId="8466" priority="8170" operator="containsText" text="CMS">
      <formula>NOT(ISERROR(SEARCH("CMS",H13)))</formula>
    </cfRule>
    <cfRule type="cellIs" dxfId="8465" priority="8171" operator="equal">
      <formula>0</formula>
    </cfRule>
    <cfRule type="cellIs" dxfId="8464" priority="8172" operator="greaterThan">
      <formula>0</formula>
    </cfRule>
  </conditionalFormatting>
  <conditionalFormatting sqref="H13:H16">
    <cfRule type="cellIs" dxfId="8463" priority="8161" operator="equal">
      <formula>"PMS"</formula>
    </cfRule>
    <cfRule type="containsText" dxfId="8462" priority="8162" operator="containsText" text="CMS">
      <formula>NOT(ISERROR(SEARCH("CMS",H13)))</formula>
    </cfRule>
    <cfRule type="cellIs" dxfId="8461" priority="8163" operator="equal">
      <formula>0</formula>
    </cfRule>
    <cfRule type="cellIs" dxfId="8460" priority="8164" operator="greaterThan">
      <formula>0</formula>
    </cfRule>
  </conditionalFormatting>
  <conditionalFormatting sqref="H13:H16">
    <cfRule type="cellIs" dxfId="8459" priority="8157" operator="equal">
      <formula>"PMS"</formula>
    </cfRule>
    <cfRule type="containsText" dxfId="8458" priority="8158" operator="containsText" text="CMS">
      <formula>NOT(ISERROR(SEARCH("CMS",H13)))</formula>
    </cfRule>
    <cfRule type="cellIs" dxfId="8457" priority="8159" operator="equal">
      <formula>0</formula>
    </cfRule>
    <cfRule type="cellIs" dxfId="8456" priority="8160" operator="greaterThan">
      <formula>0</formula>
    </cfRule>
  </conditionalFormatting>
  <conditionalFormatting sqref="H13">
    <cfRule type="cellIs" dxfId="8455" priority="8153" operator="equal">
      <formula>"PMS"</formula>
    </cfRule>
    <cfRule type="containsText" dxfId="8454" priority="8154" operator="containsText" text="CMS">
      <formula>NOT(ISERROR(SEARCH("CMS",H13)))</formula>
    </cfRule>
    <cfRule type="cellIs" dxfId="8453" priority="8155" operator="equal">
      <formula>0</formula>
    </cfRule>
    <cfRule type="cellIs" dxfId="8452" priority="8156" operator="greaterThan">
      <formula>0</formula>
    </cfRule>
  </conditionalFormatting>
  <conditionalFormatting sqref="H13">
    <cfRule type="cellIs" dxfId="8451" priority="8149" operator="equal">
      <formula>"PMS"</formula>
    </cfRule>
    <cfRule type="containsText" dxfId="8450" priority="8150" operator="containsText" text="CMS">
      <formula>NOT(ISERROR(SEARCH("CMS",H13)))</formula>
    </cfRule>
    <cfRule type="cellIs" dxfId="8449" priority="8151" operator="equal">
      <formula>0</formula>
    </cfRule>
    <cfRule type="cellIs" dxfId="8448" priority="8152" operator="greaterThan">
      <formula>0</formula>
    </cfRule>
  </conditionalFormatting>
  <conditionalFormatting sqref="H20:H21">
    <cfRule type="cellIs" dxfId="8447" priority="8141" operator="equal">
      <formula>"PMS"</formula>
    </cfRule>
    <cfRule type="containsText" dxfId="8446" priority="8142" operator="containsText" text="CMS">
      <formula>NOT(ISERROR(SEARCH("CMS",H20)))</formula>
    </cfRule>
    <cfRule type="cellIs" dxfId="8445" priority="8143" operator="equal">
      <formula>0</formula>
    </cfRule>
    <cfRule type="cellIs" dxfId="8444" priority="8144" operator="greaterThan">
      <formula>0</formula>
    </cfRule>
    <cfRule type="cellIs" dxfId="8443" priority="8145" operator="equal">
      <formula>"PMS"</formula>
    </cfRule>
    <cfRule type="containsText" dxfId="8442" priority="8146" operator="containsText" text="CMS">
      <formula>NOT(ISERROR(SEARCH("CMS",H20)))</formula>
    </cfRule>
    <cfRule type="cellIs" dxfId="8441" priority="8147" operator="equal">
      <formula>0</formula>
    </cfRule>
    <cfRule type="cellIs" dxfId="8440" priority="8148" operator="greaterThan">
      <formula>0</formula>
    </cfRule>
  </conditionalFormatting>
  <conditionalFormatting sqref="H20:H21">
    <cfRule type="cellIs" dxfId="8439" priority="8137" operator="equal">
      <formula>"PMS"</formula>
    </cfRule>
    <cfRule type="containsText" dxfId="8438" priority="8138" operator="containsText" text="CMS">
      <formula>NOT(ISERROR(SEARCH("CMS",H20)))</formula>
    </cfRule>
    <cfRule type="cellIs" dxfId="8437" priority="8139" operator="equal">
      <formula>0</formula>
    </cfRule>
    <cfRule type="cellIs" dxfId="8436" priority="8140" operator="greaterThan">
      <formula>0</formula>
    </cfRule>
  </conditionalFormatting>
  <conditionalFormatting sqref="H20:H21">
    <cfRule type="cellIs" dxfId="8435" priority="8133" operator="equal">
      <formula>"PMS"</formula>
    </cfRule>
    <cfRule type="containsText" dxfId="8434" priority="8134" operator="containsText" text="CMS">
      <formula>NOT(ISERROR(SEARCH("CMS",H20)))</formula>
    </cfRule>
    <cfRule type="cellIs" dxfId="8433" priority="8135" operator="equal">
      <formula>0</formula>
    </cfRule>
    <cfRule type="cellIs" dxfId="8432" priority="8136" operator="greaterThan">
      <formula>0</formula>
    </cfRule>
  </conditionalFormatting>
  <conditionalFormatting sqref="H19">
    <cfRule type="cellIs" dxfId="8431" priority="8129" operator="equal">
      <formula>"CMS"</formula>
    </cfRule>
    <cfRule type="cellIs" dxfId="8430" priority="8130" operator="equal">
      <formula>"PMS"</formula>
    </cfRule>
    <cfRule type="cellIs" dxfId="8429" priority="8131" operator="greaterThan">
      <formula>0</formula>
    </cfRule>
    <cfRule type="cellIs" dxfId="8428" priority="8132" operator="equal">
      <formula>0</formula>
    </cfRule>
  </conditionalFormatting>
  <conditionalFormatting sqref="H24">
    <cfRule type="cellIs" dxfId="8427" priority="8121" operator="equal">
      <formula>"PMS"</formula>
    </cfRule>
    <cfRule type="containsText" dxfId="8426" priority="8122" operator="containsText" text="CMS">
      <formula>NOT(ISERROR(SEARCH("CMS",H24)))</formula>
    </cfRule>
    <cfRule type="cellIs" dxfId="8425" priority="8123" operator="equal">
      <formula>0</formula>
    </cfRule>
    <cfRule type="cellIs" dxfId="8424" priority="8124" operator="greaterThan">
      <formula>0</formula>
    </cfRule>
    <cfRule type="cellIs" dxfId="8423" priority="8125" operator="equal">
      <formula>"PMS"</formula>
    </cfRule>
    <cfRule type="containsText" dxfId="8422" priority="8126" operator="containsText" text="CMS">
      <formula>NOT(ISERROR(SEARCH("CMS",H24)))</formula>
    </cfRule>
    <cfRule type="cellIs" dxfId="8421" priority="8127" operator="equal">
      <formula>0</formula>
    </cfRule>
    <cfRule type="cellIs" dxfId="8420" priority="8128" operator="greaterThan">
      <formula>0</formula>
    </cfRule>
  </conditionalFormatting>
  <conditionalFormatting sqref="H24">
    <cfRule type="cellIs" dxfId="8419" priority="8117" operator="equal">
      <formula>"PMS"</formula>
    </cfRule>
    <cfRule type="containsText" dxfId="8418" priority="8118" operator="containsText" text="CMS">
      <formula>NOT(ISERROR(SEARCH("CMS",H24)))</formula>
    </cfRule>
    <cfRule type="cellIs" dxfId="8417" priority="8119" operator="equal">
      <formula>0</formula>
    </cfRule>
    <cfRule type="cellIs" dxfId="8416" priority="8120" operator="greaterThan">
      <formula>0</formula>
    </cfRule>
  </conditionalFormatting>
  <conditionalFormatting sqref="H24">
    <cfRule type="cellIs" dxfId="8415" priority="8113" operator="equal">
      <formula>"PMS"</formula>
    </cfRule>
    <cfRule type="containsText" dxfId="8414" priority="8114" operator="containsText" text="CMS">
      <formula>NOT(ISERROR(SEARCH("CMS",H24)))</formula>
    </cfRule>
    <cfRule type="cellIs" dxfId="8413" priority="8115" operator="equal">
      <formula>0</formula>
    </cfRule>
    <cfRule type="cellIs" dxfId="8412" priority="8116" operator="greaterThan">
      <formula>0</formula>
    </cfRule>
  </conditionalFormatting>
  <conditionalFormatting sqref="H27:H28">
    <cfRule type="cellIs" dxfId="8411" priority="8105" operator="equal">
      <formula>"PMS"</formula>
    </cfRule>
    <cfRule type="containsText" dxfId="8410" priority="8106" operator="containsText" text="CMS">
      <formula>NOT(ISERROR(SEARCH("CMS",H27)))</formula>
    </cfRule>
    <cfRule type="cellIs" dxfId="8409" priority="8107" operator="equal">
      <formula>0</formula>
    </cfRule>
    <cfRule type="cellIs" dxfId="8408" priority="8108" operator="greaterThan">
      <formula>0</formula>
    </cfRule>
    <cfRule type="cellIs" dxfId="8407" priority="8109" operator="equal">
      <formula>"PMS"</formula>
    </cfRule>
    <cfRule type="containsText" dxfId="8406" priority="8110" operator="containsText" text="CMS">
      <formula>NOT(ISERROR(SEARCH("CMS",H27)))</formula>
    </cfRule>
    <cfRule type="cellIs" dxfId="8405" priority="8111" operator="equal">
      <formula>0</formula>
    </cfRule>
    <cfRule type="cellIs" dxfId="8404" priority="8112" operator="greaterThan">
      <formula>0</formula>
    </cfRule>
  </conditionalFormatting>
  <conditionalFormatting sqref="H27:H28">
    <cfRule type="cellIs" dxfId="8403" priority="8101" operator="equal">
      <formula>"PMS"</formula>
    </cfRule>
    <cfRule type="containsText" dxfId="8402" priority="8102" operator="containsText" text="CMS">
      <formula>NOT(ISERROR(SEARCH("CMS",H27)))</formula>
    </cfRule>
    <cfRule type="cellIs" dxfId="8401" priority="8103" operator="equal">
      <formula>0</formula>
    </cfRule>
    <cfRule type="cellIs" dxfId="8400" priority="8104" operator="greaterThan">
      <formula>0</formula>
    </cfRule>
  </conditionalFormatting>
  <conditionalFormatting sqref="H27:H28">
    <cfRule type="cellIs" dxfId="8399" priority="8097" operator="equal">
      <formula>"PMS"</formula>
    </cfRule>
    <cfRule type="containsText" dxfId="8398" priority="8098" operator="containsText" text="CMS">
      <formula>NOT(ISERROR(SEARCH("CMS",H27)))</formula>
    </cfRule>
    <cfRule type="cellIs" dxfId="8397" priority="8099" operator="equal">
      <formula>0</formula>
    </cfRule>
    <cfRule type="cellIs" dxfId="8396" priority="8100" operator="greaterThan">
      <formula>0</formula>
    </cfRule>
  </conditionalFormatting>
  <conditionalFormatting sqref="H29">
    <cfRule type="cellIs" dxfId="8395" priority="8089" operator="equal">
      <formula>"PMS"</formula>
    </cfRule>
    <cfRule type="containsText" dxfId="8394" priority="8090" operator="containsText" text="CMS">
      <formula>NOT(ISERROR(SEARCH("CMS",H29)))</formula>
    </cfRule>
    <cfRule type="cellIs" dxfId="8393" priority="8091" operator="equal">
      <formula>0</formula>
    </cfRule>
    <cfRule type="cellIs" dxfId="8392" priority="8092" operator="greaterThan">
      <formula>0</formula>
    </cfRule>
    <cfRule type="cellIs" dxfId="8391" priority="8093" operator="equal">
      <formula>"PMS"</formula>
    </cfRule>
    <cfRule type="containsText" dxfId="8390" priority="8094" operator="containsText" text="CMS">
      <formula>NOT(ISERROR(SEARCH("CMS",H29)))</formula>
    </cfRule>
    <cfRule type="cellIs" dxfId="8389" priority="8095" operator="equal">
      <formula>0</formula>
    </cfRule>
    <cfRule type="cellIs" dxfId="8388" priority="8096" operator="greaterThan">
      <formula>0</formula>
    </cfRule>
  </conditionalFormatting>
  <conditionalFormatting sqref="H32">
    <cfRule type="cellIs" dxfId="8387" priority="8081" operator="equal">
      <formula>"PMS"</formula>
    </cfRule>
    <cfRule type="containsText" dxfId="8386" priority="8082" operator="containsText" text="CMS">
      <formula>NOT(ISERROR(SEARCH("CMS",H32)))</formula>
    </cfRule>
    <cfRule type="cellIs" dxfId="8385" priority="8083" operator="equal">
      <formula>0</formula>
    </cfRule>
    <cfRule type="cellIs" dxfId="8384" priority="8084" operator="greaterThan">
      <formula>0</formula>
    </cfRule>
    <cfRule type="cellIs" dxfId="8383" priority="8085" operator="equal">
      <formula>"PMS"</formula>
    </cfRule>
    <cfRule type="containsText" dxfId="8382" priority="8086" operator="containsText" text="CMS">
      <formula>NOT(ISERROR(SEARCH("CMS",H32)))</formula>
    </cfRule>
    <cfRule type="cellIs" dxfId="8381" priority="8087" operator="equal">
      <formula>0</formula>
    </cfRule>
    <cfRule type="cellIs" dxfId="8380" priority="8088" operator="greaterThan">
      <formula>0</formula>
    </cfRule>
  </conditionalFormatting>
  <conditionalFormatting sqref="H32">
    <cfRule type="cellIs" dxfId="8379" priority="8077" operator="equal">
      <formula>"PMS"</formula>
    </cfRule>
    <cfRule type="containsText" dxfId="8378" priority="8078" operator="containsText" text="CMS">
      <formula>NOT(ISERROR(SEARCH("CMS",H32)))</formula>
    </cfRule>
    <cfRule type="cellIs" dxfId="8377" priority="8079" operator="equal">
      <formula>0</formula>
    </cfRule>
    <cfRule type="cellIs" dxfId="8376" priority="8080" operator="greaterThan">
      <formula>0</formula>
    </cfRule>
  </conditionalFormatting>
  <conditionalFormatting sqref="H32">
    <cfRule type="cellIs" dxfId="8375" priority="8073" operator="equal">
      <formula>"PMS"</formula>
    </cfRule>
    <cfRule type="containsText" dxfId="8374" priority="8074" operator="containsText" text="CMS">
      <formula>NOT(ISERROR(SEARCH("CMS",H32)))</formula>
    </cfRule>
    <cfRule type="cellIs" dxfId="8373" priority="8075" operator="equal">
      <formula>0</formula>
    </cfRule>
    <cfRule type="cellIs" dxfId="8372" priority="8076" operator="greaterThan">
      <formula>0</formula>
    </cfRule>
  </conditionalFormatting>
  <conditionalFormatting sqref="H35:H58">
    <cfRule type="cellIs" dxfId="8371" priority="8065" operator="equal">
      <formula>"PMS"</formula>
    </cfRule>
    <cfRule type="containsText" dxfId="8370" priority="8066" operator="containsText" text="CMS">
      <formula>NOT(ISERROR(SEARCH("CMS",H35)))</formula>
    </cfRule>
    <cfRule type="cellIs" dxfId="8369" priority="8067" operator="equal">
      <formula>0</formula>
    </cfRule>
    <cfRule type="cellIs" dxfId="8368" priority="8068" operator="greaterThan">
      <formula>0</formula>
    </cfRule>
    <cfRule type="cellIs" dxfId="8367" priority="8069" operator="equal">
      <formula>"PMS"</formula>
    </cfRule>
    <cfRule type="containsText" dxfId="8366" priority="8070" operator="containsText" text="CMS">
      <formula>NOT(ISERROR(SEARCH("CMS",H35)))</formula>
    </cfRule>
    <cfRule type="cellIs" dxfId="8365" priority="8071" operator="equal">
      <formula>0</formula>
    </cfRule>
    <cfRule type="cellIs" dxfId="8364" priority="8072" operator="greaterThan">
      <formula>0</formula>
    </cfRule>
  </conditionalFormatting>
  <conditionalFormatting sqref="H35:H58">
    <cfRule type="cellIs" dxfId="8363" priority="8061" operator="equal">
      <formula>"PMS"</formula>
    </cfRule>
    <cfRule type="containsText" dxfId="8362" priority="8062" operator="containsText" text="CMS">
      <formula>NOT(ISERROR(SEARCH("CMS",H35)))</formula>
    </cfRule>
    <cfRule type="cellIs" dxfId="8361" priority="8063" operator="equal">
      <formula>0</formula>
    </cfRule>
    <cfRule type="cellIs" dxfId="8360" priority="8064" operator="greaterThan">
      <formula>0</formula>
    </cfRule>
  </conditionalFormatting>
  <conditionalFormatting sqref="H35:H58">
    <cfRule type="cellIs" dxfId="8359" priority="8057" operator="equal">
      <formula>"PMS"</formula>
    </cfRule>
    <cfRule type="containsText" dxfId="8358" priority="8058" operator="containsText" text="CMS">
      <formula>NOT(ISERROR(SEARCH("CMS",H35)))</formula>
    </cfRule>
    <cfRule type="cellIs" dxfId="8357" priority="8059" operator="equal">
      <formula>0</formula>
    </cfRule>
    <cfRule type="cellIs" dxfId="8356" priority="8060" operator="greaterThan">
      <formula>0</formula>
    </cfRule>
  </conditionalFormatting>
  <conditionalFormatting sqref="H57">
    <cfRule type="cellIs" dxfId="8355" priority="8053" operator="equal">
      <formula>"PMS"</formula>
    </cfRule>
    <cfRule type="containsText" dxfId="8354" priority="8054" operator="containsText" text="CMS">
      <formula>NOT(ISERROR(SEARCH("CMS",H57)))</formula>
    </cfRule>
    <cfRule type="cellIs" dxfId="8353" priority="8055" operator="equal">
      <formula>0</formula>
    </cfRule>
    <cfRule type="cellIs" dxfId="8352" priority="8056" operator="greaterThan">
      <formula>0</formula>
    </cfRule>
  </conditionalFormatting>
  <conditionalFormatting sqref="H57">
    <cfRule type="cellIs" dxfId="8351" priority="8049" operator="equal">
      <formula>"PMS"</formula>
    </cfRule>
    <cfRule type="containsText" dxfId="8350" priority="8050" operator="containsText" text="CMS">
      <formula>NOT(ISERROR(SEARCH("CMS",H57)))</formula>
    </cfRule>
    <cfRule type="cellIs" dxfId="8349" priority="8051" operator="equal">
      <formula>0</formula>
    </cfRule>
    <cfRule type="cellIs" dxfId="8348" priority="8052" operator="greaterThan">
      <formula>0</formula>
    </cfRule>
  </conditionalFormatting>
  <conditionalFormatting sqref="H57">
    <cfRule type="cellIs" dxfId="8347" priority="8045" operator="equal">
      <formula>"PMS"</formula>
    </cfRule>
    <cfRule type="containsText" dxfId="8346" priority="8046" operator="containsText" text="CMS">
      <formula>NOT(ISERROR(SEARCH("CMS",H57)))</formula>
    </cfRule>
    <cfRule type="cellIs" dxfId="8345" priority="8047" operator="equal">
      <formula>0</formula>
    </cfRule>
    <cfRule type="cellIs" dxfId="8344" priority="8048" operator="greaterThan">
      <formula>0</formula>
    </cfRule>
  </conditionalFormatting>
  <conditionalFormatting sqref="H57">
    <cfRule type="cellIs" dxfId="8343" priority="8041" operator="equal">
      <formula>"PMS"</formula>
    </cfRule>
    <cfRule type="containsText" dxfId="8342" priority="8042" operator="containsText" text="CMS">
      <formula>NOT(ISERROR(SEARCH("CMS",H57)))</formula>
    </cfRule>
    <cfRule type="cellIs" dxfId="8341" priority="8043" operator="equal">
      <formula>0</formula>
    </cfRule>
    <cfRule type="cellIs" dxfId="8340" priority="8044" operator="greaterThan">
      <formula>0</formula>
    </cfRule>
  </conditionalFormatting>
  <conditionalFormatting sqref="H58">
    <cfRule type="cellIs" dxfId="8339" priority="8037" operator="equal">
      <formula>"PMS"</formula>
    </cfRule>
    <cfRule type="containsText" dxfId="8338" priority="8038" operator="containsText" text="CMS">
      <formula>NOT(ISERROR(SEARCH("CMS",H58)))</formula>
    </cfRule>
    <cfRule type="cellIs" dxfId="8337" priority="8039" operator="equal">
      <formula>0</formula>
    </cfRule>
    <cfRule type="cellIs" dxfId="8336" priority="8040" operator="greaterThan">
      <formula>0</formula>
    </cfRule>
  </conditionalFormatting>
  <conditionalFormatting sqref="H58">
    <cfRule type="cellIs" dxfId="8335" priority="8033" operator="equal">
      <formula>"PMS"</formula>
    </cfRule>
    <cfRule type="containsText" dxfId="8334" priority="8034" operator="containsText" text="CMS">
      <formula>NOT(ISERROR(SEARCH("CMS",H58)))</formula>
    </cfRule>
    <cfRule type="cellIs" dxfId="8333" priority="8035" operator="equal">
      <formula>0</formula>
    </cfRule>
    <cfRule type="cellIs" dxfId="8332" priority="8036" operator="greaterThan">
      <formula>0</formula>
    </cfRule>
  </conditionalFormatting>
  <conditionalFormatting sqref="H58">
    <cfRule type="cellIs" dxfId="8331" priority="8029" operator="equal">
      <formula>"PMS"</formula>
    </cfRule>
    <cfRule type="containsText" dxfId="8330" priority="8030" operator="containsText" text="CMS">
      <formula>NOT(ISERROR(SEARCH("CMS",H58)))</formula>
    </cfRule>
    <cfRule type="cellIs" dxfId="8329" priority="8031" operator="equal">
      <formula>0</formula>
    </cfRule>
    <cfRule type="cellIs" dxfId="8328" priority="8032" operator="greaterThan">
      <formula>0</formula>
    </cfRule>
  </conditionalFormatting>
  <conditionalFormatting sqref="H58">
    <cfRule type="cellIs" dxfId="8327" priority="8025" operator="equal">
      <formula>"PMS"</formula>
    </cfRule>
    <cfRule type="containsText" dxfId="8326" priority="8026" operator="containsText" text="CMS">
      <formula>NOT(ISERROR(SEARCH("CMS",H58)))</formula>
    </cfRule>
    <cfRule type="cellIs" dxfId="8325" priority="8027" operator="equal">
      <formula>0</formula>
    </cfRule>
    <cfRule type="cellIs" dxfId="8324" priority="8028" operator="greaterThan">
      <formula>0</formula>
    </cfRule>
  </conditionalFormatting>
  <conditionalFormatting sqref="H67:H74">
    <cfRule type="cellIs" dxfId="8311" priority="8005" operator="equal">
      <formula>"PMS"</formula>
    </cfRule>
    <cfRule type="containsText" dxfId="8310" priority="8006" operator="containsText" text="CMS">
      <formula>NOT(ISERROR(SEARCH("CMS",H67)))</formula>
    </cfRule>
    <cfRule type="cellIs" dxfId="8309" priority="8007" operator="equal">
      <formula>0</formula>
    </cfRule>
    <cfRule type="cellIs" dxfId="8308" priority="8008" operator="greaterThan">
      <formula>0</formula>
    </cfRule>
    <cfRule type="cellIs" dxfId="8307" priority="8009" operator="equal">
      <formula>"PMS"</formula>
    </cfRule>
    <cfRule type="containsText" dxfId="8306" priority="8010" operator="containsText" text="CMS">
      <formula>NOT(ISERROR(SEARCH("CMS",H67)))</formula>
    </cfRule>
    <cfRule type="cellIs" dxfId="8305" priority="8011" operator="equal">
      <formula>0</formula>
    </cfRule>
    <cfRule type="cellIs" dxfId="8304" priority="8012" operator="greaterThan">
      <formula>0</formula>
    </cfRule>
  </conditionalFormatting>
  <conditionalFormatting sqref="H67:H74">
    <cfRule type="cellIs" dxfId="8303" priority="8001" operator="equal">
      <formula>"PMS"</formula>
    </cfRule>
    <cfRule type="containsText" dxfId="8302" priority="8002" operator="containsText" text="CMS">
      <formula>NOT(ISERROR(SEARCH("CMS",H67)))</formula>
    </cfRule>
    <cfRule type="cellIs" dxfId="8301" priority="8003" operator="equal">
      <formula>0</formula>
    </cfRule>
    <cfRule type="cellIs" dxfId="8300" priority="8004" operator="greaterThan">
      <formula>0</formula>
    </cfRule>
  </conditionalFormatting>
  <conditionalFormatting sqref="H67:H74">
    <cfRule type="cellIs" dxfId="8299" priority="7997" operator="equal">
      <formula>"PMS"</formula>
    </cfRule>
    <cfRule type="containsText" dxfId="8298" priority="7998" operator="containsText" text="CMS">
      <formula>NOT(ISERROR(SEARCH("CMS",H67)))</formula>
    </cfRule>
    <cfRule type="cellIs" dxfId="8297" priority="7999" operator="equal">
      <formula>0</formula>
    </cfRule>
    <cfRule type="cellIs" dxfId="8296" priority="8000" operator="greaterThan">
      <formula>0</formula>
    </cfRule>
  </conditionalFormatting>
  <conditionalFormatting sqref="H77:H78">
    <cfRule type="cellIs" dxfId="8295" priority="7989" operator="equal">
      <formula>"PMS"</formula>
    </cfRule>
    <cfRule type="containsText" dxfId="8294" priority="7990" operator="containsText" text="CMS">
      <formula>NOT(ISERROR(SEARCH("CMS",H77)))</formula>
    </cfRule>
    <cfRule type="cellIs" dxfId="8293" priority="7991" operator="equal">
      <formula>0</formula>
    </cfRule>
    <cfRule type="cellIs" dxfId="8292" priority="7992" operator="greaterThan">
      <formula>0</formula>
    </cfRule>
    <cfRule type="cellIs" dxfId="8291" priority="7993" operator="equal">
      <formula>"PMS"</formula>
    </cfRule>
    <cfRule type="containsText" dxfId="8290" priority="7994" operator="containsText" text="CMS">
      <formula>NOT(ISERROR(SEARCH("CMS",H77)))</formula>
    </cfRule>
    <cfRule type="cellIs" dxfId="8289" priority="7995" operator="equal">
      <formula>0</formula>
    </cfRule>
    <cfRule type="cellIs" dxfId="8288" priority="7996" operator="greaterThan">
      <formula>0</formula>
    </cfRule>
  </conditionalFormatting>
  <conditionalFormatting sqref="H77:H78">
    <cfRule type="cellIs" dxfId="8287" priority="7985" operator="equal">
      <formula>"PMS"</formula>
    </cfRule>
    <cfRule type="containsText" dxfId="8286" priority="7986" operator="containsText" text="CMS">
      <formula>NOT(ISERROR(SEARCH("CMS",H77)))</formula>
    </cfRule>
    <cfRule type="cellIs" dxfId="8285" priority="7987" operator="equal">
      <formula>0</formula>
    </cfRule>
    <cfRule type="cellIs" dxfId="8284" priority="7988" operator="greaterThan">
      <formula>0</formula>
    </cfRule>
  </conditionalFormatting>
  <conditionalFormatting sqref="O56:O57">
    <cfRule type="cellIs" dxfId="8283" priority="7981" operator="equal">
      <formula>"PMS"</formula>
    </cfRule>
    <cfRule type="containsText" dxfId="8282" priority="7982" operator="containsText" text="CMS">
      <formula>NOT(ISERROR(SEARCH("CMS",O56)))</formula>
    </cfRule>
    <cfRule type="cellIs" dxfId="8281" priority="7983" operator="equal">
      <formula>0</formula>
    </cfRule>
    <cfRule type="cellIs" dxfId="8280" priority="7984" operator="greaterThan">
      <formula>0</formula>
    </cfRule>
  </conditionalFormatting>
  <conditionalFormatting sqref="O56:O57">
    <cfRule type="cellIs" dxfId="8279" priority="7977" operator="equal">
      <formula>"PMS"</formula>
    </cfRule>
    <cfRule type="containsText" dxfId="8278" priority="7978" operator="containsText" text="CMS">
      <formula>NOT(ISERROR(SEARCH("CMS",O56)))</formula>
    </cfRule>
    <cfRule type="cellIs" dxfId="8277" priority="7979" operator="equal">
      <formula>0</formula>
    </cfRule>
    <cfRule type="cellIs" dxfId="8276" priority="7980" operator="greaterThan">
      <formula>0</formula>
    </cfRule>
  </conditionalFormatting>
  <conditionalFormatting sqref="O56:O57">
    <cfRule type="cellIs" dxfId="8275" priority="7973" operator="equal">
      <formula>"PMS"</formula>
    </cfRule>
    <cfRule type="containsText" dxfId="8274" priority="7974" operator="containsText" text="CMS">
      <formula>NOT(ISERROR(SEARCH("CMS",O56)))</formula>
    </cfRule>
    <cfRule type="cellIs" dxfId="8273" priority="7975" operator="equal">
      <formula>0</formula>
    </cfRule>
    <cfRule type="cellIs" dxfId="8272" priority="7976" operator="greaterThan">
      <formula>0</formula>
    </cfRule>
  </conditionalFormatting>
  <conditionalFormatting sqref="O56:O57">
    <cfRule type="cellIs" dxfId="8271" priority="7969" operator="equal">
      <formula>"PMS"</formula>
    </cfRule>
    <cfRule type="containsText" dxfId="8270" priority="7970" operator="containsText" text="CMS">
      <formula>NOT(ISERROR(SEARCH("CMS",O56)))</formula>
    </cfRule>
    <cfRule type="cellIs" dxfId="8269" priority="7971" operator="equal">
      <formula>0</formula>
    </cfRule>
    <cfRule type="cellIs" dxfId="8268" priority="7972" operator="greaterThan">
      <formula>0</formula>
    </cfRule>
  </conditionalFormatting>
  <conditionalFormatting sqref="O56:O57">
    <cfRule type="cellIs" dxfId="8267" priority="7965" operator="equal">
      <formula>"PMS"</formula>
    </cfRule>
    <cfRule type="containsText" dxfId="8266" priority="7966" operator="containsText" text="CMS">
      <formula>NOT(ISERROR(SEARCH("CMS",O56)))</formula>
    </cfRule>
    <cfRule type="cellIs" dxfId="8265" priority="7967" operator="equal">
      <formula>0</formula>
    </cfRule>
    <cfRule type="cellIs" dxfId="8264" priority="7968" operator="greaterThan">
      <formula>0</formula>
    </cfRule>
  </conditionalFormatting>
  <conditionalFormatting sqref="O56:O57">
    <cfRule type="cellIs" dxfId="8263" priority="7961" operator="equal">
      <formula>"PMS"</formula>
    </cfRule>
    <cfRule type="containsText" dxfId="8262" priority="7962" operator="containsText" text="CMS">
      <formula>NOT(ISERROR(SEARCH("CMS",O56)))</formula>
    </cfRule>
    <cfRule type="cellIs" dxfId="8261" priority="7963" operator="equal">
      <formula>0</formula>
    </cfRule>
    <cfRule type="cellIs" dxfId="8260" priority="7964" operator="greaterThan">
      <formula>0</formula>
    </cfRule>
  </conditionalFormatting>
  <conditionalFormatting sqref="O56:O57">
    <cfRule type="cellIs" dxfId="8259" priority="7957" operator="equal">
      <formula>"PMS"</formula>
    </cfRule>
    <cfRule type="containsText" dxfId="8258" priority="7958" operator="containsText" text="CMS">
      <formula>NOT(ISERROR(SEARCH("CMS",O56)))</formula>
    </cfRule>
    <cfRule type="cellIs" dxfId="8257" priority="7959" operator="equal">
      <formula>0</formula>
    </cfRule>
    <cfRule type="cellIs" dxfId="8256" priority="7960" operator="greaterThan">
      <formula>0</formula>
    </cfRule>
  </conditionalFormatting>
  <conditionalFormatting sqref="O56:O57">
    <cfRule type="cellIs" dxfId="8255" priority="7953" operator="equal">
      <formula>"PMS"</formula>
    </cfRule>
    <cfRule type="containsText" dxfId="8254" priority="7954" operator="containsText" text="CMS">
      <formula>NOT(ISERROR(SEARCH("CMS",O56)))</formula>
    </cfRule>
    <cfRule type="cellIs" dxfId="8253" priority="7955" operator="equal">
      <formula>0</formula>
    </cfRule>
    <cfRule type="cellIs" dxfId="8252" priority="7956" operator="greaterThan">
      <formula>0</formula>
    </cfRule>
  </conditionalFormatting>
  <conditionalFormatting sqref="O56:O57">
    <cfRule type="cellIs" dxfId="8251" priority="7949" operator="equal">
      <formula>"PMS"</formula>
    </cfRule>
    <cfRule type="containsText" dxfId="8250" priority="7950" operator="containsText" text="CMS">
      <formula>NOT(ISERROR(SEARCH("CMS",O56)))</formula>
    </cfRule>
    <cfRule type="cellIs" dxfId="8249" priority="7951" operator="equal">
      <formula>0</formula>
    </cfRule>
    <cfRule type="cellIs" dxfId="8248" priority="7952" operator="greaterThan">
      <formula>0</formula>
    </cfRule>
  </conditionalFormatting>
  <conditionalFormatting sqref="O56:O57">
    <cfRule type="cellIs" dxfId="8247" priority="7945" operator="equal">
      <formula>"PMS"</formula>
    </cfRule>
    <cfRule type="containsText" dxfId="8246" priority="7946" operator="containsText" text="CMS">
      <formula>NOT(ISERROR(SEARCH("CMS",O56)))</formula>
    </cfRule>
    <cfRule type="cellIs" dxfId="8245" priority="7947" operator="equal">
      <formula>0</formula>
    </cfRule>
    <cfRule type="cellIs" dxfId="8244" priority="7948" operator="greaterThan">
      <formula>0</formula>
    </cfRule>
  </conditionalFormatting>
  <conditionalFormatting sqref="O56:O57">
    <cfRule type="cellIs" dxfId="8243" priority="7941" operator="equal">
      <formula>"PMS"</formula>
    </cfRule>
    <cfRule type="containsText" dxfId="8242" priority="7942" operator="containsText" text="CMS">
      <formula>NOT(ISERROR(SEARCH("CMS",O56)))</formula>
    </cfRule>
    <cfRule type="cellIs" dxfId="8241" priority="7943" operator="equal">
      <formula>0</formula>
    </cfRule>
    <cfRule type="cellIs" dxfId="8240" priority="7944" operator="greaterThan">
      <formula>0</formula>
    </cfRule>
  </conditionalFormatting>
  <conditionalFormatting sqref="O56:O57">
    <cfRule type="cellIs" dxfId="8239" priority="7937" operator="equal">
      <formula>"PMS"</formula>
    </cfRule>
    <cfRule type="containsText" dxfId="8238" priority="7938" operator="containsText" text="CMS">
      <formula>NOT(ISERROR(SEARCH("CMS",O56)))</formula>
    </cfRule>
    <cfRule type="cellIs" dxfId="8237" priority="7939" operator="equal">
      <formula>0</formula>
    </cfRule>
    <cfRule type="cellIs" dxfId="8236" priority="7940" operator="greaterThan">
      <formula>0</formula>
    </cfRule>
  </conditionalFormatting>
  <conditionalFormatting sqref="R77">
    <cfRule type="cellIs" dxfId="8235" priority="7933" operator="equal">
      <formula>"PMS"</formula>
    </cfRule>
    <cfRule type="containsText" dxfId="8234" priority="7934" operator="containsText" text="CMS">
      <formula>NOT(ISERROR(SEARCH("CMS",R77)))</formula>
    </cfRule>
    <cfRule type="cellIs" dxfId="8233" priority="7935" operator="equal">
      <formula>0</formula>
    </cfRule>
    <cfRule type="cellIs" dxfId="8232" priority="7936" operator="greaterThan">
      <formula>0</formula>
    </cfRule>
  </conditionalFormatting>
  <conditionalFormatting sqref="G15:G16">
    <cfRule type="cellIs" dxfId="8231" priority="7925" operator="equal">
      <formula>"PMS"</formula>
    </cfRule>
    <cfRule type="containsText" dxfId="8230" priority="7926" operator="containsText" text="CMS">
      <formula>NOT(ISERROR(SEARCH("CMS",G15)))</formula>
    </cfRule>
    <cfRule type="cellIs" dxfId="8229" priority="7927" operator="equal">
      <formula>0</formula>
    </cfRule>
    <cfRule type="cellIs" dxfId="8228" priority="7928" operator="greaterThan">
      <formula>0</formula>
    </cfRule>
    <cfRule type="cellIs" dxfId="8227" priority="7929" operator="equal">
      <formula>"PMS"</formula>
    </cfRule>
    <cfRule type="containsText" dxfId="8226" priority="7930" operator="containsText" text="CMS">
      <formula>NOT(ISERROR(SEARCH("CMS",G15)))</formula>
    </cfRule>
    <cfRule type="cellIs" dxfId="8225" priority="7931" operator="equal">
      <formula>0</formula>
    </cfRule>
    <cfRule type="cellIs" dxfId="8224" priority="7932" operator="greaterThan">
      <formula>0</formula>
    </cfRule>
  </conditionalFormatting>
  <conditionalFormatting sqref="G15:G16">
    <cfRule type="cellIs" dxfId="8223" priority="7921" operator="equal">
      <formula>"PMS"</formula>
    </cfRule>
    <cfRule type="containsText" dxfId="8222" priority="7922" operator="containsText" text="CMS">
      <formula>NOT(ISERROR(SEARCH("CMS",G15)))</formula>
    </cfRule>
    <cfRule type="cellIs" dxfId="8221" priority="7923" operator="equal">
      <formula>0</formula>
    </cfRule>
    <cfRule type="cellIs" dxfId="8220" priority="7924" operator="greaterThan">
      <formula>0</formula>
    </cfRule>
  </conditionalFormatting>
  <conditionalFormatting sqref="G15:G16">
    <cfRule type="cellIs" dxfId="8219" priority="7917" operator="equal">
      <formula>"PMS"</formula>
    </cfRule>
    <cfRule type="containsText" dxfId="8218" priority="7918" operator="containsText" text="CMS">
      <formula>NOT(ISERROR(SEARCH("CMS",G15)))</formula>
    </cfRule>
    <cfRule type="cellIs" dxfId="8217" priority="7919" operator="equal">
      <formula>0</formula>
    </cfRule>
    <cfRule type="cellIs" dxfId="8216" priority="7920" operator="greaterThan">
      <formula>0</formula>
    </cfRule>
  </conditionalFormatting>
  <conditionalFormatting sqref="G21">
    <cfRule type="cellIs" dxfId="8215" priority="7909" operator="equal">
      <formula>"PMS"</formula>
    </cfRule>
    <cfRule type="containsText" dxfId="8214" priority="7910" operator="containsText" text="CMS">
      <formula>NOT(ISERROR(SEARCH("CMS",G21)))</formula>
    </cfRule>
    <cfRule type="cellIs" dxfId="8213" priority="7911" operator="equal">
      <formula>0</formula>
    </cfRule>
    <cfRule type="cellIs" dxfId="8212" priority="7912" operator="greaterThan">
      <formula>0</formula>
    </cfRule>
    <cfRule type="cellIs" dxfId="8211" priority="7913" operator="equal">
      <formula>"PMS"</formula>
    </cfRule>
    <cfRule type="containsText" dxfId="8210" priority="7914" operator="containsText" text="CMS">
      <formula>NOT(ISERROR(SEARCH("CMS",G21)))</formula>
    </cfRule>
    <cfRule type="cellIs" dxfId="8209" priority="7915" operator="equal">
      <formula>0</formula>
    </cfRule>
    <cfRule type="cellIs" dxfId="8208" priority="7916" operator="greaterThan">
      <formula>0</formula>
    </cfRule>
  </conditionalFormatting>
  <conditionalFormatting sqref="G21">
    <cfRule type="cellIs" dxfId="8207" priority="7905" operator="equal">
      <formula>"PMS"</formula>
    </cfRule>
    <cfRule type="containsText" dxfId="8206" priority="7906" operator="containsText" text="CMS">
      <formula>NOT(ISERROR(SEARCH("CMS",G21)))</formula>
    </cfRule>
    <cfRule type="cellIs" dxfId="8205" priority="7907" operator="equal">
      <formula>0</formula>
    </cfRule>
    <cfRule type="cellIs" dxfId="8204" priority="7908" operator="greaterThan">
      <formula>0</formula>
    </cfRule>
  </conditionalFormatting>
  <conditionalFormatting sqref="G21">
    <cfRule type="cellIs" dxfId="8203" priority="7901" operator="equal">
      <formula>"PMS"</formula>
    </cfRule>
    <cfRule type="containsText" dxfId="8202" priority="7902" operator="containsText" text="CMS">
      <formula>NOT(ISERROR(SEARCH("CMS",G21)))</formula>
    </cfRule>
    <cfRule type="cellIs" dxfId="8201" priority="7903" operator="equal">
      <formula>0</formula>
    </cfRule>
    <cfRule type="cellIs" dxfId="8200" priority="7904" operator="greaterThan">
      <formula>0</formula>
    </cfRule>
  </conditionalFormatting>
  <conditionalFormatting sqref="J63 J61 L63 H61:H62 M61:M63">
    <cfRule type="cellIs" dxfId="8199" priority="7893" operator="equal">
      <formula>"PMS"</formula>
    </cfRule>
    <cfRule type="containsText" dxfId="8198" priority="7894" operator="containsText" text="CMS">
      <formula>NOT(ISERROR(SEARCH("CMS",H61)))</formula>
    </cfRule>
    <cfRule type="cellIs" dxfId="8197" priority="7895" operator="equal">
      <formula>0</formula>
    </cfRule>
    <cfRule type="cellIs" dxfId="8196" priority="7896" operator="greaterThan">
      <formula>0</formula>
    </cfRule>
    <cfRule type="cellIs" dxfId="8195" priority="7897" operator="equal">
      <formula>"PMS"</formula>
    </cfRule>
    <cfRule type="containsText" dxfId="8194" priority="7898" operator="containsText" text="CMS">
      <formula>NOT(ISERROR(SEARCH("CMS",H61)))</formula>
    </cfRule>
    <cfRule type="cellIs" dxfId="8193" priority="7899" operator="equal">
      <formula>0</formula>
    </cfRule>
    <cfRule type="cellIs" dxfId="8192" priority="7900" operator="greaterThan">
      <formula>0</formula>
    </cfRule>
  </conditionalFormatting>
  <conditionalFormatting sqref="J63 J61 L63 H61:H62 M61:M63">
    <cfRule type="cellIs" dxfId="8191" priority="7889" operator="equal">
      <formula>"PMS"</formula>
    </cfRule>
    <cfRule type="containsText" dxfId="8190" priority="7890" operator="containsText" text="CMS">
      <formula>NOT(ISERROR(SEARCH("CMS",H61)))</formula>
    </cfRule>
    <cfRule type="cellIs" dxfId="8189" priority="7891" operator="equal">
      <formula>0</formula>
    </cfRule>
    <cfRule type="cellIs" dxfId="8188" priority="7892" operator="greaterThan">
      <formula>0</formula>
    </cfRule>
  </conditionalFormatting>
  <conditionalFormatting sqref="G78">
    <cfRule type="cellIs" dxfId="8187" priority="7881" operator="equal">
      <formula>"PMS"</formula>
    </cfRule>
    <cfRule type="containsText" dxfId="8186" priority="7882" operator="containsText" text="CMS">
      <formula>NOT(ISERROR(SEARCH("CMS",G78)))</formula>
    </cfRule>
    <cfRule type="cellIs" dxfId="8185" priority="7883" operator="equal">
      <formula>0</formula>
    </cfRule>
    <cfRule type="cellIs" dxfId="8184" priority="7884" operator="greaterThan">
      <formula>0</formula>
    </cfRule>
    <cfRule type="cellIs" dxfId="8183" priority="7885" operator="equal">
      <formula>"PMS"</formula>
    </cfRule>
    <cfRule type="containsText" dxfId="8182" priority="7886" operator="containsText" text="CMS">
      <formula>NOT(ISERROR(SEARCH("CMS",G78)))</formula>
    </cfRule>
    <cfRule type="cellIs" dxfId="8181" priority="7887" operator="equal">
      <formula>0</formula>
    </cfRule>
    <cfRule type="cellIs" dxfId="8180" priority="7888" operator="greaterThan">
      <formula>0</formula>
    </cfRule>
  </conditionalFormatting>
  <conditionalFormatting sqref="G78">
    <cfRule type="cellIs" dxfId="8179" priority="7877" operator="equal">
      <formula>"PMS"</formula>
    </cfRule>
    <cfRule type="containsText" dxfId="8178" priority="7878" operator="containsText" text="CMS">
      <formula>NOT(ISERROR(SEARCH("CMS",G78)))</formula>
    </cfRule>
    <cfRule type="cellIs" dxfId="8177" priority="7879" operator="equal">
      <formula>0</formula>
    </cfRule>
    <cfRule type="cellIs" dxfId="8176" priority="7880" operator="greaterThan">
      <formula>0</formula>
    </cfRule>
  </conditionalFormatting>
  <conditionalFormatting sqref="G24">
    <cfRule type="cellIs" dxfId="8175" priority="7869" operator="equal">
      <formula>"PMS"</formula>
    </cfRule>
    <cfRule type="containsText" dxfId="8174" priority="7870" operator="containsText" text="CMS">
      <formula>NOT(ISERROR(SEARCH("CMS",G24)))</formula>
    </cfRule>
    <cfRule type="cellIs" dxfId="8173" priority="7871" operator="equal">
      <formula>0</formula>
    </cfRule>
    <cfRule type="cellIs" dxfId="8172" priority="7872" operator="greaterThan">
      <formula>0</formula>
    </cfRule>
    <cfRule type="cellIs" dxfId="8171" priority="7873" operator="equal">
      <formula>"PMS"</formula>
    </cfRule>
    <cfRule type="containsText" dxfId="8170" priority="7874" operator="containsText" text="CMS">
      <formula>NOT(ISERROR(SEARCH("CMS",G24)))</formula>
    </cfRule>
    <cfRule type="cellIs" dxfId="8169" priority="7875" operator="equal">
      <formula>0</formula>
    </cfRule>
    <cfRule type="cellIs" dxfId="8168" priority="7876" operator="greaterThan">
      <formula>0</formula>
    </cfRule>
  </conditionalFormatting>
  <conditionalFormatting sqref="G24">
    <cfRule type="cellIs" dxfId="8167" priority="7865" operator="equal">
      <formula>"PMS"</formula>
    </cfRule>
    <cfRule type="containsText" dxfId="8166" priority="7866" operator="containsText" text="CMS">
      <formula>NOT(ISERROR(SEARCH("CMS",G24)))</formula>
    </cfRule>
    <cfRule type="cellIs" dxfId="8165" priority="7867" operator="equal">
      <formula>0</formula>
    </cfRule>
    <cfRule type="cellIs" dxfId="8164" priority="7868" operator="greaterThan">
      <formula>0</formula>
    </cfRule>
  </conditionalFormatting>
  <conditionalFormatting sqref="G24">
    <cfRule type="cellIs" dxfId="8163" priority="7861" operator="equal">
      <formula>"PMS"</formula>
    </cfRule>
    <cfRule type="containsText" dxfId="8162" priority="7862" operator="containsText" text="CMS">
      <formula>NOT(ISERROR(SEARCH("CMS",G24)))</formula>
    </cfRule>
    <cfRule type="cellIs" dxfId="8161" priority="7863" operator="equal">
      <formula>0</formula>
    </cfRule>
    <cfRule type="cellIs" dxfId="8160" priority="7864" operator="greaterThan">
      <formula>0</formula>
    </cfRule>
  </conditionalFormatting>
  <conditionalFormatting sqref="O56:O57">
    <cfRule type="cellIs" dxfId="8159" priority="7857" operator="equal">
      <formula>"PMS"</formula>
    </cfRule>
    <cfRule type="containsText" dxfId="8158" priority="7858" operator="containsText" text="CMS">
      <formula>NOT(ISERROR(SEARCH("CMS",O56)))</formula>
    </cfRule>
    <cfRule type="cellIs" dxfId="8157" priority="7859" operator="equal">
      <formula>0</formula>
    </cfRule>
    <cfRule type="cellIs" dxfId="8156" priority="7860" operator="greaterThan">
      <formula>0</formula>
    </cfRule>
  </conditionalFormatting>
  <conditionalFormatting sqref="O56:O57">
    <cfRule type="cellIs" dxfId="8155" priority="7853" operator="equal">
      <formula>"PMS"</formula>
    </cfRule>
    <cfRule type="containsText" dxfId="8154" priority="7854" operator="containsText" text="CMS">
      <formula>NOT(ISERROR(SEARCH("CMS",O56)))</formula>
    </cfRule>
    <cfRule type="cellIs" dxfId="8153" priority="7855" operator="equal">
      <formula>0</formula>
    </cfRule>
    <cfRule type="cellIs" dxfId="8152" priority="7856" operator="greaterThan">
      <formula>0</formula>
    </cfRule>
  </conditionalFormatting>
  <conditionalFormatting sqref="O56:O57">
    <cfRule type="cellIs" dxfId="8151" priority="7849" operator="equal">
      <formula>"PMS"</formula>
    </cfRule>
    <cfRule type="containsText" dxfId="8150" priority="7850" operator="containsText" text="CMS">
      <formula>NOT(ISERROR(SEARCH("CMS",O56)))</formula>
    </cfRule>
    <cfRule type="cellIs" dxfId="8149" priority="7851" operator="equal">
      <formula>0</formula>
    </cfRule>
    <cfRule type="cellIs" dxfId="8148" priority="7852" operator="greaterThan">
      <formula>0</formula>
    </cfRule>
  </conditionalFormatting>
  <conditionalFormatting sqref="O56:O57">
    <cfRule type="cellIs" dxfId="8147" priority="7845" operator="equal">
      <formula>"PMS"</formula>
    </cfRule>
    <cfRule type="containsText" dxfId="8146" priority="7846" operator="containsText" text="CMS">
      <formula>NOT(ISERROR(SEARCH("CMS",O56)))</formula>
    </cfRule>
    <cfRule type="cellIs" dxfId="8145" priority="7847" operator="equal">
      <formula>0</formula>
    </cfRule>
    <cfRule type="cellIs" dxfId="8144" priority="7848" operator="greaterThan">
      <formula>0</formula>
    </cfRule>
  </conditionalFormatting>
  <conditionalFormatting sqref="O56">
    <cfRule type="cellIs" dxfId="8143" priority="7841" operator="equal">
      <formula>"PMS"</formula>
    </cfRule>
    <cfRule type="containsText" dxfId="8142" priority="7842" operator="containsText" text="CMS">
      <formula>NOT(ISERROR(SEARCH("CMS",O56)))</formula>
    </cfRule>
    <cfRule type="cellIs" dxfId="8141" priority="7843" operator="equal">
      <formula>0</formula>
    </cfRule>
    <cfRule type="cellIs" dxfId="8140" priority="7844" operator="greaterThan">
      <formula>0</formula>
    </cfRule>
  </conditionalFormatting>
  <conditionalFormatting sqref="O56">
    <cfRule type="cellIs" dxfId="8139" priority="7837" operator="equal">
      <formula>"PMS"</formula>
    </cfRule>
    <cfRule type="containsText" dxfId="8138" priority="7838" operator="containsText" text="CMS">
      <formula>NOT(ISERROR(SEARCH("CMS",O56)))</formula>
    </cfRule>
    <cfRule type="cellIs" dxfId="8137" priority="7839" operator="equal">
      <formula>0</formula>
    </cfRule>
    <cfRule type="cellIs" dxfId="8136" priority="7840" operator="greaterThan">
      <formula>0</formula>
    </cfRule>
  </conditionalFormatting>
  <conditionalFormatting sqref="O56">
    <cfRule type="cellIs" dxfId="8135" priority="7833" operator="equal">
      <formula>"PMS"</formula>
    </cfRule>
    <cfRule type="containsText" dxfId="8134" priority="7834" operator="containsText" text="CMS">
      <formula>NOT(ISERROR(SEARCH("CMS",O56)))</formula>
    </cfRule>
    <cfRule type="cellIs" dxfId="8133" priority="7835" operator="equal">
      <formula>0</formula>
    </cfRule>
    <cfRule type="cellIs" dxfId="8132" priority="7836" operator="greaterThan">
      <formula>0</formula>
    </cfRule>
  </conditionalFormatting>
  <conditionalFormatting sqref="O56">
    <cfRule type="cellIs" dxfId="8131" priority="7829" operator="equal">
      <formula>"PMS"</formula>
    </cfRule>
    <cfRule type="containsText" dxfId="8130" priority="7830" operator="containsText" text="CMS">
      <formula>NOT(ISERROR(SEARCH("CMS",O56)))</formula>
    </cfRule>
    <cfRule type="cellIs" dxfId="8129" priority="7831" operator="equal">
      <formula>0</formula>
    </cfRule>
    <cfRule type="cellIs" dxfId="8128" priority="7832" operator="greaterThan">
      <formula>0</formula>
    </cfRule>
  </conditionalFormatting>
  <conditionalFormatting sqref="O56">
    <cfRule type="cellIs" dxfId="8127" priority="7825" operator="equal">
      <formula>"PMS"</formula>
    </cfRule>
    <cfRule type="containsText" dxfId="8126" priority="7826" operator="containsText" text="CMS">
      <formula>NOT(ISERROR(SEARCH("CMS",O56)))</formula>
    </cfRule>
    <cfRule type="cellIs" dxfId="8125" priority="7827" operator="equal">
      <formula>0</formula>
    </cfRule>
    <cfRule type="cellIs" dxfId="8124" priority="7828" operator="greaterThan">
      <formula>0</formula>
    </cfRule>
  </conditionalFormatting>
  <conditionalFormatting sqref="P57:P58">
    <cfRule type="cellIs" dxfId="8123" priority="7821" operator="equal">
      <formula>"PMS"</formula>
    </cfRule>
    <cfRule type="containsText" dxfId="8122" priority="7822" operator="containsText" text="CMS">
      <formula>NOT(ISERROR(SEARCH("CMS",P57)))</formula>
    </cfRule>
    <cfRule type="cellIs" dxfId="8121" priority="7823" operator="equal">
      <formula>0</formula>
    </cfRule>
    <cfRule type="cellIs" dxfId="8120" priority="7824" operator="greaterThan">
      <formula>0</formula>
    </cfRule>
  </conditionalFormatting>
  <conditionalFormatting sqref="L61:L62">
    <cfRule type="cellIs" dxfId="8119" priority="7813" operator="equal">
      <formula>"PMS"</formula>
    </cfRule>
    <cfRule type="containsText" dxfId="8118" priority="7814" operator="containsText" text="CMS">
      <formula>NOT(ISERROR(SEARCH("CMS",L61)))</formula>
    </cfRule>
    <cfRule type="cellIs" dxfId="8117" priority="7815" operator="equal">
      <formula>0</formula>
    </cfRule>
    <cfRule type="cellIs" dxfId="8116" priority="7816" operator="greaterThan">
      <formula>0</formula>
    </cfRule>
    <cfRule type="cellIs" dxfId="8115" priority="7817" operator="equal">
      <formula>"PMS"</formula>
    </cfRule>
    <cfRule type="containsText" dxfId="8114" priority="7818" operator="containsText" text="CMS">
      <formula>NOT(ISERROR(SEARCH("CMS",L61)))</formula>
    </cfRule>
    <cfRule type="cellIs" dxfId="8113" priority="7819" operator="equal">
      <formula>0</formula>
    </cfRule>
    <cfRule type="cellIs" dxfId="8112" priority="7820" operator="greaterThan">
      <formula>0</formula>
    </cfRule>
  </conditionalFormatting>
  <conditionalFormatting sqref="L61:L62">
    <cfRule type="cellIs" dxfId="8111" priority="7809" operator="equal">
      <formula>"PMS"</formula>
    </cfRule>
    <cfRule type="containsText" dxfId="8110" priority="7810" operator="containsText" text="CMS">
      <formula>NOT(ISERROR(SEARCH("CMS",L61)))</formula>
    </cfRule>
    <cfRule type="cellIs" dxfId="8109" priority="7811" operator="equal">
      <formula>0</formula>
    </cfRule>
    <cfRule type="cellIs" dxfId="8108" priority="7812" operator="greaterThan">
      <formula>0</formula>
    </cfRule>
  </conditionalFormatting>
  <conditionalFormatting sqref="Z13 Z15:Z16">
    <cfRule type="cellIs" dxfId="8107" priority="7805" operator="equal">
      <formula>"PMS"</formula>
    </cfRule>
    <cfRule type="containsText" dxfId="8106" priority="7806" operator="containsText" text="CMS">
      <formula>NOT(ISERROR(SEARCH("CMS",Z13)))</formula>
    </cfRule>
    <cfRule type="cellIs" dxfId="8105" priority="7807" operator="equal">
      <formula>0</formula>
    </cfRule>
    <cfRule type="cellIs" dxfId="8104" priority="7808" operator="greaterThan">
      <formula>0</formula>
    </cfRule>
  </conditionalFormatting>
  <conditionalFormatting sqref="Z13 Z15:Z16">
    <cfRule type="cellIs" dxfId="8103" priority="7801" operator="equal">
      <formula>"PMS"</formula>
    </cfRule>
    <cfRule type="containsText" dxfId="8102" priority="7802" operator="containsText" text="CMS">
      <formula>NOT(ISERROR(SEARCH("CMS",Z13)))</formula>
    </cfRule>
    <cfRule type="cellIs" dxfId="8101" priority="7803" operator="equal">
      <formula>0</formula>
    </cfRule>
    <cfRule type="cellIs" dxfId="8100" priority="7804" operator="greaterThan">
      <formula>0</formula>
    </cfRule>
  </conditionalFormatting>
  <conditionalFormatting sqref="Z16">
    <cfRule type="cellIs" dxfId="8099" priority="7797" operator="equal">
      <formula>"PMS"</formula>
    </cfRule>
    <cfRule type="containsText" dxfId="8098" priority="7798" operator="containsText" text="CMS">
      <formula>NOT(ISERROR(SEARCH("CMS",Z16)))</formula>
    </cfRule>
    <cfRule type="cellIs" dxfId="8097" priority="7799" operator="equal">
      <formula>0</formula>
    </cfRule>
    <cfRule type="cellIs" dxfId="8096" priority="7800" operator="greaterThan">
      <formula>0</formula>
    </cfRule>
  </conditionalFormatting>
  <conditionalFormatting sqref="Z16">
    <cfRule type="cellIs" dxfId="8095" priority="7793" operator="equal">
      <formula>"PMS"</formula>
    </cfRule>
    <cfRule type="containsText" dxfId="8094" priority="7794" operator="containsText" text="CMS">
      <formula>NOT(ISERROR(SEARCH("CMS",Z16)))</formula>
    </cfRule>
    <cfRule type="cellIs" dxfId="8093" priority="7795" operator="equal">
      <formula>0</formula>
    </cfRule>
    <cfRule type="cellIs" dxfId="8092" priority="7796" operator="greaterThan">
      <formula>0</formula>
    </cfRule>
  </conditionalFormatting>
  <conditionalFormatting sqref="J62">
    <cfRule type="cellIs" dxfId="8091" priority="7785" operator="equal">
      <formula>"PMS"</formula>
    </cfRule>
    <cfRule type="containsText" dxfId="8090" priority="7786" operator="containsText" text="CMS">
      <formula>NOT(ISERROR(SEARCH("CMS",J62)))</formula>
    </cfRule>
    <cfRule type="cellIs" dxfId="8089" priority="7787" operator="equal">
      <formula>0</formula>
    </cfRule>
    <cfRule type="cellIs" dxfId="8088" priority="7788" operator="greaterThan">
      <formula>0</formula>
    </cfRule>
    <cfRule type="cellIs" dxfId="8087" priority="7789" operator="equal">
      <formula>"PMS"</formula>
    </cfRule>
    <cfRule type="containsText" dxfId="8086" priority="7790" operator="containsText" text="CMS">
      <formula>NOT(ISERROR(SEARCH("CMS",J62)))</formula>
    </cfRule>
    <cfRule type="cellIs" dxfId="8085" priority="7791" operator="equal">
      <formula>0</formula>
    </cfRule>
    <cfRule type="cellIs" dxfId="8084" priority="7792" operator="greaterThan">
      <formula>0</formula>
    </cfRule>
  </conditionalFormatting>
  <conditionalFormatting sqref="J62">
    <cfRule type="cellIs" dxfId="8083" priority="7781" operator="equal">
      <formula>"PMS"</formula>
    </cfRule>
    <cfRule type="containsText" dxfId="8082" priority="7782" operator="containsText" text="CMS">
      <formula>NOT(ISERROR(SEARCH("CMS",J62)))</formula>
    </cfRule>
    <cfRule type="cellIs" dxfId="8081" priority="7783" operator="equal">
      <formula>0</formula>
    </cfRule>
    <cfRule type="cellIs" dxfId="8080" priority="7784" operator="greaterThan">
      <formula>0</formula>
    </cfRule>
  </conditionalFormatting>
  <conditionalFormatting sqref="O52:O55">
    <cfRule type="cellIs" dxfId="8079" priority="7777" operator="equal">
      <formula>"PMS"</formula>
    </cfRule>
    <cfRule type="containsText" dxfId="8078" priority="7778" operator="containsText" text="CMS">
      <formula>NOT(ISERROR(SEARCH("CMS",O52)))</formula>
    </cfRule>
    <cfRule type="cellIs" dxfId="8077" priority="7779" operator="equal">
      <formula>0</formula>
    </cfRule>
    <cfRule type="cellIs" dxfId="8076" priority="7780" operator="greaterThan">
      <formula>0</formula>
    </cfRule>
  </conditionalFormatting>
  <conditionalFormatting sqref="O52:O55">
    <cfRule type="cellIs" dxfId="8075" priority="7773" operator="equal">
      <formula>"PMS"</formula>
    </cfRule>
    <cfRule type="containsText" dxfId="8074" priority="7774" operator="containsText" text="CMS">
      <formula>NOT(ISERROR(SEARCH("CMS",O52)))</formula>
    </cfRule>
    <cfRule type="cellIs" dxfId="8073" priority="7775" operator="equal">
      <formula>0</formula>
    </cfRule>
    <cfRule type="cellIs" dxfId="8072" priority="7776" operator="greaterThan">
      <formula>0</formula>
    </cfRule>
  </conditionalFormatting>
  <conditionalFormatting sqref="O52:O55">
    <cfRule type="cellIs" dxfId="8071" priority="7769" operator="equal">
      <formula>"PMS"</formula>
    </cfRule>
    <cfRule type="containsText" dxfId="8070" priority="7770" operator="containsText" text="CMS">
      <formula>NOT(ISERROR(SEARCH("CMS",O52)))</formula>
    </cfRule>
    <cfRule type="cellIs" dxfId="8069" priority="7771" operator="equal">
      <formula>0</formula>
    </cfRule>
    <cfRule type="cellIs" dxfId="8068" priority="7772" operator="greaterThan">
      <formula>0</formula>
    </cfRule>
  </conditionalFormatting>
  <conditionalFormatting sqref="O52:O55">
    <cfRule type="cellIs" dxfId="8067" priority="7765" operator="equal">
      <formula>"PMS"</formula>
    </cfRule>
    <cfRule type="containsText" dxfId="8066" priority="7766" operator="containsText" text="CMS">
      <formula>NOT(ISERROR(SEARCH("CMS",O52)))</formula>
    </cfRule>
    <cfRule type="cellIs" dxfId="8065" priority="7767" operator="equal">
      <formula>0</formula>
    </cfRule>
    <cfRule type="cellIs" dxfId="8064" priority="7768" operator="greaterThan">
      <formula>0</formula>
    </cfRule>
  </conditionalFormatting>
  <conditionalFormatting sqref="O52:O55">
    <cfRule type="cellIs" dxfId="8063" priority="7761" operator="equal">
      <formula>"PMS"</formula>
    </cfRule>
    <cfRule type="containsText" dxfId="8062" priority="7762" operator="containsText" text="CMS">
      <formula>NOT(ISERROR(SEARCH("CMS",O52)))</formula>
    </cfRule>
    <cfRule type="cellIs" dxfId="8061" priority="7763" operator="equal">
      <formula>0</formula>
    </cfRule>
    <cfRule type="cellIs" dxfId="8060" priority="7764" operator="greaterThan">
      <formula>0</formula>
    </cfRule>
  </conditionalFormatting>
  <conditionalFormatting sqref="O52:O55">
    <cfRule type="cellIs" dxfId="8059" priority="7757" operator="equal">
      <formula>"PMS"</formula>
    </cfRule>
    <cfRule type="containsText" dxfId="8058" priority="7758" operator="containsText" text="CMS">
      <formula>NOT(ISERROR(SEARCH("CMS",O52)))</formula>
    </cfRule>
    <cfRule type="cellIs" dxfId="8057" priority="7759" operator="equal">
      <formula>0</formula>
    </cfRule>
    <cfRule type="cellIs" dxfId="8056" priority="7760" operator="greaterThan">
      <formula>0</formula>
    </cfRule>
  </conditionalFormatting>
  <conditionalFormatting sqref="O52:O54">
    <cfRule type="cellIs" dxfId="8055" priority="7753" operator="equal">
      <formula>"PMS"</formula>
    </cfRule>
    <cfRule type="containsText" dxfId="8054" priority="7754" operator="containsText" text="CMS">
      <formula>NOT(ISERROR(SEARCH("CMS",O52)))</formula>
    </cfRule>
    <cfRule type="cellIs" dxfId="8053" priority="7755" operator="equal">
      <formula>0</formula>
    </cfRule>
    <cfRule type="cellIs" dxfId="8052" priority="7756" operator="greaterThan">
      <formula>0</formula>
    </cfRule>
  </conditionalFormatting>
  <conditionalFormatting sqref="O52:O54">
    <cfRule type="cellIs" dxfId="8051" priority="7749" operator="equal">
      <formula>"PMS"</formula>
    </cfRule>
    <cfRule type="containsText" dxfId="8050" priority="7750" operator="containsText" text="CMS">
      <formula>NOT(ISERROR(SEARCH("CMS",O52)))</formula>
    </cfRule>
    <cfRule type="cellIs" dxfId="8049" priority="7751" operator="equal">
      <formula>0</formula>
    </cfRule>
    <cfRule type="cellIs" dxfId="8048" priority="7752" operator="greaterThan">
      <formula>0</formula>
    </cfRule>
  </conditionalFormatting>
  <conditionalFormatting sqref="O52:O54">
    <cfRule type="cellIs" dxfId="8047" priority="7745" operator="equal">
      <formula>"PMS"</formula>
    </cfRule>
    <cfRule type="containsText" dxfId="8046" priority="7746" operator="containsText" text="CMS">
      <formula>NOT(ISERROR(SEARCH("CMS",O52)))</formula>
    </cfRule>
    <cfRule type="cellIs" dxfId="8045" priority="7747" operator="equal">
      <formula>0</formula>
    </cfRule>
    <cfRule type="cellIs" dxfId="8044" priority="7748" operator="greaterThan">
      <formula>0</formula>
    </cfRule>
  </conditionalFormatting>
  <conditionalFormatting sqref="O52:O54">
    <cfRule type="cellIs" dxfId="8043" priority="7741" operator="equal">
      <formula>"PMS"</formula>
    </cfRule>
    <cfRule type="containsText" dxfId="8042" priority="7742" operator="containsText" text="CMS">
      <formula>NOT(ISERROR(SEARCH("CMS",O52)))</formula>
    </cfRule>
    <cfRule type="cellIs" dxfId="8041" priority="7743" operator="equal">
      <formula>0</formula>
    </cfRule>
    <cfRule type="cellIs" dxfId="8040" priority="7744" operator="greaterThan">
      <formula>0</formula>
    </cfRule>
  </conditionalFormatting>
  <conditionalFormatting sqref="O52:O54">
    <cfRule type="cellIs" dxfId="8039" priority="7737" operator="equal">
      <formula>"PMS"</formula>
    </cfRule>
    <cfRule type="containsText" dxfId="8038" priority="7738" operator="containsText" text="CMS">
      <formula>NOT(ISERROR(SEARCH("CMS",O52)))</formula>
    </cfRule>
    <cfRule type="cellIs" dxfId="8037" priority="7739" operator="equal">
      <formula>0</formula>
    </cfRule>
    <cfRule type="cellIs" dxfId="8036" priority="7740" operator="greaterThan">
      <formula>0</formula>
    </cfRule>
  </conditionalFormatting>
  <conditionalFormatting sqref="O52:O54">
    <cfRule type="cellIs" dxfId="8035" priority="7733" operator="equal">
      <formula>"PMS"</formula>
    </cfRule>
    <cfRule type="containsText" dxfId="8034" priority="7734" operator="containsText" text="CMS">
      <formula>NOT(ISERROR(SEARCH("CMS",O52)))</formula>
    </cfRule>
    <cfRule type="cellIs" dxfId="8033" priority="7735" operator="equal">
      <formula>0</formula>
    </cfRule>
    <cfRule type="cellIs" dxfId="8032" priority="7736" operator="greaterThan">
      <formula>0</formula>
    </cfRule>
  </conditionalFormatting>
  <conditionalFormatting sqref="O52:O54">
    <cfRule type="cellIs" dxfId="8031" priority="7729" operator="equal">
      <formula>"PMS"</formula>
    </cfRule>
    <cfRule type="containsText" dxfId="8030" priority="7730" operator="containsText" text="CMS">
      <formula>NOT(ISERROR(SEARCH("CMS",O52)))</formula>
    </cfRule>
    <cfRule type="cellIs" dxfId="8029" priority="7731" operator="equal">
      <formula>0</formula>
    </cfRule>
    <cfRule type="cellIs" dxfId="8028" priority="7732" operator="greaterThan">
      <formula>0</formula>
    </cfRule>
  </conditionalFormatting>
  <conditionalFormatting sqref="O52:O54">
    <cfRule type="cellIs" dxfId="8027" priority="7725" operator="equal">
      <formula>"PMS"</formula>
    </cfRule>
    <cfRule type="containsText" dxfId="8026" priority="7726" operator="containsText" text="CMS">
      <formula>NOT(ISERROR(SEARCH("CMS",O52)))</formula>
    </cfRule>
    <cfRule type="cellIs" dxfId="8025" priority="7727" operator="equal">
      <formula>0</formula>
    </cfRule>
    <cfRule type="cellIs" dxfId="8024" priority="7728" operator="greaterThan">
      <formula>0</formula>
    </cfRule>
  </conditionalFormatting>
  <conditionalFormatting sqref="O52:O54">
    <cfRule type="cellIs" dxfId="8023" priority="7721" operator="equal">
      <formula>"PMS"</formula>
    </cfRule>
    <cfRule type="containsText" dxfId="8022" priority="7722" operator="containsText" text="CMS">
      <formula>NOT(ISERROR(SEARCH("CMS",O52)))</formula>
    </cfRule>
    <cfRule type="cellIs" dxfId="8021" priority="7723" operator="equal">
      <formula>0</formula>
    </cfRule>
    <cfRule type="cellIs" dxfId="8020" priority="7724" operator="greaterThan">
      <formula>0</formula>
    </cfRule>
  </conditionalFormatting>
  <conditionalFormatting sqref="O52:O54">
    <cfRule type="cellIs" dxfId="8019" priority="7717" operator="equal">
      <formula>"PMS"</formula>
    </cfRule>
    <cfRule type="containsText" dxfId="8018" priority="7718" operator="containsText" text="CMS">
      <formula>NOT(ISERROR(SEARCH("CMS",O52)))</formula>
    </cfRule>
    <cfRule type="cellIs" dxfId="8017" priority="7719" operator="equal">
      <formula>0</formula>
    </cfRule>
    <cfRule type="cellIs" dxfId="8016" priority="7720" operator="greaterThan">
      <formula>0</formula>
    </cfRule>
  </conditionalFormatting>
  <conditionalFormatting sqref="O52:O54">
    <cfRule type="cellIs" dxfId="8015" priority="7713" operator="equal">
      <formula>"PMS"</formula>
    </cfRule>
    <cfRule type="containsText" dxfId="8014" priority="7714" operator="containsText" text="CMS">
      <formula>NOT(ISERROR(SEARCH("CMS",O52)))</formula>
    </cfRule>
    <cfRule type="cellIs" dxfId="8013" priority="7715" operator="equal">
      <formula>0</formula>
    </cfRule>
    <cfRule type="cellIs" dxfId="8012" priority="7716" operator="greaterThan">
      <formula>0</formula>
    </cfRule>
  </conditionalFormatting>
  <conditionalFormatting sqref="O52:O54">
    <cfRule type="cellIs" dxfId="8011" priority="7709" operator="equal">
      <formula>"PMS"</formula>
    </cfRule>
    <cfRule type="containsText" dxfId="8010" priority="7710" operator="containsText" text="CMS">
      <formula>NOT(ISERROR(SEARCH("CMS",O52)))</formula>
    </cfRule>
    <cfRule type="cellIs" dxfId="8009" priority="7711" operator="equal">
      <formula>0</formula>
    </cfRule>
    <cfRule type="cellIs" dxfId="8008" priority="7712" operator="greaterThan">
      <formula>0</formula>
    </cfRule>
  </conditionalFormatting>
  <conditionalFormatting sqref="O52:O54">
    <cfRule type="cellIs" dxfId="8007" priority="7705" operator="equal">
      <formula>"PMS"</formula>
    </cfRule>
    <cfRule type="containsText" dxfId="8006" priority="7706" operator="containsText" text="CMS">
      <formula>NOT(ISERROR(SEARCH("CMS",O52)))</formula>
    </cfRule>
    <cfRule type="cellIs" dxfId="8005" priority="7707" operator="equal">
      <formula>0</formula>
    </cfRule>
    <cfRule type="cellIs" dxfId="8004" priority="7708" operator="greaterThan">
      <formula>0</formula>
    </cfRule>
  </conditionalFormatting>
  <conditionalFormatting sqref="P52:P54">
    <cfRule type="cellIs" dxfId="8003" priority="7701" operator="equal">
      <formula>"PMS"</formula>
    </cfRule>
    <cfRule type="containsText" dxfId="8002" priority="7702" operator="containsText" text="CMS">
      <formula>NOT(ISERROR(SEARCH("CMS",P52)))</formula>
    </cfRule>
    <cfRule type="cellIs" dxfId="8001" priority="7703" operator="equal">
      <formula>0</formula>
    </cfRule>
    <cfRule type="cellIs" dxfId="8000" priority="7704" operator="greaterThan">
      <formula>0</formula>
    </cfRule>
  </conditionalFormatting>
  <conditionalFormatting sqref="P52:P54">
    <cfRule type="cellIs" dxfId="7999" priority="7697" operator="equal">
      <formula>"PMS"</formula>
    </cfRule>
    <cfRule type="containsText" dxfId="7998" priority="7698" operator="containsText" text="CMS">
      <formula>NOT(ISERROR(SEARCH("CMS",P52)))</formula>
    </cfRule>
    <cfRule type="cellIs" dxfId="7997" priority="7699" operator="equal">
      <formula>0</formula>
    </cfRule>
    <cfRule type="cellIs" dxfId="7996" priority="7700" operator="greaterThan">
      <formula>0</formula>
    </cfRule>
  </conditionalFormatting>
  <conditionalFormatting sqref="P52:P54">
    <cfRule type="cellIs" dxfId="7995" priority="7693" operator="equal">
      <formula>"PMS"</formula>
    </cfRule>
    <cfRule type="containsText" dxfId="7994" priority="7694" operator="containsText" text="CMS">
      <formula>NOT(ISERROR(SEARCH("CMS",P52)))</formula>
    </cfRule>
    <cfRule type="cellIs" dxfId="7993" priority="7695" operator="equal">
      <formula>0</formula>
    </cfRule>
    <cfRule type="cellIs" dxfId="7992" priority="7696" operator="greaterThan">
      <formula>0</formula>
    </cfRule>
  </conditionalFormatting>
  <conditionalFormatting sqref="P52:P54">
    <cfRule type="cellIs" dxfId="7991" priority="7689" operator="equal">
      <formula>"PMS"</formula>
    </cfRule>
    <cfRule type="containsText" dxfId="7990" priority="7690" operator="containsText" text="CMS">
      <formula>NOT(ISERROR(SEARCH("CMS",P52)))</formula>
    </cfRule>
    <cfRule type="cellIs" dxfId="7989" priority="7691" operator="equal">
      <formula>0</formula>
    </cfRule>
    <cfRule type="cellIs" dxfId="7988" priority="7692" operator="greaterThan">
      <formula>0</formula>
    </cfRule>
  </conditionalFormatting>
  <conditionalFormatting sqref="P57:P58">
    <cfRule type="cellIs" dxfId="7987" priority="7685" operator="equal">
      <formula>"PMS"</formula>
    </cfRule>
    <cfRule type="containsText" dxfId="7986" priority="7686" operator="containsText" text="CMS">
      <formula>NOT(ISERROR(SEARCH("CMS",P57)))</formula>
    </cfRule>
    <cfRule type="cellIs" dxfId="7985" priority="7687" operator="equal">
      <formula>0</formula>
    </cfRule>
    <cfRule type="cellIs" dxfId="7984" priority="7688" operator="greaterThan">
      <formula>0</formula>
    </cfRule>
  </conditionalFormatting>
  <conditionalFormatting sqref="P57:P58">
    <cfRule type="cellIs" dxfId="7983" priority="7681" operator="equal">
      <formula>"PMS"</formula>
    </cfRule>
    <cfRule type="containsText" dxfId="7982" priority="7682" operator="containsText" text="CMS">
      <formula>NOT(ISERROR(SEARCH("CMS",P57)))</formula>
    </cfRule>
    <cfRule type="cellIs" dxfId="7981" priority="7683" operator="equal">
      <formula>0</formula>
    </cfRule>
    <cfRule type="cellIs" dxfId="7980" priority="7684" operator="greaterThan">
      <formula>0</formula>
    </cfRule>
  </conditionalFormatting>
  <conditionalFormatting sqref="P57:P58">
    <cfRule type="cellIs" dxfId="7979" priority="7677" operator="equal">
      <formula>"PMS"</formula>
    </cfRule>
    <cfRule type="containsText" dxfId="7978" priority="7678" operator="containsText" text="CMS">
      <formula>NOT(ISERROR(SEARCH("CMS",P57)))</formula>
    </cfRule>
    <cfRule type="cellIs" dxfId="7977" priority="7679" operator="equal">
      <formula>0</formula>
    </cfRule>
    <cfRule type="cellIs" dxfId="7976" priority="7680" operator="greaterThan">
      <formula>0</formula>
    </cfRule>
  </conditionalFormatting>
  <conditionalFormatting sqref="P57:P58">
    <cfRule type="cellIs" dxfId="7975" priority="7673" operator="equal">
      <formula>"PMS"</formula>
    </cfRule>
    <cfRule type="containsText" dxfId="7974" priority="7674" operator="containsText" text="CMS">
      <formula>NOT(ISERROR(SEARCH("CMS",P57)))</formula>
    </cfRule>
    <cfRule type="cellIs" dxfId="7973" priority="7675" operator="equal">
      <formula>0</formula>
    </cfRule>
    <cfRule type="cellIs" dxfId="7972" priority="7676" operator="greaterThan">
      <formula>0</formula>
    </cfRule>
  </conditionalFormatting>
  <conditionalFormatting sqref="O47">
    <cfRule type="cellIs" dxfId="7971" priority="7669" operator="equal">
      <formula>"PMS"</formula>
    </cfRule>
    <cfRule type="containsText" dxfId="7970" priority="7670" operator="containsText" text="CMS">
      <formula>NOT(ISERROR(SEARCH("CMS",O47)))</formula>
    </cfRule>
    <cfRule type="cellIs" dxfId="7969" priority="7671" operator="equal">
      <formula>0</formula>
    </cfRule>
    <cfRule type="cellIs" dxfId="7968" priority="7672" operator="greaterThan">
      <formula>0</formula>
    </cfRule>
  </conditionalFormatting>
  <conditionalFormatting sqref="O47">
    <cfRule type="cellIs" dxfId="7967" priority="7665" operator="equal">
      <formula>"PMS"</formula>
    </cfRule>
    <cfRule type="containsText" dxfId="7966" priority="7666" operator="containsText" text="CMS">
      <formula>NOT(ISERROR(SEARCH("CMS",O47)))</formula>
    </cfRule>
    <cfRule type="cellIs" dxfId="7965" priority="7667" operator="equal">
      <formula>0</formula>
    </cfRule>
    <cfRule type="cellIs" dxfId="7964" priority="7668" operator="greaterThan">
      <formula>0</formula>
    </cfRule>
  </conditionalFormatting>
  <conditionalFormatting sqref="O47">
    <cfRule type="cellIs" dxfId="7963" priority="7661" operator="equal">
      <formula>"PMS"</formula>
    </cfRule>
    <cfRule type="containsText" dxfId="7962" priority="7662" operator="containsText" text="CMS">
      <formula>NOT(ISERROR(SEARCH("CMS",O47)))</formula>
    </cfRule>
    <cfRule type="cellIs" dxfId="7961" priority="7663" operator="equal">
      <formula>0</formula>
    </cfRule>
    <cfRule type="cellIs" dxfId="7960" priority="7664" operator="greaterThan">
      <formula>0</formula>
    </cfRule>
  </conditionalFormatting>
  <conditionalFormatting sqref="P57:P58">
    <cfRule type="cellIs" dxfId="7959" priority="7657" operator="equal">
      <formula>"PMS"</formula>
    </cfRule>
    <cfRule type="containsText" dxfId="7958" priority="7658" operator="containsText" text="CMS">
      <formula>NOT(ISERROR(SEARCH("CMS",P57)))</formula>
    </cfRule>
    <cfRule type="cellIs" dxfId="7957" priority="7659" operator="equal">
      <formula>0</formula>
    </cfRule>
    <cfRule type="cellIs" dxfId="7956" priority="7660" operator="greaterThan">
      <formula>0</formula>
    </cfRule>
  </conditionalFormatting>
  <conditionalFormatting sqref="P57:P58">
    <cfRule type="cellIs" dxfId="7955" priority="7653" operator="equal">
      <formula>"PMS"</formula>
    </cfRule>
    <cfRule type="containsText" dxfId="7954" priority="7654" operator="containsText" text="CMS">
      <formula>NOT(ISERROR(SEARCH("CMS",P57)))</formula>
    </cfRule>
    <cfRule type="cellIs" dxfId="7953" priority="7655" operator="equal">
      <formula>0</formula>
    </cfRule>
    <cfRule type="cellIs" dxfId="7952" priority="7656" operator="greaterThan">
      <formula>0</formula>
    </cfRule>
  </conditionalFormatting>
  <conditionalFormatting sqref="P57:P58">
    <cfRule type="cellIs" dxfId="7951" priority="7649" operator="equal">
      <formula>"PMS"</formula>
    </cfRule>
    <cfRule type="containsText" dxfId="7950" priority="7650" operator="containsText" text="CMS">
      <formula>NOT(ISERROR(SEARCH("CMS",P57)))</formula>
    </cfRule>
    <cfRule type="cellIs" dxfId="7949" priority="7651" operator="equal">
      <formula>0</formula>
    </cfRule>
    <cfRule type="cellIs" dxfId="7948" priority="7652" operator="greaterThan">
      <formula>0</formula>
    </cfRule>
  </conditionalFormatting>
  <conditionalFormatting sqref="P57:P58">
    <cfRule type="cellIs" dxfId="7947" priority="7645" operator="equal">
      <formula>"PMS"</formula>
    </cfRule>
    <cfRule type="containsText" dxfId="7946" priority="7646" operator="containsText" text="CMS">
      <formula>NOT(ISERROR(SEARCH("CMS",P57)))</formula>
    </cfRule>
    <cfRule type="cellIs" dxfId="7945" priority="7647" operator="equal">
      <formula>0</formula>
    </cfRule>
    <cfRule type="cellIs" dxfId="7944" priority="7648" operator="greaterThan">
      <formula>0</formula>
    </cfRule>
  </conditionalFormatting>
  <conditionalFormatting sqref="F20:F21 F77:F78 F35:F58">
    <cfRule type="cellIs" dxfId="7943" priority="7637" operator="equal">
      <formula>"PMS"</formula>
    </cfRule>
    <cfRule type="containsText" dxfId="7942" priority="7638" operator="containsText" text="CMS">
      <formula>NOT(ISERROR(SEARCH("CMS",F20)))</formula>
    </cfRule>
    <cfRule type="cellIs" dxfId="7941" priority="7639" operator="equal">
      <formula>0</formula>
    </cfRule>
    <cfRule type="cellIs" dxfId="7940" priority="7640" operator="greaterThan">
      <formula>0</formula>
    </cfRule>
    <cfRule type="cellIs" dxfId="7939" priority="7641" operator="equal">
      <formula>"PMS"</formula>
    </cfRule>
    <cfRule type="containsText" dxfId="7938" priority="7642" operator="containsText" text="CMS">
      <formula>NOT(ISERROR(SEARCH("CMS",F20)))</formula>
    </cfRule>
    <cfRule type="cellIs" dxfId="7937" priority="7643" operator="equal">
      <formula>0</formula>
    </cfRule>
    <cfRule type="cellIs" dxfId="7936" priority="7644" operator="greaterThan">
      <formula>0</formula>
    </cfRule>
  </conditionalFormatting>
  <conditionalFormatting sqref="F77:F78">
    <cfRule type="cellIs" dxfId="7935" priority="7633" operator="equal">
      <formula>"PMS"</formula>
    </cfRule>
    <cfRule type="containsText" dxfId="7934" priority="7634" operator="containsText" text="CMS">
      <formula>NOT(ISERROR(SEARCH("CMS",F77)))</formula>
    </cfRule>
    <cfRule type="cellIs" dxfId="7933" priority="7635" operator="equal">
      <formula>0</formula>
    </cfRule>
    <cfRule type="cellIs" dxfId="7932" priority="7636" operator="greaterThan">
      <formula>0</formula>
    </cfRule>
  </conditionalFormatting>
  <conditionalFormatting sqref="F20:F21">
    <cfRule type="cellIs" dxfId="7931" priority="7629" operator="equal">
      <formula>"PMS"</formula>
    </cfRule>
    <cfRule type="containsText" dxfId="7930" priority="7630" operator="containsText" text="CMS">
      <formula>NOT(ISERROR(SEARCH("CMS",F20)))</formula>
    </cfRule>
    <cfRule type="cellIs" dxfId="7929" priority="7631" operator="equal">
      <formula>0</formula>
    </cfRule>
    <cfRule type="cellIs" dxfId="7928" priority="7632" operator="greaterThan">
      <formula>0</formula>
    </cfRule>
  </conditionalFormatting>
  <conditionalFormatting sqref="F20:F21">
    <cfRule type="cellIs" dxfId="7927" priority="7625" operator="equal">
      <formula>"PMS"</formula>
    </cfRule>
    <cfRule type="containsText" dxfId="7926" priority="7626" operator="containsText" text="CMS">
      <formula>NOT(ISERROR(SEARCH("CMS",F20)))</formula>
    </cfRule>
    <cfRule type="cellIs" dxfId="7925" priority="7627" operator="equal">
      <formula>0</formula>
    </cfRule>
    <cfRule type="cellIs" dxfId="7924" priority="7628" operator="greaterThan">
      <formula>0</formula>
    </cfRule>
  </conditionalFormatting>
  <conditionalFormatting sqref="F35:F58">
    <cfRule type="cellIs" dxfId="7923" priority="7621" operator="equal">
      <formula>"PMS"</formula>
    </cfRule>
    <cfRule type="containsText" dxfId="7922" priority="7622" operator="containsText" text="CMS">
      <formula>NOT(ISERROR(SEARCH("CMS",F35)))</formula>
    </cfRule>
    <cfRule type="cellIs" dxfId="7921" priority="7623" operator="equal">
      <formula>0</formula>
    </cfRule>
    <cfRule type="cellIs" dxfId="7920" priority="7624" operator="greaterThan">
      <formula>0</formula>
    </cfRule>
  </conditionalFormatting>
  <conditionalFormatting sqref="F35:F58">
    <cfRule type="cellIs" dxfId="7919" priority="7617" operator="equal">
      <formula>"PMS"</formula>
    </cfRule>
    <cfRule type="containsText" dxfId="7918" priority="7618" operator="containsText" text="CMS">
      <formula>NOT(ISERROR(SEARCH("CMS",F35)))</formula>
    </cfRule>
    <cfRule type="cellIs" dxfId="7917" priority="7619" operator="equal">
      <formula>0</formula>
    </cfRule>
    <cfRule type="cellIs" dxfId="7916" priority="7620" operator="greaterThan">
      <formula>0</formula>
    </cfRule>
  </conditionalFormatting>
  <conditionalFormatting sqref="F57">
    <cfRule type="cellIs" dxfId="7915" priority="7613" operator="equal">
      <formula>"PMS"</formula>
    </cfRule>
    <cfRule type="containsText" dxfId="7914" priority="7614" operator="containsText" text="CMS">
      <formula>NOT(ISERROR(SEARCH("CMS",F57)))</formula>
    </cfRule>
    <cfRule type="cellIs" dxfId="7913" priority="7615" operator="equal">
      <formula>0</formula>
    </cfRule>
    <cfRule type="cellIs" dxfId="7912" priority="7616" operator="greaterThan">
      <formula>0</formula>
    </cfRule>
  </conditionalFormatting>
  <conditionalFormatting sqref="F57">
    <cfRule type="cellIs" dxfId="7911" priority="7609" operator="equal">
      <formula>"PMS"</formula>
    </cfRule>
    <cfRule type="containsText" dxfId="7910" priority="7610" operator="containsText" text="CMS">
      <formula>NOT(ISERROR(SEARCH("CMS",F57)))</formula>
    </cfRule>
    <cfRule type="cellIs" dxfId="7909" priority="7611" operator="equal">
      <formula>0</formula>
    </cfRule>
    <cfRule type="cellIs" dxfId="7908" priority="7612" operator="greaterThan">
      <formula>0</formula>
    </cfRule>
  </conditionalFormatting>
  <conditionalFormatting sqref="F57">
    <cfRule type="cellIs" dxfId="7907" priority="7605" operator="equal">
      <formula>"PMS"</formula>
    </cfRule>
    <cfRule type="containsText" dxfId="7906" priority="7606" operator="containsText" text="CMS">
      <formula>NOT(ISERROR(SEARCH("CMS",F57)))</formula>
    </cfRule>
    <cfRule type="cellIs" dxfId="7905" priority="7607" operator="equal">
      <formula>0</formula>
    </cfRule>
    <cfRule type="cellIs" dxfId="7904" priority="7608" operator="greaterThan">
      <formula>0</formula>
    </cfRule>
  </conditionalFormatting>
  <conditionalFormatting sqref="F57">
    <cfRule type="cellIs" dxfId="7903" priority="7601" operator="equal">
      <formula>"PMS"</formula>
    </cfRule>
    <cfRule type="containsText" dxfId="7902" priority="7602" operator="containsText" text="CMS">
      <formula>NOT(ISERROR(SEARCH("CMS",F57)))</formula>
    </cfRule>
    <cfRule type="cellIs" dxfId="7901" priority="7603" operator="equal">
      <formula>0</formula>
    </cfRule>
    <cfRule type="cellIs" dxfId="7900" priority="7604" operator="greaterThan">
      <formula>0</formula>
    </cfRule>
  </conditionalFormatting>
  <conditionalFormatting sqref="F58">
    <cfRule type="cellIs" dxfId="7899" priority="7597" operator="equal">
      <formula>"PMS"</formula>
    </cfRule>
    <cfRule type="containsText" dxfId="7898" priority="7598" operator="containsText" text="CMS">
      <formula>NOT(ISERROR(SEARCH("CMS",F58)))</formula>
    </cfRule>
    <cfRule type="cellIs" dxfId="7897" priority="7599" operator="equal">
      <formula>0</formula>
    </cfRule>
    <cfRule type="cellIs" dxfId="7896" priority="7600" operator="greaterThan">
      <formula>0</formula>
    </cfRule>
  </conditionalFormatting>
  <conditionalFormatting sqref="F58">
    <cfRule type="cellIs" dxfId="7895" priority="7593" operator="equal">
      <formula>"PMS"</formula>
    </cfRule>
    <cfRule type="containsText" dxfId="7894" priority="7594" operator="containsText" text="CMS">
      <formula>NOT(ISERROR(SEARCH("CMS",F58)))</formula>
    </cfRule>
    <cfRule type="cellIs" dxfId="7893" priority="7595" operator="equal">
      <formula>0</formula>
    </cfRule>
    <cfRule type="cellIs" dxfId="7892" priority="7596" operator="greaterThan">
      <formula>0</formula>
    </cfRule>
  </conditionalFormatting>
  <conditionalFormatting sqref="F58">
    <cfRule type="cellIs" dxfId="7891" priority="7589" operator="equal">
      <formula>"PMS"</formula>
    </cfRule>
    <cfRule type="containsText" dxfId="7890" priority="7590" operator="containsText" text="CMS">
      <formula>NOT(ISERROR(SEARCH("CMS",F58)))</formula>
    </cfRule>
    <cfRule type="cellIs" dxfId="7889" priority="7591" operator="equal">
      <formula>0</formula>
    </cfRule>
    <cfRule type="cellIs" dxfId="7888" priority="7592" operator="greaterThan">
      <formula>0</formula>
    </cfRule>
  </conditionalFormatting>
  <conditionalFormatting sqref="F58">
    <cfRule type="cellIs" dxfId="7887" priority="7585" operator="equal">
      <formula>"PMS"</formula>
    </cfRule>
    <cfRule type="containsText" dxfId="7886" priority="7586" operator="containsText" text="CMS">
      <formula>NOT(ISERROR(SEARCH("CMS",F58)))</formula>
    </cfRule>
    <cfRule type="cellIs" dxfId="7885" priority="7587" operator="equal">
      <formula>0</formula>
    </cfRule>
    <cfRule type="cellIs" dxfId="7884" priority="7588" operator="greaterThan">
      <formula>0</formula>
    </cfRule>
  </conditionalFormatting>
  <conditionalFormatting sqref="F19">
    <cfRule type="cellIs" dxfId="7883" priority="7581" operator="equal">
      <formula>"CMS"</formula>
    </cfRule>
    <cfRule type="cellIs" dxfId="7882" priority="7582" operator="equal">
      <formula>"PMS"</formula>
    </cfRule>
    <cfRule type="cellIs" dxfId="7881" priority="7583" operator="greaterThan">
      <formula>0</formula>
    </cfRule>
    <cfRule type="cellIs" dxfId="7880" priority="7584" operator="equal">
      <formula>0</formula>
    </cfRule>
  </conditionalFormatting>
  <conditionalFormatting sqref="F32">
    <cfRule type="cellIs" dxfId="7879" priority="7573" operator="equal">
      <formula>"PMS"</formula>
    </cfRule>
    <cfRule type="containsText" dxfId="7878" priority="7574" operator="containsText" text="CMS">
      <formula>NOT(ISERROR(SEARCH("CMS",F32)))</formula>
    </cfRule>
    <cfRule type="cellIs" dxfId="7877" priority="7575" operator="equal">
      <formula>0</formula>
    </cfRule>
    <cfRule type="cellIs" dxfId="7876" priority="7576" operator="greaterThan">
      <formula>0</formula>
    </cfRule>
    <cfRule type="cellIs" dxfId="7875" priority="7577" operator="equal">
      <formula>"PMS"</formula>
    </cfRule>
    <cfRule type="containsText" dxfId="7874" priority="7578" operator="containsText" text="CMS">
      <formula>NOT(ISERROR(SEARCH("CMS",F32)))</formula>
    </cfRule>
    <cfRule type="cellIs" dxfId="7873" priority="7579" operator="equal">
      <formula>0</formula>
    </cfRule>
    <cfRule type="cellIs" dxfId="7872" priority="7580" operator="greaterThan">
      <formula>0</formula>
    </cfRule>
  </conditionalFormatting>
  <conditionalFormatting sqref="F32">
    <cfRule type="cellIs" dxfId="7871" priority="7569" operator="equal">
      <formula>"PMS"</formula>
    </cfRule>
    <cfRule type="containsText" dxfId="7870" priority="7570" operator="containsText" text="CMS">
      <formula>NOT(ISERROR(SEARCH("CMS",F32)))</formula>
    </cfRule>
    <cfRule type="cellIs" dxfId="7869" priority="7571" operator="equal">
      <formula>0</formula>
    </cfRule>
    <cfRule type="cellIs" dxfId="7868" priority="7572" operator="greaterThan">
      <formula>0</formula>
    </cfRule>
  </conditionalFormatting>
  <conditionalFormatting sqref="F32">
    <cfRule type="cellIs" dxfId="7867" priority="7565" operator="equal">
      <formula>"PMS"</formula>
    </cfRule>
    <cfRule type="containsText" dxfId="7866" priority="7566" operator="containsText" text="CMS">
      <formula>NOT(ISERROR(SEARCH("CMS",F32)))</formula>
    </cfRule>
    <cfRule type="cellIs" dxfId="7865" priority="7567" operator="equal">
      <formula>0</formula>
    </cfRule>
    <cfRule type="cellIs" dxfId="7864" priority="7568" operator="greaterThan">
      <formula>0</formula>
    </cfRule>
  </conditionalFormatting>
  <conditionalFormatting sqref="P44">
    <cfRule type="cellIs" dxfId="7863" priority="7561" operator="equal">
      <formula>"PMS"</formula>
    </cfRule>
    <cfRule type="containsText" dxfId="7862" priority="7562" operator="containsText" text="CMS">
      <formula>NOT(ISERROR(SEARCH("CMS",P44)))</formula>
    </cfRule>
    <cfRule type="cellIs" dxfId="7861" priority="7563" operator="equal">
      <formula>0</formula>
    </cfRule>
    <cfRule type="cellIs" dxfId="7860" priority="7564" operator="greaterThan">
      <formula>0</formula>
    </cfRule>
  </conditionalFormatting>
  <conditionalFormatting sqref="P44">
    <cfRule type="cellIs" dxfId="7859" priority="7557" operator="equal">
      <formula>"PMS"</formula>
    </cfRule>
    <cfRule type="containsText" dxfId="7858" priority="7558" operator="containsText" text="CMS">
      <formula>NOT(ISERROR(SEARCH("CMS",P44)))</formula>
    </cfRule>
    <cfRule type="cellIs" dxfId="7857" priority="7559" operator="equal">
      <formula>0</formula>
    </cfRule>
    <cfRule type="cellIs" dxfId="7856" priority="7560" operator="greaterThan">
      <formula>0</formula>
    </cfRule>
  </conditionalFormatting>
  <conditionalFormatting sqref="P44">
    <cfRule type="cellIs" dxfId="7855" priority="7553" operator="equal">
      <formula>"PMS"</formula>
    </cfRule>
    <cfRule type="containsText" dxfId="7854" priority="7554" operator="containsText" text="CMS">
      <formula>NOT(ISERROR(SEARCH("CMS",P44)))</formula>
    </cfRule>
    <cfRule type="cellIs" dxfId="7853" priority="7555" operator="equal">
      <formula>0</formula>
    </cfRule>
    <cfRule type="cellIs" dxfId="7852" priority="7556" operator="greaterThan">
      <formula>0</formula>
    </cfRule>
  </conditionalFormatting>
  <conditionalFormatting sqref="P44">
    <cfRule type="cellIs" dxfId="7851" priority="7549" operator="equal">
      <formula>"PMS"</formula>
    </cfRule>
    <cfRule type="containsText" dxfId="7850" priority="7550" operator="containsText" text="CMS">
      <formula>NOT(ISERROR(SEARCH("CMS",P44)))</formula>
    </cfRule>
    <cfRule type="cellIs" dxfId="7849" priority="7551" operator="equal">
      <formula>0</formula>
    </cfRule>
    <cfRule type="cellIs" dxfId="7848" priority="7552" operator="greaterThan">
      <formula>0</formula>
    </cfRule>
  </conditionalFormatting>
  <conditionalFormatting sqref="P52:P54">
    <cfRule type="cellIs" dxfId="7847" priority="7545" operator="equal">
      <formula>"PMS"</formula>
    </cfRule>
    <cfRule type="containsText" dxfId="7846" priority="7546" operator="containsText" text="CMS">
      <formula>NOT(ISERROR(SEARCH("CMS",P52)))</formula>
    </cfRule>
    <cfRule type="cellIs" dxfId="7845" priority="7547" operator="equal">
      <formula>0</formula>
    </cfRule>
    <cfRule type="cellIs" dxfId="7844" priority="7548" operator="greaterThan">
      <formula>0</formula>
    </cfRule>
  </conditionalFormatting>
  <conditionalFormatting sqref="P52:P54">
    <cfRule type="cellIs" dxfId="7843" priority="7541" operator="equal">
      <formula>"PMS"</formula>
    </cfRule>
    <cfRule type="containsText" dxfId="7842" priority="7542" operator="containsText" text="CMS">
      <formula>NOT(ISERROR(SEARCH("CMS",P52)))</formula>
    </cfRule>
    <cfRule type="cellIs" dxfId="7841" priority="7543" operator="equal">
      <formula>0</formula>
    </cfRule>
    <cfRule type="cellIs" dxfId="7840" priority="7544" operator="greaterThan">
      <formula>0</formula>
    </cfRule>
  </conditionalFormatting>
  <conditionalFormatting sqref="P52:P54">
    <cfRule type="cellIs" dxfId="7839" priority="7537" operator="equal">
      <formula>"PMS"</formula>
    </cfRule>
    <cfRule type="containsText" dxfId="7838" priority="7538" operator="containsText" text="CMS">
      <formula>NOT(ISERROR(SEARCH("CMS",P52)))</formula>
    </cfRule>
    <cfRule type="cellIs" dxfId="7837" priority="7539" operator="equal">
      <formula>0</formula>
    </cfRule>
    <cfRule type="cellIs" dxfId="7836" priority="7540" operator="greaterThan">
      <formula>0</formula>
    </cfRule>
  </conditionalFormatting>
  <conditionalFormatting sqref="P52:P54">
    <cfRule type="cellIs" dxfId="7835" priority="7533" operator="equal">
      <formula>"PMS"</formula>
    </cfRule>
    <cfRule type="containsText" dxfId="7834" priority="7534" operator="containsText" text="CMS">
      <formula>NOT(ISERROR(SEARCH("CMS",P52)))</formula>
    </cfRule>
    <cfRule type="cellIs" dxfId="7833" priority="7535" operator="equal">
      <formula>0</formula>
    </cfRule>
    <cfRule type="cellIs" dxfId="7832" priority="7536" operator="greaterThan">
      <formula>0</formula>
    </cfRule>
  </conditionalFormatting>
  <conditionalFormatting sqref="P57:P58">
    <cfRule type="cellIs" dxfId="7831" priority="7529" operator="equal">
      <formula>"PMS"</formula>
    </cfRule>
    <cfRule type="containsText" dxfId="7830" priority="7530" operator="containsText" text="CMS">
      <formula>NOT(ISERROR(SEARCH("CMS",P57)))</formula>
    </cfRule>
    <cfRule type="cellIs" dxfId="7829" priority="7531" operator="equal">
      <formula>0</formula>
    </cfRule>
    <cfRule type="cellIs" dxfId="7828" priority="7532" operator="greaterThan">
      <formula>0</formula>
    </cfRule>
  </conditionalFormatting>
  <conditionalFormatting sqref="P57:P58">
    <cfRule type="cellIs" dxfId="7827" priority="7525" operator="equal">
      <formula>"PMS"</formula>
    </cfRule>
    <cfRule type="containsText" dxfId="7826" priority="7526" operator="containsText" text="CMS">
      <formula>NOT(ISERROR(SEARCH("CMS",P57)))</formula>
    </cfRule>
    <cfRule type="cellIs" dxfId="7825" priority="7527" operator="equal">
      <formula>0</formula>
    </cfRule>
    <cfRule type="cellIs" dxfId="7824" priority="7528" operator="greaterThan">
      <formula>0</formula>
    </cfRule>
  </conditionalFormatting>
  <conditionalFormatting sqref="P57:P58">
    <cfRule type="cellIs" dxfId="7823" priority="7521" operator="equal">
      <formula>"PMS"</formula>
    </cfRule>
    <cfRule type="containsText" dxfId="7822" priority="7522" operator="containsText" text="CMS">
      <formula>NOT(ISERROR(SEARCH("CMS",P57)))</formula>
    </cfRule>
    <cfRule type="cellIs" dxfId="7821" priority="7523" operator="equal">
      <formula>0</formula>
    </cfRule>
    <cfRule type="cellIs" dxfId="7820" priority="7524" operator="greaterThan">
      <formula>0</formula>
    </cfRule>
  </conditionalFormatting>
  <conditionalFormatting sqref="P57:P58">
    <cfRule type="cellIs" dxfId="7819" priority="7517" operator="equal">
      <formula>"PMS"</formula>
    </cfRule>
    <cfRule type="containsText" dxfId="7818" priority="7518" operator="containsText" text="CMS">
      <formula>NOT(ISERROR(SEARCH("CMS",P57)))</formula>
    </cfRule>
    <cfRule type="cellIs" dxfId="7817" priority="7519" operator="equal">
      <formula>0</formula>
    </cfRule>
    <cfRule type="cellIs" dxfId="7816" priority="7520" operator="greaterThan">
      <formula>0</formula>
    </cfRule>
  </conditionalFormatting>
  <conditionalFormatting sqref="I13:I16">
    <cfRule type="cellIs" dxfId="7815" priority="7513" operator="equal">
      <formula>"PMS"</formula>
    </cfRule>
    <cfRule type="containsText" dxfId="7814" priority="7514" operator="containsText" text="CMS">
      <formula>NOT(ISERROR(SEARCH("CMS",I13)))</formula>
    </cfRule>
    <cfRule type="cellIs" dxfId="7813" priority="7515" operator="equal">
      <formula>0</formula>
    </cfRule>
    <cfRule type="cellIs" dxfId="7812" priority="7516" operator="greaterThan">
      <formula>0</formula>
    </cfRule>
  </conditionalFormatting>
  <conditionalFormatting sqref="I13:I16">
    <cfRule type="cellIs" dxfId="7811" priority="7509" operator="equal">
      <formula>"PMS"</formula>
    </cfRule>
    <cfRule type="containsText" dxfId="7810" priority="7510" operator="containsText" text="CMS">
      <formula>NOT(ISERROR(SEARCH("CMS",I13)))</formula>
    </cfRule>
    <cfRule type="cellIs" dxfId="7809" priority="7511" operator="equal">
      <formula>0</formula>
    </cfRule>
    <cfRule type="cellIs" dxfId="7808" priority="7512" operator="greaterThan">
      <formula>0</formula>
    </cfRule>
  </conditionalFormatting>
  <conditionalFormatting sqref="I13:I15">
    <cfRule type="cellIs" dxfId="7807" priority="7505" operator="equal">
      <formula>"PMS"</formula>
    </cfRule>
    <cfRule type="containsText" dxfId="7806" priority="7506" operator="containsText" text="CMS">
      <formula>NOT(ISERROR(SEARCH("CMS",I13)))</formula>
    </cfRule>
    <cfRule type="cellIs" dxfId="7805" priority="7507" operator="equal">
      <formula>0</formula>
    </cfRule>
    <cfRule type="cellIs" dxfId="7804" priority="7508" operator="greaterThan">
      <formula>0</formula>
    </cfRule>
  </conditionalFormatting>
  <conditionalFormatting sqref="I13:I15">
    <cfRule type="cellIs" dxfId="7803" priority="7501" operator="equal">
      <formula>"PMS"</formula>
    </cfRule>
    <cfRule type="containsText" dxfId="7802" priority="7502" operator="containsText" text="CMS">
      <formula>NOT(ISERROR(SEARCH("CMS",I13)))</formula>
    </cfRule>
    <cfRule type="cellIs" dxfId="7801" priority="7503" operator="equal">
      <formula>0</formula>
    </cfRule>
    <cfRule type="cellIs" dxfId="7800" priority="7504" operator="greaterThan">
      <formula>0</formula>
    </cfRule>
  </conditionalFormatting>
  <conditionalFormatting sqref="I20:I21">
    <cfRule type="cellIs" dxfId="7799" priority="7497" operator="equal">
      <formula>"PMS"</formula>
    </cfRule>
    <cfRule type="containsText" dxfId="7798" priority="7498" operator="containsText" text="CMS">
      <formula>NOT(ISERROR(SEARCH("CMS",I20)))</formula>
    </cfRule>
    <cfRule type="cellIs" dxfId="7797" priority="7499" operator="equal">
      <formula>0</formula>
    </cfRule>
    <cfRule type="cellIs" dxfId="7796" priority="7500" operator="greaterThan">
      <formula>0</formula>
    </cfRule>
  </conditionalFormatting>
  <conditionalFormatting sqref="I20:I21">
    <cfRule type="cellIs" dxfId="7795" priority="7493" operator="equal">
      <formula>"PMS"</formula>
    </cfRule>
    <cfRule type="containsText" dxfId="7794" priority="7494" operator="containsText" text="CMS">
      <formula>NOT(ISERROR(SEARCH("CMS",I20)))</formula>
    </cfRule>
    <cfRule type="cellIs" dxfId="7793" priority="7495" operator="equal">
      <formula>0</formula>
    </cfRule>
    <cfRule type="cellIs" dxfId="7792" priority="7496" operator="greaterThan">
      <formula>0</formula>
    </cfRule>
  </conditionalFormatting>
  <conditionalFormatting sqref="I27:I28">
    <cfRule type="cellIs" dxfId="7791" priority="7489" operator="equal">
      <formula>"PMS"</formula>
    </cfRule>
    <cfRule type="containsText" dxfId="7790" priority="7490" operator="containsText" text="CMS">
      <formula>NOT(ISERROR(SEARCH("CMS",I27)))</formula>
    </cfRule>
    <cfRule type="cellIs" dxfId="7789" priority="7491" operator="equal">
      <formula>0</formula>
    </cfRule>
    <cfRule type="cellIs" dxfId="7788" priority="7492" operator="greaterThan">
      <formula>0</formula>
    </cfRule>
  </conditionalFormatting>
  <conditionalFormatting sqref="I27:I28">
    <cfRule type="cellIs" dxfId="7787" priority="7485" operator="equal">
      <formula>"PMS"</formula>
    </cfRule>
    <cfRule type="containsText" dxfId="7786" priority="7486" operator="containsText" text="CMS">
      <formula>NOT(ISERROR(SEARCH("CMS",I27)))</formula>
    </cfRule>
    <cfRule type="cellIs" dxfId="7785" priority="7487" operator="equal">
      <formula>0</formula>
    </cfRule>
    <cfRule type="cellIs" dxfId="7784" priority="7488" operator="greaterThan">
      <formula>0</formula>
    </cfRule>
  </conditionalFormatting>
  <conditionalFormatting sqref="I29">
    <cfRule type="cellIs" dxfId="7783" priority="7477" operator="equal">
      <formula>"PMS"</formula>
    </cfRule>
    <cfRule type="containsText" dxfId="7782" priority="7478" operator="containsText" text="CMS">
      <formula>NOT(ISERROR(SEARCH("CMS",I29)))</formula>
    </cfRule>
    <cfRule type="cellIs" dxfId="7781" priority="7479" operator="equal">
      <formula>0</formula>
    </cfRule>
    <cfRule type="cellIs" dxfId="7780" priority="7480" operator="greaterThan">
      <formula>0</formula>
    </cfRule>
    <cfRule type="cellIs" dxfId="7779" priority="7481" operator="equal">
      <formula>"PMS"</formula>
    </cfRule>
    <cfRule type="containsText" dxfId="7778" priority="7482" operator="containsText" text="CMS">
      <formula>NOT(ISERROR(SEARCH("CMS",I29)))</formula>
    </cfRule>
    <cfRule type="cellIs" dxfId="7777" priority="7483" operator="equal">
      <formula>0</formula>
    </cfRule>
    <cfRule type="cellIs" dxfId="7776" priority="7484" operator="greaterThan">
      <formula>0</formula>
    </cfRule>
  </conditionalFormatting>
  <conditionalFormatting sqref="I61:I63">
    <cfRule type="cellIs" dxfId="7775" priority="7469" operator="equal">
      <formula>"PMS"</formula>
    </cfRule>
    <cfRule type="containsText" dxfId="7774" priority="7470" operator="containsText" text="CMS">
      <formula>NOT(ISERROR(SEARCH("CMS",I61)))</formula>
    </cfRule>
    <cfRule type="cellIs" dxfId="7773" priority="7471" operator="equal">
      <formula>0</formula>
    </cfRule>
    <cfRule type="cellIs" dxfId="7772" priority="7472" operator="greaterThan">
      <formula>0</formula>
    </cfRule>
    <cfRule type="cellIs" dxfId="7771" priority="7473" operator="equal">
      <formula>"PMS"</formula>
    </cfRule>
    <cfRule type="containsText" dxfId="7770" priority="7474" operator="containsText" text="CMS">
      <formula>NOT(ISERROR(SEARCH("CMS",I61)))</formula>
    </cfRule>
    <cfRule type="cellIs" dxfId="7769" priority="7475" operator="equal">
      <formula>0</formula>
    </cfRule>
    <cfRule type="cellIs" dxfId="7768" priority="7476" operator="greaterThan">
      <formula>0</formula>
    </cfRule>
  </conditionalFormatting>
  <conditionalFormatting sqref="I61:I63">
    <cfRule type="cellIs" dxfId="7767" priority="7465" operator="equal">
      <formula>"PMS"</formula>
    </cfRule>
    <cfRule type="containsText" dxfId="7766" priority="7466" operator="containsText" text="CMS">
      <formula>NOT(ISERROR(SEARCH("CMS",I61)))</formula>
    </cfRule>
    <cfRule type="cellIs" dxfId="7765" priority="7467" operator="equal">
      <formula>0</formula>
    </cfRule>
    <cfRule type="cellIs" dxfId="7764" priority="7468" operator="greaterThan">
      <formula>0</formula>
    </cfRule>
  </conditionalFormatting>
  <conditionalFormatting sqref="I66:I74">
    <cfRule type="cellIs" dxfId="7763" priority="7461" operator="equal">
      <formula>"PMS"</formula>
    </cfRule>
    <cfRule type="containsText" dxfId="7762" priority="7462" operator="containsText" text="CMS">
      <formula>NOT(ISERROR(SEARCH("CMS",I66)))</formula>
    </cfRule>
    <cfRule type="cellIs" dxfId="7761" priority="7463" operator="equal">
      <formula>0</formula>
    </cfRule>
    <cfRule type="cellIs" dxfId="7760" priority="7464" operator="greaterThan">
      <formula>0</formula>
    </cfRule>
  </conditionalFormatting>
  <conditionalFormatting sqref="I66:I74">
    <cfRule type="cellIs" dxfId="7759" priority="7457" operator="equal">
      <formula>"PMS"</formula>
    </cfRule>
    <cfRule type="containsText" dxfId="7758" priority="7458" operator="containsText" text="CMS">
      <formula>NOT(ISERROR(SEARCH("CMS",I66)))</formula>
    </cfRule>
    <cfRule type="cellIs" dxfId="7757" priority="7459" operator="equal">
      <formula>0</formula>
    </cfRule>
    <cfRule type="cellIs" dxfId="7756" priority="7460" operator="greaterThan">
      <formula>0</formula>
    </cfRule>
  </conditionalFormatting>
  <conditionalFormatting sqref="I77:I78">
    <cfRule type="cellIs" dxfId="7755" priority="7453" operator="equal">
      <formula>"PMS"</formula>
    </cfRule>
    <cfRule type="containsText" dxfId="7754" priority="7454" operator="containsText" text="CMS">
      <formula>NOT(ISERROR(SEARCH("CMS",I77)))</formula>
    </cfRule>
    <cfRule type="cellIs" dxfId="7753" priority="7455" operator="equal">
      <formula>0</formula>
    </cfRule>
    <cfRule type="cellIs" dxfId="7752" priority="7456" operator="greaterThan">
      <formula>0</formula>
    </cfRule>
  </conditionalFormatting>
  <conditionalFormatting sqref="O47">
    <cfRule type="cellIs" dxfId="7751" priority="7449" operator="equal">
      <formula>"PMS"</formula>
    </cfRule>
    <cfRule type="containsText" dxfId="7750" priority="7450" operator="containsText" text="CMS">
      <formula>NOT(ISERROR(SEARCH("CMS",O47)))</formula>
    </cfRule>
    <cfRule type="cellIs" dxfId="7749" priority="7451" operator="equal">
      <formula>0</formula>
    </cfRule>
    <cfRule type="cellIs" dxfId="7748" priority="7452" operator="greaterThan">
      <formula>0</formula>
    </cfRule>
  </conditionalFormatting>
  <conditionalFormatting sqref="O47">
    <cfRule type="cellIs" dxfId="7747" priority="7445" operator="equal">
      <formula>"PMS"</formula>
    </cfRule>
    <cfRule type="containsText" dxfId="7746" priority="7446" operator="containsText" text="CMS">
      <formula>NOT(ISERROR(SEARCH("CMS",O47)))</formula>
    </cfRule>
    <cfRule type="cellIs" dxfId="7745" priority="7447" operator="equal">
      <formula>0</formula>
    </cfRule>
    <cfRule type="cellIs" dxfId="7744" priority="7448" operator="greaterThan">
      <formula>0</formula>
    </cfRule>
  </conditionalFormatting>
  <conditionalFormatting sqref="O47">
    <cfRule type="cellIs" dxfId="7743" priority="7441" operator="equal">
      <formula>"PMS"</formula>
    </cfRule>
    <cfRule type="containsText" dxfId="7742" priority="7442" operator="containsText" text="CMS">
      <formula>NOT(ISERROR(SEARCH("CMS",O47)))</formula>
    </cfRule>
    <cfRule type="cellIs" dxfId="7741" priority="7443" operator="equal">
      <formula>0</formula>
    </cfRule>
    <cfRule type="cellIs" dxfId="7740" priority="7444" operator="greaterThan">
      <formula>0</formula>
    </cfRule>
  </conditionalFormatting>
  <conditionalFormatting sqref="O47">
    <cfRule type="cellIs" dxfId="7739" priority="7437" operator="equal">
      <formula>"PMS"</formula>
    </cfRule>
    <cfRule type="containsText" dxfId="7738" priority="7438" operator="containsText" text="CMS">
      <formula>NOT(ISERROR(SEARCH("CMS",O47)))</formula>
    </cfRule>
    <cfRule type="cellIs" dxfId="7737" priority="7439" operator="equal">
      <formula>0</formula>
    </cfRule>
    <cfRule type="cellIs" dxfId="7736" priority="7440" operator="greaterThan">
      <formula>0</formula>
    </cfRule>
  </conditionalFormatting>
  <conditionalFormatting sqref="O47">
    <cfRule type="cellIs" dxfId="7735" priority="7433" operator="equal">
      <formula>"PMS"</formula>
    </cfRule>
    <cfRule type="containsText" dxfId="7734" priority="7434" operator="containsText" text="CMS">
      <formula>NOT(ISERROR(SEARCH("CMS",O47)))</formula>
    </cfRule>
    <cfRule type="cellIs" dxfId="7733" priority="7435" operator="equal">
      <formula>0</formula>
    </cfRule>
    <cfRule type="cellIs" dxfId="7732" priority="7436" operator="greaterThan">
      <formula>0</formula>
    </cfRule>
  </conditionalFormatting>
  <conditionalFormatting sqref="O47">
    <cfRule type="cellIs" dxfId="7731" priority="7429" operator="equal">
      <formula>"PMS"</formula>
    </cfRule>
    <cfRule type="containsText" dxfId="7730" priority="7430" operator="containsText" text="CMS">
      <formula>NOT(ISERROR(SEARCH("CMS",O47)))</formula>
    </cfRule>
    <cfRule type="cellIs" dxfId="7729" priority="7431" operator="equal">
      <formula>0</formula>
    </cfRule>
    <cfRule type="cellIs" dxfId="7728" priority="7432" operator="greaterThan">
      <formula>0</formula>
    </cfRule>
  </conditionalFormatting>
  <conditionalFormatting sqref="O47">
    <cfRule type="cellIs" dxfId="7727" priority="7425" operator="equal">
      <formula>"PMS"</formula>
    </cfRule>
    <cfRule type="containsText" dxfId="7726" priority="7426" operator="containsText" text="CMS">
      <formula>NOT(ISERROR(SEARCH("CMS",O47)))</formula>
    </cfRule>
    <cfRule type="cellIs" dxfId="7725" priority="7427" operator="equal">
      <formula>0</formula>
    </cfRule>
    <cfRule type="cellIs" dxfId="7724" priority="7428" operator="greaterThan">
      <formula>0</formula>
    </cfRule>
  </conditionalFormatting>
  <conditionalFormatting sqref="O47">
    <cfRule type="cellIs" dxfId="7723" priority="7421" operator="equal">
      <formula>"PMS"</formula>
    </cfRule>
    <cfRule type="containsText" dxfId="7722" priority="7422" operator="containsText" text="CMS">
      <formula>NOT(ISERROR(SEARCH("CMS",O47)))</formula>
    </cfRule>
    <cfRule type="cellIs" dxfId="7721" priority="7423" operator="equal">
      <formula>0</formula>
    </cfRule>
    <cfRule type="cellIs" dxfId="7720" priority="7424" operator="greaterThan">
      <formula>0</formula>
    </cfRule>
  </conditionalFormatting>
  <conditionalFormatting sqref="O47">
    <cfRule type="cellIs" dxfId="7719" priority="7417" operator="equal">
      <formula>"PMS"</formula>
    </cfRule>
    <cfRule type="containsText" dxfId="7718" priority="7418" operator="containsText" text="CMS">
      <formula>NOT(ISERROR(SEARCH("CMS",O47)))</formula>
    </cfRule>
    <cfRule type="cellIs" dxfId="7717" priority="7419" operator="equal">
      <formula>0</formula>
    </cfRule>
    <cfRule type="cellIs" dxfId="7716" priority="7420" operator="greaterThan">
      <formula>0</formula>
    </cfRule>
  </conditionalFormatting>
  <conditionalFormatting sqref="O47">
    <cfRule type="cellIs" dxfId="7715" priority="7413" operator="equal">
      <formula>"PMS"</formula>
    </cfRule>
    <cfRule type="containsText" dxfId="7714" priority="7414" operator="containsText" text="CMS">
      <formula>NOT(ISERROR(SEARCH("CMS",O47)))</formula>
    </cfRule>
    <cfRule type="cellIs" dxfId="7713" priority="7415" operator="equal">
      <formula>0</formula>
    </cfRule>
    <cfRule type="cellIs" dxfId="7712" priority="7416" operator="greaterThan">
      <formula>0</formula>
    </cfRule>
  </conditionalFormatting>
  <conditionalFormatting sqref="O47">
    <cfRule type="cellIs" dxfId="7711" priority="7409" operator="equal">
      <formula>"PMS"</formula>
    </cfRule>
    <cfRule type="containsText" dxfId="7710" priority="7410" operator="containsText" text="CMS">
      <formula>NOT(ISERROR(SEARCH("CMS",O47)))</formula>
    </cfRule>
    <cfRule type="cellIs" dxfId="7709" priority="7411" operator="equal">
      <formula>0</formula>
    </cfRule>
    <cfRule type="cellIs" dxfId="7708" priority="7412" operator="greaterThan">
      <formula>0</formula>
    </cfRule>
  </conditionalFormatting>
  <conditionalFormatting sqref="O47">
    <cfRule type="cellIs" dxfId="7707" priority="7405" operator="equal">
      <formula>"PMS"</formula>
    </cfRule>
    <cfRule type="containsText" dxfId="7706" priority="7406" operator="containsText" text="CMS">
      <formula>NOT(ISERROR(SEARCH("CMS",O47)))</formula>
    </cfRule>
    <cfRule type="cellIs" dxfId="7705" priority="7407" operator="equal">
      <formula>0</formula>
    </cfRule>
    <cfRule type="cellIs" dxfId="7704" priority="7408" operator="greaterThan">
      <formula>0</formula>
    </cfRule>
  </conditionalFormatting>
  <conditionalFormatting sqref="O47">
    <cfRule type="cellIs" dxfId="7703" priority="7401" operator="equal">
      <formula>"PMS"</formula>
    </cfRule>
    <cfRule type="containsText" dxfId="7702" priority="7402" operator="containsText" text="CMS">
      <formula>NOT(ISERROR(SEARCH("CMS",O47)))</formula>
    </cfRule>
    <cfRule type="cellIs" dxfId="7701" priority="7403" operator="equal">
      <formula>0</formula>
    </cfRule>
    <cfRule type="cellIs" dxfId="7700" priority="7404" operator="greaterThan">
      <formula>0</formula>
    </cfRule>
  </conditionalFormatting>
  <conditionalFormatting sqref="O47">
    <cfRule type="cellIs" dxfId="7699" priority="7397" operator="equal">
      <formula>"PMS"</formula>
    </cfRule>
    <cfRule type="containsText" dxfId="7698" priority="7398" operator="containsText" text="CMS">
      <formula>NOT(ISERROR(SEARCH("CMS",O47)))</formula>
    </cfRule>
    <cfRule type="cellIs" dxfId="7697" priority="7399" operator="equal">
      <formula>0</formula>
    </cfRule>
    <cfRule type="cellIs" dxfId="7696" priority="7400" operator="greaterThan">
      <formula>0</formula>
    </cfRule>
  </conditionalFormatting>
  <conditionalFormatting sqref="O58">
    <cfRule type="cellIs" dxfId="7695" priority="7393" operator="equal">
      <formula>"PMS"</formula>
    </cfRule>
    <cfRule type="containsText" dxfId="7694" priority="7394" operator="containsText" text="CMS">
      <formula>NOT(ISERROR(SEARCH("CMS",O58)))</formula>
    </cfRule>
    <cfRule type="cellIs" dxfId="7693" priority="7395" operator="equal">
      <formula>0</formula>
    </cfRule>
    <cfRule type="cellIs" dxfId="7692" priority="7396" operator="greaterThan">
      <formula>0</formula>
    </cfRule>
  </conditionalFormatting>
  <conditionalFormatting sqref="O58">
    <cfRule type="cellIs" dxfId="7691" priority="7389" operator="equal">
      <formula>"PMS"</formula>
    </cfRule>
    <cfRule type="containsText" dxfId="7690" priority="7390" operator="containsText" text="CMS">
      <formula>NOT(ISERROR(SEARCH("CMS",O58)))</formula>
    </cfRule>
    <cfRule type="cellIs" dxfId="7689" priority="7391" operator="equal">
      <formula>0</formula>
    </cfRule>
    <cfRule type="cellIs" dxfId="7688" priority="7392" operator="greaterThan">
      <formula>0</formula>
    </cfRule>
  </conditionalFormatting>
  <conditionalFormatting sqref="O58">
    <cfRule type="cellIs" dxfId="7687" priority="7385" operator="equal">
      <formula>"PMS"</formula>
    </cfRule>
    <cfRule type="containsText" dxfId="7686" priority="7386" operator="containsText" text="CMS">
      <formula>NOT(ISERROR(SEARCH("CMS",O58)))</formula>
    </cfRule>
    <cfRule type="cellIs" dxfId="7685" priority="7387" operator="equal">
      <formula>0</formula>
    </cfRule>
    <cfRule type="cellIs" dxfId="7684" priority="7388" operator="greaterThan">
      <formula>0</formula>
    </cfRule>
  </conditionalFormatting>
  <conditionalFormatting sqref="O58">
    <cfRule type="cellIs" dxfId="7683" priority="7381" operator="equal">
      <formula>"PMS"</formula>
    </cfRule>
    <cfRule type="containsText" dxfId="7682" priority="7382" operator="containsText" text="CMS">
      <formula>NOT(ISERROR(SEARCH("CMS",O58)))</formula>
    </cfRule>
    <cfRule type="cellIs" dxfId="7681" priority="7383" operator="equal">
      <formula>0</formula>
    </cfRule>
    <cfRule type="cellIs" dxfId="7680" priority="7384" operator="greaterThan">
      <formula>0</formula>
    </cfRule>
  </conditionalFormatting>
  <conditionalFormatting sqref="O58">
    <cfRule type="cellIs" dxfId="7679" priority="7377" operator="equal">
      <formula>"PMS"</formula>
    </cfRule>
    <cfRule type="containsText" dxfId="7678" priority="7378" operator="containsText" text="CMS">
      <formula>NOT(ISERROR(SEARCH("CMS",O58)))</formula>
    </cfRule>
    <cfRule type="cellIs" dxfId="7677" priority="7379" operator="equal">
      <formula>0</formula>
    </cfRule>
    <cfRule type="cellIs" dxfId="7676" priority="7380" operator="greaterThan">
      <formula>0</formula>
    </cfRule>
  </conditionalFormatting>
  <conditionalFormatting sqref="O58">
    <cfRule type="cellIs" dxfId="7675" priority="7373" operator="equal">
      <formula>"PMS"</formula>
    </cfRule>
    <cfRule type="containsText" dxfId="7674" priority="7374" operator="containsText" text="CMS">
      <formula>NOT(ISERROR(SEARCH("CMS",O58)))</formula>
    </cfRule>
    <cfRule type="cellIs" dxfId="7673" priority="7375" operator="equal">
      <formula>0</formula>
    </cfRule>
    <cfRule type="cellIs" dxfId="7672" priority="7376" operator="greaterThan">
      <formula>0</formula>
    </cfRule>
  </conditionalFormatting>
  <conditionalFormatting sqref="O58">
    <cfRule type="cellIs" dxfId="7671" priority="7369" operator="equal">
      <formula>"PMS"</formula>
    </cfRule>
    <cfRule type="containsText" dxfId="7670" priority="7370" operator="containsText" text="CMS">
      <formula>NOT(ISERROR(SEARCH("CMS",O58)))</formula>
    </cfRule>
    <cfRule type="cellIs" dxfId="7669" priority="7371" operator="equal">
      <formula>0</formula>
    </cfRule>
    <cfRule type="cellIs" dxfId="7668" priority="7372" operator="greaterThan">
      <formula>0</formula>
    </cfRule>
  </conditionalFormatting>
  <conditionalFormatting sqref="O58">
    <cfRule type="cellIs" dxfId="7667" priority="7365" operator="equal">
      <formula>"PMS"</formula>
    </cfRule>
    <cfRule type="containsText" dxfId="7666" priority="7366" operator="containsText" text="CMS">
      <formula>NOT(ISERROR(SEARCH("CMS",O58)))</formula>
    </cfRule>
    <cfRule type="cellIs" dxfId="7665" priority="7367" operator="equal">
      <formula>0</formula>
    </cfRule>
    <cfRule type="cellIs" dxfId="7664" priority="7368" operator="greaterThan">
      <formula>0</formula>
    </cfRule>
  </conditionalFormatting>
  <conditionalFormatting sqref="O58">
    <cfRule type="cellIs" dxfId="7663" priority="7361" operator="equal">
      <formula>"PMS"</formula>
    </cfRule>
    <cfRule type="containsText" dxfId="7662" priority="7362" operator="containsText" text="CMS">
      <formula>NOT(ISERROR(SEARCH("CMS",O58)))</formula>
    </cfRule>
    <cfRule type="cellIs" dxfId="7661" priority="7363" operator="equal">
      <formula>0</formula>
    </cfRule>
    <cfRule type="cellIs" dxfId="7660" priority="7364" operator="greaterThan">
      <formula>0</formula>
    </cfRule>
  </conditionalFormatting>
  <conditionalFormatting sqref="O58">
    <cfRule type="cellIs" dxfId="7659" priority="7357" operator="equal">
      <formula>"PMS"</formula>
    </cfRule>
    <cfRule type="containsText" dxfId="7658" priority="7358" operator="containsText" text="CMS">
      <formula>NOT(ISERROR(SEARCH("CMS",O58)))</formula>
    </cfRule>
    <cfRule type="cellIs" dxfId="7657" priority="7359" operator="equal">
      <formula>0</formula>
    </cfRule>
    <cfRule type="cellIs" dxfId="7656" priority="7360" operator="greaterThan">
      <formula>0</formula>
    </cfRule>
  </conditionalFormatting>
  <conditionalFormatting sqref="O55">
    <cfRule type="cellIs" dxfId="7643" priority="7341" operator="equal">
      <formula>"PMS"</formula>
    </cfRule>
    <cfRule type="containsText" dxfId="7642" priority="7342" operator="containsText" text="CMS">
      <formula>NOT(ISERROR(SEARCH("CMS",O55)))</formula>
    </cfRule>
    <cfRule type="cellIs" dxfId="7641" priority="7343" operator="equal">
      <formula>0</formula>
    </cfRule>
    <cfRule type="cellIs" dxfId="7640" priority="7344" operator="greaterThan">
      <formula>0</formula>
    </cfRule>
  </conditionalFormatting>
  <conditionalFormatting sqref="O55">
    <cfRule type="cellIs" dxfId="7639" priority="7337" operator="equal">
      <formula>"PMS"</formula>
    </cfRule>
    <cfRule type="containsText" dxfId="7638" priority="7338" operator="containsText" text="CMS">
      <formula>NOT(ISERROR(SEARCH("CMS",O55)))</formula>
    </cfRule>
    <cfRule type="cellIs" dxfId="7637" priority="7339" operator="equal">
      <formula>0</formula>
    </cfRule>
    <cfRule type="cellIs" dxfId="7636" priority="7340" operator="greaterThan">
      <formula>0</formula>
    </cfRule>
  </conditionalFormatting>
  <conditionalFormatting sqref="O55">
    <cfRule type="cellIs" dxfId="7635" priority="7333" operator="equal">
      <formula>"PMS"</formula>
    </cfRule>
    <cfRule type="containsText" dxfId="7634" priority="7334" operator="containsText" text="CMS">
      <formula>NOT(ISERROR(SEARCH("CMS",O55)))</formula>
    </cfRule>
    <cfRule type="cellIs" dxfId="7633" priority="7335" operator="equal">
      <formula>0</formula>
    </cfRule>
    <cfRule type="cellIs" dxfId="7632" priority="7336" operator="greaterThan">
      <formula>0</formula>
    </cfRule>
  </conditionalFormatting>
  <conditionalFormatting sqref="O55">
    <cfRule type="cellIs" dxfId="7631" priority="7329" operator="equal">
      <formula>"PMS"</formula>
    </cfRule>
    <cfRule type="containsText" dxfId="7630" priority="7330" operator="containsText" text="CMS">
      <formula>NOT(ISERROR(SEARCH("CMS",O55)))</formula>
    </cfRule>
    <cfRule type="cellIs" dxfId="7629" priority="7331" operator="equal">
      <formula>0</formula>
    </cfRule>
    <cfRule type="cellIs" dxfId="7628" priority="7332" operator="greaterThan">
      <formula>0</formula>
    </cfRule>
  </conditionalFormatting>
  <conditionalFormatting sqref="O55">
    <cfRule type="cellIs" dxfId="7627" priority="7325" operator="equal">
      <formula>"PMS"</formula>
    </cfRule>
    <cfRule type="containsText" dxfId="7626" priority="7326" operator="containsText" text="CMS">
      <formula>NOT(ISERROR(SEARCH("CMS",O55)))</formula>
    </cfRule>
    <cfRule type="cellIs" dxfId="7625" priority="7327" operator="equal">
      <formula>0</formula>
    </cfRule>
    <cfRule type="cellIs" dxfId="7624" priority="7328" operator="greaterThan">
      <formula>0</formula>
    </cfRule>
  </conditionalFormatting>
  <conditionalFormatting sqref="O55">
    <cfRule type="cellIs" dxfId="7623" priority="7321" operator="equal">
      <formula>"PMS"</formula>
    </cfRule>
    <cfRule type="containsText" dxfId="7622" priority="7322" operator="containsText" text="CMS">
      <formula>NOT(ISERROR(SEARCH("CMS",O55)))</formula>
    </cfRule>
    <cfRule type="cellIs" dxfId="7621" priority="7323" operator="equal">
      <formula>0</formula>
    </cfRule>
    <cfRule type="cellIs" dxfId="7620" priority="7324" operator="greaterThan">
      <formula>0</formula>
    </cfRule>
  </conditionalFormatting>
  <conditionalFormatting sqref="O55">
    <cfRule type="cellIs" dxfId="7619" priority="7317" operator="equal">
      <formula>"PMS"</formula>
    </cfRule>
    <cfRule type="containsText" dxfId="7618" priority="7318" operator="containsText" text="CMS">
      <formula>NOT(ISERROR(SEARCH("CMS",O55)))</formula>
    </cfRule>
    <cfRule type="cellIs" dxfId="7617" priority="7319" operator="equal">
      <formula>0</formula>
    </cfRule>
    <cfRule type="cellIs" dxfId="7616" priority="7320" operator="greaterThan">
      <formula>0</formula>
    </cfRule>
  </conditionalFormatting>
  <conditionalFormatting sqref="O55">
    <cfRule type="cellIs" dxfId="7615" priority="7313" operator="equal">
      <formula>"PMS"</formula>
    </cfRule>
    <cfRule type="containsText" dxfId="7614" priority="7314" operator="containsText" text="CMS">
      <formula>NOT(ISERROR(SEARCH("CMS",O55)))</formula>
    </cfRule>
    <cfRule type="cellIs" dxfId="7613" priority="7315" operator="equal">
      <formula>0</formula>
    </cfRule>
    <cfRule type="cellIs" dxfId="7612" priority="7316" operator="greaterThan">
      <formula>0</formula>
    </cfRule>
  </conditionalFormatting>
  <conditionalFormatting sqref="O55">
    <cfRule type="cellIs" dxfId="7611" priority="7309" operator="equal">
      <formula>"PMS"</formula>
    </cfRule>
    <cfRule type="containsText" dxfId="7610" priority="7310" operator="containsText" text="CMS">
      <formula>NOT(ISERROR(SEARCH("CMS",O55)))</formula>
    </cfRule>
    <cfRule type="cellIs" dxfId="7609" priority="7311" operator="equal">
      <formula>0</formula>
    </cfRule>
    <cfRule type="cellIs" dxfId="7608" priority="7312" operator="greaterThan">
      <formula>0</formula>
    </cfRule>
  </conditionalFormatting>
  <conditionalFormatting sqref="O55">
    <cfRule type="cellIs" dxfId="7607" priority="7305" operator="equal">
      <formula>"PMS"</formula>
    </cfRule>
    <cfRule type="containsText" dxfId="7606" priority="7306" operator="containsText" text="CMS">
      <formula>NOT(ISERROR(SEARCH("CMS",O55)))</formula>
    </cfRule>
    <cfRule type="cellIs" dxfId="7605" priority="7307" operator="equal">
      <formula>0</formula>
    </cfRule>
    <cfRule type="cellIs" dxfId="7604" priority="7308" operator="greaterThan">
      <formula>0</formula>
    </cfRule>
  </conditionalFormatting>
  <conditionalFormatting sqref="O47">
    <cfRule type="cellIs" dxfId="7603" priority="7301" operator="equal">
      <formula>"PMS"</formula>
    </cfRule>
    <cfRule type="containsText" dxfId="7602" priority="7302" operator="containsText" text="CMS">
      <formula>NOT(ISERROR(SEARCH("CMS",O47)))</formula>
    </cfRule>
    <cfRule type="cellIs" dxfId="7601" priority="7303" operator="equal">
      <formula>0</formula>
    </cfRule>
    <cfRule type="cellIs" dxfId="7600" priority="7304" operator="greaterThan">
      <formula>0</formula>
    </cfRule>
  </conditionalFormatting>
  <conditionalFormatting sqref="O47">
    <cfRule type="cellIs" dxfId="7599" priority="7297" operator="equal">
      <formula>"PMS"</formula>
    </cfRule>
    <cfRule type="containsText" dxfId="7598" priority="7298" operator="containsText" text="CMS">
      <formula>NOT(ISERROR(SEARCH("CMS",O47)))</formula>
    </cfRule>
    <cfRule type="cellIs" dxfId="7597" priority="7299" operator="equal">
      <formula>0</formula>
    </cfRule>
    <cfRule type="cellIs" dxfId="7596" priority="7300" operator="greaterThan">
      <formula>0</formula>
    </cfRule>
  </conditionalFormatting>
  <conditionalFormatting sqref="O47">
    <cfRule type="cellIs" dxfId="7595" priority="7293" operator="equal">
      <formula>"PMS"</formula>
    </cfRule>
    <cfRule type="containsText" dxfId="7594" priority="7294" operator="containsText" text="CMS">
      <formula>NOT(ISERROR(SEARCH("CMS",O47)))</formula>
    </cfRule>
    <cfRule type="cellIs" dxfId="7593" priority="7295" operator="equal">
      <formula>0</formula>
    </cfRule>
    <cfRule type="cellIs" dxfId="7592" priority="7296" operator="greaterThan">
      <formula>0</formula>
    </cfRule>
  </conditionalFormatting>
  <conditionalFormatting sqref="O47">
    <cfRule type="cellIs" dxfId="7591" priority="7289" operator="equal">
      <formula>"PMS"</formula>
    </cfRule>
    <cfRule type="containsText" dxfId="7590" priority="7290" operator="containsText" text="CMS">
      <formula>NOT(ISERROR(SEARCH("CMS",O47)))</formula>
    </cfRule>
    <cfRule type="cellIs" dxfId="7589" priority="7291" operator="equal">
      <formula>0</formula>
    </cfRule>
    <cfRule type="cellIs" dxfId="7588" priority="7292" operator="greaterThan">
      <formula>0</formula>
    </cfRule>
  </conditionalFormatting>
  <conditionalFormatting sqref="O47">
    <cfRule type="cellIs" dxfId="7587" priority="7285" operator="equal">
      <formula>"PMS"</formula>
    </cfRule>
    <cfRule type="containsText" dxfId="7586" priority="7286" operator="containsText" text="CMS">
      <formula>NOT(ISERROR(SEARCH("CMS",O47)))</formula>
    </cfRule>
    <cfRule type="cellIs" dxfId="7585" priority="7287" operator="equal">
      <formula>0</formula>
    </cfRule>
    <cfRule type="cellIs" dxfId="7584" priority="7288" operator="greaterThan">
      <formula>0</formula>
    </cfRule>
  </conditionalFormatting>
  <conditionalFormatting sqref="O47">
    <cfRule type="cellIs" dxfId="7583" priority="7281" operator="equal">
      <formula>"PMS"</formula>
    </cfRule>
    <cfRule type="containsText" dxfId="7582" priority="7282" operator="containsText" text="CMS">
      <formula>NOT(ISERROR(SEARCH("CMS",O47)))</formula>
    </cfRule>
    <cfRule type="cellIs" dxfId="7581" priority="7283" operator="equal">
      <formula>0</formula>
    </cfRule>
    <cfRule type="cellIs" dxfId="7580" priority="7284" operator="greaterThan">
      <formula>0</formula>
    </cfRule>
  </conditionalFormatting>
  <conditionalFormatting sqref="O47">
    <cfRule type="cellIs" dxfId="7579" priority="7277" operator="equal">
      <formula>"PMS"</formula>
    </cfRule>
    <cfRule type="containsText" dxfId="7578" priority="7278" operator="containsText" text="CMS">
      <formula>NOT(ISERROR(SEARCH("CMS",O47)))</formula>
    </cfRule>
    <cfRule type="cellIs" dxfId="7577" priority="7279" operator="equal">
      <formula>0</formula>
    </cfRule>
    <cfRule type="cellIs" dxfId="7576" priority="7280" operator="greaterThan">
      <formula>0</formula>
    </cfRule>
  </conditionalFormatting>
  <conditionalFormatting sqref="O47">
    <cfRule type="cellIs" dxfId="7575" priority="7273" operator="equal">
      <formula>"PMS"</formula>
    </cfRule>
    <cfRule type="containsText" dxfId="7574" priority="7274" operator="containsText" text="CMS">
      <formula>NOT(ISERROR(SEARCH("CMS",O47)))</formula>
    </cfRule>
    <cfRule type="cellIs" dxfId="7573" priority="7275" operator="equal">
      <formula>0</formula>
    </cfRule>
    <cfRule type="cellIs" dxfId="7572" priority="7276" operator="greaterThan">
      <formula>0</formula>
    </cfRule>
  </conditionalFormatting>
  <conditionalFormatting sqref="O47">
    <cfRule type="cellIs" dxfId="7571" priority="7269" operator="equal">
      <formula>"PMS"</formula>
    </cfRule>
    <cfRule type="containsText" dxfId="7570" priority="7270" operator="containsText" text="CMS">
      <formula>NOT(ISERROR(SEARCH("CMS",O47)))</formula>
    </cfRule>
    <cfRule type="cellIs" dxfId="7569" priority="7271" operator="equal">
      <formula>0</formula>
    </cfRule>
    <cfRule type="cellIs" dxfId="7568" priority="7272" operator="greaterThan">
      <formula>0</formula>
    </cfRule>
  </conditionalFormatting>
  <conditionalFormatting sqref="O47">
    <cfRule type="cellIs" dxfId="7567" priority="7265" operator="equal">
      <formula>"PMS"</formula>
    </cfRule>
    <cfRule type="containsText" dxfId="7566" priority="7266" operator="containsText" text="CMS">
      <formula>NOT(ISERROR(SEARCH("CMS",O47)))</formula>
    </cfRule>
    <cfRule type="cellIs" dxfId="7565" priority="7267" operator="equal">
      <formula>0</formula>
    </cfRule>
    <cfRule type="cellIs" dxfId="7564" priority="7268" operator="greaterThan">
      <formula>0</formula>
    </cfRule>
  </conditionalFormatting>
  <conditionalFormatting sqref="O47">
    <cfRule type="cellIs" dxfId="7563" priority="7261" operator="equal">
      <formula>"PMS"</formula>
    </cfRule>
    <cfRule type="containsText" dxfId="7562" priority="7262" operator="containsText" text="CMS">
      <formula>NOT(ISERROR(SEARCH("CMS",O47)))</formula>
    </cfRule>
    <cfRule type="cellIs" dxfId="7561" priority="7263" operator="equal">
      <formula>0</formula>
    </cfRule>
    <cfRule type="cellIs" dxfId="7560" priority="7264" operator="greaterThan">
      <formula>0</formula>
    </cfRule>
  </conditionalFormatting>
  <conditionalFormatting sqref="O47">
    <cfRule type="cellIs" dxfId="7559" priority="7257" operator="equal">
      <formula>"PMS"</formula>
    </cfRule>
    <cfRule type="containsText" dxfId="7558" priority="7258" operator="containsText" text="CMS">
      <formula>NOT(ISERROR(SEARCH("CMS",O47)))</formula>
    </cfRule>
    <cfRule type="cellIs" dxfId="7557" priority="7259" operator="equal">
      <formula>0</formula>
    </cfRule>
    <cfRule type="cellIs" dxfId="7556" priority="7260" operator="greaterThan">
      <formula>0</formula>
    </cfRule>
  </conditionalFormatting>
  <conditionalFormatting sqref="O47">
    <cfRule type="cellIs" dxfId="7555" priority="7253" operator="equal">
      <formula>"PMS"</formula>
    </cfRule>
    <cfRule type="containsText" dxfId="7554" priority="7254" operator="containsText" text="CMS">
      <formula>NOT(ISERROR(SEARCH("CMS",O47)))</formula>
    </cfRule>
    <cfRule type="cellIs" dxfId="7553" priority="7255" operator="equal">
      <formula>0</formula>
    </cfRule>
    <cfRule type="cellIs" dxfId="7552" priority="7256" operator="greaterThan">
      <formula>0</formula>
    </cfRule>
  </conditionalFormatting>
  <conditionalFormatting sqref="O47">
    <cfRule type="cellIs" dxfId="7551" priority="7249" operator="equal">
      <formula>"PMS"</formula>
    </cfRule>
    <cfRule type="containsText" dxfId="7550" priority="7250" operator="containsText" text="CMS">
      <formula>NOT(ISERROR(SEARCH("CMS",O47)))</formula>
    </cfRule>
    <cfRule type="cellIs" dxfId="7549" priority="7251" operator="equal">
      <formula>0</formula>
    </cfRule>
    <cfRule type="cellIs" dxfId="7548" priority="7252" operator="greaterThan">
      <formula>0</formula>
    </cfRule>
  </conditionalFormatting>
  <conditionalFormatting sqref="O47">
    <cfRule type="cellIs" dxfId="7547" priority="7245" operator="equal">
      <formula>"PMS"</formula>
    </cfRule>
    <cfRule type="containsText" dxfId="7546" priority="7246" operator="containsText" text="CMS">
      <formula>NOT(ISERROR(SEARCH("CMS",O47)))</formula>
    </cfRule>
    <cfRule type="cellIs" dxfId="7545" priority="7247" operator="equal">
      <formula>0</formula>
    </cfRule>
    <cfRule type="cellIs" dxfId="7544" priority="7248" operator="greaterThan">
      <formula>0</formula>
    </cfRule>
  </conditionalFormatting>
  <conditionalFormatting sqref="O47">
    <cfRule type="cellIs" dxfId="7543" priority="7241" operator="equal">
      <formula>"PMS"</formula>
    </cfRule>
    <cfRule type="containsText" dxfId="7542" priority="7242" operator="containsText" text="CMS">
      <formula>NOT(ISERROR(SEARCH("CMS",O47)))</formula>
    </cfRule>
    <cfRule type="cellIs" dxfId="7541" priority="7243" operator="equal">
      <formula>0</formula>
    </cfRule>
    <cfRule type="cellIs" dxfId="7540" priority="7244" operator="greaterThan">
      <formula>0</formula>
    </cfRule>
  </conditionalFormatting>
  <conditionalFormatting sqref="O47">
    <cfRule type="cellIs" dxfId="7539" priority="7237" operator="equal">
      <formula>"PMS"</formula>
    </cfRule>
    <cfRule type="containsText" dxfId="7538" priority="7238" operator="containsText" text="CMS">
      <formula>NOT(ISERROR(SEARCH("CMS",O47)))</formula>
    </cfRule>
    <cfRule type="cellIs" dxfId="7537" priority="7239" operator="equal">
      <formula>0</formula>
    </cfRule>
    <cfRule type="cellIs" dxfId="7536" priority="7240" operator="greaterThan">
      <formula>0</formula>
    </cfRule>
  </conditionalFormatting>
  <conditionalFormatting sqref="O47">
    <cfRule type="cellIs" dxfId="7535" priority="7233" operator="equal">
      <formula>"PMS"</formula>
    </cfRule>
    <cfRule type="containsText" dxfId="7534" priority="7234" operator="containsText" text="CMS">
      <formula>NOT(ISERROR(SEARCH("CMS",O47)))</formula>
    </cfRule>
    <cfRule type="cellIs" dxfId="7533" priority="7235" operator="equal">
      <formula>0</formula>
    </cfRule>
    <cfRule type="cellIs" dxfId="7532" priority="7236" operator="greaterThan">
      <formula>0</formula>
    </cfRule>
  </conditionalFormatting>
  <conditionalFormatting sqref="O47">
    <cfRule type="cellIs" dxfId="7531" priority="7229" operator="equal">
      <formula>"PMS"</formula>
    </cfRule>
    <cfRule type="containsText" dxfId="7530" priority="7230" operator="containsText" text="CMS">
      <formula>NOT(ISERROR(SEARCH("CMS",O47)))</formula>
    </cfRule>
    <cfRule type="cellIs" dxfId="7529" priority="7231" operator="equal">
      <formula>0</formula>
    </cfRule>
    <cfRule type="cellIs" dxfId="7528" priority="7232" operator="greaterThan">
      <formula>0</formula>
    </cfRule>
  </conditionalFormatting>
  <conditionalFormatting sqref="O47">
    <cfRule type="cellIs" dxfId="7527" priority="7225" operator="equal">
      <formula>"PMS"</formula>
    </cfRule>
    <cfRule type="containsText" dxfId="7526" priority="7226" operator="containsText" text="CMS">
      <formula>NOT(ISERROR(SEARCH("CMS",O47)))</formula>
    </cfRule>
    <cfRule type="cellIs" dxfId="7525" priority="7227" operator="equal">
      <formula>0</formula>
    </cfRule>
    <cfRule type="cellIs" dxfId="7524" priority="7228" operator="greaterThan">
      <formula>0</formula>
    </cfRule>
  </conditionalFormatting>
  <conditionalFormatting sqref="O47">
    <cfRule type="cellIs" dxfId="7523" priority="7221" operator="equal">
      <formula>"PMS"</formula>
    </cfRule>
    <cfRule type="containsText" dxfId="7522" priority="7222" operator="containsText" text="CMS">
      <formula>NOT(ISERROR(SEARCH("CMS",O47)))</formula>
    </cfRule>
    <cfRule type="cellIs" dxfId="7521" priority="7223" operator="equal">
      <formula>0</formula>
    </cfRule>
    <cfRule type="cellIs" dxfId="7520" priority="7224" operator="greaterThan">
      <formula>0</formula>
    </cfRule>
  </conditionalFormatting>
  <conditionalFormatting sqref="O47">
    <cfRule type="cellIs" dxfId="7519" priority="7217" operator="equal">
      <formula>"PMS"</formula>
    </cfRule>
    <cfRule type="containsText" dxfId="7518" priority="7218" operator="containsText" text="CMS">
      <formula>NOT(ISERROR(SEARCH("CMS",O47)))</formula>
    </cfRule>
    <cfRule type="cellIs" dxfId="7517" priority="7219" operator="equal">
      <formula>0</formula>
    </cfRule>
    <cfRule type="cellIs" dxfId="7516" priority="7220" operator="greaterThan">
      <formula>0</formula>
    </cfRule>
  </conditionalFormatting>
  <conditionalFormatting sqref="O47">
    <cfRule type="cellIs" dxfId="7515" priority="7213" operator="equal">
      <formula>"PMS"</formula>
    </cfRule>
    <cfRule type="containsText" dxfId="7514" priority="7214" operator="containsText" text="CMS">
      <formula>NOT(ISERROR(SEARCH("CMS",O47)))</formula>
    </cfRule>
    <cfRule type="cellIs" dxfId="7513" priority="7215" operator="equal">
      <formula>0</formula>
    </cfRule>
    <cfRule type="cellIs" dxfId="7512" priority="7216" operator="greaterThan">
      <formula>0</formula>
    </cfRule>
  </conditionalFormatting>
  <conditionalFormatting sqref="O47">
    <cfRule type="cellIs" dxfId="7511" priority="7209" operator="equal">
      <formula>"PMS"</formula>
    </cfRule>
    <cfRule type="containsText" dxfId="7510" priority="7210" operator="containsText" text="CMS">
      <formula>NOT(ISERROR(SEARCH("CMS",O47)))</formula>
    </cfRule>
    <cfRule type="cellIs" dxfId="7509" priority="7211" operator="equal">
      <formula>0</formula>
    </cfRule>
    <cfRule type="cellIs" dxfId="7508" priority="7212" operator="greaterThan">
      <formula>0</formula>
    </cfRule>
  </conditionalFormatting>
  <conditionalFormatting sqref="O52:O54">
    <cfRule type="cellIs" dxfId="7507" priority="7205" operator="equal">
      <formula>"PMS"</formula>
    </cfRule>
    <cfRule type="containsText" dxfId="7506" priority="7206" operator="containsText" text="CMS">
      <formula>NOT(ISERROR(SEARCH("CMS",O52)))</formula>
    </cfRule>
    <cfRule type="cellIs" dxfId="7505" priority="7207" operator="equal">
      <formula>0</formula>
    </cfRule>
    <cfRule type="cellIs" dxfId="7504" priority="7208" operator="greaterThan">
      <formula>0</formula>
    </cfRule>
  </conditionalFormatting>
  <conditionalFormatting sqref="O52:O54">
    <cfRule type="cellIs" dxfId="7503" priority="7201" operator="equal">
      <formula>"PMS"</formula>
    </cfRule>
    <cfRule type="containsText" dxfId="7502" priority="7202" operator="containsText" text="CMS">
      <formula>NOT(ISERROR(SEARCH("CMS",O52)))</formula>
    </cfRule>
    <cfRule type="cellIs" dxfId="7501" priority="7203" operator="equal">
      <formula>0</formula>
    </cfRule>
    <cfRule type="cellIs" dxfId="7500" priority="7204" operator="greaterThan">
      <formula>0</formula>
    </cfRule>
  </conditionalFormatting>
  <conditionalFormatting sqref="O52:O54">
    <cfRule type="cellIs" dxfId="7499" priority="7197" operator="equal">
      <formula>"PMS"</formula>
    </cfRule>
    <cfRule type="containsText" dxfId="7498" priority="7198" operator="containsText" text="CMS">
      <formula>NOT(ISERROR(SEARCH("CMS",O52)))</formula>
    </cfRule>
    <cfRule type="cellIs" dxfId="7497" priority="7199" operator="equal">
      <formula>0</formula>
    </cfRule>
    <cfRule type="cellIs" dxfId="7496" priority="7200" operator="greaterThan">
      <formula>0</formula>
    </cfRule>
  </conditionalFormatting>
  <conditionalFormatting sqref="O52:O54">
    <cfRule type="cellIs" dxfId="7495" priority="7193" operator="equal">
      <formula>"PMS"</formula>
    </cfRule>
    <cfRule type="containsText" dxfId="7494" priority="7194" operator="containsText" text="CMS">
      <formula>NOT(ISERROR(SEARCH("CMS",O52)))</formula>
    </cfRule>
    <cfRule type="cellIs" dxfId="7493" priority="7195" operator="equal">
      <formula>0</formula>
    </cfRule>
    <cfRule type="cellIs" dxfId="7492" priority="7196" operator="greaterThan">
      <formula>0</formula>
    </cfRule>
  </conditionalFormatting>
  <conditionalFormatting sqref="O52:O54">
    <cfRule type="cellIs" dxfId="7491" priority="7189" operator="equal">
      <formula>"PMS"</formula>
    </cfRule>
    <cfRule type="containsText" dxfId="7490" priority="7190" operator="containsText" text="CMS">
      <formula>NOT(ISERROR(SEARCH("CMS",O52)))</formula>
    </cfRule>
    <cfRule type="cellIs" dxfId="7489" priority="7191" operator="equal">
      <formula>0</formula>
    </cfRule>
    <cfRule type="cellIs" dxfId="7488" priority="7192" operator="greaterThan">
      <formula>0</formula>
    </cfRule>
  </conditionalFormatting>
  <conditionalFormatting sqref="O52:O54">
    <cfRule type="cellIs" dxfId="7487" priority="7185" operator="equal">
      <formula>"PMS"</formula>
    </cfRule>
    <cfRule type="containsText" dxfId="7486" priority="7186" operator="containsText" text="CMS">
      <formula>NOT(ISERROR(SEARCH("CMS",O52)))</formula>
    </cfRule>
    <cfRule type="cellIs" dxfId="7485" priority="7187" operator="equal">
      <formula>0</formula>
    </cfRule>
    <cfRule type="cellIs" dxfId="7484" priority="7188" operator="greaterThan">
      <formula>0</formula>
    </cfRule>
  </conditionalFormatting>
  <conditionalFormatting sqref="O52:O54">
    <cfRule type="cellIs" dxfId="7483" priority="7181" operator="equal">
      <formula>"PMS"</formula>
    </cfRule>
    <cfRule type="containsText" dxfId="7482" priority="7182" operator="containsText" text="CMS">
      <formula>NOT(ISERROR(SEARCH("CMS",O52)))</formula>
    </cfRule>
    <cfRule type="cellIs" dxfId="7481" priority="7183" operator="equal">
      <formula>0</formula>
    </cfRule>
    <cfRule type="cellIs" dxfId="7480" priority="7184" operator="greaterThan">
      <formula>0</formula>
    </cfRule>
  </conditionalFormatting>
  <conditionalFormatting sqref="O52:O54">
    <cfRule type="cellIs" dxfId="7479" priority="7177" operator="equal">
      <formula>"PMS"</formula>
    </cfRule>
    <cfRule type="containsText" dxfId="7478" priority="7178" operator="containsText" text="CMS">
      <formula>NOT(ISERROR(SEARCH("CMS",O52)))</formula>
    </cfRule>
    <cfRule type="cellIs" dxfId="7477" priority="7179" operator="equal">
      <formula>0</formula>
    </cfRule>
    <cfRule type="cellIs" dxfId="7476" priority="7180" operator="greaterThan">
      <formula>0</formula>
    </cfRule>
  </conditionalFormatting>
  <conditionalFormatting sqref="O52:O54">
    <cfRule type="cellIs" dxfId="7475" priority="7173" operator="equal">
      <formula>"PMS"</formula>
    </cfRule>
    <cfRule type="containsText" dxfId="7474" priority="7174" operator="containsText" text="CMS">
      <formula>NOT(ISERROR(SEARCH("CMS",O52)))</formula>
    </cfRule>
    <cfRule type="cellIs" dxfId="7473" priority="7175" operator="equal">
      <formula>0</formula>
    </cfRule>
    <cfRule type="cellIs" dxfId="7472" priority="7176" operator="greaterThan">
      <formula>0</formula>
    </cfRule>
  </conditionalFormatting>
  <conditionalFormatting sqref="O52:O54">
    <cfRule type="cellIs" dxfId="7471" priority="7169" operator="equal">
      <formula>"PMS"</formula>
    </cfRule>
    <cfRule type="containsText" dxfId="7470" priority="7170" operator="containsText" text="CMS">
      <formula>NOT(ISERROR(SEARCH("CMS",O52)))</formula>
    </cfRule>
    <cfRule type="cellIs" dxfId="7469" priority="7171" operator="equal">
      <formula>0</formula>
    </cfRule>
    <cfRule type="cellIs" dxfId="7468" priority="7172" operator="greaterThan">
      <formula>0</formula>
    </cfRule>
  </conditionalFormatting>
  <conditionalFormatting sqref="O52:O54">
    <cfRule type="cellIs" dxfId="7467" priority="7165" operator="equal">
      <formula>"PMS"</formula>
    </cfRule>
    <cfRule type="containsText" dxfId="7466" priority="7166" operator="containsText" text="CMS">
      <formula>NOT(ISERROR(SEARCH("CMS",O52)))</formula>
    </cfRule>
    <cfRule type="cellIs" dxfId="7465" priority="7167" operator="equal">
      <formula>0</formula>
    </cfRule>
    <cfRule type="cellIs" dxfId="7464" priority="7168" operator="greaterThan">
      <formula>0</formula>
    </cfRule>
  </conditionalFormatting>
  <conditionalFormatting sqref="O52:O54">
    <cfRule type="cellIs" dxfId="7463" priority="7161" operator="equal">
      <formula>"PMS"</formula>
    </cfRule>
    <cfRule type="containsText" dxfId="7462" priority="7162" operator="containsText" text="CMS">
      <formula>NOT(ISERROR(SEARCH("CMS",O52)))</formula>
    </cfRule>
    <cfRule type="cellIs" dxfId="7461" priority="7163" operator="equal">
      <formula>0</formula>
    </cfRule>
    <cfRule type="cellIs" dxfId="7460" priority="7164" operator="greaterThan">
      <formula>0</formula>
    </cfRule>
  </conditionalFormatting>
  <conditionalFormatting sqref="O52:O54">
    <cfRule type="cellIs" dxfId="7459" priority="7157" operator="equal">
      <formula>"PMS"</formula>
    </cfRule>
    <cfRule type="containsText" dxfId="7458" priority="7158" operator="containsText" text="CMS">
      <formula>NOT(ISERROR(SEARCH("CMS",O52)))</formula>
    </cfRule>
    <cfRule type="cellIs" dxfId="7457" priority="7159" operator="equal">
      <formula>0</formula>
    </cfRule>
    <cfRule type="cellIs" dxfId="7456" priority="7160" operator="greaterThan">
      <formula>0</formula>
    </cfRule>
  </conditionalFormatting>
  <conditionalFormatting sqref="O52:O54">
    <cfRule type="cellIs" dxfId="7455" priority="7153" operator="equal">
      <formula>"PMS"</formula>
    </cfRule>
    <cfRule type="containsText" dxfId="7454" priority="7154" operator="containsText" text="CMS">
      <formula>NOT(ISERROR(SEARCH("CMS",O52)))</formula>
    </cfRule>
    <cfRule type="cellIs" dxfId="7453" priority="7155" operator="equal">
      <formula>0</formula>
    </cfRule>
    <cfRule type="cellIs" dxfId="7452" priority="7156" operator="greaterThan">
      <formula>0</formula>
    </cfRule>
  </conditionalFormatting>
  <conditionalFormatting sqref="O52:O54">
    <cfRule type="cellIs" dxfId="7451" priority="7149" operator="equal">
      <formula>"PMS"</formula>
    </cfRule>
    <cfRule type="containsText" dxfId="7450" priority="7150" operator="containsText" text="CMS">
      <formula>NOT(ISERROR(SEARCH("CMS",O52)))</formula>
    </cfRule>
    <cfRule type="cellIs" dxfId="7449" priority="7151" operator="equal">
      <formula>0</formula>
    </cfRule>
    <cfRule type="cellIs" dxfId="7448" priority="7152" operator="greaterThan">
      <formula>0</formula>
    </cfRule>
  </conditionalFormatting>
  <conditionalFormatting sqref="O52:O54">
    <cfRule type="cellIs" dxfId="7447" priority="7145" operator="equal">
      <formula>"PMS"</formula>
    </cfRule>
    <cfRule type="containsText" dxfId="7446" priority="7146" operator="containsText" text="CMS">
      <formula>NOT(ISERROR(SEARCH("CMS",O52)))</formula>
    </cfRule>
    <cfRule type="cellIs" dxfId="7445" priority="7147" operator="equal">
      <formula>0</formula>
    </cfRule>
    <cfRule type="cellIs" dxfId="7444" priority="7148" operator="greaterThan">
      <formula>0</formula>
    </cfRule>
  </conditionalFormatting>
  <conditionalFormatting sqref="O52:O54">
    <cfRule type="cellIs" dxfId="7443" priority="7141" operator="equal">
      <formula>"PMS"</formula>
    </cfRule>
    <cfRule type="containsText" dxfId="7442" priority="7142" operator="containsText" text="CMS">
      <formula>NOT(ISERROR(SEARCH("CMS",O52)))</formula>
    </cfRule>
    <cfRule type="cellIs" dxfId="7441" priority="7143" operator="equal">
      <formula>0</formula>
    </cfRule>
    <cfRule type="cellIs" dxfId="7440" priority="7144" operator="greaterThan">
      <formula>0</formula>
    </cfRule>
  </conditionalFormatting>
  <conditionalFormatting sqref="O52:O54">
    <cfRule type="cellIs" dxfId="7439" priority="7137" operator="equal">
      <formula>"PMS"</formula>
    </cfRule>
    <cfRule type="containsText" dxfId="7438" priority="7138" operator="containsText" text="CMS">
      <formula>NOT(ISERROR(SEARCH("CMS",O52)))</formula>
    </cfRule>
    <cfRule type="cellIs" dxfId="7437" priority="7139" operator="equal">
      <formula>0</formula>
    </cfRule>
    <cfRule type="cellIs" dxfId="7436" priority="7140" operator="greaterThan">
      <formula>0</formula>
    </cfRule>
  </conditionalFormatting>
  <conditionalFormatting sqref="O52:O54">
    <cfRule type="cellIs" dxfId="7435" priority="7133" operator="equal">
      <formula>"PMS"</formula>
    </cfRule>
    <cfRule type="containsText" dxfId="7434" priority="7134" operator="containsText" text="CMS">
      <formula>NOT(ISERROR(SEARCH("CMS",O52)))</formula>
    </cfRule>
    <cfRule type="cellIs" dxfId="7433" priority="7135" operator="equal">
      <formula>0</formula>
    </cfRule>
    <cfRule type="cellIs" dxfId="7432" priority="7136" operator="greaterThan">
      <formula>0</formula>
    </cfRule>
  </conditionalFormatting>
  <conditionalFormatting sqref="O52:O54">
    <cfRule type="cellIs" dxfId="7431" priority="7129" operator="equal">
      <formula>"PMS"</formula>
    </cfRule>
    <cfRule type="containsText" dxfId="7430" priority="7130" operator="containsText" text="CMS">
      <formula>NOT(ISERROR(SEARCH("CMS",O52)))</formula>
    </cfRule>
    <cfRule type="cellIs" dxfId="7429" priority="7131" operator="equal">
      <formula>0</formula>
    </cfRule>
    <cfRule type="cellIs" dxfId="7428" priority="7132" operator="greaterThan">
      <formula>0</formula>
    </cfRule>
  </conditionalFormatting>
  <conditionalFormatting sqref="O52:O54">
    <cfRule type="cellIs" dxfId="7427" priority="7125" operator="equal">
      <formula>"PMS"</formula>
    </cfRule>
    <cfRule type="containsText" dxfId="7426" priority="7126" operator="containsText" text="CMS">
      <formula>NOT(ISERROR(SEARCH("CMS",O52)))</formula>
    </cfRule>
    <cfRule type="cellIs" dxfId="7425" priority="7127" operator="equal">
      <formula>0</formula>
    </cfRule>
    <cfRule type="cellIs" dxfId="7424" priority="7128" operator="greaterThan">
      <formula>0</formula>
    </cfRule>
  </conditionalFormatting>
  <conditionalFormatting sqref="O52:O54">
    <cfRule type="cellIs" dxfId="7423" priority="7121" operator="equal">
      <formula>"PMS"</formula>
    </cfRule>
    <cfRule type="containsText" dxfId="7422" priority="7122" operator="containsText" text="CMS">
      <formula>NOT(ISERROR(SEARCH("CMS",O52)))</formula>
    </cfRule>
    <cfRule type="cellIs" dxfId="7421" priority="7123" operator="equal">
      <formula>0</formula>
    </cfRule>
    <cfRule type="cellIs" dxfId="7420" priority="7124" operator="greaterThan">
      <formula>0</formula>
    </cfRule>
  </conditionalFormatting>
  <conditionalFormatting sqref="O52:O54">
    <cfRule type="cellIs" dxfId="7419" priority="7117" operator="equal">
      <formula>"PMS"</formula>
    </cfRule>
    <cfRule type="containsText" dxfId="7418" priority="7118" operator="containsText" text="CMS">
      <formula>NOT(ISERROR(SEARCH("CMS",O52)))</formula>
    </cfRule>
    <cfRule type="cellIs" dxfId="7417" priority="7119" operator="equal">
      <formula>0</formula>
    </cfRule>
    <cfRule type="cellIs" dxfId="7416" priority="7120" operator="greaterThan">
      <formula>0</formula>
    </cfRule>
  </conditionalFormatting>
  <conditionalFormatting sqref="O52:O54">
    <cfRule type="cellIs" dxfId="7415" priority="7113" operator="equal">
      <formula>"PMS"</formula>
    </cfRule>
    <cfRule type="containsText" dxfId="7414" priority="7114" operator="containsText" text="CMS">
      <formula>NOT(ISERROR(SEARCH("CMS",O52)))</formula>
    </cfRule>
    <cfRule type="cellIs" dxfId="7413" priority="7115" operator="equal">
      <formula>0</formula>
    </cfRule>
    <cfRule type="cellIs" dxfId="7412" priority="7116" operator="greaterThan">
      <formula>0</formula>
    </cfRule>
  </conditionalFormatting>
  <conditionalFormatting sqref="O52:O54">
    <cfRule type="cellIs" dxfId="7411" priority="7109" operator="equal">
      <formula>"PMS"</formula>
    </cfRule>
    <cfRule type="containsText" dxfId="7410" priority="7110" operator="containsText" text="CMS">
      <formula>NOT(ISERROR(SEARCH("CMS",O52)))</formula>
    </cfRule>
    <cfRule type="cellIs" dxfId="7409" priority="7111" operator="equal">
      <formula>0</formula>
    </cfRule>
    <cfRule type="cellIs" dxfId="7408" priority="7112" operator="greaterThan">
      <formula>0</formula>
    </cfRule>
  </conditionalFormatting>
  <conditionalFormatting sqref="O52:O54">
    <cfRule type="cellIs" dxfId="7407" priority="7105" operator="equal">
      <formula>"PMS"</formula>
    </cfRule>
    <cfRule type="containsText" dxfId="7406" priority="7106" operator="containsText" text="CMS">
      <formula>NOT(ISERROR(SEARCH("CMS",O52)))</formula>
    </cfRule>
    <cfRule type="cellIs" dxfId="7405" priority="7107" operator="equal">
      <formula>0</formula>
    </cfRule>
    <cfRule type="cellIs" dxfId="7404" priority="7108" operator="greaterThan">
      <formula>0</formula>
    </cfRule>
  </conditionalFormatting>
  <conditionalFormatting sqref="O52:O54">
    <cfRule type="cellIs" dxfId="7403" priority="7101" operator="equal">
      <formula>"PMS"</formula>
    </cfRule>
    <cfRule type="containsText" dxfId="7402" priority="7102" operator="containsText" text="CMS">
      <formula>NOT(ISERROR(SEARCH("CMS",O52)))</formula>
    </cfRule>
    <cfRule type="cellIs" dxfId="7401" priority="7103" operator="equal">
      <formula>0</formula>
    </cfRule>
    <cfRule type="cellIs" dxfId="7400" priority="7104" operator="greaterThan">
      <formula>0</formula>
    </cfRule>
  </conditionalFormatting>
  <conditionalFormatting sqref="O52:O54">
    <cfRule type="cellIs" dxfId="7399" priority="7097" operator="equal">
      <formula>"PMS"</formula>
    </cfRule>
    <cfRule type="containsText" dxfId="7398" priority="7098" operator="containsText" text="CMS">
      <formula>NOT(ISERROR(SEARCH("CMS",O52)))</formula>
    </cfRule>
    <cfRule type="cellIs" dxfId="7397" priority="7099" operator="equal">
      <formula>0</formula>
    </cfRule>
    <cfRule type="cellIs" dxfId="7396" priority="7100" operator="greaterThan">
      <formula>0</formula>
    </cfRule>
  </conditionalFormatting>
  <conditionalFormatting sqref="O52:O54">
    <cfRule type="cellIs" dxfId="7395" priority="7093" operator="equal">
      <formula>"PMS"</formula>
    </cfRule>
    <cfRule type="containsText" dxfId="7394" priority="7094" operator="containsText" text="CMS">
      <formula>NOT(ISERROR(SEARCH("CMS",O52)))</formula>
    </cfRule>
    <cfRule type="cellIs" dxfId="7393" priority="7095" operator="equal">
      <formula>0</formula>
    </cfRule>
    <cfRule type="cellIs" dxfId="7392" priority="7096" operator="greaterThan">
      <formula>0</formula>
    </cfRule>
  </conditionalFormatting>
  <conditionalFormatting sqref="O52:O54">
    <cfRule type="cellIs" dxfId="7391" priority="7089" operator="equal">
      <formula>"PMS"</formula>
    </cfRule>
    <cfRule type="containsText" dxfId="7390" priority="7090" operator="containsText" text="CMS">
      <formula>NOT(ISERROR(SEARCH("CMS",O52)))</formula>
    </cfRule>
    <cfRule type="cellIs" dxfId="7389" priority="7091" operator="equal">
      <formula>0</formula>
    </cfRule>
    <cfRule type="cellIs" dxfId="7388" priority="7092" operator="greaterThan">
      <formula>0</formula>
    </cfRule>
  </conditionalFormatting>
  <conditionalFormatting sqref="O52:O54">
    <cfRule type="cellIs" dxfId="7387" priority="7085" operator="equal">
      <formula>"PMS"</formula>
    </cfRule>
    <cfRule type="containsText" dxfId="7386" priority="7086" operator="containsText" text="CMS">
      <formula>NOT(ISERROR(SEARCH("CMS",O52)))</formula>
    </cfRule>
    <cfRule type="cellIs" dxfId="7385" priority="7087" operator="equal">
      <formula>0</formula>
    </cfRule>
    <cfRule type="cellIs" dxfId="7384" priority="7088" operator="greaterThan">
      <formula>0</formula>
    </cfRule>
  </conditionalFormatting>
  <conditionalFormatting sqref="O52:O54">
    <cfRule type="cellIs" dxfId="7383" priority="7081" operator="equal">
      <formula>"PMS"</formula>
    </cfRule>
    <cfRule type="containsText" dxfId="7382" priority="7082" operator="containsText" text="CMS">
      <formula>NOT(ISERROR(SEARCH("CMS",O52)))</formula>
    </cfRule>
    <cfRule type="cellIs" dxfId="7381" priority="7083" operator="equal">
      <formula>0</formula>
    </cfRule>
    <cfRule type="cellIs" dxfId="7380" priority="7084" operator="greaterThan">
      <formula>0</formula>
    </cfRule>
  </conditionalFormatting>
  <conditionalFormatting sqref="O52:O54">
    <cfRule type="cellIs" dxfId="7379" priority="7077" operator="equal">
      <formula>"PMS"</formula>
    </cfRule>
    <cfRule type="containsText" dxfId="7378" priority="7078" operator="containsText" text="CMS">
      <formula>NOT(ISERROR(SEARCH("CMS",O52)))</formula>
    </cfRule>
    <cfRule type="cellIs" dxfId="7377" priority="7079" operator="equal">
      <formula>0</formula>
    </cfRule>
    <cfRule type="cellIs" dxfId="7376" priority="7080" operator="greaterThan">
      <formula>0</formula>
    </cfRule>
  </conditionalFormatting>
  <conditionalFormatting sqref="O52:O54">
    <cfRule type="cellIs" dxfId="7375" priority="7073" operator="equal">
      <formula>"PMS"</formula>
    </cfRule>
    <cfRule type="containsText" dxfId="7374" priority="7074" operator="containsText" text="CMS">
      <formula>NOT(ISERROR(SEARCH("CMS",O52)))</formula>
    </cfRule>
    <cfRule type="cellIs" dxfId="7373" priority="7075" operator="equal">
      <formula>0</formula>
    </cfRule>
    <cfRule type="cellIs" dxfId="7372" priority="7076" operator="greaterThan">
      <formula>0</formula>
    </cfRule>
  </conditionalFormatting>
  <conditionalFormatting sqref="O52:O54">
    <cfRule type="cellIs" dxfId="7371" priority="7069" operator="equal">
      <formula>"PMS"</formula>
    </cfRule>
    <cfRule type="containsText" dxfId="7370" priority="7070" operator="containsText" text="CMS">
      <formula>NOT(ISERROR(SEARCH("CMS",O52)))</formula>
    </cfRule>
    <cfRule type="cellIs" dxfId="7369" priority="7071" operator="equal">
      <formula>0</formula>
    </cfRule>
    <cfRule type="cellIs" dxfId="7368" priority="7072" operator="greaterThan">
      <formula>0</formula>
    </cfRule>
  </conditionalFormatting>
  <conditionalFormatting sqref="O52:O54">
    <cfRule type="cellIs" dxfId="7367" priority="7065" operator="equal">
      <formula>"PMS"</formula>
    </cfRule>
    <cfRule type="containsText" dxfId="7366" priority="7066" operator="containsText" text="CMS">
      <formula>NOT(ISERROR(SEARCH("CMS",O52)))</formula>
    </cfRule>
    <cfRule type="cellIs" dxfId="7365" priority="7067" operator="equal">
      <formula>0</formula>
    </cfRule>
    <cfRule type="cellIs" dxfId="7364" priority="7068" operator="greaterThan">
      <formula>0</formula>
    </cfRule>
  </conditionalFormatting>
  <conditionalFormatting sqref="O52:O54">
    <cfRule type="cellIs" dxfId="7363" priority="7061" operator="equal">
      <formula>"PMS"</formula>
    </cfRule>
    <cfRule type="containsText" dxfId="7362" priority="7062" operator="containsText" text="CMS">
      <formula>NOT(ISERROR(SEARCH("CMS",O52)))</formula>
    </cfRule>
    <cfRule type="cellIs" dxfId="7361" priority="7063" operator="equal">
      <formula>0</formula>
    </cfRule>
    <cfRule type="cellIs" dxfId="7360" priority="7064" operator="greaterThan">
      <formula>0</formula>
    </cfRule>
  </conditionalFormatting>
  <conditionalFormatting sqref="O52:O54">
    <cfRule type="cellIs" dxfId="7359" priority="7057" operator="equal">
      <formula>"PMS"</formula>
    </cfRule>
    <cfRule type="containsText" dxfId="7358" priority="7058" operator="containsText" text="CMS">
      <formula>NOT(ISERROR(SEARCH("CMS",O52)))</formula>
    </cfRule>
    <cfRule type="cellIs" dxfId="7357" priority="7059" operator="equal">
      <formula>0</formula>
    </cfRule>
    <cfRule type="cellIs" dxfId="7356" priority="7060" operator="greaterThan">
      <formula>0</formula>
    </cfRule>
  </conditionalFormatting>
  <conditionalFormatting sqref="O52:O54">
    <cfRule type="cellIs" dxfId="7355" priority="7053" operator="equal">
      <formula>"PMS"</formula>
    </cfRule>
    <cfRule type="containsText" dxfId="7354" priority="7054" operator="containsText" text="CMS">
      <formula>NOT(ISERROR(SEARCH("CMS",O52)))</formula>
    </cfRule>
    <cfRule type="cellIs" dxfId="7353" priority="7055" operator="equal">
      <formula>0</formula>
    </cfRule>
    <cfRule type="cellIs" dxfId="7352" priority="7056" operator="greaterThan">
      <formula>0</formula>
    </cfRule>
  </conditionalFormatting>
  <conditionalFormatting sqref="O52:O54">
    <cfRule type="cellIs" dxfId="7351" priority="7049" operator="equal">
      <formula>"PMS"</formula>
    </cfRule>
    <cfRule type="containsText" dxfId="7350" priority="7050" operator="containsText" text="CMS">
      <formula>NOT(ISERROR(SEARCH("CMS",O52)))</formula>
    </cfRule>
    <cfRule type="cellIs" dxfId="7349" priority="7051" operator="equal">
      <formula>0</formula>
    </cfRule>
    <cfRule type="cellIs" dxfId="7348" priority="7052" operator="greaterThan">
      <formula>0</formula>
    </cfRule>
  </conditionalFormatting>
  <conditionalFormatting sqref="O52:O54">
    <cfRule type="cellIs" dxfId="7347" priority="7045" operator="equal">
      <formula>"PMS"</formula>
    </cfRule>
    <cfRule type="containsText" dxfId="7346" priority="7046" operator="containsText" text="CMS">
      <formula>NOT(ISERROR(SEARCH("CMS",O52)))</formula>
    </cfRule>
    <cfRule type="cellIs" dxfId="7345" priority="7047" operator="equal">
      <formula>0</formula>
    </cfRule>
    <cfRule type="cellIs" dxfId="7344" priority="7048" operator="greaterThan">
      <formula>0</formula>
    </cfRule>
  </conditionalFormatting>
  <conditionalFormatting sqref="O52:O54">
    <cfRule type="cellIs" dxfId="7343" priority="7041" operator="equal">
      <formula>"PMS"</formula>
    </cfRule>
    <cfRule type="containsText" dxfId="7342" priority="7042" operator="containsText" text="CMS">
      <formula>NOT(ISERROR(SEARCH("CMS",O52)))</formula>
    </cfRule>
    <cfRule type="cellIs" dxfId="7341" priority="7043" operator="equal">
      <formula>0</formula>
    </cfRule>
    <cfRule type="cellIs" dxfId="7340" priority="7044" operator="greaterThan">
      <formula>0</formula>
    </cfRule>
  </conditionalFormatting>
  <conditionalFormatting sqref="O52:O54">
    <cfRule type="cellIs" dxfId="7339" priority="7037" operator="equal">
      <formula>"PMS"</formula>
    </cfRule>
    <cfRule type="containsText" dxfId="7338" priority="7038" operator="containsText" text="CMS">
      <formula>NOT(ISERROR(SEARCH("CMS",O52)))</formula>
    </cfRule>
    <cfRule type="cellIs" dxfId="7337" priority="7039" operator="equal">
      <formula>0</formula>
    </cfRule>
    <cfRule type="cellIs" dxfId="7336" priority="7040" operator="greaterThan">
      <formula>0</formula>
    </cfRule>
  </conditionalFormatting>
  <conditionalFormatting sqref="O58">
    <cfRule type="cellIs" dxfId="7335" priority="7033" operator="equal">
      <formula>"PMS"</formula>
    </cfRule>
    <cfRule type="containsText" dxfId="7334" priority="7034" operator="containsText" text="CMS">
      <formula>NOT(ISERROR(SEARCH("CMS",O58)))</formula>
    </cfRule>
    <cfRule type="cellIs" dxfId="7333" priority="7035" operator="equal">
      <formula>0</formula>
    </cfRule>
    <cfRule type="cellIs" dxfId="7332" priority="7036" operator="greaterThan">
      <formula>0</formula>
    </cfRule>
  </conditionalFormatting>
  <conditionalFormatting sqref="O58">
    <cfRule type="cellIs" dxfId="7331" priority="7029" operator="equal">
      <formula>"PMS"</formula>
    </cfRule>
    <cfRule type="containsText" dxfId="7330" priority="7030" operator="containsText" text="CMS">
      <formula>NOT(ISERROR(SEARCH("CMS",O58)))</formula>
    </cfRule>
    <cfRule type="cellIs" dxfId="7329" priority="7031" operator="equal">
      <formula>0</formula>
    </cfRule>
    <cfRule type="cellIs" dxfId="7328" priority="7032" operator="greaterThan">
      <formula>0</formula>
    </cfRule>
  </conditionalFormatting>
  <conditionalFormatting sqref="O58">
    <cfRule type="cellIs" dxfId="7327" priority="7025" operator="equal">
      <formula>"PMS"</formula>
    </cfRule>
    <cfRule type="containsText" dxfId="7326" priority="7026" operator="containsText" text="CMS">
      <formula>NOT(ISERROR(SEARCH("CMS",O58)))</formula>
    </cfRule>
    <cfRule type="cellIs" dxfId="7325" priority="7027" operator="equal">
      <formula>0</formula>
    </cfRule>
    <cfRule type="cellIs" dxfId="7324" priority="7028" operator="greaterThan">
      <formula>0</formula>
    </cfRule>
  </conditionalFormatting>
  <conditionalFormatting sqref="O58">
    <cfRule type="cellIs" dxfId="7323" priority="7021" operator="equal">
      <formula>"PMS"</formula>
    </cfRule>
    <cfRule type="containsText" dxfId="7322" priority="7022" operator="containsText" text="CMS">
      <formula>NOT(ISERROR(SEARCH("CMS",O58)))</formula>
    </cfRule>
    <cfRule type="cellIs" dxfId="7321" priority="7023" operator="equal">
      <formula>0</formula>
    </cfRule>
    <cfRule type="cellIs" dxfId="7320" priority="7024" operator="greaterThan">
      <formula>0</formula>
    </cfRule>
  </conditionalFormatting>
  <conditionalFormatting sqref="O58">
    <cfRule type="cellIs" dxfId="7319" priority="7017" operator="equal">
      <formula>"PMS"</formula>
    </cfRule>
    <cfRule type="containsText" dxfId="7318" priority="7018" operator="containsText" text="CMS">
      <formula>NOT(ISERROR(SEARCH("CMS",O58)))</formula>
    </cfRule>
    <cfRule type="cellIs" dxfId="7317" priority="7019" operator="equal">
      <formula>0</formula>
    </cfRule>
    <cfRule type="cellIs" dxfId="7316" priority="7020" operator="greaterThan">
      <formula>0</formula>
    </cfRule>
  </conditionalFormatting>
  <conditionalFormatting sqref="O58">
    <cfRule type="cellIs" dxfId="7315" priority="7013" operator="equal">
      <formula>"PMS"</formula>
    </cfRule>
    <cfRule type="containsText" dxfId="7314" priority="7014" operator="containsText" text="CMS">
      <formula>NOT(ISERROR(SEARCH("CMS",O58)))</formula>
    </cfRule>
    <cfRule type="cellIs" dxfId="7313" priority="7015" operator="equal">
      <formula>0</formula>
    </cfRule>
    <cfRule type="cellIs" dxfId="7312" priority="7016" operator="greaterThan">
      <formula>0</formula>
    </cfRule>
  </conditionalFormatting>
  <conditionalFormatting sqref="O58">
    <cfRule type="cellIs" dxfId="7311" priority="7009" operator="equal">
      <formula>"PMS"</formula>
    </cfRule>
    <cfRule type="containsText" dxfId="7310" priority="7010" operator="containsText" text="CMS">
      <formula>NOT(ISERROR(SEARCH("CMS",O58)))</formula>
    </cfRule>
    <cfRule type="cellIs" dxfId="7309" priority="7011" operator="equal">
      <formula>0</formula>
    </cfRule>
    <cfRule type="cellIs" dxfId="7308" priority="7012" operator="greaterThan">
      <formula>0</formula>
    </cfRule>
  </conditionalFormatting>
  <conditionalFormatting sqref="O58">
    <cfRule type="cellIs" dxfId="7307" priority="7005" operator="equal">
      <formula>"PMS"</formula>
    </cfRule>
    <cfRule type="containsText" dxfId="7306" priority="7006" operator="containsText" text="CMS">
      <formula>NOT(ISERROR(SEARCH("CMS",O58)))</formula>
    </cfRule>
    <cfRule type="cellIs" dxfId="7305" priority="7007" operator="equal">
      <formula>0</formula>
    </cfRule>
    <cfRule type="cellIs" dxfId="7304" priority="7008" operator="greaterThan">
      <formula>0</formula>
    </cfRule>
  </conditionalFormatting>
  <conditionalFormatting sqref="O58">
    <cfRule type="cellIs" dxfId="7303" priority="7001" operator="equal">
      <formula>"PMS"</formula>
    </cfRule>
    <cfRule type="containsText" dxfId="7302" priority="7002" operator="containsText" text="CMS">
      <formula>NOT(ISERROR(SEARCH("CMS",O58)))</formula>
    </cfRule>
    <cfRule type="cellIs" dxfId="7301" priority="7003" operator="equal">
      <formula>0</formula>
    </cfRule>
    <cfRule type="cellIs" dxfId="7300" priority="7004" operator="greaterThan">
      <formula>0</formula>
    </cfRule>
  </conditionalFormatting>
  <conditionalFormatting sqref="O58">
    <cfRule type="cellIs" dxfId="7299" priority="6997" operator="equal">
      <formula>"PMS"</formula>
    </cfRule>
    <cfRule type="containsText" dxfId="7298" priority="6998" operator="containsText" text="CMS">
      <formula>NOT(ISERROR(SEARCH("CMS",O58)))</formula>
    </cfRule>
    <cfRule type="cellIs" dxfId="7297" priority="6999" operator="equal">
      <formula>0</formula>
    </cfRule>
    <cfRule type="cellIs" dxfId="7296" priority="7000" operator="greaterThan">
      <formula>0</formula>
    </cfRule>
  </conditionalFormatting>
  <conditionalFormatting sqref="O58">
    <cfRule type="cellIs" dxfId="7295" priority="6993" operator="equal">
      <formula>"PMS"</formula>
    </cfRule>
    <cfRule type="containsText" dxfId="7294" priority="6994" operator="containsText" text="CMS">
      <formula>NOT(ISERROR(SEARCH("CMS",O58)))</formula>
    </cfRule>
    <cfRule type="cellIs" dxfId="7293" priority="6995" operator="equal">
      <formula>0</formula>
    </cfRule>
    <cfRule type="cellIs" dxfId="7292" priority="6996" operator="greaterThan">
      <formula>0</formula>
    </cfRule>
  </conditionalFormatting>
  <conditionalFormatting sqref="O58">
    <cfRule type="cellIs" dxfId="7291" priority="6989" operator="equal">
      <formula>"PMS"</formula>
    </cfRule>
    <cfRule type="containsText" dxfId="7290" priority="6990" operator="containsText" text="CMS">
      <formula>NOT(ISERROR(SEARCH("CMS",O58)))</formula>
    </cfRule>
    <cfRule type="cellIs" dxfId="7289" priority="6991" operator="equal">
      <formula>0</formula>
    </cfRule>
    <cfRule type="cellIs" dxfId="7288" priority="6992" operator="greaterThan">
      <formula>0</formula>
    </cfRule>
  </conditionalFormatting>
  <conditionalFormatting sqref="O58">
    <cfRule type="cellIs" dxfId="7287" priority="6985" operator="equal">
      <formula>"PMS"</formula>
    </cfRule>
    <cfRule type="containsText" dxfId="7286" priority="6986" operator="containsText" text="CMS">
      <formula>NOT(ISERROR(SEARCH("CMS",O58)))</formula>
    </cfRule>
    <cfRule type="cellIs" dxfId="7285" priority="6987" operator="equal">
      <formula>0</formula>
    </cfRule>
    <cfRule type="cellIs" dxfId="7284" priority="6988" operator="greaterThan">
      <formula>0</formula>
    </cfRule>
  </conditionalFormatting>
  <conditionalFormatting sqref="O58">
    <cfRule type="cellIs" dxfId="7283" priority="6981" operator="equal">
      <formula>"PMS"</formula>
    </cfRule>
    <cfRule type="containsText" dxfId="7282" priority="6982" operator="containsText" text="CMS">
      <formula>NOT(ISERROR(SEARCH("CMS",O58)))</formula>
    </cfRule>
    <cfRule type="cellIs" dxfId="7281" priority="6983" operator="equal">
      <formula>0</formula>
    </cfRule>
    <cfRule type="cellIs" dxfId="7280" priority="6984" operator="greaterThan">
      <formula>0</formula>
    </cfRule>
  </conditionalFormatting>
  <conditionalFormatting sqref="O58">
    <cfRule type="cellIs" dxfId="7279" priority="6977" operator="equal">
      <formula>"PMS"</formula>
    </cfRule>
    <cfRule type="containsText" dxfId="7278" priority="6978" operator="containsText" text="CMS">
      <formula>NOT(ISERROR(SEARCH("CMS",O58)))</formula>
    </cfRule>
    <cfRule type="cellIs" dxfId="7277" priority="6979" operator="equal">
      <formula>0</formula>
    </cfRule>
    <cfRule type="cellIs" dxfId="7276" priority="6980" operator="greaterThan">
      <formula>0</formula>
    </cfRule>
  </conditionalFormatting>
  <conditionalFormatting sqref="O58">
    <cfRule type="cellIs" dxfId="7275" priority="6973" operator="equal">
      <formula>"PMS"</formula>
    </cfRule>
    <cfRule type="containsText" dxfId="7274" priority="6974" operator="containsText" text="CMS">
      <formula>NOT(ISERROR(SEARCH("CMS",O58)))</formula>
    </cfRule>
    <cfRule type="cellIs" dxfId="7273" priority="6975" operator="equal">
      <formula>0</formula>
    </cfRule>
    <cfRule type="cellIs" dxfId="7272" priority="6976" operator="greaterThan">
      <formula>0</formula>
    </cfRule>
  </conditionalFormatting>
  <conditionalFormatting sqref="O58">
    <cfRule type="cellIs" dxfId="7271" priority="6969" operator="equal">
      <formula>"PMS"</formula>
    </cfRule>
    <cfRule type="containsText" dxfId="7270" priority="6970" operator="containsText" text="CMS">
      <formula>NOT(ISERROR(SEARCH("CMS",O58)))</formula>
    </cfRule>
    <cfRule type="cellIs" dxfId="7269" priority="6971" operator="equal">
      <formula>0</formula>
    </cfRule>
    <cfRule type="cellIs" dxfId="7268" priority="6972" operator="greaterThan">
      <formula>0</formula>
    </cfRule>
  </conditionalFormatting>
  <conditionalFormatting sqref="O58">
    <cfRule type="cellIs" dxfId="7267" priority="6965" operator="equal">
      <formula>"PMS"</formula>
    </cfRule>
    <cfRule type="containsText" dxfId="7266" priority="6966" operator="containsText" text="CMS">
      <formula>NOT(ISERROR(SEARCH("CMS",O58)))</formula>
    </cfRule>
    <cfRule type="cellIs" dxfId="7265" priority="6967" operator="equal">
      <formula>0</formula>
    </cfRule>
    <cfRule type="cellIs" dxfId="7264" priority="6968" operator="greaterThan">
      <formula>0</formula>
    </cfRule>
  </conditionalFormatting>
  <conditionalFormatting sqref="O58">
    <cfRule type="cellIs" dxfId="7263" priority="6961" operator="equal">
      <formula>"PMS"</formula>
    </cfRule>
    <cfRule type="containsText" dxfId="7262" priority="6962" operator="containsText" text="CMS">
      <formula>NOT(ISERROR(SEARCH("CMS",O58)))</formula>
    </cfRule>
    <cfRule type="cellIs" dxfId="7261" priority="6963" operator="equal">
      <formula>0</formula>
    </cfRule>
    <cfRule type="cellIs" dxfId="7260" priority="6964" operator="greaterThan">
      <formula>0</formula>
    </cfRule>
  </conditionalFormatting>
  <conditionalFormatting sqref="O58">
    <cfRule type="cellIs" dxfId="7259" priority="6957" operator="equal">
      <formula>"PMS"</formula>
    </cfRule>
    <cfRule type="containsText" dxfId="7258" priority="6958" operator="containsText" text="CMS">
      <formula>NOT(ISERROR(SEARCH("CMS",O58)))</formula>
    </cfRule>
    <cfRule type="cellIs" dxfId="7257" priority="6959" operator="equal">
      <formula>0</formula>
    </cfRule>
    <cfRule type="cellIs" dxfId="7256" priority="6960" operator="greaterThan">
      <formula>0</formula>
    </cfRule>
  </conditionalFormatting>
  <conditionalFormatting sqref="O58">
    <cfRule type="cellIs" dxfId="7255" priority="6953" operator="equal">
      <formula>"PMS"</formula>
    </cfRule>
    <cfRule type="containsText" dxfId="7254" priority="6954" operator="containsText" text="CMS">
      <formula>NOT(ISERROR(SEARCH("CMS",O58)))</formula>
    </cfRule>
    <cfRule type="cellIs" dxfId="7253" priority="6955" operator="equal">
      <formula>0</formula>
    </cfRule>
    <cfRule type="cellIs" dxfId="7252" priority="6956" operator="greaterThan">
      <formula>0</formula>
    </cfRule>
  </conditionalFormatting>
  <conditionalFormatting sqref="O58">
    <cfRule type="cellIs" dxfId="7251" priority="6949" operator="equal">
      <formula>"PMS"</formula>
    </cfRule>
    <cfRule type="containsText" dxfId="7250" priority="6950" operator="containsText" text="CMS">
      <formula>NOT(ISERROR(SEARCH("CMS",O58)))</formula>
    </cfRule>
    <cfRule type="cellIs" dxfId="7249" priority="6951" operator="equal">
      <formula>0</formula>
    </cfRule>
    <cfRule type="cellIs" dxfId="7248" priority="6952" operator="greaterThan">
      <formula>0</formula>
    </cfRule>
  </conditionalFormatting>
  <conditionalFormatting sqref="O58">
    <cfRule type="cellIs" dxfId="7247" priority="6945" operator="equal">
      <formula>"PMS"</formula>
    </cfRule>
    <cfRule type="containsText" dxfId="7246" priority="6946" operator="containsText" text="CMS">
      <formula>NOT(ISERROR(SEARCH("CMS",O58)))</formula>
    </cfRule>
    <cfRule type="cellIs" dxfId="7245" priority="6947" operator="equal">
      <formula>0</formula>
    </cfRule>
    <cfRule type="cellIs" dxfId="7244" priority="6948" operator="greaterThan">
      <formula>0</formula>
    </cfRule>
  </conditionalFormatting>
  <conditionalFormatting sqref="O58">
    <cfRule type="cellIs" dxfId="7243" priority="6941" operator="equal">
      <formula>"PMS"</formula>
    </cfRule>
    <cfRule type="containsText" dxfId="7242" priority="6942" operator="containsText" text="CMS">
      <formula>NOT(ISERROR(SEARCH("CMS",O58)))</formula>
    </cfRule>
    <cfRule type="cellIs" dxfId="7241" priority="6943" operator="equal">
      <formula>0</formula>
    </cfRule>
    <cfRule type="cellIs" dxfId="7240" priority="6944" operator="greaterThan">
      <formula>0</formula>
    </cfRule>
  </conditionalFormatting>
  <conditionalFormatting sqref="O58">
    <cfRule type="cellIs" dxfId="7239" priority="6937" operator="equal">
      <formula>"PMS"</formula>
    </cfRule>
    <cfRule type="containsText" dxfId="7238" priority="6938" operator="containsText" text="CMS">
      <formula>NOT(ISERROR(SEARCH("CMS",O58)))</formula>
    </cfRule>
    <cfRule type="cellIs" dxfId="7237" priority="6939" operator="equal">
      <formula>0</formula>
    </cfRule>
    <cfRule type="cellIs" dxfId="7236" priority="6940" operator="greaterThan">
      <formula>0</formula>
    </cfRule>
  </conditionalFormatting>
  <conditionalFormatting sqref="O58">
    <cfRule type="cellIs" dxfId="7235" priority="6933" operator="equal">
      <formula>"PMS"</formula>
    </cfRule>
    <cfRule type="containsText" dxfId="7234" priority="6934" operator="containsText" text="CMS">
      <formula>NOT(ISERROR(SEARCH("CMS",O58)))</formula>
    </cfRule>
    <cfRule type="cellIs" dxfId="7233" priority="6935" operator="equal">
      <formula>0</formula>
    </cfRule>
    <cfRule type="cellIs" dxfId="7232" priority="6936" operator="greaterThan">
      <formula>0</formula>
    </cfRule>
  </conditionalFormatting>
  <conditionalFormatting sqref="O58">
    <cfRule type="cellIs" dxfId="7231" priority="6929" operator="equal">
      <formula>"PMS"</formula>
    </cfRule>
    <cfRule type="containsText" dxfId="7230" priority="6930" operator="containsText" text="CMS">
      <formula>NOT(ISERROR(SEARCH("CMS",O58)))</formula>
    </cfRule>
    <cfRule type="cellIs" dxfId="7229" priority="6931" operator="equal">
      <formula>0</formula>
    </cfRule>
    <cfRule type="cellIs" dxfId="7228" priority="6932" operator="greaterThan">
      <formula>0</formula>
    </cfRule>
  </conditionalFormatting>
  <conditionalFormatting sqref="O58">
    <cfRule type="cellIs" dxfId="7227" priority="6925" operator="equal">
      <formula>"PMS"</formula>
    </cfRule>
    <cfRule type="containsText" dxfId="7226" priority="6926" operator="containsText" text="CMS">
      <formula>NOT(ISERROR(SEARCH("CMS",O58)))</formula>
    </cfRule>
    <cfRule type="cellIs" dxfId="7225" priority="6927" operator="equal">
      <formula>0</formula>
    </cfRule>
    <cfRule type="cellIs" dxfId="7224" priority="6928" operator="greaterThan">
      <formula>0</formula>
    </cfRule>
  </conditionalFormatting>
  <conditionalFormatting sqref="O58">
    <cfRule type="cellIs" dxfId="7223" priority="6921" operator="equal">
      <formula>"PMS"</formula>
    </cfRule>
    <cfRule type="containsText" dxfId="7222" priority="6922" operator="containsText" text="CMS">
      <formula>NOT(ISERROR(SEARCH("CMS",O58)))</formula>
    </cfRule>
    <cfRule type="cellIs" dxfId="7221" priority="6923" operator="equal">
      <formula>0</formula>
    </cfRule>
    <cfRule type="cellIs" dxfId="7220" priority="6924" operator="greaterThan">
      <formula>0</formula>
    </cfRule>
  </conditionalFormatting>
  <conditionalFormatting sqref="O58">
    <cfRule type="cellIs" dxfId="7219" priority="6917" operator="equal">
      <formula>"PMS"</formula>
    </cfRule>
    <cfRule type="containsText" dxfId="7218" priority="6918" operator="containsText" text="CMS">
      <formula>NOT(ISERROR(SEARCH("CMS",O58)))</formula>
    </cfRule>
    <cfRule type="cellIs" dxfId="7217" priority="6919" operator="equal">
      <formula>0</formula>
    </cfRule>
    <cfRule type="cellIs" dxfId="7216" priority="6920" operator="greaterThan">
      <formula>0</formula>
    </cfRule>
  </conditionalFormatting>
  <conditionalFormatting sqref="O58">
    <cfRule type="cellIs" dxfId="7215" priority="6913" operator="equal">
      <formula>"PMS"</formula>
    </cfRule>
    <cfRule type="containsText" dxfId="7214" priority="6914" operator="containsText" text="CMS">
      <formula>NOT(ISERROR(SEARCH("CMS",O58)))</formula>
    </cfRule>
    <cfRule type="cellIs" dxfId="7213" priority="6915" operator="equal">
      <formula>0</formula>
    </cfRule>
    <cfRule type="cellIs" dxfId="7212" priority="6916" operator="greaterThan">
      <formula>0</formula>
    </cfRule>
  </conditionalFormatting>
  <conditionalFormatting sqref="O58">
    <cfRule type="cellIs" dxfId="7211" priority="6909" operator="equal">
      <formula>"PMS"</formula>
    </cfRule>
    <cfRule type="containsText" dxfId="7210" priority="6910" operator="containsText" text="CMS">
      <formula>NOT(ISERROR(SEARCH("CMS",O58)))</formula>
    </cfRule>
    <cfRule type="cellIs" dxfId="7209" priority="6911" operator="equal">
      <formula>0</formula>
    </cfRule>
    <cfRule type="cellIs" dxfId="7208" priority="6912" operator="greaterThan">
      <formula>0</formula>
    </cfRule>
  </conditionalFormatting>
  <conditionalFormatting sqref="O58">
    <cfRule type="cellIs" dxfId="7207" priority="6905" operator="equal">
      <formula>"PMS"</formula>
    </cfRule>
    <cfRule type="containsText" dxfId="7206" priority="6906" operator="containsText" text="CMS">
      <formula>NOT(ISERROR(SEARCH("CMS",O58)))</formula>
    </cfRule>
    <cfRule type="cellIs" dxfId="7205" priority="6907" operator="equal">
      <formula>0</formula>
    </cfRule>
    <cfRule type="cellIs" dxfId="7204" priority="6908" operator="greaterThan">
      <formula>0</formula>
    </cfRule>
  </conditionalFormatting>
  <conditionalFormatting sqref="O58">
    <cfRule type="cellIs" dxfId="7203" priority="6901" operator="equal">
      <formula>"PMS"</formula>
    </cfRule>
    <cfRule type="containsText" dxfId="7202" priority="6902" operator="containsText" text="CMS">
      <formula>NOT(ISERROR(SEARCH("CMS",O58)))</formula>
    </cfRule>
    <cfRule type="cellIs" dxfId="7201" priority="6903" operator="equal">
      <formula>0</formula>
    </cfRule>
    <cfRule type="cellIs" dxfId="7200" priority="6904" operator="greaterThan">
      <formula>0</formula>
    </cfRule>
  </conditionalFormatting>
  <conditionalFormatting sqref="O58">
    <cfRule type="cellIs" dxfId="7199" priority="6897" operator="equal">
      <formula>"PMS"</formula>
    </cfRule>
    <cfRule type="containsText" dxfId="7198" priority="6898" operator="containsText" text="CMS">
      <formula>NOT(ISERROR(SEARCH("CMS",O58)))</formula>
    </cfRule>
    <cfRule type="cellIs" dxfId="7197" priority="6899" operator="equal">
      <formula>0</formula>
    </cfRule>
    <cfRule type="cellIs" dxfId="7196" priority="6900" operator="greaterThan">
      <formula>0</formula>
    </cfRule>
  </conditionalFormatting>
  <conditionalFormatting sqref="O58">
    <cfRule type="cellIs" dxfId="7195" priority="6893" operator="equal">
      <formula>"PMS"</formula>
    </cfRule>
    <cfRule type="containsText" dxfId="7194" priority="6894" operator="containsText" text="CMS">
      <formula>NOT(ISERROR(SEARCH("CMS",O58)))</formula>
    </cfRule>
    <cfRule type="cellIs" dxfId="7193" priority="6895" operator="equal">
      <formula>0</formula>
    </cfRule>
    <cfRule type="cellIs" dxfId="7192" priority="6896" operator="greaterThan">
      <formula>0</formula>
    </cfRule>
  </conditionalFormatting>
  <conditionalFormatting sqref="O58">
    <cfRule type="cellIs" dxfId="7191" priority="6889" operator="equal">
      <formula>"PMS"</formula>
    </cfRule>
    <cfRule type="containsText" dxfId="7190" priority="6890" operator="containsText" text="CMS">
      <formula>NOT(ISERROR(SEARCH("CMS",O58)))</formula>
    </cfRule>
    <cfRule type="cellIs" dxfId="7189" priority="6891" operator="equal">
      <formula>0</formula>
    </cfRule>
    <cfRule type="cellIs" dxfId="7188" priority="6892" operator="greaterThan">
      <formula>0</formula>
    </cfRule>
  </conditionalFormatting>
  <conditionalFormatting sqref="O58">
    <cfRule type="cellIs" dxfId="7187" priority="6885" operator="equal">
      <formula>"PMS"</formula>
    </cfRule>
    <cfRule type="containsText" dxfId="7186" priority="6886" operator="containsText" text="CMS">
      <formula>NOT(ISERROR(SEARCH("CMS",O58)))</formula>
    </cfRule>
    <cfRule type="cellIs" dxfId="7185" priority="6887" operator="equal">
      <formula>0</formula>
    </cfRule>
    <cfRule type="cellIs" dxfId="7184" priority="6888" operator="greaterThan">
      <formula>0</formula>
    </cfRule>
  </conditionalFormatting>
  <conditionalFormatting sqref="O58">
    <cfRule type="cellIs" dxfId="7183" priority="6881" operator="equal">
      <formula>"PMS"</formula>
    </cfRule>
    <cfRule type="containsText" dxfId="7182" priority="6882" operator="containsText" text="CMS">
      <formula>NOT(ISERROR(SEARCH("CMS",O58)))</formula>
    </cfRule>
    <cfRule type="cellIs" dxfId="7181" priority="6883" operator="equal">
      <formula>0</formula>
    </cfRule>
    <cfRule type="cellIs" dxfId="7180" priority="6884" operator="greaterThan">
      <formula>0</formula>
    </cfRule>
  </conditionalFormatting>
  <conditionalFormatting sqref="O58">
    <cfRule type="cellIs" dxfId="7179" priority="6877" operator="equal">
      <formula>"PMS"</formula>
    </cfRule>
    <cfRule type="containsText" dxfId="7178" priority="6878" operator="containsText" text="CMS">
      <formula>NOT(ISERROR(SEARCH("CMS",O58)))</formula>
    </cfRule>
    <cfRule type="cellIs" dxfId="7177" priority="6879" operator="equal">
      <formula>0</formula>
    </cfRule>
    <cfRule type="cellIs" dxfId="7176" priority="6880" operator="greaterThan">
      <formula>0</formula>
    </cfRule>
  </conditionalFormatting>
  <conditionalFormatting sqref="O58">
    <cfRule type="cellIs" dxfId="7175" priority="6873" operator="equal">
      <formula>"PMS"</formula>
    </cfRule>
    <cfRule type="containsText" dxfId="7174" priority="6874" operator="containsText" text="CMS">
      <formula>NOT(ISERROR(SEARCH("CMS",O58)))</formula>
    </cfRule>
    <cfRule type="cellIs" dxfId="7173" priority="6875" operator="equal">
      <formula>0</formula>
    </cfRule>
    <cfRule type="cellIs" dxfId="7172" priority="6876" operator="greaterThan">
      <formula>0</formula>
    </cfRule>
  </conditionalFormatting>
  <conditionalFormatting sqref="O58">
    <cfRule type="cellIs" dxfId="7171" priority="6869" operator="equal">
      <formula>"PMS"</formula>
    </cfRule>
    <cfRule type="containsText" dxfId="7170" priority="6870" operator="containsText" text="CMS">
      <formula>NOT(ISERROR(SEARCH("CMS",O58)))</formula>
    </cfRule>
    <cfRule type="cellIs" dxfId="7169" priority="6871" operator="equal">
      <formula>0</formula>
    </cfRule>
    <cfRule type="cellIs" dxfId="7168" priority="6872" operator="greaterThan">
      <formula>0</formula>
    </cfRule>
  </conditionalFormatting>
  <conditionalFormatting sqref="O58">
    <cfRule type="cellIs" dxfId="7167" priority="6865" operator="equal">
      <formula>"PMS"</formula>
    </cfRule>
    <cfRule type="containsText" dxfId="7166" priority="6866" operator="containsText" text="CMS">
      <formula>NOT(ISERROR(SEARCH("CMS",O58)))</formula>
    </cfRule>
    <cfRule type="cellIs" dxfId="7165" priority="6867" operator="equal">
      <formula>0</formula>
    </cfRule>
    <cfRule type="cellIs" dxfId="7164" priority="6868" operator="greaterThan">
      <formula>0</formula>
    </cfRule>
  </conditionalFormatting>
  <conditionalFormatting sqref="O58">
    <cfRule type="cellIs" dxfId="7163" priority="6861" operator="equal">
      <formula>"PMS"</formula>
    </cfRule>
    <cfRule type="containsText" dxfId="7162" priority="6862" operator="containsText" text="CMS">
      <formula>NOT(ISERROR(SEARCH("CMS",O58)))</formula>
    </cfRule>
    <cfRule type="cellIs" dxfId="7161" priority="6863" operator="equal">
      <formula>0</formula>
    </cfRule>
    <cfRule type="cellIs" dxfId="7160" priority="6864" operator="greaterThan">
      <formula>0</formula>
    </cfRule>
  </conditionalFormatting>
  <conditionalFormatting sqref="O58">
    <cfRule type="cellIs" dxfId="7159" priority="6857" operator="equal">
      <formula>"PMS"</formula>
    </cfRule>
    <cfRule type="containsText" dxfId="7158" priority="6858" operator="containsText" text="CMS">
      <formula>NOT(ISERROR(SEARCH("CMS",O58)))</formula>
    </cfRule>
    <cfRule type="cellIs" dxfId="7157" priority="6859" operator="equal">
      <formula>0</formula>
    </cfRule>
    <cfRule type="cellIs" dxfId="7156" priority="6860" operator="greaterThan">
      <formula>0</formula>
    </cfRule>
  </conditionalFormatting>
  <conditionalFormatting sqref="O58">
    <cfRule type="cellIs" dxfId="7155" priority="6853" operator="equal">
      <formula>"PMS"</formula>
    </cfRule>
    <cfRule type="containsText" dxfId="7154" priority="6854" operator="containsText" text="CMS">
      <formula>NOT(ISERROR(SEARCH("CMS",O58)))</formula>
    </cfRule>
    <cfRule type="cellIs" dxfId="7153" priority="6855" operator="equal">
      <formula>0</formula>
    </cfRule>
    <cfRule type="cellIs" dxfId="7152" priority="6856" operator="greaterThan">
      <formula>0</formula>
    </cfRule>
  </conditionalFormatting>
  <conditionalFormatting sqref="O58">
    <cfRule type="cellIs" dxfId="7151" priority="6849" operator="equal">
      <formula>"PMS"</formula>
    </cfRule>
    <cfRule type="containsText" dxfId="7150" priority="6850" operator="containsText" text="CMS">
      <formula>NOT(ISERROR(SEARCH("CMS",O58)))</formula>
    </cfRule>
    <cfRule type="cellIs" dxfId="7149" priority="6851" operator="equal">
      <formula>0</formula>
    </cfRule>
    <cfRule type="cellIs" dxfId="7148" priority="6852" operator="greaterThan">
      <formula>0</formula>
    </cfRule>
  </conditionalFormatting>
  <conditionalFormatting sqref="O58">
    <cfRule type="cellIs" dxfId="7147" priority="6845" operator="equal">
      <formula>"PMS"</formula>
    </cfRule>
    <cfRule type="containsText" dxfId="7146" priority="6846" operator="containsText" text="CMS">
      <formula>NOT(ISERROR(SEARCH("CMS",O58)))</formula>
    </cfRule>
    <cfRule type="cellIs" dxfId="7145" priority="6847" operator="equal">
      <formula>0</formula>
    </cfRule>
    <cfRule type="cellIs" dxfId="7144" priority="6848" operator="greaterThan">
      <formula>0</formula>
    </cfRule>
  </conditionalFormatting>
  <conditionalFormatting sqref="O58">
    <cfRule type="cellIs" dxfId="7143" priority="6841" operator="equal">
      <formula>"PMS"</formula>
    </cfRule>
    <cfRule type="containsText" dxfId="7142" priority="6842" operator="containsText" text="CMS">
      <formula>NOT(ISERROR(SEARCH("CMS",O58)))</formula>
    </cfRule>
    <cfRule type="cellIs" dxfId="7141" priority="6843" operator="equal">
      <formula>0</formula>
    </cfRule>
    <cfRule type="cellIs" dxfId="7140" priority="6844" operator="greaterThan">
      <formula>0</formula>
    </cfRule>
  </conditionalFormatting>
  <conditionalFormatting sqref="O58">
    <cfRule type="cellIs" dxfId="7139" priority="6837" operator="equal">
      <formula>"PMS"</formula>
    </cfRule>
    <cfRule type="containsText" dxfId="7138" priority="6838" operator="containsText" text="CMS">
      <formula>NOT(ISERROR(SEARCH("CMS",O58)))</formula>
    </cfRule>
    <cfRule type="cellIs" dxfId="7137" priority="6839" operator="equal">
      <formula>0</formula>
    </cfRule>
    <cfRule type="cellIs" dxfId="7136" priority="6840" operator="greaterThan">
      <formula>0</formula>
    </cfRule>
  </conditionalFormatting>
  <conditionalFormatting sqref="O58">
    <cfRule type="cellIs" dxfId="7135" priority="6833" operator="equal">
      <formula>"PMS"</formula>
    </cfRule>
    <cfRule type="containsText" dxfId="7134" priority="6834" operator="containsText" text="CMS">
      <formula>NOT(ISERROR(SEARCH("CMS",O58)))</formula>
    </cfRule>
    <cfRule type="cellIs" dxfId="7133" priority="6835" operator="equal">
      <formula>0</formula>
    </cfRule>
    <cfRule type="cellIs" dxfId="7132" priority="6836" operator="greaterThan">
      <formula>0</formula>
    </cfRule>
  </conditionalFormatting>
  <conditionalFormatting sqref="O58">
    <cfRule type="cellIs" dxfId="7131" priority="6829" operator="equal">
      <formula>"PMS"</formula>
    </cfRule>
    <cfRule type="containsText" dxfId="7130" priority="6830" operator="containsText" text="CMS">
      <formula>NOT(ISERROR(SEARCH("CMS",O58)))</formula>
    </cfRule>
    <cfRule type="cellIs" dxfId="7129" priority="6831" operator="equal">
      <formula>0</formula>
    </cfRule>
    <cfRule type="cellIs" dxfId="7128" priority="6832" operator="greaterThan">
      <formula>0</formula>
    </cfRule>
  </conditionalFormatting>
  <conditionalFormatting sqref="O58">
    <cfRule type="cellIs" dxfId="7127" priority="6825" operator="equal">
      <formula>"PMS"</formula>
    </cfRule>
    <cfRule type="containsText" dxfId="7126" priority="6826" operator="containsText" text="CMS">
      <formula>NOT(ISERROR(SEARCH("CMS",O58)))</formula>
    </cfRule>
    <cfRule type="cellIs" dxfId="7125" priority="6827" operator="equal">
      <formula>0</formula>
    </cfRule>
    <cfRule type="cellIs" dxfId="7124" priority="6828" operator="greaterThan">
      <formula>0</formula>
    </cfRule>
  </conditionalFormatting>
  <conditionalFormatting sqref="O58">
    <cfRule type="cellIs" dxfId="7123" priority="6821" operator="equal">
      <formula>"PMS"</formula>
    </cfRule>
    <cfRule type="containsText" dxfId="7122" priority="6822" operator="containsText" text="CMS">
      <formula>NOT(ISERROR(SEARCH("CMS",O58)))</formula>
    </cfRule>
    <cfRule type="cellIs" dxfId="7121" priority="6823" operator="equal">
      <formula>0</formula>
    </cfRule>
    <cfRule type="cellIs" dxfId="7120" priority="6824" operator="greaterThan">
      <formula>0</formula>
    </cfRule>
  </conditionalFormatting>
  <conditionalFormatting sqref="O58">
    <cfRule type="cellIs" dxfId="7119" priority="6817" operator="equal">
      <formula>"PMS"</formula>
    </cfRule>
    <cfRule type="containsText" dxfId="7118" priority="6818" operator="containsText" text="CMS">
      <formula>NOT(ISERROR(SEARCH("CMS",O58)))</formula>
    </cfRule>
    <cfRule type="cellIs" dxfId="7117" priority="6819" operator="equal">
      <formula>0</formula>
    </cfRule>
    <cfRule type="cellIs" dxfId="7116" priority="6820" operator="greaterThan">
      <formula>0</formula>
    </cfRule>
  </conditionalFormatting>
  <conditionalFormatting sqref="O58">
    <cfRule type="cellIs" dxfId="7115" priority="6813" operator="equal">
      <formula>"PMS"</formula>
    </cfRule>
    <cfRule type="containsText" dxfId="7114" priority="6814" operator="containsText" text="CMS">
      <formula>NOT(ISERROR(SEARCH("CMS",O58)))</formula>
    </cfRule>
    <cfRule type="cellIs" dxfId="7113" priority="6815" operator="equal">
      <formula>0</formula>
    </cfRule>
    <cfRule type="cellIs" dxfId="7112" priority="6816" operator="greaterThan">
      <formula>0</formula>
    </cfRule>
  </conditionalFormatting>
  <conditionalFormatting sqref="O58">
    <cfRule type="cellIs" dxfId="7111" priority="6809" operator="equal">
      <formula>"PMS"</formula>
    </cfRule>
    <cfRule type="containsText" dxfId="7110" priority="6810" operator="containsText" text="CMS">
      <formula>NOT(ISERROR(SEARCH("CMS",O58)))</formula>
    </cfRule>
    <cfRule type="cellIs" dxfId="7109" priority="6811" operator="equal">
      <formula>0</formula>
    </cfRule>
    <cfRule type="cellIs" dxfId="7108" priority="6812" operator="greaterThan">
      <formula>0</formula>
    </cfRule>
  </conditionalFormatting>
  <conditionalFormatting sqref="O58">
    <cfRule type="cellIs" dxfId="7107" priority="6805" operator="equal">
      <formula>"PMS"</formula>
    </cfRule>
    <cfRule type="containsText" dxfId="7106" priority="6806" operator="containsText" text="CMS">
      <formula>NOT(ISERROR(SEARCH("CMS",O58)))</formula>
    </cfRule>
    <cfRule type="cellIs" dxfId="7105" priority="6807" operator="equal">
      <formula>0</formula>
    </cfRule>
    <cfRule type="cellIs" dxfId="7104" priority="6808" operator="greaterThan">
      <formula>0</formula>
    </cfRule>
  </conditionalFormatting>
  <conditionalFormatting sqref="O58">
    <cfRule type="cellIs" dxfId="7103" priority="6801" operator="equal">
      <formula>"PMS"</formula>
    </cfRule>
    <cfRule type="containsText" dxfId="7102" priority="6802" operator="containsText" text="CMS">
      <formula>NOT(ISERROR(SEARCH("CMS",O58)))</formula>
    </cfRule>
    <cfRule type="cellIs" dxfId="7101" priority="6803" operator="equal">
      <formula>0</formula>
    </cfRule>
    <cfRule type="cellIs" dxfId="7100" priority="6804" operator="greaterThan">
      <formula>0</formula>
    </cfRule>
  </conditionalFormatting>
  <conditionalFormatting sqref="O58">
    <cfRule type="cellIs" dxfId="7099" priority="6797" operator="equal">
      <formula>"PMS"</formula>
    </cfRule>
    <cfRule type="containsText" dxfId="7098" priority="6798" operator="containsText" text="CMS">
      <formula>NOT(ISERROR(SEARCH("CMS",O58)))</formula>
    </cfRule>
    <cfRule type="cellIs" dxfId="7097" priority="6799" operator="equal">
      <formula>0</formula>
    </cfRule>
    <cfRule type="cellIs" dxfId="7096" priority="6800" operator="greaterThan">
      <formula>0</formula>
    </cfRule>
  </conditionalFormatting>
  <conditionalFormatting sqref="O58">
    <cfRule type="cellIs" dxfId="7095" priority="6793" operator="equal">
      <formula>"PMS"</formula>
    </cfRule>
    <cfRule type="containsText" dxfId="7094" priority="6794" operator="containsText" text="CMS">
      <formula>NOT(ISERROR(SEARCH("CMS",O58)))</formula>
    </cfRule>
    <cfRule type="cellIs" dxfId="7093" priority="6795" operator="equal">
      <formula>0</formula>
    </cfRule>
    <cfRule type="cellIs" dxfId="7092" priority="6796" operator="greaterThan">
      <formula>0</formula>
    </cfRule>
  </conditionalFormatting>
  <conditionalFormatting sqref="O58">
    <cfRule type="cellIs" dxfId="7091" priority="6789" operator="equal">
      <formula>"PMS"</formula>
    </cfRule>
    <cfRule type="containsText" dxfId="7090" priority="6790" operator="containsText" text="CMS">
      <formula>NOT(ISERROR(SEARCH("CMS",O58)))</formula>
    </cfRule>
    <cfRule type="cellIs" dxfId="7089" priority="6791" operator="equal">
      <formula>0</formula>
    </cfRule>
    <cfRule type="cellIs" dxfId="7088" priority="6792" operator="greaterThan">
      <formula>0</formula>
    </cfRule>
  </conditionalFormatting>
  <conditionalFormatting sqref="O58">
    <cfRule type="cellIs" dxfId="7087" priority="6785" operator="equal">
      <formula>"PMS"</formula>
    </cfRule>
    <cfRule type="containsText" dxfId="7086" priority="6786" operator="containsText" text="CMS">
      <formula>NOT(ISERROR(SEARCH("CMS",O58)))</formula>
    </cfRule>
    <cfRule type="cellIs" dxfId="7085" priority="6787" operator="equal">
      <formula>0</formula>
    </cfRule>
    <cfRule type="cellIs" dxfId="7084" priority="6788" operator="greaterThan">
      <formula>0</formula>
    </cfRule>
  </conditionalFormatting>
  <conditionalFormatting sqref="O58">
    <cfRule type="cellIs" dxfId="7083" priority="6781" operator="equal">
      <formula>"PMS"</formula>
    </cfRule>
    <cfRule type="containsText" dxfId="7082" priority="6782" operator="containsText" text="CMS">
      <formula>NOT(ISERROR(SEARCH("CMS",O58)))</formula>
    </cfRule>
    <cfRule type="cellIs" dxfId="7081" priority="6783" operator="equal">
      <formula>0</formula>
    </cfRule>
    <cfRule type="cellIs" dxfId="7080" priority="6784" operator="greaterThan">
      <formula>0</formula>
    </cfRule>
  </conditionalFormatting>
  <conditionalFormatting sqref="O58">
    <cfRule type="cellIs" dxfId="7079" priority="6777" operator="equal">
      <formula>"PMS"</formula>
    </cfRule>
    <cfRule type="containsText" dxfId="7078" priority="6778" operator="containsText" text="CMS">
      <formula>NOT(ISERROR(SEARCH("CMS",O58)))</formula>
    </cfRule>
    <cfRule type="cellIs" dxfId="7077" priority="6779" operator="equal">
      <formula>0</formula>
    </cfRule>
    <cfRule type="cellIs" dxfId="7076" priority="6780" operator="greaterThan">
      <formula>0</formula>
    </cfRule>
  </conditionalFormatting>
  <conditionalFormatting sqref="O58">
    <cfRule type="cellIs" dxfId="7075" priority="6773" operator="equal">
      <formula>"PMS"</formula>
    </cfRule>
    <cfRule type="containsText" dxfId="7074" priority="6774" operator="containsText" text="CMS">
      <formula>NOT(ISERROR(SEARCH("CMS",O58)))</formula>
    </cfRule>
    <cfRule type="cellIs" dxfId="7073" priority="6775" operator="equal">
      <formula>0</formula>
    </cfRule>
    <cfRule type="cellIs" dxfId="7072" priority="6776" operator="greaterThan">
      <formula>0</formula>
    </cfRule>
  </conditionalFormatting>
  <conditionalFormatting sqref="O57">
    <cfRule type="cellIs" dxfId="7071" priority="6769" operator="equal">
      <formula>"PMS"</formula>
    </cfRule>
    <cfRule type="containsText" dxfId="7070" priority="6770" operator="containsText" text="CMS">
      <formula>NOT(ISERROR(SEARCH("CMS",O57)))</formula>
    </cfRule>
    <cfRule type="cellIs" dxfId="7069" priority="6771" operator="equal">
      <formula>0</formula>
    </cfRule>
    <cfRule type="cellIs" dxfId="7068" priority="6772" operator="greaterThan">
      <formula>0</formula>
    </cfRule>
  </conditionalFormatting>
  <conditionalFormatting sqref="O57">
    <cfRule type="cellIs" dxfId="7067" priority="6765" operator="equal">
      <formula>"PMS"</formula>
    </cfRule>
    <cfRule type="containsText" dxfId="7066" priority="6766" operator="containsText" text="CMS">
      <formula>NOT(ISERROR(SEARCH("CMS",O57)))</formula>
    </cfRule>
    <cfRule type="cellIs" dxfId="7065" priority="6767" operator="equal">
      <formula>0</formula>
    </cfRule>
    <cfRule type="cellIs" dxfId="7064" priority="6768" operator="greaterThan">
      <formula>0</formula>
    </cfRule>
  </conditionalFormatting>
  <conditionalFormatting sqref="O57">
    <cfRule type="cellIs" dxfId="7063" priority="6761" operator="equal">
      <formula>"PMS"</formula>
    </cfRule>
    <cfRule type="containsText" dxfId="7062" priority="6762" operator="containsText" text="CMS">
      <formula>NOT(ISERROR(SEARCH("CMS",O57)))</formula>
    </cfRule>
    <cfRule type="cellIs" dxfId="7061" priority="6763" operator="equal">
      <formula>0</formula>
    </cfRule>
    <cfRule type="cellIs" dxfId="7060" priority="6764" operator="greaterThan">
      <formula>0</formula>
    </cfRule>
  </conditionalFormatting>
  <conditionalFormatting sqref="O57">
    <cfRule type="cellIs" dxfId="7059" priority="6757" operator="equal">
      <formula>"PMS"</formula>
    </cfRule>
    <cfRule type="containsText" dxfId="7058" priority="6758" operator="containsText" text="CMS">
      <formula>NOT(ISERROR(SEARCH("CMS",O57)))</formula>
    </cfRule>
    <cfRule type="cellIs" dxfId="7057" priority="6759" operator="equal">
      <formula>0</formula>
    </cfRule>
    <cfRule type="cellIs" dxfId="7056" priority="6760" operator="greaterThan">
      <formula>0</formula>
    </cfRule>
  </conditionalFormatting>
  <conditionalFormatting sqref="O57">
    <cfRule type="cellIs" dxfId="7055" priority="6753" operator="equal">
      <formula>"PMS"</formula>
    </cfRule>
    <cfRule type="containsText" dxfId="7054" priority="6754" operator="containsText" text="CMS">
      <formula>NOT(ISERROR(SEARCH("CMS",O57)))</formula>
    </cfRule>
    <cfRule type="cellIs" dxfId="7053" priority="6755" operator="equal">
      <formula>0</formula>
    </cfRule>
    <cfRule type="cellIs" dxfId="7052" priority="6756" operator="greaterThan">
      <formula>0</formula>
    </cfRule>
  </conditionalFormatting>
  <conditionalFormatting sqref="O57">
    <cfRule type="cellIs" dxfId="7051" priority="6749" operator="equal">
      <formula>"PMS"</formula>
    </cfRule>
    <cfRule type="containsText" dxfId="7050" priority="6750" operator="containsText" text="CMS">
      <formula>NOT(ISERROR(SEARCH("CMS",O57)))</formula>
    </cfRule>
    <cfRule type="cellIs" dxfId="7049" priority="6751" operator="equal">
      <formula>0</formula>
    </cfRule>
    <cfRule type="cellIs" dxfId="7048" priority="6752" operator="greaterThan">
      <formula>0</formula>
    </cfRule>
  </conditionalFormatting>
  <conditionalFormatting sqref="O57">
    <cfRule type="cellIs" dxfId="7047" priority="6745" operator="equal">
      <formula>"PMS"</formula>
    </cfRule>
    <cfRule type="containsText" dxfId="7046" priority="6746" operator="containsText" text="CMS">
      <formula>NOT(ISERROR(SEARCH("CMS",O57)))</formula>
    </cfRule>
    <cfRule type="cellIs" dxfId="7045" priority="6747" operator="equal">
      <formula>0</formula>
    </cfRule>
    <cfRule type="cellIs" dxfId="7044" priority="6748" operator="greaterThan">
      <formula>0</formula>
    </cfRule>
  </conditionalFormatting>
  <conditionalFormatting sqref="O57">
    <cfRule type="cellIs" dxfId="7043" priority="6741" operator="equal">
      <formula>"PMS"</formula>
    </cfRule>
    <cfRule type="containsText" dxfId="7042" priority="6742" operator="containsText" text="CMS">
      <formula>NOT(ISERROR(SEARCH("CMS",O57)))</formula>
    </cfRule>
    <cfRule type="cellIs" dxfId="7041" priority="6743" operator="equal">
      <formula>0</formula>
    </cfRule>
    <cfRule type="cellIs" dxfId="7040" priority="6744" operator="greaterThan">
      <formula>0</formula>
    </cfRule>
  </conditionalFormatting>
  <conditionalFormatting sqref="O57">
    <cfRule type="cellIs" dxfId="7039" priority="6737" operator="equal">
      <formula>"PMS"</formula>
    </cfRule>
    <cfRule type="containsText" dxfId="7038" priority="6738" operator="containsText" text="CMS">
      <formula>NOT(ISERROR(SEARCH("CMS",O57)))</formula>
    </cfRule>
    <cfRule type="cellIs" dxfId="7037" priority="6739" operator="equal">
      <formula>0</formula>
    </cfRule>
    <cfRule type="cellIs" dxfId="7036" priority="6740" operator="greaterThan">
      <formula>0</formula>
    </cfRule>
  </conditionalFormatting>
  <conditionalFormatting sqref="O57">
    <cfRule type="cellIs" dxfId="7035" priority="6733" operator="equal">
      <formula>"PMS"</formula>
    </cfRule>
    <cfRule type="containsText" dxfId="7034" priority="6734" operator="containsText" text="CMS">
      <formula>NOT(ISERROR(SEARCH("CMS",O57)))</formula>
    </cfRule>
    <cfRule type="cellIs" dxfId="7033" priority="6735" operator="equal">
      <formula>0</formula>
    </cfRule>
    <cfRule type="cellIs" dxfId="7032" priority="6736" operator="greaterThan">
      <formula>0</formula>
    </cfRule>
  </conditionalFormatting>
  <conditionalFormatting sqref="O57">
    <cfRule type="cellIs" dxfId="7031" priority="6729" operator="equal">
      <formula>"PMS"</formula>
    </cfRule>
    <cfRule type="containsText" dxfId="7030" priority="6730" operator="containsText" text="CMS">
      <formula>NOT(ISERROR(SEARCH("CMS",O57)))</formula>
    </cfRule>
    <cfRule type="cellIs" dxfId="7029" priority="6731" operator="equal">
      <formula>0</formula>
    </cfRule>
    <cfRule type="cellIs" dxfId="7028" priority="6732" operator="greaterThan">
      <formula>0</formula>
    </cfRule>
  </conditionalFormatting>
  <conditionalFormatting sqref="O57">
    <cfRule type="cellIs" dxfId="7027" priority="6725" operator="equal">
      <formula>"PMS"</formula>
    </cfRule>
    <cfRule type="containsText" dxfId="7026" priority="6726" operator="containsText" text="CMS">
      <formula>NOT(ISERROR(SEARCH("CMS",O57)))</formula>
    </cfRule>
    <cfRule type="cellIs" dxfId="7025" priority="6727" operator="equal">
      <formula>0</formula>
    </cfRule>
    <cfRule type="cellIs" dxfId="7024" priority="6728" operator="greaterThan">
      <formula>0</formula>
    </cfRule>
  </conditionalFormatting>
  <conditionalFormatting sqref="O57">
    <cfRule type="cellIs" dxfId="7023" priority="6721" operator="equal">
      <formula>"PMS"</formula>
    </cfRule>
    <cfRule type="containsText" dxfId="7022" priority="6722" operator="containsText" text="CMS">
      <formula>NOT(ISERROR(SEARCH("CMS",O57)))</formula>
    </cfRule>
    <cfRule type="cellIs" dxfId="7021" priority="6723" operator="equal">
      <formula>0</formula>
    </cfRule>
    <cfRule type="cellIs" dxfId="7020" priority="6724" operator="greaterThan">
      <formula>0</formula>
    </cfRule>
  </conditionalFormatting>
  <conditionalFormatting sqref="O57">
    <cfRule type="cellIs" dxfId="7019" priority="6717" operator="equal">
      <formula>"PMS"</formula>
    </cfRule>
    <cfRule type="containsText" dxfId="7018" priority="6718" operator="containsText" text="CMS">
      <formula>NOT(ISERROR(SEARCH("CMS",O57)))</formula>
    </cfRule>
    <cfRule type="cellIs" dxfId="7017" priority="6719" operator="equal">
      <formula>0</formula>
    </cfRule>
    <cfRule type="cellIs" dxfId="7016" priority="6720" operator="greaterThan">
      <formula>0</formula>
    </cfRule>
  </conditionalFormatting>
  <conditionalFormatting sqref="O57">
    <cfRule type="cellIs" dxfId="7015" priority="6713" operator="equal">
      <formula>"PMS"</formula>
    </cfRule>
    <cfRule type="containsText" dxfId="7014" priority="6714" operator="containsText" text="CMS">
      <formula>NOT(ISERROR(SEARCH("CMS",O57)))</formula>
    </cfRule>
    <cfRule type="cellIs" dxfId="7013" priority="6715" operator="equal">
      <formula>0</formula>
    </cfRule>
    <cfRule type="cellIs" dxfId="7012" priority="6716" operator="greaterThan">
      <formula>0</formula>
    </cfRule>
  </conditionalFormatting>
  <conditionalFormatting sqref="O57">
    <cfRule type="cellIs" dxfId="7011" priority="6709" operator="equal">
      <formula>"PMS"</formula>
    </cfRule>
    <cfRule type="containsText" dxfId="7010" priority="6710" operator="containsText" text="CMS">
      <formula>NOT(ISERROR(SEARCH("CMS",O57)))</formula>
    </cfRule>
    <cfRule type="cellIs" dxfId="7009" priority="6711" operator="equal">
      <formula>0</formula>
    </cfRule>
    <cfRule type="cellIs" dxfId="7008" priority="6712" operator="greaterThan">
      <formula>0</formula>
    </cfRule>
  </conditionalFormatting>
  <conditionalFormatting sqref="O57">
    <cfRule type="cellIs" dxfId="7007" priority="6705" operator="equal">
      <formula>"PMS"</formula>
    </cfRule>
    <cfRule type="containsText" dxfId="7006" priority="6706" operator="containsText" text="CMS">
      <formula>NOT(ISERROR(SEARCH("CMS",O57)))</formula>
    </cfRule>
    <cfRule type="cellIs" dxfId="7005" priority="6707" operator="equal">
      <formula>0</formula>
    </cfRule>
    <cfRule type="cellIs" dxfId="7004" priority="6708" operator="greaterThan">
      <formula>0</formula>
    </cfRule>
  </conditionalFormatting>
  <conditionalFormatting sqref="O57">
    <cfRule type="cellIs" dxfId="7003" priority="6701" operator="equal">
      <formula>"PMS"</formula>
    </cfRule>
    <cfRule type="containsText" dxfId="7002" priority="6702" operator="containsText" text="CMS">
      <formula>NOT(ISERROR(SEARCH("CMS",O57)))</formula>
    </cfRule>
    <cfRule type="cellIs" dxfId="7001" priority="6703" operator="equal">
      <formula>0</formula>
    </cfRule>
    <cfRule type="cellIs" dxfId="7000" priority="6704" operator="greaterThan">
      <formula>0</formula>
    </cfRule>
  </conditionalFormatting>
  <conditionalFormatting sqref="O57">
    <cfRule type="cellIs" dxfId="6999" priority="6697" operator="equal">
      <formula>"PMS"</formula>
    </cfRule>
    <cfRule type="containsText" dxfId="6998" priority="6698" operator="containsText" text="CMS">
      <formula>NOT(ISERROR(SEARCH("CMS",O57)))</formula>
    </cfRule>
    <cfRule type="cellIs" dxfId="6997" priority="6699" operator="equal">
      <formula>0</formula>
    </cfRule>
    <cfRule type="cellIs" dxfId="6996" priority="6700" operator="greaterThan">
      <formula>0</formula>
    </cfRule>
  </conditionalFormatting>
  <conditionalFormatting sqref="O57">
    <cfRule type="cellIs" dxfId="6995" priority="6693" operator="equal">
      <formula>"PMS"</formula>
    </cfRule>
    <cfRule type="containsText" dxfId="6994" priority="6694" operator="containsText" text="CMS">
      <formula>NOT(ISERROR(SEARCH("CMS",O57)))</formula>
    </cfRule>
    <cfRule type="cellIs" dxfId="6993" priority="6695" operator="equal">
      <formula>0</formula>
    </cfRule>
    <cfRule type="cellIs" dxfId="6992" priority="6696" operator="greaterThan">
      <formula>0</formula>
    </cfRule>
  </conditionalFormatting>
  <conditionalFormatting sqref="O57">
    <cfRule type="cellIs" dxfId="6991" priority="6689" operator="equal">
      <formula>"PMS"</formula>
    </cfRule>
    <cfRule type="containsText" dxfId="6990" priority="6690" operator="containsText" text="CMS">
      <formula>NOT(ISERROR(SEARCH("CMS",O57)))</formula>
    </cfRule>
    <cfRule type="cellIs" dxfId="6989" priority="6691" operator="equal">
      <formula>0</formula>
    </cfRule>
    <cfRule type="cellIs" dxfId="6988" priority="6692" operator="greaterThan">
      <formula>0</formula>
    </cfRule>
  </conditionalFormatting>
  <conditionalFormatting sqref="O57">
    <cfRule type="cellIs" dxfId="6987" priority="6685" operator="equal">
      <formula>"PMS"</formula>
    </cfRule>
    <cfRule type="containsText" dxfId="6986" priority="6686" operator="containsText" text="CMS">
      <formula>NOT(ISERROR(SEARCH("CMS",O57)))</formula>
    </cfRule>
    <cfRule type="cellIs" dxfId="6985" priority="6687" operator="equal">
      <formula>0</formula>
    </cfRule>
    <cfRule type="cellIs" dxfId="6984" priority="6688" operator="greaterThan">
      <formula>0</formula>
    </cfRule>
  </conditionalFormatting>
  <conditionalFormatting sqref="O57">
    <cfRule type="cellIs" dxfId="6983" priority="6681" operator="equal">
      <formula>"PMS"</formula>
    </cfRule>
    <cfRule type="containsText" dxfId="6982" priority="6682" operator="containsText" text="CMS">
      <formula>NOT(ISERROR(SEARCH("CMS",O57)))</formula>
    </cfRule>
    <cfRule type="cellIs" dxfId="6981" priority="6683" operator="equal">
      <formula>0</formula>
    </cfRule>
    <cfRule type="cellIs" dxfId="6980" priority="6684" operator="greaterThan">
      <formula>0</formula>
    </cfRule>
  </conditionalFormatting>
  <conditionalFormatting sqref="O57">
    <cfRule type="cellIs" dxfId="6979" priority="6677" operator="equal">
      <formula>"PMS"</formula>
    </cfRule>
    <cfRule type="containsText" dxfId="6978" priority="6678" operator="containsText" text="CMS">
      <formula>NOT(ISERROR(SEARCH("CMS",O57)))</formula>
    </cfRule>
    <cfRule type="cellIs" dxfId="6977" priority="6679" operator="equal">
      <formula>0</formula>
    </cfRule>
    <cfRule type="cellIs" dxfId="6976" priority="6680" operator="greaterThan">
      <formula>0</formula>
    </cfRule>
  </conditionalFormatting>
  <conditionalFormatting sqref="O57">
    <cfRule type="cellIs" dxfId="6975" priority="6673" operator="equal">
      <formula>"PMS"</formula>
    </cfRule>
    <cfRule type="containsText" dxfId="6974" priority="6674" operator="containsText" text="CMS">
      <formula>NOT(ISERROR(SEARCH("CMS",O57)))</formula>
    </cfRule>
    <cfRule type="cellIs" dxfId="6973" priority="6675" operator="equal">
      <formula>0</formula>
    </cfRule>
    <cfRule type="cellIs" dxfId="6972" priority="6676" operator="greaterThan">
      <formula>0</formula>
    </cfRule>
  </conditionalFormatting>
  <conditionalFormatting sqref="O57">
    <cfRule type="cellIs" dxfId="6971" priority="6669" operator="equal">
      <formula>"PMS"</formula>
    </cfRule>
    <cfRule type="containsText" dxfId="6970" priority="6670" operator="containsText" text="CMS">
      <formula>NOT(ISERROR(SEARCH("CMS",O57)))</formula>
    </cfRule>
    <cfRule type="cellIs" dxfId="6969" priority="6671" operator="equal">
      <formula>0</formula>
    </cfRule>
    <cfRule type="cellIs" dxfId="6968" priority="6672" operator="greaterThan">
      <formula>0</formula>
    </cfRule>
  </conditionalFormatting>
  <conditionalFormatting sqref="O57">
    <cfRule type="cellIs" dxfId="6967" priority="6665" operator="equal">
      <formula>"PMS"</formula>
    </cfRule>
    <cfRule type="containsText" dxfId="6966" priority="6666" operator="containsText" text="CMS">
      <formula>NOT(ISERROR(SEARCH("CMS",O57)))</formula>
    </cfRule>
    <cfRule type="cellIs" dxfId="6965" priority="6667" operator="equal">
      <formula>0</formula>
    </cfRule>
    <cfRule type="cellIs" dxfId="6964" priority="6668" operator="greaterThan">
      <formula>0</formula>
    </cfRule>
  </conditionalFormatting>
  <conditionalFormatting sqref="O57">
    <cfRule type="cellIs" dxfId="6963" priority="6661" operator="equal">
      <formula>"PMS"</formula>
    </cfRule>
    <cfRule type="containsText" dxfId="6962" priority="6662" operator="containsText" text="CMS">
      <formula>NOT(ISERROR(SEARCH("CMS",O57)))</formula>
    </cfRule>
    <cfRule type="cellIs" dxfId="6961" priority="6663" operator="equal">
      <formula>0</formula>
    </cfRule>
    <cfRule type="cellIs" dxfId="6960" priority="6664" operator="greaterThan">
      <formula>0</formula>
    </cfRule>
  </conditionalFormatting>
  <conditionalFormatting sqref="O57">
    <cfRule type="cellIs" dxfId="6959" priority="6657" operator="equal">
      <formula>"PMS"</formula>
    </cfRule>
    <cfRule type="containsText" dxfId="6958" priority="6658" operator="containsText" text="CMS">
      <formula>NOT(ISERROR(SEARCH("CMS",O57)))</formula>
    </cfRule>
    <cfRule type="cellIs" dxfId="6957" priority="6659" operator="equal">
      <formula>0</formula>
    </cfRule>
    <cfRule type="cellIs" dxfId="6956" priority="6660" operator="greaterThan">
      <formula>0</formula>
    </cfRule>
  </conditionalFormatting>
  <conditionalFormatting sqref="O57">
    <cfRule type="cellIs" dxfId="6955" priority="6653" operator="equal">
      <formula>"PMS"</formula>
    </cfRule>
    <cfRule type="containsText" dxfId="6954" priority="6654" operator="containsText" text="CMS">
      <formula>NOT(ISERROR(SEARCH("CMS",O57)))</formula>
    </cfRule>
    <cfRule type="cellIs" dxfId="6953" priority="6655" operator="equal">
      <formula>0</formula>
    </cfRule>
    <cfRule type="cellIs" dxfId="6952" priority="6656" operator="greaterThan">
      <formula>0</formula>
    </cfRule>
  </conditionalFormatting>
  <conditionalFormatting sqref="O57">
    <cfRule type="cellIs" dxfId="6951" priority="6649" operator="equal">
      <formula>"PMS"</formula>
    </cfRule>
    <cfRule type="containsText" dxfId="6950" priority="6650" operator="containsText" text="CMS">
      <formula>NOT(ISERROR(SEARCH("CMS",O57)))</formula>
    </cfRule>
    <cfRule type="cellIs" dxfId="6949" priority="6651" operator="equal">
      <formula>0</formula>
    </cfRule>
    <cfRule type="cellIs" dxfId="6948" priority="6652" operator="greaterThan">
      <formula>0</formula>
    </cfRule>
  </conditionalFormatting>
  <conditionalFormatting sqref="O57">
    <cfRule type="cellIs" dxfId="6947" priority="6645" operator="equal">
      <formula>"PMS"</formula>
    </cfRule>
    <cfRule type="containsText" dxfId="6946" priority="6646" operator="containsText" text="CMS">
      <formula>NOT(ISERROR(SEARCH("CMS",O57)))</formula>
    </cfRule>
    <cfRule type="cellIs" dxfId="6945" priority="6647" operator="equal">
      <formula>0</formula>
    </cfRule>
    <cfRule type="cellIs" dxfId="6944" priority="6648" operator="greaterThan">
      <formula>0</formula>
    </cfRule>
  </conditionalFormatting>
  <conditionalFormatting sqref="O57">
    <cfRule type="cellIs" dxfId="6943" priority="6641" operator="equal">
      <formula>"PMS"</formula>
    </cfRule>
    <cfRule type="containsText" dxfId="6942" priority="6642" operator="containsText" text="CMS">
      <formula>NOT(ISERROR(SEARCH("CMS",O57)))</formula>
    </cfRule>
    <cfRule type="cellIs" dxfId="6941" priority="6643" operator="equal">
      <formula>0</formula>
    </cfRule>
    <cfRule type="cellIs" dxfId="6940" priority="6644" operator="greaterThan">
      <formula>0</formula>
    </cfRule>
  </conditionalFormatting>
  <conditionalFormatting sqref="O57">
    <cfRule type="cellIs" dxfId="6939" priority="6637" operator="equal">
      <formula>"PMS"</formula>
    </cfRule>
    <cfRule type="containsText" dxfId="6938" priority="6638" operator="containsText" text="CMS">
      <formula>NOT(ISERROR(SEARCH("CMS",O57)))</formula>
    </cfRule>
    <cfRule type="cellIs" dxfId="6937" priority="6639" operator="equal">
      <formula>0</formula>
    </cfRule>
    <cfRule type="cellIs" dxfId="6936" priority="6640" operator="greaterThan">
      <formula>0</formula>
    </cfRule>
  </conditionalFormatting>
  <conditionalFormatting sqref="O57">
    <cfRule type="cellIs" dxfId="6935" priority="6633" operator="equal">
      <formula>"PMS"</formula>
    </cfRule>
    <cfRule type="containsText" dxfId="6934" priority="6634" operator="containsText" text="CMS">
      <formula>NOT(ISERROR(SEARCH("CMS",O57)))</formula>
    </cfRule>
    <cfRule type="cellIs" dxfId="6933" priority="6635" operator="equal">
      <formula>0</formula>
    </cfRule>
    <cfRule type="cellIs" dxfId="6932" priority="6636" operator="greaterThan">
      <formula>0</formula>
    </cfRule>
  </conditionalFormatting>
  <conditionalFormatting sqref="O57">
    <cfRule type="cellIs" dxfId="6931" priority="6629" operator="equal">
      <formula>"PMS"</formula>
    </cfRule>
    <cfRule type="containsText" dxfId="6930" priority="6630" operator="containsText" text="CMS">
      <formula>NOT(ISERROR(SEARCH("CMS",O57)))</formula>
    </cfRule>
    <cfRule type="cellIs" dxfId="6929" priority="6631" operator="equal">
      <formula>0</formula>
    </cfRule>
    <cfRule type="cellIs" dxfId="6928" priority="6632" operator="greaterThan">
      <formula>0</formula>
    </cfRule>
  </conditionalFormatting>
  <conditionalFormatting sqref="O57">
    <cfRule type="cellIs" dxfId="6927" priority="6625" operator="equal">
      <formula>"PMS"</formula>
    </cfRule>
    <cfRule type="containsText" dxfId="6926" priority="6626" operator="containsText" text="CMS">
      <formula>NOT(ISERROR(SEARCH("CMS",O57)))</formula>
    </cfRule>
    <cfRule type="cellIs" dxfId="6925" priority="6627" operator="equal">
      <formula>0</formula>
    </cfRule>
    <cfRule type="cellIs" dxfId="6924" priority="6628" operator="greaterThan">
      <formula>0</formula>
    </cfRule>
  </conditionalFormatting>
  <conditionalFormatting sqref="O57">
    <cfRule type="cellIs" dxfId="6923" priority="6621" operator="equal">
      <formula>"PMS"</formula>
    </cfRule>
    <cfRule type="containsText" dxfId="6922" priority="6622" operator="containsText" text="CMS">
      <formula>NOT(ISERROR(SEARCH("CMS",O57)))</formula>
    </cfRule>
    <cfRule type="cellIs" dxfId="6921" priority="6623" operator="equal">
      <formula>0</formula>
    </cfRule>
    <cfRule type="cellIs" dxfId="6920" priority="6624" operator="greaterThan">
      <formula>0</formula>
    </cfRule>
  </conditionalFormatting>
  <conditionalFormatting sqref="O57">
    <cfRule type="cellIs" dxfId="6919" priority="6617" operator="equal">
      <formula>"PMS"</formula>
    </cfRule>
    <cfRule type="containsText" dxfId="6918" priority="6618" operator="containsText" text="CMS">
      <formula>NOT(ISERROR(SEARCH("CMS",O57)))</formula>
    </cfRule>
    <cfRule type="cellIs" dxfId="6917" priority="6619" operator="equal">
      <formula>0</formula>
    </cfRule>
    <cfRule type="cellIs" dxfId="6916" priority="6620" operator="greaterThan">
      <formula>0</formula>
    </cfRule>
  </conditionalFormatting>
  <conditionalFormatting sqref="O57">
    <cfRule type="cellIs" dxfId="6915" priority="6613" operator="equal">
      <formula>"PMS"</formula>
    </cfRule>
    <cfRule type="containsText" dxfId="6914" priority="6614" operator="containsText" text="CMS">
      <formula>NOT(ISERROR(SEARCH("CMS",O57)))</formula>
    </cfRule>
    <cfRule type="cellIs" dxfId="6913" priority="6615" operator="equal">
      <formula>0</formula>
    </cfRule>
    <cfRule type="cellIs" dxfId="6912" priority="6616" operator="greaterThan">
      <formula>0</formula>
    </cfRule>
  </conditionalFormatting>
  <conditionalFormatting sqref="O57">
    <cfRule type="cellIs" dxfId="6911" priority="6609" operator="equal">
      <formula>"PMS"</formula>
    </cfRule>
    <cfRule type="containsText" dxfId="6910" priority="6610" operator="containsText" text="CMS">
      <formula>NOT(ISERROR(SEARCH("CMS",O57)))</formula>
    </cfRule>
    <cfRule type="cellIs" dxfId="6909" priority="6611" operator="equal">
      <formula>0</formula>
    </cfRule>
    <cfRule type="cellIs" dxfId="6908" priority="6612" operator="greaterThan">
      <formula>0</formula>
    </cfRule>
  </conditionalFormatting>
  <conditionalFormatting sqref="O57">
    <cfRule type="cellIs" dxfId="6907" priority="6605" operator="equal">
      <formula>"PMS"</formula>
    </cfRule>
    <cfRule type="containsText" dxfId="6906" priority="6606" operator="containsText" text="CMS">
      <formula>NOT(ISERROR(SEARCH("CMS",O57)))</formula>
    </cfRule>
    <cfRule type="cellIs" dxfId="6905" priority="6607" operator="equal">
      <formula>0</formula>
    </cfRule>
    <cfRule type="cellIs" dxfId="6904" priority="6608" operator="greaterThan">
      <formula>0</formula>
    </cfRule>
  </conditionalFormatting>
  <conditionalFormatting sqref="O57">
    <cfRule type="cellIs" dxfId="6903" priority="6601" operator="equal">
      <formula>"PMS"</formula>
    </cfRule>
    <cfRule type="containsText" dxfId="6902" priority="6602" operator="containsText" text="CMS">
      <formula>NOT(ISERROR(SEARCH("CMS",O57)))</formula>
    </cfRule>
    <cfRule type="cellIs" dxfId="6901" priority="6603" operator="equal">
      <formula>0</formula>
    </cfRule>
    <cfRule type="cellIs" dxfId="6900" priority="6604" operator="greaterThan">
      <formula>0</formula>
    </cfRule>
  </conditionalFormatting>
  <conditionalFormatting sqref="O57">
    <cfRule type="cellIs" dxfId="6899" priority="6597" operator="equal">
      <formula>"PMS"</formula>
    </cfRule>
    <cfRule type="containsText" dxfId="6898" priority="6598" operator="containsText" text="CMS">
      <formula>NOT(ISERROR(SEARCH("CMS",O57)))</formula>
    </cfRule>
    <cfRule type="cellIs" dxfId="6897" priority="6599" operator="equal">
      <formula>0</formula>
    </cfRule>
    <cfRule type="cellIs" dxfId="6896" priority="6600" operator="greaterThan">
      <formula>0</formula>
    </cfRule>
  </conditionalFormatting>
  <conditionalFormatting sqref="O57">
    <cfRule type="cellIs" dxfId="6895" priority="6593" operator="equal">
      <formula>"PMS"</formula>
    </cfRule>
    <cfRule type="containsText" dxfId="6894" priority="6594" operator="containsText" text="CMS">
      <formula>NOT(ISERROR(SEARCH("CMS",O57)))</formula>
    </cfRule>
    <cfRule type="cellIs" dxfId="6893" priority="6595" operator="equal">
      <formula>0</formula>
    </cfRule>
    <cfRule type="cellIs" dxfId="6892" priority="6596" operator="greaterThan">
      <formula>0</formula>
    </cfRule>
  </conditionalFormatting>
  <conditionalFormatting sqref="O57">
    <cfRule type="cellIs" dxfId="6891" priority="6589" operator="equal">
      <formula>"PMS"</formula>
    </cfRule>
    <cfRule type="containsText" dxfId="6890" priority="6590" operator="containsText" text="CMS">
      <formula>NOT(ISERROR(SEARCH("CMS",O57)))</formula>
    </cfRule>
    <cfRule type="cellIs" dxfId="6889" priority="6591" operator="equal">
      <formula>0</formula>
    </cfRule>
    <cfRule type="cellIs" dxfId="6888" priority="6592" operator="greaterThan">
      <formula>0</formula>
    </cfRule>
  </conditionalFormatting>
  <conditionalFormatting sqref="O57">
    <cfRule type="cellIs" dxfId="6887" priority="6585" operator="equal">
      <formula>"PMS"</formula>
    </cfRule>
    <cfRule type="containsText" dxfId="6886" priority="6586" operator="containsText" text="CMS">
      <formula>NOT(ISERROR(SEARCH("CMS",O57)))</formula>
    </cfRule>
    <cfRule type="cellIs" dxfId="6885" priority="6587" operator="equal">
      <formula>0</formula>
    </cfRule>
    <cfRule type="cellIs" dxfId="6884" priority="6588" operator="greaterThan">
      <formula>0</formula>
    </cfRule>
  </conditionalFormatting>
  <conditionalFormatting sqref="O57">
    <cfRule type="cellIs" dxfId="6883" priority="6581" operator="equal">
      <formula>"PMS"</formula>
    </cfRule>
    <cfRule type="containsText" dxfId="6882" priority="6582" operator="containsText" text="CMS">
      <formula>NOT(ISERROR(SEARCH("CMS",O57)))</formula>
    </cfRule>
    <cfRule type="cellIs" dxfId="6881" priority="6583" operator="equal">
      <formula>0</formula>
    </cfRule>
    <cfRule type="cellIs" dxfId="6880" priority="6584" operator="greaterThan">
      <formula>0</formula>
    </cfRule>
  </conditionalFormatting>
  <conditionalFormatting sqref="O57">
    <cfRule type="cellIs" dxfId="6879" priority="6577" operator="equal">
      <formula>"PMS"</formula>
    </cfRule>
    <cfRule type="containsText" dxfId="6878" priority="6578" operator="containsText" text="CMS">
      <formula>NOT(ISERROR(SEARCH("CMS",O57)))</formula>
    </cfRule>
    <cfRule type="cellIs" dxfId="6877" priority="6579" operator="equal">
      <formula>0</formula>
    </cfRule>
    <cfRule type="cellIs" dxfId="6876" priority="6580" operator="greaterThan">
      <formula>0</formula>
    </cfRule>
  </conditionalFormatting>
  <conditionalFormatting sqref="O57">
    <cfRule type="cellIs" dxfId="6875" priority="6573" operator="equal">
      <formula>"PMS"</formula>
    </cfRule>
    <cfRule type="containsText" dxfId="6874" priority="6574" operator="containsText" text="CMS">
      <formula>NOT(ISERROR(SEARCH("CMS",O57)))</formula>
    </cfRule>
    <cfRule type="cellIs" dxfId="6873" priority="6575" operator="equal">
      <formula>0</formula>
    </cfRule>
    <cfRule type="cellIs" dxfId="6872" priority="6576" operator="greaterThan">
      <formula>0</formula>
    </cfRule>
  </conditionalFormatting>
  <conditionalFormatting sqref="O57">
    <cfRule type="cellIs" dxfId="6871" priority="6569" operator="equal">
      <formula>"PMS"</formula>
    </cfRule>
    <cfRule type="containsText" dxfId="6870" priority="6570" operator="containsText" text="CMS">
      <formula>NOT(ISERROR(SEARCH("CMS",O57)))</formula>
    </cfRule>
    <cfRule type="cellIs" dxfId="6869" priority="6571" operator="equal">
      <formula>0</formula>
    </cfRule>
    <cfRule type="cellIs" dxfId="6868" priority="6572" operator="greaterThan">
      <formula>0</formula>
    </cfRule>
  </conditionalFormatting>
  <conditionalFormatting sqref="O57">
    <cfRule type="cellIs" dxfId="6867" priority="6565" operator="equal">
      <formula>"PMS"</formula>
    </cfRule>
    <cfRule type="containsText" dxfId="6866" priority="6566" operator="containsText" text="CMS">
      <formula>NOT(ISERROR(SEARCH("CMS",O57)))</formula>
    </cfRule>
    <cfRule type="cellIs" dxfId="6865" priority="6567" operator="equal">
      <formula>0</formula>
    </cfRule>
    <cfRule type="cellIs" dxfId="6864" priority="6568" operator="greaterThan">
      <formula>0</formula>
    </cfRule>
  </conditionalFormatting>
  <conditionalFormatting sqref="O57">
    <cfRule type="cellIs" dxfId="6863" priority="6561" operator="equal">
      <formula>"PMS"</formula>
    </cfRule>
    <cfRule type="containsText" dxfId="6862" priority="6562" operator="containsText" text="CMS">
      <formula>NOT(ISERROR(SEARCH("CMS",O57)))</formula>
    </cfRule>
    <cfRule type="cellIs" dxfId="6861" priority="6563" operator="equal">
      <formula>0</formula>
    </cfRule>
    <cfRule type="cellIs" dxfId="6860" priority="6564" operator="greaterThan">
      <formula>0</formula>
    </cfRule>
  </conditionalFormatting>
  <conditionalFormatting sqref="O57">
    <cfRule type="cellIs" dxfId="6859" priority="6557" operator="equal">
      <formula>"PMS"</formula>
    </cfRule>
    <cfRule type="containsText" dxfId="6858" priority="6558" operator="containsText" text="CMS">
      <formula>NOT(ISERROR(SEARCH("CMS",O57)))</formula>
    </cfRule>
    <cfRule type="cellIs" dxfId="6857" priority="6559" operator="equal">
      <formula>0</formula>
    </cfRule>
    <cfRule type="cellIs" dxfId="6856" priority="6560" operator="greaterThan">
      <formula>0</formula>
    </cfRule>
  </conditionalFormatting>
  <conditionalFormatting sqref="O57">
    <cfRule type="cellIs" dxfId="6855" priority="6553" operator="equal">
      <formula>"PMS"</formula>
    </cfRule>
    <cfRule type="containsText" dxfId="6854" priority="6554" operator="containsText" text="CMS">
      <formula>NOT(ISERROR(SEARCH("CMS",O57)))</formula>
    </cfRule>
    <cfRule type="cellIs" dxfId="6853" priority="6555" operator="equal">
      <formula>0</formula>
    </cfRule>
    <cfRule type="cellIs" dxfId="6852" priority="6556" operator="greaterThan">
      <formula>0</formula>
    </cfRule>
  </conditionalFormatting>
  <conditionalFormatting sqref="O57">
    <cfRule type="cellIs" dxfId="6851" priority="6549" operator="equal">
      <formula>"PMS"</formula>
    </cfRule>
    <cfRule type="containsText" dxfId="6850" priority="6550" operator="containsText" text="CMS">
      <formula>NOT(ISERROR(SEARCH("CMS",O57)))</formula>
    </cfRule>
    <cfRule type="cellIs" dxfId="6849" priority="6551" operator="equal">
      <formula>0</formula>
    </cfRule>
    <cfRule type="cellIs" dxfId="6848" priority="6552" operator="greaterThan">
      <formula>0</formula>
    </cfRule>
  </conditionalFormatting>
  <conditionalFormatting sqref="O57">
    <cfRule type="cellIs" dxfId="6847" priority="6545" operator="equal">
      <formula>"PMS"</formula>
    </cfRule>
    <cfRule type="containsText" dxfId="6846" priority="6546" operator="containsText" text="CMS">
      <formula>NOT(ISERROR(SEARCH("CMS",O57)))</formula>
    </cfRule>
    <cfRule type="cellIs" dxfId="6845" priority="6547" operator="equal">
      <formula>0</formula>
    </cfRule>
    <cfRule type="cellIs" dxfId="6844" priority="6548" operator="greaterThan">
      <formula>0</formula>
    </cfRule>
  </conditionalFormatting>
  <conditionalFormatting sqref="O57">
    <cfRule type="cellIs" dxfId="6843" priority="6541" operator="equal">
      <formula>"PMS"</formula>
    </cfRule>
    <cfRule type="containsText" dxfId="6842" priority="6542" operator="containsText" text="CMS">
      <formula>NOT(ISERROR(SEARCH("CMS",O57)))</formula>
    </cfRule>
    <cfRule type="cellIs" dxfId="6841" priority="6543" operator="equal">
      <formula>0</formula>
    </cfRule>
    <cfRule type="cellIs" dxfId="6840" priority="6544" operator="greaterThan">
      <formula>0</formula>
    </cfRule>
  </conditionalFormatting>
  <conditionalFormatting sqref="O57">
    <cfRule type="cellIs" dxfId="6839" priority="6537" operator="equal">
      <formula>"PMS"</formula>
    </cfRule>
    <cfRule type="containsText" dxfId="6838" priority="6538" operator="containsText" text="CMS">
      <formula>NOT(ISERROR(SEARCH("CMS",O57)))</formula>
    </cfRule>
    <cfRule type="cellIs" dxfId="6837" priority="6539" operator="equal">
      <formula>0</formula>
    </cfRule>
    <cfRule type="cellIs" dxfId="6836" priority="6540" operator="greaterThan">
      <formula>0</formula>
    </cfRule>
  </conditionalFormatting>
  <conditionalFormatting sqref="O57">
    <cfRule type="cellIs" dxfId="6835" priority="6533" operator="equal">
      <formula>"PMS"</formula>
    </cfRule>
    <cfRule type="containsText" dxfId="6834" priority="6534" operator="containsText" text="CMS">
      <formula>NOT(ISERROR(SEARCH("CMS",O57)))</formula>
    </cfRule>
    <cfRule type="cellIs" dxfId="6833" priority="6535" operator="equal">
      <formula>0</formula>
    </cfRule>
    <cfRule type="cellIs" dxfId="6832" priority="6536" operator="greaterThan">
      <formula>0</formula>
    </cfRule>
  </conditionalFormatting>
  <conditionalFormatting sqref="O57">
    <cfRule type="cellIs" dxfId="6831" priority="6529" operator="equal">
      <formula>"PMS"</formula>
    </cfRule>
    <cfRule type="containsText" dxfId="6830" priority="6530" operator="containsText" text="CMS">
      <formula>NOT(ISERROR(SEARCH("CMS",O57)))</formula>
    </cfRule>
    <cfRule type="cellIs" dxfId="6829" priority="6531" operator="equal">
      <formula>0</formula>
    </cfRule>
    <cfRule type="cellIs" dxfId="6828" priority="6532" operator="greaterThan">
      <formula>0</formula>
    </cfRule>
  </conditionalFormatting>
  <conditionalFormatting sqref="O57">
    <cfRule type="cellIs" dxfId="6827" priority="6525" operator="equal">
      <formula>"PMS"</formula>
    </cfRule>
    <cfRule type="containsText" dxfId="6826" priority="6526" operator="containsText" text="CMS">
      <formula>NOT(ISERROR(SEARCH("CMS",O57)))</formula>
    </cfRule>
    <cfRule type="cellIs" dxfId="6825" priority="6527" operator="equal">
      <formula>0</formula>
    </cfRule>
    <cfRule type="cellIs" dxfId="6824" priority="6528" operator="greaterThan">
      <formula>0</formula>
    </cfRule>
  </conditionalFormatting>
  <conditionalFormatting sqref="O57">
    <cfRule type="cellIs" dxfId="6823" priority="6521" operator="equal">
      <formula>"PMS"</formula>
    </cfRule>
    <cfRule type="containsText" dxfId="6822" priority="6522" operator="containsText" text="CMS">
      <formula>NOT(ISERROR(SEARCH("CMS",O57)))</formula>
    </cfRule>
    <cfRule type="cellIs" dxfId="6821" priority="6523" operator="equal">
      <formula>0</formula>
    </cfRule>
    <cfRule type="cellIs" dxfId="6820" priority="6524" operator="greaterThan">
      <formula>0</formula>
    </cfRule>
  </conditionalFormatting>
  <conditionalFormatting sqref="U13">
    <cfRule type="cellIs" dxfId="6819" priority="6517" operator="equal">
      <formula>"PMS"</formula>
    </cfRule>
    <cfRule type="containsText" dxfId="6818" priority="6518" operator="containsText" text="CMS">
      <formula>NOT(ISERROR(SEARCH("CMS",U13)))</formula>
    </cfRule>
    <cfRule type="cellIs" dxfId="6817" priority="6519" operator="equal">
      <formula>0</formula>
    </cfRule>
    <cfRule type="cellIs" dxfId="6816" priority="6520" operator="greaterThan">
      <formula>0</formula>
    </cfRule>
  </conditionalFormatting>
  <conditionalFormatting sqref="U13">
    <cfRule type="cellIs" dxfId="6815" priority="6513" operator="equal">
      <formula>"PMS"</formula>
    </cfRule>
    <cfRule type="containsText" dxfId="6814" priority="6514" operator="containsText" text="CMS">
      <formula>NOT(ISERROR(SEARCH("CMS",U13)))</formula>
    </cfRule>
    <cfRule type="cellIs" dxfId="6813" priority="6515" operator="equal">
      <formula>0</formula>
    </cfRule>
    <cfRule type="cellIs" dxfId="6812" priority="6516" operator="greaterThan">
      <formula>0</formula>
    </cfRule>
  </conditionalFormatting>
  <conditionalFormatting sqref="Y15">
    <cfRule type="cellIs" dxfId="6803" priority="6501" operator="equal">
      <formula>"PMS"</formula>
    </cfRule>
    <cfRule type="containsText" dxfId="6802" priority="6502" operator="containsText" text="CMS">
      <formula>NOT(ISERROR(SEARCH("CMS",Y15)))</formula>
    </cfRule>
    <cfRule type="cellIs" dxfId="6801" priority="6503" operator="equal">
      <formula>0</formula>
    </cfRule>
    <cfRule type="cellIs" dxfId="6800" priority="6504" operator="greaterThan">
      <formula>0</formula>
    </cfRule>
  </conditionalFormatting>
  <conditionalFormatting sqref="Y15">
    <cfRule type="cellIs" dxfId="6799" priority="6497" operator="equal">
      <formula>"PMS"</formula>
    </cfRule>
    <cfRule type="containsText" dxfId="6798" priority="6498" operator="containsText" text="CMS">
      <formula>NOT(ISERROR(SEARCH("CMS",Y15)))</formula>
    </cfRule>
    <cfRule type="cellIs" dxfId="6797" priority="6499" operator="equal">
      <formula>0</formula>
    </cfRule>
    <cfRule type="cellIs" dxfId="6796" priority="6500" operator="greaterThan">
      <formula>0</formula>
    </cfRule>
  </conditionalFormatting>
  <conditionalFormatting sqref="Y16">
    <cfRule type="cellIs" dxfId="6795" priority="6493" operator="equal">
      <formula>"PMS"</formula>
    </cfRule>
    <cfRule type="containsText" dxfId="6794" priority="6494" operator="containsText" text="CMS">
      <formula>NOT(ISERROR(SEARCH("CMS",Y16)))</formula>
    </cfRule>
    <cfRule type="cellIs" dxfId="6793" priority="6495" operator="equal">
      <formula>0</formula>
    </cfRule>
    <cfRule type="cellIs" dxfId="6792" priority="6496" operator="greaterThan">
      <formula>0</formula>
    </cfRule>
  </conditionalFormatting>
  <conditionalFormatting sqref="Y16">
    <cfRule type="cellIs" dxfId="6791" priority="6489" operator="equal">
      <formula>"PMS"</formula>
    </cfRule>
    <cfRule type="containsText" dxfId="6790" priority="6490" operator="containsText" text="CMS">
      <formula>NOT(ISERROR(SEARCH("CMS",Y16)))</formula>
    </cfRule>
    <cfRule type="cellIs" dxfId="6789" priority="6491" operator="equal">
      <formula>0</formula>
    </cfRule>
    <cfRule type="cellIs" dxfId="6788" priority="6492" operator="greaterThan">
      <formula>0</formula>
    </cfRule>
  </conditionalFormatting>
  <conditionalFormatting sqref="G66:H66">
    <cfRule type="cellIs" dxfId="6747" priority="6441" operator="equal">
      <formula>"PMS"</formula>
    </cfRule>
    <cfRule type="containsText" dxfId="6746" priority="6442" operator="containsText" text="CMS">
      <formula>NOT(ISERROR(SEARCH("CMS",G66)))</formula>
    </cfRule>
    <cfRule type="cellIs" dxfId="6745" priority="6443" operator="equal">
      <formula>0</formula>
    </cfRule>
    <cfRule type="cellIs" dxfId="6744" priority="6444" operator="greaterThan">
      <formula>0</formula>
    </cfRule>
    <cfRule type="cellIs" dxfId="6743" priority="6445" operator="equal">
      <formula>"PMS"</formula>
    </cfRule>
    <cfRule type="containsText" dxfId="6742" priority="6446" operator="containsText" text="CMS">
      <formula>NOT(ISERROR(SEARCH("CMS",G66)))</formula>
    </cfRule>
    <cfRule type="cellIs" dxfId="6741" priority="6447" operator="equal">
      <formula>0</formula>
    </cfRule>
    <cfRule type="cellIs" dxfId="6740" priority="6448" operator="greaterThan">
      <formula>0</formula>
    </cfRule>
  </conditionalFormatting>
  <conditionalFormatting sqref="G66:H66">
    <cfRule type="cellIs" dxfId="6739" priority="6437" operator="equal">
      <formula>"PMS"</formula>
    </cfRule>
    <cfRule type="containsText" dxfId="6738" priority="6438" operator="containsText" text="CMS">
      <formula>NOT(ISERROR(SEARCH("CMS",G66)))</formula>
    </cfRule>
    <cfRule type="cellIs" dxfId="6737" priority="6439" operator="equal">
      <formula>0</formula>
    </cfRule>
    <cfRule type="cellIs" dxfId="6736" priority="6440" operator="greaterThan">
      <formula>0</formula>
    </cfRule>
  </conditionalFormatting>
  <conditionalFormatting sqref="G66:H66">
    <cfRule type="cellIs" dxfId="6735" priority="6433" operator="equal">
      <formula>"PMS"</formula>
    </cfRule>
    <cfRule type="containsText" dxfId="6734" priority="6434" operator="containsText" text="CMS">
      <formula>NOT(ISERROR(SEARCH("CMS",G66)))</formula>
    </cfRule>
    <cfRule type="cellIs" dxfId="6733" priority="6435" operator="equal">
      <formula>0</formula>
    </cfRule>
    <cfRule type="cellIs" dxfId="6732" priority="6436" operator="greaterThan">
      <formula>0</formula>
    </cfRule>
  </conditionalFormatting>
  <conditionalFormatting sqref="H63">
    <cfRule type="cellIs" dxfId="6695" priority="6389" operator="equal">
      <formula>"PMS"</formula>
    </cfRule>
    <cfRule type="containsText" dxfId="6694" priority="6390" operator="containsText" text="CMS">
      <formula>NOT(ISERROR(SEARCH("CMS",H63)))</formula>
    </cfRule>
    <cfRule type="cellIs" dxfId="6693" priority="6391" operator="equal">
      <formula>0</formula>
    </cfRule>
    <cfRule type="cellIs" dxfId="6692" priority="6392" operator="greaterThan">
      <formula>0</formula>
    </cfRule>
    <cfRule type="cellIs" dxfId="6691" priority="6393" operator="equal">
      <formula>"PMS"</formula>
    </cfRule>
    <cfRule type="containsText" dxfId="6690" priority="6394" operator="containsText" text="CMS">
      <formula>NOT(ISERROR(SEARCH("CMS",H63)))</formula>
    </cfRule>
    <cfRule type="cellIs" dxfId="6689" priority="6395" operator="equal">
      <formula>0</formula>
    </cfRule>
    <cfRule type="cellIs" dxfId="6688" priority="6396" operator="greaterThan">
      <formula>0</formula>
    </cfRule>
  </conditionalFormatting>
  <conditionalFormatting sqref="H63">
    <cfRule type="cellIs" dxfId="6687" priority="6385" operator="equal">
      <formula>"PMS"</formula>
    </cfRule>
    <cfRule type="containsText" dxfId="6686" priority="6386" operator="containsText" text="CMS">
      <formula>NOT(ISERROR(SEARCH("CMS",H63)))</formula>
    </cfRule>
    <cfRule type="cellIs" dxfId="6685" priority="6387" operator="equal">
      <formula>0</formula>
    </cfRule>
    <cfRule type="cellIs" dxfId="6684" priority="6388" operator="greaterThan">
      <formula>0</formula>
    </cfRule>
  </conditionalFormatting>
  <conditionalFormatting sqref="O58">
    <cfRule type="cellIs" dxfId="6659" priority="6357" operator="equal">
      <formula>"PMS"</formula>
    </cfRule>
    <cfRule type="containsText" dxfId="6658" priority="6358" operator="containsText" text="CMS">
      <formula>NOT(ISERROR(SEARCH("CMS",O58)))</formula>
    </cfRule>
    <cfRule type="cellIs" dxfId="6657" priority="6359" operator="equal">
      <formula>0</formula>
    </cfRule>
    <cfRule type="cellIs" dxfId="6656" priority="6360" operator="greaterThan">
      <formula>0</formula>
    </cfRule>
  </conditionalFormatting>
  <conditionalFormatting sqref="O58">
    <cfRule type="cellIs" dxfId="6655" priority="6353" operator="equal">
      <formula>"PMS"</formula>
    </cfRule>
    <cfRule type="containsText" dxfId="6654" priority="6354" operator="containsText" text="CMS">
      <formula>NOT(ISERROR(SEARCH("CMS",O58)))</formula>
    </cfRule>
    <cfRule type="cellIs" dxfId="6653" priority="6355" operator="equal">
      <formula>0</formula>
    </cfRule>
    <cfRule type="cellIs" dxfId="6652" priority="6356" operator="greaterThan">
      <formula>0</formula>
    </cfRule>
  </conditionalFormatting>
  <conditionalFormatting sqref="O58">
    <cfRule type="cellIs" dxfId="6651" priority="6349" operator="equal">
      <formula>"PMS"</formula>
    </cfRule>
    <cfRule type="containsText" dxfId="6650" priority="6350" operator="containsText" text="CMS">
      <formula>NOT(ISERROR(SEARCH("CMS",O58)))</formula>
    </cfRule>
    <cfRule type="cellIs" dxfId="6649" priority="6351" operator="equal">
      <formula>0</formula>
    </cfRule>
    <cfRule type="cellIs" dxfId="6648" priority="6352" operator="greaterThan">
      <formula>0</formula>
    </cfRule>
  </conditionalFormatting>
  <conditionalFormatting sqref="O58">
    <cfRule type="cellIs" dxfId="6647" priority="6345" operator="equal">
      <formula>"PMS"</formula>
    </cfRule>
    <cfRule type="containsText" dxfId="6646" priority="6346" operator="containsText" text="CMS">
      <formula>NOT(ISERROR(SEARCH("CMS",O58)))</formula>
    </cfRule>
    <cfRule type="cellIs" dxfId="6645" priority="6347" operator="equal">
      <formula>0</formula>
    </cfRule>
    <cfRule type="cellIs" dxfId="6644" priority="6348" operator="greaterThan">
      <formula>0</formula>
    </cfRule>
  </conditionalFormatting>
  <conditionalFormatting sqref="O58">
    <cfRule type="cellIs" dxfId="6643" priority="6341" operator="equal">
      <formula>"PMS"</formula>
    </cfRule>
    <cfRule type="containsText" dxfId="6642" priority="6342" operator="containsText" text="CMS">
      <formula>NOT(ISERROR(SEARCH("CMS",O58)))</formula>
    </cfRule>
    <cfRule type="cellIs" dxfId="6641" priority="6343" operator="equal">
      <formula>0</formula>
    </cfRule>
    <cfRule type="cellIs" dxfId="6640" priority="6344" operator="greaterThan">
      <formula>0</formula>
    </cfRule>
  </conditionalFormatting>
  <conditionalFormatting sqref="O58">
    <cfRule type="cellIs" dxfId="6639" priority="6337" operator="equal">
      <formula>"PMS"</formula>
    </cfRule>
    <cfRule type="containsText" dxfId="6638" priority="6338" operator="containsText" text="CMS">
      <formula>NOT(ISERROR(SEARCH("CMS",O58)))</formula>
    </cfRule>
    <cfRule type="cellIs" dxfId="6637" priority="6339" operator="equal">
      <formula>0</formula>
    </cfRule>
    <cfRule type="cellIs" dxfId="6636" priority="6340" operator="greaterThan">
      <formula>0</formula>
    </cfRule>
  </conditionalFormatting>
  <conditionalFormatting sqref="O58">
    <cfRule type="cellIs" dxfId="6635" priority="6333" operator="equal">
      <formula>"PMS"</formula>
    </cfRule>
    <cfRule type="containsText" dxfId="6634" priority="6334" operator="containsText" text="CMS">
      <formula>NOT(ISERROR(SEARCH("CMS",O58)))</formula>
    </cfRule>
    <cfRule type="cellIs" dxfId="6633" priority="6335" operator="equal">
      <formula>0</formula>
    </cfRule>
    <cfRule type="cellIs" dxfId="6632" priority="6336" operator="greaterThan">
      <formula>0</formula>
    </cfRule>
  </conditionalFormatting>
  <conditionalFormatting sqref="O58">
    <cfRule type="cellIs" dxfId="6631" priority="6329" operator="equal">
      <formula>"PMS"</formula>
    </cfRule>
    <cfRule type="containsText" dxfId="6630" priority="6330" operator="containsText" text="CMS">
      <formula>NOT(ISERROR(SEARCH("CMS",O58)))</formula>
    </cfRule>
    <cfRule type="cellIs" dxfId="6629" priority="6331" operator="equal">
      <formula>0</formula>
    </cfRule>
    <cfRule type="cellIs" dxfId="6628" priority="6332" operator="greaterThan">
      <formula>0</formula>
    </cfRule>
  </conditionalFormatting>
  <conditionalFormatting sqref="O58">
    <cfRule type="cellIs" dxfId="6627" priority="6325" operator="equal">
      <formula>"PMS"</formula>
    </cfRule>
    <cfRule type="containsText" dxfId="6626" priority="6326" operator="containsText" text="CMS">
      <formula>NOT(ISERROR(SEARCH("CMS",O58)))</formula>
    </cfRule>
    <cfRule type="cellIs" dxfId="6625" priority="6327" operator="equal">
      <formula>0</formula>
    </cfRule>
    <cfRule type="cellIs" dxfId="6624" priority="6328" operator="greaterThan">
      <formula>0</formula>
    </cfRule>
  </conditionalFormatting>
  <conditionalFormatting sqref="O58">
    <cfRule type="cellIs" dxfId="6623" priority="6321" operator="equal">
      <formula>"PMS"</formula>
    </cfRule>
    <cfRule type="containsText" dxfId="6622" priority="6322" operator="containsText" text="CMS">
      <formula>NOT(ISERROR(SEARCH("CMS",O58)))</formula>
    </cfRule>
    <cfRule type="cellIs" dxfId="6621" priority="6323" operator="equal">
      <formula>0</formula>
    </cfRule>
    <cfRule type="cellIs" dxfId="6620" priority="6324" operator="greaterThan">
      <formula>0</formula>
    </cfRule>
  </conditionalFormatting>
  <conditionalFormatting sqref="O58">
    <cfRule type="cellIs" dxfId="6619" priority="6317" operator="equal">
      <formula>"PMS"</formula>
    </cfRule>
    <cfRule type="containsText" dxfId="6618" priority="6318" operator="containsText" text="CMS">
      <formula>NOT(ISERROR(SEARCH("CMS",O58)))</formula>
    </cfRule>
    <cfRule type="cellIs" dxfId="6617" priority="6319" operator="equal">
      <formula>0</formula>
    </cfRule>
    <cfRule type="cellIs" dxfId="6616" priority="6320" operator="greaterThan">
      <formula>0</formula>
    </cfRule>
  </conditionalFormatting>
  <conditionalFormatting sqref="O58">
    <cfRule type="cellIs" dxfId="6615" priority="6313" operator="equal">
      <formula>"PMS"</formula>
    </cfRule>
    <cfRule type="containsText" dxfId="6614" priority="6314" operator="containsText" text="CMS">
      <formula>NOT(ISERROR(SEARCH("CMS",O58)))</formula>
    </cfRule>
    <cfRule type="cellIs" dxfId="6613" priority="6315" operator="equal">
      <formula>0</formula>
    </cfRule>
    <cfRule type="cellIs" dxfId="6612" priority="6316" operator="greaterThan">
      <formula>0</formula>
    </cfRule>
  </conditionalFormatting>
  <conditionalFormatting sqref="O58">
    <cfRule type="cellIs" dxfId="6611" priority="6309" operator="equal">
      <formula>"PMS"</formula>
    </cfRule>
    <cfRule type="containsText" dxfId="6610" priority="6310" operator="containsText" text="CMS">
      <formula>NOT(ISERROR(SEARCH("CMS",O58)))</formula>
    </cfRule>
    <cfRule type="cellIs" dxfId="6609" priority="6311" operator="equal">
      <formula>0</formula>
    </cfRule>
    <cfRule type="cellIs" dxfId="6608" priority="6312" operator="greaterThan">
      <formula>0</formula>
    </cfRule>
  </conditionalFormatting>
  <conditionalFormatting sqref="O58">
    <cfRule type="cellIs" dxfId="6607" priority="6305" operator="equal">
      <formula>"PMS"</formula>
    </cfRule>
    <cfRule type="containsText" dxfId="6606" priority="6306" operator="containsText" text="CMS">
      <formula>NOT(ISERROR(SEARCH("CMS",O58)))</formula>
    </cfRule>
    <cfRule type="cellIs" dxfId="6605" priority="6307" operator="equal">
      <formula>0</formula>
    </cfRule>
    <cfRule type="cellIs" dxfId="6604" priority="6308" operator="greaterThan">
      <formula>0</formula>
    </cfRule>
  </conditionalFormatting>
  <conditionalFormatting sqref="O58">
    <cfRule type="cellIs" dxfId="6603" priority="6301" operator="equal">
      <formula>"PMS"</formula>
    </cfRule>
    <cfRule type="containsText" dxfId="6602" priority="6302" operator="containsText" text="CMS">
      <formula>NOT(ISERROR(SEARCH("CMS",O58)))</formula>
    </cfRule>
    <cfRule type="cellIs" dxfId="6601" priority="6303" operator="equal">
      <formula>0</formula>
    </cfRule>
    <cfRule type="cellIs" dxfId="6600" priority="6304" operator="greaterThan">
      <formula>0</formula>
    </cfRule>
  </conditionalFormatting>
  <conditionalFormatting sqref="O58">
    <cfRule type="cellIs" dxfId="6599" priority="6297" operator="equal">
      <formula>"PMS"</formula>
    </cfRule>
    <cfRule type="containsText" dxfId="6598" priority="6298" operator="containsText" text="CMS">
      <formula>NOT(ISERROR(SEARCH("CMS",O58)))</formula>
    </cfRule>
    <cfRule type="cellIs" dxfId="6597" priority="6299" operator="equal">
      <formula>0</formula>
    </cfRule>
    <cfRule type="cellIs" dxfId="6596" priority="6300" operator="greaterThan">
      <formula>0</formula>
    </cfRule>
  </conditionalFormatting>
  <conditionalFormatting sqref="O58">
    <cfRule type="cellIs" dxfId="6595" priority="6293" operator="equal">
      <formula>"PMS"</formula>
    </cfRule>
    <cfRule type="containsText" dxfId="6594" priority="6294" operator="containsText" text="CMS">
      <formula>NOT(ISERROR(SEARCH("CMS",O58)))</formula>
    </cfRule>
    <cfRule type="cellIs" dxfId="6593" priority="6295" operator="equal">
      <formula>0</formula>
    </cfRule>
    <cfRule type="cellIs" dxfId="6592" priority="6296" operator="greaterThan">
      <formula>0</formula>
    </cfRule>
  </conditionalFormatting>
  <conditionalFormatting sqref="O58">
    <cfRule type="cellIs" dxfId="6591" priority="6289" operator="equal">
      <formula>"PMS"</formula>
    </cfRule>
    <cfRule type="containsText" dxfId="6590" priority="6290" operator="containsText" text="CMS">
      <formula>NOT(ISERROR(SEARCH("CMS",O58)))</formula>
    </cfRule>
    <cfRule type="cellIs" dxfId="6589" priority="6291" operator="equal">
      <formula>0</formula>
    </cfRule>
    <cfRule type="cellIs" dxfId="6588" priority="6292" operator="greaterThan">
      <formula>0</formula>
    </cfRule>
  </conditionalFormatting>
  <conditionalFormatting sqref="O58">
    <cfRule type="cellIs" dxfId="6587" priority="6285" operator="equal">
      <formula>"PMS"</formula>
    </cfRule>
    <cfRule type="containsText" dxfId="6586" priority="6286" operator="containsText" text="CMS">
      <formula>NOT(ISERROR(SEARCH("CMS",O58)))</formula>
    </cfRule>
    <cfRule type="cellIs" dxfId="6585" priority="6287" operator="equal">
      <formula>0</formula>
    </cfRule>
    <cfRule type="cellIs" dxfId="6584" priority="6288" operator="greaterThan">
      <formula>0</formula>
    </cfRule>
  </conditionalFormatting>
  <conditionalFormatting sqref="O58">
    <cfRule type="cellIs" dxfId="6583" priority="6281" operator="equal">
      <formula>"PMS"</formula>
    </cfRule>
    <cfRule type="containsText" dxfId="6582" priority="6282" operator="containsText" text="CMS">
      <formula>NOT(ISERROR(SEARCH("CMS",O58)))</formula>
    </cfRule>
    <cfRule type="cellIs" dxfId="6581" priority="6283" operator="equal">
      <formula>0</formula>
    </cfRule>
    <cfRule type="cellIs" dxfId="6580" priority="6284" operator="greaterThan">
      <formula>0</formula>
    </cfRule>
  </conditionalFormatting>
  <conditionalFormatting sqref="O58">
    <cfRule type="cellIs" dxfId="6579" priority="6277" operator="equal">
      <formula>"PMS"</formula>
    </cfRule>
    <cfRule type="containsText" dxfId="6578" priority="6278" operator="containsText" text="CMS">
      <formula>NOT(ISERROR(SEARCH("CMS",O58)))</formula>
    </cfRule>
    <cfRule type="cellIs" dxfId="6577" priority="6279" operator="equal">
      <formula>0</formula>
    </cfRule>
    <cfRule type="cellIs" dxfId="6576" priority="6280" operator="greaterThan">
      <formula>0</formula>
    </cfRule>
  </conditionalFormatting>
  <conditionalFormatting sqref="O58">
    <cfRule type="cellIs" dxfId="6575" priority="6273" operator="equal">
      <formula>"PMS"</formula>
    </cfRule>
    <cfRule type="containsText" dxfId="6574" priority="6274" operator="containsText" text="CMS">
      <formula>NOT(ISERROR(SEARCH("CMS",O58)))</formula>
    </cfRule>
    <cfRule type="cellIs" dxfId="6573" priority="6275" operator="equal">
      <formula>0</formula>
    </cfRule>
    <cfRule type="cellIs" dxfId="6572" priority="6276" operator="greaterThan">
      <formula>0</formula>
    </cfRule>
  </conditionalFormatting>
  <conditionalFormatting sqref="O58">
    <cfRule type="cellIs" dxfId="6571" priority="6269" operator="equal">
      <formula>"PMS"</formula>
    </cfRule>
    <cfRule type="containsText" dxfId="6570" priority="6270" operator="containsText" text="CMS">
      <formula>NOT(ISERROR(SEARCH("CMS",O58)))</formula>
    </cfRule>
    <cfRule type="cellIs" dxfId="6569" priority="6271" operator="equal">
      <formula>0</formula>
    </cfRule>
    <cfRule type="cellIs" dxfId="6568" priority="6272" operator="greaterThan">
      <formula>0</formula>
    </cfRule>
  </conditionalFormatting>
  <conditionalFormatting sqref="O58">
    <cfRule type="cellIs" dxfId="6567" priority="6265" operator="equal">
      <formula>"PMS"</formula>
    </cfRule>
    <cfRule type="containsText" dxfId="6566" priority="6266" operator="containsText" text="CMS">
      <formula>NOT(ISERROR(SEARCH("CMS",O58)))</formula>
    </cfRule>
    <cfRule type="cellIs" dxfId="6565" priority="6267" operator="equal">
      <formula>0</formula>
    </cfRule>
    <cfRule type="cellIs" dxfId="6564" priority="6268" operator="greaterThan">
      <formula>0</formula>
    </cfRule>
  </conditionalFormatting>
  <conditionalFormatting sqref="O58">
    <cfRule type="cellIs" dxfId="6563" priority="6261" operator="equal">
      <formula>"PMS"</formula>
    </cfRule>
    <cfRule type="containsText" dxfId="6562" priority="6262" operator="containsText" text="CMS">
      <formula>NOT(ISERROR(SEARCH("CMS",O58)))</formula>
    </cfRule>
    <cfRule type="cellIs" dxfId="6561" priority="6263" operator="equal">
      <formula>0</formula>
    </cfRule>
    <cfRule type="cellIs" dxfId="6560" priority="6264" operator="greaterThan">
      <formula>0</formula>
    </cfRule>
  </conditionalFormatting>
  <conditionalFormatting sqref="O58">
    <cfRule type="cellIs" dxfId="6559" priority="6257" operator="equal">
      <formula>"PMS"</formula>
    </cfRule>
    <cfRule type="containsText" dxfId="6558" priority="6258" operator="containsText" text="CMS">
      <formula>NOT(ISERROR(SEARCH("CMS",O58)))</formula>
    </cfRule>
    <cfRule type="cellIs" dxfId="6557" priority="6259" operator="equal">
      <formula>0</formula>
    </cfRule>
    <cfRule type="cellIs" dxfId="6556" priority="6260" operator="greaterThan">
      <formula>0</formula>
    </cfRule>
  </conditionalFormatting>
  <conditionalFormatting sqref="O58">
    <cfRule type="cellIs" dxfId="6555" priority="6253" operator="equal">
      <formula>"PMS"</formula>
    </cfRule>
    <cfRule type="containsText" dxfId="6554" priority="6254" operator="containsText" text="CMS">
      <formula>NOT(ISERROR(SEARCH("CMS",O58)))</formula>
    </cfRule>
    <cfRule type="cellIs" dxfId="6553" priority="6255" operator="equal">
      <formula>0</formula>
    </cfRule>
    <cfRule type="cellIs" dxfId="6552" priority="6256" operator="greaterThan">
      <formula>0</formula>
    </cfRule>
  </conditionalFormatting>
  <conditionalFormatting sqref="O58">
    <cfRule type="cellIs" dxfId="6551" priority="6249" operator="equal">
      <formula>"PMS"</formula>
    </cfRule>
    <cfRule type="containsText" dxfId="6550" priority="6250" operator="containsText" text="CMS">
      <formula>NOT(ISERROR(SEARCH("CMS",O58)))</formula>
    </cfRule>
    <cfRule type="cellIs" dxfId="6549" priority="6251" operator="equal">
      <formula>0</formula>
    </cfRule>
    <cfRule type="cellIs" dxfId="6548" priority="6252" operator="greaterThan">
      <formula>0</formula>
    </cfRule>
  </conditionalFormatting>
  <conditionalFormatting sqref="O58">
    <cfRule type="cellIs" dxfId="6547" priority="6245" operator="equal">
      <formula>"PMS"</formula>
    </cfRule>
    <cfRule type="containsText" dxfId="6546" priority="6246" operator="containsText" text="CMS">
      <formula>NOT(ISERROR(SEARCH("CMS",O58)))</formula>
    </cfRule>
    <cfRule type="cellIs" dxfId="6545" priority="6247" operator="equal">
      <formula>0</formula>
    </cfRule>
    <cfRule type="cellIs" dxfId="6544" priority="6248" operator="greaterThan">
      <formula>0</formula>
    </cfRule>
  </conditionalFormatting>
  <conditionalFormatting sqref="O58">
    <cfRule type="cellIs" dxfId="6543" priority="6241" operator="equal">
      <formula>"PMS"</formula>
    </cfRule>
    <cfRule type="containsText" dxfId="6542" priority="6242" operator="containsText" text="CMS">
      <formula>NOT(ISERROR(SEARCH("CMS",O58)))</formula>
    </cfRule>
    <cfRule type="cellIs" dxfId="6541" priority="6243" operator="equal">
      <formula>0</formula>
    </cfRule>
    <cfRule type="cellIs" dxfId="6540" priority="6244" operator="greaterThan">
      <formula>0</formula>
    </cfRule>
  </conditionalFormatting>
  <conditionalFormatting sqref="O58">
    <cfRule type="cellIs" dxfId="6539" priority="6237" operator="equal">
      <formula>"PMS"</formula>
    </cfRule>
    <cfRule type="containsText" dxfId="6538" priority="6238" operator="containsText" text="CMS">
      <formula>NOT(ISERROR(SEARCH("CMS",O58)))</formula>
    </cfRule>
    <cfRule type="cellIs" dxfId="6537" priority="6239" operator="equal">
      <formula>0</formula>
    </cfRule>
    <cfRule type="cellIs" dxfId="6536" priority="6240" operator="greaterThan">
      <formula>0</formula>
    </cfRule>
  </conditionalFormatting>
  <conditionalFormatting sqref="O58">
    <cfRule type="cellIs" dxfId="6535" priority="6233" operator="equal">
      <formula>"PMS"</formula>
    </cfRule>
    <cfRule type="containsText" dxfId="6534" priority="6234" operator="containsText" text="CMS">
      <formula>NOT(ISERROR(SEARCH("CMS",O58)))</formula>
    </cfRule>
    <cfRule type="cellIs" dxfId="6533" priority="6235" operator="equal">
      <formula>0</formula>
    </cfRule>
    <cfRule type="cellIs" dxfId="6532" priority="6236" operator="greaterThan">
      <formula>0</formula>
    </cfRule>
  </conditionalFormatting>
  <conditionalFormatting sqref="O58">
    <cfRule type="cellIs" dxfId="6531" priority="6229" operator="equal">
      <formula>"PMS"</formula>
    </cfRule>
    <cfRule type="containsText" dxfId="6530" priority="6230" operator="containsText" text="CMS">
      <formula>NOT(ISERROR(SEARCH("CMS",O58)))</formula>
    </cfRule>
    <cfRule type="cellIs" dxfId="6529" priority="6231" operator="equal">
      <formula>0</formula>
    </cfRule>
    <cfRule type="cellIs" dxfId="6528" priority="6232" operator="greaterThan">
      <formula>0</formula>
    </cfRule>
  </conditionalFormatting>
  <conditionalFormatting sqref="O58">
    <cfRule type="cellIs" dxfId="6527" priority="6225" operator="equal">
      <formula>"PMS"</formula>
    </cfRule>
    <cfRule type="containsText" dxfId="6526" priority="6226" operator="containsText" text="CMS">
      <formula>NOT(ISERROR(SEARCH("CMS",O58)))</formula>
    </cfRule>
    <cfRule type="cellIs" dxfId="6525" priority="6227" operator="equal">
      <formula>0</formula>
    </cfRule>
    <cfRule type="cellIs" dxfId="6524" priority="6228" operator="greaterThan">
      <formula>0</formula>
    </cfRule>
  </conditionalFormatting>
  <conditionalFormatting sqref="O58">
    <cfRule type="cellIs" dxfId="6523" priority="6221" operator="equal">
      <formula>"PMS"</formula>
    </cfRule>
    <cfRule type="containsText" dxfId="6522" priority="6222" operator="containsText" text="CMS">
      <formula>NOT(ISERROR(SEARCH("CMS",O58)))</formula>
    </cfRule>
    <cfRule type="cellIs" dxfId="6521" priority="6223" operator="equal">
      <formula>0</formula>
    </cfRule>
    <cfRule type="cellIs" dxfId="6520" priority="6224" operator="greaterThan">
      <formula>0</formula>
    </cfRule>
  </conditionalFormatting>
  <conditionalFormatting sqref="O58">
    <cfRule type="cellIs" dxfId="6519" priority="6217" operator="equal">
      <formula>"PMS"</formula>
    </cfRule>
    <cfRule type="containsText" dxfId="6518" priority="6218" operator="containsText" text="CMS">
      <formula>NOT(ISERROR(SEARCH("CMS",O58)))</formula>
    </cfRule>
    <cfRule type="cellIs" dxfId="6517" priority="6219" operator="equal">
      <formula>0</formula>
    </cfRule>
    <cfRule type="cellIs" dxfId="6516" priority="6220" operator="greaterThan">
      <formula>0</formula>
    </cfRule>
  </conditionalFormatting>
  <conditionalFormatting sqref="O58">
    <cfRule type="cellIs" dxfId="6515" priority="6213" operator="equal">
      <formula>"PMS"</formula>
    </cfRule>
    <cfRule type="containsText" dxfId="6514" priority="6214" operator="containsText" text="CMS">
      <formula>NOT(ISERROR(SEARCH("CMS",O58)))</formula>
    </cfRule>
    <cfRule type="cellIs" dxfId="6513" priority="6215" operator="equal">
      <formula>0</formula>
    </cfRule>
    <cfRule type="cellIs" dxfId="6512" priority="6216" operator="greaterThan">
      <formula>0</formula>
    </cfRule>
  </conditionalFormatting>
  <conditionalFormatting sqref="O58">
    <cfRule type="cellIs" dxfId="6511" priority="6209" operator="equal">
      <formula>"PMS"</formula>
    </cfRule>
    <cfRule type="containsText" dxfId="6510" priority="6210" operator="containsText" text="CMS">
      <formula>NOT(ISERROR(SEARCH("CMS",O58)))</formula>
    </cfRule>
    <cfRule type="cellIs" dxfId="6509" priority="6211" operator="equal">
      <formula>0</formula>
    </cfRule>
    <cfRule type="cellIs" dxfId="6508" priority="6212" operator="greaterThan">
      <formula>0</formula>
    </cfRule>
  </conditionalFormatting>
  <conditionalFormatting sqref="O58">
    <cfRule type="cellIs" dxfId="6507" priority="6205" operator="equal">
      <formula>"PMS"</formula>
    </cfRule>
    <cfRule type="containsText" dxfId="6506" priority="6206" operator="containsText" text="CMS">
      <formula>NOT(ISERROR(SEARCH("CMS",O58)))</formula>
    </cfRule>
    <cfRule type="cellIs" dxfId="6505" priority="6207" operator="equal">
      <formula>0</formula>
    </cfRule>
    <cfRule type="cellIs" dxfId="6504" priority="6208" operator="greaterThan">
      <formula>0</formula>
    </cfRule>
  </conditionalFormatting>
  <conditionalFormatting sqref="O58">
    <cfRule type="cellIs" dxfId="6503" priority="6201" operator="equal">
      <formula>"PMS"</formula>
    </cfRule>
    <cfRule type="containsText" dxfId="6502" priority="6202" operator="containsText" text="CMS">
      <formula>NOT(ISERROR(SEARCH("CMS",O58)))</formula>
    </cfRule>
    <cfRule type="cellIs" dxfId="6501" priority="6203" operator="equal">
      <formula>0</formula>
    </cfRule>
    <cfRule type="cellIs" dxfId="6500" priority="6204" operator="greaterThan">
      <formula>0</formula>
    </cfRule>
  </conditionalFormatting>
  <conditionalFormatting sqref="O58">
    <cfRule type="cellIs" dxfId="6499" priority="6197" operator="equal">
      <formula>"PMS"</formula>
    </cfRule>
    <cfRule type="containsText" dxfId="6498" priority="6198" operator="containsText" text="CMS">
      <formula>NOT(ISERROR(SEARCH("CMS",O58)))</formula>
    </cfRule>
    <cfRule type="cellIs" dxfId="6497" priority="6199" operator="equal">
      <formula>0</formula>
    </cfRule>
    <cfRule type="cellIs" dxfId="6496" priority="6200" operator="greaterThan">
      <formula>0</formula>
    </cfRule>
  </conditionalFormatting>
  <conditionalFormatting sqref="O58">
    <cfRule type="cellIs" dxfId="6495" priority="6193" operator="equal">
      <formula>"PMS"</formula>
    </cfRule>
    <cfRule type="containsText" dxfId="6494" priority="6194" operator="containsText" text="CMS">
      <formula>NOT(ISERROR(SEARCH("CMS",O58)))</formula>
    </cfRule>
    <cfRule type="cellIs" dxfId="6493" priority="6195" operator="equal">
      <formula>0</formula>
    </cfRule>
    <cfRule type="cellIs" dxfId="6492" priority="6196" operator="greaterThan">
      <formula>0</formula>
    </cfRule>
  </conditionalFormatting>
  <conditionalFormatting sqref="O58">
    <cfRule type="cellIs" dxfId="6491" priority="6189" operator="equal">
      <formula>"PMS"</formula>
    </cfRule>
    <cfRule type="containsText" dxfId="6490" priority="6190" operator="containsText" text="CMS">
      <formula>NOT(ISERROR(SEARCH("CMS",O58)))</formula>
    </cfRule>
    <cfRule type="cellIs" dxfId="6489" priority="6191" operator="equal">
      <formula>0</formula>
    </cfRule>
    <cfRule type="cellIs" dxfId="6488" priority="6192" operator="greaterThan">
      <formula>0</formula>
    </cfRule>
  </conditionalFormatting>
  <conditionalFormatting sqref="O58">
    <cfRule type="cellIs" dxfId="6487" priority="6185" operator="equal">
      <formula>"PMS"</formula>
    </cfRule>
    <cfRule type="containsText" dxfId="6486" priority="6186" operator="containsText" text="CMS">
      <formula>NOT(ISERROR(SEARCH("CMS",O58)))</formula>
    </cfRule>
    <cfRule type="cellIs" dxfId="6485" priority="6187" operator="equal">
      <formula>0</formula>
    </cfRule>
    <cfRule type="cellIs" dxfId="6484" priority="6188" operator="greaterThan">
      <formula>0</formula>
    </cfRule>
  </conditionalFormatting>
  <conditionalFormatting sqref="O58">
    <cfRule type="cellIs" dxfId="6483" priority="6181" operator="equal">
      <formula>"PMS"</formula>
    </cfRule>
    <cfRule type="containsText" dxfId="6482" priority="6182" operator="containsText" text="CMS">
      <formula>NOT(ISERROR(SEARCH("CMS",O58)))</formula>
    </cfRule>
    <cfRule type="cellIs" dxfId="6481" priority="6183" operator="equal">
      <formula>0</formula>
    </cfRule>
    <cfRule type="cellIs" dxfId="6480" priority="6184" operator="greaterThan">
      <formula>0</formula>
    </cfRule>
  </conditionalFormatting>
  <conditionalFormatting sqref="O58">
    <cfRule type="cellIs" dxfId="6479" priority="6177" operator="equal">
      <formula>"PMS"</formula>
    </cfRule>
    <cfRule type="containsText" dxfId="6478" priority="6178" operator="containsText" text="CMS">
      <formula>NOT(ISERROR(SEARCH("CMS",O58)))</formula>
    </cfRule>
    <cfRule type="cellIs" dxfId="6477" priority="6179" operator="equal">
      <formula>0</formula>
    </cfRule>
    <cfRule type="cellIs" dxfId="6476" priority="6180" operator="greaterThan">
      <formula>0</formula>
    </cfRule>
  </conditionalFormatting>
  <conditionalFormatting sqref="O58">
    <cfRule type="cellIs" dxfId="6475" priority="6173" operator="equal">
      <formula>"PMS"</formula>
    </cfRule>
    <cfRule type="containsText" dxfId="6474" priority="6174" operator="containsText" text="CMS">
      <formula>NOT(ISERROR(SEARCH("CMS",O58)))</formula>
    </cfRule>
    <cfRule type="cellIs" dxfId="6473" priority="6175" operator="equal">
      <formula>0</formula>
    </cfRule>
    <cfRule type="cellIs" dxfId="6472" priority="6176" operator="greaterThan">
      <formula>0</formula>
    </cfRule>
  </conditionalFormatting>
  <conditionalFormatting sqref="O58">
    <cfRule type="cellIs" dxfId="6471" priority="6169" operator="equal">
      <formula>"PMS"</formula>
    </cfRule>
    <cfRule type="containsText" dxfId="6470" priority="6170" operator="containsText" text="CMS">
      <formula>NOT(ISERROR(SEARCH("CMS",O58)))</formula>
    </cfRule>
    <cfRule type="cellIs" dxfId="6469" priority="6171" operator="equal">
      <formula>0</formula>
    </cfRule>
    <cfRule type="cellIs" dxfId="6468" priority="6172" operator="greaterThan">
      <formula>0</formula>
    </cfRule>
  </conditionalFormatting>
  <conditionalFormatting sqref="O58">
    <cfRule type="cellIs" dxfId="6467" priority="6165" operator="equal">
      <formula>"PMS"</formula>
    </cfRule>
    <cfRule type="containsText" dxfId="6466" priority="6166" operator="containsText" text="CMS">
      <formula>NOT(ISERROR(SEARCH("CMS",O58)))</formula>
    </cfRule>
    <cfRule type="cellIs" dxfId="6465" priority="6167" operator="equal">
      <formula>0</formula>
    </cfRule>
    <cfRule type="cellIs" dxfId="6464" priority="6168" operator="greaterThan">
      <formula>0</formula>
    </cfRule>
  </conditionalFormatting>
  <conditionalFormatting sqref="O58">
    <cfRule type="cellIs" dxfId="6463" priority="6161" operator="equal">
      <formula>"PMS"</formula>
    </cfRule>
    <cfRule type="containsText" dxfId="6462" priority="6162" operator="containsText" text="CMS">
      <formula>NOT(ISERROR(SEARCH("CMS",O58)))</formula>
    </cfRule>
    <cfRule type="cellIs" dxfId="6461" priority="6163" operator="equal">
      <formula>0</formula>
    </cfRule>
    <cfRule type="cellIs" dxfId="6460" priority="6164" operator="greaterThan">
      <formula>0</formula>
    </cfRule>
  </conditionalFormatting>
  <conditionalFormatting sqref="O58">
    <cfRule type="cellIs" dxfId="6459" priority="6157" operator="equal">
      <formula>"PMS"</formula>
    </cfRule>
    <cfRule type="containsText" dxfId="6458" priority="6158" operator="containsText" text="CMS">
      <formula>NOT(ISERROR(SEARCH("CMS",O58)))</formula>
    </cfRule>
    <cfRule type="cellIs" dxfId="6457" priority="6159" operator="equal">
      <formula>0</formula>
    </cfRule>
    <cfRule type="cellIs" dxfId="6456" priority="6160" operator="greaterThan">
      <formula>0</formula>
    </cfRule>
  </conditionalFormatting>
  <conditionalFormatting sqref="O58">
    <cfRule type="cellIs" dxfId="6455" priority="6153" operator="equal">
      <formula>"PMS"</formula>
    </cfRule>
    <cfRule type="containsText" dxfId="6454" priority="6154" operator="containsText" text="CMS">
      <formula>NOT(ISERROR(SEARCH("CMS",O58)))</formula>
    </cfRule>
    <cfRule type="cellIs" dxfId="6453" priority="6155" operator="equal">
      <formula>0</formula>
    </cfRule>
    <cfRule type="cellIs" dxfId="6452" priority="6156" operator="greaterThan">
      <formula>0</formula>
    </cfRule>
  </conditionalFormatting>
  <conditionalFormatting sqref="O58">
    <cfRule type="cellIs" dxfId="6451" priority="6149" operator="equal">
      <formula>"PMS"</formula>
    </cfRule>
    <cfRule type="containsText" dxfId="6450" priority="6150" operator="containsText" text="CMS">
      <formula>NOT(ISERROR(SEARCH("CMS",O58)))</formula>
    </cfRule>
    <cfRule type="cellIs" dxfId="6449" priority="6151" operator="equal">
      <formula>0</formula>
    </cfRule>
    <cfRule type="cellIs" dxfId="6448" priority="6152" operator="greaterThan">
      <formula>0</formula>
    </cfRule>
  </conditionalFormatting>
  <conditionalFormatting sqref="O58">
    <cfRule type="cellIs" dxfId="6447" priority="6145" operator="equal">
      <formula>"PMS"</formula>
    </cfRule>
    <cfRule type="containsText" dxfId="6446" priority="6146" operator="containsText" text="CMS">
      <formula>NOT(ISERROR(SEARCH("CMS",O58)))</formula>
    </cfRule>
    <cfRule type="cellIs" dxfId="6445" priority="6147" operator="equal">
      <formula>0</formula>
    </cfRule>
    <cfRule type="cellIs" dxfId="6444" priority="6148" operator="greaterThan">
      <formula>0</formula>
    </cfRule>
  </conditionalFormatting>
  <conditionalFormatting sqref="O58">
    <cfRule type="cellIs" dxfId="6443" priority="6141" operator="equal">
      <formula>"PMS"</formula>
    </cfRule>
    <cfRule type="containsText" dxfId="6442" priority="6142" operator="containsText" text="CMS">
      <formula>NOT(ISERROR(SEARCH("CMS",O58)))</formula>
    </cfRule>
    <cfRule type="cellIs" dxfId="6441" priority="6143" operator="equal">
      <formula>0</formula>
    </cfRule>
    <cfRule type="cellIs" dxfId="6440" priority="6144" operator="greaterThan">
      <formula>0</formula>
    </cfRule>
  </conditionalFormatting>
  <conditionalFormatting sqref="O58">
    <cfRule type="cellIs" dxfId="6439" priority="6137" operator="equal">
      <formula>"PMS"</formula>
    </cfRule>
    <cfRule type="containsText" dxfId="6438" priority="6138" operator="containsText" text="CMS">
      <formula>NOT(ISERROR(SEARCH("CMS",O58)))</formula>
    </cfRule>
    <cfRule type="cellIs" dxfId="6437" priority="6139" operator="equal">
      <formula>0</formula>
    </cfRule>
    <cfRule type="cellIs" dxfId="6436" priority="6140" operator="greaterThan">
      <formula>0</formula>
    </cfRule>
  </conditionalFormatting>
  <conditionalFormatting sqref="O58">
    <cfRule type="cellIs" dxfId="6435" priority="6133" operator="equal">
      <formula>"PMS"</formula>
    </cfRule>
    <cfRule type="containsText" dxfId="6434" priority="6134" operator="containsText" text="CMS">
      <formula>NOT(ISERROR(SEARCH("CMS",O58)))</formula>
    </cfRule>
    <cfRule type="cellIs" dxfId="6433" priority="6135" operator="equal">
      <formula>0</formula>
    </cfRule>
    <cfRule type="cellIs" dxfId="6432" priority="6136" operator="greaterThan">
      <formula>0</formula>
    </cfRule>
  </conditionalFormatting>
  <conditionalFormatting sqref="O58">
    <cfRule type="cellIs" dxfId="6431" priority="6129" operator="equal">
      <formula>"PMS"</formula>
    </cfRule>
    <cfRule type="containsText" dxfId="6430" priority="6130" operator="containsText" text="CMS">
      <formula>NOT(ISERROR(SEARCH("CMS",O58)))</formula>
    </cfRule>
    <cfRule type="cellIs" dxfId="6429" priority="6131" operator="equal">
      <formula>0</formula>
    </cfRule>
    <cfRule type="cellIs" dxfId="6428" priority="6132" operator="greaterThan">
      <formula>0</formula>
    </cfRule>
  </conditionalFormatting>
  <conditionalFormatting sqref="O58">
    <cfRule type="cellIs" dxfId="6427" priority="6125" operator="equal">
      <formula>"PMS"</formula>
    </cfRule>
    <cfRule type="containsText" dxfId="6426" priority="6126" operator="containsText" text="CMS">
      <formula>NOT(ISERROR(SEARCH("CMS",O58)))</formula>
    </cfRule>
    <cfRule type="cellIs" dxfId="6425" priority="6127" operator="equal">
      <formula>0</formula>
    </cfRule>
    <cfRule type="cellIs" dxfId="6424" priority="6128" operator="greaterThan">
      <formula>0</formula>
    </cfRule>
  </conditionalFormatting>
  <conditionalFormatting sqref="O58">
    <cfRule type="cellIs" dxfId="6423" priority="6121" operator="equal">
      <formula>"PMS"</formula>
    </cfRule>
    <cfRule type="containsText" dxfId="6422" priority="6122" operator="containsText" text="CMS">
      <formula>NOT(ISERROR(SEARCH("CMS",O58)))</formula>
    </cfRule>
    <cfRule type="cellIs" dxfId="6421" priority="6123" operator="equal">
      <formula>0</formula>
    </cfRule>
    <cfRule type="cellIs" dxfId="6420" priority="6124" operator="greaterThan">
      <formula>0</formula>
    </cfRule>
  </conditionalFormatting>
  <conditionalFormatting sqref="O58">
    <cfRule type="cellIs" dxfId="6419" priority="6117" operator="equal">
      <formula>"PMS"</formula>
    </cfRule>
    <cfRule type="containsText" dxfId="6418" priority="6118" operator="containsText" text="CMS">
      <formula>NOT(ISERROR(SEARCH("CMS",O58)))</formula>
    </cfRule>
    <cfRule type="cellIs" dxfId="6417" priority="6119" operator="equal">
      <formula>0</formula>
    </cfRule>
    <cfRule type="cellIs" dxfId="6416" priority="6120" operator="greaterThan">
      <formula>0</formula>
    </cfRule>
  </conditionalFormatting>
  <conditionalFormatting sqref="O58">
    <cfRule type="cellIs" dxfId="6415" priority="6113" operator="equal">
      <formula>"PMS"</formula>
    </cfRule>
    <cfRule type="containsText" dxfId="6414" priority="6114" operator="containsText" text="CMS">
      <formula>NOT(ISERROR(SEARCH("CMS",O58)))</formula>
    </cfRule>
    <cfRule type="cellIs" dxfId="6413" priority="6115" operator="equal">
      <formula>0</formula>
    </cfRule>
    <cfRule type="cellIs" dxfId="6412" priority="6116" operator="greaterThan">
      <formula>0</formula>
    </cfRule>
  </conditionalFormatting>
  <conditionalFormatting sqref="O58">
    <cfRule type="cellIs" dxfId="6411" priority="6109" operator="equal">
      <formula>"PMS"</formula>
    </cfRule>
    <cfRule type="containsText" dxfId="6410" priority="6110" operator="containsText" text="CMS">
      <formula>NOT(ISERROR(SEARCH("CMS",O58)))</formula>
    </cfRule>
    <cfRule type="cellIs" dxfId="6409" priority="6111" operator="equal">
      <formula>0</formula>
    </cfRule>
    <cfRule type="cellIs" dxfId="6408" priority="6112" operator="greaterThan">
      <formula>0</formula>
    </cfRule>
  </conditionalFormatting>
  <conditionalFormatting sqref="F13:F16">
    <cfRule type="cellIs" dxfId="6407" priority="6101" operator="equal">
      <formula>"PMS"</formula>
    </cfRule>
    <cfRule type="containsText" dxfId="6406" priority="6102" operator="containsText" text="CMS">
      <formula>NOT(ISERROR(SEARCH("CMS",F13)))</formula>
    </cfRule>
    <cfRule type="cellIs" dxfId="6405" priority="6103" operator="equal">
      <formula>0</formula>
    </cfRule>
    <cfRule type="cellIs" dxfId="6404" priority="6104" operator="greaterThan">
      <formula>0</formula>
    </cfRule>
    <cfRule type="cellIs" dxfId="6403" priority="6105" operator="equal">
      <formula>"PMS"</formula>
    </cfRule>
    <cfRule type="containsText" dxfId="6402" priority="6106" operator="containsText" text="CMS">
      <formula>NOT(ISERROR(SEARCH("CMS",F13)))</formula>
    </cfRule>
    <cfRule type="cellIs" dxfId="6401" priority="6107" operator="equal">
      <formula>0</formula>
    </cfRule>
    <cfRule type="cellIs" dxfId="6400" priority="6108" operator="greaterThan">
      <formula>0</formula>
    </cfRule>
  </conditionalFormatting>
  <conditionalFormatting sqref="F13:F16">
    <cfRule type="cellIs" dxfId="6399" priority="6097" operator="equal">
      <formula>"PMS"</formula>
    </cfRule>
    <cfRule type="containsText" dxfId="6398" priority="6098" operator="containsText" text="CMS">
      <formula>NOT(ISERROR(SEARCH("CMS",F13)))</formula>
    </cfRule>
    <cfRule type="cellIs" dxfId="6397" priority="6099" operator="equal">
      <formula>0</formula>
    </cfRule>
    <cfRule type="cellIs" dxfId="6396" priority="6100" operator="greaterThan">
      <formula>0</formula>
    </cfRule>
  </conditionalFormatting>
  <conditionalFormatting sqref="F13:F16">
    <cfRule type="cellIs" dxfId="6395" priority="6093" operator="equal">
      <formula>"PMS"</formula>
    </cfRule>
    <cfRule type="containsText" dxfId="6394" priority="6094" operator="containsText" text="CMS">
      <formula>NOT(ISERROR(SEARCH("CMS",F13)))</formula>
    </cfRule>
    <cfRule type="cellIs" dxfId="6393" priority="6095" operator="equal">
      <formula>0</formula>
    </cfRule>
    <cfRule type="cellIs" dxfId="6392" priority="6096" operator="greaterThan">
      <formula>0</formula>
    </cfRule>
  </conditionalFormatting>
  <conditionalFormatting sqref="F13:F15">
    <cfRule type="cellIs" dxfId="6391" priority="6089" operator="equal">
      <formula>"PMS"</formula>
    </cfRule>
    <cfRule type="containsText" dxfId="6390" priority="6090" operator="containsText" text="CMS">
      <formula>NOT(ISERROR(SEARCH("CMS",F13)))</formula>
    </cfRule>
    <cfRule type="cellIs" dxfId="6389" priority="6091" operator="equal">
      <formula>0</formula>
    </cfRule>
    <cfRule type="cellIs" dxfId="6388" priority="6092" operator="greaterThan">
      <formula>0</formula>
    </cfRule>
  </conditionalFormatting>
  <conditionalFormatting sqref="F13:F15">
    <cfRule type="cellIs" dxfId="6387" priority="6085" operator="equal">
      <formula>"PMS"</formula>
    </cfRule>
    <cfRule type="containsText" dxfId="6386" priority="6086" operator="containsText" text="CMS">
      <formula>NOT(ISERROR(SEARCH("CMS",F13)))</formula>
    </cfRule>
    <cfRule type="cellIs" dxfId="6385" priority="6087" operator="equal">
      <formula>0</formula>
    </cfRule>
    <cfRule type="cellIs" dxfId="6384" priority="6088" operator="greaterThan">
      <formula>0</formula>
    </cfRule>
  </conditionalFormatting>
  <conditionalFormatting sqref="F24">
    <cfRule type="cellIs" dxfId="6383" priority="6077" operator="equal">
      <formula>"PMS"</formula>
    </cfRule>
    <cfRule type="containsText" dxfId="6382" priority="6078" operator="containsText" text="CMS">
      <formula>NOT(ISERROR(SEARCH("CMS",F24)))</formula>
    </cfRule>
    <cfRule type="cellIs" dxfId="6381" priority="6079" operator="equal">
      <formula>0</formula>
    </cfRule>
    <cfRule type="cellIs" dxfId="6380" priority="6080" operator="greaterThan">
      <formula>0</formula>
    </cfRule>
    <cfRule type="cellIs" dxfId="6379" priority="6081" operator="equal">
      <formula>"PMS"</formula>
    </cfRule>
    <cfRule type="containsText" dxfId="6378" priority="6082" operator="containsText" text="CMS">
      <formula>NOT(ISERROR(SEARCH("CMS",F24)))</formula>
    </cfRule>
    <cfRule type="cellIs" dxfId="6377" priority="6083" operator="equal">
      <formula>0</formula>
    </cfRule>
    <cfRule type="cellIs" dxfId="6376" priority="6084" operator="greaterThan">
      <formula>0</formula>
    </cfRule>
  </conditionalFormatting>
  <conditionalFormatting sqref="F24">
    <cfRule type="cellIs" dxfId="6375" priority="6073" operator="equal">
      <formula>"PMS"</formula>
    </cfRule>
    <cfRule type="containsText" dxfId="6374" priority="6074" operator="containsText" text="CMS">
      <formula>NOT(ISERROR(SEARCH("CMS",F24)))</formula>
    </cfRule>
    <cfRule type="cellIs" dxfId="6373" priority="6075" operator="equal">
      <formula>0</formula>
    </cfRule>
    <cfRule type="cellIs" dxfId="6372" priority="6076" operator="greaterThan">
      <formula>0</formula>
    </cfRule>
  </conditionalFormatting>
  <conditionalFormatting sqref="F24">
    <cfRule type="cellIs" dxfId="6371" priority="6069" operator="equal">
      <formula>"PMS"</formula>
    </cfRule>
    <cfRule type="containsText" dxfId="6370" priority="6070" operator="containsText" text="CMS">
      <formula>NOT(ISERROR(SEARCH("CMS",F24)))</formula>
    </cfRule>
    <cfRule type="cellIs" dxfId="6369" priority="6071" operator="equal">
      <formula>0</formula>
    </cfRule>
    <cfRule type="cellIs" dxfId="6368" priority="6072" operator="greaterThan">
      <formula>0</formula>
    </cfRule>
  </conditionalFormatting>
  <conditionalFormatting sqref="F27:F28">
    <cfRule type="cellIs" dxfId="6367" priority="6061" operator="equal">
      <formula>"PMS"</formula>
    </cfRule>
    <cfRule type="containsText" dxfId="6366" priority="6062" operator="containsText" text="CMS">
      <formula>NOT(ISERROR(SEARCH("CMS",F27)))</formula>
    </cfRule>
    <cfRule type="cellIs" dxfId="6365" priority="6063" operator="equal">
      <formula>0</formula>
    </cfRule>
    <cfRule type="cellIs" dxfId="6364" priority="6064" operator="greaterThan">
      <formula>0</formula>
    </cfRule>
    <cfRule type="cellIs" dxfId="6363" priority="6065" operator="equal">
      <formula>"PMS"</formula>
    </cfRule>
    <cfRule type="containsText" dxfId="6362" priority="6066" operator="containsText" text="CMS">
      <formula>NOT(ISERROR(SEARCH("CMS",F27)))</formula>
    </cfRule>
    <cfRule type="cellIs" dxfId="6361" priority="6067" operator="equal">
      <formula>0</formula>
    </cfRule>
    <cfRule type="cellIs" dxfId="6360" priority="6068" operator="greaterThan">
      <formula>0</formula>
    </cfRule>
  </conditionalFormatting>
  <conditionalFormatting sqref="F27:F28">
    <cfRule type="cellIs" dxfId="6359" priority="6057" operator="equal">
      <formula>"PMS"</formula>
    </cfRule>
    <cfRule type="containsText" dxfId="6358" priority="6058" operator="containsText" text="CMS">
      <formula>NOT(ISERROR(SEARCH("CMS",F27)))</formula>
    </cfRule>
    <cfRule type="cellIs" dxfId="6357" priority="6059" operator="equal">
      <formula>0</formula>
    </cfRule>
    <cfRule type="cellIs" dxfId="6356" priority="6060" operator="greaterThan">
      <formula>0</formula>
    </cfRule>
  </conditionalFormatting>
  <conditionalFormatting sqref="F27:F28">
    <cfRule type="cellIs" dxfId="6355" priority="6053" operator="equal">
      <formula>"PMS"</formula>
    </cfRule>
    <cfRule type="containsText" dxfId="6354" priority="6054" operator="containsText" text="CMS">
      <formula>NOT(ISERROR(SEARCH("CMS",F27)))</formula>
    </cfRule>
    <cfRule type="cellIs" dxfId="6353" priority="6055" operator="equal">
      <formula>0</formula>
    </cfRule>
    <cfRule type="cellIs" dxfId="6352" priority="6056" operator="greaterThan">
      <formula>0</formula>
    </cfRule>
  </conditionalFormatting>
  <conditionalFormatting sqref="F29">
    <cfRule type="cellIs" dxfId="6351" priority="6045" operator="equal">
      <formula>"PMS"</formula>
    </cfRule>
    <cfRule type="containsText" dxfId="6350" priority="6046" operator="containsText" text="CMS">
      <formula>NOT(ISERROR(SEARCH("CMS",F29)))</formula>
    </cfRule>
    <cfRule type="cellIs" dxfId="6349" priority="6047" operator="equal">
      <formula>0</formula>
    </cfRule>
    <cfRule type="cellIs" dxfId="6348" priority="6048" operator="greaterThan">
      <formula>0</formula>
    </cfRule>
    <cfRule type="cellIs" dxfId="6347" priority="6049" operator="equal">
      <formula>"PMS"</formula>
    </cfRule>
    <cfRule type="containsText" dxfId="6346" priority="6050" operator="containsText" text="CMS">
      <formula>NOT(ISERROR(SEARCH("CMS",F29)))</formula>
    </cfRule>
    <cfRule type="cellIs" dxfId="6345" priority="6051" operator="equal">
      <formula>0</formula>
    </cfRule>
    <cfRule type="cellIs" dxfId="6344" priority="6052" operator="greaterThan">
      <formula>0</formula>
    </cfRule>
  </conditionalFormatting>
  <conditionalFormatting sqref="F61:F63">
    <cfRule type="cellIs" dxfId="6343" priority="6037" operator="equal">
      <formula>"PMS"</formula>
    </cfRule>
    <cfRule type="containsText" dxfId="6342" priority="6038" operator="containsText" text="CMS">
      <formula>NOT(ISERROR(SEARCH("CMS",F61)))</formula>
    </cfRule>
    <cfRule type="cellIs" dxfId="6341" priority="6039" operator="equal">
      <formula>0</formula>
    </cfRule>
    <cfRule type="cellIs" dxfId="6340" priority="6040" operator="greaterThan">
      <formula>0</formula>
    </cfRule>
    <cfRule type="cellIs" dxfId="6339" priority="6041" operator="equal">
      <formula>"PMS"</formula>
    </cfRule>
    <cfRule type="containsText" dxfId="6338" priority="6042" operator="containsText" text="CMS">
      <formula>NOT(ISERROR(SEARCH("CMS",F61)))</formula>
    </cfRule>
    <cfRule type="cellIs" dxfId="6337" priority="6043" operator="equal">
      <formula>0</formula>
    </cfRule>
    <cfRule type="cellIs" dxfId="6336" priority="6044" operator="greaterThan">
      <formula>0</formula>
    </cfRule>
  </conditionalFormatting>
  <conditionalFormatting sqref="F61:F63">
    <cfRule type="cellIs" dxfId="6335" priority="6033" operator="equal">
      <formula>"PMS"</formula>
    </cfRule>
    <cfRule type="containsText" dxfId="6334" priority="6034" operator="containsText" text="CMS">
      <formula>NOT(ISERROR(SEARCH("CMS",F61)))</formula>
    </cfRule>
    <cfRule type="cellIs" dxfId="6333" priority="6035" operator="equal">
      <formula>0</formula>
    </cfRule>
    <cfRule type="cellIs" dxfId="6332" priority="6036" operator="greaterThan">
      <formula>0</formula>
    </cfRule>
  </conditionalFormatting>
  <conditionalFormatting sqref="F66:F74">
    <cfRule type="cellIs" dxfId="6331" priority="6025" operator="equal">
      <formula>"PMS"</formula>
    </cfRule>
    <cfRule type="containsText" dxfId="6330" priority="6026" operator="containsText" text="CMS">
      <formula>NOT(ISERROR(SEARCH("CMS",F66)))</formula>
    </cfRule>
    <cfRule type="cellIs" dxfId="6329" priority="6027" operator="equal">
      <formula>0</formula>
    </cfRule>
    <cfRule type="cellIs" dxfId="6328" priority="6028" operator="greaterThan">
      <formula>0</formula>
    </cfRule>
    <cfRule type="cellIs" dxfId="6327" priority="6029" operator="equal">
      <formula>"PMS"</formula>
    </cfRule>
    <cfRule type="containsText" dxfId="6326" priority="6030" operator="containsText" text="CMS">
      <formula>NOT(ISERROR(SEARCH("CMS",F66)))</formula>
    </cfRule>
    <cfRule type="cellIs" dxfId="6325" priority="6031" operator="equal">
      <formula>0</formula>
    </cfRule>
    <cfRule type="cellIs" dxfId="6324" priority="6032" operator="greaterThan">
      <formula>0</formula>
    </cfRule>
  </conditionalFormatting>
  <conditionalFormatting sqref="F66:F74">
    <cfRule type="cellIs" dxfId="6323" priority="6021" operator="equal">
      <formula>"PMS"</formula>
    </cfRule>
    <cfRule type="containsText" dxfId="6322" priority="6022" operator="containsText" text="CMS">
      <formula>NOT(ISERROR(SEARCH("CMS",F66)))</formula>
    </cfRule>
    <cfRule type="cellIs" dxfId="6321" priority="6023" operator="equal">
      <formula>0</formula>
    </cfRule>
    <cfRule type="cellIs" dxfId="6320" priority="6024" operator="greaterThan">
      <formula>0</formula>
    </cfRule>
  </conditionalFormatting>
  <conditionalFormatting sqref="F66:F74">
    <cfRule type="cellIs" dxfId="6319" priority="6017" operator="equal">
      <formula>"PMS"</formula>
    </cfRule>
    <cfRule type="containsText" dxfId="6318" priority="6018" operator="containsText" text="CMS">
      <formula>NOT(ISERROR(SEARCH("CMS",F66)))</formula>
    </cfRule>
    <cfRule type="cellIs" dxfId="6317" priority="6019" operator="equal">
      <formula>0</formula>
    </cfRule>
    <cfRule type="cellIs" dxfId="6316" priority="6020" operator="greaterThan">
      <formula>0</formula>
    </cfRule>
  </conditionalFormatting>
  <conditionalFormatting sqref="O58">
    <cfRule type="cellIs" dxfId="6311" priority="6009" operator="equal">
      <formula>"PMS"</formula>
    </cfRule>
    <cfRule type="containsText" dxfId="6310" priority="6010" operator="containsText" text="CMS">
      <formula>NOT(ISERROR(SEARCH("CMS",O58)))</formula>
    </cfRule>
    <cfRule type="cellIs" dxfId="6309" priority="6011" operator="equal">
      <formula>0</formula>
    </cfRule>
    <cfRule type="cellIs" dxfId="6308" priority="6012" operator="greaterThan">
      <formula>0</formula>
    </cfRule>
  </conditionalFormatting>
  <conditionalFormatting sqref="O58">
    <cfRule type="cellIs" dxfId="6307" priority="6005" operator="equal">
      <formula>"PMS"</formula>
    </cfRule>
    <cfRule type="containsText" dxfId="6306" priority="6006" operator="containsText" text="CMS">
      <formula>NOT(ISERROR(SEARCH("CMS",O58)))</formula>
    </cfRule>
    <cfRule type="cellIs" dxfId="6305" priority="6007" operator="equal">
      <formula>0</formula>
    </cfRule>
    <cfRule type="cellIs" dxfId="6304" priority="6008" operator="greaterThan">
      <formula>0</formula>
    </cfRule>
  </conditionalFormatting>
  <conditionalFormatting sqref="O58">
    <cfRule type="cellIs" dxfId="6303" priority="6001" operator="equal">
      <formula>"PMS"</formula>
    </cfRule>
    <cfRule type="containsText" dxfId="6302" priority="6002" operator="containsText" text="CMS">
      <formula>NOT(ISERROR(SEARCH("CMS",O58)))</formula>
    </cfRule>
    <cfRule type="cellIs" dxfId="6301" priority="6003" operator="equal">
      <formula>0</formula>
    </cfRule>
    <cfRule type="cellIs" dxfId="6300" priority="6004" operator="greaterThan">
      <formula>0</formula>
    </cfRule>
  </conditionalFormatting>
  <conditionalFormatting sqref="O58">
    <cfRule type="cellIs" dxfId="6299" priority="5997" operator="equal">
      <formula>"PMS"</formula>
    </cfRule>
    <cfRule type="containsText" dxfId="6298" priority="5998" operator="containsText" text="CMS">
      <formula>NOT(ISERROR(SEARCH("CMS",O58)))</formula>
    </cfRule>
    <cfRule type="cellIs" dxfId="6297" priority="5999" operator="equal">
      <formula>0</formula>
    </cfRule>
    <cfRule type="cellIs" dxfId="6296" priority="6000" operator="greaterThan">
      <formula>0</formula>
    </cfRule>
  </conditionalFormatting>
  <conditionalFormatting sqref="O58">
    <cfRule type="cellIs" dxfId="6295" priority="5993" operator="equal">
      <formula>"PMS"</formula>
    </cfRule>
    <cfRule type="containsText" dxfId="6294" priority="5994" operator="containsText" text="CMS">
      <formula>NOT(ISERROR(SEARCH("CMS",O58)))</formula>
    </cfRule>
    <cfRule type="cellIs" dxfId="6293" priority="5995" operator="equal">
      <formula>0</formula>
    </cfRule>
    <cfRule type="cellIs" dxfId="6292" priority="5996" operator="greaterThan">
      <formula>0</formula>
    </cfRule>
  </conditionalFormatting>
  <conditionalFormatting sqref="O58">
    <cfRule type="cellIs" dxfId="6291" priority="5989" operator="equal">
      <formula>"PMS"</formula>
    </cfRule>
    <cfRule type="containsText" dxfId="6290" priority="5990" operator="containsText" text="CMS">
      <formula>NOT(ISERROR(SEARCH("CMS",O58)))</formula>
    </cfRule>
    <cfRule type="cellIs" dxfId="6289" priority="5991" operator="equal">
      <formula>0</formula>
    </cfRule>
    <cfRule type="cellIs" dxfId="6288" priority="5992" operator="greaterThan">
      <formula>0</formula>
    </cfRule>
  </conditionalFormatting>
  <conditionalFormatting sqref="O58">
    <cfRule type="cellIs" dxfId="6287" priority="5985" operator="equal">
      <formula>"PMS"</formula>
    </cfRule>
    <cfRule type="containsText" dxfId="6286" priority="5986" operator="containsText" text="CMS">
      <formula>NOT(ISERROR(SEARCH("CMS",O58)))</formula>
    </cfRule>
    <cfRule type="cellIs" dxfId="6285" priority="5987" operator="equal">
      <formula>0</formula>
    </cfRule>
    <cfRule type="cellIs" dxfId="6284" priority="5988" operator="greaterThan">
      <formula>0</formula>
    </cfRule>
  </conditionalFormatting>
  <conditionalFormatting sqref="O58">
    <cfRule type="cellIs" dxfId="6283" priority="5981" operator="equal">
      <formula>"PMS"</formula>
    </cfRule>
    <cfRule type="containsText" dxfId="6282" priority="5982" operator="containsText" text="CMS">
      <formula>NOT(ISERROR(SEARCH("CMS",O58)))</formula>
    </cfRule>
    <cfRule type="cellIs" dxfId="6281" priority="5983" operator="equal">
      <formula>0</formula>
    </cfRule>
    <cfRule type="cellIs" dxfId="6280" priority="5984" operator="greaterThan">
      <formula>0</formula>
    </cfRule>
  </conditionalFormatting>
  <conditionalFormatting sqref="O58">
    <cfRule type="cellIs" dxfId="6279" priority="5977" operator="equal">
      <formula>"PMS"</formula>
    </cfRule>
    <cfRule type="containsText" dxfId="6278" priority="5978" operator="containsText" text="CMS">
      <formula>NOT(ISERROR(SEARCH("CMS",O58)))</formula>
    </cfRule>
    <cfRule type="cellIs" dxfId="6277" priority="5979" operator="equal">
      <formula>0</formula>
    </cfRule>
    <cfRule type="cellIs" dxfId="6276" priority="5980" operator="greaterThan">
      <formula>0</formula>
    </cfRule>
  </conditionalFormatting>
  <conditionalFormatting sqref="O58">
    <cfRule type="cellIs" dxfId="6275" priority="5973" operator="equal">
      <formula>"PMS"</formula>
    </cfRule>
    <cfRule type="containsText" dxfId="6274" priority="5974" operator="containsText" text="CMS">
      <formula>NOT(ISERROR(SEARCH("CMS",O58)))</formula>
    </cfRule>
    <cfRule type="cellIs" dxfId="6273" priority="5975" operator="equal">
      <formula>0</formula>
    </cfRule>
    <cfRule type="cellIs" dxfId="6272" priority="5976" operator="greaterThan">
      <formula>0</formula>
    </cfRule>
  </conditionalFormatting>
  <conditionalFormatting sqref="O58">
    <cfRule type="cellIs" dxfId="6271" priority="5969" operator="equal">
      <formula>"PMS"</formula>
    </cfRule>
    <cfRule type="containsText" dxfId="6270" priority="5970" operator="containsText" text="CMS">
      <formula>NOT(ISERROR(SEARCH("CMS",O58)))</formula>
    </cfRule>
    <cfRule type="cellIs" dxfId="6269" priority="5971" operator="equal">
      <formula>0</formula>
    </cfRule>
    <cfRule type="cellIs" dxfId="6268" priority="5972" operator="greaterThan">
      <formula>0</formula>
    </cfRule>
  </conditionalFormatting>
  <conditionalFormatting sqref="O58">
    <cfRule type="cellIs" dxfId="6267" priority="5965" operator="equal">
      <formula>"PMS"</formula>
    </cfRule>
    <cfRule type="containsText" dxfId="6266" priority="5966" operator="containsText" text="CMS">
      <formula>NOT(ISERROR(SEARCH("CMS",O58)))</formula>
    </cfRule>
    <cfRule type="cellIs" dxfId="6265" priority="5967" operator="equal">
      <formula>0</formula>
    </cfRule>
    <cfRule type="cellIs" dxfId="6264" priority="5968" operator="greaterThan">
      <formula>0</formula>
    </cfRule>
  </conditionalFormatting>
  <conditionalFormatting sqref="O58">
    <cfRule type="cellIs" dxfId="6263" priority="5961" operator="equal">
      <formula>"PMS"</formula>
    </cfRule>
    <cfRule type="containsText" dxfId="6262" priority="5962" operator="containsText" text="CMS">
      <formula>NOT(ISERROR(SEARCH("CMS",O58)))</formula>
    </cfRule>
    <cfRule type="cellIs" dxfId="6261" priority="5963" operator="equal">
      <formula>0</formula>
    </cfRule>
    <cfRule type="cellIs" dxfId="6260" priority="5964" operator="greaterThan">
      <formula>0</formula>
    </cfRule>
  </conditionalFormatting>
  <conditionalFormatting sqref="O58">
    <cfRule type="cellIs" dxfId="6259" priority="5957" operator="equal">
      <formula>"PMS"</formula>
    </cfRule>
    <cfRule type="containsText" dxfId="6258" priority="5958" operator="containsText" text="CMS">
      <formula>NOT(ISERROR(SEARCH("CMS",O58)))</formula>
    </cfRule>
    <cfRule type="cellIs" dxfId="6257" priority="5959" operator="equal">
      <formula>0</formula>
    </cfRule>
    <cfRule type="cellIs" dxfId="6256" priority="5960" operator="greaterThan">
      <formula>0</formula>
    </cfRule>
  </conditionalFormatting>
  <conditionalFormatting sqref="O58">
    <cfRule type="cellIs" dxfId="6255" priority="5953" operator="equal">
      <formula>"PMS"</formula>
    </cfRule>
    <cfRule type="containsText" dxfId="6254" priority="5954" operator="containsText" text="CMS">
      <formula>NOT(ISERROR(SEARCH("CMS",O58)))</formula>
    </cfRule>
    <cfRule type="cellIs" dxfId="6253" priority="5955" operator="equal">
      <formula>0</formula>
    </cfRule>
    <cfRule type="cellIs" dxfId="6252" priority="5956" operator="greaterThan">
      <formula>0</formula>
    </cfRule>
  </conditionalFormatting>
  <conditionalFormatting sqref="O58">
    <cfRule type="cellIs" dxfId="6251" priority="5949" operator="equal">
      <formula>"PMS"</formula>
    </cfRule>
    <cfRule type="containsText" dxfId="6250" priority="5950" operator="containsText" text="CMS">
      <formula>NOT(ISERROR(SEARCH("CMS",O58)))</formula>
    </cfRule>
    <cfRule type="cellIs" dxfId="6249" priority="5951" operator="equal">
      <formula>0</formula>
    </cfRule>
    <cfRule type="cellIs" dxfId="6248" priority="5952" operator="greaterThan">
      <formula>0</formula>
    </cfRule>
  </conditionalFormatting>
  <conditionalFormatting sqref="O58">
    <cfRule type="cellIs" dxfId="6247" priority="5945" operator="equal">
      <formula>"PMS"</formula>
    </cfRule>
    <cfRule type="containsText" dxfId="6246" priority="5946" operator="containsText" text="CMS">
      <formula>NOT(ISERROR(SEARCH("CMS",O58)))</formula>
    </cfRule>
    <cfRule type="cellIs" dxfId="6245" priority="5947" operator="equal">
      <formula>0</formula>
    </cfRule>
    <cfRule type="cellIs" dxfId="6244" priority="5948" operator="greaterThan">
      <formula>0</formula>
    </cfRule>
  </conditionalFormatting>
  <conditionalFormatting sqref="O58">
    <cfRule type="cellIs" dxfId="6243" priority="5941" operator="equal">
      <formula>"PMS"</formula>
    </cfRule>
    <cfRule type="containsText" dxfId="6242" priority="5942" operator="containsText" text="CMS">
      <formula>NOT(ISERROR(SEARCH("CMS",O58)))</formula>
    </cfRule>
    <cfRule type="cellIs" dxfId="6241" priority="5943" operator="equal">
      <formula>0</formula>
    </cfRule>
    <cfRule type="cellIs" dxfId="6240" priority="5944" operator="greaterThan">
      <formula>0</formula>
    </cfRule>
  </conditionalFormatting>
  <conditionalFormatting sqref="O58">
    <cfRule type="cellIs" dxfId="6239" priority="5937" operator="equal">
      <formula>"PMS"</formula>
    </cfRule>
    <cfRule type="containsText" dxfId="6238" priority="5938" operator="containsText" text="CMS">
      <formula>NOT(ISERROR(SEARCH("CMS",O58)))</formula>
    </cfRule>
    <cfRule type="cellIs" dxfId="6237" priority="5939" operator="equal">
      <formula>0</formula>
    </cfRule>
    <cfRule type="cellIs" dxfId="6236" priority="5940" operator="greaterThan">
      <formula>0</formula>
    </cfRule>
  </conditionalFormatting>
  <conditionalFormatting sqref="O58">
    <cfRule type="cellIs" dxfId="6235" priority="5933" operator="equal">
      <formula>"PMS"</formula>
    </cfRule>
    <cfRule type="containsText" dxfId="6234" priority="5934" operator="containsText" text="CMS">
      <formula>NOT(ISERROR(SEARCH("CMS",O58)))</formula>
    </cfRule>
    <cfRule type="cellIs" dxfId="6233" priority="5935" operator="equal">
      <formula>0</formula>
    </cfRule>
    <cfRule type="cellIs" dxfId="6232" priority="5936" operator="greaterThan">
      <formula>0</formula>
    </cfRule>
  </conditionalFormatting>
  <conditionalFormatting sqref="O58">
    <cfRule type="cellIs" dxfId="6231" priority="5929" operator="equal">
      <formula>"PMS"</formula>
    </cfRule>
    <cfRule type="containsText" dxfId="6230" priority="5930" operator="containsText" text="CMS">
      <formula>NOT(ISERROR(SEARCH("CMS",O58)))</formula>
    </cfRule>
    <cfRule type="cellIs" dxfId="6229" priority="5931" operator="equal">
      <formula>0</formula>
    </cfRule>
    <cfRule type="cellIs" dxfId="6228" priority="5932" operator="greaterThan">
      <formula>0</formula>
    </cfRule>
  </conditionalFormatting>
  <conditionalFormatting sqref="O58">
    <cfRule type="cellIs" dxfId="6227" priority="5925" operator="equal">
      <formula>"PMS"</formula>
    </cfRule>
    <cfRule type="containsText" dxfId="6226" priority="5926" operator="containsText" text="CMS">
      <formula>NOT(ISERROR(SEARCH("CMS",O58)))</formula>
    </cfRule>
    <cfRule type="cellIs" dxfId="6225" priority="5927" operator="equal">
      <formula>0</formula>
    </cfRule>
    <cfRule type="cellIs" dxfId="6224" priority="5928" operator="greaterThan">
      <formula>0</formula>
    </cfRule>
  </conditionalFormatting>
  <conditionalFormatting sqref="O58">
    <cfRule type="cellIs" dxfId="6223" priority="5921" operator="equal">
      <formula>"PMS"</formula>
    </cfRule>
    <cfRule type="containsText" dxfId="6222" priority="5922" operator="containsText" text="CMS">
      <formula>NOT(ISERROR(SEARCH("CMS",O58)))</formula>
    </cfRule>
    <cfRule type="cellIs" dxfId="6221" priority="5923" operator="equal">
      <formula>0</formula>
    </cfRule>
    <cfRule type="cellIs" dxfId="6220" priority="5924" operator="greaterThan">
      <formula>0</formula>
    </cfRule>
  </conditionalFormatting>
  <conditionalFormatting sqref="O58">
    <cfRule type="cellIs" dxfId="6219" priority="5917" operator="equal">
      <formula>"PMS"</formula>
    </cfRule>
    <cfRule type="containsText" dxfId="6218" priority="5918" operator="containsText" text="CMS">
      <formula>NOT(ISERROR(SEARCH("CMS",O58)))</formula>
    </cfRule>
    <cfRule type="cellIs" dxfId="6217" priority="5919" operator="equal">
      <formula>0</formula>
    </cfRule>
    <cfRule type="cellIs" dxfId="6216" priority="5920" operator="greaterThan">
      <formula>0</formula>
    </cfRule>
  </conditionalFormatting>
  <conditionalFormatting sqref="O58">
    <cfRule type="cellIs" dxfId="6215" priority="5913" operator="equal">
      <formula>"PMS"</formula>
    </cfRule>
    <cfRule type="containsText" dxfId="6214" priority="5914" operator="containsText" text="CMS">
      <formula>NOT(ISERROR(SEARCH("CMS",O58)))</formula>
    </cfRule>
    <cfRule type="cellIs" dxfId="6213" priority="5915" operator="equal">
      <formula>0</formula>
    </cfRule>
    <cfRule type="cellIs" dxfId="6212" priority="5916" operator="greaterThan">
      <formula>0</formula>
    </cfRule>
  </conditionalFormatting>
  <conditionalFormatting sqref="O58">
    <cfRule type="cellIs" dxfId="6211" priority="5909" operator="equal">
      <formula>"PMS"</formula>
    </cfRule>
    <cfRule type="containsText" dxfId="6210" priority="5910" operator="containsText" text="CMS">
      <formula>NOT(ISERROR(SEARCH("CMS",O58)))</formula>
    </cfRule>
    <cfRule type="cellIs" dxfId="6209" priority="5911" operator="equal">
      <formula>0</formula>
    </cfRule>
    <cfRule type="cellIs" dxfId="6208" priority="5912" operator="greaterThan">
      <formula>0</formula>
    </cfRule>
  </conditionalFormatting>
  <conditionalFormatting sqref="O58">
    <cfRule type="cellIs" dxfId="6207" priority="5905" operator="equal">
      <formula>"PMS"</formula>
    </cfRule>
    <cfRule type="containsText" dxfId="6206" priority="5906" operator="containsText" text="CMS">
      <formula>NOT(ISERROR(SEARCH("CMS",O58)))</formula>
    </cfRule>
    <cfRule type="cellIs" dxfId="6205" priority="5907" operator="equal">
      <formula>0</formula>
    </cfRule>
    <cfRule type="cellIs" dxfId="6204" priority="5908" operator="greaterThan">
      <formula>0</formula>
    </cfRule>
  </conditionalFormatting>
  <conditionalFormatting sqref="O58">
    <cfRule type="cellIs" dxfId="6203" priority="5901" operator="equal">
      <formula>"PMS"</formula>
    </cfRule>
    <cfRule type="containsText" dxfId="6202" priority="5902" operator="containsText" text="CMS">
      <formula>NOT(ISERROR(SEARCH("CMS",O58)))</formula>
    </cfRule>
    <cfRule type="cellIs" dxfId="6201" priority="5903" operator="equal">
      <formula>0</formula>
    </cfRule>
    <cfRule type="cellIs" dxfId="6200" priority="5904" operator="greaterThan">
      <formula>0</formula>
    </cfRule>
  </conditionalFormatting>
  <conditionalFormatting sqref="O58">
    <cfRule type="cellIs" dxfId="6199" priority="5897" operator="equal">
      <formula>"PMS"</formula>
    </cfRule>
    <cfRule type="containsText" dxfId="6198" priority="5898" operator="containsText" text="CMS">
      <formula>NOT(ISERROR(SEARCH("CMS",O58)))</formula>
    </cfRule>
    <cfRule type="cellIs" dxfId="6197" priority="5899" operator="equal">
      <formula>0</formula>
    </cfRule>
    <cfRule type="cellIs" dxfId="6196" priority="5900" operator="greaterThan">
      <formula>0</formula>
    </cfRule>
  </conditionalFormatting>
  <conditionalFormatting sqref="O58">
    <cfRule type="cellIs" dxfId="6195" priority="5893" operator="equal">
      <formula>"PMS"</formula>
    </cfRule>
    <cfRule type="containsText" dxfId="6194" priority="5894" operator="containsText" text="CMS">
      <formula>NOT(ISERROR(SEARCH("CMS",O58)))</formula>
    </cfRule>
    <cfRule type="cellIs" dxfId="6193" priority="5895" operator="equal">
      <formula>0</formula>
    </cfRule>
    <cfRule type="cellIs" dxfId="6192" priority="5896" operator="greaterThan">
      <formula>0</formula>
    </cfRule>
  </conditionalFormatting>
  <conditionalFormatting sqref="O58">
    <cfRule type="cellIs" dxfId="6191" priority="5889" operator="equal">
      <formula>"PMS"</formula>
    </cfRule>
    <cfRule type="containsText" dxfId="6190" priority="5890" operator="containsText" text="CMS">
      <formula>NOT(ISERROR(SEARCH("CMS",O58)))</formula>
    </cfRule>
    <cfRule type="cellIs" dxfId="6189" priority="5891" operator="equal">
      <formula>0</formula>
    </cfRule>
    <cfRule type="cellIs" dxfId="6188" priority="5892" operator="greaterThan">
      <formula>0</formula>
    </cfRule>
  </conditionalFormatting>
  <conditionalFormatting sqref="O58">
    <cfRule type="cellIs" dxfId="6187" priority="5885" operator="equal">
      <formula>"PMS"</formula>
    </cfRule>
    <cfRule type="containsText" dxfId="6186" priority="5886" operator="containsText" text="CMS">
      <formula>NOT(ISERROR(SEARCH("CMS",O58)))</formula>
    </cfRule>
    <cfRule type="cellIs" dxfId="6185" priority="5887" operator="equal">
      <formula>0</formula>
    </cfRule>
    <cfRule type="cellIs" dxfId="6184" priority="5888" operator="greaterThan">
      <formula>0</formula>
    </cfRule>
  </conditionalFormatting>
  <conditionalFormatting sqref="O58">
    <cfRule type="cellIs" dxfId="6183" priority="5881" operator="equal">
      <formula>"PMS"</formula>
    </cfRule>
    <cfRule type="containsText" dxfId="6182" priority="5882" operator="containsText" text="CMS">
      <formula>NOT(ISERROR(SEARCH("CMS",O58)))</formula>
    </cfRule>
    <cfRule type="cellIs" dxfId="6181" priority="5883" operator="equal">
      <formula>0</formula>
    </cfRule>
    <cfRule type="cellIs" dxfId="6180" priority="5884" operator="greaterThan">
      <formula>0</formula>
    </cfRule>
  </conditionalFormatting>
  <conditionalFormatting sqref="O58">
    <cfRule type="cellIs" dxfId="6179" priority="5877" operator="equal">
      <formula>"PMS"</formula>
    </cfRule>
    <cfRule type="containsText" dxfId="6178" priority="5878" operator="containsText" text="CMS">
      <formula>NOT(ISERROR(SEARCH("CMS",O58)))</formula>
    </cfRule>
    <cfRule type="cellIs" dxfId="6177" priority="5879" operator="equal">
      <formula>0</formula>
    </cfRule>
    <cfRule type="cellIs" dxfId="6176" priority="5880" operator="greaterThan">
      <formula>0</formula>
    </cfRule>
  </conditionalFormatting>
  <conditionalFormatting sqref="O58">
    <cfRule type="cellIs" dxfId="6175" priority="5873" operator="equal">
      <formula>"PMS"</formula>
    </cfRule>
    <cfRule type="containsText" dxfId="6174" priority="5874" operator="containsText" text="CMS">
      <formula>NOT(ISERROR(SEARCH("CMS",O58)))</formula>
    </cfRule>
    <cfRule type="cellIs" dxfId="6173" priority="5875" operator="equal">
      <formula>0</formula>
    </cfRule>
    <cfRule type="cellIs" dxfId="6172" priority="5876" operator="greaterThan">
      <formula>0</formula>
    </cfRule>
  </conditionalFormatting>
  <conditionalFormatting sqref="O58">
    <cfRule type="cellIs" dxfId="6171" priority="5869" operator="equal">
      <formula>"PMS"</formula>
    </cfRule>
    <cfRule type="containsText" dxfId="6170" priority="5870" operator="containsText" text="CMS">
      <formula>NOT(ISERROR(SEARCH("CMS",O58)))</formula>
    </cfRule>
    <cfRule type="cellIs" dxfId="6169" priority="5871" operator="equal">
      <formula>0</formula>
    </cfRule>
    <cfRule type="cellIs" dxfId="6168" priority="5872" operator="greaterThan">
      <formula>0</formula>
    </cfRule>
  </conditionalFormatting>
  <conditionalFormatting sqref="O58">
    <cfRule type="cellIs" dxfId="6167" priority="5865" operator="equal">
      <formula>"PMS"</formula>
    </cfRule>
    <cfRule type="containsText" dxfId="6166" priority="5866" operator="containsText" text="CMS">
      <formula>NOT(ISERROR(SEARCH("CMS",O58)))</formula>
    </cfRule>
    <cfRule type="cellIs" dxfId="6165" priority="5867" operator="equal">
      <formula>0</formula>
    </cfRule>
    <cfRule type="cellIs" dxfId="6164" priority="5868" operator="greaterThan">
      <formula>0</formula>
    </cfRule>
  </conditionalFormatting>
  <conditionalFormatting sqref="O58">
    <cfRule type="cellIs" dxfId="6163" priority="5861" operator="equal">
      <formula>"PMS"</formula>
    </cfRule>
    <cfRule type="containsText" dxfId="6162" priority="5862" operator="containsText" text="CMS">
      <formula>NOT(ISERROR(SEARCH("CMS",O58)))</formula>
    </cfRule>
    <cfRule type="cellIs" dxfId="6161" priority="5863" operator="equal">
      <formula>0</formula>
    </cfRule>
    <cfRule type="cellIs" dxfId="6160" priority="5864" operator="greaterThan">
      <formula>0</formula>
    </cfRule>
  </conditionalFormatting>
  <conditionalFormatting sqref="O58">
    <cfRule type="cellIs" dxfId="6159" priority="5857" operator="equal">
      <formula>"PMS"</formula>
    </cfRule>
    <cfRule type="containsText" dxfId="6158" priority="5858" operator="containsText" text="CMS">
      <formula>NOT(ISERROR(SEARCH("CMS",O58)))</formula>
    </cfRule>
    <cfRule type="cellIs" dxfId="6157" priority="5859" operator="equal">
      <formula>0</formula>
    </cfRule>
    <cfRule type="cellIs" dxfId="6156" priority="5860" operator="greaterThan">
      <formula>0</formula>
    </cfRule>
  </conditionalFormatting>
  <conditionalFormatting sqref="O58">
    <cfRule type="cellIs" dxfId="6155" priority="5853" operator="equal">
      <formula>"PMS"</formula>
    </cfRule>
    <cfRule type="containsText" dxfId="6154" priority="5854" operator="containsText" text="CMS">
      <formula>NOT(ISERROR(SEARCH("CMS",O58)))</formula>
    </cfRule>
    <cfRule type="cellIs" dxfId="6153" priority="5855" operator="equal">
      <formula>0</formula>
    </cfRule>
    <cfRule type="cellIs" dxfId="6152" priority="5856" operator="greaterThan">
      <formula>0</formula>
    </cfRule>
  </conditionalFormatting>
  <conditionalFormatting sqref="O58">
    <cfRule type="cellIs" dxfId="6151" priority="5849" operator="equal">
      <formula>"PMS"</formula>
    </cfRule>
    <cfRule type="containsText" dxfId="6150" priority="5850" operator="containsText" text="CMS">
      <formula>NOT(ISERROR(SEARCH("CMS",O58)))</formula>
    </cfRule>
    <cfRule type="cellIs" dxfId="6149" priority="5851" operator="equal">
      <formula>0</formula>
    </cfRule>
    <cfRule type="cellIs" dxfId="6148" priority="5852" operator="greaterThan">
      <formula>0</formula>
    </cfRule>
  </conditionalFormatting>
  <conditionalFormatting sqref="O58">
    <cfRule type="cellIs" dxfId="6147" priority="5845" operator="equal">
      <formula>"PMS"</formula>
    </cfRule>
    <cfRule type="containsText" dxfId="6146" priority="5846" operator="containsText" text="CMS">
      <formula>NOT(ISERROR(SEARCH("CMS",O58)))</formula>
    </cfRule>
    <cfRule type="cellIs" dxfId="6145" priority="5847" operator="equal">
      <formula>0</formula>
    </cfRule>
    <cfRule type="cellIs" dxfId="6144" priority="5848" operator="greaterThan">
      <formula>0</formula>
    </cfRule>
  </conditionalFormatting>
  <conditionalFormatting sqref="O58">
    <cfRule type="cellIs" dxfId="6143" priority="5841" operator="equal">
      <formula>"PMS"</formula>
    </cfRule>
    <cfRule type="containsText" dxfId="6142" priority="5842" operator="containsText" text="CMS">
      <formula>NOT(ISERROR(SEARCH("CMS",O58)))</formula>
    </cfRule>
    <cfRule type="cellIs" dxfId="6141" priority="5843" operator="equal">
      <formula>0</formula>
    </cfRule>
    <cfRule type="cellIs" dxfId="6140" priority="5844" operator="greaterThan">
      <formula>0</formula>
    </cfRule>
  </conditionalFormatting>
  <conditionalFormatting sqref="O58">
    <cfRule type="cellIs" dxfId="6139" priority="5837" operator="equal">
      <formula>"PMS"</formula>
    </cfRule>
    <cfRule type="containsText" dxfId="6138" priority="5838" operator="containsText" text="CMS">
      <formula>NOT(ISERROR(SEARCH("CMS",O58)))</formula>
    </cfRule>
    <cfRule type="cellIs" dxfId="6137" priority="5839" operator="equal">
      <formula>0</formula>
    </cfRule>
    <cfRule type="cellIs" dxfId="6136" priority="5840" operator="greaterThan">
      <formula>0</formula>
    </cfRule>
  </conditionalFormatting>
  <conditionalFormatting sqref="O58">
    <cfRule type="cellIs" dxfId="6135" priority="5833" operator="equal">
      <formula>"PMS"</formula>
    </cfRule>
    <cfRule type="containsText" dxfId="6134" priority="5834" operator="containsText" text="CMS">
      <formula>NOT(ISERROR(SEARCH("CMS",O58)))</formula>
    </cfRule>
    <cfRule type="cellIs" dxfId="6133" priority="5835" operator="equal">
      <formula>0</formula>
    </cfRule>
    <cfRule type="cellIs" dxfId="6132" priority="5836" operator="greaterThan">
      <formula>0</formula>
    </cfRule>
  </conditionalFormatting>
  <conditionalFormatting sqref="O58">
    <cfRule type="cellIs" dxfId="6131" priority="5829" operator="equal">
      <formula>"PMS"</formula>
    </cfRule>
    <cfRule type="containsText" dxfId="6130" priority="5830" operator="containsText" text="CMS">
      <formula>NOT(ISERROR(SEARCH("CMS",O58)))</formula>
    </cfRule>
    <cfRule type="cellIs" dxfId="6129" priority="5831" operator="equal">
      <formula>0</formula>
    </cfRule>
    <cfRule type="cellIs" dxfId="6128" priority="5832" operator="greaterThan">
      <formula>0</formula>
    </cfRule>
  </conditionalFormatting>
  <conditionalFormatting sqref="O58">
    <cfRule type="cellIs" dxfId="6127" priority="5825" operator="equal">
      <formula>"PMS"</formula>
    </cfRule>
    <cfRule type="containsText" dxfId="6126" priority="5826" operator="containsText" text="CMS">
      <formula>NOT(ISERROR(SEARCH("CMS",O58)))</formula>
    </cfRule>
    <cfRule type="cellIs" dxfId="6125" priority="5827" operator="equal">
      <formula>0</formula>
    </cfRule>
    <cfRule type="cellIs" dxfId="6124" priority="5828" operator="greaterThan">
      <formula>0</formula>
    </cfRule>
  </conditionalFormatting>
  <conditionalFormatting sqref="O58">
    <cfRule type="cellIs" dxfId="6123" priority="5821" operator="equal">
      <formula>"PMS"</formula>
    </cfRule>
    <cfRule type="containsText" dxfId="6122" priority="5822" operator="containsText" text="CMS">
      <formula>NOT(ISERROR(SEARCH("CMS",O58)))</formula>
    </cfRule>
    <cfRule type="cellIs" dxfId="6121" priority="5823" operator="equal">
      <formula>0</formula>
    </cfRule>
    <cfRule type="cellIs" dxfId="6120" priority="5824" operator="greaterThan">
      <formula>0</formula>
    </cfRule>
  </conditionalFormatting>
  <conditionalFormatting sqref="O58">
    <cfRule type="cellIs" dxfId="6119" priority="5817" operator="equal">
      <formula>"PMS"</formula>
    </cfRule>
    <cfRule type="containsText" dxfId="6118" priority="5818" operator="containsText" text="CMS">
      <formula>NOT(ISERROR(SEARCH("CMS",O58)))</formula>
    </cfRule>
    <cfRule type="cellIs" dxfId="6117" priority="5819" operator="equal">
      <formula>0</formula>
    </cfRule>
    <cfRule type="cellIs" dxfId="6116" priority="5820" operator="greaterThan">
      <formula>0</formula>
    </cfRule>
  </conditionalFormatting>
  <conditionalFormatting sqref="O58">
    <cfRule type="cellIs" dxfId="6115" priority="5813" operator="equal">
      <formula>"PMS"</formula>
    </cfRule>
    <cfRule type="containsText" dxfId="6114" priority="5814" operator="containsText" text="CMS">
      <formula>NOT(ISERROR(SEARCH("CMS",O58)))</formula>
    </cfRule>
    <cfRule type="cellIs" dxfId="6113" priority="5815" operator="equal">
      <formula>0</formula>
    </cfRule>
    <cfRule type="cellIs" dxfId="6112" priority="5816" operator="greaterThan">
      <formula>0</formula>
    </cfRule>
  </conditionalFormatting>
  <conditionalFormatting sqref="O58">
    <cfRule type="cellIs" dxfId="6111" priority="5809" operator="equal">
      <formula>"PMS"</formula>
    </cfRule>
    <cfRule type="containsText" dxfId="6110" priority="5810" operator="containsText" text="CMS">
      <formula>NOT(ISERROR(SEARCH("CMS",O58)))</formula>
    </cfRule>
    <cfRule type="cellIs" dxfId="6109" priority="5811" operator="equal">
      <formula>0</formula>
    </cfRule>
    <cfRule type="cellIs" dxfId="6108" priority="5812" operator="greaterThan">
      <formula>0</formula>
    </cfRule>
  </conditionalFormatting>
  <conditionalFormatting sqref="O58">
    <cfRule type="cellIs" dxfId="6107" priority="5805" operator="equal">
      <formula>"PMS"</formula>
    </cfRule>
    <cfRule type="containsText" dxfId="6106" priority="5806" operator="containsText" text="CMS">
      <formula>NOT(ISERROR(SEARCH("CMS",O58)))</formula>
    </cfRule>
    <cfRule type="cellIs" dxfId="6105" priority="5807" operator="equal">
      <formula>0</formula>
    </cfRule>
    <cfRule type="cellIs" dxfId="6104" priority="5808" operator="greaterThan">
      <formula>0</formula>
    </cfRule>
  </conditionalFormatting>
  <conditionalFormatting sqref="O58">
    <cfRule type="cellIs" dxfId="6103" priority="5801" operator="equal">
      <formula>"PMS"</formula>
    </cfRule>
    <cfRule type="containsText" dxfId="6102" priority="5802" operator="containsText" text="CMS">
      <formula>NOT(ISERROR(SEARCH("CMS",O58)))</formula>
    </cfRule>
    <cfRule type="cellIs" dxfId="6101" priority="5803" operator="equal">
      <formula>0</formula>
    </cfRule>
    <cfRule type="cellIs" dxfId="6100" priority="5804" operator="greaterThan">
      <formula>0</formula>
    </cfRule>
  </conditionalFormatting>
  <conditionalFormatting sqref="O58">
    <cfRule type="cellIs" dxfId="6099" priority="5797" operator="equal">
      <formula>"PMS"</formula>
    </cfRule>
    <cfRule type="containsText" dxfId="6098" priority="5798" operator="containsText" text="CMS">
      <formula>NOT(ISERROR(SEARCH("CMS",O58)))</formula>
    </cfRule>
    <cfRule type="cellIs" dxfId="6097" priority="5799" operator="equal">
      <formula>0</formula>
    </cfRule>
    <cfRule type="cellIs" dxfId="6096" priority="5800" operator="greaterThan">
      <formula>0</formula>
    </cfRule>
  </conditionalFormatting>
  <conditionalFormatting sqref="O58">
    <cfRule type="cellIs" dxfId="6095" priority="5793" operator="equal">
      <formula>"PMS"</formula>
    </cfRule>
    <cfRule type="containsText" dxfId="6094" priority="5794" operator="containsText" text="CMS">
      <formula>NOT(ISERROR(SEARCH("CMS",O58)))</formula>
    </cfRule>
    <cfRule type="cellIs" dxfId="6093" priority="5795" operator="equal">
      <formula>0</formula>
    </cfRule>
    <cfRule type="cellIs" dxfId="6092" priority="5796" operator="greaterThan">
      <formula>0</formula>
    </cfRule>
  </conditionalFormatting>
  <conditionalFormatting sqref="O58">
    <cfRule type="cellIs" dxfId="6091" priority="5789" operator="equal">
      <formula>"PMS"</formula>
    </cfRule>
    <cfRule type="containsText" dxfId="6090" priority="5790" operator="containsText" text="CMS">
      <formula>NOT(ISERROR(SEARCH("CMS",O58)))</formula>
    </cfRule>
    <cfRule type="cellIs" dxfId="6089" priority="5791" operator="equal">
      <formula>0</formula>
    </cfRule>
    <cfRule type="cellIs" dxfId="6088" priority="5792" operator="greaterThan">
      <formula>0</formula>
    </cfRule>
  </conditionalFormatting>
  <conditionalFormatting sqref="O58">
    <cfRule type="cellIs" dxfId="6087" priority="5785" operator="equal">
      <formula>"PMS"</formula>
    </cfRule>
    <cfRule type="containsText" dxfId="6086" priority="5786" operator="containsText" text="CMS">
      <formula>NOT(ISERROR(SEARCH("CMS",O58)))</formula>
    </cfRule>
    <cfRule type="cellIs" dxfId="6085" priority="5787" operator="equal">
      <formula>0</formula>
    </cfRule>
    <cfRule type="cellIs" dxfId="6084" priority="5788" operator="greaterThan">
      <formula>0</formula>
    </cfRule>
  </conditionalFormatting>
  <conditionalFormatting sqref="O58">
    <cfRule type="cellIs" dxfId="6083" priority="5781" operator="equal">
      <formula>"PMS"</formula>
    </cfRule>
    <cfRule type="containsText" dxfId="6082" priority="5782" operator="containsText" text="CMS">
      <formula>NOT(ISERROR(SEARCH("CMS",O58)))</formula>
    </cfRule>
    <cfRule type="cellIs" dxfId="6081" priority="5783" operator="equal">
      <formula>0</formula>
    </cfRule>
    <cfRule type="cellIs" dxfId="6080" priority="5784" operator="greaterThan">
      <formula>0</formula>
    </cfRule>
  </conditionalFormatting>
  <conditionalFormatting sqref="O58">
    <cfRule type="cellIs" dxfId="6079" priority="5777" operator="equal">
      <formula>"PMS"</formula>
    </cfRule>
    <cfRule type="containsText" dxfId="6078" priority="5778" operator="containsText" text="CMS">
      <formula>NOT(ISERROR(SEARCH("CMS",O58)))</formula>
    </cfRule>
    <cfRule type="cellIs" dxfId="6077" priority="5779" operator="equal">
      <formula>0</formula>
    </cfRule>
    <cfRule type="cellIs" dxfId="6076" priority="5780" operator="greaterThan">
      <formula>0</formula>
    </cfRule>
  </conditionalFormatting>
  <conditionalFormatting sqref="O58">
    <cfRule type="cellIs" dxfId="6075" priority="5773" operator="equal">
      <formula>"PMS"</formula>
    </cfRule>
    <cfRule type="containsText" dxfId="6074" priority="5774" operator="containsText" text="CMS">
      <formula>NOT(ISERROR(SEARCH("CMS",O58)))</formula>
    </cfRule>
    <cfRule type="cellIs" dxfId="6073" priority="5775" operator="equal">
      <formula>0</formula>
    </cfRule>
    <cfRule type="cellIs" dxfId="6072" priority="5776" operator="greaterThan">
      <formula>0</formula>
    </cfRule>
  </conditionalFormatting>
  <conditionalFormatting sqref="O58">
    <cfRule type="cellIs" dxfId="6071" priority="5769" operator="equal">
      <formula>"PMS"</formula>
    </cfRule>
    <cfRule type="containsText" dxfId="6070" priority="5770" operator="containsText" text="CMS">
      <formula>NOT(ISERROR(SEARCH("CMS",O58)))</formula>
    </cfRule>
    <cfRule type="cellIs" dxfId="6069" priority="5771" operator="equal">
      <formula>0</formula>
    </cfRule>
    <cfRule type="cellIs" dxfId="6068" priority="5772" operator="greaterThan">
      <formula>0</formula>
    </cfRule>
  </conditionalFormatting>
  <conditionalFormatting sqref="O58">
    <cfRule type="cellIs" dxfId="6067" priority="5765" operator="equal">
      <formula>"PMS"</formula>
    </cfRule>
    <cfRule type="containsText" dxfId="6066" priority="5766" operator="containsText" text="CMS">
      <formula>NOT(ISERROR(SEARCH("CMS",O58)))</formula>
    </cfRule>
    <cfRule type="cellIs" dxfId="6065" priority="5767" operator="equal">
      <formula>0</formula>
    </cfRule>
    <cfRule type="cellIs" dxfId="6064" priority="5768" operator="greaterThan">
      <formula>0</formula>
    </cfRule>
  </conditionalFormatting>
  <conditionalFormatting sqref="O58">
    <cfRule type="cellIs" dxfId="6063" priority="5761" operator="equal">
      <formula>"PMS"</formula>
    </cfRule>
    <cfRule type="containsText" dxfId="6062" priority="5762" operator="containsText" text="CMS">
      <formula>NOT(ISERROR(SEARCH("CMS",O58)))</formula>
    </cfRule>
    <cfRule type="cellIs" dxfId="6061" priority="5763" operator="equal">
      <formula>0</formula>
    </cfRule>
    <cfRule type="cellIs" dxfId="6060" priority="5764" operator="greaterThan">
      <formula>0</formula>
    </cfRule>
  </conditionalFormatting>
  <conditionalFormatting sqref="O44:O46">
    <cfRule type="cellIs" dxfId="6059" priority="5757" operator="equal">
      <formula>"PMS"</formula>
    </cfRule>
    <cfRule type="containsText" dxfId="6058" priority="5758" operator="containsText" text="CMS">
      <formula>NOT(ISERROR(SEARCH("CMS",O44)))</formula>
    </cfRule>
    <cfRule type="cellIs" dxfId="6057" priority="5759" operator="equal">
      <formula>0</formula>
    </cfRule>
    <cfRule type="cellIs" dxfId="6056" priority="5760" operator="greaterThan">
      <formula>0</formula>
    </cfRule>
  </conditionalFormatting>
  <conditionalFormatting sqref="O44:O46">
    <cfRule type="cellIs" dxfId="6055" priority="5753" operator="equal">
      <formula>"PMS"</formula>
    </cfRule>
    <cfRule type="containsText" dxfId="6054" priority="5754" operator="containsText" text="CMS">
      <formula>NOT(ISERROR(SEARCH("CMS",O44)))</formula>
    </cfRule>
    <cfRule type="cellIs" dxfId="6053" priority="5755" operator="equal">
      <formula>0</formula>
    </cfRule>
    <cfRule type="cellIs" dxfId="6052" priority="5756" operator="greaterThan">
      <formula>0</formula>
    </cfRule>
  </conditionalFormatting>
  <conditionalFormatting sqref="O44:O46">
    <cfRule type="cellIs" dxfId="6051" priority="5749" operator="equal">
      <formula>"PMS"</formula>
    </cfRule>
    <cfRule type="containsText" dxfId="6050" priority="5750" operator="containsText" text="CMS">
      <formula>NOT(ISERROR(SEARCH("CMS",O44)))</formula>
    </cfRule>
    <cfRule type="cellIs" dxfId="6049" priority="5751" operator="equal">
      <formula>0</formula>
    </cfRule>
    <cfRule type="cellIs" dxfId="6048" priority="5752" operator="greaterThan">
      <formula>0</formula>
    </cfRule>
  </conditionalFormatting>
  <conditionalFormatting sqref="O44:O46">
    <cfRule type="cellIs" dxfId="6047" priority="5745" operator="equal">
      <formula>"PMS"</formula>
    </cfRule>
    <cfRule type="containsText" dxfId="6046" priority="5746" operator="containsText" text="CMS">
      <formula>NOT(ISERROR(SEARCH("CMS",O44)))</formula>
    </cfRule>
    <cfRule type="cellIs" dxfId="6045" priority="5747" operator="equal">
      <formula>0</formula>
    </cfRule>
    <cfRule type="cellIs" dxfId="6044" priority="5748" operator="greaterThan">
      <formula>0</formula>
    </cfRule>
  </conditionalFormatting>
  <conditionalFormatting sqref="O44:O46">
    <cfRule type="cellIs" dxfId="6043" priority="5741" operator="equal">
      <formula>"PMS"</formula>
    </cfRule>
    <cfRule type="containsText" dxfId="6042" priority="5742" operator="containsText" text="CMS">
      <formula>NOT(ISERROR(SEARCH("CMS",O44)))</formula>
    </cfRule>
    <cfRule type="cellIs" dxfId="6041" priority="5743" operator="equal">
      <formula>0</formula>
    </cfRule>
    <cfRule type="cellIs" dxfId="6040" priority="5744" operator="greaterThan">
      <formula>0</formula>
    </cfRule>
  </conditionalFormatting>
  <conditionalFormatting sqref="O44:O46">
    <cfRule type="cellIs" dxfId="6039" priority="5737" operator="equal">
      <formula>"PMS"</formula>
    </cfRule>
    <cfRule type="containsText" dxfId="6038" priority="5738" operator="containsText" text="CMS">
      <formula>NOT(ISERROR(SEARCH("CMS",O44)))</formula>
    </cfRule>
    <cfRule type="cellIs" dxfId="6037" priority="5739" operator="equal">
      <formula>0</formula>
    </cfRule>
    <cfRule type="cellIs" dxfId="6036" priority="5740" operator="greaterThan">
      <formula>0</formula>
    </cfRule>
  </conditionalFormatting>
  <conditionalFormatting sqref="O44:O46">
    <cfRule type="cellIs" dxfId="6035" priority="5733" operator="equal">
      <formula>"PMS"</formula>
    </cfRule>
    <cfRule type="containsText" dxfId="6034" priority="5734" operator="containsText" text="CMS">
      <formula>NOT(ISERROR(SEARCH("CMS",O44)))</formula>
    </cfRule>
    <cfRule type="cellIs" dxfId="6033" priority="5735" operator="equal">
      <formula>0</formula>
    </cfRule>
    <cfRule type="cellIs" dxfId="6032" priority="5736" operator="greaterThan">
      <formula>0</formula>
    </cfRule>
  </conditionalFormatting>
  <conditionalFormatting sqref="O44:O46">
    <cfRule type="cellIs" dxfId="6031" priority="5729" operator="equal">
      <formula>"PMS"</formula>
    </cfRule>
    <cfRule type="containsText" dxfId="6030" priority="5730" operator="containsText" text="CMS">
      <formula>NOT(ISERROR(SEARCH("CMS",O44)))</formula>
    </cfRule>
    <cfRule type="cellIs" dxfId="6029" priority="5731" operator="equal">
      <formula>0</formula>
    </cfRule>
    <cfRule type="cellIs" dxfId="6028" priority="5732" operator="greaterThan">
      <formula>0</formula>
    </cfRule>
  </conditionalFormatting>
  <conditionalFormatting sqref="O44:O46">
    <cfRule type="cellIs" dxfId="6027" priority="5725" operator="equal">
      <formula>"PMS"</formula>
    </cfRule>
    <cfRule type="containsText" dxfId="6026" priority="5726" operator="containsText" text="CMS">
      <formula>NOT(ISERROR(SEARCH("CMS",O44)))</formula>
    </cfRule>
    <cfRule type="cellIs" dxfId="6025" priority="5727" operator="equal">
      <formula>0</formula>
    </cfRule>
    <cfRule type="cellIs" dxfId="6024" priority="5728" operator="greaterThan">
      <formula>0</formula>
    </cfRule>
  </conditionalFormatting>
  <conditionalFormatting sqref="O44:O46">
    <cfRule type="cellIs" dxfId="6023" priority="5721" operator="equal">
      <formula>"PMS"</formula>
    </cfRule>
    <cfRule type="containsText" dxfId="6022" priority="5722" operator="containsText" text="CMS">
      <formula>NOT(ISERROR(SEARCH("CMS",O44)))</formula>
    </cfRule>
    <cfRule type="cellIs" dxfId="6021" priority="5723" operator="equal">
      <formula>0</formula>
    </cfRule>
    <cfRule type="cellIs" dxfId="6020" priority="5724" operator="greaterThan">
      <formula>0</formula>
    </cfRule>
  </conditionalFormatting>
  <conditionalFormatting sqref="O44:O46">
    <cfRule type="cellIs" dxfId="6019" priority="5717" operator="equal">
      <formula>"PMS"</formula>
    </cfRule>
    <cfRule type="containsText" dxfId="6018" priority="5718" operator="containsText" text="CMS">
      <formula>NOT(ISERROR(SEARCH("CMS",O44)))</formula>
    </cfRule>
    <cfRule type="cellIs" dxfId="6017" priority="5719" operator="equal">
      <formula>0</formula>
    </cfRule>
    <cfRule type="cellIs" dxfId="6016" priority="5720" operator="greaterThan">
      <formula>0</formula>
    </cfRule>
  </conditionalFormatting>
  <conditionalFormatting sqref="O44:O46">
    <cfRule type="cellIs" dxfId="6015" priority="5713" operator="equal">
      <formula>"PMS"</formula>
    </cfRule>
    <cfRule type="containsText" dxfId="6014" priority="5714" operator="containsText" text="CMS">
      <formula>NOT(ISERROR(SEARCH("CMS",O44)))</formula>
    </cfRule>
    <cfRule type="cellIs" dxfId="6013" priority="5715" operator="equal">
      <formula>0</formula>
    </cfRule>
    <cfRule type="cellIs" dxfId="6012" priority="5716" operator="greaterThan">
      <formula>0</formula>
    </cfRule>
  </conditionalFormatting>
  <conditionalFormatting sqref="O44:O46">
    <cfRule type="cellIs" dxfId="6011" priority="5709" operator="equal">
      <formula>"PMS"</formula>
    </cfRule>
    <cfRule type="containsText" dxfId="6010" priority="5710" operator="containsText" text="CMS">
      <formula>NOT(ISERROR(SEARCH("CMS",O44)))</formula>
    </cfRule>
    <cfRule type="cellIs" dxfId="6009" priority="5711" operator="equal">
      <formula>0</formula>
    </cfRule>
    <cfRule type="cellIs" dxfId="6008" priority="5712" operator="greaterThan">
      <formula>0</formula>
    </cfRule>
  </conditionalFormatting>
  <conditionalFormatting sqref="O44:O46">
    <cfRule type="cellIs" dxfId="6007" priority="5705" operator="equal">
      <formula>"PMS"</formula>
    </cfRule>
    <cfRule type="containsText" dxfId="6006" priority="5706" operator="containsText" text="CMS">
      <formula>NOT(ISERROR(SEARCH("CMS",O44)))</formula>
    </cfRule>
    <cfRule type="cellIs" dxfId="6005" priority="5707" operator="equal">
      <formula>0</formula>
    </cfRule>
    <cfRule type="cellIs" dxfId="6004" priority="5708" operator="greaterThan">
      <formula>0</formula>
    </cfRule>
  </conditionalFormatting>
  <conditionalFormatting sqref="O44:O46">
    <cfRule type="cellIs" dxfId="6003" priority="5701" operator="equal">
      <formula>"PMS"</formula>
    </cfRule>
    <cfRule type="containsText" dxfId="6002" priority="5702" operator="containsText" text="CMS">
      <formula>NOT(ISERROR(SEARCH("CMS",O44)))</formula>
    </cfRule>
    <cfRule type="cellIs" dxfId="6001" priority="5703" operator="equal">
      <formula>0</formula>
    </cfRule>
    <cfRule type="cellIs" dxfId="6000" priority="5704" operator="greaterThan">
      <formula>0</formula>
    </cfRule>
  </conditionalFormatting>
  <conditionalFormatting sqref="O44:O46">
    <cfRule type="cellIs" dxfId="5999" priority="5697" operator="equal">
      <formula>"PMS"</formula>
    </cfRule>
    <cfRule type="containsText" dxfId="5998" priority="5698" operator="containsText" text="CMS">
      <formula>NOT(ISERROR(SEARCH("CMS",O44)))</formula>
    </cfRule>
    <cfRule type="cellIs" dxfId="5997" priority="5699" operator="equal">
      <formula>0</formula>
    </cfRule>
    <cfRule type="cellIs" dxfId="5996" priority="5700" operator="greaterThan">
      <formula>0</formula>
    </cfRule>
  </conditionalFormatting>
  <conditionalFormatting sqref="O44:O46">
    <cfRule type="cellIs" dxfId="5995" priority="5693" operator="equal">
      <formula>"PMS"</formula>
    </cfRule>
    <cfRule type="containsText" dxfId="5994" priority="5694" operator="containsText" text="CMS">
      <formula>NOT(ISERROR(SEARCH("CMS",O44)))</formula>
    </cfRule>
    <cfRule type="cellIs" dxfId="5993" priority="5695" operator="equal">
      <formula>0</formula>
    </cfRule>
    <cfRule type="cellIs" dxfId="5992" priority="5696" operator="greaterThan">
      <formula>0</formula>
    </cfRule>
  </conditionalFormatting>
  <conditionalFormatting sqref="O44:O46">
    <cfRule type="cellIs" dxfId="5991" priority="5689" operator="equal">
      <formula>"PMS"</formula>
    </cfRule>
    <cfRule type="containsText" dxfId="5990" priority="5690" operator="containsText" text="CMS">
      <formula>NOT(ISERROR(SEARCH("CMS",O44)))</formula>
    </cfRule>
    <cfRule type="cellIs" dxfId="5989" priority="5691" operator="equal">
      <formula>0</formula>
    </cfRule>
    <cfRule type="cellIs" dxfId="5988" priority="5692" operator="greaterThan">
      <formula>0</formula>
    </cfRule>
  </conditionalFormatting>
  <conditionalFormatting sqref="O44:O46">
    <cfRule type="cellIs" dxfId="5987" priority="5685" operator="equal">
      <formula>"PMS"</formula>
    </cfRule>
    <cfRule type="containsText" dxfId="5986" priority="5686" operator="containsText" text="CMS">
      <formula>NOT(ISERROR(SEARCH("CMS",O44)))</formula>
    </cfRule>
    <cfRule type="cellIs" dxfId="5985" priority="5687" operator="equal">
      <formula>0</formula>
    </cfRule>
    <cfRule type="cellIs" dxfId="5984" priority="5688" operator="greaterThan">
      <formula>0</formula>
    </cfRule>
  </conditionalFormatting>
  <conditionalFormatting sqref="O44:O46">
    <cfRule type="cellIs" dxfId="5983" priority="5681" operator="equal">
      <formula>"PMS"</formula>
    </cfRule>
    <cfRule type="containsText" dxfId="5982" priority="5682" operator="containsText" text="CMS">
      <formula>NOT(ISERROR(SEARCH("CMS",O44)))</formula>
    </cfRule>
    <cfRule type="cellIs" dxfId="5981" priority="5683" operator="equal">
      <formula>0</formula>
    </cfRule>
    <cfRule type="cellIs" dxfId="5980" priority="5684" operator="greaterThan">
      <formula>0</formula>
    </cfRule>
  </conditionalFormatting>
  <conditionalFormatting sqref="O44:O46">
    <cfRule type="cellIs" dxfId="5979" priority="5677" operator="equal">
      <formula>"PMS"</formula>
    </cfRule>
    <cfRule type="containsText" dxfId="5978" priority="5678" operator="containsText" text="CMS">
      <formula>NOT(ISERROR(SEARCH("CMS",O44)))</formula>
    </cfRule>
    <cfRule type="cellIs" dxfId="5977" priority="5679" operator="equal">
      <formula>0</formula>
    </cfRule>
    <cfRule type="cellIs" dxfId="5976" priority="5680" operator="greaterThan">
      <formula>0</formula>
    </cfRule>
  </conditionalFormatting>
  <conditionalFormatting sqref="O44:O46">
    <cfRule type="cellIs" dxfId="5975" priority="5673" operator="equal">
      <formula>"PMS"</formula>
    </cfRule>
    <cfRule type="containsText" dxfId="5974" priority="5674" operator="containsText" text="CMS">
      <formula>NOT(ISERROR(SEARCH("CMS",O44)))</formula>
    </cfRule>
    <cfRule type="cellIs" dxfId="5973" priority="5675" operator="equal">
      <formula>0</formula>
    </cfRule>
    <cfRule type="cellIs" dxfId="5972" priority="5676" operator="greaterThan">
      <formula>0</formula>
    </cfRule>
  </conditionalFormatting>
  <conditionalFormatting sqref="O44:O46">
    <cfRule type="cellIs" dxfId="5971" priority="5669" operator="equal">
      <formula>"PMS"</formula>
    </cfRule>
    <cfRule type="containsText" dxfId="5970" priority="5670" operator="containsText" text="CMS">
      <formula>NOT(ISERROR(SEARCH("CMS",O44)))</formula>
    </cfRule>
    <cfRule type="cellIs" dxfId="5969" priority="5671" operator="equal">
      <formula>0</formula>
    </cfRule>
    <cfRule type="cellIs" dxfId="5968" priority="5672" operator="greaterThan">
      <formula>0</formula>
    </cfRule>
  </conditionalFormatting>
  <conditionalFormatting sqref="O44:O46">
    <cfRule type="cellIs" dxfId="5967" priority="5665" operator="equal">
      <formula>"PMS"</formula>
    </cfRule>
    <cfRule type="containsText" dxfId="5966" priority="5666" operator="containsText" text="CMS">
      <formula>NOT(ISERROR(SEARCH("CMS",O44)))</formula>
    </cfRule>
    <cfRule type="cellIs" dxfId="5965" priority="5667" operator="equal">
      <formula>0</formula>
    </cfRule>
    <cfRule type="cellIs" dxfId="5964" priority="5668" operator="greaterThan">
      <formula>0</formula>
    </cfRule>
  </conditionalFormatting>
  <conditionalFormatting sqref="O44:O46">
    <cfRule type="cellIs" dxfId="5963" priority="5661" operator="equal">
      <formula>"PMS"</formula>
    </cfRule>
    <cfRule type="containsText" dxfId="5962" priority="5662" operator="containsText" text="CMS">
      <formula>NOT(ISERROR(SEARCH("CMS",O44)))</formula>
    </cfRule>
    <cfRule type="cellIs" dxfId="5961" priority="5663" operator="equal">
      <formula>0</formula>
    </cfRule>
    <cfRule type="cellIs" dxfId="5960" priority="5664" operator="greaterThan">
      <formula>0</formula>
    </cfRule>
  </conditionalFormatting>
  <conditionalFormatting sqref="O44:O46">
    <cfRule type="cellIs" dxfId="5959" priority="5657" operator="equal">
      <formula>"PMS"</formula>
    </cfRule>
    <cfRule type="containsText" dxfId="5958" priority="5658" operator="containsText" text="CMS">
      <formula>NOT(ISERROR(SEARCH("CMS",O44)))</formula>
    </cfRule>
    <cfRule type="cellIs" dxfId="5957" priority="5659" operator="equal">
      <formula>0</formula>
    </cfRule>
    <cfRule type="cellIs" dxfId="5956" priority="5660" operator="greaterThan">
      <formula>0</formula>
    </cfRule>
  </conditionalFormatting>
  <conditionalFormatting sqref="O44:O46">
    <cfRule type="cellIs" dxfId="5955" priority="5653" operator="equal">
      <formula>"PMS"</formula>
    </cfRule>
    <cfRule type="containsText" dxfId="5954" priority="5654" operator="containsText" text="CMS">
      <formula>NOT(ISERROR(SEARCH("CMS",O44)))</formula>
    </cfRule>
    <cfRule type="cellIs" dxfId="5953" priority="5655" operator="equal">
      <formula>0</formula>
    </cfRule>
    <cfRule type="cellIs" dxfId="5952" priority="5656" operator="greaterThan">
      <formula>0</formula>
    </cfRule>
  </conditionalFormatting>
  <conditionalFormatting sqref="O44:O46">
    <cfRule type="cellIs" dxfId="5951" priority="5649" operator="equal">
      <formula>"PMS"</formula>
    </cfRule>
    <cfRule type="containsText" dxfId="5950" priority="5650" operator="containsText" text="CMS">
      <formula>NOT(ISERROR(SEARCH("CMS",O44)))</formula>
    </cfRule>
    <cfRule type="cellIs" dxfId="5949" priority="5651" operator="equal">
      <formula>0</formula>
    </cfRule>
    <cfRule type="cellIs" dxfId="5948" priority="5652" operator="greaterThan">
      <formula>0</formula>
    </cfRule>
  </conditionalFormatting>
  <conditionalFormatting sqref="O44:O46">
    <cfRule type="cellIs" dxfId="5947" priority="5645" operator="equal">
      <formula>"PMS"</formula>
    </cfRule>
    <cfRule type="containsText" dxfId="5946" priority="5646" operator="containsText" text="CMS">
      <formula>NOT(ISERROR(SEARCH("CMS",O44)))</formula>
    </cfRule>
    <cfRule type="cellIs" dxfId="5945" priority="5647" operator="equal">
      <formula>0</formula>
    </cfRule>
    <cfRule type="cellIs" dxfId="5944" priority="5648" operator="greaterThan">
      <formula>0</formula>
    </cfRule>
  </conditionalFormatting>
  <conditionalFormatting sqref="O44:O46">
    <cfRule type="cellIs" dxfId="5943" priority="5641" operator="equal">
      <formula>"PMS"</formula>
    </cfRule>
    <cfRule type="containsText" dxfId="5942" priority="5642" operator="containsText" text="CMS">
      <formula>NOT(ISERROR(SEARCH("CMS",O44)))</formula>
    </cfRule>
    <cfRule type="cellIs" dxfId="5941" priority="5643" operator="equal">
      <formula>0</formula>
    </cfRule>
    <cfRule type="cellIs" dxfId="5940" priority="5644" operator="greaterThan">
      <formula>0</formula>
    </cfRule>
  </conditionalFormatting>
  <conditionalFormatting sqref="O44:O46">
    <cfRule type="cellIs" dxfId="5939" priority="5637" operator="equal">
      <formula>"PMS"</formula>
    </cfRule>
    <cfRule type="containsText" dxfId="5938" priority="5638" operator="containsText" text="CMS">
      <formula>NOT(ISERROR(SEARCH("CMS",O44)))</formula>
    </cfRule>
    <cfRule type="cellIs" dxfId="5937" priority="5639" operator="equal">
      <formula>0</formula>
    </cfRule>
    <cfRule type="cellIs" dxfId="5936" priority="5640" operator="greaterThan">
      <formula>0</formula>
    </cfRule>
  </conditionalFormatting>
  <conditionalFormatting sqref="O44:O46">
    <cfRule type="cellIs" dxfId="5935" priority="5633" operator="equal">
      <formula>"PMS"</formula>
    </cfRule>
    <cfRule type="containsText" dxfId="5934" priority="5634" operator="containsText" text="CMS">
      <formula>NOT(ISERROR(SEARCH("CMS",O44)))</formula>
    </cfRule>
    <cfRule type="cellIs" dxfId="5933" priority="5635" operator="equal">
      <formula>0</formula>
    </cfRule>
    <cfRule type="cellIs" dxfId="5932" priority="5636" operator="greaterThan">
      <formula>0</formula>
    </cfRule>
  </conditionalFormatting>
  <conditionalFormatting sqref="O44:O46">
    <cfRule type="cellIs" dxfId="5931" priority="5629" operator="equal">
      <formula>"PMS"</formula>
    </cfRule>
    <cfRule type="containsText" dxfId="5930" priority="5630" operator="containsText" text="CMS">
      <formula>NOT(ISERROR(SEARCH("CMS",O44)))</formula>
    </cfRule>
    <cfRule type="cellIs" dxfId="5929" priority="5631" operator="equal">
      <formula>0</formula>
    </cfRule>
    <cfRule type="cellIs" dxfId="5928" priority="5632" operator="greaterThan">
      <formula>0</formula>
    </cfRule>
  </conditionalFormatting>
  <conditionalFormatting sqref="O44:O46">
    <cfRule type="cellIs" dxfId="5927" priority="5625" operator="equal">
      <formula>"PMS"</formula>
    </cfRule>
    <cfRule type="containsText" dxfId="5926" priority="5626" operator="containsText" text="CMS">
      <formula>NOT(ISERROR(SEARCH("CMS",O44)))</formula>
    </cfRule>
    <cfRule type="cellIs" dxfId="5925" priority="5627" operator="equal">
      <formula>0</formula>
    </cfRule>
    <cfRule type="cellIs" dxfId="5924" priority="5628" operator="greaterThan">
      <formula>0</formula>
    </cfRule>
  </conditionalFormatting>
  <conditionalFormatting sqref="O44:O46">
    <cfRule type="cellIs" dxfId="5923" priority="5621" operator="equal">
      <formula>"PMS"</formula>
    </cfRule>
    <cfRule type="containsText" dxfId="5922" priority="5622" operator="containsText" text="CMS">
      <formula>NOT(ISERROR(SEARCH("CMS",O44)))</formula>
    </cfRule>
    <cfRule type="cellIs" dxfId="5921" priority="5623" operator="equal">
      <formula>0</formula>
    </cfRule>
    <cfRule type="cellIs" dxfId="5920" priority="5624" operator="greaterThan">
      <formula>0</formula>
    </cfRule>
  </conditionalFormatting>
  <conditionalFormatting sqref="O44:O46">
    <cfRule type="cellIs" dxfId="5919" priority="5617" operator="equal">
      <formula>"PMS"</formula>
    </cfRule>
    <cfRule type="containsText" dxfId="5918" priority="5618" operator="containsText" text="CMS">
      <formula>NOT(ISERROR(SEARCH("CMS",O44)))</formula>
    </cfRule>
    <cfRule type="cellIs" dxfId="5917" priority="5619" operator="equal">
      <formula>0</formula>
    </cfRule>
    <cfRule type="cellIs" dxfId="5916" priority="5620" operator="greaterThan">
      <formula>0</formula>
    </cfRule>
  </conditionalFormatting>
  <conditionalFormatting sqref="O44:O46">
    <cfRule type="cellIs" dxfId="5915" priority="5613" operator="equal">
      <formula>"PMS"</formula>
    </cfRule>
    <cfRule type="containsText" dxfId="5914" priority="5614" operator="containsText" text="CMS">
      <formula>NOT(ISERROR(SEARCH("CMS",O44)))</formula>
    </cfRule>
    <cfRule type="cellIs" dxfId="5913" priority="5615" operator="equal">
      <formula>0</formula>
    </cfRule>
    <cfRule type="cellIs" dxfId="5912" priority="5616" operator="greaterThan">
      <formula>0</formula>
    </cfRule>
  </conditionalFormatting>
  <conditionalFormatting sqref="O44:O46">
    <cfRule type="cellIs" dxfId="5911" priority="5609" operator="equal">
      <formula>"PMS"</formula>
    </cfRule>
    <cfRule type="containsText" dxfId="5910" priority="5610" operator="containsText" text="CMS">
      <formula>NOT(ISERROR(SEARCH("CMS",O44)))</formula>
    </cfRule>
    <cfRule type="cellIs" dxfId="5909" priority="5611" operator="equal">
      <formula>0</formula>
    </cfRule>
    <cfRule type="cellIs" dxfId="5908" priority="5612" operator="greaterThan">
      <formula>0</formula>
    </cfRule>
  </conditionalFormatting>
  <conditionalFormatting sqref="O44:O46">
    <cfRule type="cellIs" dxfId="5907" priority="5605" operator="equal">
      <formula>"PMS"</formula>
    </cfRule>
    <cfRule type="containsText" dxfId="5906" priority="5606" operator="containsText" text="CMS">
      <formula>NOT(ISERROR(SEARCH("CMS",O44)))</formula>
    </cfRule>
    <cfRule type="cellIs" dxfId="5905" priority="5607" operator="equal">
      <formula>0</formula>
    </cfRule>
    <cfRule type="cellIs" dxfId="5904" priority="5608" operator="greaterThan">
      <formula>0</formula>
    </cfRule>
  </conditionalFormatting>
  <conditionalFormatting sqref="O44:O46">
    <cfRule type="cellIs" dxfId="5903" priority="5601" operator="equal">
      <formula>"PMS"</formula>
    </cfRule>
    <cfRule type="containsText" dxfId="5902" priority="5602" operator="containsText" text="CMS">
      <formula>NOT(ISERROR(SEARCH("CMS",O44)))</formula>
    </cfRule>
    <cfRule type="cellIs" dxfId="5901" priority="5603" operator="equal">
      <formula>0</formula>
    </cfRule>
    <cfRule type="cellIs" dxfId="5900" priority="5604" operator="greaterThan">
      <formula>0</formula>
    </cfRule>
  </conditionalFormatting>
  <conditionalFormatting sqref="O44:O46">
    <cfRule type="cellIs" dxfId="5899" priority="5597" operator="equal">
      <formula>"PMS"</formula>
    </cfRule>
    <cfRule type="containsText" dxfId="5898" priority="5598" operator="containsText" text="CMS">
      <formula>NOT(ISERROR(SEARCH("CMS",O44)))</formula>
    </cfRule>
    <cfRule type="cellIs" dxfId="5897" priority="5599" operator="equal">
      <formula>0</formula>
    </cfRule>
    <cfRule type="cellIs" dxfId="5896" priority="5600" operator="greaterThan">
      <formula>0</formula>
    </cfRule>
  </conditionalFormatting>
  <conditionalFormatting sqref="O44:O46">
    <cfRule type="cellIs" dxfId="5895" priority="5593" operator="equal">
      <formula>"PMS"</formula>
    </cfRule>
    <cfRule type="containsText" dxfId="5894" priority="5594" operator="containsText" text="CMS">
      <formula>NOT(ISERROR(SEARCH("CMS",O44)))</formula>
    </cfRule>
    <cfRule type="cellIs" dxfId="5893" priority="5595" operator="equal">
      <formula>0</formula>
    </cfRule>
    <cfRule type="cellIs" dxfId="5892" priority="5596" operator="greaterThan">
      <formula>0</formula>
    </cfRule>
  </conditionalFormatting>
  <conditionalFormatting sqref="O44:O46">
    <cfRule type="cellIs" dxfId="5891" priority="5589" operator="equal">
      <formula>"PMS"</formula>
    </cfRule>
    <cfRule type="containsText" dxfId="5890" priority="5590" operator="containsText" text="CMS">
      <formula>NOT(ISERROR(SEARCH("CMS",O44)))</formula>
    </cfRule>
    <cfRule type="cellIs" dxfId="5889" priority="5591" operator="equal">
      <formula>0</formula>
    </cfRule>
    <cfRule type="cellIs" dxfId="5888" priority="5592" operator="greaterThan">
      <formula>0</formula>
    </cfRule>
  </conditionalFormatting>
  <conditionalFormatting sqref="O44:O46">
    <cfRule type="cellIs" dxfId="5887" priority="5585" operator="equal">
      <formula>"PMS"</formula>
    </cfRule>
    <cfRule type="containsText" dxfId="5886" priority="5586" operator="containsText" text="CMS">
      <formula>NOT(ISERROR(SEARCH("CMS",O44)))</formula>
    </cfRule>
    <cfRule type="cellIs" dxfId="5885" priority="5587" operator="equal">
      <formula>0</formula>
    </cfRule>
    <cfRule type="cellIs" dxfId="5884" priority="5588" operator="greaterThan">
      <formula>0</formula>
    </cfRule>
  </conditionalFormatting>
  <conditionalFormatting sqref="O44:O46">
    <cfRule type="cellIs" dxfId="5883" priority="5581" operator="equal">
      <formula>"PMS"</formula>
    </cfRule>
    <cfRule type="containsText" dxfId="5882" priority="5582" operator="containsText" text="CMS">
      <formula>NOT(ISERROR(SEARCH("CMS",O44)))</formula>
    </cfRule>
    <cfRule type="cellIs" dxfId="5881" priority="5583" operator="equal">
      <formula>0</formula>
    </cfRule>
    <cfRule type="cellIs" dxfId="5880" priority="5584" operator="greaterThan">
      <formula>0</formula>
    </cfRule>
  </conditionalFormatting>
  <conditionalFormatting sqref="O44:O46">
    <cfRule type="cellIs" dxfId="5879" priority="5577" operator="equal">
      <formula>"PMS"</formula>
    </cfRule>
    <cfRule type="containsText" dxfId="5878" priority="5578" operator="containsText" text="CMS">
      <formula>NOT(ISERROR(SEARCH("CMS",O44)))</formula>
    </cfRule>
    <cfRule type="cellIs" dxfId="5877" priority="5579" operator="equal">
      <formula>0</formula>
    </cfRule>
    <cfRule type="cellIs" dxfId="5876" priority="5580" operator="greaterThan">
      <formula>0</formula>
    </cfRule>
  </conditionalFormatting>
  <conditionalFormatting sqref="O44:O46">
    <cfRule type="cellIs" dxfId="5875" priority="5573" operator="equal">
      <formula>"PMS"</formula>
    </cfRule>
    <cfRule type="containsText" dxfId="5874" priority="5574" operator="containsText" text="CMS">
      <formula>NOT(ISERROR(SEARCH("CMS",O44)))</formula>
    </cfRule>
    <cfRule type="cellIs" dxfId="5873" priority="5575" operator="equal">
      <formula>0</formula>
    </cfRule>
    <cfRule type="cellIs" dxfId="5872" priority="5576" operator="greaterThan">
      <formula>0</formula>
    </cfRule>
  </conditionalFormatting>
  <conditionalFormatting sqref="O44:O46">
    <cfRule type="cellIs" dxfId="5871" priority="5569" operator="equal">
      <formula>"PMS"</formula>
    </cfRule>
    <cfRule type="containsText" dxfId="5870" priority="5570" operator="containsText" text="CMS">
      <formula>NOT(ISERROR(SEARCH("CMS",O44)))</formula>
    </cfRule>
    <cfRule type="cellIs" dxfId="5869" priority="5571" operator="equal">
      <formula>0</formula>
    </cfRule>
    <cfRule type="cellIs" dxfId="5868" priority="5572" operator="greaterThan">
      <formula>0</formula>
    </cfRule>
  </conditionalFormatting>
  <conditionalFormatting sqref="O44:O46">
    <cfRule type="cellIs" dxfId="5867" priority="5565" operator="equal">
      <formula>"PMS"</formula>
    </cfRule>
    <cfRule type="containsText" dxfId="5866" priority="5566" operator="containsText" text="CMS">
      <formula>NOT(ISERROR(SEARCH("CMS",O44)))</formula>
    </cfRule>
    <cfRule type="cellIs" dxfId="5865" priority="5567" operator="equal">
      <formula>0</formula>
    </cfRule>
    <cfRule type="cellIs" dxfId="5864" priority="5568" operator="greaterThan">
      <formula>0</formula>
    </cfRule>
  </conditionalFormatting>
  <conditionalFormatting sqref="O44:O46">
    <cfRule type="cellIs" dxfId="5863" priority="5561" operator="equal">
      <formula>"PMS"</formula>
    </cfRule>
    <cfRule type="containsText" dxfId="5862" priority="5562" operator="containsText" text="CMS">
      <formula>NOT(ISERROR(SEARCH("CMS",O44)))</formula>
    </cfRule>
    <cfRule type="cellIs" dxfId="5861" priority="5563" operator="equal">
      <formula>0</formula>
    </cfRule>
    <cfRule type="cellIs" dxfId="5860" priority="5564" operator="greaterThan">
      <formula>0</formula>
    </cfRule>
  </conditionalFormatting>
  <conditionalFormatting sqref="O44:O46">
    <cfRule type="cellIs" dxfId="5859" priority="5557" operator="equal">
      <formula>"PMS"</formula>
    </cfRule>
    <cfRule type="containsText" dxfId="5858" priority="5558" operator="containsText" text="CMS">
      <formula>NOT(ISERROR(SEARCH("CMS",O44)))</formula>
    </cfRule>
    <cfRule type="cellIs" dxfId="5857" priority="5559" operator="equal">
      <formula>0</formula>
    </cfRule>
    <cfRule type="cellIs" dxfId="5856" priority="5560" operator="greaterThan">
      <formula>0</formula>
    </cfRule>
  </conditionalFormatting>
  <conditionalFormatting sqref="O44:O46">
    <cfRule type="cellIs" dxfId="5855" priority="5553" operator="equal">
      <formula>"PMS"</formula>
    </cfRule>
    <cfRule type="containsText" dxfId="5854" priority="5554" operator="containsText" text="CMS">
      <formula>NOT(ISERROR(SEARCH("CMS",O44)))</formula>
    </cfRule>
    <cfRule type="cellIs" dxfId="5853" priority="5555" operator="equal">
      <formula>0</formula>
    </cfRule>
    <cfRule type="cellIs" dxfId="5852" priority="5556" operator="greaterThan">
      <formula>0</formula>
    </cfRule>
  </conditionalFormatting>
  <conditionalFormatting sqref="O44:O46">
    <cfRule type="cellIs" dxfId="5851" priority="5549" operator="equal">
      <formula>"PMS"</formula>
    </cfRule>
    <cfRule type="containsText" dxfId="5850" priority="5550" operator="containsText" text="CMS">
      <formula>NOT(ISERROR(SEARCH("CMS",O44)))</formula>
    </cfRule>
    <cfRule type="cellIs" dxfId="5849" priority="5551" operator="equal">
      <formula>0</formula>
    </cfRule>
    <cfRule type="cellIs" dxfId="5848" priority="5552" operator="greaterThan">
      <formula>0</formula>
    </cfRule>
  </conditionalFormatting>
  <conditionalFormatting sqref="O44:O46">
    <cfRule type="cellIs" dxfId="5847" priority="5545" operator="equal">
      <formula>"PMS"</formula>
    </cfRule>
    <cfRule type="containsText" dxfId="5846" priority="5546" operator="containsText" text="CMS">
      <formula>NOT(ISERROR(SEARCH("CMS",O44)))</formula>
    </cfRule>
    <cfRule type="cellIs" dxfId="5845" priority="5547" operator="equal">
      <formula>0</formula>
    </cfRule>
    <cfRule type="cellIs" dxfId="5844" priority="5548" operator="greaterThan">
      <formula>0</formula>
    </cfRule>
  </conditionalFormatting>
  <conditionalFormatting sqref="O44:O46">
    <cfRule type="cellIs" dxfId="5843" priority="5541" operator="equal">
      <formula>"PMS"</formula>
    </cfRule>
    <cfRule type="containsText" dxfId="5842" priority="5542" operator="containsText" text="CMS">
      <formula>NOT(ISERROR(SEARCH("CMS",O44)))</formula>
    </cfRule>
    <cfRule type="cellIs" dxfId="5841" priority="5543" operator="equal">
      <formula>0</formula>
    </cfRule>
    <cfRule type="cellIs" dxfId="5840" priority="5544" operator="greaterThan">
      <formula>0</formula>
    </cfRule>
  </conditionalFormatting>
  <conditionalFormatting sqref="O44:O46">
    <cfRule type="cellIs" dxfId="5839" priority="5537" operator="equal">
      <formula>"PMS"</formula>
    </cfRule>
    <cfRule type="containsText" dxfId="5838" priority="5538" operator="containsText" text="CMS">
      <formula>NOT(ISERROR(SEARCH("CMS",O44)))</formula>
    </cfRule>
    <cfRule type="cellIs" dxfId="5837" priority="5539" operator="equal">
      <formula>0</formula>
    </cfRule>
    <cfRule type="cellIs" dxfId="5836" priority="5540" operator="greaterThan">
      <formula>0</formula>
    </cfRule>
  </conditionalFormatting>
  <conditionalFormatting sqref="O44:O46">
    <cfRule type="cellIs" dxfId="5835" priority="5533" operator="equal">
      <formula>"PMS"</formula>
    </cfRule>
    <cfRule type="containsText" dxfId="5834" priority="5534" operator="containsText" text="CMS">
      <formula>NOT(ISERROR(SEARCH("CMS",O44)))</formula>
    </cfRule>
    <cfRule type="cellIs" dxfId="5833" priority="5535" operator="equal">
      <formula>0</formula>
    </cfRule>
    <cfRule type="cellIs" dxfId="5832" priority="5536" operator="greaterThan">
      <formula>0</formula>
    </cfRule>
  </conditionalFormatting>
  <conditionalFormatting sqref="O44:O46">
    <cfRule type="cellIs" dxfId="5831" priority="5529" operator="equal">
      <formula>"PMS"</formula>
    </cfRule>
    <cfRule type="containsText" dxfId="5830" priority="5530" operator="containsText" text="CMS">
      <formula>NOT(ISERROR(SEARCH("CMS",O44)))</formula>
    </cfRule>
    <cfRule type="cellIs" dxfId="5829" priority="5531" operator="equal">
      <formula>0</formula>
    </cfRule>
    <cfRule type="cellIs" dxfId="5828" priority="5532" operator="greaterThan">
      <formula>0</formula>
    </cfRule>
  </conditionalFormatting>
  <conditionalFormatting sqref="O44:O46">
    <cfRule type="cellIs" dxfId="5827" priority="5525" operator="equal">
      <formula>"PMS"</formula>
    </cfRule>
    <cfRule type="containsText" dxfId="5826" priority="5526" operator="containsText" text="CMS">
      <formula>NOT(ISERROR(SEARCH("CMS",O44)))</formula>
    </cfRule>
    <cfRule type="cellIs" dxfId="5825" priority="5527" operator="equal">
      <formula>0</formula>
    </cfRule>
    <cfRule type="cellIs" dxfId="5824" priority="5528" operator="greaterThan">
      <formula>0</formula>
    </cfRule>
  </conditionalFormatting>
  <conditionalFormatting sqref="O44:O46">
    <cfRule type="cellIs" dxfId="5823" priority="5521" operator="equal">
      <formula>"PMS"</formula>
    </cfRule>
    <cfRule type="containsText" dxfId="5822" priority="5522" operator="containsText" text="CMS">
      <formula>NOT(ISERROR(SEARCH("CMS",O44)))</formula>
    </cfRule>
    <cfRule type="cellIs" dxfId="5821" priority="5523" operator="equal">
      <formula>0</formula>
    </cfRule>
    <cfRule type="cellIs" dxfId="5820" priority="5524" operator="greaterThan">
      <formula>0</formula>
    </cfRule>
  </conditionalFormatting>
  <conditionalFormatting sqref="O44:O46">
    <cfRule type="cellIs" dxfId="5819" priority="5517" operator="equal">
      <formula>"PMS"</formula>
    </cfRule>
    <cfRule type="containsText" dxfId="5818" priority="5518" operator="containsText" text="CMS">
      <formula>NOT(ISERROR(SEARCH("CMS",O44)))</formula>
    </cfRule>
    <cfRule type="cellIs" dxfId="5817" priority="5519" operator="equal">
      <formula>0</formula>
    </cfRule>
    <cfRule type="cellIs" dxfId="5816" priority="5520" operator="greaterThan">
      <formula>0</formula>
    </cfRule>
  </conditionalFormatting>
  <conditionalFormatting sqref="O44:O46">
    <cfRule type="cellIs" dxfId="5815" priority="5513" operator="equal">
      <formula>"PMS"</formula>
    </cfRule>
    <cfRule type="containsText" dxfId="5814" priority="5514" operator="containsText" text="CMS">
      <formula>NOT(ISERROR(SEARCH("CMS",O44)))</formula>
    </cfRule>
    <cfRule type="cellIs" dxfId="5813" priority="5515" operator="equal">
      <formula>0</formula>
    </cfRule>
    <cfRule type="cellIs" dxfId="5812" priority="5516" operator="greaterThan">
      <formula>0</formula>
    </cfRule>
  </conditionalFormatting>
  <conditionalFormatting sqref="O44:O46">
    <cfRule type="cellIs" dxfId="5811" priority="5509" operator="equal">
      <formula>"PMS"</formula>
    </cfRule>
    <cfRule type="containsText" dxfId="5810" priority="5510" operator="containsText" text="CMS">
      <formula>NOT(ISERROR(SEARCH("CMS",O44)))</formula>
    </cfRule>
    <cfRule type="cellIs" dxfId="5809" priority="5511" operator="equal">
      <formula>0</formula>
    </cfRule>
    <cfRule type="cellIs" dxfId="5808" priority="5512" operator="greaterThan">
      <formula>0</formula>
    </cfRule>
  </conditionalFormatting>
  <conditionalFormatting sqref="O44:O46">
    <cfRule type="cellIs" dxfId="5807" priority="5505" operator="equal">
      <formula>"PMS"</formula>
    </cfRule>
    <cfRule type="containsText" dxfId="5806" priority="5506" operator="containsText" text="CMS">
      <formula>NOT(ISERROR(SEARCH("CMS",O44)))</formula>
    </cfRule>
    <cfRule type="cellIs" dxfId="5805" priority="5507" operator="equal">
      <formula>0</formula>
    </cfRule>
    <cfRule type="cellIs" dxfId="5804" priority="5508" operator="greaterThan">
      <formula>0</formula>
    </cfRule>
  </conditionalFormatting>
  <conditionalFormatting sqref="O44:O46">
    <cfRule type="cellIs" dxfId="5803" priority="5501" operator="equal">
      <formula>"PMS"</formula>
    </cfRule>
    <cfRule type="containsText" dxfId="5802" priority="5502" operator="containsText" text="CMS">
      <formula>NOT(ISERROR(SEARCH("CMS",O44)))</formula>
    </cfRule>
    <cfRule type="cellIs" dxfId="5801" priority="5503" operator="equal">
      <formula>0</formula>
    </cfRule>
    <cfRule type="cellIs" dxfId="5800" priority="5504" operator="greaterThan">
      <formula>0</formula>
    </cfRule>
  </conditionalFormatting>
  <conditionalFormatting sqref="O44:O46">
    <cfRule type="cellIs" dxfId="5799" priority="5497" operator="equal">
      <formula>"PMS"</formula>
    </cfRule>
    <cfRule type="containsText" dxfId="5798" priority="5498" operator="containsText" text="CMS">
      <formula>NOT(ISERROR(SEARCH("CMS",O44)))</formula>
    </cfRule>
    <cfRule type="cellIs" dxfId="5797" priority="5499" operator="equal">
      <formula>0</formula>
    </cfRule>
    <cfRule type="cellIs" dxfId="5796" priority="5500" operator="greaterThan">
      <formula>0</formula>
    </cfRule>
  </conditionalFormatting>
  <conditionalFormatting sqref="O44:O46">
    <cfRule type="cellIs" dxfId="5795" priority="5493" operator="equal">
      <formula>"PMS"</formula>
    </cfRule>
    <cfRule type="containsText" dxfId="5794" priority="5494" operator="containsText" text="CMS">
      <formula>NOT(ISERROR(SEARCH("CMS",O44)))</formula>
    </cfRule>
    <cfRule type="cellIs" dxfId="5793" priority="5495" operator="equal">
      <formula>0</formula>
    </cfRule>
    <cfRule type="cellIs" dxfId="5792" priority="5496" operator="greaterThan">
      <formula>0</formula>
    </cfRule>
  </conditionalFormatting>
  <conditionalFormatting sqref="O44:O46">
    <cfRule type="cellIs" dxfId="5791" priority="5489" operator="equal">
      <formula>"PMS"</formula>
    </cfRule>
    <cfRule type="containsText" dxfId="5790" priority="5490" operator="containsText" text="CMS">
      <formula>NOT(ISERROR(SEARCH("CMS",O44)))</formula>
    </cfRule>
    <cfRule type="cellIs" dxfId="5789" priority="5491" operator="equal">
      <formula>0</formula>
    </cfRule>
    <cfRule type="cellIs" dxfId="5788" priority="5492" operator="greaterThan">
      <formula>0</formula>
    </cfRule>
  </conditionalFormatting>
  <conditionalFormatting sqref="O44:O46">
    <cfRule type="cellIs" dxfId="5787" priority="5485" operator="equal">
      <formula>"PMS"</formula>
    </cfRule>
    <cfRule type="containsText" dxfId="5786" priority="5486" operator="containsText" text="CMS">
      <formula>NOT(ISERROR(SEARCH("CMS",O44)))</formula>
    </cfRule>
    <cfRule type="cellIs" dxfId="5785" priority="5487" operator="equal">
      <formula>0</formula>
    </cfRule>
    <cfRule type="cellIs" dxfId="5784" priority="5488" operator="greaterThan">
      <formula>0</formula>
    </cfRule>
  </conditionalFormatting>
  <conditionalFormatting sqref="O44:O46">
    <cfRule type="cellIs" dxfId="5783" priority="5481" operator="equal">
      <formula>"PMS"</formula>
    </cfRule>
    <cfRule type="containsText" dxfId="5782" priority="5482" operator="containsText" text="CMS">
      <formula>NOT(ISERROR(SEARCH("CMS",O44)))</formula>
    </cfRule>
    <cfRule type="cellIs" dxfId="5781" priority="5483" operator="equal">
      <formula>0</formula>
    </cfRule>
    <cfRule type="cellIs" dxfId="5780" priority="5484" operator="greaterThan">
      <formula>0</formula>
    </cfRule>
  </conditionalFormatting>
  <conditionalFormatting sqref="O45:O46">
    <cfRule type="cellIs" dxfId="5779" priority="5477" operator="equal">
      <formula>"PMS"</formula>
    </cfRule>
    <cfRule type="containsText" dxfId="5778" priority="5478" operator="containsText" text="CMS">
      <formula>NOT(ISERROR(SEARCH("CMS",O45)))</formula>
    </cfRule>
    <cfRule type="cellIs" dxfId="5777" priority="5479" operator="equal">
      <formula>0</formula>
    </cfRule>
    <cfRule type="cellIs" dxfId="5776" priority="5480" operator="greaterThan">
      <formula>0</formula>
    </cfRule>
  </conditionalFormatting>
  <conditionalFormatting sqref="O45:O46">
    <cfRule type="cellIs" dxfId="5775" priority="5473" operator="equal">
      <formula>"PMS"</formula>
    </cfRule>
    <cfRule type="containsText" dxfId="5774" priority="5474" operator="containsText" text="CMS">
      <formula>NOT(ISERROR(SEARCH("CMS",O45)))</formula>
    </cfRule>
    <cfRule type="cellIs" dxfId="5773" priority="5475" operator="equal">
      <formula>0</formula>
    </cfRule>
    <cfRule type="cellIs" dxfId="5772" priority="5476" operator="greaterThan">
      <formula>0</formula>
    </cfRule>
  </conditionalFormatting>
  <conditionalFormatting sqref="O45:O46">
    <cfRule type="cellIs" dxfId="5771" priority="5469" operator="equal">
      <formula>"PMS"</formula>
    </cfRule>
    <cfRule type="containsText" dxfId="5770" priority="5470" operator="containsText" text="CMS">
      <formula>NOT(ISERROR(SEARCH("CMS",O45)))</formula>
    </cfRule>
    <cfRule type="cellIs" dxfId="5769" priority="5471" operator="equal">
      <formula>0</formula>
    </cfRule>
    <cfRule type="cellIs" dxfId="5768" priority="5472" operator="greaterThan">
      <formula>0</formula>
    </cfRule>
  </conditionalFormatting>
  <conditionalFormatting sqref="O45:O46">
    <cfRule type="cellIs" dxfId="5767" priority="5465" operator="equal">
      <formula>"PMS"</formula>
    </cfRule>
    <cfRule type="containsText" dxfId="5766" priority="5466" operator="containsText" text="CMS">
      <formula>NOT(ISERROR(SEARCH("CMS",O45)))</formula>
    </cfRule>
    <cfRule type="cellIs" dxfId="5765" priority="5467" operator="equal">
      <formula>0</formula>
    </cfRule>
    <cfRule type="cellIs" dxfId="5764" priority="5468" operator="greaterThan">
      <formula>0</formula>
    </cfRule>
  </conditionalFormatting>
  <conditionalFormatting sqref="O45:O46">
    <cfRule type="cellIs" dxfId="5763" priority="5461" operator="equal">
      <formula>"PMS"</formula>
    </cfRule>
    <cfRule type="containsText" dxfId="5762" priority="5462" operator="containsText" text="CMS">
      <formula>NOT(ISERROR(SEARCH("CMS",O45)))</formula>
    </cfRule>
    <cfRule type="cellIs" dxfId="5761" priority="5463" operator="equal">
      <formula>0</formula>
    </cfRule>
    <cfRule type="cellIs" dxfId="5760" priority="5464" operator="greaterThan">
      <formula>0</formula>
    </cfRule>
  </conditionalFormatting>
  <conditionalFormatting sqref="O45:O46">
    <cfRule type="cellIs" dxfId="5759" priority="5457" operator="equal">
      <formula>"PMS"</formula>
    </cfRule>
    <cfRule type="containsText" dxfId="5758" priority="5458" operator="containsText" text="CMS">
      <formula>NOT(ISERROR(SEARCH("CMS",O45)))</formula>
    </cfRule>
    <cfRule type="cellIs" dxfId="5757" priority="5459" operator="equal">
      <formula>0</formula>
    </cfRule>
    <cfRule type="cellIs" dxfId="5756" priority="5460" operator="greaterThan">
      <formula>0</formula>
    </cfRule>
  </conditionalFormatting>
  <conditionalFormatting sqref="O45:O46">
    <cfRule type="cellIs" dxfId="5755" priority="5453" operator="equal">
      <formula>"PMS"</formula>
    </cfRule>
    <cfRule type="containsText" dxfId="5754" priority="5454" operator="containsText" text="CMS">
      <formula>NOT(ISERROR(SEARCH("CMS",O45)))</formula>
    </cfRule>
    <cfRule type="cellIs" dxfId="5753" priority="5455" operator="equal">
      <formula>0</formula>
    </cfRule>
    <cfRule type="cellIs" dxfId="5752" priority="5456" operator="greaterThan">
      <formula>0</formula>
    </cfRule>
  </conditionalFormatting>
  <conditionalFormatting sqref="O45:O46">
    <cfRule type="cellIs" dxfId="5751" priority="5449" operator="equal">
      <formula>"PMS"</formula>
    </cfRule>
    <cfRule type="containsText" dxfId="5750" priority="5450" operator="containsText" text="CMS">
      <formula>NOT(ISERROR(SEARCH("CMS",O45)))</formula>
    </cfRule>
    <cfRule type="cellIs" dxfId="5749" priority="5451" operator="equal">
      <formula>0</formula>
    </cfRule>
    <cfRule type="cellIs" dxfId="5748" priority="5452" operator="greaterThan">
      <formula>0</formula>
    </cfRule>
  </conditionalFormatting>
  <conditionalFormatting sqref="O45:O46">
    <cfRule type="cellIs" dxfId="5747" priority="5445" operator="equal">
      <formula>"PMS"</formula>
    </cfRule>
    <cfRule type="containsText" dxfId="5746" priority="5446" operator="containsText" text="CMS">
      <formula>NOT(ISERROR(SEARCH("CMS",O45)))</formula>
    </cfRule>
    <cfRule type="cellIs" dxfId="5745" priority="5447" operator="equal">
      <formula>0</formula>
    </cfRule>
    <cfRule type="cellIs" dxfId="5744" priority="5448" operator="greaterThan">
      <formula>0</formula>
    </cfRule>
  </conditionalFormatting>
  <conditionalFormatting sqref="O45:O46">
    <cfRule type="cellIs" dxfId="5743" priority="5441" operator="equal">
      <formula>"PMS"</formula>
    </cfRule>
    <cfRule type="containsText" dxfId="5742" priority="5442" operator="containsText" text="CMS">
      <formula>NOT(ISERROR(SEARCH("CMS",O45)))</formula>
    </cfRule>
    <cfRule type="cellIs" dxfId="5741" priority="5443" operator="equal">
      <formula>0</formula>
    </cfRule>
    <cfRule type="cellIs" dxfId="5740" priority="5444" operator="greaterThan">
      <formula>0</formula>
    </cfRule>
  </conditionalFormatting>
  <conditionalFormatting sqref="O45:O46">
    <cfRule type="cellIs" dxfId="5739" priority="5437" operator="equal">
      <formula>"PMS"</formula>
    </cfRule>
    <cfRule type="containsText" dxfId="5738" priority="5438" operator="containsText" text="CMS">
      <formula>NOT(ISERROR(SEARCH("CMS",O45)))</formula>
    </cfRule>
    <cfRule type="cellIs" dxfId="5737" priority="5439" operator="equal">
      <formula>0</formula>
    </cfRule>
    <cfRule type="cellIs" dxfId="5736" priority="5440" operator="greaterThan">
      <formula>0</formula>
    </cfRule>
  </conditionalFormatting>
  <conditionalFormatting sqref="O45:O46">
    <cfRule type="cellIs" dxfId="5735" priority="5433" operator="equal">
      <formula>"PMS"</formula>
    </cfRule>
    <cfRule type="containsText" dxfId="5734" priority="5434" operator="containsText" text="CMS">
      <formula>NOT(ISERROR(SEARCH("CMS",O45)))</formula>
    </cfRule>
    <cfRule type="cellIs" dxfId="5733" priority="5435" operator="equal">
      <formula>0</formula>
    </cfRule>
    <cfRule type="cellIs" dxfId="5732" priority="5436" operator="greaterThan">
      <formula>0</formula>
    </cfRule>
  </conditionalFormatting>
  <conditionalFormatting sqref="O45:O46">
    <cfRule type="cellIs" dxfId="5731" priority="5429" operator="equal">
      <formula>"PMS"</formula>
    </cfRule>
    <cfRule type="containsText" dxfId="5730" priority="5430" operator="containsText" text="CMS">
      <formula>NOT(ISERROR(SEARCH("CMS",O45)))</formula>
    </cfRule>
    <cfRule type="cellIs" dxfId="5729" priority="5431" operator="equal">
      <formula>0</formula>
    </cfRule>
    <cfRule type="cellIs" dxfId="5728" priority="5432" operator="greaterThan">
      <formula>0</formula>
    </cfRule>
  </conditionalFormatting>
  <conditionalFormatting sqref="O45:O46">
    <cfRule type="cellIs" dxfId="5727" priority="5425" operator="equal">
      <formula>"PMS"</formula>
    </cfRule>
    <cfRule type="containsText" dxfId="5726" priority="5426" operator="containsText" text="CMS">
      <formula>NOT(ISERROR(SEARCH("CMS",O45)))</formula>
    </cfRule>
    <cfRule type="cellIs" dxfId="5725" priority="5427" operator="equal">
      <formula>0</formula>
    </cfRule>
    <cfRule type="cellIs" dxfId="5724" priority="5428" operator="greaterThan">
      <formula>0</formula>
    </cfRule>
  </conditionalFormatting>
  <conditionalFormatting sqref="O45:O46">
    <cfRule type="cellIs" dxfId="5723" priority="5421" operator="equal">
      <formula>"PMS"</formula>
    </cfRule>
    <cfRule type="containsText" dxfId="5722" priority="5422" operator="containsText" text="CMS">
      <formula>NOT(ISERROR(SEARCH("CMS",O45)))</formula>
    </cfRule>
    <cfRule type="cellIs" dxfId="5721" priority="5423" operator="equal">
      <formula>0</formula>
    </cfRule>
    <cfRule type="cellIs" dxfId="5720" priority="5424" operator="greaterThan">
      <formula>0</formula>
    </cfRule>
  </conditionalFormatting>
  <conditionalFormatting sqref="O45:O46">
    <cfRule type="cellIs" dxfId="5719" priority="5417" operator="equal">
      <formula>"PMS"</formula>
    </cfRule>
    <cfRule type="containsText" dxfId="5718" priority="5418" operator="containsText" text="CMS">
      <formula>NOT(ISERROR(SEARCH("CMS",O45)))</formula>
    </cfRule>
    <cfRule type="cellIs" dxfId="5717" priority="5419" operator="equal">
      <formula>0</formula>
    </cfRule>
    <cfRule type="cellIs" dxfId="5716" priority="5420" operator="greaterThan">
      <formula>0</formula>
    </cfRule>
  </conditionalFormatting>
  <conditionalFormatting sqref="O45:O46">
    <cfRule type="cellIs" dxfId="5715" priority="5413" operator="equal">
      <formula>"PMS"</formula>
    </cfRule>
    <cfRule type="containsText" dxfId="5714" priority="5414" operator="containsText" text="CMS">
      <formula>NOT(ISERROR(SEARCH("CMS",O45)))</formula>
    </cfRule>
    <cfRule type="cellIs" dxfId="5713" priority="5415" operator="equal">
      <formula>0</formula>
    </cfRule>
    <cfRule type="cellIs" dxfId="5712" priority="5416" operator="greaterThan">
      <formula>0</formula>
    </cfRule>
  </conditionalFormatting>
  <conditionalFormatting sqref="O45:O46">
    <cfRule type="cellIs" dxfId="5711" priority="5409" operator="equal">
      <formula>"PMS"</formula>
    </cfRule>
    <cfRule type="containsText" dxfId="5710" priority="5410" operator="containsText" text="CMS">
      <formula>NOT(ISERROR(SEARCH("CMS",O45)))</formula>
    </cfRule>
    <cfRule type="cellIs" dxfId="5709" priority="5411" operator="equal">
      <formula>0</formula>
    </cfRule>
    <cfRule type="cellIs" dxfId="5708" priority="5412" operator="greaterThan">
      <formula>0</formula>
    </cfRule>
  </conditionalFormatting>
  <conditionalFormatting sqref="O45:O46">
    <cfRule type="cellIs" dxfId="5707" priority="5405" operator="equal">
      <formula>"PMS"</formula>
    </cfRule>
    <cfRule type="containsText" dxfId="5706" priority="5406" operator="containsText" text="CMS">
      <formula>NOT(ISERROR(SEARCH("CMS",O45)))</formula>
    </cfRule>
    <cfRule type="cellIs" dxfId="5705" priority="5407" operator="equal">
      <formula>0</formula>
    </cfRule>
    <cfRule type="cellIs" dxfId="5704" priority="5408" operator="greaterThan">
      <formula>0</formula>
    </cfRule>
  </conditionalFormatting>
  <conditionalFormatting sqref="O45:O46">
    <cfRule type="cellIs" dxfId="5703" priority="5401" operator="equal">
      <formula>"PMS"</formula>
    </cfRule>
    <cfRule type="containsText" dxfId="5702" priority="5402" operator="containsText" text="CMS">
      <formula>NOT(ISERROR(SEARCH("CMS",O45)))</formula>
    </cfRule>
    <cfRule type="cellIs" dxfId="5701" priority="5403" operator="equal">
      <formula>0</formula>
    </cfRule>
    <cfRule type="cellIs" dxfId="5700" priority="5404" operator="greaterThan">
      <formula>0</formula>
    </cfRule>
  </conditionalFormatting>
  <conditionalFormatting sqref="O45:O46">
    <cfRule type="cellIs" dxfId="5699" priority="5397" operator="equal">
      <formula>"PMS"</formula>
    </cfRule>
    <cfRule type="containsText" dxfId="5698" priority="5398" operator="containsText" text="CMS">
      <formula>NOT(ISERROR(SEARCH("CMS",O45)))</formula>
    </cfRule>
    <cfRule type="cellIs" dxfId="5697" priority="5399" operator="equal">
      <formula>0</formula>
    </cfRule>
    <cfRule type="cellIs" dxfId="5696" priority="5400" operator="greaterThan">
      <formula>0</formula>
    </cfRule>
  </conditionalFormatting>
  <conditionalFormatting sqref="O45:O46">
    <cfRule type="cellIs" dxfId="5695" priority="5393" operator="equal">
      <formula>"PMS"</formula>
    </cfRule>
    <cfRule type="containsText" dxfId="5694" priority="5394" operator="containsText" text="CMS">
      <formula>NOT(ISERROR(SEARCH("CMS",O45)))</formula>
    </cfRule>
    <cfRule type="cellIs" dxfId="5693" priority="5395" operator="equal">
      <formula>0</formula>
    </cfRule>
    <cfRule type="cellIs" dxfId="5692" priority="5396" operator="greaterThan">
      <formula>0</formula>
    </cfRule>
  </conditionalFormatting>
  <conditionalFormatting sqref="O45:O46">
    <cfRule type="cellIs" dxfId="5691" priority="5389" operator="equal">
      <formula>"PMS"</formula>
    </cfRule>
    <cfRule type="containsText" dxfId="5690" priority="5390" operator="containsText" text="CMS">
      <formula>NOT(ISERROR(SEARCH("CMS",O45)))</formula>
    </cfRule>
    <cfRule type="cellIs" dxfId="5689" priority="5391" operator="equal">
      <formula>0</formula>
    </cfRule>
    <cfRule type="cellIs" dxfId="5688" priority="5392" operator="greaterThan">
      <formula>0</formula>
    </cfRule>
  </conditionalFormatting>
  <conditionalFormatting sqref="O45:O46">
    <cfRule type="cellIs" dxfId="5687" priority="5385" operator="equal">
      <formula>"PMS"</formula>
    </cfRule>
    <cfRule type="containsText" dxfId="5686" priority="5386" operator="containsText" text="CMS">
      <formula>NOT(ISERROR(SEARCH("CMS",O45)))</formula>
    </cfRule>
    <cfRule type="cellIs" dxfId="5685" priority="5387" operator="equal">
      <formula>0</formula>
    </cfRule>
    <cfRule type="cellIs" dxfId="5684" priority="5388" operator="greaterThan">
      <formula>0</formula>
    </cfRule>
  </conditionalFormatting>
  <conditionalFormatting sqref="O45:O46">
    <cfRule type="cellIs" dxfId="5683" priority="5381" operator="equal">
      <formula>"PMS"</formula>
    </cfRule>
    <cfRule type="containsText" dxfId="5682" priority="5382" operator="containsText" text="CMS">
      <formula>NOT(ISERROR(SEARCH("CMS",O45)))</formula>
    </cfRule>
    <cfRule type="cellIs" dxfId="5681" priority="5383" operator="equal">
      <formula>0</formula>
    </cfRule>
    <cfRule type="cellIs" dxfId="5680" priority="5384" operator="greaterThan">
      <formula>0</formula>
    </cfRule>
  </conditionalFormatting>
  <conditionalFormatting sqref="O45:O46">
    <cfRule type="cellIs" dxfId="5679" priority="5377" operator="equal">
      <formula>"PMS"</formula>
    </cfRule>
    <cfRule type="containsText" dxfId="5678" priority="5378" operator="containsText" text="CMS">
      <formula>NOT(ISERROR(SEARCH("CMS",O45)))</formula>
    </cfRule>
    <cfRule type="cellIs" dxfId="5677" priority="5379" operator="equal">
      <formula>0</formula>
    </cfRule>
    <cfRule type="cellIs" dxfId="5676" priority="5380" operator="greaterThan">
      <formula>0</formula>
    </cfRule>
  </conditionalFormatting>
  <conditionalFormatting sqref="O45:O46">
    <cfRule type="cellIs" dxfId="5675" priority="5373" operator="equal">
      <formula>"PMS"</formula>
    </cfRule>
    <cfRule type="containsText" dxfId="5674" priority="5374" operator="containsText" text="CMS">
      <formula>NOT(ISERROR(SEARCH("CMS",O45)))</formula>
    </cfRule>
    <cfRule type="cellIs" dxfId="5673" priority="5375" operator="equal">
      <formula>0</formula>
    </cfRule>
    <cfRule type="cellIs" dxfId="5672" priority="5376" operator="greaterThan">
      <formula>0</formula>
    </cfRule>
  </conditionalFormatting>
  <conditionalFormatting sqref="O45:O46">
    <cfRule type="cellIs" dxfId="5671" priority="5369" operator="equal">
      <formula>"PMS"</formula>
    </cfRule>
    <cfRule type="containsText" dxfId="5670" priority="5370" operator="containsText" text="CMS">
      <formula>NOT(ISERROR(SEARCH("CMS",O45)))</formula>
    </cfRule>
    <cfRule type="cellIs" dxfId="5669" priority="5371" operator="equal">
      <formula>0</formula>
    </cfRule>
    <cfRule type="cellIs" dxfId="5668" priority="5372" operator="greaterThan">
      <formula>0</formula>
    </cfRule>
  </conditionalFormatting>
  <conditionalFormatting sqref="O45:O46">
    <cfRule type="cellIs" dxfId="5667" priority="5365" operator="equal">
      <formula>"PMS"</formula>
    </cfRule>
    <cfRule type="containsText" dxfId="5666" priority="5366" operator="containsText" text="CMS">
      <formula>NOT(ISERROR(SEARCH("CMS",O45)))</formula>
    </cfRule>
    <cfRule type="cellIs" dxfId="5665" priority="5367" operator="equal">
      <formula>0</formula>
    </cfRule>
    <cfRule type="cellIs" dxfId="5664" priority="5368" operator="greaterThan">
      <formula>0</formula>
    </cfRule>
  </conditionalFormatting>
  <conditionalFormatting sqref="O45:O46">
    <cfRule type="cellIs" dxfId="5663" priority="5361" operator="equal">
      <formula>"PMS"</formula>
    </cfRule>
    <cfRule type="containsText" dxfId="5662" priority="5362" operator="containsText" text="CMS">
      <formula>NOT(ISERROR(SEARCH("CMS",O45)))</formula>
    </cfRule>
    <cfRule type="cellIs" dxfId="5661" priority="5363" operator="equal">
      <formula>0</formula>
    </cfRule>
    <cfRule type="cellIs" dxfId="5660" priority="5364" operator="greaterThan">
      <formula>0</formula>
    </cfRule>
  </conditionalFormatting>
  <conditionalFormatting sqref="O45:O46">
    <cfRule type="cellIs" dxfId="5659" priority="5357" operator="equal">
      <formula>"PMS"</formula>
    </cfRule>
    <cfRule type="containsText" dxfId="5658" priority="5358" operator="containsText" text="CMS">
      <formula>NOT(ISERROR(SEARCH("CMS",O45)))</formula>
    </cfRule>
    <cfRule type="cellIs" dxfId="5657" priority="5359" operator="equal">
      <formula>0</formula>
    </cfRule>
    <cfRule type="cellIs" dxfId="5656" priority="5360" operator="greaterThan">
      <formula>0</formula>
    </cfRule>
  </conditionalFormatting>
  <conditionalFormatting sqref="O45:O46">
    <cfRule type="cellIs" dxfId="5655" priority="5353" operator="equal">
      <formula>"PMS"</formula>
    </cfRule>
    <cfRule type="containsText" dxfId="5654" priority="5354" operator="containsText" text="CMS">
      <formula>NOT(ISERROR(SEARCH("CMS",O45)))</formula>
    </cfRule>
    <cfRule type="cellIs" dxfId="5653" priority="5355" operator="equal">
      <formula>0</formula>
    </cfRule>
    <cfRule type="cellIs" dxfId="5652" priority="5356" operator="greaterThan">
      <formula>0</formula>
    </cfRule>
  </conditionalFormatting>
  <conditionalFormatting sqref="O45:O46">
    <cfRule type="cellIs" dxfId="5651" priority="5349" operator="equal">
      <formula>"PMS"</formula>
    </cfRule>
    <cfRule type="containsText" dxfId="5650" priority="5350" operator="containsText" text="CMS">
      <formula>NOT(ISERROR(SEARCH("CMS",O45)))</formula>
    </cfRule>
    <cfRule type="cellIs" dxfId="5649" priority="5351" operator="equal">
      <formula>0</formula>
    </cfRule>
    <cfRule type="cellIs" dxfId="5648" priority="5352" operator="greaterThan">
      <formula>0</formula>
    </cfRule>
  </conditionalFormatting>
  <conditionalFormatting sqref="O45:O46">
    <cfRule type="cellIs" dxfId="5647" priority="5345" operator="equal">
      <formula>"PMS"</formula>
    </cfRule>
    <cfRule type="containsText" dxfId="5646" priority="5346" operator="containsText" text="CMS">
      <formula>NOT(ISERROR(SEARCH("CMS",O45)))</formula>
    </cfRule>
    <cfRule type="cellIs" dxfId="5645" priority="5347" operator="equal">
      <formula>0</formula>
    </cfRule>
    <cfRule type="cellIs" dxfId="5644" priority="5348" operator="greaterThan">
      <formula>0</formula>
    </cfRule>
  </conditionalFormatting>
  <conditionalFormatting sqref="O45:O46">
    <cfRule type="cellIs" dxfId="5643" priority="5341" operator="equal">
      <formula>"PMS"</formula>
    </cfRule>
    <cfRule type="containsText" dxfId="5642" priority="5342" operator="containsText" text="CMS">
      <formula>NOT(ISERROR(SEARCH("CMS",O45)))</formula>
    </cfRule>
    <cfRule type="cellIs" dxfId="5641" priority="5343" operator="equal">
      <formula>0</formula>
    </cfRule>
    <cfRule type="cellIs" dxfId="5640" priority="5344" operator="greaterThan">
      <formula>0</formula>
    </cfRule>
  </conditionalFormatting>
  <conditionalFormatting sqref="O45:O46">
    <cfRule type="cellIs" dxfId="5639" priority="5337" operator="equal">
      <formula>"PMS"</formula>
    </cfRule>
    <cfRule type="containsText" dxfId="5638" priority="5338" operator="containsText" text="CMS">
      <formula>NOT(ISERROR(SEARCH("CMS",O45)))</formula>
    </cfRule>
    <cfRule type="cellIs" dxfId="5637" priority="5339" operator="equal">
      <formula>0</formula>
    </cfRule>
    <cfRule type="cellIs" dxfId="5636" priority="5340" operator="greaterThan">
      <formula>0</formula>
    </cfRule>
  </conditionalFormatting>
  <conditionalFormatting sqref="O45:O46">
    <cfRule type="cellIs" dxfId="5635" priority="5333" operator="equal">
      <formula>"PMS"</formula>
    </cfRule>
    <cfRule type="containsText" dxfId="5634" priority="5334" operator="containsText" text="CMS">
      <formula>NOT(ISERROR(SEARCH("CMS",O45)))</formula>
    </cfRule>
    <cfRule type="cellIs" dxfId="5633" priority="5335" operator="equal">
      <formula>0</formula>
    </cfRule>
    <cfRule type="cellIs" dxfId="5632" priority="5336" operator="greaterThan">
      <formula>0</formula>
    </cfRule>
  </conditionalFormatting>
  <conditionalFormatting sqref="O45:O46">
    <cfRule type="cellIs" dxfId="5631" priority="5329" operator="equal">
      <formula>"PMS"</formula>
    </cfRule>
    <cfRule type="containsText" dxfId="5630" priority="5330" operator="containsText" text="CMS">
      <formula>NOT(ISERROR(SEARCH("CMS",O45)))</formula>
    </cfRule>
    <cfRule type="cellIs" dxfId="5629" priority="5331" operator="equal">
      <formula>0</formula>
    </cfRule>
    <cfRule type="cellIs" dxfId="5628" priority="5332" operator="greaterThan">
      <formula>0</formula>
    </cfRule>
  </conditionalFormatting>
  <conditionalFormatting sqref="O45:O46">
    <cfRule type="cellIs" dxfId="5627" priority="5325" operator="equal">
      <formula>"PMS"</formula>
    </cfRule>
    <cfRule type="containsText" dxfId="5626" priority="5326" operator="containsText" text="CMS">
      <formula>NOT(ISERROR(SEARCH("CMS",O45)))</formula>
    </cfRule>
    <cfRule type="cellIs" dxfId="5625" priority="5327" operator="equal">
      <formula>0</formula>
    </cfRule>
    <cfRule type="cellIs" dxfId="5624" priority="5328" operator="greaterThan">
      <formula>0</formula>
    </cfRule>
  </conditionalFormatting>
  <conditionalFormatting sqref="O45:O46">
    <cfRule type="cellIs" dxfId="5623" priority="5321" operator="equal">
      <formula>"PMS"</formula>
    </cfRule>
    <cfRule type="containsText" dxfId="5622" priority="5322" operator="containsText" text="CMS">
      <formula>NOT(ISERROR(SEARCH("CMS",O45)))</formula>
    </cfRule>
    <cfRule type="cellIs" dxfId="5621" priority="5323" operator="equal">
      <formula>0</formula>
    </cfRule>
    <cfRule type="cellIs" dxfId="5620" priority="5324" operator="greaterThan">
      <formula>0</formula>
    </cfRule>
  </conditionalFormatting>
  <conditionalFormatting sqref="O45:O46">
    <cfRule type="cellIs" dxfId="5619" priority="5317" operator="equal">
      <formula>"PMS"</formula>
    </cfRule>
    <cfRule type="containsText" dxfId="5618" priority="5318" operator="containsText" text="CMS">
      <formula>NOT(ISERROR(SEARCH("CMS",O45)))</formula>
    </cfRule>
    <cfRule type="cellIs" dxfId="5617" priority="5319" operator="equal">
      <formula>0</formula>
    </cfRule>
    <cfRule type="cellIs" dxfId="5616" priority="5320" operator="greaterThan">
      <formula>0</formula>
    </cfRule>
  </conditionalFormatting>
  <conditionalFormatting sqref="O45:O46">
    <cfRule type="cellIs" dxfId="5615" priority="5313" operator="equal">
      <formula>"PMS"</formula>
    </cfRule>
    <cfRule type="containsText" dxfId="5614" priority="5314" operator="containsText" text="CMS">
      <formula>NOT(ISERROR(SEARCH("CMS",O45)))</formula>
    </cfRule>
    <cfRule type="cellIs" dxfId="5613" priority="5315" operator="equal">
      <formula>0</formula>
    </cfRule>
    <cfRule type="cellIs" dxfId="5612" priority="5316" operator="greaterThan">
      <formula>0</formula>
    </cfRule>
  </conditionalFormatting>
  <conditionalFormatting sqref="O45:O46">
    <cfRule type="cellIs" dxfId="5611" priority="5309" operator="equal">
      <formula>"PMS"</formula>
    </cfRule>
    <cfRule type="containsText" dxfId="5610" priority="5310" operator="containsText" text="CMS">
      <formula>NOT(ISERROR(SEARCH("CMS",O45)))</formula>
    </cfRule>
    <cfRule type="cellIs" dxfId="5609" priority="5311" operator="equal">
      <formula>0</formula>
    </cfRule>
    <cfRule type="cellIs" dxfId="5608" priority="5312" operator="greaterThan">
      <formula>0</formula>
    </cfRule>
  </conditionalFormatting>
  <conditionalFormatting sqref="O45:O46">
    <cfRule type="cellIs" dxfId="5607" priority="5305" operator="equal">
      <formula>"PMS"</formula>
    </cfRule>
    <cfRule type="containsText" dxfId="5606" priority="5306" operator="containsText" text="CMS">
      <formula>NOT(ISERROR(SEARCH("CMS",O45)))</formula>
    </cfRule>
    <cfRule type="cellIs" dxfId="5605" priority="5307" operator="equal">
      <formula>0</formula>
    </cfRule>
    <cfRule type="cellIs" dxfId="5604" priority="5308" operator="greaterThan">
      <formula>0</formula>
    </cfRule>
  </conditionalFormatting>
  <conditionalFormatting sqref="O45:O46">
    <cfRule type="cellIs" dxfId="5603" priority="5301" operator="equal">
      <formula>"PMS"</formula>
    </cfRule>
    <cfRule type="containsText" dxfId="5602" priority="5302" operator="containsText" text="CMS">
      <formula>NOT(ISERROR(SEARCH("CMS",O45)))</formula>
    </cfRule>
    <cfRule type="cellIs" dxfId="5601" priority="5303" operator="equal">
      <formula>0</formula>
    </cfRule>
    <cfRule type="cellIs" dxfId="5600" priority="5304" operator="greaterThan">
      <formula>0</formula>
    </cfRule>
  </conditionalFormatting>
  <conditionalFormatting sqref="O45:O46">
    <cfRule type="cellIs" dxfId="5599" priority="5297" operator="equal">
      <formula>"PMS"</formula>
    </cfRule>
    <cfRule type="containsText" dxfId="5598" priority="5298" operator="containsText" text="CMS">
      <formula>NOT(ISERROR(SEARCH("CMS",O45)))</formula>
    </cfRule>
    <cfRule type="cellIs" dxfId="5597" priority="5299" operator="equal">
      <formula>0</formula>
    </cfRule>
    <cfRule type="cellIs" dxfId="5596" priority="5300" operator="greaterThan">
      <formula>0</formula>
    </cfRule>
  </conditionalFormatting>
  <conditionalFormatting sqref="O45:O46">
    <cfRule type="cellIs" dxfId="5595" priority="5293" operator="equal">
      <formula>"PMS"</formula>
    </cfRule>
    <cfRule type="containsText" dxfId="5594" priority="5294" operator="containsText" text="CMS">
      <formula>NOT(ISERROR(SEARCH("CMS",O45)))</formula>
    </cfRule>
    <cfRule type="cellIs" dxfId="5593" priority="5295" operator="equal">
      <formula>0</formula>
    </cfRule>
    <cfRule type="cellIs" dxfId="5592" priority="5296" operator="greaterThan">
      <formula>0</formula>
    </cfRule>
  </conditionalFormatting>
  <conditionalFormatting sqref="O45:O46">
    <cfRule type="cellIs" dxfId="5591" priority="5289" operator="equal">
      <formula>"PMS"</formula>
    </cfRule>
    <cfRule type="containsText" dxfId="5590" priority="5290" operator="containsText" text="CMS">
      <formula>NOT(ISERROR(SEARCH("CMS",O45)))</formula>
    </cfRule>
    <cfRule type="cellIs" dxfId="5589" priority="5291" operator="equal">
      <formula>0</formula>
    </cfRule>
    <cfRule type="cellIs" dxfId="5588" priority="5292" operator="greaterThan">
      <formula>0</formula>
    </cfRule>
  </conditionalFormatting>
  <conditionalFormatting sqref="O45:O46">
    <cfRule type="cellIs" dxfId="5587" priority="5285" operator="equal">
      <formula>"PMS"</formula>
    </cfRule>
    <cfRule type="containsText" dxfId="5586" priority="5286" operator="containsText" text="CMS">
      <formula>NOT(ISERROR(SEARCH("CMS",O45)))</formula>
    </cfRule>
    <cfRule type="cellIs" dxfId="5585" priority="5287" operator="equal">
      <formula>0</formula>
    </cfRule>
    <cfRule type="cellIs" dxfId="5584" priority="5288" operator="greaterThan">
      <formula>0</formula>
    </cfRule>
  </conditionalFormatting>
  <conditionalFormatting sqref="O45:O46">
    <cfRule type="cellIs" dxfId="5583" priority="5281" operator="equal">
      <formula>"PMS"</formula>
    </cfRule>
    <cfRule type="containsText" dxfId="5582" priority="5282" operator="containsText" text="CMS">
      <formula>NOT(ISERROR(SEARCH("CMS",O45)))</formula>
    </cfRule>
    <cfRule type="cellIs" dxfId="5581" priority="5283" operator="equal">
      <formula>0</formula>
    </cfRule>
    <cfRule type="cellIs" dxfId="5580" priority="5284" operator="greaterThan">
      <formula>0</formula>
    </cfRule>
  </conditionalFormatting>
  <conditionalFormatting sqref="O45:O46">
    <cfRule type="cellIs" dxfId="5579" priority="5277" operator="equal">
      <formula>"PMS"</formula>
    </cfRule>
    <cfRule type="containsText" dxfId="5578" priority="5278" operator="containsText" text="CMS">
      <formula>NOT(ISERROR(SEARCH("CMS",O45)))</formula>
    </cfRule>
    <cfRule type="cellIs" dxfId="5577" priority="5279" operator="equal">
      <formula>0</formula>
    </cfRule>
    <cfRule type="cellIs" dxfId="5576" priority="5280" operator="greaterThan">
      <formula>0</formula>
    </cfRule>
  </conditionalFormatting>
  <conditionalFormatting sqref="O45:O46">
    <cfRule type="cellIs" dxfId="5575" priority="5273" operator="equal">
      <formula>"PMS"</formula>
    </cfRule>
    <cfRule type="containsText" dxfId="5574" priority="5274" operator="containsText" text="CMS">
      <formula>NOT(ISERROR(SEARCH("CMS",O45)))</formula>
    </cfRule>
    <cfRule type="cellIs" dxfId="5573" priority="5275" operator="equal">
      <formula>0</formula>
    </cfRule>
    <cfRule type="cellIs" dxfId="5572" priority="5276" operator="greaterThan">
      <formula>0</formula>
    </cfRule>
  </conditionalFormatting>
  <conditionalFormatting sqref="O45:O46">
    <cfRule type="cellIs" dxfId="5571" priority="5269" operator="equal">
      <formula>"PMS"</formula>
    </cfRule>
    <cfRule type="containsText" dxfId="5570" priority="5270" operator="containsText" text="CMS">
      <formula>NOT(ISERROR(SEARCH("CMS",O45)))</formula>
    </cfRule>
    <cfRule type="cellIs" dxfId="5569" priority="5271" operator="equal">
      <formula>0</formula>
    </cfRule>
    <cfRule type="cellIs" dxfId="5568" priority="5272" operator="greaterThan">
      <formula>0</formula>
    </cfRule>
  </conditionalFormatting>
  <conditionalFormatting sqref="O45:O46">
    <cfRule type="cellIs" dxfId="5567" priority="5265" operator="equal">
      <formula>"PMS"</formula>
    </cfRule>
    <cfRule type="containsText" dxfId="5566" priority="5266" operator="containsText" text="CMS">
      <formula>NOT(ISERROR(SEARCH("CMS",O45)))</formula>
    </cfRule>
    <cfRule type="cellIs" dxfId="5565" priority="5267" operator="equal">
      <formula>0</formula>
    </cfRule>
    <cfRule type="cellIs" dxfId="5564" priority="5268" operator="greaterThan">
      <formula>0</formula>
    </cfRule>
  </conditionalFormatting>
  <conditionalFormatting sqref="O45:O46">
    <cfRule type="cellIs" dxfId="5563" priority="5261" operator="equal">
      <formula>"PMS"</formula>
    </cfRule>
    <cfRule type="containsText" dxfId="5562" priority="5262" operator="containsText" text="CMS">
      <formula>NOT(ISERROR(SEARCH("CMS",O45)))</formula>
    </cfRule>
    <cfRule type="cellIs" dxfId="5561" priority="5263" operator="equal">
      <formula>0</formula>
    </cfRule>
    <cfRule type="cellIs" dxfId="5560" priority="5264" operator="greaterThan">
      <formula>0</formula>
    </cfRule>
  </conditionalFormatting>
  <conditionalFormatting sqref="O45:O46">
    <cfRule type="cellIs" dxfId="5559" priority="5257" operator="equal">
      <formula>"PMS"</formula>
    </cfRule>
    <cfRule type="containsText" dxfId="5558" priority="5258" operator="containsText" text="CMS">
      <formula>NOT(ISERROR(SEARCH("CMS",O45)))</formula>
    </cfRule>
    <cfRule type="cellIs" dxfId="5557" priority="5259" operator="equal">
      <formula>0</formula>
    </cfRule>
    <cfRule type="cellIs" dxfId="5556" priority="5260" operator="greaterThan">
      <formula>0</formula>
    </cfRule>
  </conditionalFormatting>
  <conditionalFormatting sqref="O45:O46">
    <cfRule type="cellIs" dxfId="5555" priority="5253" operator="equal">
      <formula>"PMS"</formula>
    </cfRule>
    <cfRule type="containsText" dxfId="5554" priority="5254" operator="containsText" text="CMS">
      <formula>NOT(ISERROR(SEARCH("CMS",O45)))</formula>
    </cfRule>
    <cfRule type="cellIs" dxfId="5553" priority="5255" operator="equal">
      <formula>0</formula>
    </cfRule>
    <cfRule type="cellIs" dxfId="5552" priority="5256" operator="greaterThan">
      <formula>0</formula>
    </cfRule>
  </conditionalFormatting>
  <conditionalFormatting sqref="O45:O46">
    <cfRule type="cellIs" dxfId="5551" priority="5249" operator="equal">
      <formula>"PMS"</formula>
    </cfRule>
    <cfRule type="containsText" dxfId="5550" priority="5250" operator="containsText" text="CMS">
      <formula>NOT(ISERROR(SEARCH("CMS",O45)))</formula>
    </cfRule>
    <cfRule type="cellIs" dxfId="5549" priority="5251" operator="equal">
      <formula>0</formula>
    </cfRule>
    <cfRule type="cellIs" dxfId="5548" priority="5252" operator="greaterThan">
      <formula>0</formula>
    </cfRule>
  </conditionalFormatting>
  <conditionalFormatting sqref="O45:O46">
    <cfRule type="cellIs" dxfId="5547" priority="5245" operator="equal">
      <formula>"PMS"</formula>
    </cfRule>
    <cfRule type="containsText" dxfId="5546" priority="5246" operator="containsText" text="CMS">
      <formula>NOT(ISERROR(SEARCH("CMS",O45)))</formula>
    </cfRule>
    <cfRule type="cellIs" dxfId="5545" priority="5247" operator="equal">
      <formula>0</formula>
    </cfRule>
    <cfRule type="cellIs" dxfId="5544" priority="5248" operator="greaterThan">
      <formula>0</formula>
    </cfRule>
  </conditionalFormatting>
  <conditionalFormatting sqref="O45:O46">
    <cfRule type="cellIs" dxfId="5543" priority="5241" operator="equal">
      <formula>"PMS"</formula>
    </cfRule>
    <cfRule type="containsText" dxfId="5542" priority="5242" operator="containsText" text="CMS">
      <formula>NOT(ISERROR(SEARCH("CMS",O45)))</formula>
    </cfRule>
    <cfRule type="cellIs" dxfId="5541" priority="5243" operator="equal">
      <formula>0</formula>
    </cfRule>
    <cfRule type="cellIs" dxfId="5540" priority="5244" operator="greaterThan">
      <formula>0</formula>
    </cfRule>
  </conditionalFormatting>
  <conditionalFormatting sqref="O45:O46">
    <cfRule type="cellIs" dxfId="5539" priority="5237" operator="equal">
      <formula>"PMS"</formula>
    </cfRule>
    <cfRule type="containsText" dxfId="5538" priority="5238" operator="containsText" text="CMS">
      <formula>NOT(ISERROR(SEARCH("CMS",O45)))</formula>
    </cfRule>
    <cfRule type="cellIs" dxfId="5537" priority="5239" operator="equal">
      <formula>0</formula>
    </cfRule>
    <cfRule type="cellIs" dxfId="5536" priority="5240" operator="greaterThan">
      <formula>0</formula>
    </cfRule>
  </conditionalFormatting>
  <conditionalFormatting sqref="O45:O46">
    <cfRule type="cellIs" dxfId="5535" priority="5233" operator="equal">
      <formula>"PMS"</formula>
    </cfRule>
    <cfRule type="containsText" dxfId="5534" priority="5234" operator="containsText" text="CMS">
      <formula>NOT(ISERROR(SEARCH("CMS",O45)))</formula>
    </cfRule>
    <cfRule type="cellIs" dxfId="5533" priority="5235" operator="equal">
      <formula>0</formula>
    </cfRule>
    <cfRule type="cellIs" dxfId="5532" priority="5236" operator="greaterThan">
      <formula>0</formula>
    </cfRule>
  </conditionalFormatting>
  <conditionalFormatting sqref="O45:O46">
    <cfRule type="cellIs" dxfId="5531" priority="5229" operator="equal">
      <formula>"PMS"</formula>
    </cfRule>
    <cfRule type="containsText" dxfId="5530" priority="5230" operator="containsText" text="CMS">
      <formula>NOT(ISERROR(SEARCH("CMS",O45)))</formula>
    </cfRule>
    <cfRule type="cellIs" dxfId="5529" priority="5231" operator="equal">
      <formula>0</formula>
    </cfRule>
    <cfRule type="cellIs" dxfId="5528" priority="5232" operator="greaterThan">
      <formula>0</formula>
    </cfRule>
  </conditionalFormatting>
  <conditionalFormatting sqref="O45:O46">
    <cfRule type="cellIs" dxfId="5527" priority="5225" operator="equal">
      <formula>"PMS"</formula>
    </cfRule>
    <cfRule type="containsText" dxfId="5526" priority="5226" operator="containsText" text="CMS">
      <formula>NOT(ISERROR(SEARCH("CMS",O45)))</formula>
    </cfRule>
    <cfRule type="cellIs" dxfId="5525" priority="5227" operator="equal">
      <formula>0</formula>
    </cfRule>
    <cfRule type="cellIs" dxfId="5524" priority="5228" operator="greaterThan">
      <formula>0</formula>
    </cfRule>
  </conditionalFormatting>
  <conditionalFormatting sqref="O45:O46">
    <cfRule type="cellIs" dxfId="5523" priority="5221" operator="equal">
      <formula>"PMS"</formula>
    </cfRule>
    <cfRule type="containsText" dxfId="5522" priority="5222" operator="containsText" text="CMS">
      <formula>NOT(ISERROR(SEARCH("CMS",O45)))</formula>
    </cfRule>
    <cfRule type="cellIs" dxfId="5521" priority="5223" operator="equal">
      <formula>0</formula>
    </cfRule>
    <cfRule type="cellIs" dxfId="5520" priority="5224" operator="greaterThan">
      <formula>0</formula>
    </cfRule>
  </conditionalFormatting>
  <conditionalFormatting sqref="O45:O46">
    <cfRule type="cellIs" dxfId="5519" priority="5217" operator="equal">
      <formula>"PMS"</formula>
    </cfRule>
    <cfRule type="containsText" dxfId="5518" priority="5218" operator="containsText" text="CMS">
      <formula>NOT(ISERROR(SEARCH("CMS",O45)))</formula>
    </cfRule>
    <cfRule type="cellIs" dxfId="5517" priority="5219" operator="equal">
      <formula>0</formula>
    </cfRule>
    <cfRule type="cellIs" dxfId="5516" priority="5220" operator="greaterThan">
      <formula>0</formula>
    </cfRule>
  </conditionalFormatting>
  <conditionalFormatting sqref="O45:O46">
    <cfRule type="cellIs" dxfId="5515" priority="5213" operator="equal">
      <formula>"PMS"</formula>
    </cfRule>
    <cfRule type="containsText" dxfId="5514" priority="5214" operator="containsText" text="CMS">
      <formula>NOT(ISERROR(SEARCH("CMS",O45)))</formula>
    </cfRule>
    <cfRule type="cellIs" dxfId="5513" priority="5215" operator="equal">
      <formula>0</formula>
    </cfRule>
    <cfRule type="cellIs" dxfId="5512" priority="5216" operator="greaterThan">
      <formula>0</formula>
    </cfRule>
  </conditionalFormatting>
  <conditionalFormatting sqref="O45:O46">
    <cfRule type="cellIs" dxfId="5511" priority="5209" operator="equal">
      <formula>"PMS"</formula>
    </cfRule>
    <cfRule type="containsText" dxfId="5510" priority="5210" operator="containsText" text="CMS">
      <formula>NOT(ISERROR(SEARCH("CMS",O45)))</formula>
    </cfRule>
    <cfRule type="cellIs" dxfId="5509" priority="5211" operator="equal">
      <formula>0</formula>
    </cfRule>
    <cfRule type="cellIs" dxfId="5508" priority="5212" operator="greaterThan">
      <formula>0</formula>
    </cfRule>
  </conditionalFormatting>
  <conditionalFormatting sqref="O45:O46">
    <cfRule type="cellIs" dxfId="5507" priority="5205" operator="equal">
      <formula>"PMS"</formula>
    </cfRule>
    <cfRule type="containsText" dxfId="5506" priority="5206" operator="containsText" text="CMS">
      <formula>NOT(ISERROR(SEARCH("CMS",O45)))</formula>
    </cfRule>
    <cfRule type="cellIs" dxfId="5505" priority="5207" operator="equal">
      <formula>0</formula>
    </cfRule>
    <cfRule type="cellIs" dxfId="5504" priority="5208" operator="greaterThan">
      <formula>0</formula>
    </cfRule>
  </conditionalFormatting>
  <conditionalFormatting sqref="O45:O46">
    <cfRule type="cellIs" dxfId="5503" priority="5201" operator="equal">
      <formula>"PMS"</formula>
    </cfRule>
    <cfRule type="containsText" dxfId="5502" priority="5202" operator="containsText" text="CMS">
      <formula>NOT(ISERROR(SEARCH("CMS",O45)))</formula>
    </cfRule>
    <cfRule type="cellIs" dxfId="5501" priority="5203" operator="equal">
      <formula>0</formula>
    </cfRule>
    <cfRule type="cellIs" dxfId="5500" priority="5204" operator="greaterThan">
      <formula>0</formula>
    </cfRule>
  </conditionalFormatting>
  <conditionalFormatting sqref="O45:O46">
    <cfRule type="cellIs" dxfId="5499" priority="5197" operator="equal">
      <formula>"PMS"</formula>
    </cfRule>
    <cfRule type="containsText" dxfId="5498" priority="5198" operator="containsText" text="CMS">
      <formula>NOT(ISERROR(SEARCH("CMS",O45)))</formula>
    </cfRule>
    <cfRule type="cellIs" dxfId="5497" priority="5199" operator="equal">
      <formula>0</formula>
    </cfRule>
    <cfRule type="cellIs" dxfId="5496" priority="5200" operator="greaterThan">
      <formula>0</formula>
    </cfRule>
  </conditionalFormatting>
  <conditionalFormatting sqref="O45:O46">
    <cfRule type="cellIs" dxfId="5495" priority="5193" operator="equal">
      <formula>"PMS"</formula>
    </cfRule>
    <cfRule type="containsText" dxfId="5494" priority="5194" operator="containsText" text="CMS">
      <formula>NOT(ISERROR(SEARCH("CMS",O45)))</formula>
    </cfRule>
    <cfRule type="cellIs" dxfId="5493" priority="5195" operator="equal">
      <formula>0</formula>
    </cfRule>
    <cfRule type="cellIs" dxfId="5492" priority="5196" operator="greaterThan">
      <formula>0</formula>
    </cfRule>
  </conditionalFormatting>
  <conditionalFormatting sqref="O45:O46">
    <cfRule type="cellIs" dxfId="5491" priority="5189" operator="equal">
      <formula>"PMS"</formula>
    </cfRule>
    <cfRule type="containsText" dxfId="5490" priority="5190" operator="containsText" text="CMS">
      <formula>NOT(ISERROR(SEARCH("CMS",O45)))</formula>
    </cfRule>
    <cfRule type="cellIs" dxfId="5489" priority="5191" operator="equal">
      <formula>0</formula>
    </cfRule>
    <cfRule type="cellIs" dxfId="5488" priority="5192" operator="greaterThan">
      <formula>0</formula>
    </cfRule>
  </conditionalFormatting>
  <conditionalFormatting sqref="O45:O46">
    <cfRule type="cellIs" dxfId="5487" priority="5185" operator="equal">
      <formula>"PMS"</formula>
    </cfRule>
    <cfRule type="containsText" dxfId="5486" priority="5186" operator="containsText" text="CMS">
      <formula>NOT(ISERROR(SEARCH("CMS",O45)))</formula>
    </cfRule>
    <cfRule type="cellIs" dxfId="5485" priority="5187" operator="equal">
      <formula>0</formula>
    </cfRule>
    <cfRule type="cellIs" dxfId="5484" priority="5188" operator="greaterThan">
      <formula>0</formula>
    </cfRule>
  </conditionalFormatting>
  <conditionalFormatting sqref="O45:O46">
    <cfRule type="cellIs" dxfId="5483" priority="5181" operator="equal">
      <formula>"PMS"</formula>
    </cfRule>
    <cfRule type="containsText" dxfId="5482" priority="5182" operator="containsText" text="CMS">
      <formula>NOT(ISERROR(SEARCH("CMS",O45)))</formula>
    </cfRule>
    <cfRule type="cellIs" dxfId="5481" priority="5183" operator="equal">
      <formula>0</formula>
    </cfRule>
    <cfRule type="cellIs" dxfId="5480" priority="5184" operator="greaterThan">
      <formula>0</formula>
    </cfRule>
  </conditionalFormatting>
  <conditionalFormatting sqref="O45:O46">
    <cfRule type="cellIs" dxfId="5479" priority="5177" operator="equal">
      <formula>"PMS"</formula>
    </cfRule>
    <cfRule type="containsText" dxfId="5478" priority="5178" operator="containsText" text="CMS">
      <formula>NOT(ISERROR(SEARCH("CMS",O45)))</formula>
    </cfRule>
    <cfRule type="cellIs" dxfId="5477" priority="5179" operator="equal">
      <formula>0</formula>
    </cfRule>
    <cfRule type="cellIs" dxfId="5476" priority="5180" operator="greaterThan">
      <formula>0</formula>
    </cfRule>
  </conditionalFormatting>
  <conditionalFormatting sqref="O45:O46">
    <cfRule type="cellIs" dxfId="5475" priority="5173" operator="equal">
      <formula>"PMS"</formula>
    </cfRule>
    <cfRule type="containsText" dxfId="5474" priority="5174" operator="containsText" text="CMS">
      <formula>NOT(ISERROR(SEARCH("CMS",O45)))</formula>
    </cfRule>
    <cfRule type="cellIs" dxfId="5473" priority="5175" operator="equal">
      <formula>0</formula>
    </cfRule>
    <cfRule type="cellIs" dxfId="5472" priority="5176" operator="greaterThan">
      <formula>0</formula>
    </cfRule>
  </conditionalFormatting>
  <conditionalFormatting sqref="O45:O46">
    <cfRule type="cellIs" dxfId="5471" priority="5169" operator="equal">
      <formula>"PMS"</formula>
    </cfRule>
    <cfRule type="containsText" dxfId="5470" priority="5170" operator="containsText" text="CMS">
      <formula>NOT(ISERROR(SEARCH("CMS",O45)))</formula>
    </cfRule>
    <cfRule type="cellIs" dxfId="5469" priority="5171" operator="equal">
      <formula>0</formula>
    </cfRule>
    <cfRule type="cellIs" dxfId="5468" priority="5172" operator="greaterThan">
      <formula>0</formula>
    </cfRule>
  </conditionalFormatting>
  <conditionalFormatting sqref="O45:O46">
    <cfRule type="cellIs" dxfId="5467" priority="5165" operator="equal">
      <formula>"PMS"</formula>
    </cfRule>
    <cfRule type="containsText" dxfId="5466" priority="5166" operator="containsText" text="CMS">
      <formula>NOT(ISERROR(SEARCH("CMS",O45)))</formula>
    </cfRule>
    <cfRule type="cellIs" dxfId="5465" priority="5167" operator="equal">
      <formula>0</formula>
    </cfRule>
    <cfRule type="cellIs" dxfId="5464" priority="5168" operator="greaterThan">
      <formula>0</formula>
    </cfRule>
  </conditionalFormatting>
  <conditionalFormatting sqref="O45:O46">
    <cfRule type="cellIs" dxfId="5463" priority="5161" operator="equal">
      <formula>"PMS"</formula>
    </cfRule>
    <cfRule type="containsText" dxfId="5462" priority="5162" operator="containsText" text="CMS">
      <formula>NOT(ISERROR(SEARCH("CMS",O45)))</formula>
    </cfRule>
    <cfRule type="cellIs" dxfId="5461" priority="5163" operator="equal">
      <formula>0</formula>
    </cfRule>
    <cfRule type="cellIs" dxfId="5460" priority="5164" operator="greaterThan">
      <formula>0</formula>
    </cfRule>
  </conditionalFormatting>
  <conditionalFormatting sqref="O45:O46">
    <cfRule type="cellIs" dxfId="5459" priority="5157" operator="equal">
      <formula>"PMS"</formula>
    </cfRule>
    <cfRule type="containsText" dxfId="5458" priority="5158" operator="containsText" text="CMS">
      <formula>NOT(ISERROR(SEARCH("CMS",O45)))</formula>
    </cfRule>
    <cfRule type="cellIs" dxfId="5457" priority="5159" operator="equal">
      <formula>0</formula>
    </cfRule>
    <cfRule type="cellIs" dxfId="5456" priority="5160" operator="greaterThan">
      <formula>0</formula>
    </cfRule>
  </conditionalFormatting>
  <conditionalFormatting sqref="O45:O46">
    <cfRule type="cellIs" dxfId="5455" priority="5153" operator="equal">
      <formula>"PMS"</formula>
    </cfRule>
    <cfRule type="containsText" dxfId="5454" priority="5154" operator="containsText" text="CMS">
      <formula>NOT(ISERROR(SEARCH("CMS",O45)))</formula>
    </cfRule>
    <cfRule type="cellIs" dxfId="5453" priority="5155" operator="equal">
      <formula>0</formula>
    </cfRule>
    <cfRule type="cellIs" dxfId="5452" priority="5156" operator="greaterThan">
      <formula>0</formula>
    </cfRule>
  </conditionalFormatting>
  <conditionalFormatting sqref="O45:O46">
    <cfRule type="cellIs" dxfId="5451" priority="5149" operator="equal">
      <formula>"PMS"</formula>
    </cfRule>
    <cfRule type="containsText" dxfId="5450" priority="5150" operator="containsText" text="CMS">
      <formula>NOT(ISERROR(SEARCH("CMS",O45)))</formula>
    </cfRule>
    <cfRule type="cellIs" dxfId="5449" priority="5151" operator="equal">
      <formula>0</formula>
    </cfRule>
    <cfRule type="cellIs" dxfId="5448" priority="5152" operator="greaterThan">
      <formula>0</formula>
    </cfRule>
  </conditionalFormatting>
  <conditionalFormatting sqref="O45:O46">
    <cfRule type="cellIs" dxfId="5447" priority="5145" operator="equal">
      <formula>"PMS"</formula>
    </cfRule>
    <cfRule type="containsText" dxfId="5446" priority="5146" operator="containsText" text="CMS">
      <formula>NOT(ISERROR(SEARCH("CMS",O45)))</formula>
    </cfRule>
    <cfRule type="cellIs" dxfId="5445" priority="5147" operator="equal">
      <formula>0</formula>
    </cfRule>
    <cfRule type="cellIs" dxfId="5444" priority="5148" operator="greaterThan">
      <formula>0</formula>
    </cfRule>
  </conditionalFormatting>
  <conditionalFormatting sqref="O45:O46">
    <cfRule type="cellIs" dxfId="5443" priority="5141" operator="equal">
      <formula>"PMS"</formula>
    </cfRule>
    <cfRule type="containsText" dxfId="5442" priority="5142" operator="containsText" text="CMS">
      <formula>NOT(ISERROR(SEARCH("CMS",O45)))</formula>
    </cfRule>
    <cfRule type="cellIs" dxfId="5441" priority="5143" operator="equal">
      <formula>0</formula>
    </cfRule>
    <cfRule type="cellIs" dxfId="5440" priority="5144" operator="greaterThan">
      <formula>0</formula>
    </cfRule>
  </conditionalFormatting>
  <conditionalFormatting sqref="O45:O46">
    <cfRule type="cellIs" dxfId="5439" priority="5137" operator="equal">
      <formula>"PMS"</formula>
    </cfRule>
    <cfRule type="containsText" dxfId="5438" priority="5138" operator="containsText" text="CMS">
      <formula>NOT(ISERROR(SEARCH("CMS",O45)))</formula>
    </cfRule>
    <cfRule type="cellIs" dxfId="5437" priority="5139" operator="equal">
      <formula>0</formula>
    </cfRule>
    <cfRule type="cellIs" dxfId="5436" priority="5140" operator="greaterThan">
      <formula>0</formula>
    </cfRule>
  </conditionalFormatting>
  <conditionalFormatting sqref="O45:O46">
    <cfRule type="cellIs" dxfId="5435" priority="5133" operator="equal">
      <formula>"PMS"</formula>
    </cfRule>
    <cfRule type="containsText" dxfId="5434" priority="5134" operator="containsText" text="CMS">
      <formula>NOT(ISERROR(SEARCH("CMS",O45)))</formula>
    </cfRule>
    <cfRule type="cellIs" dxfId="5433" priority="5135" operator="equal">
      <formula>0</formula>
    </cfRule>
    <cfRule type="cellIs" dxfId="5432" priority="5136" operator="greaterThan">
      <formula>0</formula>
    </cfRule>
  </conditionalFormatting>
  <conditionalFormatting sqref="O45:O46">
    <cfRule type="cellIs" dxfId="5431" priority="5129" operator="equal">
      <formula>"PMS"</formula>
    </cfRule>
    <cfRule type="containsText" dxfId="5430" priority="5130" operator="containsText" text="CMS">
      <formula>NOT(ISERROR(SEARCH("CMS",O45)))</formula>
    </cfRule>
    <cfRule type="cellIs" dxfId="5429" priority="5131" operator="equal">
      <formula>0</formula>
    </cfRule>
    <cfRule type="cellIs" dxfId="5428" priority="5132" operator="greaterThan">
      <formula>0</formula>
    </cfRule>
  </conditionalFormatting>
  <conditionalFormatting sqref="O45:O46">
    <cfRule type="cellIs" dxfId="5427" priority="5125" operator="equal">
      <formula>"PMS"</formula>
    </cfRule>
    <cfRule type="containsText" dxfId="5426" priority="5126" operator="containsText" text="CMS">
      <formula>NOT(ISERROR(SEARCH("CMS",O45)))</formula>
    </cfRule>
    <cfRule type="cellIs" dxfId="5425" priority="5127" operator="equal">
      <formula>0</formula>
    </cfRule>
    <cfRule type="cellIs" dxfId="5424" priority="5128" operator="greaterThan">
      <formula>0</formula>
    </cfRule>
  </conditionalFormatting>
  <conditionalFormatting sqref="O45:O46">
    <cfRule type="cellIs" dxfId="5423" priority="5121" operator="equal">
      <formula>"PMS"</formula>
    </cfRule>
    <cfRule type="containsText" dxfId="5422" priority="5122" operator="containsText" text="CMS">
      <formula>NOT(ISERROR(SEARCH("CMS",O45)))</formula>
    </cfRule>
    <cfRule type="cellIs" dxfId="5421" priority="5123" operator="equal">
      <formula>0</formula>
    </cfRule>
    <cfRule type="cellIs" dxfId="5420" priority="5124" operator="greaterThan">
      <formula>0</formula>
    </cfRule>
  </conditionalFormatting>
  <conditionalFormatting sqref="O45:O46">
    <cfRule type="cellIs" dxfId="5419" priority="5117" operator="equal">
      <formula>"PMS"</formula>
    </cfRule>
    <cfRule type="containsText" dxfId="5418" priority="5118" operator="containsText" text="CMS">
      <formula>NOT(ISERROR(SEARCH("CMS",O45)))</formula>
    </cfRule>
    <cfRule type="cellIs" dxfId="5417" priority="5119" operator="equal">
      <formula>0</formula>
    </cfRule>
    <cfRule type="cellIs" dxfId="5416" priority="5120" operator="greaterThan">
      <formula>0</formula>
    </cfRule>
  </conditionalFormatting>
  <conditionalFormatting sqref="O45:O46">
    <cfRule type="cellIs" dxfId="5415" priority="5113" operator="equal">
      <formula>"PMS"</formula>
    </cfRule>
    <cfRule type="containsText" dxfId="5414" priority="5114" operator="containsText" text="CMS">
      <formula>NOT(ISERROR(SEARCH("CMS",O45)))</formula>
    </cfRule>
    <cfRule type="cellIs" dxfId="5413" priority="5115" operator="equal">
      <formula>0</formula>
    </cfRule>
    <cfRule type="cellIs" dxfId="5412" priority="5116" operator="greaterThan">
      <formula>0</formula>
    </cfRule>
  </conditionalFormatting>
  <conditionalFormatting sqref="O45:O46">
    <cfRule type="cellIs" dxfId="5411" priority="5109" operator="equal">
      <formula>"PMS"</formula>
    </cfRule>
    <cfRule type="containsText" dxfId="5410" priority="5110" operator="containsText" text="CMS">
      <formula>NOT(ISERROR(SEARCH("CMS",O45)))</formula>
    </cfRule>
    <cfRule type="cellIs" dxfId="5409" priority="5111" operator="equal">
      <formula>0</formula>
    </cfRule>
    <cfRule type="cellIs" dxfId="5408" priority="5112" operator="greaterThan">
      <formula>0</formula>
    </cfRule>
  </conditionalFormatting>
  <conditionalFormatting sqref="O45:O46">
    <cfRule type="cellIs" dxfId="5407" priority="5105" operator="equal">
      <formula>"PMS"</formula>
    </cfRule>
    <cfRule type="containsText" dxfId="5406" priority="5106" operator="containsText" text="CMS">
      <formula>NOT(ISERROR(SEARCH("CMS",O45)))</formula>
    </cfRule>
    <cfRule type="cellIs" dxfId="5405" priority="5107" operator="equal">
      <formula>0</formula>
    </cfRule>
    <cfRule type="cellIs" dxfId="5404" priority="5108" operator="greaterThan">
      <formula>0</formula>
    </cfRule>
  </conditionalFormatting>
  <conditionalFormatting sqref="O45:O46">
    <cfRule type="cellIs" dxfId="5403" priority="5101" operator="equal">
      <formula>"PMS"</formula>
    </cfRule>
    <cfRule type="containsText" dxfId="5402" priority="5102" operator="containsText" text="CMS">
      <formula>NOT(ISERROR(SEARCH("CMS",O45)))</formula>
    </cfRule>
    <cfRule type="cellIs" dxfId="5401" priority="5103" operator="equal">
      <formula>0</formula>
    </cfRule>
    <cfRule type="cellIs" dxfId="5400" priority="5104" operator="greaterThan">
      <formula>0</formula>
    </cfRule>
  </conditionalFormatting>
  <conditionalFormatting sqref="O45:O46">
    <cfRule type="cellIs" dxfId="5399" priority="5097" operator="equal">
      <formula>"PMS"</formula>
    </cfRule>
    <cfRule type="containsText" dxfId="5398" priority="5098" operator="containsText" text="CMS">
      <formula>NOT(ISERROR(SEARCH("CMS",O45)))</formula>
    </cfRule>
    <cfRule type="cellIs" dxfId="5397" priority="5099" operator="equal">
      <formula>0</formula>
    </cfRule>
    <cfRule type="cellIs" dxfId="5396" priority="5100" operator="greaterThan">
      <formula>0</formula>
    </cfRule>
  </conditionalFormatting>
  <conditionalFormatting sqref="O45:O46">
    <cfRule type="cellIs" dxfId="5395" priority="5093" operator="equal">
      <formula>"PMS"</formula>
    </cfRule>
    <cfRule type="containsText" dxfId="5394" priority="5094" operator="containsText" text="CMS">
      <formula>NOT(ISERROR(SEARCH("CMS",O45)))</formula>
    </cfRule>
    <cfRule type="cellIs" dxfId="5393" priority="5095" operator="equal">
      <formula>0</formula>
    </cfRule>
    <cfRule type="cellIs" dxfId="5392" priority="5096" operator="greaterThan">
      <formula>0</formula>
    </cfRule>
  </conditionalFormatting>
  <conditionalFormatting sqref="O45:O46">
    <cfRule type="cellIs" dxfId="5391" priority="5089" operator="equal">
      <formula>"PMS"</formula>
    </cfRule>
    <cfRule type="containsText" dxfId="5390" priority="5090" operator="containsText" text="CMS">
      <formula>NOT(ISERROR(SEARCH("CMS",O45)))</formula>
    </cfRule>
    <cfRule type="cellIs" dxfId="5389" priority="5091" operator="equal">
      <formula>0</formula>
    </cfRule>
    <cfRule type="cellIs" dxfId="5388" priority="5092" operator="greaterThan">
      <formula>0</formula>
    </cfRule>
  </conditionalFormatting>
  <conditionalFormatting sqref="O45:O46">
    <cfRule type="cellIs" dxfId="5387" priority="5085" operator="equal">
      <formula>"PMS"</formula>
    </cfRule>
    <cfRule type="containsText" dxfId="5386" priority="5086" operator="containsText" text="CMS">
      <formula>NOT(ISERROR(SEARCH("CMS",O45)))</formula>
    </cfRule>
    <cfRule type="cellIs" dxfId="5385" priority="5087" operator="equal">
      <formula>0</formula>
    </cfRule>
    <cfRule type="cellIs" dxfId="5384" priority="5088" operator="greaterThan">
      <formula>0</formula>
    </cfRule>
  </conditionalFormatting>
  <conditionalFormatting sqref="O45:O46">
    <cfRule type="cellIs" dxfId="5383" priority="5081" operator="equal">
      <formula>"PMS"</formula>
    </cfRule>
    <cfRule type="containsText" dxfId="5382" priority="5082" operator="containsText" text="CMS">
      <formula>NOT(ISERROR(SEARCH("CMS",O45)))</formula>
    </cfRule>
    <cfRule type="cellIs" dxfId="5381" priority="5083" operator="equal">
      <formula>0</formula>
    </cfRule>
    <cfRule type="cellIs" dxfId="5380" priority="5084" operator="greaterThan">
      <formula>0</formula>
    </cfRule>
  </conditionalFormatting>
  <conditionalFormatting sqref="O45:O46">
    <cfRule type="cellIs" dxfId="5379" priority="5077" operator="equal">
      <formula>"PMS"</formula>
    </cfRule>
    <cfRule type="containsText" dxfId="5378" priority="5078" operator="containsText" text="CMS">
      <formula>NOT(ISERROR(SEARCH("CMS",O45)))</formula>
    </cfRule>
    <cfRule type="cellIs" dxfId="5377" priority="5079" operator="equal">
      <formula>0</formula>
    </cfRule>
    <cfRule type="cellIs" dxfId="5376" priority="5080" operator="greaterThan">
      <formula>0</formula>
    </cfRule>
  </conditionalFormatting>
  <conditionalFormatting sqref="O45:O46">
    <cfRule type="cellIs" dxfId="5375" priority="5073" operator="equal">
      <formula>"PMS"</formula>
    </cfRule>
    <cfRule type="containsText" dxfId="5374" priority="5074" operator="containsText" text="CMS">
      <formula>NOT(ISERROR(SEARCH("CMS",O45)))</formula>
    </cfRule>
    <cfRule type="cellIs" dxfId="5373" priority="5075" operator="equal">
      <formula>0</formula>
    </cfRule>
    <cfRule type="cellIs" dxfId="5372" priority="5076" operator="greaterThan">
      <formula>0</formula>
    </cfRule>
  </conditionalFormatting>
  <conditionalFormatting sqref="O45:O46">
    <cfRule type="cellIs" dxfId="5371" priority="5069" operator="equal">
      <formula>"PMS"</formula>
    </cfRule>
    <cfRule type="containsText" dxfId="5370" priority="5070" operator="containsText" text="CMS">
      <formula>NOT(ISERROR(SEARCH("CMS",O45)))</formula>
    </cfRule>
    <cfRule type="cellIs" dxfId="5369" priority="5071" operator="equal">
      <formula>0</formula>
    </cfRule>
    <cfRule type="cellIs" dxfId="5368" priority="5072" operator="greaterThan">
      <formula>0</formula>
    </cfRule>
  </conditionalFormatting>
  <conditionalFormatting sqref="O45:O46">
    <cfRule type="cellIs" dxfId="5367" priority="5065" operator="equal">
      <formula>"PMS"</formula>
    </cfRule>
    <cfRule type="containsText" dxfId="5366" priority="5066" operator="containsText" text="CMS">
      <formula>NOT(ISERROR(SEARCH("CMS",O45)))</formula>
    </cfRule>
    <cfRule type="cellIs" dxfId="5365" priority="5067" operator="equal">
      <formula>0</formula>
    </cfRule>
    <cfRule type="cellIs" dxfId="5364" priority="5068" operator="greaterThan">
      <formula>0</formula>
    </cfRule>
  </conditionalFormatting>
  <conditionalFormatting sqref="O45:O46">
    <cfRule type="cellIs" dxfId="5363" priority="5061" operator="equal">
      <formula>"PMS"</formula>
    </cfRule>
    <cfRule type="containsText" dxfId="5362" priority="5062" operator="containsText" text="CMS">
      <formula>NOT(ISERROR(SEARCH("CMS",O45)))</formula>
    </cfRule>
    <cfRule type="cellIs" dxfId="5361" priority="5063" operator="equal">
      <formula>0</formula>
    </cfRule>
    <cfRule type="cellIs" dxfId="5360" priority="5064" operator="greaterThan">
      <formula>0</formula>
    </cfRule>
  </conditionalFormatting>
  <conditionalFormatting sqref="O45:O46">
    <cfRule type="cellIs" dxfId="5359" priority="5057" operator="equal">
      <formula>"PMS"</formula>
    </cfRule>
    <cfRule type="containsText" dxfId="5358" priority="5058" operator="containsText" text="CMS">
      <formula>NOT(ISERROR(SEARCH("CMS",O45)))</formula>
    </cfRule>
    <cfRule type="cellIs" dxfId="5357" priority="5059" operator="equal">
      <formula>0</formula>
    </cfRule>
    <cfRule type="cellIs" dxfId="5356" priority="5060" operator="greaterThan">
      <formula>0</formula>
    </cfRule>
  </conditionalFormatting>
  <conditionalFormatting sqref="O45:O46">
    <cfRule type="cellIs" dxfId="5355" priority="5053" operator="equal">
      <formula>"PMS"</formula>
    </cfRule>
    <cfRule type="containsText" dxfId="5354" priority="5054" operator="containsText" text="CMS">
      <formula>NOT(ISERROR(SEARCH("CMS",O45)))</formula>
    </cfRule>
    <cfRule type="cellIs" dxfId="5353" priority="5055" operator="equal">
      <formula>0</formula>
    </cfRule>
    <cfRule type="cellIs" dxfId="5352" priority="5056" operator="greaterThan">
      <formula>0</formula>
    </cfRule>
  </conditionalFormatting>
  <conditionalFormatting sqref="O45:O46">
    <cfRule type="cellIs" dxfId="5351" priority="5049" operator="equal">
      <formula>"PMS"</formula>
    </cfRule>
    <cfRule type="containsText" dxfId="5350" priority="5050" operator="containsText" text="CMS">
      <formula>NOT(ISERROR(SEARCH("CMS",O45)))</formula>
    </cfRule>
    <cfRule type="cellIs" dxfId="5349" priority="5051" operator="equal">
      <formula>0</formula>
    </cfRule>
    <cfRule type="cellIs" dxfId="5348" priority="5052" operator="greaterThan">
      <formula>0</formula>
    </cfRule>
  </conditionalFormatting>
  <conditionalFormatting sqref="O45:O46">
    <cfRule type="cellIs" dxfId="5347" priority="5045" operator="equal">
      <formula>"PMS"</formula>
    </cfRule>
    <cfRule type="containsText" dxfId="5346" priority="5046" operator="containsText" text="CMS">
      <formula>NOT(ISERROR(SEARCH("CMS",O45)))</formula>
    </cfRule>
    <cfRule type="cellIs" dxfId="5345" priority="5047" operator="equal">
      <formula>0</formula>
    </cfRule>
    <cfRule type="cellIs" dxfId="5344" priority="5048" operator="greaterThan">
      <formula>0</formula>
    </cfRule>
  </conditionalFormatting>
  <conditionalFormatting sqref="O45:O46">
    <cfRule type="cellIs" dxfId="5343" priority="5041" operator="equal">
      <formula>"PMS"</formula>
    </cfRule>
    <cfRule type="containsText" dxfId="5342" priority="5042" operator="containsText" text="CMS">
      <formula>NOT(ISERROR(SEARCH("CMS",O45)))</formula>
    </cfRule>
    <cfRule type="cellIs" dxfId="5341" priority="5043" operator="equal">
      <formula>0</formula>
    </cfRule>
    <cfRule type="cellIs" dxfId="5340" priority="5044" operator="greaterThan">
      <formula>0</formula>
    </cfRule>
  </conditionalFormatting>
  <conditionalFormatting sqref="O45:O46">
    <cfRule type="cellIs" dxfId="5339" priority="5037" operator="equal">
      <formula>"PMS"</formula>
    </cfRule>
    <cfRule type="containsText" dxfId="5338" priority="5038" operator="containsText" text="CMS">
      <formula>NOT(ISERROR(SEARCH("CMS",O45)))</formula>
    </cfRule>
    <cfRule type="cellIs" dxfId="5337" priority="5039" operator="equal">
      <formula>0</formula>
    </cfRule>
    <cfRule type="cellIs" dxfId="5336" priority="5040" operator="greaterThan">
      <formula>0</formula>
    </cfRule>
  </conditionalFormatting>
  <conditionalFormatting sqref="O45:O46">
    <cfRule type="cellIs" dxfId="5335" priority="5033" operator="equal">
      <formula>"PMS"</formula>
    </cfRule>
    <cfRule type="containsText" dxfId="5334" priority="5034" operator="containsText" text="CMS">
      <formula>NOT(ISERROR(SEARCH("CMS",O45)))</formula>
    </cfRule>
    <cfRule type="cellIs" dxfId="5333" priority="5035" operator="equal">
      <formula>0</formula>
    </cfRule>
    <cfRule type="cellIs" dxfId="5332" priority="5036" operator="greaterThan">
      <formula>0</formula>
    </cfRule>
  </conditionalFormatting>
  <conditionalFormatting sqref="O45:O46">
    <cfRule type="cellIs" dxfId="5331" priority="5029" operator="equal">
      <formula>"PMS"</formula>
    </cfRule>
    <cfRule type="containsText" dxfId="5330" priority="5030" operator="containsText" text="CMS">
      <formula>NOT(ISERROR(SEARCH("CMS",O45)))</formula>
    </cfRule>
    <cfRule type="cellIs" dxfId="5329" priority="5031" operator="equal">
      <formula>0</formula>
    </cfRule>
    <cfRule type="cellIs" dxfId="5328" priority="5032" operator="greaterThan">
      <formula>0</formula>
    </cfRule>
  </conditionalFormatting>
  <conditionalFormatting sqref="O45:O46">
    <cfRule type="cellIs" dxfId="5327" priority="5025" operator="equal">
      <formula>"PMS"</formula>
    </cfRule>
    <cfRule type="containsText" dxfId="5326" priority="5026" operator="containsText" text="CMS">
      <formula>NOT(ISERROR(SEARCH("CMS",O45)))</formula>
    </cfRule>
    <cfRule type="cellIs" dxfId="5325" priority="5027" operator="equal">
      <formula>0</formula>
    </cfRule>
    <cfRule type="cellIs" dxfId="5324" priority="5028" operator="greaterThan">
      <formula>0</formula>
    </cfRule>
  </conditionalFormatting>
  <conditionalFormatting sqref="O45:O46">
    <cfRule type="cellIs" dxfId="5323" priority="5021" operator="equal">
      <formula>"PMS"</formula>
    </cfRule>
    <cfRule type="containsText" dxfId="5322" priority="5022" operator="containsText" text="CMS">
      <formula>NOT(ISERROR(SEARCH("CMS",O45)))</formula>
    </cfRule>
    <cfRule type="cellIs" dxfId="5321" priority="5023" operator="equal">
      <formula>0</formula>
    </cfRule>
    <cfRule type="cellIs" dxfId="5320" priority="5024" operator="greaterThan">
      <formula>0</formula>
    </cfRule>
  </conditionalFormatting>
  <conditionalFormatting sqref="O45:O46">
    <cfRule type="cellIs" dxfId="5319" priority="5017" operator="equal">
      <formula>"PMS"</formula>
    </cfRule>
    <cfRule type="containsText" dxfId="5318" priority="5018" operator="containsText" text="CMS">
      <formula>NOT(ISERROR(SEARCH("CMS",O45)))</formula>
    </cfRule>
    <cfRule type="cellIs" dxfId="5317" priority="5019" operator="equal">
      <formula>0</formula>
    </cfRule>
    <cfRule type="cellIs" dxfId="5316" priority="5020" operator="greaterThan">
      <formula>0</formula>
    </cfRule>
  </conditionalFormatting>
  <conditionalFormatting sqref="O45:O46">
    <cfRule type="cellIs" dxfId="5315" priority="5013" operator="equal">
      <formula>"PMS"</formula>
    </cfRule>
    <cfRule type="containsText" dxfId="5314" priority="5014" operator="containsText" text="CMS">
      <formula>NOT(ISERROR(SEARCH("CMS",O45)))</formula>
    </cfRule>
    <cfRule type="cellIs" dxfId="5313" priority="5015" operator="equal">
      <formula>0</formula>
    </cfRule>
    <cfRule type="cellIs" dxfId="5312" priority="5016" operator="greaterThan">
      <formula>0</formula>
    </cfRule>
  </conditionalFormatting>
  <conditionalFormatting sqref="O45:O46">
    <cfRule type="cellIs" dxfId="5311" priority="5009" operator="equal">
      <formula>"PMS"</formula>
    </cfRule>
    <cfRule type="containsText" dxfId="5310" priority="5010" operator="containsText" text="CMS">
      <formula>NOT(ISERROR(SEARCH("CMS",O45)))</formula>
    </cfRule>
    <cfRule type="cellIs" dxfId="5309" priority="5011" operator="equal">
      <formula>0</formula>
    </cfRule>
    <cfRule type="cellIs" dxfId="5308" priority="5012" operator="greaterThan">
      <formula>0</formula>
    </cfRule>
  </conditionalFormatting>
  <conditionalFormatting sqref="O45:O46">
    <cfRule type="cellIs" dxfId="5307" priority="5005" operator="equal">
      <formula>"PMS"</formula>
    </cfRule>
    <cfRule type="containsText" dxfId="5306" priority="5006" operator="containsText" text="CMS">
      <formula>NOT(ISERROR(SEARCH("CMS",O45)))</formula>
    </cfRule>
    <cfRule type="cellIs" dxfId="5305" priority="5007" operator="equal">
      <formula>0</formula>
    </cfRule>
    <cfRule type="cellIs" dxfId="5304" priority="5008" operator="greaterThan">
      <formula>0</formula>
    </cfRule>
  </conditionalFormatting>
  <conditionalFormatting sqref="O45:O46">
    <cfRule type="cellIs" dxfId="5303" priority="5001" operator="equal">
      <formula>"PMS"</formula>
    </cfRule>
    <cfRule type="containsText" dxfId="5302" priority="5002" operator="containsText" text="CMS">
      <formula>NOT(ISERROR(SEARCH("CMS",O45)))</formula>
    </cfRule>
    <cfRule type="cellIs" dxfId="5301" priority="5003" operator="equal">
      <formula>0</formula>
    </cfRule>
    <cfRule type="cellIs" dxfId="5300" priority="5004" operator="greaterThan">
      <formula>0</formula>
    </cfRule>
  </conditionalFormatting>
  <conditionalFormatting sqref="O45:O46">
    <cfRule type="cellIs" dxfId="5299" priority="4997" operator="equal">
      <formula>"PMS"</formula>
    </cfRule>
    <cfRule type="containsText" dxfId="5298" priority="4998" operator="containsText" text="CMS">
      <formula>NOT(ISERROR(SEARCH("CMS",O45)))</formula>
    </cfRule>
    <cfRule type="cellIs" dxfId="5297" priority="4999" operator="equal">
      <formula>0</formula>
    </cfRule>
    <cfRule type="cellIs" dxfId="5296" priority="5000" operator="greaterThan">
      <formula>0</formula>
    </cfRule>
  </conditionalFormatting>
  <conditionalFormatting sqref="O45:O46">
    <cfRule type="cellIs" dxfId="5295" priority="4993" operator="equal">
      <formula>"PMS"</formula>
    </cfRule>
    <cfRule type="containsText" dxfId="5294" priority="4994" operator="containsText" text="CMS">
      <formula>NOT(ISERROR(SEARCH("CMS",O45)))</formula>
    </cfRule>
    <cfRule type="cellIs" dxfId="5293" priority="4995" operator="equal">
      <formula>0</formula>
    </cfRule>
    <cfRule type="cellIs" dxfId="5292" priority="4996" operator="greaterThan">
      <formula>0</formula>
    </cfRule>
  </conditionalFormatting>
  <conditionalFormatting sqref="O45:O46">
    <cfRule type="cellIs" dxfId="5291" priority="4989" operator="equal">
      <formula>"PMS"</formula>
    </cfRule>
    <cfRule type="containsText" dxfId="5290" priority="4990" operator="containsText" text="CMS">
      <formula>NOT(ISERROR(SEARCH("CMS",O45)))</formula>
    </cfRule>
    <cfRule type="cellIs" dxfId="5289" priority="4991" operator="equal">
      <formula>0</formula>
    </cfRule>
    <cfRule type="cellIs" dxfId="5288" priority="4992" operator="greaterThan">
      <formula>0</formula>
    </cfRule>
  </conditionalFormatting>
  <conditionalFormatting sqref="O45:O46">
    <cfRule type="cellIs" dxfId="5287" priority="4985" operator="equal">
      <formula>"PMS"</formula>
    </cfRule>
    <cfRule type="containsText" dxfId="5286" priority="4986" operator="containsText" text="CMS">
      <formula>NOT(ISERROR(SEARCH("CMS",O45)))</formula>
    </cfRule>
    <cfRule type="cellIs" dxfId="5285" priority="4987" operator="equal">
      <formula>0</formula>
    </cfRule>
    <cfRule type="cellIs" dxfId="5284" priority="4988" operator="greaterThan">
      <formula>0</formula>
    </cfRule>
  </conditionalFormatting>
  <conditionalFormatting sqref="O45:O46">
    <cfRule type="cellIs" dxfId="5283" priority="4981" operator="equal">
      <formula>"PMS"</formula>
    </cfRule>
    <cfRule type="containsText" dxfId="5282" priority="4982" operator="containsText" text="CMS">
      <formula>NOT(ISERROR(SEARCH("CMS",O45)))</formula>
    </cfRule>
    <cfRule type="cellIs" dxfId="5281" priority="4983" operator="equal">
      <formula>0</formula>
    </cfRule>
    <cfRule type="cellIs" dxfId="5280" priority="4984" operator="greaterThan">
      <formula>0</formula>
    </cfRule>
  </conditionalFormatting>
  <conditionalFormatting sqref="O45:O46">
    <cfRule type="cellIs" dxfId="5279" priority="4977" operator="equal">
      <formula>"PMS"</formula>
    </cfRule>
    <cfRule type="containsText" dxfId="5278" priority="4978" operator="containsText" text="CMS">
      <formula>NOT(ISERROR(SEARCH("CMS",O45)))</formula>
    </cfRule>
    <cfRule type="cellIs" dxfId="5277" priority="4979" operator="equal">
      <formula>0</formula>
    </cfRule>
    <cfRule type="cellIs" dxfId="5276" priority="4980" operator="greaterThan">
      <formula>0</formula>
    </cfRule>
  </conditionalFormatting>
  <conditionalFormatting sqref="O45:O46">
    <cfRule type="cellIs" dxfId="5275" priority="4973" operator="equal">
      <formula>"PMS"</formula>
    </cfRule>
    <cfRule type="containsText" dxfId="5274" priority="4974" operator="containsText" text="CMS">
      <formula>NOT(ISERROR(SEARCH("CMS",O45)))</formula>
    </cfRule>
    <cfRule type="cellIs" dxfId="5273" priority="4975" operator="equal">
      <formula>0</formula>
    </cfRule>
    <cfRule type="cellIs" dxfId="5272" priority="4976" operator="greaterThan">
      <formula>0</formula>
    </cfRule>
  </conditionalFormatting>
  <conditionalFormatting sqref="O45:O46">
    <cfRule type="cellIs" dxfId="5271" priority="4969" operator="equal">
      <formula>"PMS"</formula>
    </cfRule>
    <cfRule type="containsText" dxfId="5270" priority="4970" operator="containsText" text="CMS">
      <formula>NOT(ISERROR(SEARCH("CMS",O45)))</formula>
    </cfRule>
    <cfRule type="cellIs" dxfId="5269" priority="4971" operator="equal">
      <formula>0</formula>
    </cfRule>
    <cfRule type="cellIs" dxfId="5268" priority="4972" operator="greaterThan">
      <formula>0</formula>
    </cfRule>
  </conditionalFormatting>
  <conditionalFormatting sqref="O45:O46">
    <cfRule type="cellIs" dxfId="5267" priority="4965" operator="equal">
      <formula>"PMS"</formula>
    </cfRule>
    <cfRule type="containsText" dxfId="5266" priority="4966" operator="containsText" text="CMS">
      <formula>NOT(ISERROR(SEARCH("CMS",O45)))</formula>
    </cfRule>
    <cfRule type="cellIs" dxfId="5265" priority="4967" operator="equal">
      <formula>0</formula>
    </cfRule>
    <cfRule type="cellIs" dxfId="5264" priority="4968" operator="greaterThan">
      <formula>0</formula>
    </cfRule>
  </conditionalFormatting>
  <conditionalFormatting sqref="O45:O46">
    <cfRule type="cellIs" dxfId="5263" priority="4961" operator="equal">
      <formula>"PMS"</formula>
    </cfRule>
    <cfRule type="containsText" dxfId="5262" priority="4962" operator="containsText" text="CMS">
      <formula>NOT(ISERROR(SEARCH("CMS",O45)))</formula>
    </cfRule>
    <cfRule type="cellIs" dxfId="5261" priority="4963" operator="equal">
      <formula>0</formula>
    </cfRule>
    <cfRule type="cellIs" dxfId="5260" priority="4964" operator="greaterThan">
      <formula>0</formula>
    </cfRule>
  </conditionalFormatting>
  <conditionalFormatting sqref="O45:O46">
    <cfRule type="cellIs" dxfId="5259" priority="4957" operator="equal">
      <formula>"PMS"</formula>
    </cfRule>
    <cfRule type="containsText" dxfId="5258" priority="4958" operator="containsText" text="CMS">
      <formula>NOT(ISERROR(SEARCH("CMS",O45)))</formula>
    </cfRule>
    <cfRule type="cellIs" dxfId="5257" priority="4959" operator="equal">
      <formula>0</formula>
    </cfRule>
    <cfRule type="cellIs" dxfId="5256" priority="4960" operator="greaterThan">
      <formula>0</formula>
    </cfRule>
  </conditionalFormatting>
  <conditionalFormatting sqref="O45:O46">
    <cfRule type="cellIs" dxfId="5255" priority="4953" operator="equal">
      <formula>"PMS"</formula>
    </cfRule>
    <cfRule type="containsText" dxfId="5254" priority="4954" operator="containsText" text="CMS">
      <formula>NOT(ISERROR(SEARCH("CMS",O45)))</formula>
    </cfRule>
    <cfRule type="cellIs" dxfId="5253" priority="4955" operator="equal">
      <formula>0</formula>
    </cfRule>
    <cfRule type="cellIs" dxfId="5252" priority="4956" operator="greaterThan">
      <formula>0</formula>
    </cfRule>
  </conditionalFormatting>
  <conditionalFormatting sqref="O45:O46">
    <cfRule type="cellIs" dxfId="5251" priority="4949" operator="equal">
      <formula>"PMS"</formula>
    </cfRule>
    <cfRule type="containsText" dxfId="5250" priority="4950" operator="containsText" text="CMS">
      <formula>NOT(ISERROR(SEARCH("CMS",O45)))</formula>
    </cfRule>
    <cfRule type="cellIs" dxfId="5249" priority="4951" operator="equal">
      <formula>0</formula>
    </cfRule>
    <cfRule type="cellIs" dxfId="5248" priority="4952" operator="greaterThan">
      <formula>0</formula>
    </cfRule>
  </conditionalFormatting>
  <conditionalFormatting sqref="O45:O46">
    <cfRule type="cellIs" dxfId="5247" priority="4945" operator="equal">
      <formula>"PMS"</formula>
    </cfRule>
    <cfRule type="containsText" dxfId="5246" priority="4946" operator="containsText" text="CMS">
      <formula>NOT(ISERROR(SEARCH("CMS",O45)))</formula>
    </cfRule>
    <cfRule type="cellIs" dxfId="5245" priority="4947" operator="equal">
      <formula>0</formula>
    </cfRule>
    <cfRule type="cellIs" dxfId="5244" priority="4948" operator="greaterThan">
      <formula>0</formula>
    </cfRule>
  </conditionalFormatting>
  <conditionalFormatting sqref="O45:O46">
    <cfRule type="cellIs" dxfId="5243" priority="4941" operator="equal">
      <formula>"PMS"</formula>
    </cfRule>
    <cfRule type="containsText" dxfId="5242" priority="4942" operator="containsText" text="CMS">
      <formula>NOT(ISERROR(SEARCH("CMS",O45)))</formula>
    </cfRule>
    <cfRule type="cellIs" dxfId="5241" priority="4943" operator="equal">
      <formula>0</formula>
    </cfRule>
    <cfRule type="cellIs" dxfId="5240" priority="4944" operator="greaterThan">
      <formula>0</formula>
    </cfRule>
  </conditionalFormatting>
  <conditionalFormatting sqref="O45:O46">
    <cfRule type="cellIs" dxfId="5239" priority="4937" operator="equal">
      <formula>"PMS"</formula>
    </cfRule>
    <cfRule type="containsText" dxfId="5238" priority="4938" operator="containsText" text="CMS">
      <formula>NOT(ISERROR(SEARCH("CMS",O45)))</formula>
    </cfRule>
    <cfRule type="cellIs" dxfId="5237" priority="4939" operator="equal">
      <formula>0</formula>
    </cfRule>
    <cfRule type="cellIs" dxfId="5236" priority="4940" operator="greaterThan">
      <formula>0</formula>
    </cfRule>
  </conditionalFormatting>
  <conditionalFormatting sqref="O45:O46">
    <cfRule type="cellIs" dxfId="5235" priority="4933" operator="equal">
      <formula>"PMS"</formula>
    </cfRule>
    <cfRule type="containsText" dxfId="5234" priority="4934" operator="containsText" text="CMS">
      <formula>NOT(ISERROR(SEARCH("CMS",O45)))</formula>
    </cfRule>
    <cfRule type="cellIs" dxfId="5233" priority="4935" operator="equal">
      <formula>0</formula>
    </cfRule>
    <cfRule type="cellIs" dxfId="5232" priority="4936" operator="greaterThan">
      <formula>0</formula>
    </cfRule>
  </conditionalFormatting>
  <conditionalFormatting sqref="O45:O46">
    <cfRule type="cellIs" dxfId="5231" priority="4929" operator="equal">
      <formula>"PMS"</formula>
    </cfRule>
    <cfRule type="containsText" dxfId="5230" priority="4930" operator="containsText" text="CMS">
      <formula>NOT(ISERROR(SEARCH("CMS",O45)))</formula>
    </cfRule>
    <cfRule type="cellIs" dxfId="5229" priority="4931" operator="equal">
      <formula>0</formula>
    </cfRule>
    <cfRule type="cellIs" dxfId="5228" priority="4932" operator="greaterThan">
      <formula>0</formula>
    </cfRule>
  </conditionalFormatting>
  <conditionalFormatting sqref="O45:O46">
    <cfRule type="cellIs" dxfId="5227" priority="4925" operator="equal">
      <formula>"PMS"</formula>
    </cfRule>
    <cfRule type="containsText" dxfId="5226" priority="4926" operator="containsText" text="CMS">
      <formula>NOT(ISERROR(SEARCH("CMS",O45)))</formula>
    </cfRule>
    <cfRule type="cellIs" dxfId="5225" priority="4927" operator="equal">
      <formula>0</formula>
    </cfRule>
    <cfRule type="cellIs" dxfId="5224" priority="4928" operator="greaterThan">
      <formula>0</formula>
    </cfRule>
  </conditionalFormatting>
  <conditionalFormatting sqref="O45:O46">
    <cfRule type="cellIs" dxfId="5223" priority="4921" operator="equal">
      <formula>"PMS"</formula>
    </cfRule>
    <cfRule type="containsText" dxfId="5222" priority="4922" operator="containsText" text="CMS">
      <formula>NOT(ISERROR(SEARCH("CMS",O45)))</formula>
    </cfRule>
    <cfRule type="cellIs" dxfId="5221" priority="4923" operator="equal">
      <formula>0</formula>
    </cfRule>
    <cfRule type="cellIs" dxfId="5220" priority="4924" operator="greaterThan">
      <formula>0</formula>
    </cfRule>
  </conditionalFormatting>
  <conditionalFormatting sqref="O45:O46">
    <cfRule type="cellIs" dxfId="5219" priority="4917" operator="equal">
      <formula>"PMS"</formula>
    </cfRule>
    <cfRule type="containsText" dxfId="5218" priority="4918" operator="containsText" text="CMS">
      <formula>NOT(ISERROR(SEARCH("CMS",O45)))</formula>
    </cfRule>
    <cfRule type="cellIs" dxfId="5217" priority="4919" operator="equal">
      <formula>0</formula>
    </cfRule>
    <cfRule type="cellIs" dxfId="5216" priority="4920" operator="greaterThan">
      <formula>0</formula>
    </cfRule>
  </conditionalFormatting>
  <conditionalFormatting sqref="O45:O46">
    <cfRule type="cellIs" dxfId="5215" priority="4913" operator="equal">
      <formula>"PMS"</formula>
    </cfRule>
    <cfRule type="containsText" dxfId="5214" priority="4914" operator="containsText" text="CMS">
      <formula>NOT(ISERROR(SEARCH("CMS",O45)))</formula>
    </cfRule>
    <cfRule type="cellIs" dxfId="5213" priority="4915" operator="equal">
      <formula>0</formula>
    </cfRule>
    <cfRule type="cellIs" dxfId="5212" priority="4916" operator="greaterThan">
      <formula>0</formula>
    </cfRule>
  </conditionalFormatting>
  <conditionalFormatting sqref="O45:O46">
    <cfRule type="cellIs" dxfId="5211" priority="4909" operator="equal">
      <formula>"PMS"</formula>
    </cfRule>
    <cfRule type="containsText" dxfId="5210" priority="4910" operator="containsText" text="CMS">
      <formula>NOT(ISERROR(SEARCH("CMS",O45)))</formula>
    </cfRule>
    <cfRule type="cellIs" dxfId="5209" priority="4911" operator="equal">
      <formula>0</formula>
    </cfRule>
    <cfRule type="cellIs" dxfId="5208" priority="4912" operator="greaterThan">
      <formula>0</formula>
    </cfRule>
  </conditionalFormatting>
  <conditionalFormatting sqref="O45:O46">
    <cfRule type="cellIs" dxfId="5207" priority="4905" operator="equal">
      <formula>"PMS"</formula>
    </cfRule>
    <cfRule type="containsText" dxfId="5206" priority="4906" operator="containsText" text="CMS">
      <formula>NOT(ISERROR(SEARCH("CMS",O45)))</formula>
    </cfRule>
    <cfRule type="cellIs" dxfId="5205" priority="4907" operator="equal">
      <formula>0</formula>
    </cfRule>
    <cfRule type="cellIs" dxfId="5204" priority="4908" operator="greaterThan">
      <formula>0</formula>
    </cfRule>
  </conditionalFormatting>
  <conditionalFormatting sqref="O45:O46">
    <cfRule type="cellIs" dxfId="5203" priority="4901" operator="equal">
      <formula>"PMS"</formula>
    </cfRule>
    <cfRule type="containsText" dxfId="5202" priority="4902" operator="containsText" text="CMS">
      <formula>NOT(ISERROR(SEARCH("CMS",O45)))</formula>
    </cfRule>
    <cfRule type="cellIs" dxfId="5201" priority="4903" operator="equal">
      <formula>0</formula>
    </cfRule>
    <cfRule type="cellIs" dxfId="5200" priority="4904" operator="greaterThan">
      <formula>0</formula>
    </cfRule>
  </conditionalFormatting>
  <conditionalFormatting sqref="O45:O46">
    <cfRule type="cellIs" dxfId="5199" priority="4897" operator="equal">
      <formula>"PMS"</formula>
    </cfRule>
    <cfRule type="containsText" dxfId="5198" priority="4898" operator="containsText" text="CMS">
      <formula>NOT(ISERROR(SEARCH("CMS",O45)))</formula>
    </cfRule>
    <cfRule type="cellIs" dxfId="5197" priority="4899" operator="equal">
      <formula>0</formula>
    </cfRule>
    <cfRule type="cellIs" dxfId="5196" priority="4900" operator="greaterThan">
      <formula>0</formula>
    </cfRule>
  </conditionalFormatting>
  <conditionalFormatting sqref="O45:O46">
    <cfRule type="cellIs" dxfId="5195" priority="4893" operator="equal">
      <formula>"PMS"</formula>
    </cfRule>
    <cfRule type="containsText" dxfId="5194" priority="4894" operator="containsText" text="CMS">
      <formula>NOT(ISERROR(SEARCH("CMS",O45)))</formula>
    </cfRule>
    <cfRule type="cellIs" dxfId="5193" priority="4895" operator="equal">
      <formula>0</formula>
    </cfRule>
    <cfRule type="cellIs" dxfId="5192" priority="4896" operator="greaterThan">
      <formula>0</formula>
    </cfRule>
  </conditionalFormatting>
  <conditionalFormatting sqref="O45:O46">
    <cfRule type="cellIs" dxfId="5191" priority="4889" operator="equal">
      <formula>"PMS"</formula>
    </cfRule>
    <cfRule type="containsText" dxfId="5190" priority="4890" operator="containsText" text="CMS">
      <formula>NOT(ISERROR(SEARCH("CMS",O45)))</formula>
    </cfRule>
    <cfRule type="cellIs" dxfId="5189" priority="4891" operator="equal">
      <formula>0</formula>
    </cfRule>
    <cfRule type="cellIs" dxfId="5188" priority="4892" operator="greaterThan">
      <formula>0</formula>
    </cfRule>
  </conditionalFormatting>
  <conditionalFormatting sqref="O45:O46">
    <cfRule type="cellIs" dxfId="5187" priority="4885" operator="equal">
      <formula>"PMS"</formula>
    </cfRule>
    <cfRule type="containsText" dxfId="5186" priority="4886" operator="containsText" text="CMS">
      <formula>NOT(ISERROR(SEARCH("CMS",O45)))</formula>
    </cfRule>
    <cfRule type="cellIs" dxfId="5185" priority="4887" operator="equal">
      <formula>0</formula>
    </cfRule>
    <cfRule type="cellIs" dxfId="5184" priority="4888" operator="greaterThan">
      <formula>0</formula>
    </cfRule>
  </conditionalFormatting>
  <conditionalFormatting sqref="O45:O46">
    <cfRule type="cellIs" dxfId="5183" priority="4881" operator="equal">
      <formula>"PMS"</formula>
    </cfRule>
    <cfRule type="containsText" dxfId="5182" priority="4882" operator="containsText" text="CMS">
      <formula>NOT(ISERROR(SEARCH("CMS",O45)))</formula>
    </cfRule>
    <cfRule type="cellIs" dxfId="5181" priority="4883" operator="equal">
      <formula>0</formula>
    </cfRule>
    <cfRule type="cellIs" dxfId="5180" priority="4884" operator="greaterThan">
      <formula>0</formula>
    </cfRule>
  </conditionalFormatting>
  <conditionalFormatting sqref="O45:O46">
    <cfRule type="cellIs" dxfId="5179" priority="4877" operator="equal">
      <formula>"PMS"</formula>
    </cfRule>
    <cfRule type="containsText" dxfId="5178" priority="4878" operator="containsText" text="CMS">
      <formula>NOT(ISERROR(SEARCH("CMS",O45)))</formula>
    </cfRule>
    <cfRule type="cellIs" dxfId="5177" priority="4879" operator="equal">
      <formula>0</formula>
    </cfRule>
    <cfRule type="cellIs" dxfId="5176" priority="4880" operator="greaterThan">
      <formula>0</formula>
    </cfRule>
  </conditionalFormatting>
  <conditionalFormatting sqref="O45:O46">
    <cfRule type="cellIs" dxfId="5175" priority="4873" operator="equal">
      <formula>"PMS"</formula>
    </cfRule>
    <cfRule type="containsText" dxfId="5174" priority="4874" operator="containsText" text="CMS">
      <formula>NOT(ISERROR(SEARCH("CMS",O45)))</formula>
    </cfRule>
    <cfRule type="cellIs" dxfId="5173" priority="4875" operator="equal">
      <formula>0</formula>
    </cfRule>
    <cfRule type="cellIs" dxfId="5172" priority="4876" operator="greaterThan">
      <formula>0</formula>
    </cfRule>
  </conditionalFormatting>
  <conditionalFormatting sqref="O45:O46">
    <cfRule type="cellIs" dxfId="5171" priority="4869" operator="equal">
      <formula>"PMS"</formula>
    </cfRule>
    <cfRule type="containsText" dxfId="5170" priority="4870" operator="containsText" text="CMS">
      <formula>NOT(ISERROR(SEARCH("CMS",O45)))</formula>
    </cfRule>
    <cfRule type="cellIs" dxfId="5169" priority="4871" operator="equal">
      <formula>0</formula>
    </cfRule>
    <cfRule type="cellIs" dxfId="5168" priority="4872" operator="greaterThan">
      <formula>0</formula>
    </cfRule>
  </conditionalFormatting>
  <conditionalFormatting sqref="O45:O46">
    <cfRule type="cellIs" dxfId="5167" priority="4865" operator="equal">
      <formula>"PMS"</formula>
    </cfRule>
    <cfRule type="containsText" dxfId="5166" priority="4866" operator="containsText" text="CMS">
      <formula>NOT(ISERROR(SEARCH("CMS",O45)))</formula>
    </cfRule>
    <cfRule type="cellIs" dxfId="5165" priority="4867" operator="equal">
      <formula>0</formula>
    </cfRule>
    <cfRule type="cellIs" dxfId="5164" priority="4868" operator="greaterThan">
      <formula>0</formula>
    </cfRule>
  </conditionalFormatting>
  <conditionalFormatting sqref="O45:O46">
    <cfRule type="cellIs" dxfId="5163" priority="4861" operator="equal">
      <formula>"PMS"</formula>
    </cfRule>
    <cfRule type="containsText" dxfId="5162" priority="4862" operator="containsText" text="CMS">
      <formula>NOT(ISERROR(SEARCH("CMS",O45)))</formula>
    </cfRule>
    <cfRule type="cellIs" dxfId="5161" priority="4863" operator="equal">
      <formula>0</formula>
    </cfRule>
    <cfRule type="cellIs" dxfId="5160" priority="4864" operator="greaterThan">
      <formula>0</formula>
    </cfRule>
  </conditionalFormatting>
  <conditionalFormatting sqref="O45:O46">
    <cfRule type="cellIs" dxfId="5159" priority="4857" operator="equal">
      <formula>"PMS"</formula>
    </cfRule>
    <cfRule type="containsText" dxfId="5158" priority="4858" operator="containsText" text="CMS">
      <formula>NOT(ISERROR(SEARCH("CMS",O45)))</formula>
    </cfRule>
    <cfRule type="cellIs" dxfId="5157" priority="4859" operator="equal">
      <formula>0</formula>
    </cfRule>
    <cfRule type="cellIs" dxfId="5156" priority="4860" operator="greaterThan">
      <formula>0</formula>
    </cfRule>
  </conditionalFormatting>
  <conditionalFormatting sqref="O45:O46">
    <cfRule type="cellIs" dxfId="5155" priority="4853" operator="equal">
      <formula>"PMS"</formula>
    </cfRule>
    <cfRule type="containsText" dxfId="5154" priority="4854" operator="containsText" text="CMS">
      <formula>NOT(ISERROR(SEARCH("CMS",O45)))</formula>
    </cfRule>
    <cfRule type="cellIs" dxfId="5153" priority="4855" operator="equal">
      <formula>0</formula>
    </cfRule>
    <cfRule type="cellIs" dxfId="5152" priority="4856" operator="greaterThan">
      <formula>0</formula>
    </cfRule>
  </conditionalFormatting>
  <conditionalFormatting sqref="O45:O46">
    <cfRule type="cellIs" dxfId="5151" priority="4849" operator="equal">
      <formula>"PMS"</formula>
    </cfRule>
    <cfRule type="containsText" dxfId="5150" priority="4850" operator="containsText" text="CMS">
      <formula>NOT(ISERROR(SEARCH("CMS",O45)))</formula>
    </cfRule>
    <cfRule type="cellIs" dxfId="5149" priority="4851" operator="equal">
      <formula>0</formula>
    </cfRule>
    <cfRule type="cellIs" dxfId="5148" priority="4852" operator="greaterThan">
      <formula>0</formula>
    </cfRule>
  </conditionalFormatting>
  <conditionalFormatting sqref="O45:O46">
    <cfRule type="cellIs" dxfId="5147" priority="4845" operator="equal">
      <formula>"PMS"</formula>
    </cfRule>
    <cfRule type="containsText" dxfId="5146" priority="4846" operator="containsText" text="CMS">
      <formula>NOT(ISERROR(SEARCH("CMS",O45)))</formula>
    </cfRule>
    <cfRule type="cellIs" dxfId="5145" priority="4847" operator="equal">
      <formula>0</formula>
    </cfRule>
    <cfRule type="cellIs" dxfId="5144" priority="4848" operator="greaterThan">
      <formula>0</formula>
    </cfRule>
  </conditionalFormatting>
  <conditionalFormatting sqref="O45:O46">
    <cfRule type="cellIs" dxfId="5143" priority="4841" operator="equal">
      <formula>"PMS"</formula>
    </cfRule>
    <cfRule type="containsText" dxfId="5142" priority="4842" operator="containsText" text="CMS">
      <formula>NOT(ISERROR(SEARCH("CMS",O45)))</formula>
    </cfRule>
    <cfRule type="cellIs" dxfId="5141" priority="4843" operator="equal">
      <formula>0</formula>
    </cfRule>
    <cfRule type="cellIs" dxfId="5140" priority="4844" operator="greaterThan">
      <formula>0</formula>
    </cfRule>
  </conditionalFormatting>
  <conditionalFormatting sqref="O45:O46">
    <cfRule type="cellIs" dxfId="5139" priority="4837" operator="equal">
      <formula>"PMS"</formula>
    </cfRule>
    <cfRule type="containsText" dxfId="5138" priority="4838" operator="containsText" text="CMS">
      <formula>NOT(ISERROR(SEARCH("CMS",O45)))</formula>
    </cfRule>
    <cfRule type="cellIs" dxfId="5137" priority="4839" operator="equal">
      <formula>0</formula>
    </cfRule>
    <cfRule type="cellIs" dxfId="5136" priority="4840" operator="greaterThan">
      <formula>0</formula>
    </cfRule>
  </conditionalFormatting>
  <conditionalFormatting sqref="O45:O46">
    <cfRule type="cellIs" dxfId="5135" priority="4833" operator="equal">
      <formula>"PMS"</formula>
    </cfRule>
    <cfRule type="containsText" dxfId="5134" priority="4834" operator="containsText" text="CMS">
      <formula>NOT(ISERROR(SEARCH("CMS",O45)))</formula>
    </cfRule>
    <cfRule type="cellIs" dxfId="5133" priority="4835" operator="equal">
      <formula>0</formula>
    </cfRule>
    <cfRule type="cellIs" dxfId="5132" priority="4836" operator="greaterThan">
      <formula>0</formula>
    </cfRule>
  </conditionalFormatting>
  <conditionalFormatting sqref="O45:O46">
    <cfRule type="cellIs" dxfId="5131" priority="4829" operator="equal">
      <formula>"PMS"</formula>
    </cfRule>
    <cfRule type="containsText" dxfId="5130" priority="4830" operator="containsText" text="CMS">
      <formula>NOT(ISERROR(SEARCH("CMS",O45)))</formula>
    </cfRule>
    <cfRule type="cellIs" dxfId="5129" priority="4831" operator="equal">
      <formula>0</formula>
    </cfRule>
    <cfRule type="cellIs" dxfId="5128" priority="4832" operator="greaterThan">
      <formula>0</formula>
    </cfRule>
  </conditionalFormatting>
  <conditionalFormatting sqref="O45:O46">
    <cfRule type="cellIs" dxfId="5127" priority="4825" operator="equal">
      <formula>"PMS"</formula>
    </cfRule>
    <cfRule type="containsText" dxfId="5126" priority="4826" operator="containsText" text="CMS">
      <formula>NOT(ISERROR(SEARCH("CMS",O45)))</formula>
    </cfRule>
    <cfRule type="cellIs" dxfId="5125" priority="4827" operator="equal">
      <formula>0</formula>
    </cfRule>
    <cfRule type="cellIs" dxfId="5124" priority="4828" operator="greaterThan">
      <formula>0</formula>
    </cfRule>
  </conditionalFormatting>
  <conditionalFormatting sqref="O45:O46">
    <cfRule type="cellIs" dxfId="5123" priority="4821" operator="equal">
      <formula>"PMS"</formula>
    </cfRule>
    <cfRule type="containsText" dxfId="5122" priority="4822" operator="containsText" text="CMS">
      <formula>NOT(ISERROR(SEARCH("CMS",O45)))</formula>
    </cfRule>
    <cfRule type="cellIs" dxfId="5121" priority="4823" operator="equal">
      <formula>0</formula>
    </cfRule>
    <cfRule type="cellIs" dxfId="5120" priority="4824" operator="greaterThan">
      <formula>0</formula>
    </cfRule>
  </conditionalFormatting>
  <conditionalFormatting sqref="O45:O46">
    <cfRule type="cellIs" dxfId="5119" priority="4817" operator="equal">
      <formula>"PMS"</formula>
    </cfRule>
    <cfRule type="containsText" dxfId="5118" priority="4818" operator="containsText" text="CMS">
      <formula>NOT(ISERROR(SEARCH("CMS",O45)))</formula>
    </cfRule>
    <cfRule type="cellIs" dxfId="5117" priority="4819" operator="equal">
      <formula>0</formula>
    </cfRule>
    <cfRule type="cellIs" dxfId="5116" priority="4820" operator="greaterThan">
      <formula>0</formula>
    </cfRule>
  </conditionalFormatting>
  <conditionalFormatting sqref="O45:O46">
    <cfRule type="cellIs" dxfId="5115" priority="4813" operator="equal">
      <formula>"PMS"</formula>
    </cfRule>
    <cfRule type="containsText" dxfId="5114" priority="4814" operator="containsText" text="CMS">
      <formula>NOT(ISERROR(SEARCH("CMS",O45)))</formula>
    </cfRule>
    <cfRule type="cellIs" dxfId="5113" priority="4815" operator="equal">
      <formula>0</formula>
    </cfRule>
    <cfRule type="cellIs" dxfId="5112" priority="4816" operator="greaterThan">
      <formula>0</formula>
    </cfRule>
  </conditionalFormatting>
  <conditionalFormatting sqref="O45:O46">
    <cfRule type="cellIs" dxfId="5111" priority="4809" operator="equal">
      <formula>"PMS"</formula>
    </cfRule>
    <cfRule type="containsText" dxfId="5110" priority="4810" operator="containsText" text="CMS">
      <formula>NOT(ISERROR(SEARCH("CMS",O45)))</formula>
    </cfRule>
    <cfRule type="cellIs" dxfId="5109" priority="4811" operator="equal">
      <formula>0</formula>
    </cfRule>
    <cfRule type="cellIs" dxfId="5108" priority="4812" operator="greaterThan">
      <formula>0</formula>
    </cfRule>
  </conditionalFormatting>
  <conditionalFormatting sqref="O45:O46">
    <cfRule type="cellIs" dxfId="5107" priority="4805" operator="equal">
      <formula>"PMS"</formula>
    </cfRule>
    <cfRule type="containsText" dxfId="5106" priority="4806" operator="containsText" text="CMS">
      <formula>NOT(ISERROR(SEARCH("CMS",O45)))</formula>
    </cfRule>
    <cfRule type="cellIs" dxfId="5105" priority="4807" operator="equal">
      <formula>0</formula>
    </cfRule>
    <cfRule type="cellIs" dxfId="5104" priority="4808" operator="greaterThan">
      <formula>0</formula>
    </cfRule>
  </conditionalFormatting>
  <conditionalFormatting sqref="O45:O46">
    <cfRule type="cellIs" dxfId="5103" priority="4801" operator="equal">
      <formula>"PMS"</formula>
    </cfRule>
    <cfRule type="containsText" dxfId="5102" priority="4802" operator="containsText" text="CMS">
      <formula>NOT(ISERROR(SEARCH("CMS",O45)))</formula>
    </cfRule>
    <cfRule type="cellIs" dxfId="5101" priority="4803" operator="equal">
      <formula>0</formula>
    </cfRule>
    <cfRule type="cellIs" dxfId="5100" priority="4804" operator="greaterThan">
      <formula>0</formula>
    </cfRule>
  </conditionalFormatting>
  <conditionalFormatting sqref="O45:O46">
    <cfRule type="cellIs" dxfId="5099" priority="4797" operator="equal">
      <formula>"PMS"</formula>
    </cfRule>
    <cfRule type="containsText" dxfId="5098" priority="4798" operator="containsText" text="CMS">
      <formula>NOT(ISERROR(SEARCH("CMS",O45)))</formula>
    </cfRule>
    <cfRule type="cellIs" dxfId="5097" priority="4799" operator="equal">
      <formula>0</formula>
    </cfRule>
    <cfRule type="cellIs" dxfId="5096" priority="4800" operator="greaterThan">
      <formula>0</formula>
    </cfRule>
  </conditionalFormatting>
  <conditionalFormatting sqref="O45:O46">
    <cfRule type="cellIs" dxfId="5095" priority="4793" operator="equal">
      <formula>"PMS"</formula>
    </cfRule>
    <cfRule type="containsText" dxfId="5094" priority="4794" operator="containsText" text="CMS">
      <formula>NOT(ISERROR(SEARCH("CMS",O45)))</formula>
    </cfRule>
    <cfRule type="cellIs" dxfId="5093" priority="4795" operator="equal">
      <formula>0</formula>
    </cfRule>
    <cfRule type="cellIs" dxfId="5092" priority="4796" operator="greaterThan">
      <formula>0</formula>
    </cfRule>
  </conditionalFormatting>
  <conditionalFormatting sqref="O45:O46">
    <cfRule type="cellIs" dxfId="5091" priority="4789" operator="equal">
      <formula>"PMS"</formula>
    </cfRule>
    <cfRule type="containsText" dxfId="5090" priority="4790" operator="containsText" text="CMS">
      <formula>NOT(ISERROR(SEARCH("CMS",O45)))</formula>
    </cfRule>
    <cfRule type="cellIs" dxfId="5089" priority="4791" operator="equal">
      <formula>0</formula>
    </cfRule>
    <cfRule type="cellIs" dxfId="5088" priority="4792" operator="greaterThan">
      <formula>0</formula>
    </cfRule>
  </conditionalFormatting>
  <conditionalFormatting sqref="O45:O46">
    <cfRule type="cellIs" dxfId="5087" priority="4785" operator="equal">
      <formula>"PMS"</formula>
    </cfRule>
    <cfRule type="containsText" dxfId="5086" priority="4786" operator="containsText" text="CMS">
      <formula>NOT(ISERROR(SEARCH("CMS",O45)))</formula>
    </cfRule>
    <cfRule type="cellIs" dxfId="5085" priority="4787" operator="equal">
      <formula>0</formula>
    </cfRule>
    <cfRule type="cellIs" dxfId="5084" priority="4788" operator="greaterThan">
      <formula>0</formula>
    </cfRule>
  </conditionalFormatting>
  <conditionalFormatting sqref="O45:O46">
    <cfRule type="cellIs" dxfId="5083" priority="4781" operator="equal">
      <formula>"PMS"</formula>
    </cfRule>
    <cfRule type="containsText" dxfId="5082" priority="4782" operator="containsText" text="CMS">
      <formula>NOT(ISERROR(SEARCH("CMS",O45)))</formula>
    </cfRule>
    <cfRule type="cellIs" dxfId="5081" priority="4783" operator="equal">
      <formula>0</formula>
    </cfRule>
    <cfRule type="cellIs" dxfId="5080" priority="4784" operator="greaterThan">
      <formula>0</formula>
    </cfRule>
  </conditionalFormatting>
  <conditionalFormatting sqref="O45:O46">
    <cfRule type="cellIs" dxfId="5079" priority="4777" operator="equal">
      <formula>"PMS"</formula>
    </cfRule>
    <cfRule type="containsText" dxfId="5078" priority="4778" operator="containsText" text="CMS">
      <formula>NOT(ISERROR(SEARCH("CMS",O45)))</formula>
    </cfRule>
    <cfRule type="cellIs" dxfId="5077" priority="4779" operator="equal">
      <formula>0</formula>
    </cfRule>
    <cfRule type="cellIs" dxfId="5076" priority="4780" operator="greaterThan">
      <formula>0</formula>
    </cfRule>
  </conditionalFormatting>
  <conditionalFormatting sqref="O45:O46">
    <cfRule type="cellIs" dxfId="5075" priority="4773" operator="equal">
      <formula>"PMS"</formula>
    </cfRule>
    <cfRule type="containsText" dxfId="5074" priority="4774" operator="containsText" text="CMS">
      <formula>NOT(ISERROR(SEARCH("CMS",O45)))</formula>
    </cfRule>
    <cfRule type="cellIs" dxfId="5073" priority="4775" operator="equal">
      <formula>0</formula>
    </cfRule>
    <cfRule type="cellIs" dxfId="5072" priority="4776" operator="greaterThan">
      <formula>0</formula>
    </cfRule>
  </conditionalFormatting>
  <conditionalFormatting sqref="O45:O46">
    <cfRule type="cellIs" dxfId="5071" priority="4769" operator="equal">
      <formula>"PMS"</formula>
    </cfRule>
    <cfRule type="containsText" dxfId="5070" priority="4770" operator="containsText" text="CMS">
      <formula>NOT(ISERROR(SEARCH("CMS",O45)))</formula>
    </cfRule>
    <cfRule type="cellIs" dxfId="5069" priority="4771" operator="equal">
      <formula>0</formula>
    </cfRule>
    <cfRule type="cellIs" dxfId="5068" priority="4772" operator="greaterThan">
      <formula>0</formula>
    </cfRule>
  </conditionalFormatting>
  <conditionalFormatting sqref="O45:O46">
    <cfRule type="cellIs" dxfId="5067" priority="4765" operator="equal">
      <formula>"PMS"</formula>
    </cfRule>
    <cfRule type="containsText" dxfId="5066" priority="4766" operator="containsText" text="CMS">
      <formula>NOT(ISERROR(SEARCH("CMS",O45)))</formula>
    </cfRule>
    <cfRule type="cellIs" dxfId="5065" priority="4767" operator="equal">
      <formula>0</formula>
    </cfRule>
    <cfRule type="cellIs" dxfId="5064" priority="4768" operator="greaterThan">
      <formula>0</formula>
    </cfRule>
  </conditionalFormatting>
  <conditionalFormatting sqref="O45:O46">
    <cfRule type="cellIs" dxfId="5063" priority="4761" operator="equal">
      <formula>"PMS"</formula>
    </cfRule>
    <cfRule type="containsText" dxfId="5062" priority="4762" operator="containsText" text="CMS">
      <formula>NOT(ISERROR(SEARCH("CMS",O45)))</formula>
    </cfRule>
    <cfRule type="cellIs" dxfId="5061" priority="4763" operator="equal">
      <formula>0</formula>
    </cfRule>
    <cfRule type="cellIs" dxfId="5060" priority="4764" operator="greaterThan">
      <formula>0</formula>
    </cfRule>
  </conditionalFormatting>
  <conditionalFormatting sqref="O45:O46">
    <cfRule type="cellIs" dxfId="5059" priority="4757" operator="equal">
      <formula>"PMS"</formula>
    </cfRule>
    <cfRule type="containsText" dxfId="5058" priority="4758" operator="containsText" text="CMS">
      <formula>NOT(ISERROR(SEARCH("CMS",O45)))</formula>
    </cfRule>
    <cfRule type="cellIs" dxfId="5057" priority="4759" operator="equal">
      <formula>0</formula>
    </cfRule>
    <cfRule type="cellIs" dxfId="5056" priority="4760" operator="greaterThan">
      <formula>0</formula>
    </cfRule>
  </conditionalFormatting>
  <conditionalFormatting sqref="O45:O46">
    <cfRule type="cellIs" dxfId="5055" priority="4753" operator="equal">
      <formula>"PMS"</formula>
    </cfRule>
    <cfRule type="containsText" dxfId="5054" priority="4754" operator="containsText" text="CMS">
      <formula>NOT(ISERROR(SEARCH("CMS",O45)))</formula>
    </cfRule>
    <cfRule type="cellIs" dxfId="5053" priority="4755" operator="equal">
      <formula>0</formula>
    </cfRule>
    <cfRule type="cellIs" dxfId="5052" priority="4756" operator="greaterThan">
      <formula>0</formula>
    </cfRule>
  </conditionalFormatting>
  <conditionalFormatting sqref="O45:O46">
    <cfRule type="cellIs" dxfId="5051" priority="4749" operator="equal">
      <formula>"PMS"</formula>
    </cfRule>
    <cfRule type="containsText" dxfId="5050" priority="4750" operator="containsText" text="CMS">
      <formula>NOT(ISERROR(SEARCH("CMS",O45)))</formula>
    </cfRule>
    <cfRule type="cellIs" dxfId="5049" priority="4751" operator="equal">
      <formula>0</formula>
    </cfRule>
    <cfRule type="cellIs" dxfId="5048" priority="4752" operator="greaterThan">
      <formula>0</formula>
    </cfRule>
  </conditionalFormatting>
  <conditionalFormatting sqref="O45:O46">
    <cfRule type="cellIs" dxfId="5047" priority="4745" operator="equal">
      <formula>"PMS"</formula>
    </cfRule>
    <cfRule type="containsText" dxfId="5046" priority="4746" operator="containsText" text="CMS">
      <formula>NOT(ISERROR(SEARCH("CMS",O45)))</formula>
    </cfRule>
    <cfRule type="cellIs" dxfId="5045" priority="4747" operator="equal">
      <formula>0</formula>
    </cfRule>
    <cfRule type="cellIs" dxfId="5044" priority="4748" operator="greaterThan">
      <formula>0</formula>
    </cfRule>
  </conditionalFormatting>
  <conditionalFormatting sqref="O45:O46">
    <cfRule type="cellIs" dxfId="5043" priority="4741" operator="equal">
      <formula>"PMS"</formula>
    </cfRule>
    <cfRule type="containsText" dxfId="5042" priority="4742" operator="containsText" text="CMS">
      <formula>NOT(ISERROR(SEARCH("CMS",O45)))</formula>
    </cfRule>
    <cfRule type="cellIs" dxfId="5041" priority="4743" operator="equal">
      <formula>0</formula>
    </cfRule>
    <cfRule type="cellIs" dxfId="5040" priority="4744" operator="greaterThan">
      <formula>0</formula>
    </cfRule>
  </conditionalFormatting>
  <conditionalFormatting sqref="O45:O46">
    <cfRule type="cellIs" dxfId="5039" priority="4737" operator="equal">
      <formula>"PMS"</formula>
    </cfRule>
    <cfRule type="containsText" dxfId="5038" priority="4738" operator="containsText" text="CMS">
      <formula>NOT(ISERROR(SEARCH("CMS",O45)))</formula>
    </cfRule>
    <cfRule type="cellIs" dxfId="5037" priority="4739" operator="equal">
      <formula>0</formula>
    </cfRule>
    <cfRule type="cellIs" dxfId="5036" priority="4740" operator="greaterThan">
      <formula>0</formula>
    </cfRule>
  </conditionalFormatting>
  <conditionalFormatting sqref="O45:O46">
    <cfRule type="cellIs" dxfId="5035" priority="4733" operator="equal">
      <formula>"PMS"</formula>
    </cfRule>
    <cfRule type="containsText" dxfId="5034" priority="4734" operator="containsText" text="CMS">
      <formula>NOT(ISERROR(SEARCH("CMS",O45)))</formula>
    </cfRule>
    <cfRule type="cellIs" dxfId="5033" priority="4735" operator="equal">
      <formula>0</formula>
    </cfRule>
    <cfRule type="cellIs" dxfId="5032" priority="4736" operator="greaterThan">
      <formula>0</formula>
    </cfRule>
  </conditionalFormatting>
  <conditionalFormatting sqref="O45:O46">
    <cfRule type="cellIs" dxfId="5031" priority="4729" operator="equal">
      <formula>"PMS"</formula>
    </cfRule>
    <cfRule type="containsText" dxfId="5030" priority="4730" operator="containsText" text="CMS">
      <formula>NOT(ISERROR(SEARCH("CMS",O45)))</formula>
    </cfRule>
    <cfRule type="cellIs" dxfId="5029" priority="4731" operator="equal">
      <formula>0</formula>
    </cfRule>
    <cfRule type="cellIs" dxfId="5028" priority="4732" operator="greaterThan">
      <formula>0</formula>
    </cfRule>
  </conditionalFormatting>
  <conditionalFormatting sqref="O45:O46">
    <cfRule type="cellIs" dxfId="5027" priority="4725" operator="equal">
      <formula>"PMS"</formula>
    </cfRule>
    <cfRule type="containsText" dxfId="5026" priority="4726" operator="containsText" text="CMS">
      <formula>NOT(ISERROR(SEARCH("CMS",O45)))</formula>
    </cfRule>
    <cfRule type="cellIs" dxfId="5025" priority="4727" operator="equal">
      <formula>0</formula>
    </cfRule>
    <cfRule type="cellIs" dxfId="5024" priority="4728" operator="greaterThan">
      <formula>0</formula>
    </cfRule>
  </conditionalFormatting>
  <conditionalFormatting sqref="O45:O46">
    <cfRule type="cellIs" dxfId="5023" priority="4721" operator="equal">
      <formula>"PMS"</formula>
    </cfRule>
    <cfRule type="containsText" dxfId="5022" priority="4722" operator="containsText" text="CMS">
      <formula>NOT(ISERROR(SEARCH("CMS",O45)))</formula>
    </cfRule>
    <cfRule type="cellIs" dxfId="5021" priority="4723" operator="equal">
      <formula>0</formula>
    </cfRule>
    <cfRule type="cellIs" dxfId="5020" priority="4724" operator="greaterThan">
      <formula>0</formula>
    </cfRule>
  </conditionalFormatting>
  <conditionalFormatting sqref="O45:O46">
    <cfRule type="cellIs" dxfId="5019" priority="4717" operator="equal">
      <formula>"PMS"</formula>
    </cfRule>
    <cfRule type="containsText" dxfId="5018" priority="4718" operator="containsText" text="CMS">
      <formula>NOT(ISERROR(SEARCH("CMS",O45)))</formula>
    </cfRule>
    <cfRule type="cellIs" dxfId="5017" priority="4719" operator="equal">
      <formula>0</formula>
    </cfRule>
    <cfRule type="cellIs" dxfId="5016" priority="4720" operator="greaterThan">
      <formula>0</formula>
    </cfRule>
  </conditionalFormatting>
  <conditionalFormatting sqref="O45:O46">
    <cfRule type="cellIs" dxfId="5015" priority="4713" operator="equal">
      <formula>"PMS"</formula>
    </cfRule>
    <cfRule type="containsText" dxfId="5014" priority="4714" operator="containsText" text="CMS">
      <formula>NOT(ISERROR(SEARCH("CMS",O45)))</formula>
    </cfRule>
    <cfRule type="cellIs" dxfId="5013" priority="4715" operator="equal">
      <formula>0</formula>
    </cfRule>
    <cfRule type="cellIs" dxfId="5012" priority="4716" operator="greaterThan">
      <formula>0</formula>
    </cfRule>
  </conditionalFormatting>
  <conditionalFormatting sqref="O45:O46">
    <cfRule type="cellIs" dxfId="5011" priority="4709" operator="equal">
      <formula>"PMS"</formula>
    </cfRule>
    <cfRule type="containsText" dxfId="5010" priority="4710" operator="containsText" text="CMS">
      <formula>NOT(ISERROR(SEARCH("CMS",O45)))</formula>
    </cfRule>
    <cfRule type="cellIs" dxfId="5009" priority="4711" operator="equal">
      <formula>0</formula>
    </cfRule>
    <cfRule type="cellIs" dxfId="5008" priority="4712" operator="greaterThan">
      <formula>0</formula>
    </cfRule>
  </conditionalFormatting>
  <conditionalFormatting sqref="O45:O46">
    <cfRule type="cellIs" dxfId="5007" priority="4705" operator="equal">
      <formula>"PMS"</formula>
    </cfRule>
    <cfRule type="containsText" dxfId="5006" priority="4706" operator="containsText" text="CMS">
      <formula>NOT(ISERROR(SEARCH("CMS",O45)))</formula>
    </cfRule>
    <cfRule type="cellIs" dxfId="5005" priority="4707" operator="equal">
      <formula>0</formula>
    </cfRule>
    <cfRule type="cellIs" dxfId="5004" priority="4708" operator="greaterThan">
      <formula>0</formula>
    </cfRule>
  </conditionalFormatting>
  <conditionalFormatting sqref="O45:O46">
    <cfRule type="cellIs" dxfId="5003" priority="4701" operator="equal">
      <formula>"PMS"</formula>
    </cfRule>
    <cfRule type="containsText" dxfId="5002" priority="4702" operator="containsText" text="CMS">
      <formula>NOT(ISERROR(SEARCH("CMS",O45)))</formula>
    </cfRule>
    <cfRule type="cellIs" dxfId="5001" priority="4703" operator="equal">
      <formula>0</formula>
    </cfRule>
    <cfRule type="cellIs" dxfId="5000" priority="4704" operator="greaterThan">
      <formula>0</formula>
    </cfRule>
  </conditionalFormatting>
  <conditionalFormatting sqref="O45:O46">
    <cfRule type="cellIs" dxfId="4999" priority="4697" operator="equal">
      <formula>"PMS"</formula>
    </cfRule>
    <cfRule type="containsText" dxfId="4998" priority="4698" operator="containsText" text="CMS">
      <formula>NOT(ISERROR(SEARCH("CMS",O45)))</formula>
    </cfRule>
    <cfRule type="cellIs" dxfId="4997" priority="4699" operator="equal">
      <formula>0</formula>
    </cfRule>
    <cfRule type="cellIs" dxfId="4996" priority="4700" operator="greaterThan">
      <formula>0</formula>
    </cfRule>
  </conditionalFormatting>
  <conditionalFormatting sqref="O45:O46">
    <cfRule type="cellIs" dxfId="4995" priority="4693" operator="equal">
      <formula>"PMS"</formula>
    </cfRule>
    <cfRule type="containsText" dxfId="4994" priority="4694" operator="containsText" text="CMS">
      <formula>NOT(ISERROR(SEARCH("CMS",O45)))</formula>
    </cfRule>
    <cfRule type="cellIs" dxfId="4993" priority="4695" operator="equal">
      <formula>0</formula>
    </cfRule>
    <cfRule type="cellIs" dxfId="4992" priority="4696" operator="greaterThan">
      <formula>0</formula>
    </cfRule>
  </conditionalFormatting>
  <conditionalFormatting sqref="O45:O46">
    <cfRule type="cellIs" dxfId="4991" priority="4689" operator="equal">
      <formula>"PMS"</formula>
    </cfRule>
    <cfRule type="containsText" dxfId="4990" priority="4690" operator="containsText" text="CMS">
      <formula>NOT(ISERROR(SEARCH("CMS",O45)))</formula>
    </cfRule>
    <cfRule type="cellIs" dxfId="4989" priority="4691" operator="equal">
      <formula>0</formula>
    </cfRule>
    <cfRule type="cellIs" dxfId="4988" priority="4692" operator="greaterThan">
      <formula>0</formula>
    </cfRule>
  </conditionalFormatting>
  <conditionalFormatting sqref="O45:O46">
    <cfRule type="cellIs" dxfId="4987" priority="4685" operator="equal">
      <formula>"PMS"</formula>
    </cfRule>
    <cfRule type="containsText" dxfId="4986" priority="4686" operator="containsText" text="CMS">
      <formula>NOT(ISERROR(SEARCH("CMS",O45)))</formula>
    </cfRule>
    <cfRule type="cellIs" dxfId="4985" priority="4687" operator="equal">
      <formula>0</formula>
    </cfRule>
    <cfRule type="cellIs" dxfId="4984" priority="4688" operator="greaterThan">
      <formula>0</formula>
    </cfRule>
  </conditionalFormatting>
  <conditionalFormatting sqref="O45:O46">
    <cfRule type="cellIs" dxfId="4983" priority="4681" operator="equal">
      <formula>"PMS"</formula>
    </cfRule>
    <cfRule type="containsText" dxfId="4982" priority="4682" operator="containsText" text="CMS">
      <formula>NOT(ISERROR(SEARCH("CMS",O45)))</formula>
    </cfRule>
    <cfRule type="cellIs" dxfId="4981" priority="4683" operator="equal">
      <formula>0</formula>
    </cfRule>
    <cfRule type="cellIs" dxfId="4980" priority="4684" operator="greaterThan">
      <formula>0</formula>
    </cfRule>
  </conditionalFormatting>
  <conditionalFormatting sqref="O45:O46">
    <cfRule type="cellIs" dxfId="4979" priority="4677" operator="equal">
      <formula>"PMS"</formula>
    </cfRule>
    <cfRule type="containsText" dxfId="4978" priority="4678" operator="containsText" text="CMS">
      <formula>NOT(ISERROR(SEARCH("CMS",O45)))</formula>
    </cfRule>
    <cfRule type="cellIs" dxfId="4977" priority="4679" operator="equal">
      <formula>0</formula>
    </cfRule>
    <cfRule type="cellIs" dxfId="4976" priority="4680" operator="greaterThan">
      <formula>0</formula>
    </cfRule>
  </conditionalFormatting>
  <conditionalFormatting sqref="O45:O46">
    <cfRule type="cellIs" dxfId="4975" priority="4673" operator="equal">
      <formula>"PMS"</formula>
    </cfRule>
    <cfRule type="containsText" dxfId="4974" priority="4674" operator="containsText" text="CMS">
      <formula>NOT(ISERROR(SEARCH("CMS",O45)))</formula>
    </cfRule>
    <cfRule type="cellIs" dxfId="4973" priority="4675" operator="equal">
      <formula>0</formula>
    </cfRule>
    <cfRule type="cellIs" dxfId="4972" priority="4676" operator="greaterThan">
      <formula>0</formula>
    </cfRule>
  </conditionalFormatting>
  <conditionalFormatting sqref="O45:O46">
    <cfRule type="cellIs" dxfId="4971" priority="4669" operator="equal">
      <formula>"PMS"</formula>
    </cfRule>
    <cfRule type="containsText" dxfId="4970" priority="4670" operator="containsText" text="CMS">
      <formula>NOT(ISERROR(SEARCH("CMS",O45)))</formula>
    </cfRule>
    <cfRule type="cellIs" dxfId="4969" priority="4671" operator="equal">
      <formula>0</formula>
    </cfRule>
    <cfRule type="cellIs" dxfId="4968" priority="4672" operator="greaterThan">
      <formula>0</formula>
    </cfRule>
  </conditionalFormatting>
  <conditionalFormatting sqref="O45:O46">
    <cfRule type="cellIs" dxfId="4967" priority="4665" operator="equal">
      <formula>"PMS"</formula>
    </cfRule>
    <cfRule type="containsText" dxfId="4966" priority="4666" operator="containsText" text="CMS">
      <formula>NOT(ISERROR(SEARCH("CMS",O45)))</formula>
    </cfRule>
    <cfRule type="cellIs" dxfId="4965" priority="4667" operator="equal">
      <formula>0</formula>
    </cfRule>
    <cfRule type="cellIs" dxfId="4964" priority="4668" operator="greaterThan">
      <formula>0</formula>
    </cfRule>
  </conditionalFormatting>
  <conditionalFormatting sqref="O45:O46">
    <cfRule type="cellIs" dxfId="4963" priority="4661" operator="equal">
      <formula>"PMS"</formula>
    </cfRule>
    <cfRule type="containsText" dxfId="4962" priority="4662" operator="containsText" text="CMS">
      <formula>NOT(ISERROR(SEARCH("CMS",O45)))</formula>
    </cfRule>
    <cfRule type="cellIs" dxfId="4961" priority="4663" operator="equal">
      <formula>0</formula>
    </cfRule>
    <cfRule type="cellIs" dxfId="4960" priority="4664" operator="greaterThan">
      <formula>0</formula>
    </cfRule>
  </conditionalFormatting>
  <conditionalFormatting sqref="O45:O46">
    <cfRule type="cellIs" dxfId="4959" priority="4657" operator="equal">
      <formula>"PMS"</formula>
    </cfRule>
    <cfRule type="containsText" dxfId="4958" priority="4658" operator="containsText" text="CMS">
      <formula>NOT(ISERROR(SEARCH("CMS",O45)))</formula>
    </cfRule>
    <cfRule type="cellIs" dxfId="4957" priority="4659" operator="equal">
      <formula>0</formula>
    </cfRule>
    <cfRule type="cellIs" dxfId="4956" priority="4660" operator="greaterThan">
      <formula>0</formula>
    </cfRule>
  </conditionalFormatting>
  <conditionalFormatting sqref="O45:O46">
    <cfRule type="cellIs" dxfId="4955" priority="4653" operator="equal">
      <formula>"PMS"</formula>
    </cfRule>
    <cfRule type="containsText" dxfId="4954" priority="4654" operator="containsText" text="CMS">
      <formula>NOT(ISERROR(SEARCH("CMS",O45)))</formula>
    </cfRule>
    <cfRule type="cellIs" dxfId="4953" priority="4655" operator="equal">
      <formula>0</formula>
    </cfRule>
    <cfRule type="cellIs" dxfId="4952" priority="4656" operator="greaterThan">
      <formula>0</formula>
    </cfRule>
  </conditionalFormatting>
  <conditionalFormatting sqref="O45:O46">
    <cfRule type="cellIs" dxfId="4951" priority="4649" operator="equal">
      <formula>"PMS"</formula>
    </cfRule>
    <cfRule type="containsText" dxfId="4950" priority="4650" operator="containsText" text="CMS">
      <formula>NOT(ISERROR(SEARCH("CMS",O45)))</formula>
    </cfRule>
    <cfRule type="cellIs" dxfId="4949" priority="4651" operator="equal">
      <formula>0</formula>
    </cfRule>
    <cfRule type="cellIs" dxfId="4948" priority="4652" operator="greaterThan">
      <formula>0</formula>
    </cfRule>
  </conditionalFormatting>
  <conditionalFormatting sqref="O45:O46">
    <cfRule type="cellIs" dxfId="4947" priority="4645" operator="equal">
      <formula>"PMS"</formula>
    </cfRule>
    <cfRule type="containsText" dxfId="4946" priority="4646" operator="containsText" text="CMS">
      <formula>NOT(ISERROR(SEARCH("CMS",O45)))</formula>
    </cfRule>
    <cfRule type="cellIs" dxfId="4945" priority="4647" operator="equal">
      <formula>0</formula>
    </cfRule>
    <cfRule type="cellIs" dxfId="4944" priority="4648" operator="greaterThan">
      <formula>0</formula>
    </cfRule>
  </conditionalFormatting>
  <conditionalFormatting sqref="O49">
    <cfRule type="cellIs" dxfId="4943" priority="4641" operator="equal">
      <formula>"PMS"</formula>
    </cfRule>
    <cfRule type="containsText" dxfId="4942" priority="4642" operator="containsText" text="CMS">
      <formula>NOT(ISERROR(SEARCH("CMS",O49)))</formula>
    </cfRule>
    <cfRule type="cellIs" dxfId="4941" priority="4643" operator="equal">
      <formula>0</formula>
    </cfRule>
    <cfRule type="cellIs" dxfId="4940" priority="4644" operator="greaterThan">
      <formula>0</formula>
    </cfRule>
  </conditionalFormatting>
  <conditionalFormatting sqref="O49">
    <cfRule type="cellIs" dxfId="4939" priority="4637" operator="equal">
      <formula>"PMS"</formula>
    </cfRule>
    <cfRule type="containsText" dxfId="4938" priority="4638" operator="containsText" text="CMS">
      <formula>NOT(ISERROR(SEARCH("CMS",O49)))</formula>
    </cfRule>
    <cfRule type="cellIs" dxfId="4937" priority="4639" operator="equal">
      <formula>0</formula>
    </cfRule>
    <cfRule type="cellIs" dxfId="4936" priority="4640" operator="greaterThan">
      <formula>0</formula>
    </cfRule>
  </conditionalFormatting>
  <conditionalFormatting sqref="O49">
    <cfRule type="cellIs" dxfId="4935" priority="4633" operator="equal">
      <formula>"PMS"</formula>
    </cfRule>
    <cfRule type="containsText" dxfId="4934" priority="4634" operator="containsText" text="CMS">
      <formula>NOT(ISERROR(SEARCH("CMS",O49)))</formula>
    </cfRule>
    <cfRule type="cellIs" dxfId="4933" priority="4635" operator="equal">
      <formula>0</formula>
    </cfRule>
    <cfRule type="cellIs" dxfId="4932" priority="4636" operator="greaterThan">
      <formula>0</formula>
    </cfRule>
  </conditionalFormatting>
  <conditionalFormatting sqref="O49">
    <cfRule type="cellIs" dxfId="4931" priority="4629" operator="equal">
      <formula>"PMS"</formula>
    </cfRule>
    <cfRule type="containsText" dxfId="4930" priority="4630" operator="containsText" text="CMS">
      <formula>NOT(ISERROR(SEARCH("CMS",O49)))</formula>
    </cfRule>
    <cfRule type="cellIs" dxfId="4929" priority="4631" operator="equal">
      <formula>0</formula>
    </cfRule>
    <cfRule type="cellIs" dxfId="4928" priority="4632" operator="greaterThan">
      <formula>0</formula>
    </cfRule>
  </conditionalFormatting>
  <conditionalFormatting sqref="O49">
    <cfRule type="cellIs" dxfId="4927" priority="4625" operator="equal">
      <formula>"PMS"</formula>
    </cfRule>
    <cfRule type="containsText" dxfId="4926" priority="4626" operator="containsText" text="CMS">
      <formula>NOT(ISERROR(SEARCH("CMS",O49)))</formula>
    </cfRule>
    <cfRule type="cellIs" dxfId="4925" priority="4627" operator="equal">
      <formula>0</formula>
    </cfRule>
    <cfRule type="cellIs" dxfId="4924" priority="4628" operator="greaterThan">
      <formula>0</formula>
    </cfRule>
  </conditionalFormatting>
  <conditionalFormatting sqref="O49">
    <cfRule type="cellIs" dxfId="4923" priority="4621" operator="equal">
      <formula>"PMS"</formula>
    </cfRule>
    <cfRule type="containsText" dxfId="4922" priority="4622" operator="containsText" text="CMS">
      <formula>NOT(ISERROR(SEARCH("CMS",O49)))</formula>
    </cfRule>
    <cfRule type="cellIs" dxfId="4921" priority="4623" operator="equal">
      <formula>0</formula>
    </cfRule>
    <cfRule type="cellIs" dxfId="4920" priority="4624" operator="greaterThan">
      <formula>0</formula>
    </cfRule>
  </conditionalFormatting>
  <conditionalFormatting sqref="O49">
    <cfRule type="cellIs" dxfId="4919" priority="4617" operator="equal">
      <formula>"PMS"</formula>
    </cfRule>
    <cfRule type="containsText" dxfId="4918" priority="4618" operator="containsText" text="CMS">
      <formula>NOT(ISERROR(SEARCH("CMS",O49)))</formula>
    </cfRule>
    <cfRule type="cellIs" dxfId="4917" priority="4619" operator="equal">
      <formula>0</formula>
    </cfRule>
    <cfRule type="cellIs" dxfId="4916" priority="4620" operator="greaterThan">
      <formula>0</formula>
    </cfRule>
  </conditionalFormatting>
  <conditionalFormatting sqref="O49">
    <cfRule type="cellIs" dxfId="4915" priority="4613" operator="equal">
      <formula>"PMS"</formula>
    </cfRule>
    <cfRule type="containsText" dxfId="4914" priority="4614" operator="containsText" text="CMS">
      <formula>NOT(ISERROR(SEARCH("CMS",O49)))</formula>
    </cfRule>
    <cfRule type="cellIs" dxfId="4913" priority="4615" operator="equal">
      <formula>0</formula>
    </cfRule>
    <cfRule type="cellIs" dxfId="4912" priority="4616" operator="greaterThan">
      <formula>0</formula>
    </cfRule>
  </conditionalFormatting>
  <conditionalFormatting sqref="O49">
    <cfRule type="cellIs" dxfId="4911" priority="4609" operator="equal">
      <formula>"PMS"</formula>
    </cfRule>
    <cfRule type="containsText" dxfId="4910" priority="4610" operator="containsText" text="CMS">
      <formula>NOT(ISERROR(SEARCH("CMS",O49)))</formula>
    </cfRule>
    <cfRule type="cellIs" dxfId="4909" priority="4611" operator="equal">
      <formula>0</formula>
    </cfRule>
    <cfRule type="cellIs" dxfId="4908" priority="4612" operator="greaterThan">
      <formula>0</formula>
    </cfRule>
  </conditionalFormatting>
  <conditionalFormatting sqref="O49">
    <cfRule type="cellIs" dxfId="4907" priority="4605" operator="equal">
      <formula>"PMS"</formula>
    </cfRule>
    <cfRule type="containsText" dxfId="4906" priority="4606" operator="containsText" text="CMS">
      <formula>NOT(ISERROR(SEARCH("CMS",O49)))</formula>
    </cfRule>
    <cfRule type="cellIs" dxfId="4905" priority="4607" operator="equal">
      <formula>0</formula>
    </cfRule>
    <cfRule type="cellIs" dxfId="4904" priority="4608" operator="greaterThan">
      <formula>0</formula>
    </cfRule>
  </conditionalFormatting>
  <conditionalFormatting sqref="O49">
    <cfRule type="cellIs" dxfId="4903" priority="4601" operator="equal">
      <formula>"PMS"</formula>
    </cfRule>
    <cfRule type="containsText" dxfId="4902" priority="4602" operator="containsText" text="CMS">
      <formula>NOT(ISERROR(SEARCH("CMS",O49)))</formula>
    </cfRule>
    <cfRule type="cellIs" dxfId="4901" priority="4603" operator="equal">
      <formula>0</formula>
    </cfRule>
    <cfRule type="cellIs" dxfId="4900" priority="4604" operator="greaterThan">
      <formula>0</formula>
    </cfRule>
  </conditionalFormatting>
  <conditionalFormatting sqref="O49">
    <cfRule type="cellIs" dxfId="4899" priority="4597" operator="equal">
      <formula>"PMS"</formula>
    </cfRule>
    <cfRule type="containsText" dxfId="4898" priority="4598" operator="containsText" text="CMS">
      <formula>NOT(ISERROR(SEARCH("CMS",O49)))</formula>
    </cfRule>
    <cfRule type="cellIs" dxfId="4897" priority="4599" operator="equal">
      <formula>0</formula>
    </cfRule>
    <cfRule type="cellIs" dxfId="4896" priority="4600" operator="greaterThan">
      <formula>0</formula>
    </cfRule>
  </conditionalFormatting>
  <conditionalFormatting sqref="O49">
    <cfRule type="cellIs" dxfId="4895" priority="4593" operator="equal">
      <formula>"PMS"</formula>
    </cfRule>
    <cfRule type="containsText" dxfId="4894" priority="4594" operator="containsText" text="CMS">
      <formula>NOT(ISERROR(SEARCH("CMS",O49)))</formula>
    </cfRule>
    <cfRule type="cellIs" dxfId="4893" priority="4595" operator="equal">
      <formula>0</formula>
    </cfRule>
    <cfRule type="cellIs" dxfId="4892" priority="4596" operator="greaterThan">
      <formula>0</formula>
    </cfRule>
  </conditionalFormatting>
  <conditionalFormatting sqref="O49">
    <cfRule type="cellIs" dxfId="4891" priority="4589" operator="equal">
      <formula>"PMS"</formula>
    </cfRule>
    <cfRule type="containsText" dxfId="4890" priority="4590" operator="containsText" text="CMS">
      <formula>NOT(ISERROR(SEARCH("CMS",O49)))</formula>
    </cfRule>
    <cfRule type="cellIs" dxfId="4889" priority="4591" operator="equal">
      <formula>0</formula>
    </cfRule>
    <cfRule type="cellIs" dxfId="4888" priority="4592" operator="greaterThan">
      <formula>0</formula>
    </cfRule>
  </conditionalFormatting>
  <conditionalFormatting sqref="O49">
    <cfRule type="cellIs" dxfId="4887" priority="4585" operator="equal">
      <formula>"PMS"</formula>
    </cfRule>
    <cfRule type="containsText" dxfId="4886" priority="4586" operator="containsText" text="CMS">
      <formula>NOT(ISERROR(SEARCH("CMS",O49)))</formula>
    </cfRule>
    <cfRule type="cellIs" dxfId="4885" priority="4587" operator="equal">
      <formula>0</formula>
    </cfRule>
    <cfRule type="cellIs" dxfId="4884" priority="4588" operator="greaterThan">
      <formula>0</formula>
    </cfRule>
  </conditionalFormatting>
  <conditionalFormatting sqref="O49">
    <cfRule type="cellIs" dxfId="4883" priority="4581" operator="equal">
      <formula>"PMS"</formula>
    </cfRule>
    <cfRule type="containsText" dxfId="4882" priority="4582" operator="containsText" text="CMS">
      <formula>NOT(ISERROR(SEARCH("CMS",O49)))</formula>
    </cfRule>
    <cfRule type="cellIs" dxfId="4881" priority="4583" operator="equal">
      <formula>0</formula>
    </cfRule>
    <cfRule type="cellIs" dxfId="4880" priority="4584" operator="greaterThan">
      <formula>0</formula>
    </cfRule>
  </conditionalFormatting>
  <conditionalFormatting sqref="O49">
    <cfRule type="cellIs" dxfId="4879" priority="4577" operator="equal">
      <formula>"PMS"</formula>
    </cfRule>
    <cfRule type="containsText" dxfId="4878" priority="4578" operator="containsText" text="CMS">
      <formula>NOT(ISERROR(SEARCH("CMS",O49)))</formula>
    </cfRule>
    <cfRule type="cellIs" dxfId="4877" priority="4579" operator="equal">
      <formula>0</formula>
    </cfRule>
    <cfRule type="cellIs" dxfId="4876" priority="4580" operator="greaterThan">
      <formula>0</formula>
    </cfRule>
  </conditionalFormatting>
  <conditionalFormatting sqref="O49">
    <cfRule type="cellIs" dxfId="4875" priority="4573" operator="equal">
      <formula>"PMS"</formula>
    </cfRule>
    <cfRule type="containsText" dxfId="4874" priority="4574" operator="containsText" text="CMS">
      <formula>NOT(ISERROR(SEARCH("CMS",O49)))</formula>
    </cfRule>
    <cfRule type="cellIs" dxfId="4873" priority="4575" operator="equal">
      <formula>0</formula>
    </cfRule>
    <cfRule type="cellIs" dxfId="4872" priority="4576" operator="greaterThan">
      <formula>0</formula>
    </cfRule>
  </conditionalFormatting>
  <conditionalFormatting sqref="O49">
    <cfRule type="cellIs" dxfId="4871" priority="4569" operator="equal">
      <formula>"PMS"</formula>
    </cfRule>
    <cfRule type="containsText" dxfId="4870" priority="4570" operator="containsText" text="CMS">
      <formula>NOT(ISERROR(SEARCH("CMS",O49)))</formula>
    </cfRule>
    <cfRule type="cellIs" dxfId="4869" priority="4571" operator="equal">
      <formula>0</formula>
    </cfRule>
    <cfRule type="cellIs" dxfId="4868" priority="4572" operator="greaterThan">
      <formula>0</formula>
    </cfRule>
  </conditionalFormatting>
  <conditionalFormatting sqref="O49">
    <cfRule type="cellIs" dxfId="4867" priority="4565" operator="equal">
      <formula>"PMS"</formula>
    </cfRule>
    <cfRule type="containsText" dxfId="4866" priority="4566" operator="containsText" text="CMS">
      <formula>NOT(ISERROR(SEARCH("CMS",O49)))</formula>
    </cfRule>
    <cfRule type="cellIs" dxfId="4865" priority="4567" operator="equal">
      <formula>0</formula>
    </cfRule>
    <cfRule type="cellIs" dxfId="4864" priority="4568" operator="greaterThan">
      <formula>0</formula>
    </cfRule>
  </conditionalFormatting>
  <conditionalFormatting sqref="O49">
    <cfRule type="cellIs" dxfId="4863" priority="4561" operator="equal">
      <formula>"PMS"</formula>
    </cfRule>
    <cfRule type="containsText" dxfId="4862" priority="4562" operator="containsText" text="CMS">
      <formula>NOT(ISERROR(SEARCH("CMS",O49)))</formula>
    </cfRule>
    <cfRule type="cellIs" dxfId="4861" priority="4563" operator="equal">
      <formula>0</formula>
    </cfRule>
    <cfRule type="cellIs" dxfId="4860" priority="4564" operator="greaterThan">
      <formula>0</formula>
    </cfRule>
  </conditionalFormatting>
  <conditionalFormatting sqref="O49">
    <cfRule type="cellIs" dxfId="4859" priority="4557" operator="equal">
      <formula>"PMS"</formula>
    </cfRule>
    <cfRule type="containsText" dxfId="4858" priority="4558" operator="containsText" text="CMS">
      <formula>NOT(ISERROR(SEARCH("CMS",O49)))</formula>
    </cfRule>
    <cfRule type="cellIs" dxfId="4857" priority="4559" operator="equal">
      <formula>0</formula>
    </cfRule>
    <cfRule type="cellIs" dxfId="4856" priority="4560" operator="greaterThan">
      <formula>0</formula>
    </cfRule>
  </conditionalFormatting>
  <conditionalFormatting sqref="O49">
    <cfRule type="cellIs" dxfId="4855" priority="4553" operator="equal">
      <formula>"PMS"</formula>
    </cfRule>
    <cfRule type="containsText" dxfId="4854" priority="4554" operator="containsText" text="CMS">
      <formula>NOT(ISERROR(SEARCH("CMS",O49)))</formula>
    </cfRule>
    <cfRule type="cellIs" dxfId="4853" priority="4555" operator="equal">
      <formula>0</formula>
    </cfRule>
    <cfRule type="cellIs" dxfId="4852" priority="4556" operator="greaterThan">
      <formula>0</formula>
    </cfRule>
  </conditionalFormatting>
  <conditionalFormatting sqref="O49">
    <cfRule type="cellIs" dxfId="4851" priority="4549" operator="equal">
      <formula>"PMS"</formula>
    </cfRule>
    <cfRule type="containsText" dxfId="4850" priority="4550" operator="containsText" text="CMS">
      <formula>NOT(ISERROR(SEARCH("CMS",O49)))</formula>
    </cfRule>
    <cfRule type="cellIs" dxfId="4849" priority="4551" operator="equal">
      <formula>0</formula>
    </cfRule>
    <cfRule type="cellIs" dxfId="4848" priority="4552" operator="greaterThan">
      <formula>0</formula>
    </cfRule>
  </conditionalFormatting>
  <conditionalFormatting sqref="O49">
    <cfRule type="cellIs" dxfId="4847" priority="4545" operator="equal">
      <formula>"PMS"</formula>
    </cfRule>
    <cfRule type="containsText" dxfId="4846" priority="4546" operator="containsText" text="CMS">
      <formula>NOT(ISERROR(SEARCH("CMS",O49)))</formula>
    </cfRule>
    <cfRule type="cellIs" dxfId="4845" priority="4547" operator="equal">
      <formula>0</formula>
    </cfRule>
    <cfRule type="cellIs" dxfId="4844" priority="4548" operator="greaterThan">
      <formula>0</formula>
    </cfRule>
  </conditionalFormatting>
  <conditionalFormatting sqref="O49">
    <cfRule type="cellIs" dxfId="4843" priority="4541" operator="equal">
      <formula>"PMS"</formula>
    </cfRule>
    <cfRule type="containsText" dxfId="4842" priority="4542" operator="containsText" text="CMS">
      <formula>NOT(ISERROR(SEARCH("CMS",O49)))</formula>
    </cfRule>
    <cfRule type="cellIs" dxfId="4841" priority="4543" operator="equal">
      <formula>0</formula>
    </cfRule>
    <cfRule type="cellIs" dxfId="4840" priority="4544" operator="greaterThan">
      <formula>0</formula>
    </cfRule>
  </conditionalFormatting>
  <conditionalFormatting sqref="O49">
    <cfRule type="cellIs" dxfId="4839" priority="4537" operator="equal">
      <formula>"PMS"</formula>
    </cfRule>
    <cfRule type="containsText" dxfId="4838" priority="4538" operator="containsText" text="CMS">
      <formula>NOT(ISERROR(SEARCH("CMS",O49)))</formula>
    </cfRule>
    <cfRule type="cellIs" dxfId="4837" priority="4539" operator="equal">
      <formula>0</formula>
    </cfRule>
    <cfRule type="cellIs" dxfId="4836" priority="4540" operator="greaterThan">
      <formula>0</formula>
    </cfRule>
  </conditionalFormatting>
  <conditionalFormatting sqref="O49">
    <cfRule type="cellIs" dxfId="4835" priority="4533" operator="equal">
      <formula>"PMS"</formula>
    </cfRule>
    <cfRule type="containsText" dxfId="4834" priority="4534" operator="containsText" text="CMS">
      <formula>NOT(ISERROR(SEARCH("CMS",O49)))</formula>
    </cfRule>
    <cfRule type="cellIs" dxfId="4833" priority="4535" operator="equal">
      <formula>0</formula>
    </cfRule>
    <cfRule type="cellIs" dxfId="4832" priority="4536" operator="greaterThan">
      <formula>0</formula>
    </cfRule>
  </conditionalFormatting>
  <conditionalFormatting sqref="O49">
    <cfRule type="cellIs" dxfId="4831" priority="4529" operator="equal">
      <formula>"PMS"</formula>
    </cfRule>
    <cfRule type="containsText" dxfId="4830" priority="4530" operator="containsText" text="CMS">
      <formula>NOT(ISERROR(SEARCH("CMS",O49)))</formula>
    </cfRule>
    <cfRule type="cellIs" dxfId="4829" priority="4531" operator="equal">
      <formula>0</formula>
    </cfRule>
    <cfRule type="cellIs" dxfId="4828" priority="4532" operator="greaterThan">
      <formula>0</formula>
    </cfRule>
  </conditionalFormatting>
  <conditionalFormatting sqref="O49">
    <cfRule type="cellIs" dxfId="4827" priority="4525" operator="equal">
      <formula>"PMS"</formula>
    </cfRule>
    <cfRule type="containsText" dxfId="4826" priority="4526" operator="containsText" text="CMS">
      <formula>NOT(ISERROR(SEARCH("CMS",O49)))</formula>
    </cfRule>
    <cfRule type="cellIs" dxfId="4825" priority="4527" operator="equal">
      <formula>0</formula>
    </cfRule>
    <cfRule type="cellIs" dxfId="4824" priority="4528" operator="greaterThan">
      <formula>0</formula>
    </cfRule>
  </conditionalFormatting>
  <conditionalFormatting sqref="O49">
    <cfRule type="cellIs" dxfId="4823" priority="4521" operator="equal">
      <formula>"PMS"</formula>
    </cfRule>
    <cfRule type="containsText" dxfId="4822" priority="4522" operator="containsText" text="CMS">
      <formula>NOT(ISERROR(SEARCH("CMS",O49)))</formula>
    </cfRule>
    <cfRule type="cellIs" dxfId="4821" priority="4523" operator="equal">
      <formula>0</formula>
    </cfRule>
    <cfRule type="cellIs" dxfId="4820" priority="4524" operator="greaterThan">
      <formula>0</formula>
    </cfRule>
  </conditionalFormatting>
  <conditionalFormatting sqref="O49">
    <cfRule type="cellIs" dxfId="4819" priority="4517" operator="equal">
      <formula>"PMS"</formula>
    </cfRule>
    <cfRule type="containsText" dxfId="4818" priority="4518" operator="containsText" text="CMS">
      <formula>NOT(ISERROR(SEARCH("CMS",O49)))</formula>
    </cfRule>
    <cfRule type="cellIs" dxfId="4817" priority="4519" operator="equal">
      <formula>0</formula>
    </cfRule>
    <cfRule type="cellIs" dxfId="4816" priority="4520" operator="greaterThan">
      <formula>0</formula>
    </cfRule>
  </conditionalFormatting>
  <conditionalFormatting sqref="O49">
    <cfRule type="cellIs" dxfId="4815" priority="4513" operator="equal">
      <formula>"PMS"</formula>
    </cfRule>
    <cfRule type="containsText" dxfId="4814" priority="4514" operator="containsText" text="CMS">
      <formula>NOT(ISERROR(SEARCH("CMS",O49)))</formula>
    </cfRule>
    <cfRule type="cellIs" dxfId="4813" priority="4515" operator="equal">
      <formula>0</formula>
    </cfRule>
    <cfRule type="cellIs" dxfId="4812" priority="4516" operator="greaterThan">
      <formula>0</formula>
    </cfRule>
  </conditionalFormatting>
  <conditionalFormatting sqref="O49">
    <cfRule type="cellIs" dxfId="4811" priority="4509" operator="equal">
      <formula>"PMS"</formula>
    </cfRule>
    <cfRule type="containsText" dxfId="4810" priority="4510" operator="containsText" text="CMS">
      <formula>NOT(ISERROR(SEARCH("CMS",O49)))</formula>
    </cfRule>
    <cfRule type="cellIs" dxfId="4809" priority="4511" operator="equal">
      <formula>0</formula>
    </cfRule>
    <cfRule type="cellIs" dxfId="4808" priority="4512" operator="greaterThan">
      <formula>0</formula>
    </cfRule>
  </conditionalFormatting>
  <conditionalFormatting sqref="O49">
    <cfRule type="cellIs" dxfId="4807" priority="4505" operator="equal">
      <formula>"PMS"</formula>
    </cfRule>
    <cfRule type="containsText" dxfId="4806" priority="4506" operator="containsText" text="CMS">
      <formula>NOT(ISERROR(SEARCH("CMS",O49)))</formula>
    </cfRule>
    <cfRule type="cellIs" dxfId="4805" priority="4507" operator="equal">
      <formula>0</formula>
    </cfRule>
    <cfRule type="cellIs" dxfId="4804" priority="4508" operator="greaterThan">
      <formula>0</formula>
    </cfRule>
  </conditionalFormatting>
  <conditionalFormatting sqref="O49">
    <cfRule type="cellIs" dxfId="4803" priority="4501" operator="equal">
      <formula>"PMS"</formula>
    </cfRule>
    <cfRule type="containsText" dxfId="4802" priority="4502" operator="containsText" text="CMS">
      <formula>NOT(ISERROR(SEARCH("CMS",O49)))</formula>
    </cfRule>
    <cfRule type="cellIs" dxfId="4801" priority="4503" operator="equal">
      <formula>0</formula>
    </cfRule>
    <cfRule type="cellIs" dxfId="4800" priority="4504" operator="greaterThan">
      <formula>0</formula>
    </cfRule>
  </conditionalFormatting>
  <conditionalFormatting sqref="O49">
    <cfRule type="cellIs" dxfId="4799" priority="4497" operator="equal">
      <formula>"PMS"</formula>
    </cfRule>
    <cfRule type="containsText" dxfId="4798" priority="4498" operator="containsText" text="CMS">
      <formula>NOT(ISERROR(SEARCH("CMS",O49)))</formula>
    </cfRule>
    <cfRule type="cellIs" dxfId="4797" priority="4499" operator="equal">
      <formula>0</formula>
    </cfRule>
    <cfRule type="cellIs" dxfId="4796" priority="4500" operator="greaterThan">
      <formula>0</formula>
    </cfRule>
  </conditionalFormatting>
  <conditionalFormatting sqref="O49">
    <cfRule type="cellIs" dxfId="4795" priority="4493" operator="equal">
      <formula>"PMS"</formula>
    </cfRule>
    <cfRule type="containsText" dxfId="4794" priority="4494" operator="containsText" text="CMS">
      <formula>NOT(ISERROR(SEARCH("CMS",O49)))</formula>
    </cfRule>
    <cfRule type="cellIs" dxfId="4793" priority="4495" operator="equal">
      <formula>0</formula>
    </cfRule>
    <cfRule type="cellIs" dxfId="4792" priority="4496" operator="greaterThan">
      <formula>0</formula>
    </cfRule>
  </conditionalFormatting>
  <conditionalFormatting sqref="O49">
    <cfRule type="cellIs" dxfId="4791" priority="4489" operator="equal">
      <formula>"PMS"</formula>
    </cfRule>
    <cfRule type="containsText" dxfId="4790" priority="4490" operator="containsText" text="CMS">
      <formula>NOT(ISERROR(SEARCH("CMS",O49)))</formula>
    </cfRule>
    <cfRule type="cellIs" dxfId="4789" priority="4491" operator="equal">
      <formula>0</formula>
    </cfRule>
    <cfRule type="cellIs" dxfId="4788" priority="4492" operator="greaterThan">
      <formula>0</formula>
    </cfRule>
  </conditionalFormatting>
  <conditionalFormatting sqref="O49">
    <cfRule type="cellIs" dxfId="4787" priority="4485" operator="equal">
      <formula>"PMS"</formula>
    </cfRule>
    <cfRule type="containsText" dxfId="4786" priority="4486" operator="containsText" text="CMS">
      <formula>NOT(ISERROR(SEARCH("CMS",O49)))</formula>
    </cfRule>
    <cfRule type="cellIs" dxfId="4785" priority="4487" operator="equal">
      <formula>0</formula>
    </cfRule>
    <cfRule type="cellIs" dxfId="4784" priority="4488" operator="greaterThan">
      <formula>0</formula>
    </cfRule>
  </conditionalFormatting>
  <conditionalFormatting sqref="O49">
    <cfRule type="cellIs" dxfId="4783" priority="4481" operator="equal">
      <formula>"PMS"</formula>
    </cfRule>
    <cfRule type="containsText" dxfId="4782" priority="4482" operator="containsText" text="CMS">
      <formula>NOT(ISERROR(SEARCH("CMS",O49)))</formula>
    </cfRule>
    <cfRule type="cellIs" dxfId="4781" priority="4483" operator="equal">
      <formula>0</formula>
    </cfRule>
    <cfRule type="cellIs" dxfId="4780" priority="4484" operator="greaterThan">
      <formula>0</formula>
    </cfRule>
  </conditionalFormatting>
  <conditionalFormatting sqref="O49">
    <cfRule type="cellIs" dxfId="4779" priority="4477" operator="equal">
      <formula>"PMS"</formula>
    </cfRule>
    <cfRule type="containsText" dxfId="4778" priority="4478" operator="containsText" text="CMS">
      <formula>NOT(ISERROR(SEARCH("CMS",O49)))</formula>
    </cfRule>
    <cfRule type="cellIs" dxfId="4777" priority="4479" operator="equal">
      <formula>0</formula>
    </cfRule>
    <cfRule type="cellIs" dxfId="4776" priority="4480" operator="greaterThan">
      <formula>0</formula>
    </cfRule>
  </conditionalFormatting>
  <conditionalFormatting sqref="O49">
    <cfRule type="cellIs" dxfId="4775" priority="4473" operator="equal">
      <formula>"PMS"</formula>
    </cfRule>
    <cfRule type="containsText" dxfId="4774" priority="4474" operator="containsText" text="CMS">
      <formula>NOT(ISERROR(SEARCH("CMS",O49)))</formula>
    </cfRule>
    <cfRule type="cellIs" dxfId="4773" priority="4475" operator="equal">
      <formula>0</formula>
    </cfRule>
    <cfRule type="cellIs" dxfId="4772" priority="4476" operator="greaterThan">
      <formula>0</formula>
    </cfRule>
  </conditionalFormatting>
  <conditionalFormatting sqref="O49">
    <cfRule type="cellIs" dxfId="4771" priority="4469" operator="equal">
      <formula>"PMS"</formula>
    </cfRule>
    <cfRule type="containsText" dxfId="4770" priority="4470" operator="containsText" text="CMS">
      <formula>NOT(ISERROR(SEARCH("CMS",O49)))</formula>
    </cfRule>
    <cfRule type="cellIs" dxfId="4769" priority="4471" operator="equal">
      <formula>0</formula>
    </cfRule>
    <cfRule type="cellIs" dxfId="4768" priority="4472" operator="greaterThan">
      <formula>0</formula>
    </cfRule>
  </conditionalFormatting>
  <conditionalFormatting sqref="O49">
    <cfRule type="cellIs" dxfId="4767" priority="4465" operator="equal">
      <formula>"PMS"</formula>
    </cfRule>
    <cfRule type="containsText" dxfId="4766" priority="4466" operator="containsText" text="CMS">
      <formula>NOT(ISERROR(SEARCH("CMS",O49)))</formula>
    </cfRule>
    <cfRule type="cellIs" dxfId="4765" priority="4467" operator="equal">
      <formula>0</formula>
    </cfRule>
    <cfRule type="cellIs" dxfId="4764" priority="4468" operator="greaterThan">
      <formula>0</formula>
    </cfRule>
  </conditionalFormatting>
  <conditionalFormatting sqref="O49">
    <cfRule type="cellIs" dxfId="4763" priority="4461" operator="equal">
      <formula>"PMS"</formula>
    </cfRule>
    <cfRule type="containsText" dxfId="4762" priority="4462" operator="containsText" text="CMS">
      <formula>NOT(ISERROR(SEARCH("CMS",O49)))</formula>
    </cfRule>
    <cfRule type="cellIs" dxfId="4761" priority="4463" operator="equal">
      <formula>0</formula>
    </cfRule>
    <cfRule type="cellIs" dxfId="4760" priority="4464" operator="greaterThan">
      <formula>0</formula>
    </cfRule>
  </conditionalFormatting>
  <conditionalFormatting sqref="O49">
    <cfRule type="cellIs" dxfId="4759" priority="4457" operator="equal">
      <formula>"PMS"</formula>
    </cfRule>
    <cfRule type="containsText" dxfId="4758" priority="4458" operator="containsText" text="CMS">
      <formula>NOT(ISERROR(SEARCH("CMS",O49)))</formula>
    </cfRule>
    <cfRule type="cellIs" dxfId="4757" priority="4459" operator="equal">
      <formula>0</formula>
    </cfRule>
    <cfRule type="cellIs" dxfId="4756" priority="4460" operator="greaterThan">
      <formula>0</formula>
    </cfRule>
  </conditionalFormatting>
  <conditionalFormatting sqref="O49">
    <cfRule type="cellIs" dxfId="4755" priority="4453" operator="equal">
      <formula>"PMS"</formula>
    </cfRule>
    <cfRule type="containsText" dxfId="4754" priority="4454" operator="containsText" text="CMS">
      <formula>NOT(ISERROR(SEARCH("CMS",O49)))</formula>
    </cfRule>
    <cfRule type="cellIs" dxfId="4753" priority="4455" operator="equal">
      <formula>0</formula>
    </cfRule>
    <cfRule type="cellIs" dxfId="4752" priority="4456" operator="greaterThan">
      <formula>0</formula>
    </cfRule>
  </conditionalFormatting>
  <conditionalFormatting sqref="O49">
    <cfRule type="cellIs" dxfId="4751" priority="4449" operator="equal">
      <formula>"PMS"</formula>
    </cfRule>
    <cfRule type="containsText" dxfId="4750" priority="4450" operator="containsText" text="CMS">
      <formula>NOT(ISERROR(SEARCH("CMS",O49)))</formula>
    </cfRule>
    <cfRule type="cellIs" dxfId="4749" priority="4451" operator="equal">
      <formula>0</formula>
    </cfRule>
    <cfRule type="cellIs" dxfId="4748" priority="4452" operator="greaterThan">
      <formula>0</formula>
    </cfRule>
  </conditionalFormatting>
  <conditionalFormatting sqref="O49">
    <cfRule type="cellIs" dxfId="4747" priority="4445" operator="equal">
      <formula>"PMS"</formula>
    </cfRule>
    <cfRule type="containsText" dxfId="4746" priority="4446" operator="containsText" text="CMS">
      <formula>NOT(ISERROR(SEARCH("CMS",O49)))</formula>
    </cfRule>
    <cfRule type="cellIs" dxfId="4745" priority="4447" operator="equal">
      <formula>0</formula>
    </cfRule>
    <cfRule type="cellIs" dxfId="4744" priority="4448" operator="greaterThan">
      <formula>0</formula>
    </cfRule>
  </conditionalFormatting>
  <conditionalFormatting sqref="O49">
    <cfRule type="cellIs" dxfId="4743" priority="4441" operator="equal">
      <formula>"PMS"</formula>
    </cfRule>
    <cfRule type="containsText" dxfId="4742" priority="4442" operator="containsText" text="CMS">
      <formula>NOT(ISERROR(SEARCH("CMS",O49)))</formula>
    </cfRule>
    <cfRule type="cellIs" dxfId="4741" priority="4443" operator="equal">
      <formula>0</formula>
    </cfRule>
    <cfRule type="cellIs" dxfId="4740" priority="4444" operator="greaterThan">
      <formula>0</formula>
    </cfRule>
  </conditionalFormatting>
  <conditionalFormatting sqref="O49">
    <cfRule type="cellIs" dxfId="4739" priority="4437" operator="equal">
      <formula>"PMS"</formula>
    </cfRule>
    <cfRule type="containsText" dxfId="4738" priority="4438" operator="containsText" text="CMS">
      <formula>NOT(ISERROR(SEARCH("CMS",O49)))</formula>
    </cfRule>
    <cfRule type="cellIs" dxfId="4737" priority="4439" operator="equal">
      <formula>0</formula>
    </cfRule>
    <cfRule type="cellIs" dxfId="4736" priority="4440" operator="greaterThan">
      <formula>0</formula>
    </cfRule>
  </conditionalFormatting>
  <conditionalFormatting sqref="O49">
    <cfRule type="cellIs" dxfId="4735" priority="4433" operator="equal">
      <formula>"PMS"</formula>
    </cfRule>
    <cfRule type="containsText" dxfId="4734" priority="4434" operator="containsText" text="CMS">
      <formula>NOT(ISERROR(SEARCH("CMS",O49)))</formula>
    </cfRule>
    <cfRule type="cellIs" dxfId="4733" priority="4435" operator="equal">
      <formula>0</formula>
    </cfRule>
    <cfRule type="cellIs" dxfId="4732" priority="4436" operator="greaterThan">
      <formula>0</formula>
    </cfRule>
  </conditionalFormatting>
  <conditionalFormatting sqref="O49">
    <cfRule type="cellIs" dxfId="4731" priority="4429" operator="equal">
      <formula>"PMS"</formula>
    </cfRule>
    <cfRule type="containsText" dxfId="4730" priority="4430" operator="containsText" text="CMS">
      <formula>NOT(ISERROR(SEARCH("CMS",O49)))</formula>
    </cfRule>
    <cfRule type="cellIs" dxfId="4729" priority="4431" operator="equal">
      <formula>0</formula>
    </cfRule>
    <cfRule type="cellIs" dxfId="4728" priority="4432" operator="greaterThan">
      <formula>0</formula>
    </cfRule>
  </conditionalFormatting>
  <conditionalFormatting sqref="O49">
    <cfRule type="cellIs" dxfId="4727" priority="4425" operator="equal">
      <formula>"PMS"</formula>
    </cfRule>
    <cfRule type="containsText" dxfId="4726" priority="4426" operator="containsText" text="CMS">
      <formula>NOT(ISERROR(SEARCH("CMS",O49)))</formula>
    </cfRule>
    <cfRule type="cellIs" dxfId="4725" priority="4427" operator="equal">
      <formula>0</formula>
    </cfRule>
    <cfRule type="cellIs" dxfId="4724" priority="4428" operator="greaterThan">
      <formula>0</formula>
    </cfRule>
  </conditionalFormatting>
  <conditionalFormatting sqref="O49">
    <cfRule type="cellIs" dxfId="4723" priority="4421" operator="equal">
      <formula>"PMS"</formula>
    </cfRule>
    <cfRule type="containsText" dxfId="4722" priority="4422" operator="containsText" text="CMS">
      <formula>NOT(ISERROR(SEARCH("CMS",O49)))</formula>
    </cfRule>
    <cfRule type="cellIs" dxfId="4721" priority="4423" operator="equal">
      <formula>0</formula>
    </cfRule>
    <cfRule type="cellIs" dxfId="4720" priority="4424" operator="greaterThan">
      <formula>0</formula>
    </cfRule>
  </conditionalFormatting>
  <conditionalFormatting sqref="O49">
    <cfRule type="cellIs" dxfId="4719" priority="4417" operator="equal">
      <formula>"PMS"</formula>
    </cfRule>
    <cfRule type="containsText" dxfId="4718" priority="4418" operator="containsText" text="CMS">
      <formula>NOT(ISERROR(SEARCH("CMS",O49)))</formula>
    </cfRule>
    <cfRule type="cellIs" dxfId="4717" priority="4419" operator="equal">
      <formula>0</formula>
    </cfRule>
    <cfRule type="cellIs" dxfId="4716" priority="4420" operator="greaterThan">
      <formula>0</formula>
    </cfRule>
  </conditionalFormatting>
  <conditionalFormatting sqref="O49">
    <cfRule type="cellIs" dxfId="4715" priority="4413" operator="equal">
      <formula>"PMS"</formula>
    </cfRule>
    <cfRule type="containsText" dxfId="4714" priority="4414" operator="containsText" text="CMS">
      <formula>NOT(ISERROR(SEARCH("CMS",O49)))</formula>
    </cfRule>
    <cfRule type="cellIs" dxfId="4713" priority="4415" operator="equal">
      <formula>0</formula>
    </cfRule>
    <cfRule type="cellIs" dxfId="4712" priority="4416" operator="greaterThan">
      <formula>0</formula>
    </cfRule>
  </conditionalFormatting>
  <conditionalFormatting sqref="O49">
    <cfRule type="cellIs" dxfId="4711" priority="4409" operator="equal">
      <formula>"PMS"</formula>
    </cfRule>
    <cfRule type="containsText" dxfId="4710" priority="4410" operator="containsText" text="CMS">
      <formula>NOT(ISERROR(SEARCH("CMS",O49)))</formula>
    </cfRule>
    <cfRule type="cellIs" dxfId="4709" priority="4411" operator="equal">
      <formula>0</formula>
    </cfRule>
    <cfRule type="cellIs" dxfId="4708" priority="4412" operator="greaterThan">
      <formula>0</formula>
    </cfRule>
  </conditionalFormatting>
  <conditionalFormatting sqref="O49">
    <cfRule type="cellIs" dxfId="4707" priority="4405" operator="equal">
      <formula>"PMS"</formula>
    </cfRule>
    <cfRule type="containsText" dxfId="4706" priority="4406" operator="containsText" text="CMS">
      <formula>NOT(ISERROR(SEARCH("CMS",O49)))</formula>
    </cfRule>
    <cfRule type="cellIs" dxfId="4705" priority="4407" operator="equal">
      <formula>0</formula>
    </cfRule>
    <cfRule type="cellIs" dxfId="4704" priority="4408" operator="greaterThan">
      <formula>0</formula>
    </cfRule>
  </conditionalFormatting>
  <conditionalFormatting sqref="O49">
    <cfRule type="cellIs" dxfId="4703" priority="4401" operator="equal">
      <formula>"PMS"</formula>
    </cfRule>
    <cfRule type="containsText" dxfId="4702" priority="4402" operator="containsText" text="CMS">
      <formula>NOT(ISERROR(SEARCH("CMS",O49)))</formula>
    </cfRule>
    <cfRule type="cellIs" dxfId="4701" priority="4403" operator="equal">
      <formula>0</formula>
    </cfRule>
    <cfRule type="cellIs" dxfId="4700" priority="4404" operator="greaterThan">
      <formula>0</formula>
    </cfRule>
  </conditionalFormatting>
  <conditionalFormatting sqref="O49">
    <cfRule type="cellIs" dxfId="4699" priority="4397" operator="equal">
      <formula>"PMS"</formula>
    </cfRule>
    <cfRule type="containsText" dxfId="4698" priority="4398" operator="containsText" text="CMS">
      <formula>NOT(ISERROR(SEARCH("CMS",O49)))</formula>
    </cfRule>
    <cfRule type="cellIs" dxfId="4697" priority="4399" operator="equal">
      <formula>0</formula>
    </cfRule>
    <cfRule type="cellIs" dxfId="4696" priority="4400" operator="greaterThan">
      <formula>0</formula>
    </cfRule>
  </conditionalFormatting>
  <conditionalFormatting sqref="O49">
    <cfRule type="cellIs" dxfId="4695" priority="4393" operator="equal">
      <formula>"PMS"</formula>
    </cfRule>
    <cfRule type="containsText" dxfId="4694" priority="4394" operator="containsText" text="CMS">
      <formula>NOT(ISERROR(SEARCH("CMS",O49)))</formula>
    </cfRule>
    <cfRule type="cellIs" dxfId="4693" priority="4395" operator="equal">
      <formula>0</formula>
    </cfRule>
    <cfRule type="cellIs" dxfId="4692" priority="4396" operator="greaterThan">
      <formula>0</formula>
    </cfRule>
  </conditionalFormatting>
  <conditionalFormatting sqref="O49">
    <cfRule type="cellIs" dxfId="4691" priority="4389" operator="equal">
      <formula>"PMS"</formula>
    </cfRule>
    <cfRule type="containsText" dxfId="4690" priority="4390" operator="containsText" text="CMS">
      <formula>NOT(ISERROR(SEARCH("CMS",O49)))</formula>
    </cfRule>
    <cfRule type="cellIs" dxfId="4689" priority="4391" operator="equal">
      <formula>0</formula>
    </cfRule>
    <cfRule type="cellIs" dxfId="4688" priority="4392" operator="greaterThan">
      <formula>0</formula>
    </cfRule>
  </conditionalFormatting>
  <conditionalFormatting sqref="O49">
    <cfRule type="cellIs" dxfId="4687" priority="4385" operator="equal">
      <formula>"PMS"</formula>
    </cfRule>
    <cfRule type="containsText" dxfId="4686" priority="4386" operator="containsText" text="CMS">
      <formula>NOT(ISERROR(SEARCH("CMS",O49)))</formula>
    </cfRule>
    <cfRule type="cellIs" dxfId="4685" priority="4387" operator="equal">
      <formula>0</formula>
    </cfRule>
    <cfRule type="cellIs" dxfId="4684" priority="4388" operator="greaterThan">
      <formula>0</formula>
    </cfRule>
  </conditionalFormatting>
  <conditionalFormatting sqref="O49">
    <cfRule type="cellIs" dxfId="4683" priority="4381" operator="equal">
      <formula>"PMS"</formula>
    </cfRule>
    <cfRule type="containsText" dxfId="4682" priority="4382" operator="containsText" text="CMS">
      <formula>NOT(ISERROR(SEARCH("CMS",O49)))</formula>
    </cfRule>
    <cfRule type="cellIs" dxfId="4681" priority="4383" operator="equal">
      <formula>0</formula>
    </cfRule>
    <cfRule type="cellIs" dxfId="4680" priority="4384" operator="greaterThan">
      <formula>0</formula>
    </cfRule>
  </conditionalFormatting>
  <conditionalFormatting sqref="O49">
    <cfRule type="cellIs" dxfId="4679" priority="4377" operator="equal">
      <formula>"PMS"</formula>
    </cfRule>
    <cfRule type="containsText" dxfId="4678" priority="4378" operator="containsText" text="CMS">
      <formula>NOT(ISERROR(SEARCH("CMS",O49)))</formula>
    </cfRule>
    <cfRule type="cellIs" dxfId="4677" priority="4379" operator="equal">
      <formula>0</formula>
    </cfRule>
    <cfRule type="cellIs" dxfId="4676" priority="4380" operator="greaterThan">
      <formula>0</formula>
    </cfRule>
  </conditionalFormatting>
  <conditionalFormatting sqref="O49">
    <cfRule type="cellIs" dxfId="4675" priority="4373" operator="equal">
      <formula>"PMS"</formula>
    </cfRule>
    <cfRule type="containsText" dxfId="4674" priority="4374" operator="containsText" text="CMS">
      <formula>NOT(ISERROR(SEARCH("CMS",O49)))</formula>
    </cfRule>
    <cfRule type="cellIs" dxfId="4673" priority="4375" operator="equal">
      <formula>0</formula>
    </cfRule>
    <cfRule type="cellIs" dxfId="4672" priority="4376" operator="greaterThan">
      <formula>0</formula>
    </cfRule>
  </conditionalFormatting>
  <conditionalFormatting sqref="O49">
    <cfRule type="cellIs" dxfId="4671" priority="4369" operator="equal">
      <formula>"PMS"</formula>
    </cfRule>
    <cfRule type="containsText" dxfId="4670" priority="4370" operator="containsText" text="CMS">
      <formula>NOT(ISERROR(SEARCH("CMS",O49)))</formula>
    </cfRule>
    <cfRule type="cellIs" dxfId="4669" priority="4371" operator="equal">
      <formula>0</formula>
    </cfRule>
    <cfRule type="cellIs" dxfId="4668" priority="4372" operator="greaterThan">
      <formula>0</formula>
    </cfRule>
  </conditionalFormatting>
  <conditionalFormatting sqref="O49">
    <cfRule type="cellIs" dxfId="4667" priority="4365" operator="equal">
      <formula>"PMS"</formula>
    </cfRule>
    <cfRule type="containsText" dxfId="4666" priority="4366" operator="containsText" text="CMS">
      <formula>NOT(ISERROR(SEARCH("CMS",O49)))</formula>
    </cfRule>
    <cfRule type="cellIs" dxfId="4665" priority="4367" operator="equal">
      <formula>0</formula>
    </cfRule>
    <cfRule type="cellIs" dxfId="4664" priority="4368" operator="greaterThan">
      <formula>0</formula>
    </cfRule>
  </conditionalFormatting>
  <conditionalFormatting sqref="O49">
    <cfRule type="cellIs" dxfId="4663" priority="4361" operator="equal">
      <formula>"PMS"</formula>
    </cfRule>
    <cfRule type="containsText" dxfId="4662" priority="4362" operator="containsText" text="CMS">
      <formula>NOT(ISERROR(SEARCH("CMS",O49)))</formula>
    </cfRule>
    <cfRule type="cellIs" dxfId="4661" priority="4363" operator="equal">
      <formula>0</formula>
    </cfRule>
    <cfRule type="cellIs" dxfId="4660" priority="4364" operator="greaterThan">
      <formula>0</formula>
    </cfRule>
  </conditionalFormatting>
  <conditionalFormatting sqref="O49">
    <cfRule type="cellIs" dxfId="4659" priority="4357" operator="equal">
      <formula>"PMS"</formula>
    </cfRule>
    <cfRule type="containsText" dxfId="4658" priority="4358" operator="containsText" text="CMS">
      <formula>NOT(ISERROR(SEARCH("CMS",O49)))</formula>
    </cfRule>
    <cfRule type="cellIs" dxfId="4657" priority="4359" operator="equal">
      <formula>0</formula>
    </cfRule>
    <cfRule type="cellIs" dxfId="4656" priority="4360" operator="greaterThan">
      <formula>0</formula>
    </cfRule>
  </conditionalFormatting>
  <conditionalFormatting sqref="O49">
    <cfRule type="cellIs" dxfId="4655" priority="4353" operator="equal">
      <formula>"PMS"</formula>
    </cfRule>
    <cfRule type="containsText" dxfId="4654" priority="4354" operator="containsText" text="CMS">
      <formula>NOT(ISERROR(SEARCH("CMS",O49)))</formula>
    </cfRule>
    <cfRule type="cellIs" dxfId="4653" priority="4355" operator="equal">
      <formula>0</formula>
    </cfRule>
    <cfRule type="cellIs" dxfId="4652" priority="4356" operator="greaterThan">
      <formula>0</formula>
    </cfRule>
  </conditionalFormatting>
  <conditionalFormatting sqref="O49">
    <cfRule type="cellIs" dxfId="4651" priority="4349" operator="equal">
      <formula>"PMS"</formula>
    </cfRule>
    <cfRule type="containsText" dxfId="4650" priority="4350" operator="containsText" text="CMS">
      <formula>NOT(ISERROR(SEARCH("CMS",O49)))</formula>
    </cfRule>
    <cfRule type="cellIs" dxfId="4649" priority="4351" operator="equal">
      <formula>0</formula>
    </cfRule>
    <cfRule type="cellIs" dxfId="4648" priority="4352" operator="greaterThan">
      <formula>0</formula>
    </cfRule>
  </conditionalFormatting>
  <conditionalFormatting sqref="O49">
    <cfRule type="cellIs" dxfId="4647" priority="4345" operator="equal">
      <formula>"PMS"</formula>
    </cfRule>
    <cfRule type="containsText" dxfId="4646" priority="4346" operator="containsText" text="CMS">
      <formula>NOT(ISERROR(SEARCH("CMS",O49)))</formula>
    </cfRule>
    <cfRule type="cellIs" dxfId="4645" priority="4347" operator="equal">
      <formula>0</formula>
    </cfRule>
    <cfRule type="cellIs" dxfId="4644" priority="4348" operator="greaterThan">
      <formula>0</formula>
    </cfRule>
  </conditionalFormatting>
  <conditionalFormatting sqref="O49">
    <cfRule type="cellIs" dxfId="4643" priority="4341" operator="equal">
      <formula>"PMS"</formula>
    </cfRule>
    <cfRule type="containsText" dxfId="4642" priority="4342" operator="containsText" text="CMS">
      <formula>NOT(ISERROR(SEARCH("CMS",O49)))</formula>
    </cfRule>
    <cfRule type="cellIs" dxfId="4641" priority="4343" operator="equal">
      <formula>0</formula>
    </cfRule>
    <cfRule type="cellIs" dxfId="4640" priority="4344" operator="greaterThan">
      <formula>0</formula>
    </cfRule>
  </conditionalFormatting>
  <conditionalFormatting sqref="O49">
    <cfRule type="cellIs" dxfId="4639" priority="4337" operator="equal">
      <formula>"PMS"</formula>
    </cfRule>
    <cfRule type="containsText" dxfId="4638" priority="4338" operator="containsText" text="CMS">
      <formula>NOT(ISERROR(SEARCH("CMS",O49)))</formula>
    </cfRule>
    <cfRule type="cellIs" dxfId="4637" priority="4339" operator="equal">
      <formula>0</formula>
    </cfRule>
    <cfRule type="cellIs" dxfId="4636" priority="4340" operator="greaterThan">
      <formula>0</formula>
    </cfRule>
  </conditionalFormatting>
  <conditionalFormatting sqref="O49">
    <cfRule type="cellIs" dxfId="4635" priority="4333" operator="equal">
      <formula>"PMS"</formula>
    </cfRule>
    <cfRule type="containsText" dxfId="4634" priority="4334" operator="containsText" text="CMS">
      <formula>NOT(ISERROR(SEARCH("CMS",O49)))</formula>
    </cfRule>
    <cfRule type="cellIs" dxfId="4633" priority="4335" operator="equal">
      <formula>0</formula>
    </cfRule>
    <cfRule type="cellIs" dxfId="4632" priority="4336" operator="greaterThan">
      <formula>0</formula>
    </cfRule>
  </conditionalFormatting>
  <conditionalFormatting sqref="O49">
    <cfRule type="cellIs" dxfId="4631" priority="4329" operator="equal">
      <formula>"PMS"</formula>
    </cfRule>
    <cfRule type="containsText" dxfId="4630" priority="4330" operator="containsText" text="CMS">
      <formula>NOT(ISERROR(SEARCH("CMS",O49)))</formula>
    </cfRule>
    <cfRule type="cellIs" dxfId="4629" priority="4331" operator="equal">
      <formula>0</formula>
    </cfRule>
    <cfRule type="cellIs" dxfId="4628" priority="4332" operator="greaterThan">
      <formula>0</formula>
    </cfRule>
  </conditionalFormatting>
  <conditionalFormatting sqref="O49">
    <cfRule type="cellIs" dxfId="4627" priority="4325" operator="equal">
      <formula>"PMS"</formula>
    </cfRule>
    <cfRule type="containsText" dxfId="4626" priority="4326" operator="containsText" text="CMS">
      <formula>NOT(ISERROR(SEARCH("CMS",O49)))</formula>
    </cfRule>
    <cfRule type="cellIs" dxfId="4625" priority="4327" operator="equal">
      <formula>0</formula>
    </cfRule>
    <cfRule type="cellIs" dxfId="4624" priority="4328" operator="greaterThan">
      <formula>0</formula>
    </cfRule>
  </conditionalFormatting>
  <conditionalFormatting sqref="O49">
    <cfRule type="cellIs" dxfId="4623" priority="4321" operator="equal">
      <formula>"PMS"</formula>
    </cfRule>
    <cfRule type="containsText" dxfId="4622" priority="4322" operator="containsText" text="CMS">
      <formula>NOT(ISERROR(SEARCH("CMS",O49)))</formula>
    </cfRule>
    <cfRule type="cellIs" dxfId="4621" priority="4323" operator="equal">
      <formula>0</formula>
    </cfRule>
    <cfRule type="cellIs" dxfId="4620" priority="4324" operator="greaterThan">
      <formula>0</formula>
    </cfRule>
  </conditionalFormatting>
  <conditionalFormatting sqref="O49">
    <cfRule type="cellIs" dxfId="4619" priority="4317" operator="equal">
      <formula>"PMS"</formula>
    </cfRule>
    <cfRule type="containsText" dxfId="4618" priority="4318" operator="containsText" text="CMS">
      <formula>NOT(ISERROR(SEARCH("CMS",O49)))</formula>
    </cfRule>
    <cfRule type="cellIs" dxfId="4617" priority="4319" operator="equal">
      <formula>0</formula>
    </cfRule>
    <cfRule type="cellIs" dxfId="4616" priority="4320" operator="greaterThan">
      <formula>0</formula>
    </cfRule>
  </conditionalFormatting>
  <conditionalFormatting sqref="O49">
    <cfRule type="cellIs" dxfId="4615" priority="4313" operator="equal">
      <formula>"PMS"</formula>
    </cfRule>
    <cfRule type="containsText" dxfId="4614" priority="4314" operator="containsText" text="CMS">
      <formula>NOT(ISERROR(SEARCH("CMS",O49)))</formula>
    </cfRule>
    <cfRule type="cellIs" dxfId="4613" priority="4315" operator="equal">
      <formula>0</formula>
    </cfRule>
    <cfRule type="cellIs" dxfId="4612" priority="4316" operator="greaterThan">
      <formula>0</formula>
    </cfRule>
  </conditionalFormatting>
  <conditionalFormatting sqref="O49">
    <cfRule type="cellIs" dxfId="4611" priority="4309" operator="equal">
      <formula>"PMS"</formula>
    </cfRule>
    <cfRule type="containsText" dxfId="4610" priority="4310" operator="containsText" text="CMS">
      <formula>NOT(ISERROR(SEARCH("CMS",O49)))</formula>
    </cfRule>
    <cfRule type="cellIs" dxfId="4609" priority="4311" operator="equal">
      <formula>0</formula>
    </cfRule>
    <cfRule type="cellIs" dxfId="4608" priority="4312" operator="greaterThan">
      <formula>0</formula>
    </cfRule>
  </conditionalFormatting>
  <conditionalFormatting sqref="O49">
    <cfRule type="cellIs" dxfId="4607" priority="4305" operator="equal">
      <formula>"PMS"</formula>
    </cfRule>
    <cfRule type="containsText" dxfId="4606" priority="4306" operator="containsText" text="CMS">
      <formula>NOT(ISERROR(SEARCH("CMS",O49)))</formula>
    </cfRule>
    <cfRule type="cellIs" dxfId="4605" priority="4307" operator="equal">
      <formula>0</formula>
    </cfRule>
    <cfRule type="cellIs" dxfId="4604" priority="4308" operator="greaterThan">
      <formula>0</formula>
    </cfRule>
  </conditionalFormatting>
  <conditionalFormatting sqref="O49">
    <cfRule type="cellIs" dxfId="4603" priority="4301" operator="equal">
      <formula>"PMS"</formula>
    </cfRule>
    <cfRule type="containsText" dxfId="4602" priority="4302" operator="containsText" text="CMS">
      <formula>NOT(ISERROR(SEARCH("CMS",O49)))</formula>
    </cfRule>
    <cfRule type="cellIs" dxfId="4601" priority="4303" operator="equal">
      <formula>0</formula>
    </cfRule>
    <cfRule type="cellIs" dxfId="4600" priority="4304" operator="greaterThan">
      <formula>0</formula>
    </cfRule>
  </conditionalFormatting>
  <conditionalFormatting sqref="O49">
    <cfRule type="cellIs" dxfId="4599" priority="4297" operator="equal">
      <formula>"PMS"</formula>
    </cfRule>
    <cfRule type="containsText" dxfId="4598" priority="4298" operator="containsText" text="CMS">
      <formula>NOT(ISERROR(SEARCH("CMS",O49)))</formula>
    </cfRule>
    <cfRule type="cellIs" dxfId="4597" priority="4299" operator="equal">
      <formula>0</formula>
    </cfRule>
    <cfRule type="cellIs" dxfId="4596" priority="4300" operator="greaterThan">
      <formula>0</formula>
    </cfRule>
  </conditionalFormatting>
  <conditionalFormatting sqref="O49">
    <cfRule type="cellIs" dxfId="4595" priority="4293" operator="equal">
      <formula>"PMS"</formula>
    </cfRule>
    <cfRule type="containsText" dxfId="4594" priority="4294" operator="containsText" text="CMS">
      <formula>NOT(ISERROR(SEARCH("CMS",O49)))</formula>
    </cfRule>
    <cfRule type="cellIs" dxfId="4593" priority="4295" operator="equal">
      <formula>0</formula>
    </cfRule>
    <cfRule type="cellIs" dxfId="4592" priority="4296" operator="greaterThan">
      <formula>0</formula>
    </cfRule>
  </conditionalFormatting>
  <conditionalFormatting sqref="O49">
    <cfRule type="cellIs" dxfId="4591" priority="4289" operator="equal">
      <formula>"PMS"</formula>
    </cfRule>
    <cfRule type="containsText" dxfId="4590" priority="4290" operator="containsText" text="CMS">
      <formula>NOT(ISERROR(SEARCH("CMS",O49)))</formula>
    </cfRule>
    <cfRule type="cellIs" dxfId="4589" priority="4291" operator="equal">
      <formula>0</formula>
    </cfRule>
    <cfRule type="cellIs" dxfId="4588" priority="4292" operator="greaterThan">
      <formula>0</formula>
    </cfRule>
  </conditionalFormatting>
  <conditionalFormatting sqref="O49">
    <cfRule type="cellIs" dxfId="4587" priority="4285" operator="equal">
      <formula>"PMS"</formula>
    </cfRule>
    <cfRule type="containsText" dxfId="4586" priority="4286" operator="containsText" text="CMS">
      <formula>NOT(ISERROR(SEARCH("CMS",O49)))</formula>
    </cfRule>
    <cfRule type="cellIs" dxfId="4585" priority="4287" operator="equal">
      <formula>0</formula>
    </cfRule>
    <cfRule type="cellIs" dxfId="4584" priority="4288" operator="greaterThan">
      <formula>0</formula>
    </cfRule>
  </conditionalFormatting>
  <conditionalFormatting sqref="O49">
    <cfRule type="cellIs" dxfId="4583" priority="4281" operator="equal">
      <formula>"PMS"</formula>
    </cfRule>
    <cfRule type="containsText" dxfId="4582" priority="4282" operator="containsText" text="CMS">
      <formula>NOT(ISERROR(SEARCH("CMS",O49)))</formula>
    </cfRule>
    <cfRule type="cellIs" dxfId="4581" priority="4283" operator="equal">
      <formula>0</formula>
    </cfRule>
    <cfRule type="cellIs" dxfId="4580" priority="4284" operator="greaterThan">
      <formula>0</formula>
    </cfRule>
  </conditionalFormatting>
  <conditionalFormatting sqref="O49">
    <cfRule type="cellIs" dxfId="4579" priority="4277" operator="equal">
      <formula>"PMS"</formula>
    </cfRule>
    <cfRule type="containsText" dxfId="4578" priority="4278" operator="containsText" text="CMS">
      <formula>NOT(ISERROR(SEARCH("CMS",O49)))</formula>
    </cfRule>
    <cfRule type="cellIs" dxfId="4577" priority="4279" operator="equal">
      <formula>0</formula>
    </cfRule>
    <cfRule type="cellIs" dxfId="4576" priority="4280" operator="greaterThan">
      <formula>0</formula>
    </cfRule>
  </conditionalFormatting>
  <conditionalFormatting sqref="O49">
    <cfRule type="cellIs" dxfId="4575" priority="4273" operator="equal">
      <formula>"PMS"</formula>
    </cfRule>
    <cfRule type="containsText" dxfId="4574" priority="4274" operator="containsText" text="CMS">
      <formula>NOT(ISERROR(SEARCH("CMS",O49)))</formula>
    </cfRule>
    <cfRule type="cellIs" dxfId="4573" priority="4275" operator="equal">
      <formula>0</formula>
    </cfRule>
    <cfRule type="cellIs" dxfId="4572" priority="4276" operator="greaterThan">
      <formula>0</formula>
    </cfRule>
  </conditionalFormatting>
  <conditionalFormatting sqref="O49">
    <cfRule type="cellIs" dxfId="4571" priority="4269" operator="equal">
      <formula>"PMS"</formula>
    </cfRule>
    <cfRule type="containsText" dxfId="4570" priority="4270" operator="containsText" text="CMS">
      <formula>NOT(ISERROR(SEARCH("CMS",O49)))</formula>
    </cfRule>
    <cfRule type="cellIs" dxfId="4569" priority="4271" operator="equal">
      <formula>0</formula>
    </cfRule>
    <cfRule type="cellIs" dxfId="4568" priority="4272" operator="greaterThan">
      <formula>0</formula>
    </cfRule>
  </conditionalFormatting>
  <conditionalFormatting sqref="O49">
    <cfRule type="cellIs" dxfId="4567" priority="4265" operator="equal">
      <formula>"PMS"</formula>
    </cfRule>
    <cfRule type="containsText" dxfId="4566" priority="4266" operator="containsText" text="CMS">
      <formula>NOT(ISERROR(SEARCH("CMS",O49)))</formula>
    </cfRule>
    <cfRule type="cellIs" dxfId="4565" priority="4267" operator="equal">
      <formula>0</formula>
    </cfRule>
    <cfRule type="cellIs" dxfId="4564" priority="4268" operator="greaterThan">
      <formula>0</formula>
    </cfRule>
  </conditionalFormatting>
  <conditionalFormatting sqref="O49">
    <cfRule type="cellIs" dxfId="4563" priority="4261" operator="equal">
      <formula>"PMS"</formula>
    </cfRule>
    <cfRule type="containsText" dxfId="4562" priority="4262" operator="containsText" text="CMS">
      <formula>NOT(ISERROR(SEARCH("CMS",O49)))</formula>
    </cfRule>
    <cfRule type="cellIs" dxfId="4561" priority="4263" operator="equal">
      <formula>0</formula>
    </cfRule>
    <cfRule type="cellIs" dxfId="4560" priority="4264" operator="greaterThan">
      <formula>0</formula>
    </cfRule>
  </conditionalFormatting>
  <conditionalFormatting sqref="O49">
    <cfRule type="cellIs" dxfId="4559" priority="4257" operator="equal">
      <formula>"PMS"</formula>
    </cfRule>
    <cfRule type="containsText" dxfId="4558" priority="4258" operator="containsText" text="CMS">
      <formula>NOT(ISERROR(SEARCH("CMS",O49)))</formula>
    </cfRule>
    <cfRule type="cellIs" dxfId="4557" priority="4259" operator="equal">
      <formula>0</formula>
    </cfRule>
    <cfRule type="cellIs" dxfId="4556" priority="4260" operator="greaterThan">
      <formula>0</formula>
    </cfRule>
  </conditionalFormatting>
  <conditionalFormatting sqref="O49">
    <cfRule type="cellIs" dxfId="4555" priority="4253" operator="equal">
      <formula>"PMS"</formula>
    </cfRule>
    <cfRule type="containsText" dxfId="4554" priority="4254" operator="containsText" text="CMS">
      <formula>NOT(ISERROR(SEARCH("CMS",O49)))</formula>
    </cfRule>
    <cfRule type="cellIs" dxfId="4553" priority="4255" operator="equal">
      <formula>0</formula>
    </cfRule>
    <cfRule type="cellIs" dxfId="4552" priority="4256" operator="greaterThan">
      <formula>0</formula>
    </cfRule>
  </conditionalFormatting>
  <conditionalFormatting sqref="O49">
    <cfRule type="cellIs" dxfId="4551" priority="4249" operator="equal">
      <formula>"PMS"</formula>
    </cfRule>
    <cfRule type="containsText" dxfId="4550" priority="4250" operator="containsText" text="CMS">
      <formula>NOT(ISERROR(SEARCH("CMS",O49)))</formula>
    </cfRule>
    <cfRule type="cellIs" dxfId="4549" priority="4251" operator="equal">
      <formula>0</formula>
    </cfRule>
    <cfRule type="cellIs" dxfId="4548" priority="4252" operator="greaterThan">
      <formula>0</formula>
    </cfRule>
  </conditionalFormatting>
  <conditionalFormatting sqref="O49">
    <cfRule type="cellIs" dxfId="4547" priority="4245" operator="equal">
      <formula>"PMS"</formula>
    </cfRule>
    <cfRule type="containsText" dxfId="4546" priority="4246" operator="containsText" text="CMS">
      <formula>NOT(ISERROR(SEARCH("CMS",O49)))</formula>
    </cfRule>
    <cfRule type="cellIs" dxfId="4545" priority="4247" operator="equal">
      <formula>0</formula>
    </cfRule>
    <cfRule type="cellIs" dxfId="4544" priority="4248" operator="greaterThan">
      <formula>0</formula>
    </cfRule>
  </conditionalFormatting>
  <conditionalFormatting sqref="O49">
    <cfRule type="cellIs" dxfId="4543" priority="4241" operator="equal">
      <formula>"PMS"</formula>
    </cfRule>
    <cfRule type="containsText" dxfId="4542" priority="4242" operator="containsText" text="CMS">
      <formula>NOT(ISERROR(SEARCH("CMS",O49)))</formula>
    </cfRule>
    <cfRule type="cellIs" dxfId="4541" priority="4243" operator="equal">
      <formula>0</formula>
    </cfRule>
    <cfRule type="cellIs" dxfId="4540" priority="4244" operator="greaterThan">
      <formula>0</formula>
    </cfRule>
  </conditionalFormatting>
  <conditionalFormatting sqref="O49">
    <cfRule type="cellIs" dxfId="4539" priority="4237" operator="equal">
      <formula>"PMS"</formula>
    </cfRule>
    <cfRule type="containsText" dxfId="4538" priority="4238" operator="containsText" text="CMS">
      <formula>NOT(ISERROR(SEARCH("CMS",O49)))</formula>
    </cfRule>
    <cfRule type="cellIs" dxfId="4537" priority="4239" operator="equal">
      <formula>0</formula>
    </cfRule>
    <cfRule type="cellIs" dxfId="4536" priority="4240" operator="greaterThan">
      <formula>0</formula>
    </cfRule>
  </conditionalFormatting>
  <conditionalFormatting sqref="O49">
    <cfRule type="cellIs" dxfId="4535" priority="4233" operator="equal">
      <formula>"PMS"</formula>
    </cfRule>
    <cfRule type="containsText" dxfId="4534" priority="4234" operator="containsText" text="CMS">
      <formula>NOT(ISERROR(SEARCH("CMS",O49)))</formula>
    </cfRule>
    <cfRule type="cellIs" dxfId="4533" priority="4235" operator="equal">
      <formula>0</formula>
    </cfRule>
    <cfRule type="cellIs" dxfId="4532" priority="4236" operator="greaterThan">
      <formula>0</formula>
    </cfRule>
  </conditionalFormatting>
  <conditionalFormatting sqref="O49">
    <cfRule type="cellIs" dxfId="4531" priority="4229" operator="equal">
      <formula>"PMS"</formula>
    </cfRule>
    <cfRule type="containsText" dxfId="4530" priority="4230" operator="containsText" text="CMS">
      <formula>NOT(ISERROR(SEARCH("CMS",O49)))</formula>
    </cfRule>
    <cfRule type="cellIs" dxfId="4529" priority="4231" operator="equal">
      <formula>0</formula>
    </cfRule>
    <cfRule type="cellIs" dxfId="4528" priority="4232" operator="greaterThan">
      <formula>0</formula>
    </cfRule>
  </conditionalFormatting>
  <conditionalFormatting sqref="O49">
    <cfRule type="cellIs" dxfId="4527" priority="4225" operator="equal">
      <formula>"PMS"</formula>
    </cfRule>
    <cfRule type="containsText" dxfId="4526" priority="4226" operator="containsText" text="CMS">
      <formula>NOT(ISERROR(SEARCH("CMS",O49)))</formula>
    </cfRule>
    <cfRule type="cellIs" dxfId="4525" priority="4227" operator="equal">
      <formula>0</formula>
    </cfRule>
    <cfRule type="cellIs" dxfId="4524" priority="4228" operator="greaterThan">
      <formula>0</formula>
    </cfRule>
  </conditionalFormatting>
  <conditionalFormatting sqref="O49">
    <cfRule type="cellIs" dxfId="4523" priority="4221" operator="equal">
      <formula>"PMS"</formula>
    </cfRule>
    <cfRule type="containsText" dxfId="4522" priority="4222" operator="containsText" text="CMS">
      <formula>NOT(ISERROR(SEARCH("CMS",O49)))</formula>
    </cfRule>
    <cfRule type="cellIs" dxfId="4521" priority="4223" operator="equal">
      <formula>0</formula>
    </cfRule>
    <cfRule type="cellIs" dxfId="4520" priority="4224" operator="greaterThan">
      <formula>0</formula>
    </cfRule>
  </conditionalFormatting>
  <conditionalFormatting sqref="O49">
    <cfRule type="cellIs" dxfId="4519" priority="4217" operator="equal">
      <formula>"PMS"</formula>
    </cfRule>
    <cfRule type="containsText" dxfId="4518" priority="4218" operator="containsText" text="CMS">
      <formula>NOT(ISERROR(SEARCH("CMS",O49)))</formula>
    </cfRule>
    <cfRule type="cellIs" dxfId="4517" priority="4219" operator="equal">
      <formula>0</formula>
    </cfRule>
    <cfRule type="cellIs" dxfId="4516" priority="4220" operator="greaterThan">
      <formula>0</formula>
    </cfRule>
  </conditionalFormatting>
  <conditionalFormatting sqref="O49">
    <cfRule type="cellIs" dxfId="4515" priority="4213" operator="equal">
      <formula>"PMS"</formula>
    </cfRule>
    <cfRule type="containsText" dxfId="4514" priority="4214" operator="containsText" text="CMS">
      <formula>NOT(ISERROR(SEARCH("CMS",O49)))</formula>
    </cfRule>
    <cfRule type="cellIs" dxfId="4513" priority="4215" operator="equal">
      <formula>0</formula>
    </cfRule>
    <cfRule type="cellIs" dxfId="4512" priority="4216" operator="greaterThan">
      <formula>0</formula>
    </cfRule>
  </conditionalFormatting>
  <conditionalFormatting sqref="O49">
    <cfRule type="cellIs" dxfId="4511" priority="4209" operator="equal">
      <formula>"PMS"</formula>
    </cfRule>
    <cfRule type="containsText" dxfId="4510" priority="4210" operator="containsText" text="CMS">
      <formula>NOT(ISERROR(SEARCH("CMS",O49)))</formula>
    </cfRule>
    <cfRule type="cellIs" dxfId="4509" priority="4211" operator="equal">
      <formula>0</formula>
    </cfRule>
    <cfRule type="cellIs" dxfId="4508" priority="4212" operator="greaterThan">
      <formula>0</formula>
    </cfRule>
  </conditionalFormatting>
  <conditionalFormatting sqref="O49">
    <cfRule type="cellIs" dxfId="4507" priority="4205" operator="equal">
      <formula>"PMS"</formula>
    </cfRule>
    <cfRule type="containsText" dxfId="4506" priority="4206" operator="containsText" text="CMS">
      <formula>NOT(ISERROR(SEARCH("CMS",O49)))</formula>
    </cfRule>
    <cfRule type="cellIs" dxfId="4505" priority="4207" operator="equal">
      <formula>0</formula>
    </cfRule>
    <cfRule type="cellIs" dxfId="4504" priority="4208" operator="greaterThan">
      <formula>0</formula>
    </cfRule>
  </conditionalFormatting>
  <conditionalFormatting sqref="O49">
    <cfRule type="cellIs" dxfId="4503" priority="4201" operator="equal">
      <formula>"PMS"</formula>
    </cfRule>
    <cfRule type="containsText" dxfId="4502" priority="4202" operator="containsText" text="CMS">
      <formula>NOT(ISERROR(SEARCH("CMS",O49)))</formula>
    </cfRule>
    <cfRule type="cellIs" dxfId="4501" priority="4203" operator="equal">
      <formula>0</formula>
    </cfRule>
    <cfRule type="cellIs" dxfId="4500" priority="4204" operator="greaterThan">
      <formula>0</formula>
    </cfRule>
  </conditionalFormatting>
  <conditionalFormatting sqref="O49">
    <cfRule type="cellIs" dxfId="4499" priority="4197" operator="equal">
      <formula>"PMS"</formula>
    </cfRule>
    <cfRule type="containsText" dxfId="4498" priority="4198" operator="containsText" text="CMS">
      <formula>NOT(ISERROR(SEARCH("CMS",O49)))</formula>
    </cfRule>
    <cfRule type="cellIs" dxfId="4497" priority="4199" operator="equal">
      <formula>0</formula>
    </cfRule>
    <cfRule type="cellIs" dxfId="4496" priority="4200" operator="greaterThan">
      <formula>0</formula>
    </cfRule>
  </conditionalFormatting>
  <conditionalFormatting sqref="O49">
    <cfRule type="cellIs" dxfId="4495" priority="4193" operator="equal">
      <formula>"PMS"</formula>
    </cfRule>
    <cfRule type="containsText" dxfId="4494" priority="4194" operator="containsText" text="CMS">
      <formula>NOT(ISERROR(SEARCH("CMS",O49)))</formula>
    </cfRule>
    <cfRule type="cellIs" dxfId="4493" priority="4195" operator="equal">
      <formula>0</formula>
    </cfRule>
    <cfRule type="cellIs" dxfId="4492" priority="4196" operator="greaterThan">
      <formula>0</formula>
    </cfRule>
  </conditionalFormatting>
  <conditionalFormatting sqref="O49">
    <cfRule type="cellIs" dxfId="4491" priority="4189" operator="equal">
      <formula>"PMS"</formula>
    </cfRule>
    <cfRule type="containsText" dxfId="4490" priority="4190" operator="containsText" text="CMS">
      <formula>NOT(ISERROR(SEARCH("CMS",O49)))</formula>
    </cfRule>
    <cfRule type="cellIs" dxfId="4489" priority="4191" operator="equal">
      <formula>0</formula>
    </cfRule>
    <cfRule type="cellIs" dxfId="4488" priority="4192" operator="greaterThan">
      <formula>0</formula>
    </cfRule>
  </conditionalFormatting>
  <conditionalFormatting sqref="O49">
    <cfRule type="cellIs" dxfId="4487" priority="4185" operator="equal">
      <formula>"PMS"</formula>
    </cfRule>
    <cfRule type="containsText" dxfId="4486" priority="4186" operator="containsText" text="CMS">
      <formula>NOT(ISERROR(SEARCH("CMS",O49)))</formula>
    </cfRule>
    <cfRule type="cellIs" dxfId="4485" priority="4187" operator="equal">
      <formula>0</formula>
    </cfRule>
    <cfRule type="cellIs" dxfId="4484" priority="4188" operator="greaterThan">
      <formula>0</formula>
    </cfRule>
  </conditionalFormatting>
  <conditionalFormatting sqref="O49">
    <cfRule type="cellIs" dxfId="4483" priority="4181" operator="equal">
      <formula>"PMS"</formula>
    </cfRule>
    <cfRule type="containsText" dxfId="4482" priority="4182" operator="containsText" text="CMS">
      <formula>NOT(ISERROR(SEARCH("CMS",O49)))</formula>
    </cfRule>
    <cfRule type="cellIs" dxfId="4481" priority="4183" operator="equal">
      <formula>0</formula>
    </cfRule>
    <cfRule type="cellIs" dxfId="4480" priority="4184" operator="greaterThan">
      <formula>0</formula>
    </cfRule>
  </conditionalFormatting>
  <conditionalFormatting sqref="O49">
    <cfRule type="cellIs" dxfId="4479" priority="4177" operator="equal">
      <formula>"PMS"</formula>
    </cfRule>
    <cfRule type="containsText" dxfId="4478" priority="4178" operator="containsText" text="CMS">
      <formula>NOT(ISERROR(SEARCH("CMS",O49)))</formula>
    </cfRule>
    <cfRule type="cellIs" dxfId="4477" priority="4179" operator="equal">
      <formula>0</formula>
    </cfRule>
    <cfRule type="cellIs" dxfId="4476" priority="4180" operator="greaterThan">
      <formula>0</formula>
    </cfRule>
  </conditionalFormatting>
  <conditionalFormatting sqref="O49">
    <cfRule type="cellIs" dxfId="4475" priority="4173" operator="equal">
      <formula>"PMS"</formula>
    </cfRule>
    <cfRule type="containsText" dxfId="4474" priority="4174" operator="containsText" text="CMS">
      <formula>NOT(ISERROR(SEARCH("CMS",O49)))</formula>
    </cfRule>
    <cfRule type="cellIs" dxfId="4473" priority="4175" operator="equal">
      <formula>0</formula>
    </cfRule>
    <cfRule type="cellIs" dxfId="4472" priority="4176" operator="greaterThan">
      <formula>0</formula>
    </cfRule>
  </conditionalFormatting>
  <conditionalFormatting sqref="O49">
    <cfRule type="cellIs" dxfId="4471" priority="4169" operator="equal">
      <formula>"PMS"</formula>
    </cfRule>
    <cfRule type="containsText" dxfId="4470" priority="4170" operator="containsText" text="CMS">
      <formula>NOT(ISERROR(SEARCH("CMS",O49)))</formula>
    </cfRule>
    <cfRule type="cellIs" dxfId="4469" priority="4171" operator="equal">
      <formula>0</formula>
    </cfRule>
    <cfRule type="cellIs" dxfId="4468" priority="4172" operator="greaterThan">
      <formula>0</formula>
    </cfRule>
  </conditionalFormatting>
  <conditionalFormatting sqref="O49">
    <cfRule type="cellIs" dxfId="4467" priority="4165" operator="equal">
      <formula>"PMS"</formula>
    </cfRule>
    <cfRule type="containsText" dxfId="4466" priority="4166" operator="containsText" text="CMS">
      <formula>NOT(ISERROR(SEARCH("CMS",O49)))</formula>
    </cfRule>
    <cfRule type="cellIs" dxfId="4465" priority="4167" operator="equal">
      <formula>0</formula>
    </cfRule>
    <cfRule type="cellIs" dxfId="4464" priority="4168" operator="greaterThan">
      <formula>0</formula>
    </cfRule>
  </conditionalFormatting>
  <conditionalFormatting sqref="O49">
    <cfRule type="cellIs" dxfId="4463" priority="4161" operator="equal">
      <formula>"PMS"</formula>
    </cfRule>
    <cfRule type="containsText" dxfId="4462" priority="4162" operator="containsText" text="CMS">
      <formula>NOT(ISERROR(SEARCH("CMS",O49)))</formula>
    </cfRule>
    <cfRule type="cellIs" dxfId="4461" priority="4163" operator="equal">
      <formula>0</formula>
    </cfRule>
    <cfRule type="cellIs" dxfId="4460" priority="4164" operator="greaterThan">
      <formula>0</formula>
    </cfRule>
  </conditionalFormatting>
  <conditionalFormatting sqref="O49">
    <cfRule type="cellIs" dxfId="4459" priority="4157" operator="equal">
      <formula>"PMS"</formula>
    </cfRule>
    <cfRule type="containsText" dxfId="4458" priority="4158" operator="containsText" text="CMS">
      <formula>NOT(ISERROR(SEARCH("CMS",O49)))</formula>
    </cfRule>
    <cfRule type="cellIs" dxfId="4457" priority="4159" operator="equal">
      <formula>0</formula>
    </cfRule>
    <cfRule type="cellIs" dxfId="4456" priority="4160" operator="greaterThan">
      <formula>0</formula>
    </cfRule>
  </conditionalFormatting>
  <conditionalFormatting sqref="O49">
    <cfRule type="cellIs" dxfId="4455" priority="4153" operator="equal">
      <formula>"PMS"</formula>
    </cfRule>
    <cfRule type="containsText" dxfId="4454" priority="4154" operator="containsText" text="CMS">
      <formula>NOT(ISERROR(SEARCH("CMS",O49)))</formula>
    </cfRule>
    <cfRule type="cellIs" dxfId="4453" priority="4155" operator="equal">
      <formula>0</formula>
    </cfRule>
    <cfRule type="cellIs" dxfId="4452" priority="4156" operator="greaterThan">
      <formula>0</formula>
    </cfRule>
  </conditionalFormatting>
  <conditionalFormatting sqref="O49">
    <cfRule type="cellIs" dxfId="4451" priority="4149" operator="equal">
      <formula>"PMS"</formula>
    </cfRule>
    <cfRule type="containsText" dxfId="4450" priority="4150" operator="containsText" text="CMS">
      <formula>NOT(ISERROR(SEARCH("CMS",O49)))</formula>
    </cfRule>
    <cfRule type="cellIs" dxfId="4449" priority="4151" operator="equal">
      <formula>0</formula>
    </cfRule>
    <cfRule type="cellIs" dxfId="4448" priority="4152" operator="greaterThan">
      <formula>0</formula>
    </cfRule>
  </conditionalFormatting>
  <conditionalFormatting sqref="O49">
    <cfRule type="cellIs" dxfId="4447" priority="4145" operator="equal">
      <formula>"PMS"</formula>
    </cfRule>
    <cfRule type="containsText" dxfId="4446" priority="4146" operator="containsText" text="CMS">
      <formula>NOT(ISERROR(SEARCH("CMS",O49)))</formula>
    </cfRule>
    <cfRule type="cellIs" dxfId="4445" priority="4147" operator="equal">
      <formula>0</formula>
    </cfRule>
    <cfRule type="cellIs" dxfId="4444" priority="4148" operator="greaterThan">
      <formula>0</formula>
    </cfRule>
  </conditionalFormatting>
  <conditionalFormatting sqref="O49">
    <cfRule type="cellIs" dxfId="4443" priority="4141" operator="equal">
      <formula>"PMS"</formula>
    </cfRule>
    <cfRule type="containsText" dxfId="4442" priority="4142" operator="containsText" text="CMS">
      <formula>NOT(ISERROR(SEARCH("CMS",O49)))</formula>
    </cfRule>
    <cfRule type="cellIs" dxfId="4441" priority="4143" operator="equal">
      <formula>0</formula>
    </cfRule>
    <cfRule type="cellIs" dxfId="4440" priority="4144" operator="greaterThan">
      <formula>0</formula>
    </cfRule>
  </conditionalFormatting>
  <conditionalFormatting sqref="O49">
    <cfRule type="cellIs" dxfId="4439" priority="4137" operator="equal">
      <formula>"PMS"</formula>
    </cfRule>
    <cfRule type="containsText" dxfId="4438" priority="4138" operator="containsText" text="CMS">
      <formula>NOT(ISERROR(SEARCH("CMS",O49)))</formula>
    </cfRule>
    <cfRule type="cellIs" dxfId="4437" priority="4139" operator="equal">
      <formula>0</formula>
    </cfRule>
    <cfRule type="cellIs" dxfId="4436" priority="4140" operator="greaterThan">
      <formula>0</formula>
    </cfRule>
  </conditionalFormatting>
  <conditionalFormatting sqref="O49">
    <cfRule type="cellIs" dxfId="4435" priority="4133" operator="equal">
      <formula>"PMS"</formula>
    </cfRule>
    <cfRule type="containsText" dxfId="4434" priority="4134" operator="containsText" text="CMS">
      <formula>NOT(ISERROR(SEARCH("CMS",O49)))</formula>
    </cfRule>
    <cfRule type="cellIs" dxfId="4433" priority="4135" operator="equal">
      <formula>0</formula>
    </cfRule>
    <cfRule type="cellIs" dxfId="4432" priority="4136" operator="greaterThan">
      <formula>0</formula>
    </cfRule>
  </conditionalFormatting>
  <conditionalFormatting sqref="O49">
    <cfRule type="cellIs" dxfId="4431" priority="4129" operator="equal">
      <formula>"PMS"</formula>
    </cfRule>
    <cfRule type="containsText" dxfId="4430" priority="4130" operator="containsText" text="CMS">
      <formula>NOT(ISERROR(SEARCH("CMS",O49)))</formula>
    </cfRule>
    <cfRule type="cellIs" dxfId="4429" priority="4131" operator="equal">
      <formula>0</formula>
    </cfRule>
    <cfRule type="cellIs" dxfId="4428" priority="4132" operator="greaterThan">
      <formula>0</formula>
    </cfRule>
  </conditionalFormatting>
  <conditionalFormatting sqref="O49">
    <cfRule type="cellIs" dxfId="4427" priority="4125" operator="equal">
      <formula>"PMS"</formula>
    </cfRule>
    <cfRule type="containsText" dxfId="4426" priority="4126" operator="containsText" text="CMS">
      <formula>NOT(ISERROR(SEARCH("CMS",O49)))</formula>
    </cfRule>
    <cfRule type="cellIs" dxfId="4425" priority="4127" operator="equal">
      <formula>0</formula>
    </cfRule>
    <cfRule type="cellIs" dxfId="4424" priority="4128" operator="greaterThan">
      <formula>0</formula>
    </cfRule>
  </conditionalFormatting>
  <conditionalFormatting sqref="O49">
    <cfRule type="cellIs" dxfId="4423" priority="4121" operator="equal">
      <formula>"PMS"</formula>
    </cfRule>
    <cfRule type="containsText" dxfId="4422" priority="4122" operator="containsText" text="CMS">
      <formula>NOT(ISERROR(SEARCH("CMS",O49)))</formula>
    </cfRule>
    <cfRule type="cellIs" dxfId="4421" priority="4123" operator="equal">
      <formula>0</formula>
    </cfRule>
    <cfRule type="cellIs" dxfId="4420" priority="4124" operator="greaterThan">
      <formula>0</formula>
    </cfRule>
  </conditionalFormatting>
  <conditionalFormatting sqref="O49">
    <cfRule type="cellIs" dxfId="4419" priority="4117" operator="equal">
      <formula>"PMS"</formula>
    </cfRule>
    <cfRule type="containsText" dxfId="4418" priority="4118" operator="containsText" text="CMS">
      <formula>NOT(ISERROR(SEARCH("CMS",O49)))</formula>
    </cfRule>
    <cfRule type="cellIs" dxfId="4417" priority="4119" operator="equal">
      <formula>0</formula>
    </cfRule>
    <cfRule type="cellIs" dxfId="4416" priority="4120" operator="greaterThan">
      <formula>0</formula>
    </cfRule>
  </conditionalFormatting>
  <conditionalFormatting sqref="O49">
    <cfRule type="cellIs" dxfId="4415" priority="4113" operator="equal">
      <formula>"PMS"</formula>
    </cfRule>
    <cfRule type="containsText" dxfId="4414" priority="4114" operator="containsText" text="CMS">
      <formula>NOT(ISERROR(SEARCH("CMS",O49)))</formula>
    </cfRule>
    <cfRule type="cellIs" dxfId="4413" priority="4115" operator="equal">
      <formula>0</formula>
    </cfRule>
    <cfRule type="cellIs" dxfId="4412" priority="4116" operator="greaterThan">
      <formula>0</formula>
    </cfRule>
  </conditionalFormatting>
  <conditionalFormatting sqref="O49">
    <cfRule type="cellIs" dxfId="4411" priority="4109" operator="equal">
      <formula>"PMS"</formula>
    </cfRule>
    <cfRule type="containsText" dxfId="4410" priority="4110" operator="containsText" text="CMS">
      <formula>NOT(ISERROR(SEARCH("CMS",O49)))</formula>
    </cfRule>
    <cfRule type="cellIs" dxfId="4409" priority="4111" operator="equal">
      <formula>0</formula>
    </cfRule>
    <cfRule type="cellIs" dxfId="4408" priority="4112" operator="greaterThan">
      <formula>0</formula>
    </cfRule>
  </conditionalFormatting>
  <conditionalFormatting sqref="O49">
    <cfRule type="cellIs" dxfId="4407" priority="4105" operator="equal">
      <formula>"PMS"</formula>
    </cfRule>
    <cfRule type="containsText" dxfId="4406" priority="4106" operator="containsText" text="CMS">
      <formula>NOT(ISERROR(SEARCH("CMS",O49)))</formula>
    </cfRule>
    <cfRule type="cellIs" dxfId="4405" priority="4107" operator="equal">
      <formula>0</formula>
    </cfRule>
    <cfRule type="cellIs" dxfId="4404" priority="4108" operator="greaterThan">
      <formula>0</formula>
    </cfRule>
  </conditionalFormatting>
  <conditionalFormatting sqref="O49">
    <cfRule type="cellIs" dxfId="4403" priority="4101" operator="equal">
      <formula>"PMS"</formula>
    </cfRule>
    <cfRule type="containsText" dxfId="4402" priority="4102" operator="containsText" text="CMS">
      <formula>NOT(ISERROR(SEARCH("CMS",O49)))</formula>
    </cfRule>
    <cfRule type="cellIs" dxfId="4401" priority="4103" operator="equal">
      <formula>0</formula>
    </cfRule>
    <cfRule type="cellIs" dxfId="4400" priority="4104" operator="greaterThan">
      <formula>0</formula>
    </cfRule>
  </conditionalFormatting>
  <conditionalFormatting sqref="O49">
    <cfRule type="cellIs" dxfId="4399" priority="4097" operator="equal">
      <formula>"PMS"</formula>
    </cfRule>
    <cfRule type="containsText" dxfId="4398" priority="4098" operator="containsText" text="CMS">
      <formula>NOT(ISERROR(SEARCH("CMS",O49)))</formula>
    </cfRule>
    <cfRule type="cellIs" dxfId="4397" priority="4099" operator="equal">
      <formula>0</formula>
    </cfRule>
    <cfRule type="cellIs" dxfId="4396" priority="4100" operator="greaterThan">
      <formula>0</formula>
    </cfRule>
  </conditionalFormatting>
  <conditionalFormatting sqref="O49">
    <cfRule type="cellIs" dxfId="4395" priority="4093" operator="equal">
      <formula>"PMS"</formula>
    </cfRule>
    <cfRule type="containsText" dxfId="4394" priority="4094" operator="containsText" text="CMS">
      <formula>NOT(ISERROR(SEARCH("CMS",O49)))</formula>
    </cfRule>
    <cfRule type="cellIs" dxfId="4393" priority="4095" operator="equal">
      <formula>0</formula>
    </cfRule>
    <cfRule type="cellIs" dxfId="4392" priority="4096" operator="greaterThan">
      <formula>0</formula>
    </cfRule>
  </conditionalFormatting>
  <conditionalFormatting sqref="O49">
    <cfRule type="cellIs" dxfId="4391" priority="4089" operator="equal">
      <formula>"PMS"</formula>
    </cfRule>
    <cfRule type="containsText" dxfId="4390" priority="4090" operator="containsText" text="CMS">
      <formula>NOT(ISERROR(SEARCH("CMS",O49)))</formula>
    </cfRule>
    <cfRule type="cellIs" dxfId="4389" priority="4091" operator="equal">
      <formula>0</formula>
    </cfRule>
    <cfRule type="cellIs" dxfId="4388" priority="4092" operator="greaterThan">
      <formula>0</formula>
    </cfRule>
  </conditionalFormatting>
  <conditionalFormatting sqref="O49">
    <cfRule type="cellIs" dxfId="4387" priority="4085" operator="equal">
      <formula>"PMS"</formula>
    </cfRule>
    <cfRule type="containsText" dxfId="4386" priority="4086" operator="containsText" text="CMS">
      <formula>NOT(ISERROR(SEARCH("CMS",O49)))</formula>
    </cfRule>
    <cfRule type="cellIs" dxfId="4385" priority="4087" operator="equal">
      <formula>0</formula>
    </cfRule>
    <cfRule type="cellIs" dxfId="4384" priority="4088" operator="greaterThan">
      <formula>0</formula>
    </cfRule>
  </conditionalFormatting>
  <conditionalFormatting sqref="O49">
    <cfRule type="cellIs" dxfId="4383" priority="4081" operator="equal">
      <formula>"PMS"</formula>
    </cfRule>
    <cfRule type="containsText" dxfId="4382" priority="4082" operator="containsText" text="CMS">
      <formula>NOT(ISERROR(SEARCH("CMS",O49)))</formula>
    </cfRule>
    <cfRule type="cellIs" dxfId="4381" priority="4083" operator="equal">
      <formula>0</formula>
    </cfRule>
    <cfRule type="cellIs" dxfId="4380" priority="4084" operator="greaterThan">
      <formula>0</formula>
    </cfRule>
  </conditionalFormatting>
  <conditionalFormatting sqref="O49">
    <cfRule type="cellIs" dxfId="4379" priority="4077" operator="equal">
      <formula>"PMS"</formula>
    </cfRule>
    <cfRule type="containsText" dxfId="4378" priority="4078" operator="containsText" text="CMS">
      <formula>NOT(ISERROR(SEARCH("CMS",O49)))</formula>
    </cfRule>
    <cfRule type="cellIs" dxfId="4377" priority="4079" operator="equal">
      <formula>0</formula>
    </cfRule>
    <cfRule type="cellIs" dxfId="4376" priority="4080" operator="greaterThan">
      <formula>0</formula>
    </cfRule>
  </conditionalFormatting>
  <conditionalFormatting sqref="O49">
    <cfRule type="cellIs" dxfId="4375" priority="4073" operator="equal">
      <formula>"PMS"</formula>
    </cfRule>
    <cfRule type="containsText" dxfId="4374" priority="4074" operator="containsText" text="CMS">
      <formula>NOT(ISERROR(SEARCH("CMS",O49)))</formula>
    </cfRule>
    <cfRule type="cellIs" dxfId="4373" priority="4075" operator="equal">
      <formula>0</formula>
    </cfRule>
    <cfRule type="cellIs" dxfId="4372" priority="4076" operator="greaterThan">
      <formula>0</formula>
    </cfRule>
  </conditionalFormatting>
  <conditionalFormatting sqref="O49">
    <cfRule type="cellIs" dxfId="4371" priority="4069" operator="equal">
      <formula>"PMS"</formula>
    </cfRule>
    <cfRule type="containsText" dxfId="4370" priority="4070" operator="containsText" text="CMS">
      <formula>NOT(ISERROR(SEARCH("CMS",O49)))</formula>
    </cfRule>
    <cfRule type="cellIs" dxfId="4369" priority="4071" operator="equal">
      <formula>0</formula>
    </cfRule>
    <cfRule type="cellIs" dxfId="4368" priority="4072" operator="greaterThan">
      <formula>0</formula>
    </cfRule>
  </conditionalFormatting>
  <conditionalFormatting sqref="O49">
    <cfRule type="cellIs" dxfId="4367" priority="4065" operator="equal">
      <formula>"PMS"</formula>
    </cfRule>
    <cfRule type="containsText" dxfId="4366" priority="4066" operator="containsText" text="CMS">
      <formula>NOT(ISERROR(SEARCH("CMS",O49)))</formula>
    </cfRule>
    <cfRule type="cellIs" dxfId="4365" priority="4067" operator="equal">
      <formula>0</formula>
    </cfRule>
    <cfRule type="cellIs" dxfId="4364" priority="4068" operator="greaterThan">
      <formula>0</formula>
    </cfRule>
  </conditionalFormatting>
  <conditionalFormatting sqref="O49">
    <cfRule type="cellIs" dxfId="4363" priority="4061" operator="equal">
      <formula>"PMS"</formula>
    </cfRule>
    <cfRule type="containsText" dxfId="4362" priority="4062" operator="containsText" text="CMS">
      <formula>NOT(ISERROR(SEARCH("CMS",O49)))</formula>
    </cfRule>
    <cfRule type="cellIs" dxfId="4361" priority="4063" operator="equal">
      <formula>0</formula>
    </cfRule>
    <cfRule type="cellIs" dxfId="4360" priority="4064" operator="greaterThan">
      <formula>0</formula>
    </cfRule>
  </conditionalFormatting>
  <conditionalFormatting sqref="O49">
    <cfRule type="cellIs" dxfId="4359" priority="4057" operator="equal">
      <formula>"PMS"</formula>
    </cfRule>
    <cfRule type="containsText" dxfId="4358" priority="4058" operator="containsText" text="CMS">
      <formula>NOT(ISERROR(SEARCH("CMS",O49)))</formula>
    </cfRule>
    <cfRule type="cellIs" dxfId="4357" priority="4059" operator="equal">
      <formula>0</formula>
    </cfRule>
    <cfRule type="cellIs" dxfId="4356" priority="4060" operator="greaterThan">
      <formula>0</formula>
    </cfRule>
  </conditionalFormatting>
  <conditionalFormatting sqref="O49">
    <cfRule type="cellIs" dxfId="4355" priority="4053" operator="equal">
      <formula>"PMS"</formula>
    </cfRule>
    <cfRule type="containsText" dxfId="4354" priority="4054" operator="containsText" text="CMS">
      <formula>NOT(ISERROR(SEARCH("CMS",O49)))</formula>
    </cfRule>
    <cfRule type="cellIs" dxfId="4353" priority="4055" operator="equal">
      <formula>0</formula>
    </cfRule>
    <cfRule type="cellIs" dxfId="4352" priority="4056" operator="greaterThan">
      <formula>0</formula>
    </cfRule>
  </conditionalFormatting>
  <conditionalFormatting sqref="O49">
    <cfRule type="cellIs" dxfId="4351" priority="4049" operator="equal">
      <formula>"PMS"</formula>
    </cfRule>
    <cfRule type="containsText" dxfId="4350" priority="4050" operator="containsText" text="CMS">
      <formula>NOT(ISERROR(SEARCH("CMS",O49)))</formula>
    </cfRule>
    <cfRule type="cellIs" dxfId="4349" priority="4051" operator="equal">
      <formula>0</formula>
    </cfRule>
    <cfRule type="cellIs" dxfId="4348" priority="4052" operator="greaterThan">
      <formula>0</formula>
    </cfRule>
  </conditionalFormatting>
  <conditionalFormatting sqref="O49">
    <cfRule type="cellIs" dxfId="4347" priority="4045" operator="equal">
      <formula>"PMS"</formula>
    </cfRule>
    <cfRule type="containsText" dxfId="4346" priority="4046" operator="containsText" text="CMS">
      <formula>NOT(ISERROR(SEARCH("CMS",O49)))</formula>
    </cfRule>
    <cfRule type="cellIs" dxfId="4345" priority="4047" operator="equal">
      <formula>0</formula>
    </cfRule>
    <cfRule type="cellIs" dxfId="4344" priority="4048" operator="greaterThan">
      <formula>0</formula>
    </cfRule>
  </conditionalFormatting>
  <conditionalFormatting sqref="O49">
    <cfRule type="cellIs" dxfId="4343" priority="4041" operator="equal">
      <formula>"PMS"</formula>
    </cfRule>
    <cfRule type="containsText" dxfId="4342" priority="4042" operator="containsText" text="CMS">
      <formula>NOT(ISERROR(SEARCH("CMS",O49)))</formula>
    </cfRule>
    <cfRule type="cellIs" dxfId="4341" priority="4043" operator="equal">
      <formula>0</formula>
    </cfRule>
    <cfRule type="cellIs" dxfId="4340" priority="4044" operator="greaterThan">
      <formula>0</formula>
    </cfRule>
  </conditionalFormatting>
  <conditionalFormatting sqref="O49">
    <cfRule type="cellIs" dxfId="4339" priority="4037" operator="equal">
      <formula>"PMS"</formula>
    </cfRule>
    <cfRule type="containsText" dxfId="4338" priority="4038" operator="containsText" text="CMS">
      <formula>NOT(ISERROR(SEARCH("CMS",O49)))</formula>
    </cfRule>
    <cfRule type="cellIs" dxfId="4337" priority="4039" operator="equal">
      <formula>0</formula>
    </cfRule>
    <cfRule type="cellIs" dxfId="4336" priority="4040" operator="greaterThan">
      <formula>0</formula>
    </cfRule>
  </conditionalFormatting>
  <conditionalFormatting sqref="O49">
    <cfRule type="cellIs" dxfId="4335" priority="4033" operator="equal">
      <formula>"PMS"</formula>
    </cfRule>
    <cfRule type="containsText" dxfId="4334" priority="4034" operator="containsText" text="CMS">
      <formula>NOT(ISERROR(SEARCH("CMS",O49)))</formula>
    </cfRule>
    <cfRule type="cellIs" dxfId="4333" priority="4035" operator="equal">
      <formula>0</formula>
    </cfRule>
    <cfRule type="cellIs" dxfId="4332" priority="4036" operator="greaterThan">
      <formula>0</formula>
    </cfRule>
  </conditionalFormatting>
  <conditionalFormatting sqref="O49">
    <cfRule type="cellIs" dxfId="4331" priority="4029" operator="equal">
      <formula>"PMS"</formula>
    </cfRule>
    <cfRule type="containsText" dxfId="4330" priority="4030" operator="containsText" text="CMS">
      <formula>NOT(ISERROR(SEARCH("CMS",O49)))</formula>
    </cfRule>
    <cfRule type="cellIs" dxfId="4329" priority="4031" operator="equal">
      <formula>0</formula>
    </cfRule>
    <cfRule type="cellIs" dxfId="4328" priority="4032" operator="greaterThan">
      <formula>0</formula>
    </cfRule>
  </conditionalFormatting>
  <conditionalFormatting sqref="O49">
    <cfRule type="cellIs" dxfId="4327" priority="4025" operator="equal">
      <formula>"PMS"</formula>
    </cfRule>
    <cfRule type="containsText" dxfId="4326" priority="4026" operator="containsText" text="CMS">
      <formula>NOT(ISERROR(SEARCH("CMS",O49)))</formula>
    </cfRule>
    <cfRule type="cellIs" dxfId="4325" priority="4027" operator="equal">
      <formula>0</formula>
    </cfRule>
    <cfRule type="cellIs" dxfId="4324" priority="4028" operator="greaterThan">
      <formula>0</formula>
    </cfRule>
  </conditionalFormatting>
  <conditionalFormatting sqref="O49">
    <cfRule type="cellIs" dxfId="4323" priority="4021" operator="equal">
      <formula>"PMS"</formula>
    </cfRule>
    <cfRule type="containsText" dxfId="4322" priority="4022" operator="containsText" text="CMS">
      <formula>NOT(ISERROR(SEARCH("CMS",O49)))</formula>
    </cfRule>
    <cfRule type="cellIs" dxfId="4321" priority="4023" operator="equal">
      <formula>0</formula>
    </cfRule>
    <cfRule type="cellIs" dxfId="4320" priority="4024" operator="greaterThan">
      <formula>0</formula>
    </cfRule>
  </conditionalFormatting>
  <conditionalFormatting sqref="O49">
    <cfRule type="cellIs" dxfId="4319" priority="4017" operator="equal">
      <formula>"PMS"</formula>
    </cfRule>
    <cfRule type="containsText" dxfId="4318" priority="4018" operator="containsText" text="CMS">
      <formula>NOT(ISERROR(SEARCH("CMS",O49)))</formula>
    </cfRule>
    <cfRule type="cellIs" dxfId="4317" priority="4019" operator="equal">
      <formula>0</formula>
    </cfRule>
    <cfRule type="cellIs" dxfId="4316" priority="4020" operator="greaterThan">
      <formula>0</formula>
    </cfRule>
  </conditionalFormatting>
  <conditionalFormatting sqref="O49">
    <cfRule type="cellIs" dxfId="4315" priority="4013" operator="equal">
      <formula>"PMS"</formula>
    </cfRule>
    <cfRule type="containsText" dxfId="4314" priority="4014" operator="containsText" text="CMS">
      <formula>NOT(ISERROR(SEARCH("CMS",O49)))</formula>
    </cfRule>
    <cfRule type="cellIs" dxfId="4313" priority="4015" operator="equal">
      <formula>0</formula>
    </cfRule>
    <cfRule type="cellIs" dxfId="4312" priority="4016" operator="greaterThan">
      <formula>0</formula>
    </cfRule>
  </conditionalFormatting>
  <conditionalFormatting sqref="O49">
    <cfRule type="cellIs" dxfId="4311" priority="4009" operator="equal">
      <formula>"PMS"</formula>
    </cfRule>
    <cfRule type="containsText" dxfId="4310" priority="4010" operator="containsText" text="CMS">
      <formula>NOT(ISERROR(SEARCH("CMS",O49)))</formula>
    </cfRule>
    <cfRule type="cellIs" dxfId="4309" priority="4011" operator="equal">
      <formula>0</formula>
    </cfRule>
    <cfRule type="cellIs" dxfId="4308" priority="4012" operator="greaterThan">
      <formula>0</formula>
    </cfRule>
  </conditionalFormatting>
  <conditionalFormatting sqref="O49">
    <cfRule type="cellIs" dxfId="4307" priority="4005" operator="equal">
      <formula>"PMS"</formula>
    </cfRule>
    <cfRule type="containsText" dxfId="4306" priority="4006" operator="containsText" text="CMS">
      <formula>NOT(ISERROR(SEARCH("CMS",O49)))</formula>
    </cfRule>
    <cfRule type="cellIs" dxfId="4305" priority="4007" operator="equal">
      <formula>0</formula>
    </cfRule>
    <cfRule type="cellIs" dxfId="4304" priority="4008" operator="greaterThan">
      <formula>0</formula>
    </cfRule>
  </conditionalFormatting>
  <conditionalFormatting sqref="O49">
    <cfRule type="cellIs" dxfId="4303" priority="4001" operator="equal">
      <formula>"PMS"</formula>
    </cfRule>
    <cfRule type="containsText" dxfId="4302" priority="4002" operator="containsText" text="CMS">
      <formula>NOT(ISERROR(SEARCH("CMS",O49)))</formula>
    </cfRule>
    <cfRule type="cellIs" dxfId="4301" priority="4003" operator="equal">
      <formula>0</formula>
    </cfRule>
    <cfRule type="cellIs" dxfId="4300" priority="4004" operator="greaterThan">
      <formula>0</formula>
    </cfRule>
  </conditionalFormatting>
  <conditionalFormatting sqref="O49">
    <cfRule type="cellIs" dxfId="4299" priority="3997" operator="equal">
      <formula>"PMS"</formula>
    </cfRule>
    <cfRule type="containsText" dxfId="4298" priority="3998" operator="containsText" text="CMS">
      <formula>NOT(ISERROR(SEARCH("CMS",O49)))</formula>
    </cfRule>
    <cfRule type="cellIs" dxfId="4297" priority="3999" operator="equal">
      <formula>0</formula>
    </cfRule>
    <cfRule type="cellIs" dxfId="4296" priority="4000" operator="greaterThan">
      <formula>0</formula>
    </cfRule>
  </conditionalFormatting>
  <conditionalFormatting sqref="O49">
    <cfRule type="cellIs" dxfId="4295" priority="3993" operator="equal">
      <formula>"PMS"</formula>
    </cfRule>
    <cfRule type="containsText" dxfId="4294" priority="3994" operator="containsText" text="CMS">
      <formula>NOT(ISERROR(SEARCH("CMS",O49)))</formula>
    </cfRule>
    <cfRule type="cellIs" dxfId="4293" priority="3995" operator="equal">
      <formula>0</formula>
    </cfRule>
    <cfRule type="cellIs" dxfId="4292" priority="3996" operator="greaterThan">
      <formula>0</formula>
    </cfRule>
  </conditionalFormatting>
  <conditionalFormatting sqref="O49">
    <cfRule type="cellIs" dxfId="4291" priority="3989" operator="equal">
      <formula>"PMS"</formula>
    </cfRule>
    <cfRule type="containsText" dxfId="4290" priority="3990" operator="containsText" text="CMS">
      <formula>NOT(ISERROR(SEARCH("CMS",O49)))</formula>
    </cfRule>
    <cfRule type="cellIs" dxfId="4289" priority="3991" operator="equal">
      <formula>0</formula>
    </cfRule>
    <cfRule type="cellIs" dxfId="4288" priority="3992" operator="greaterThan">
      <formula>0</formula>
    </cfRule>
  </conditionalFormatting>
  <conditionalFormatting sqref="O49">
    <cfRule type="cellIs" dxfId="4287" priority="3985" operator="equal">
      <formula>"PMS"</formula>
    </cfRule>
    <cfRule type="containsText" dxfId="4286" priority="3986" operator="containsText" text="CMS">
      <formula>NOT(ISERROR(SEARCH("CMS",O49)))</formula>
    </cfRule>
    <cfRule type="cellIs" dxfId="4285" priority="3987" operator="equal">
      <formula>0</formula>
    </cfRule>
    <cfRule type="cellIs" dxfId="4284" priority="3988" operator="greaterThan">
      <formula>0</formula>
    </cfRule>
  </conditionalFormatting>
  <conditionalFormatting sqref="O49">
    <cfRule type="cellIs" dxfId="4283" priority="3981" operator="equal">
      <formula>"PMS"</formula>
    </cfRule>
    <cfRule type="containsText" dxfId="4282" priority="3982" operator="containsText" text="CMS">
      <formula>NOT(ISERROR(SEARCH("CMS",O49)))</formula>
    </cfRule>
    <cfRule type="cellIs" dxfId="4281" priority="3983" operator="equal">
      <formula>0</formula>
    </cfRule>
    <cfRule type="cellIs" dxfId="4280" priority="3984" operator="greaterThan">
      <formula>0</formula>
    </cfRule>
  </conditionalFormatting>
  <conditionalFormatting sqref="O49">
    <cfRule type="cellIs" dxfId="4279" priority="3977" operator="equal">
      <formula>"PMS"</formula>
    </cfRule>
    <cfRule type="containsText" dxfId="4278" priority="3978" operator="containsText" text="CMS">
      <formula>NOT(ISERROR(SEARCH("CMS",O49)))</formula>
    </cfRule>
    <cfRule type="cellIs" dxfId="4277" priority="3979" operator="equal">
      <formula>0</formula>
    </cfRule>
    <cfRule type="cellIs" dxfId="4276" priority="3980" operator="greaterThan">
      <formula>0</formula>
    </cfRule>
  </conditionalFormatting>
  <conditionalFormatting sqref="O49">
    <cfRule type="cellIs" dxfId="4275" priority="3973" operator="equal">
      <formula>"PMS"</formula>
    </cfRule>
    <cfRule type="containsText" dxfId="4274" priority="3974" operator="containsText" text="CMS">
      <formula>NOT(ISERROR(SEARCH("CMS",O49)))</formula>
    </cfRule>
    <cfRule type="cellIs" dxfId="4273" priority="3975" operator="equal">
      <formula>0</formula>
    </cfRule>
    <cfRule type="cellIs" dxfId="4272" priority="3976" operator="greaterThan">
      <formula>0</formula>
    </cfRule>
  </conditionalFormatting>
  <conditionalFormatting sqref="O49">
    <cfRule type="cellIs" dxfId="4271" priority="3969" operator="equal">
      <formula>"PMS"</formula>
    </cfRule>
    <cfRule type="containsText" dxfId="4270" priority="3970" operator="containsText" text="CMS">
      <formula>NOT(ISERROR(SEARCH("CMS",O49)))</formula>
    </cfRule>
    <cfRule type="cellIs" dxfId="4269" priority="3971" operator="equal">
      <formula>0</formula>
    </cfRule>
    <cfRule type="cellIs" dxfId="4268" priority="3972" operator="greaterThan">
      <formula>0</formula>
    </cfRule>
  </conditionalFormatting>
  <conditionalFormatting sqref="O49">
    <cfRule type="cellIs" dxfId="4267" priority="3965" operator="equal">
      <formula>"PMS"</formula>
    </cfRule>
    <cfRule type="containsText" dxfId="4266" priority="3966" operator="containsText" text="CMS">
      <formula>NOT(ISERROR(SEARCH("CMS",O49)))</formula>
    </cfRule>
    <cfRule type="cellIs" dxfId="4265" priority="3967" operator="equal">
      <formula>0</formula>
    </cfRule>
    <cfRule type="cellIs" dxfId="4264" priority="3968" operator="greaterThan">
      <formula>0</formula>
    </cfRule>
  </conditionalFormatting>
  <conditionalFormatting sqref="O49">
    <cfRule type="cellIs" dxfId="4263" priority="3961" operator="equal">
      <formula>"PMS"</formula>
    </cfRule>
    <cfRule type="containsText" dxfId="4262" priority="3962" operator="containsText" text="CMS">
      <formula>NOT(ISERROR(SEARCH("CMS",O49)))</formula>
    </cfRule>
    <cfRule type="cellIs" dxfId="4261" priority="3963" operator="equal">
      <formula>0</formula>
    </cfRule>
    <cfRule type="cellIs" dxfId="4260" priority="3964" operator="greaterThan">
      <formula>0</formula>
    </cfRule>
  </conditionalFormatting>
  <conditionalFormatting sqref="O49">
    <cfRule type="cellIs" dxfId="4259" priority="3957" operator="equal">
      <formula>"PMS"</formula>
    </cfRule>
    <cfRule type="containsText" dxfId="4258" priority="3958" operator="containsText" text="CMS">
      <formula>NOT(ISERROR(SEARCH("CMS",O49)))</formula>
    </cfRule>
    <cfRule type="cellIs" dxfId="4257" priority="3959" operator="equal">
      <formula>0</formula>
    </cfRule>
    <cfRule type="cellIs" dxfId="4256" priority="3960" operator="greaterThan">
      <formula>0</formula>
    </cfRule>
  </conditionalFormatting>
  <conditionalFormatting sqref="O49">
    <cfRule type="cellIs" dxfId="4255" priority="3953" operator="equal">
      <formula>"PMS"</formula>
    </cfRule>
    <cfRule type="containsText" dxfId="4254" priority="3954" operator="containsText" text="CMS">
      <formula>NOT(ISERROR(SEARCH("CMS",O49)))</formula>
    </cfRule>
    <cfRule type="cellIs" dxfId="4253" priority="3955" operator="equal">
      <formula>0</formula>
    </cfRule>
    <cfRule type="cellIs" dxfId="4252" priority="3956" operator="greaterThan">
      <formula>0</formula>
    </cfRule>
  </conditionalFormatting>
  <conditionalFormatting sqref="O49">
    <cfRule type="cellIs" dxfId="4251" priority="3949" operator="equal">
      <formula>"PMS"</formula>
    </cfRule>
    <cfRule type="containsText" dxfId="4250" priority="3950" operator="containsText" text="CMS">
      <formula>NOT(ISERROR(SEARCH("CMS",O49)))</formula>
    </cfRule>
    <cfRule type="cellIs" dxfId="4249" priority="3951" operator="equal">
      <formula>0</formula>
    </cfRule>
    <cfRule type="cellIs" dxfId="4248" priority="3952" operator="greaterThan">
      <formula>0</formula>
    </cfRule>
  </conditionalFormatting>
  <conditionalFormatting sqref="O49">
    <cfRule type="cellIs" dxfId="4247" priority="3945" operator="equal">
      <formula>"PMS"</formula>
    </cfRule>
    <cfRule type="containsText" dxfId="4246" priority="3946" operator="containsText" text="CMS">
      <formula>NOT(ISERROR(SEARCH("CMS",O49)))</formula>
    </cfRule>
    <cfRule type="cellIs" dxfId="4245" priority="3947" operator="equal">
      <formula>0</formula>
    </cfRule>
    <cfRule type="cellIs" dxfId="4244" priority="3948" operator="greaterThan">
      <formula>0</formula>
    </cfRule>
  </conditionalFormatting>
  <conditionalFormatting sqref="O49">
    <cfRule type="cellIs" dxfId="4243" priority="3941" operator="equal">
      <formula>"PMS"</formula>
    </cfRule>
    <cfRule type="containsText" dxfId="4242" priority="3942" operator="containsText" text="CMS">
      <formula>NOT(ISERROR(SEARCH("CMS",O49)))</formula>
    </cfRule>
    <cfRule type="cellIs" dxfId="4241" priority="3943" operator="equal">
      <formula>0</formula>
    </cfRule>
    <cfRule type="cellIs" dxfId="4240" priority="3944" operator="greaterThan">
      <formula>0</formula>
    </cfRule>
  </conditionalFormatting>
  <conditionalFormatting sqref="O49">
    <cfRule type="cellIs" dxfId="4239" priority="3937" operator="equal">
      <formula>"PMS"</formula>
    </cfRule>
    <cfRule type="containsText" dxfId="4238" priority="3938" operator="containsText" text="CMS">
      <formula>NOT(ISERROR(SEARCH("CMS",O49)))</formula>
    </cfRule>
    <cfRule type="cellIs" dxfId="4237" priority="3939" operator="equal">
      <formula>0</formula>
    </cfRule>
    <cfRule type="cellIs" dxfId="4236" priority="3940" operator="greaterThan">
      <formula>0</formula>
    </cfRule>
  </conditionalFormatting>
  <conditionalFormatting sqref="O49">
    <cfRule type="cellIs" dxfId="4235" priority="3933" operator="equal">
      <formula>"PMS"</formula>
    </cfRule>
    <cfRule type="containsText" dxfId="4234" priority="3934" operator="containsText" text="CMS">
      <formula>NOT(ISERROR(SEARCH("CMS",O49)))</formula>
    </cfRule>
    <cfRule type="cellIs" dxfId="4233" priority="3935" operator="equal">
      <formula>0</formula>
    </cfRule>
    <cfRule type="cellIs" dxfId="4232" priority="3936" operator="greaterThan">
      <formula>0</formula>
    </cfRule>
  </conditionalFormatting>
  <conditionalFormatting sqref="O49">
    <cfRule type="cellIs" dxfId="4231" priority="3929" operator="equal">
      <formula>"PMS"</formula>
    </cfRule>
    <cfRule type="containsText" dxfId="4230" priority="3930" operator="containsText" text="CMS">
      <formula>NOT(ISERROR(SEARCH("CMS",O49)))</formula>
    </cfRule>
    <cfRule type="cellIs" dxfId="4229" priority="3931" operator="equal">
      <formula>0</formula>
    </cfRule>
    <cfRule type="cellIs" dxfId="4228" priority="3932" operator="greaterThan">
      <formula>0</formula>
    </cfRule>
  </conditionalFormatting>
  <conditionalFormatting sqref="O49">
    <cfRule type="cellIs" dxfId="4227" priority="3925" operator="equal">
      <formula>"PMS"</formula>
    </cfRule>
    <cfRule type="containsText" dxfId="4226" priority="3926" operator="containsText" text="CMS">
      <formula>NOT(ISERROR(SEARCH("CMS",O49)))</formula>
    </cfRule>
    <cfRule type="cellIs" dxfId="4225" priority="3927" operator="equal">
      <formula>0</formula>
    </cfRule>
    <cfRule type="cellIs" dxfId="4224" priority="3928" operator="greaterThan">
      <formula>0</formula>
    </cfRule>
  </conditionalFormatting>
  <conditionalFormatting sqref="O49">
    <cfRule type="cellIs" dxfId="4223" priority="3921" operator="equal">
      <formula>"PMS"</formula>
    </cfRule>
    <cfRule type="containsText" dxfId="4222" priority="3922" operator="containsText" text="CMS">
      <formula>NOT(ISERROR(SEARCH("CMS",O49)))</formula>
    </cfRule>
    <cfRule type="cellIs" dxfId="4221" priority="3923" operator="equal">
      <formula>0</formula>
    </cfRule>
    <cfRule type="cellIs" dxfId="4220" priority="3924" operator="greaterThan">
      <formula>0</formula>
    </cfRule>
  </conditionalFormatting>
  <conditionalFormatting sqref="O49">
    <cfRule type="cellIs" dxfId="4219" priority="3917" operator="equal">
      <formula>"PMS"</formula>
    </cfRule>
    <cfRule type="containsText" dxfId="4218" priority="3918" operator="containsText" text="CMS">
      <formula>NOT(ISERROR(SEARCH("CMS",O49)))</formula>
    </cfRule>
    <cfRule type="cellIs" dxfId="4217" priority="3919" operator="equal">
      <formula>0</formula>
    </cfRule>
    <cfRule type="cellIs" dxfId="4216" priority="3920" operator="greaterThan">
      <formula>0</formula>
    </cfRule>
  </conditionalFormatting>
  <conditionalFormatting sqref="O49">
    <cfRule type="cellIs" dxfId="4215" priority="3913" operator="equal">
      <formula>"PMS"</formula>
    </cfRule>
    <cfRule type="containsText" dxfId="4214" priority="3914" operator="containsText" text="CMS">
      <formula>NOT(ISERROR(SEARCH("CMS",O49)))</formula>
    </cfRule>
    <cfRule type="cellIs" dxfId="4213" priority="3915" operator="equal">
      <formula>0</formula>
    </cfRule>
    <cfRule type="cellIs" dxfId="4212" priority="3916" operator="greaterThan">
      <formula>0</formula>
    </cfRule>
  </conditionalFormatting>
  <conditionalFormatting sqref="O49">
    <cfRule type="cellIs" dxfId="4211" priority="3909" operator="equal">
      <formula>"PMS"</formula>
    </cfRule>
    <cfRule type="containsText" dxfId="4210" priority="3910" operator="containsText" text="CMS">
      <formula>NOT(ISERROR(SEARCH("CMS",O49)))</formula>
    </cfRule>
    <cfRule type="cellIs" dxfId="4209" priority="3911" operator="equal">
      <formula>0</formula>
    </cfRule>
    <cfRule type="cellIs" dxfId="4208" priority="3912" operator="greaterThan">
      <formula>0</formula>
    </cfRule>
  </conditionalFormatting>
  <conditionalFormatting sqref="O49">
    <cfRule type="cellIs" dxfId="4207" priority="3905" operator="equal">
      <formula>"PMS"</formula>
    </cfRule>
    <cfRule type="containsText" dxfId="4206" priority="3906" operator="containsText" text="CMS">
      <formula>NOT(ISERROR(SEARCH("CMS",O49)))</formula>
    </cfRule>
    <cfRule type="cellIs" dxfId="4205" priority="3907" operator="equal">
      <formula>0</formula>
    </cfRule>
    <cfRule type="cellIs" dxfId="4204" priority="3908" operator="greaterThan">
      <formula>0</formula>
    </cfRule>
  </conditionalFormatting>
  <conditionalFormatting sqref="O49">
    <cfRule type="cellIs" dxfId="4203" priority="3901" operator="equal">
      <formula>"PMS"</formula>
    </cfRule>
    <cfRule type="containsText" dxfId="4202" priority="3902" operator="containsText" text="CMS">
      <formula>NOT(ISERROR(SEARCH("CMS",O49)))</formula>
    </cfRule>
    <cfRule type="cellIs" dxfId="4201" priority="3903" operator="equal">
      <formula>0</formula>
    </cfRule>
    <cfRule type="cellIs" dxfId="4200" priority="3904" operator="greaterThan">
      <formula>0</formula>
    </cfRule>
  </conditionalFormatting>
  <conditionalFormatting sqref="O49">
    <cfRule type="cellIs" dxfId="4199" priority="3897" operator="equal">
      <formula>"PMS"</formula>
    </cfRule>
    <cfRule type="containsText" dxfId="4198" priority="3898" operator="containsText" text="CMS">
      <formula>NOT(ISERROR(SEARCH("CMS",O49)))</formula>
    </cfRule>
    <cfRule type="cellIs" dxfId="4197" priority="3899" operator="equal">
      <formula>0</formula>
    </cfRule>
    <cfRule type="cellIs" dxfId="4196" priority="3900" operator="greaterThan">
      <formula>0</formula>
    </cfRule>
  </conditionalFormatting>
  <conditionalFormatting sqref="O49">
    <cfRule type="cellIs" dxfId="4195" priority="3893" operator="equal">
      <formula>"PMS"</formula>
    </cfRule>
    <cfRule type="containsText" dxfId="4194" priority="3894" operator="containsText" text="CMS">
      <formula>NOT(ISERROR(SEARCH("CMS",O49)))</formula>
    </cfRule>
    <cfRule type="cellIs" dxfId="4193" priority="3895" operator="equal">
      <formula>0</formula>
    </cfRule>
    <cfRule type="cellIs" dxfId="4192" priority="3896" operator="greaterThan">
      <formula>0</formula>
    </cfRule>
  </conditionalFormatting>
  <conditionalFormatting sqref="O49">
    <cfRule type="cellIs" dxfId="4191" priority="3889" operator="equal">
      <formula>"PMS"</formula>
    </cfRule>
    <cfRule type="containsText" dxfId="4190" priority="3890" operator="containsText" text="CMS">
      <formula>NOT(ISERROR(SEARCH("CMS",O49)))</formula>
    </cfRule>
    <cfRule type="cellIs" dxfId="4189" priority="3891" operator="equal">
      <formula>0</formula>
    </cfRule>
    <cfRule type="cellIs" dxfId="4188" priority="3892" operator="greaterThan">
      <formula>0</formula>
    </cfRule>
  </conditionalFormatting>
  <conditionalFormatting sqref="O49">
    <cfRule type="cellIs" dxfId="4187" priority="3885" operator="equal">
      <formula>"PMS"</formula>
    </cfRule>
    <cfRule type="containsText" dxfId="4186" priority="3886" operator="containsText" text="CMS">
      <formula>NOT(ISERROR(SEARCH("CMS",O49)))</formula>
    </cfRule>
    <cfRule type="cellIs" dxfId="4185" priority="3887" operator="equal">
      <formula>0</formula>
    </cfRule>
    <cfRule type="cellIs" dxfId="4184" priority="3888" operator="greaterThan">
      <formula>0</formula>
    </cfRule>
  </conditionalFormatting>
  <conditionalFormatting sqref="O49">
    <cfRule type="cellIs" dxfId="4183" priority="3881" operator="equal">
      <formula>"PMS"</formula>
    </cfRule>
    <cfRule type="containsText" dxfId="4182" priority="3882" operator="containsText" text="CMS">
      <formula>NOT(ISERROR(SEARCH("CMS",O49)))</formula>
    </cfRule>
    <cfRule type="cellIs" dxfId="4181" priority="3883" operator="equal">
      <formula>0</formula>
    </cfRule>
    <cfRule type="cellIs" dxfId="4180" priority="3884" operator="greaterThan">
      <formula>0</formula>
    </cfRule>
  </conditionalFormatting>
  <conditionalFormatting sqref="O49">
    <cfRule type="cellIs" dxfId="4179" priority="3877" operator="equal">
      <formula>"PMS"</formula>
    </cfRule>
    <cfRule type="containsText" dxfId="4178" priority="3878" operator="containsText" text="CMS">
      <formula>NOT(ISERROR(SEARCH("CMS",O49)))</formula>
    </cfRule>
    <cfRule type="cellIs" dxfId="4177" priority="3879" operator="equal">
      <formula>0</formula>
    </cfRule>
    <cfRule type="cellIs" dxfId="4176" priority="3880" operator="greaterThan">
      <formula>0</formula>
    </cfRule>
  </conditionalFormatting>
  <conditionalFormatting sqref="O49">
    <cfRule type="cellIs" dxfId="4175" priority="3873" operator="equal">
      <formula>"PMS"</formula>
    </cfRule>
    <cfRule type="containsText" dxfId="4174" priority="3874" operator="containsText" text="CMS">
      <formula>NOT(ISERROR(SEARCH("CMS",O49)))</formula>
    </cfRule>
    <cfRule type="cellIs" dxfId="4173" priority="3875" operator="equal">
      <formula>0</formula>
    </cfRule>
    <cfRule type="cellIs" dxfId="4172" priority="3876" operator="greaterThan">
      <formula>0</formula>
    </cfRule>
  </conditionalFormatting>
  <conditionalFormatting sqref="O49">
    <cfRule type="cellIs" dxfId="4171" priority="3869" operator="equal">
      <formula>"PMS"</formula>
    </cfRule>
    <cfRule type="containsText" dxfId="4170" priority="3870" operator="containsText" text="CMS">
      <formula>NOT(ISERROR(SEARCH("CMS",O49)))</formula>
    </cfRule>
    <cfRule type="cellIs" dxfId="4169" priority="3871" operator="equal">
      <formula>0</formula>
    </cfRule>
    <cfRule type="cellIs" dxfId="4168" priority="3872" operator="greaterThan">
      <formula>0</formula>
    </cfRule>
  </conditionalFormatting>
  <conditionalFormatting sqref="O49">
    <cfRule type="cellIs" dxfId="4167" priority="3865" operator="equal">
      <formula>"PMS"</formula>
    </cfRule>
    <cfRule type="containsText" dxfId="4166" priority="3866" operator="containsText" text="CMS">
      <formula>NOT(ISERROR(SEARCH("CMS",O49)))</formula>
    </cfRule>
    <cfRule type="cellIs" dxfId="4165" priority="3867" operator="equal">
      <formula>0</formula>
    </cfRule>
    <cfRule type="cellIs" dxfId="4164" priority="3868" operator="greaterThan">
      <formula>0</formula>
    </cfRule>
  </conditionalFormatting>
  <conditionalFormatting sqref="O49">
    <cfRule type="cellIs" dxfId="4163" priority="3861" operator="equal">
      <formula>"PMS"</formula>
    </cfRule>
    <cfRule type="containsText" dxfId="4162" priority="3862" operator="containsText" text="CMS">
      <formula>NOT(ISERROR(SEARCH("CMS",O49)))</formula>
    </cfRule>
    <cfRule type="cellIs" dxfId="4161" priority="3863" operator="equal">
      <formula>0</formula>
    </cfRule>
    <cfRule type="cellIs" dxfId="4160" priority="3864" operator="greaterThan">
      <formula>0</formula>
    </cfRule>
  </conditionalFormatting>
  <conditionalFormatting sqref="O49">
    <cfRule type="cellIs" dxfId="4159" priority="3857" operator="equal">
      <formula>"PMS"</formula>
    </cfRule>
    <cfRule type="containsText" dxfId="4158" priority="3858" operator="containsText" text="CMS">
      <formula>NOT(ISERROR(SEARCH("CMS",O49)))</formula>
    </cfRule>
    <cfRule type="cellIs" dxfId="4157" priority="3859" operator="equal">
      <formula>0</formula>
    </cfRule>
    <cfRule type="cellIs" dxfId="4156" priority="3860" operator="greaterThan">
      <formula>0</formula>
    </cfRule>
  </conditionalFormatting>
  <conditionalFormatting sqref="O49">
    <cfRule type="cellIs" dxfId="4155" priority="3853" operator="equal">
      <formula>"PMS"</formula>
    </cfRule>
    <cfRule type="containsText" dxfId="4154" priority="3854" operator="containsText" text="CMS">
      <formula>NOT(ISERROR(SEARCH("CMS",O49)))</formula>
    </cfRule>
    <cfRule type="cellIs" dxfId="4153" priority="3855" operator="equal">
      <formula>0</formula>
    </cfRule>
    <cfRule type="cellIs" dxfId="4152" priority="3856" operator="greaterThan">
      <formula>0</formula>
    </cfRule>
  </conditionalFormatting>
  <conditionalFormatting sqref="O49">
    <cfRule type="cellIs" dxfId="4151" priority="3849" operator="equal">
      <formula>"PMS"</formula>
    </cfRule>
    <cfRule type="containsText" dxfId="4150" priority="3850" operator="containsText" text="CMS">
      <formula>NOT(ISERROR(SEARCH("CMS",O49)))</formula>
    </cfRule>
    <cfRule type="cellIs" dxfId="4149" priority="3851" operator="equal">
      <formula>0</formula>
    </cfRule>
    <cfRule type="cellIs" dxfId="4148" priority="3852" operator="greaterThan">
      <formula>0</formula>
    </cfRule>
  </conditionalFormatting>
  <conditionalFormatting sqref="O49">
    <cfRule type="cellIs" dxfId="4147" priority="3845" operator="equal">
      <formula>"PMS"</formula>
    </cfRule>
    <cfRule type="containsText" dxfId="4146" priority="3846" operator="containsText" text="CMS">
      <formula>NOT(ISERROR(SEARCH("CMS",O49)))</formula>
    </cfRule>
    <cfRule type="cellIs" dxfId="4145" priority="3847" operator="equal">
      <formula>0</formula>
    </cfRule>
    <cfRule type="cellIs" dxfId="4144" priority="3848" operator="greaterThan">
      <formula>0</formula>
    </cfRule>
  </conditionalFormatting>
  <conditionalFormatting sqref="O49">
    <cfRule type="cellIs" dxfId="4143" priority="3841" operator="equal">
      <formula>"PMS"</formula>
    </cfRule>
    <cfRule type="containsText" dxfId="4142" priority="3842" operator="containsText" text="CMS">
      <formula>NOT(ISERROR(SEARCH("CMS",O49)))</formula>
    </cfRule>
    <cfRule type="cellIs" dxfId="4141" priority="3843" operator="equal">
      <formula>0</formula>
    </cfRule>
    <cfRule type="cellIs" dxfId="4140" priority="3844" operator="greaterThan">
      <formula>0</formula>
    </cfRule>
  </conditionalFormatting>
  <conditionalFormatting sqref="O49">
    <cfRule type="cellIs" dxfId="4139" priority="3837" operator="equal">
      <formula>"PMS"</formula>
    </cfRule>
    <cfRule type="containsText" dxfId="4138" priority="3838" operator="containsText" text="CMS">
      <formula>NOT(ISERROR(SEARCH("CMS",O49)))</formula>
    </cfRule>
    <cfRule type="cellIs" dxfId="4137" priority="3839" operator="equal">
      <formula>0</formula>
    </cfRule>
    <cfRule type="cellIs" dxfId="4136" priority="3840" operator="greaterThan">
      <formula>0</formula>
    </cfRule>
  </conditionalFormatting>
  <conditionalFormatting sqref="O49">
    <cfRule type="cellIs" dxfId="4135" priority="3833" operator="equal">
      <formula>"PMS"</formula>
    </cfRule>
    <cfRule type="containsText" dxfId="4134" priority="3834" operator="containsText" text="CMS">
      <formula>NOT(ISERROR(SEARCH("CMS",O49)))</formula>
    </cfRule>
    <cfRule type="cellIs" dxfId="4133" priority="3835" operator="equal">
      <formula>0</formula>
    </cfRule>
    <cfRule type="cellIs" dxfId="4132" priority="3836" operator="greaterThan">
      <formula>0</formula>
    </cfRule>
  </conditionalFormatting>
  <conditionalFormatting sqref="O49">
    <cfRule type="cellIs" dxfId="4131" priority="3829" operator="equal">
      <formula>"PMS"</formula>
    </cfRule>
    <cfRule type="containsText" dxfId="4130" priority="3830" operator="containsText" text="CMS">
      <formula>NOT(ISERROR(SEARCH("CMS",O49)))</formula>
    </cfRule>
    <cfRule type="cellIs" dxfId="4129" priority="3831" operator="equal">
      <formula>0</formula>
    </cfRule>
    <cfRule type="cellIs" dxfId="4128" priority="3832" operator="greaterThan">
      <formula>0</formula>
    </cfRule>
  </conditionalFormatting>
  <conditionalFormatting sqref="O49">
    <cfRule type="cellIs" dxfId="4127" priority="3825" operator="equal">
      <formula>"PMS"</formula>
    </cfRule>
    <cfRule type="containsText" dxfId="4126" priority="3826" operator="containsText" text="CMS">
      <formula>NOT(ISERROR(SEARCH("CMS",O49)))</formula>
    </cfRule>
    <cfRule type="cellIs" dxfId="4125" priority="3827" operator="equal">
      <formula>0</formula>
    </cfRule>
    <cfRule type="cellIs" dxfId="4124" priority="3828" operator="greaterThan">
      <formula>0</formula>
    </cfRule>
  </conditionalFormatting>
  <conditionalFormatting sqref="O49">
    <cfRule type="cellIs" dxfId="4123" priority="3821" operator="equal">
      <formula>"PMS"</formula>
    </cfRule>
    <cfRule type="containsText" dxfId="4122" priority="3822" operator="containsText" text="CMS">
      <formula>NOT(ISERROR(SEARCH("CMS",O49)))</formula>
    </cfRule>
    <cfRule type="cellIs" dxfId="4121" priority="3823" operator="equal">
      <formula>0</formula>
    </cfRule>
    <cfRule type="cellIs" dxfId="4120" priority="3824" operator="greaterThan">
      <formula>0</formula>
    </cfRule>
  </conditionalFormatting>
  <conditionalFormatting sqref="O49">
    <cfRule type="cellIs" dxfId="4119" priority="3817" operator="equal">
      <formula>"PMS"</formula>
    </cfRule>
    <cfRule type="containsText" dxfId="4118" priority="3818" operator="containsText" text="CMS">
      <formula>NOT(ISERROR(SEARCH("CMS",O49)))</formula>
    </cfRule>
    <cfRule type="cellIs" dxfId="4117" priority="3819" operator="equal">
      <formula>0</formula>
    </cfRule>
    <cfRule type="cellIs" dxfId="4116" priority="3820" operator="greaterThan">
      <formula>0</formula>
    </cfRule>
  </conditionalFormatting>
  <conditionalFormatting sqref="O49">
    <cfRule type="cellIs" dxfId="4115" priority="3813" operator="equal">
      <formula>"PMS"</formula>
    </cfRule>
    <cfRule type="containsText" dxfId="4114" priority="3814" operator="containsText" text="CMS">
      <formula>NOT(ISERROR(SEARCH("CMS",O49)))</formula>
    </cfRule>
    <cfRule type="cellIs" dxfId="4113" priority="3815" operator="equal">
      <formula>0</formula>
    </cfRule>
    <cfRule type="cellIs" dxfId="4112" priority="3816" operator="greaterThan">
      <formula>0</formula>
    </cfRule>
  </conditionalFormatting>
  <conditionalFormatting sqref="O49">
    <cfRule type="cellIs" dxfId="4111" priority="3809" operator="equal">
      <formula>"PMS"</formula>
    </cfRule>
    <cfRule type="containsText" dxfId="4110" priority="3810" operator="containsText" text="CMS">
      <formula>NOT(ISERROR(SEARCH("CMS",O49)))</formula>
    </cfRule>
    <cfRule type="cellIs" dxfId="4109" priority="3811" operator="equal">
      <formula>0</formula>
    </cfRule>
    <cfRule type="cellIs" dxfId="4108" priority="3812" operator="greaterThan">
      <formula>0</formula>
    </cfRule>
  </conditionalFormatting>
  <conditionalFormatting sqref="O49">
    <cfRule type="cellIs" dxfId="4107" priority="3805" operator="equal">
      <formula>"PMS"</formula>
    </cfRule>
    <cfRule type="containsText" dxfId="4106" priority="3806" operator="containsText" text="CMS">
      <formula>NOT(ISERROR(SEARCH("CMS",O49)))</formula>
    </cfRule>
    <cfRule type="cellIs" dxfId="4105" priority="3807" operator="equal">
      <formula>0</formula>
    </cfRule>
    <cfRule type="cellIs" dxfId="4104" priority="3808" operator="greaterThan">
      <formula>0</formula>
    </cfRule>
  </conditionalFormatting>
  <conditionalFormatting sqref="O49">
    <cfRule type="cellIs" dxfId="4103" priority="3801" operator="equal">
      <formula>"PMS"</formula>
    </cfRule>
    <cfRule type="containsText" dxfId="4102" priority="3802" operator="containsText" text="CMS">
      <formula>NOT(ISERROR(SEARCH("CMS",O49)))</formula>
    </cfRule>
    <cfRule type="cellIs" dxfId="4101" priority="3803" operator="equal">
      <formula>0</formula>
    </cfRule>
    <cfRule type="cellIs" dxfId="4100" priority="3804" operator="greaterThan">
      <formula>0</formula>
    </cfRule>
  </conditionalFormatting>
  <conditionalFormatting sqref="O49">
    <cfRule type="cellIs" dxfId="4099" priority="3797" operator="equal">
      <formula>"PMS"</formula>
    </cfRule>
    <cfRule type="containsText" dxfId="4098" priority="3798" operator="containsText" text="CMS">
      <formula>NOT(ISERROR(SEARCH("CMS",O49)))</formula>
    </cfRule>
    <cfRule type="cellIs" dxfId="4097" priority="3799" operator="equal">
      <formula>0</formula>
    </cfRule>
    <cfRule type="cellIs" dxfId="4096" priority="3800" operator="greaterThan">
      <formula>0</formula>
    </cfRule>
  </conditionalFormatting>
  <conditionalFormatting sqref="O49">
    <cfRule type="cellIs" dxfId="4095" priority="3793" operator="equal">
      <formula>"PMS"</formula>
    </cfRule>
    <cfRule type="containsText" dxfId="4094" priority="3794" operator="containsText" text="CMS">
      <formula>NOT(ISERROR(SEARCH("CMS",O49)))</formula>
    </cfRule>
    <cfRule type="cellIs" dxfId="4093" priority="3795" operator="equal">
      <formula>0</formula>
    </cfRule>
    <cfRule type="cellIs" dxfId="4092" priority="3796" operator="greaterThan">
      <formula>0</formula>
    </cfRule>
  </conditionalFormatting>
  <conditionalFormatting sqref="O49">
    <cfRule type="cellIs" dxfId="4091" priority="3789" operator="equal">
      <formula>"PMS"</formula>
    </cfRule>
    <cfRule type="containsText" dxfId="4090" priority="3790" operator="containsText" text="CMS">
      <formula>NOT(ISERROR(SEARCH("CMS",O49)))</formula>
    </cfRule>
    <cfRule type="cellIs" dxfId="4089" priority="3791" operator="equal">
      <formula>0</formula>
    </cfRule>
    <cfRule type="cellIs" dxfId="4088" priority="3792" operator="greaterThan">
      <formula>0</formula>
    </cfRule>
  </conditionalFormatting>
  <conditionalFormatting sqref="O49">
    <cfRule type="cellIs" dxfId="4087" priority="3785" operator="equal">
      <formula>"PMS"</formula>
    </cfRule>
    <cfRule type="containsText" dxfId="4086" priority="3786" operator="containsText" text="CMS">
      <formula>NOT(ISERROR(SEARCH("CMS",O49)))</formula>
    </cfRule>
    <cfRule type="cellIs" dxfId="4085" priority="3787" operator="equal">
      <formula>0</formula>
    </cfRule>
    <cfRule type="cellIs" dxfId="4084" priority="3788" operator="greaterThan">
      <formula>0</formula>
    </cfRule>
  </conditionalFormatting>
  <conditionalFormatting sqref="O55">
    <cfRule type="cellIs" dxfId="4083" priority="3781" operator="equal">
      <formula>"PMS"</formula>
    </cfRule>
    <cfRule type="containsText" dxfId="4082" priority="3782" operator="containsText" text="CMS">
      <formula>NOT(ISERROR(SEARCH("CMS",O55)))</formula>
    </cfRule>
    <cfRule type="cellIs" dxfId="4081" priority="3783" operator="equal">
      <formula>0</formula>
    </cfRule>
    <cfRule type="cellIs" dxfId="4080" priority="3784" operator="greaterThan">
      <formula>0</formula>
    </cfRule>
  </conditionalFormatting>
  <conditionalFormatting sqref="O55">
    <cfRule type="cellIs" dxfId="4079" priority="3777" operator="equal">
      <formula>"PMS"</formula>
    </cfRule>
    <cfRule type="containsText" dxfId="4078" priority="3778" operator="containsText" text="CMS">
      <formula>NOT(ISERROR(SEARCH("CMS",O55)))</formula>
    </cfRule>
    <cfRule type="cellIs" dxfId="4077" priority="3779" operator="equal">
      <formula>0</formula>
    </cfRule>
    <cfRule type="cellIs" dxfId="4076" priority="3780" operator="greaterThan">
      <formula>0</formula>
    </cfRule>
  </conditionalFormatting>
  <conditionalFormatting sqref="O55">
    <cfRule type="cellIs" dxfId="4075" priority="3773" operator="equal">
      <formula>"PMS"</formula>
    </cfRule>
    <cfRule type="containsText" dxfId="4074" priority="3774" operator="containsText" text="CMS">
      <formula>NOT(ISERROR(SEARCH("CMS",O55)))</formula>
    </cfRule>
    <cfRule type="cellIs" dxfId="4073" priority="3775" operator="equal">
      <formula>0</formula>
    </cfRule>
    <cfRule type="cellIs" dxfId="4072" priority="3776" operator="greaterThan">
      <formula>0</formula>
    </cfRule>
  </conditionalFormatting>
  <conditionalFormatting sqref="O55">
    <cfRule type="cellIs" dxfId="4071" priority="3769" operator="equal">
      <formula>"PMS"</formula>
    </cfRule>
    <cfRule type="containsText" dxfId="4070" priority="3770" operator="containsText" text="CMS">
      <formula>NOT(ISERROR(SEARCH("CMS",O55)))</formula>
    </cfRule>
    <cfRule type="cellIs" dxfId="4069" priority="3771" operator="equal">
      <formula>0</formula>
    </cfRule>
    <cfRule type="cellIs" dxfId="4068" priority="3772" operator="greaterThan">
      <formula>0</formula>
    </cfRule>
  </conditionalFormatting>
  <conditionalFormatting sqref="O55">
    <cfRule type="cellIs" dxfId="4067" priority="3765" operator="equal">
      <formula>"PMS"</formula>
    </cfRule>
    <cfRule type="containsText" dxfId="4066" priority="3766" operator="containsText" text="CMS">
      <formula>NOT(ISERROR(SEARCH("CMS",O55)))</formula>
    </cfRule>
    <cfRule type="cellIs" dxfId="4065" priority="3767" operator="equal">
      <formula>0</formula>
    </cfRule>
    <cfRule type="cellIs" dxfId="4064" priority="3768" operator="greaterThan">
      <formula>0</formula>
    </cfRule>
  </conditionalFormatting>
  <conditionalFormatting sqref="O55">
    <cfRule type="cellIs" dxfId="4063" priority="3761" operator="equal">
      <formula>"PMS"</formula>
    </cfRule>
    <cfRule type="containsText" dxfId="4062" priority="3762" operator="containsText" text="CMS">
      <formula>NOT(ISERROR(SEARCH("CMS",O55)))</formula>
    </cfRule>
    <cfRule type="cellIs" dxfId="4061" priority="3763" operator="equal">
      <formula>0</formula>
    </cfRule>
    <cfRule type="cellIs" dxfId="4060" priority="3764" operator="greaterThan">
      <formula>0</formula>
    </cfRule>
  </conditionalFormatting>
  <conditionalFormatting sqref="O55">
    <cfRule type="cellIs" dxfId="4059" priority="3757" operator="equal">
      <formula>"PMS"</formula>
    </cfRule>
    <cfRule type="containsText" dxfId="4058" priority="3758" operator="containsText" text="CMS">
      <formula>NOT(ISERROR(SEARCH("CMS",O55)))</formula>
    </cfRule>
    <cfRule type="cellIs" dxfId="4057" priority="3759" operator="equal">
      <formula>0</formula>
    </cfRule>
    <cfRule type="cellIs" dxfId="4056" priority="3760" operator="greaterThan">
      <formula>0</formula>
    </cfRule>
  </conditionalFormatting>
  <conditionalFormatting sqref="O55">
    <cfRule type="cellIs" dxfId="4055" priority="3753" operator="equal">
      <formula>"PMS"</formula>
    </cfRule>
    <cfRule type="containsText" dxfId="4054" priority="3754" operator="containsText" text="CMS">
      <formula>NOT(ISERROR(SEARCH("CMS",O55)))</formula>
    </cfRule>
    <cfRule type="cellIs" dxfId="4053" priority="3755" operator="equal">
      <formula>0</formula>
    </cfRule>
    <cfRule type="cellIs" dxfId="4052" priority="3756" operator="greaterThan">
      <formula>0</formula>
    </cfRule>
  </conditionalFormatting>
  <conditionalFormatting sqref="O55">
    <cfRule type="cellIs" dxfId="4051" priority="3749" operator="equal">
      <formula>"PMS"</formula>
    </cfRule>
    <cfRule type="containsText" dxfId="4050" priority="3750" operator="containsText" text="CMS">
      <formula>NOT(ISERROR(SEARCH("CMS",O55)))</formula>
    </cfRule>
    <cfRule type="cellIs" dxfId="4049" priority="3751" operator="equal">
      <formula>0</formula>
    </cfRule>
    <cfRule type="cellIs" dxfId="4048" priority="3752" operator="greaterThan">
      <formula>0</formula>
    </cfRule>
  </conditionalFormatting>
  <conditionalFormatting sqref="O55">
    <cfRule type="cellIs" dxfId="4047" priority="3745" operator="equal">
      <formula>"PMS"</formula>
    </cfRule>
    <cfRule type="containsText" dxfId="4046" priority="3746" operator="containsText" text="CMS">
      <formula>NOT(ISERROR(SEARCH("CMS",O55)))</formula>
    </cfRule>
    <cfRule type="cellIs" dxfId="4045" priority="3747" operator="equal">
      <formula>0</formula>
    </cfRule>
    <cfRule type="cellIs" dxfId="4044" priority="3748" operator="greaterThan">
      <formula>0</formula>
    </cfRule>
  </conditionalFormatting>
  <conditionalFormatting sqref="O55">
    <cfRule type="cellIs" dxfId="4043" priority="3741" operator="equal">
      <formula>"PMS"</formula>
    </cfRule>
    <cfRule type="containsText" dxfId="4042" priority="3742" operator="containsText" text="CMS">
      <formula>NOT(ISERROR(SEARCH("CMS",O55)))</formula>
    </cfRule>
    <cfRule type="cellIs" dxfId="4041" priority="3743" operator="equal">
      <formula>0</formula>
    </cfRule>
    <cfRule type="cellIs" dxfId="4040" priority="3744" operator="greaterThan">
      <formula>0</formula>
    </cfRule>
  </conditionalFormatting>
  <conditionalFormatting sqref="O55">
    <cfRule type="cellIs" dxfId="4039" priority="3737" operator="equal">
      <formula>"PMS"</formula>
    </cfRule>
    <cfRule type="containsText" dxfId="4038" priority="3738" operator="containsText" text="CMS">
      <formula>NOT(ISERROR(SEARCH("CMS",O55)))</formula>
    </cfRule>
    <cfRule type="cellIs" dxfId="4037" priority="3739" operator="equal">
      <formula>0</formula>
    </cfRule>
    <cfRule type="cellIs" dxfId="4036" priority="3740" operator="greaterThan">
      <formula>0</formula>
    </cfRule>
  </conditionalFormatting>
  <conditionalFormatting sqref="O55">
    <cfRule type="cellIs" dxfId="4035" priority="3733" operator="equal">
      <formula>"PMS"</formula>
    </cfRule>
    <cfRule type="containsText" dxfId="4034" priority="3734" operator="containsText" text="CMS">
      <formula>NOT(ISERROR(SEARCH("CMS",O55)))</formula>
    </cfRule>
    <cfRule type="cellIs" dxfId="4033" priority="3735" operator="equal">
      <formula>0</formula>
    </cfRule>
    <cfRule type="cellIs" dxfId="4032" priority="3736" operator="greaterThan">
      <formula>0</formula>
    </cfRule>
  </conditionalFormatting>
  <conditionalFormatting sqref="O55">
    <cfRule type="cellIs" dxfId="4031" priority="3729" operator="equal">
      <formula>"PMS"</formula>
    </cfRule>
    <cfRule type="containsText" dxfId="4030" priority="3730" operator="containsText" text="CMS">
      <formula>NOT(ISERROR(SEARCH("CMS",O55)))</formula>
    </cfRule>
    <cfRule type="cellIs" dxfId="4029" priority="3731" operator="equal">
      <formula>0</formula>
    </cfRule>
    <cfRule type="cellIs" dxfId="4028" priority="3732" operator="greaterThan">
      <formula>0</formula>
    </cfRule>
  </conditionalFormatting>
  <conditionalFormatting sqref="O55">
    <cfRule type="cellIs" dxfId="4027" priority="3725" operator="equal">
      <formula>"PMS"</formula>
    </cfRule>
    <cfRule type="containsText" dxfId="4026" priority="3726" operator="containsText" text="CMS">
      <formula>NOT(ISERROR(SEARCH("CMS",O55)))</formula>
    </cfRule>
    <cfRule type="cellIs" dxfId="4025" priority="3727" operator="equal">
      <formula>0</formula>
    </cfRule>
    <cfRule type="cellIs" dxfId="4024" priority="3728" operator="greaterThan">
      <formula>0</formula>
    </cfRule>
  </conditionalFormatting>
  <conditionalFormatting sqref="O55">
    <cfRule type="cellIs" dxfId="4023" priority="3721" operator="equal">
      <formula>"PMS"</formula>
    </cfRule>
    <cfRule type="containsText" dxfId="4022" priority="3722" operator="containsText" text="CMS">
      <formula>NOT(ISERROR(SEARCH("CMS",O55)))</formula>
    </cfRule>
    <cfRule type="cellIs" dxfId="4021" priority="3723" operator="equal">
      <formula>0</formula>
    </cfRule>
    <cfRule type="cellIs" dxfId="4020" priority="3724" operator="greaterThan">
      <formula>0</formula>
    </cfRule>
  </conditionalFormatting>
  <conditionalFormatting sqref="O55">
    <cfRule type="cellIs" dxfId="4019" priority="3717" operator="equal">
      <formula>"PMS"</formula>
    </cfRule>
    <cfRule type="containsText" dxfId="4018" priority="3718" operator="containsText" text="CMS">
      <formula>NOT(ISERROR(SEARCH("CMS",O55)))</formula>
    </cfRule>
    <cfRule type="cellIs" dxfId="4017" priority="3719" operator="equal">
      <formula>0</formula>
    </cfRule>
    <cfRule type="cellIs" dxfId="4016" priority="3720" operator="greaterThan">
      <formula>0</formula>
    </cfRule>
  </conditionalFormatting>
  <conditionalFormatting sqref="O55">
    <cfRule type="cellIs" dxfId="4015" priority="3713" operator="equal">
      <formula>"PMS"</formula>
    </cfRule>
    <cfRule type="containsText" dxfId="4014" priority="3714" operator="containsText" text="CMS">
      <formula>NOT(ISERROR(SEARCH("CMS",O55)))</formula>
    </cfRule>
    <cfRule type="cellIs" dxfId="4013" priority="3715" operator="equal">
      <formula>0</formula>
    </cfRule>
    <cfRule type="cellIs" dxfId="4012" priority="3716" operator="greaterThan">
      <formula>0</formula>
    </cfRule>
  </conditionalFormatting>
  <conditionalFormatting sqref="O55">
    <cfRule type="cellIs" dxfId="4011" priority="3709" operator="equal">
      <formula>"PMS"</formula>
    </cfRule>
    <cfRule type="containsText" dxfId="4010" priority="3710" operator="containsText" text="CMS">
      <formula>NOT(ISERROR(SEARCH("CMS",O55)))</formula>
    </cfRule>
    <cfRule type="cellIs" dxfId="4009" priority="3711" operator="equal">
      <formula>0</formula>
    </cfRule>
    <cfRule type="cellIs" dxfId="4008" priority="3712" operator="greaterThan">
      <formula>0</formula>
    </cfRule>
  </conditionalFormatting>
  <conditionalFormatting sqref="O55">
    <cfRule type="cellIs" dxfId="4007" priority="3705" operator="equal">
      <formula>"PMS"</formula>
    </cfRule>
    <cfRule type="containsText" dxfId="4006" priority="3706" operator="containsText" text="CMS">
      <formula>NOT(ISERROR(SEARCH("CMS",O55)))</formula>
    </cfRule>
    <cfRule type="cellIs" dxfId="4005" priority="3707" operator="equal">
      <formula>0</formula>
    </cfRule>
    <cfRule type="cellIs" dxfId="4004" priority="3708" operator="greaterThan">
      <formula>0</formula>
    </cfRule>
  </conditionalFormatting>
  <conditionalFormatting sqref="O55">
    <cfRule type="cellIs" dxfId="4003" priority="3701" operator="equal">
      <formula>"PMS"</formula>
    </cfRule>
    <cfRule type="containsText" dxfId="4002" priority="3702" operator="containsText" text="CMS">
      <formula>NOT(ISERROR(SEARCH("CMS",O55)))</formula>
    </cfRule>
    <cfRule type="cellIs" dxfId="4001" priority="3703" operator="equal">
      <formula>0</formula>
    </cfRule>
    <cfRule type="cellIs" dxfId="4000" priority="3704" operator="greaterThan">
      <formula>0</formula>
    </cfRule>
  </conditionalFormatting>
  <conditionalFormatting sqref="O55">
    <cfRule type="cellIs" dxfId="3999" priority="3697" operator="equal">
      <formula>"PMS"</formula>
    </cfRule>
    <cfRule type="containsText" dxfId="3998" priority="3698" operator="containsText" text="CMS">
      <formula>NOT(ISERROR(SEARCH("CMS",O55)))</formula>
    </cfRule>
    <cfRule type="cellIs" dxfId="3997" priority="3699" operator="equal">
      <formula>0</formula>
    </cfRule>
    <cfRule type="cellIs" dxfId="3996" priority="3700" operator="greaterThan">
      <formula>0</formula>
    </cfRule>
  </conditionalFormatting>
  <conditionalFormatting sqref="O55">
    <cfRule type="cellIs" dxfId="3995" priority="3693" operator="equal">
      <formula>"PMS"</formula>
    </cfRule>
    <cfRule type="containsText" dxfId="3994" priority="3694" operator="containsText" text="CMS">
      <formula>NOT(ISERROR(SEARCH("CMS",O55)))</formula>
    </cfRule>
    <cfRule type="cellIs" dxfId="3993" priority="3695" operator="equal">
      <formula>0</formula>
    </cfRule>
    <cfRule type="cellIs" dxfId="3992" priority="3696" operator="greaterThan">
      <formula>0</formula>
    </cfRule>
  </conditionalFormatting>
  <conditionalFormatting sqref="O55">
    <cfRule type="cellIs" dxfId="3991" priority="3689" operator="equal">
      <formula>"PMS"</formula>
    </cfRule>
    <cfRule type="containsText" dxfId="3990" priority="3690" operator="containsText" text="CMS">
      <formula>NOT(ISERROR(SEARCH("CMS",O55)))</formula>
    </cfRule>
    <cfRule type="cellIs" dxfId="3989" priority="3691" operator="equal">
      <formula>0</formula>
    </cfRule>
    <cfRule type="cellIs" dxfId="3988" priority="3692" operator="greaterThan">
      <formula>0</formula>
    </cfRule>
  </conditionalFormatting>
  <conditionalFormatting sqref="O55">
    <cfRule type="cellIs" dxfId="3987" priority="3685" operator="equal">
      <formula>"PMS"</formula>
    </cfRule>
    <cfRule type="containsText" dxfId="3986" priority="3686" operator="containsText" text="CMS">
      <formula>NOT(ISERROR(SEARCH("CMS",O55)))</formula>
    </cfRule>
    <cfRule type="cellIs" dxfId="3985" priority="3687" operator="equal">
      <formula>0</formula>
    </cfRule>
    <cfRule type="cellIs" dxfId="3984" priority="3688" operator="greaterThan">
      <formula>0</formula>
    </cfRule>
  </conditionalFormatting>
  <conditionalFormatting sqref="O55">
    <cfRule type="cellIs" dxfId="3983" priority="3681" operator="equal">
      <formula>"PMS"</formula>
    </cfRule>
    <cfRule type="containsText" dxfId="3982" priority="3682" operator="containsText" text="CMS">
      <formula>NOT(ISERROR(SEARCH("CMS",O55)))</formula>
    </cfRule>
    <cfRule type="cellIs" dxfId="3981" priority="3683" operator="equal">
      <formula>0</formula>
    </cfRule>
    <cfRule type="cellIs" dxfId="3980" priority="3684" operator="greaterThan">
      <formula>0</formula>
    </cfRule>
  </conditionalFormatting>
  <conditionalFormatting sqref="O55">
    <cfRule type="cellIs" dxfId="3979" priority="3677" operator="equal">
      <formula>"PMS"</formula>
    </cfRule>
    <cfRule type="containsText" dxfId="3978" priority="3678" operator="containsText" text="CMS">
      <formula>NOT(ISERROR(SEARCH("CMS",O55)))</formula>
    </cfRule>
    <cfRule type="cellIs" dxfId="3977" priority="3679" operator="equal">
      <formula>0</formula>
    </cfRule>
    <cfRule type="cellIs" dxfId="3976" priority="3680" operator="greaterThan">
      <formula>0</formula>
    </cfRule>
  </conditionalFormatting>
  <conditionalFormatting sqref="O55">
    <cfRule type="cellIs" dxfId="3975" priority="3673" operator="equal">
      <formula>"PMS"</formula>
    </cfRule>
    <cfRule type="containsText" dxfId="3974" priority="3674" operator="containsText" text="CMS">
      <formula>NOT(ISERROR(SEARCH("CMS",O55)))</formula>
    </cfRule>
    <cfRule type="cellIs" dxfId="3973" priority="3675" operator="equal">
      <formula>0</formula>
    </cfRule>
    <cfRule type="cellIs" dxfId="3972" priority="3676" operator="greaterThan">
      <formula>0</formula>
    </cfRule>
  </conditionalFormatting>
  <conditionalFormatting sqref="O55">
    <cfRule type="cellIs" dxfId="3971" priority="3669" operator="equal">
      <formula>"PMS"</formula>
    </cfRule>
    <cfRule type="containsText" dxfId="3970" priority="3670" operator="containsText" text="CMS">
      <formula>NOT(ISERROR(SEARCH("CMS",O55)))</formula>
    </cfRule>
    <cfRule type="cellIs" dxfId="3969" priority="3671" operator="equal">
      <formula>0</formula>
    </cfRule>
    <cfRule type="cellIs" dxfId="3968" priority="3672" operator="greaterThan">
      <formula>0</formula>
    </cfRule>
  </conditionalFormatting>
  <conditionalFormatting sqref="O55">
    <cfRule type="cellIs" dxfId="3967" priority="3665" operator="equal">
      <formula>"PMS"</formula>
    </cfRule>
    <cfRule type="containsText" dxfId="3966" priority="3666" operator="containsText" text="CMS">
      <formula>NOT(ISERROR(SEARCH("CMS",O55)))</formula>
    </cfRule>
    <cfRule type="cellIs" dxfId="3965" priority="3667" operator="equal">
      <formula>0</formula>
    </cfRule>
    <cfRule type="cellIs" dxfId="3964" priority="3668" operator="greaterThan">
      <formula>0</formula>
    </cfRule>
  </conditionalFormatting>
  <conditionalFormatting sqref="O55">
    <cfRule type="cellIs" dxfId="3963" priority="3661" operator="equal">
      <formula>"PMS"</formula>
    </cfRule>
    <cfRule type="containsText" dxfId="3962" priority="3662" operator="containsText" text="CMS">
      <formula>NOT(ISERROR(SEARCH("CMS",O55)))</formula>
    </cfRule>
    <cfRule type="cellIs" dxfId="3961" priority="3663" operator="equal">
      <formula>0</formula>
    </cfRule>
    <cfRule type="cellIs" dxfId="3960" priority="3664" operator="greaterThan">
      <formula>0</formula>
    </cfRule>
  </conditionalFormatting>
  <conditionalFormatting sqref="O55">
    <cfRule type="cellIs" dxfId="3959" priority="3657" operator="equal">
      <formula>"PMS"</formula>
    </cfRule>
    <cfRule type="containsText" dxfId="3958" priority="3658" operator="containsText" text="CMS">
      <formula>NOT(ISERROR(SEARCH("CMS",O55)))</formula>
    </cfRule>
    <cfRule type="cellIs" dxfId="3957" priority="3659" operator="equal">
      <formula>0</formula>
    </cfRule>
    <cfRule type="cellIs" dxfId="3956" priority="3660" operator="greaterThan">
      <formula>0</formula>
    </cfRule>
  </conditionalFormatting>
  <conditionalFormatting sqref="O55">
    <cfRule type="cellIs" dxfId="3955" priority="3653" operator="equal">
      <formula>"PMS"</formula>
    </cfRule>
    <cfRule type="containsText" dxfId="3954" priority="3654" operator="containsText" text="CMS">
      <formula>NOT(ISERROR(SEARCH("CMS",O55)))</formula>
    </cfRule>
    <cfRule type="cellIs" dxfId="3953" priority="3655" operator="equal">
      <formula>0</formula>
    </cfRule>
    <cfRule type="cellIs" dxfId="3952" priority="3656" operator="greaterThan">
      <formula>0</formula>
    </cfRule>
  </conditionalFormatting>
  <conditionalFormatting sqref="O55">
    <cfRule type="cellIs" dxfId="3951" priority="3649" operator="equal">
      <formula>"PMS"</formula>
    </cfRule>
    <cfRule type="containsText" dxfId="3950" priority="3650" operator="containsText" text="CMS">
      <formula>NOT(ISERROR(SEARCH("CMS",O55)))</formula>
    </cfRule>
    <cfRule type="cellIs" dxfId="3949" priority="3651" operator="equal">
      <formula>0</formula>
    </cfRule>
    <cfRule type="cellIs" dxfId="3948" priority="3652" operator="greaterThan">
      <formula>0</formula>
    </cfRule>
  </conditionalFormatting>
  <conditionalFormatting sqref="O55">
    <cfRule type="cellIs" dxfId="3947" priority="3645" operator="equal">
      <formula>"PMS"</formula>
    </cfRule>
    <cfRule type="containsText" dxfId="3946" priority="3646" operator="containsText" text="CMS">
      <formula>NOT(ISERROR(SEARCH("CMS",O55)))</formula>
    </cfRule>
    <cfRule type="cellIs" dxfId="3945" priority="3647" operator="equal">
      <formula>0</formula>
    </cfRule>
    <cfRule type="cellIs" dxfId="3944" priority="3648" operator="greaterThan">
      <formula>0</formula>
    </cfRule>
  </conditionalFormatting>
  <conditionalFormatting sqref="O55">
    <cfRule type="cellIs" dxfId="3943" priority="3641" operator="equal">
      <formula>"PMS"</formula>
    </cfRule>
    <cfRule type="containsText" dxfId="3942" priority="3642" operator="containsText" text="CMS">
      <formula>NOT(ISERROR(SEARCH("CMS",O55)))</formula>
    </cfRule>
    <cfRule type="cellIs" dxfId="3941" priority="3643" operator="equal">
      <formula>0</formula>
    </cfRule>
    <cfRule type="cellIs" dxfId="3940" priority="3644" operator="greaterThan">
      <formula>0</formula>
    </cfRule>
  </conditionalFormatting>
  <conditionalFormatting sqref="O55">
    <cfRule type="cellIs" dxfId="3939" priority="3637" operator="equal">
      <formula>"PMS"</formula>
    </cfRule>
    <cfRule type="containsText" dxfId="3938" priority="3638" operator="containsText" text="CMS">
      <formula>NOT(ISERROR(SEARCH("CMS",O55)))</formula>
    </cfRule>
    <cfRule type="cellIs" dxfId="3937" priority="3639" operator="equal">
      <formula>0</formula>
    </cfRule>
    <cfRule type="cellIs" dxfId="3936" priority="3640" operator="greaterThan">
      <formula>0</formula>
    </cfRule>
  </conditionalFormatting>
  <conditionalFormatting sqref="O55">
    <cfRule type="cellIs" dxfId="3935" priority="3633" operator="equal">
      <formula>"PMS"</formula>
    </cfRule>
    <cfRule type="containsText" dxfId="3934" priority="3634" operator="containsText" text="CMS">
      <formula>NOT(ISERROR(SEARCH("CMS",O55)))</formula>
    </cfRule>
    <cfRule type="cellIs" dxfId="3933" priority="3635" operator="equal">
      <formula>0</formula>
    </cfRule>
    <cfRule type="cellIs" dxfId="3932" priority="3636" operator="greaterThan">
      <formula>0</formula>
    </cfRule>
  </conditionalFormatting>
  <conditionalFormatting sqref="O55">
    <cfRule type="cellIs" dxfId="3931" priority="3629" operator="equal">
      <formula>"PMS"</formula>
    </cfRule>
    <cfRule type="containsText" dxfId="3930" priority="3630" operator="containsText" text="CMS">
      <formula>NOT(ISERROR(SEARCH("CMS",O55)))</formula>
    </cfRule>
    <cfRule type="cellIs" dxfId="3929" priority="3631" operator="equal">
      <formula>0</formula>
    </cfRule>
    <cfRule type="cellIs" dxfId="3928" priority="3632" operator="greaterThan">
      <formula>0</formula>
    </cfRule>
  </conditionalFormatting>
  <conditionalFormatting sqref="O55">
    <cfRule type="cellIs" dxfId="3927" priority="3625" operator="equal">
      <formula>"PMS"</formula>
    </cfRule>
    <cfRule type="containsText" dxfId="3926" priority="3626" operator="containsText" text="CMS">
      <formula>NOT(ISERROR(SEARCH("CMS",O55)))</formula>
    </cfRule>
    <cfRule type="cellIs" dxfId="3925" priority="3627" operator="equal">
      <formula>0</formula>
    </cfRule>
    <cfRule type="cellIs" dxfId="3924" priority="3628" operator="greaterThan">
      <formula>0</formula>
    </cfRule>
  </conditionalFormatting>
  <conditionalFormatting sqref="O55">
    <cfRule type="cellIs" dxfId="3923" priority="3621" operator="equal">
      <formula>"PMS"</formula>
    </cfRule>
    <cfRule type="containsText" dxfId="3922" priority="3622" operator="containsText" text="CMS">
      <formula>NOT(ISERROR(SEARCH("CMS",O55)))</formula>
    </cfRule>
    <cfRule type="cellIs" dxfId="3921" priority="3623" operator="equal">
      <formula>0</formula>
    </cfRule>
    <cfRule type="cellIs" dxfId="3920" priority="3624" operator="greaterThan">
      <formula>0</formula>
    </cfRule>
  </conditionalFormatting>
  <conditionalFormatting sqref="O55">
    <cfRule type="cellIs" dxfId="3919" priority="3617" operator="equal">
      <formula>"PMS"</formula>
    </cfRule>
    <cfRule type="containsText" dxfId="3918" priority="3618" operator="containsText" text="CMS">
      <formula>NOT(ISERROR(SEARCH("CMS",O55)))</formula>
    </cfRule>
    <cfRule type="cellIs" dxfId="3917" priority="3619" operator="equal">
      <formula>0</formula>
    </cfRule>
    <cfRule type="cellIs" dxfId="3916" priority="3620" operator="greaterThan">
      <formula>0</formula>
    </cfRule>
  </conditionalFormatting>
  <conditionalFormatting sqref="O55">
    <cfRule type="cellIs" dxfId="3915" priority="3613" operator="equal">
      <formula>"PMS"</formula>
    </cfRule>
    <cfRule type="containsText" dxfId="3914" priority="3614" operator="containsText" text="CMS">
      <formula>NOT(ISERROR(SEARCH("CMS",O55)))</formula>
    </cfRule>
    <cfRule type="cellIs" dxfId="3913" priority="3615" operator="equal">
      <formula>0</formula>
    </cfRule>
    <cfRule type="cellIs" dxfId="3912" priority="3616" operator="greaterThan">
      <formula>0</formula>
    </cfRule>
  </conditionalFormatting>
  <conditionalFormatting sqref="O55">
    <cfRule type="cellIs" dxfId="3911" priority="3609" operator="equal">
      <formula>"PMS"</formula>
    </cfRule>
    <cfRule type="containsText" dxfId="3910" priority="3610" operator="containsText" text="CMS">
      <formula>NOT(ISERROR(SEARCH("CMS",O55)))</formula>
    </cfRule>
    <cfRule type="cellIs" dxfId="3909" priority="3611" operator="equal">
      <formula>0</formula>
    </cfRule>
    <cfRule type="cellIs" dxfId="3908" priority="3612" operator="greaterThan">
      <formula>0</formula>
    </cfRule>
  </conditionalFormatting>
  <conditionalFormatting sqref="O55">
    <cfRule type="cellIs" dxfId="3907" priority="3605" operator="equal">
      <formula>"PMS"</formula>
    </cfRule>
    <cfRule type="containsText" dxfId="3906" priority="3606" operator="containsText" text="CMS">
      <formula>NOT(ISERROR(SEARCH("CMS",O55)))</formula>
    </cfRule>
    <cfRule type="cellIs" dxfId="3905" priority="3607" operator="equal">
      <formula>0</formula>
    </cfRule>
    <cfRule type="cellIs" dxfId="3904" priority="3608" operator="greaterThan">
      <formula>0</formula>
    </cfRule>
  </conditionalFormatting>
  <conditionalFormatting sqref="O55">
    <cfRule type="cellIs" dxfId="3903" priority="3601" operator="equal">
      <formula>"PMS"</formula>
    </cfRule>
    <cfRule type="containsText" dxfId="3902" priority="3602" operator="containsText" text="CMS">
      <formula>NOT(ISERROR(SEARCH("CMS",O55)))</formula>
    </cfRule>
    <cfRule type="cellIs" dxfId="3901" priority="3603" operator="equal">
      <formula>0</formula>
    </cfRule>
    <cfRule type="cellIs" dxfId="3900" priority="3604" operator="greaterThan">
      <formula>0</formula>
    </cfRule>
  </conditionalFormatting>
  <conditionalFormatting sqref="O55">
    <cfRule type="cellIs" dxfId="3899" priority="3597" operator="equal">
      <formula>"PMS"</formula>
    </cfRule>
    <cfRule type="containsText" dxfId="3898" priority="3598" operator="containsText" text="CMS">
      <formula>NOT(ISERROR(SEARCH("CMS",O55)))</formula>
    </cfRule>
    <cfRule type="cellIs" dxfId="3897" priority="3599" operator="equal">
      <formula>0</formula>
    </cfRule>
    <cfRule type="cellIs" dxfId="3896" priority="3600" operator="greaterThan">
      <formula>0</formula>
    </cfRule>
  </conditionalFormatting>
  <conditionalFormatting sqref="O55">
    <cfRule type="cellIs" dxfId="3895" priority="3593" operator="equal">
      <formula>"PMS"</formula>
    </cfRule>
    <cfRule type="containsText" dxfId="3894" priority="3594" operator="containsText" text="CMS">
      <formula>NOT(ISERROR(SEARCH("CMS",O55)))</formula>
    </cfRule>
    <cfRule type="cellIs" dxfId="3893" priority="3595" operator="equal">
      <formula>0</formula>
    </cfRule>
    <cfRule type="cellIs" dxfId="3892" priority="3596" operator="greaterThan">
      <formula>0</formula>
    </cfRule>
  </conditionalFormatting>
  <conditionalFormatting sqref="O55">
    <cfRule type="cellIs" dxfId="3891" priority="3589" operator="equal">
      <formula>"PMS"</formula>
    </cfRule>
    <cfRule type="containsText" dxfId="3890" priority="3590" operator="containsText" text="CMS">
      <formula>NOT(ISERROR(SEARCH("CMS",O55)))</formula>
    </cfRule>
    <cfRule type="cellIs" dxfId="3889" priority="3591" operator="equal">
      <formula>0</formula>
    </cfRule>
    <cfRule type="cellIs" dxfId="3888" priority="3592" operator="greaterThan">
      <formula>0</formula>
    </cfRule>
  </conditionalFormatting>
  <conditionalFormatting sqref="O55">
    <cfRule type="cellIs" dxfId="3887" priority="3585" operator="equal">
      <formula>"PMS"</formula>
    </cfRule>
    <cfRule type="containsText" dxfId="3886" priority="3586" operator="containsText" text="CMS">
      <formula>NOT(ISERROR(SEARCH("CMS",O55)))</formula>
    </cfRule>
    <cfRule type="cellIs" dxfId="3885" priority="3587" operator="equal">
      <formula>0</formula>
    </cfRule>
    <cfRule type="cellIs" dxfId="3884" priority="3588" operator="greaterThan">
      <formula>0</formula>
    </cfRule>
  </conditionalFormatting>
  <conditionalFormatting sqref="O55">
    <cfRule type="cellIs" dxfId="3883" priority="3581" operator="equal">
      <formula>"PMS"</formula>
    </cfRule>
    <cfRule type="containsText" dxfId="3882" priority="3582" operator="containsText" text="CMS">
      <formula>NOT(ISERROR(SEARCH("CMS",O55)))</formula>
    </cfRule>
    <cfRule type="cellIs" dxfId="3881" priority="3583" operator="equal">
      <formula>0</formula>
    </cfRule>
    <cfRule type="cellIs" dxfId="3880" priority="3584" operator="greaterThan">
      <formula>0</formula>
    </cfRule>
  </conditionalFormatting>
  <conditionalFormatting sqref="O55">
    <cfRule type="cellIs" dxfId="3879" priority="3577" operator="equal">
      <formula>"PMS"</formula>
    </cfRule>
    <cfRule type="containsText" dxfId="3878" priority="3578" operator="containsText" text="CMS">
      <formula>NOT(ISERROR(SEARCH("CMS",O55)))</formula>
    </cfRule>
    <cfRule type="cellIs" dxfId="3877" priority="3579" operator="equal">
      <formula>0</formula>
    </cfRule>
    <cfRule type="cellIs" dxfId="3876" priority="3580" operator="greaterThan">
      <formula>0</formula>
    </cfRule>
  </conditionalFormatting>
  <conditionalFormatting sqref="O55">
    <cfRule type="cellIs" dxfId="3875" priority="3573" operator="equal">
      <formula>"PMS"</formula>
    </cfRule>
    <cfRule type="containsText" dxfId="3874" priority="3574" operator="containsText" text="CMS">
      <formula>NOT(ISERROR(SEARCH("CMS",O55)))</formula>
    </cfRule>
    <cfRule type="cellIs" dxfId="3873" priority="3575" operator="equal">
      <formula>0</formula>
    </cfRule>
    <cfRule type="cellIs" dxfId="3872" priority="3576" operator="greaterThan">
      <formula>0</formula>
    </cfRule>
  </conditionalFormatting>
  <conditionalFormatting sqref="O55">
    <cfRule type="cellIs" dxfId="3871" priority="3569" operator="equal">
      <formula>"PMS"</formula>
    </cfRule>
    <cfRule type="containsText" dxfId="3870" priority="3570" operator="containsText" text="CMS">
      <formula>NOT(ISERROR(SEARCH("CMS",O55)))</formula>
    </cfRule>
    <cfRule type="cellIs" dxfId="3869" priority="3571" operator="equal">
      <formula>0</formula>
    </cfRule>
    <cfRule type="cellIs" dxfId="3868" priority="3572" operator="greaterThan">
      <formula>0</formula>
    </cfRule>
  </conditionalFormatting>
  <conditionalFormatting sqref="O55">
    <cfRule type="cellIs" dxfId="3867" priority="3565" operator="equal">
      <formula>"PMS"</formula>
    </cfRule>
    <cfRule type="containsText" dxfId="3866" priority="3566" operator="containsText" text="CMS">
      <formula>NOT(ISERROR(SEARCH("CMS",O55)))</formula>
    </cfRule>
    <cfRule type="cellIs" dxfId="3865" priority="3567" operator="equal">
      <formula>0</formula>
    </cfRule>
    <cfRule type="cellIs" dxfId="3864" priority="3568" operator="greaterThan">
      <formula>0</formula>
    </cfRule>
  </conditionalFormatting>
  <conditionalFormatting sqref="O55">
    <cfRule type="cellIs" dxfId="3863" priority="3561" operator="equal">
      <formula>"PMS"</formula>
    </cfRule>
    <cfRule type="containsText" dxfId="3862" priority="3562" operator="containsText" text="CMS">
      <formula>NOT(ISERROR(SEARCH("CMS",O55)))</formula>
    </cfRule>
    <cfRule type="cellIs" dxfId="3861" priority="3563" operator="equal">
      <formula>0</formula>
    </cfRule>
    <cfRule type="cellIs" dxfId="3860" priority="3564" operator="greaterThan">
      <formula>0</formula>
    </cfRule>
  </conditionalFormatting>
  <conditionalFormatting sqref="O55">
    <cfRule type="cellIs" dxfId="3859" priority="3557" operator="equal">
      <formula>"PMS"</formula>
    </cfRule>
    <cfRule type="containsText" dxfId="3858" priority="3558" operator="containsText" text="CMS">
      <formula>NOT(ISERROR(SEARCH("CMS",O55)))</formula>
    </cfRule>
    <cfRule type="cellIs" dxfId="3857" priority="3559" operator="equal">
      <formula>0</formula>
    </cfRule>
    <cfRule type="cellIs" dxfId="3856" priority="3560" operator="greaterThan">
      <formula>0</formula>
    </cfRule>
  </conditionalFormatting>
  <conditionalFormatting sqref="O55">
    <cfRule type="cellIs" dxfId="3855" priority="3553" operator="equal">
      <formula>"PMS"</formula>
    </cfRule>
    <cfRule type="containsText" dxfId="3854" priority="3554" operator="containsText" text="CMS">
      <formula>NOT(ISERROR(SEARCH("CMS",O55)))</formula>
    </cfRule>
    <cfRule type="cellIs" dxfId="3853" priority="3555" operator="equal">
      <formula>0</formula>
    </cfRule>
    <cfRule type="cellIs" dxfId="3852" priority="3556" operator="greaterThan">
      <formula>0</formula>
    </cfRule>
  </conditionalFormatting>
  <conditionalFormatting sqref="O55">
    <cfRule type="cellIs" dxfId="3851" priority="3549" operator="equal">
      <formula>"PMS"</formula>
    </cfRule>
    <cfRule type="containsText" dxfId="3850" priority="3550" operator="containsText" text="CMS">
      <formula>NOT(ISERROR(SEARCH("CMS",O55)))</formula>
    </cfRule>
    <cfRule type="cellIs" dxfId="3849" priority="3551" operator="equal">
      <formula>0</formula>
    </cfRule>
    <cfRule type="cellIs" dxfId="3848" priority="3552" operator="greaterThan">
      <formula>0</formula>
    </cfRule>
  </conditionalFormatting>
  <conditionalFormatting sqref="O55">
    <cfRule type="cellIs" dxfId="3847" priority="3545" operator="equal">
      <formula>"PMS"</formula>
    </cfRule>
    <cfRule type="containsText" dxfId="3846" priority="3546" operator="containsText" text="CMS">
      <formula>NOT(ISERROR(SEARCH("CMS",O55)))</formula>
    </cfRule>
    <cfRule type="cellIs" dxfId="3845" priority="3547" operator="equal">
      <formula>0</formula>
    </cfRule>
    <cfRule type="cellIs" dxfId="3844" priority="3548" operator="greaterThan">
      <formula>0</formula>
    </cfRule>
  </conditionalFormatting>
  <conditionalFormatting sqref="O55">
    <cfRule type="cellIs" dxfId="3843" priority="3541" operator="equal">
      <formula>"PMS"</formula>
    </cfRule>
    <cfRule type="containsText" dxfId="3842" priority="3542" operator="containsText" text="CMS">
      <formula>NOT(ISERROR(SEARCH("CMS",O55)))</formula>
    </cfRule>
    <cfRule type="cellIs" dxfId="3841" priority="3543" operator="equal">
      <formula>0</formula>
    </cfRule>
    <cfRule type="cellIs" dxfId="3840" priority="3544" operator="greaterThan">
      <formula>0</formula>
    </cfRule>
  </conditionalFormatting>
  <conditionalFormatting sqref="O55">
    <cfRule type="cellIs" dxfId="3839" priority="3537" operator="equal">
      <formula>"PMS"</formula>
    </cfRule>
    <cfRule type="containsText" dxfId="3838" priority="3538" operator="containsText" text="CMS">
      <formula>NOT(ISERROR(SEARCH("CMS",O55)))</formula>
    </cfRule>
    <cfRule type="cellIs" dxfId="3837" priority="3539" operator="equal">
      <formula>0</formula>
    </cfRule>
    <cfRule type="cellIs" dxfId="3836" priority="3540" operator="greaterThan">
      <formula>0</formula>
    </cfRule>
  </conditionalFormatting>
  <conditionalFormatting sqref="O55">
    <cfRule type="cellIs" dxfId="3835" priority="3533" operator="equal">
      <formula>"PMS"</formula>
    </cfRule>
    <cfRule type="containsText" dxfId="3834" priority="3534" operator="containsText" text="CMS">
      <formula>NOT(ISERROR(SEARCH("CMS",O55)))</formula>
    </cfRule>
    <cfRule type="cellIs" dxfId="3833" priority="3535" operator="equal">
      <formula>0</formula>
    </cfRule>
    <cfRule type="cellIs" dxfId="3832" priority="3536" operator="greaterThan">
      <formula>0</formula>
    </cfRule>
  </conditionalFormatting>
  <conditionalFormatting sqref="O55">
    <cfRule type="cellIs" dxfId="3831" priority="3529" operator="equal">
      <formula>"PMS"</formula>
    </cfRule>
    <cfRule type="containsText" dxfId="3830" priority="3530" operator="containsText" text="CMS">
      <formula>NOT(ISERROR(SEARCH("CMS",O55)))</formula>
    </cfRule>
    <cfRule type="cellIs" dxfId="3829" priority="3531" operator="equal">
      <formula>0</formula>
    </cfRule>
    <cfRule type="cellIs" dxfId="3828" priority="3532" operator="greaterThan">
      <formula>0</formula>
    </cfRule>
  </conditionalFormatting>
  <conditionalFormatting sqref="O55">
    <cfRule type="cellIs" dxfId="3827" priority="3525" operator="equal">
      <formula>"PMS"</formula>
    </cfRule>
    <cfRule type="containsText" dxfId="3826" priority="3526" operator="containsText" text="CMS">
      <formula>NOT(ISERROR(SEARCH("CMS",O55)))</formula>
    </cfRule>
    <cfRule type="cellIs" dxfId="3825" priority="3527" operator="equal">
      <formula>0</formula>
    </cfRule>
    <cfRule type="cellIs" dxfId="3824" priority="3528" operator="greaterThan">
      <formula>0</formula>
    </cfRule>
  </conditionalFormatting>
  <conditionalFormatting sqref="O55">
    <cfRule type="cellIs" dxfId="3823" priority="3521" operator="equal">
      <formula>"PMS"</formula>
    </cfRule>
    <cfRule type="containsText" dxfId="3822" priority="3522" operator="containsText" text="CMS">
      <formula>NOT(ISERROR(SEARCH("CMS",O55)))</formula>
    </cfRule>
    <cfRule type="cellIs" dxfId="3821" priority="3523" operator="equal">
      <formula>0</formula>
    </cfRule>
    <cfRule type="cellIs" dxfId="3820" priority="3524" operator="greaterThan">
      <formula>0</formula>
    </cfRule>
  </conditionalFormatting>
  <conditionalFormatting sqref="O55">
    <cfRule type="cellIs" dxfId="3819" priority="3517" operator="equal">
      <formula>"PMS"</formula>
    </cfRule>
    <cfRule type="containsText" dxfId="3818" priority="3518" operator="containsText" text="CMS">
      <formula>NOT(ISERROR(SEARCH("CMS",O55)))</formula>
    </cfRule>
    <cfRule type="cellIs" dxfId="3817" priority="3519" operator="equal">
      <formula>0</formula>
    </cfRule>
    <cfRule type="cellIs" dxfId="3816" priority="3520" operator="greaterThan">
      <formula>0</formula>
    </cfRule>
  </conditionalFormatting>
  <conditionalFormatting sqref="O55">
    <cfRule type="cellIs" dxfId="3815" priority="3513" operator="equal">
      <formula>"PMS"</formula>
    </cfRule>
    <cfRule type="containsText" dxfId="3814" priority="3514" operator="containsText" text="CMS">
      <formula>NOT(ISERROR(SEARCH("CMS",O55)))</formula>
    </cfRule>
    <cfRule type="cellIs" dxfId="3813" priority="3515" operator="equal">
      <formula>0</formula>
    </cfRule>
    <cfRule type="cellIs" dxfId="3812" priority="3516" operator="greaterThan">
      <formula>0</formula>
    </cfRule>
  </conditionalFormatting>
  <conditionalFormatting sqref="O55">
    <cfRule type="cellIs" dxfId="3811" priority="3509" operator="equal">
      <formula>"PMS"</formula>
    </cfRule>
    <cfRule type="containsText" dxfId="3810" priority="3510" operator="containsText" text="CMS">
      <formula>NOT(ISERROR(SEARCH("CMS",O55)))</formula>
    </cfRule>
    <cfRule type="cellIs" dxfId="3809" priority="3511" operator="equal">
      <formula>0</formula>
    </cfRule>
    <cfRule type="cellIs" dxfId="3808" priority="3512" operator="greaterThan">
      <formula>0</formula>
    </cfRule>
  </conditionalFormatting>
  <conditionalFormatting sqref="O55">
    <cfRule type="cellIs" dxfId="3807" priority="3505" operator="equal">
      <formula>"PMS"</formula>
    </cfRule>
    <cfRule type="containsText" dxfId="3806" priority="3506" operator="containsText" text="CMS">
      <formula>NOT(ISERROR(SEARCH("CMS",O55)))</formula>
    </cfRule>
    <cfRule type="cellIs" dxfId="3805" priority="3507" operator="equal">
      <formula>0</formula>
    </cfRule>
    <cfRule type="cellIs" dxfId="3804" priority="3508" operator="greaterThan">
      <formula>0</formula>
    </cfRule>
  </conditionalFormatting>
  <conditionalFormatting sqref="O55">
    <cfRule type="cellIs" dxfId="3803" priority="3501" operator="equal">
      <formula>"PMS"</formula>
    </cfRule>
    <cfRule type="containsText" dxfId="3802" priority="3502" operator="containsText" text="CMS">
      <formula>NOT(ISERROR(SEARCH("CMS",O55)))</formula>
    </cfRule>
    <cfRule type="cellIs" dxfId="3801" priority="3503" operator="equal">
      <formula>0</formula>
    </cfRule>
    <cfRule type="cellIs" dxfId="3800" priority="3504" operator="greaterThan">
      <formula>0</formula>
    </cfRule>
  </conditionalFormatting>
  <conditionalFormatting sqref="O55">
    <cfRule type="cellIs" dxfId="3799" priority="3497" operator="equal">
      <formula>"PMS"</formula>
    </cfRule>
    <cfRule type="containsText" dxfId="3798" priority="3498" operator="containsText" text="CMS">
      <formula>NOT(ISERROR(SEARCH("CMS",O55)))</formula>
    </cfRule>
    <cfRule type="cellIs" dxfId="3797" priority="3499" operator="equal">
      <formula>0</formula>
    </cfRule>
    <cfRule type="cellIs" dxfId="3796" priority="3500" operator="greaterThan">
      <formula>0</formula>
    </cfRule>
  </conditionalFormatting>
  <conditionalFormatting sqref="O55">
    <cfRule type="cellIs" dxfId="3795" priority="3493" operator="equal">
      <formula>"PMS"</formula>
    </cfRule>
    <cfRule type="containsText" dxfId="3794" priority="3494" operator="containsText" text="CMS">
      <formula>NOT(ISERROR(SEARCH("CMS",O55)))</formula>
    </cfRule>
    <cfRule type="cellIs" dxfId="3793" priority="3495" operator="equal">
      <formula>0</formula>
    </cfRule>
    <cfRule type="cellIs" dxfId="3792" priority="3496" operator="greaterThan">
      <formula>0</formula>
    </cfRule>
  </conditionalFormatting>
  <conditionalFormatting sqref="O55">
    <cfRule type="cellIs" dxfId="3791" priority="3489" operator="equal">
      <formula>"PMS"</formula>
    </cfRule>
    <cfRule type="containsText" dxfId="3790" priority="3490" operator="containsText" text="CMS">
      <formula>NOT(ISERROR(SEARCH("CMS",O55)))</formula>
    </cfRule>
    <cfRule type="cellIs" dxfId="3789" priority="3491" operator="equal">
      <formula>0</formula>
    </cfRule>
    <cfRule type="cellIs" dxfId="3788" priority="3492" operator="greaterThan">
      <formula>0</formula>
    </cfRule>
  </conditionalFormatting>
  <conditionalFormatting sqref="O55">
    <cfRule type="cellIs" dxfId="3787" priority="3485" operator="equal">
      <formula>"PMS"</formula>
    </cfRule>
    <cfRule type="containsText" dxfId="3786" priority="3486" operator="containsText" text="CMS">
      <formula>NOT(ISERROR(SEARCH("CMS",O55)))</formula>
    </cfRule>
    <cfRule type="cellIs" dxfId="3785" priority="3487" operator="equal">
      <formula>0</formula>
    </cfRule>
    <cfRule type="cellIs" dxfId="3784" priority="3488" operator="greaterThan">
      <formula>0</formula>
    </cfRule>
  </conditionalFormatting>
  <conditionalFormatting sqref="O55">
    <cfRule type="cellIs" dxfId="3783" priority="3481" operator="equal">
      <formula>"PMS"</formula>
    </cfRule>
    <cfRule type="containsText" dxfId="3782" priority="3482" operator="containsText" text="CMS">
      <formula>NOT(ISERROR(SEARCH("CMS",O55)))</formula>
    </cfRule>
    <cfRule type="cellIs" dxfId="3781" priority="3483" operator="equal">
      <formula>0</formula>
    </cfRule>
    <cfRule type="cellIs" dxfId="3780" priority="3484" operator="greaterThan">
      <formula>0</formula>
    </cfRule>
  </conditionalFormatting>
  <conditionalFormatting sqref="O55">
    <cfRule type="cellIs" dxfId="3779" priority="3477" operator="equal">
      <formula>"PMS"</formula>
    </cfRule>
    <cfRule type="containsText" dxfId="3778" priority="3478" operator="containsText" text="CMS">
      <formula>NOT(ISERROR(SEARCH("CMS",O55)))</formula>
    </cfRule>
    <cfRule type="cellIs" dxfId="3777" priority="3479" operator="equal">
      <formula>0</formula>
    </cfRule>
    <cfRule type="cellIs" dxfId="3776" priority="3480" operator="greaterThan">
      <formula>0</formula>
    </cfRule>
  </conditionalFormatting>
  <conditionalFormatting sqref="O55">
    <cfRule type="cellIs" dxfId="3775" priority="3473" operator="equal">
      <formula>"PMS"</formula>
    </cfRule>
    <cfRule type="containsText" dxfId="3774" priority="3474" operator="containsText" text="CMS">
      <formula>NOT(ISERROR(SEARCH("CMS",O55)))</formula>
    </cfRule>
    <cfRule type="cellIs" dxfId="3773" priority="3475" operator="equal">
      <formula>0</formula>
    </cfRule>
    <cfRule type="cellIs" dxfId="3772" priority="3476" operator="greaterThan">
      <formula>0</formula>
    </cfRule>
  </conditionalFormatting>
  <conditionalFormatting sqref="O55">
    <cfRule type="cellIs" dxfId="3771" priority="3469" operator="equal">
      <formula>"PMS"</formula>
    </cfRule>
    <cfRule type="containsText" dxfId="3770" priority="3470" operator="containsText" text="CMS">
      <formula>NOT(ISERROR(SEARCH("CMS",O55)))</formula>
    </cfRule>
    <cfRule type="cellIs" dxfId="3769" priority="3471" operator="equal">
      <formula>0</formula>
    </cfRule>
    <cfRule type="cellIs" dxfId="3768" priority="3472" operator="greaterThan">
      <formula>0</formula>
    </cfRule>
  </conditionalFormatting>
  <conditionalFormatting sqref="O55">
    <cfRule type="cellIs" dxfId="3767" priority="3465" operator="equal">
      <formula>"PMS"</formula>
    </cfRule>
    <cfRule type="containsText" dxfId="3766" priority="3466" operator="containsText" text="CMS">
      <formula>NOT(ISERROR(SEARCH("CMS",O55)))</formula>
    </cfRule>
    <cfRule type="cellIs" dxfId="3765" priority="3467" operator="equal">
      <formula>0</formula>
    </cfRule>
    <cfRule type="cellIs" dxfId="3764" priority="3468" operator="greaterThan">
      <formula>0</formula>
    </cfRule>
  </conditionalFormatting>
  <conditionalFormatting sqref="O55">
    <cfRule type="cellIs" dxfId="3763" priority="3461" operator="equal">
      <formula>"PMS"</formula>
    </cfRule>
    <cfRule type="containsText" dxfId="3762" priority="3462" operator="containsText" text="CMS">
      <formula>NOT(ISERROR(SEARCH("CMS",O55)))</formula>
    </cfRule>
    <cfRule type="cellIs" dxfId="3761" priority="3463" operator="equal">
      <formula>0</formula>
    </cfRule>
    <cfRule type="cellIs" dxfId="3760" priority="3464" operator="greaterThan">
      <formula>0</formula>
    </cfRule>
  </conditionalFormatting>
  <conditionalFormatting sqref="O55">
    <cfRule type="cellIs" dxfId="3759" priority="3457" operator="equal">
      <formula>"PMS"</formula>
    </cfRule>
    <cfRule type="containsText" dxfId="3758" priority="3458" operator="containsText" text="CMS">
      <formula>NOT(ISERROR(SEARCH("CMS",O55)))</formula>
    </cfRule>
    <cfRule type="cellIs" dxfId="3757" priority="3459" operator="equal">
      <formula>0</formula>
    </cfRule>
    <cfRule type="cellIs" dxfId="3756" priority="3460" operator="greaterThan">
      <formula>0</formula>
    </cfRule>
  </conditionalFormatting>
  <conditionalFormatting sqref="O55">
    <cfRule type="cellIs" dxfId="3755" priority="3453" operator="equal">
      <formula>"PMS"</formula>
    </cfRule>
    <cfRule type="containsText" dxfId="3754" priority="3454" operator="containsText" text="CMS">
      <formula>NOT(ISERROR(SEARCH("CMS",O55)))</formula>
    </cfRule>
    <cfRule type="cellIs" dxfId="3753" priority="3455" operator="equal">
      <formula>0</formula>
    </cfRule>
    <cfRule type="cellIs" dxfId="3752" priority="3456" operator="greaterThan">
      <formula>0</formula>
    </cfRule>
  </conditionalFormatting>
  <conditionalFormatting sqref="O55">
    <cfRule type="cellIs" dxfId="3751" priority="3449" operator="equal">
      <formula>"PMS"</formula>
    </cfRule>
    <cfRule type="containsText" dxfId="3750" priority="3450" operator="containsText" text="CMS">
      <formula>NOT(ISERROR(SEARCH("CMS",O55)))</formula>
    </cfRule>
    <cfRule type="cellIs" dxfId="3749" priority="3451" operator="equal">
      <formula>0</formula>
    </cfRule>
    <cfRule type="cellIs" dxfId="3748" priority="3452" operator="greaterThan">
      <formula>0</formula>
    </cfRule>
  </conditionalFormatting>
  <conditionalFormatting sqref="O55">
    <cfRule type="cellIs" dxfId="3747" priority="3445" operator="equal">
      <formula>"PMS"</formula>
    </cfRule>
    <cfRule type="containsText" dxfId="3746" priority="3446" operator="containsText" text="CMS">
      <formula>NOT(ISERROR(SEARCH("CMS",O55)))</formula>
    </cfRule>
    <cfRule type="cellIs" dxfId="3745" priority="3447" operator="equal">
      <formula>0</formula>
    </cfRule>
    <cfRule type="cellIs" dxfId="3744" priority="3448" operator="greaterThan">
      <formula>0</formula>
    </cfRule>
  </conditionalFormatting>
  <conditionalFormatting sqref="O55">
    <cfRule type="cellIs" dxfId="3743" priority="3441" operator="equal">
      <formula>"PMS"</formula>
    </cfRule>
    <cfRule type="containsText" dxfId="3742" priority="3442" operator="containsText" text="CMS">
      <formula>NOT(ISERROR(SEARCH("CMS",O55)))</formula>
    </cfRule>
    <cfRule type="cellIs" dxfId="3741" priority="3443" operator="equal">
      <formula>0</formula>
    </cfRule>
    <cfRule type="cellIs" dxfId="3740" priority="3444" operator="greaterThan">
      <formula>0</formula>
    </cfRule>
  </conditionalFormatting>
  <conditionalFormatting sqref="O55">
    <cfRule type="cellIs" dxfId="3739" priority="3437" operator="equal">
      <formula>"PMS"</formula>
    </cfRule>
    <cfRule type="containsText" dxfId="3738" priority="3438" operator="containsText" text="CMS">
      <formula>NOT(ISERROR(SEARCH("CMS",O55)))</formula>
    </cfRule>
    <cfRule type="cellIs" dxfId="3737" priority="3439" operator="equal">
      <formula>0</formula>
    </cfRule>
    <cfRule type="cellIs" dxfId="3736" priority="3440" operator="greaterThan">
      <formula>0</formula>
    </cfRule>
  </conditionalFormatting>
  <conditionalFormatting sqref="O55">
    <cfRule type="cellIs" dxfId="3735" priority="3433" operator="equal">
      <formula>"PMS"</formula>
    </cfRule>
    <cfRule type="containsText" dxfId="3734" priority="3434" operator="containsText" text="CMS">
      <formula>NOT(ISERROR(SEARCH("CMS",O55)))</formula>
    </cfRule>
    <cfRule type="cellIs" dxfId="3733" priority="3435" operator="equal">
      <formula>0</formula>
    </cfRule>
    <cfRule type="cellIs" dxfId="3732" priority="3436" operator="greaterThan">
      <formula>0</formula>
    </cfRule>
  </conditionalFormatting>
  <conditionalFormatting sqref="O55">
    <cfRule type="cellIs" dxfId="3731" priority="3429" operator="equal">
      <formula>"PMS"</formula>
    </cfRule>
    <cfRule type="containsText" dxfId="3730" priority="3430" operator="containsText" text="CMS">
      <formula>NOT(ISERROR(SEARCH("CMS",O55)))</formula>
    </cfRule>
    <cfRule type="cellIs" dxfId="3729" priority="3431" operator="equal">
      <formula>0</formula>
    </cfRule>
    <cfRule type="cellIs" dxfId="3728" priority="3432" operator="greaterThan">
      <formula>0</formula>
    </cfRule>
  </conditionalFormatting>
  <conditionalFormatting sqref="O55">
    <cfRule type="cellIs" dxfId="3727" priority="3425" operator="equal">
      <formula>"PMS"</formula>
    </cfRule>
    <cfRule type="containsText" dxfId="3726" priority="3426" operator="containsText" text="CMS">
      <formula>NOT(ISERROR(SEARCH("CMS",O55)))</formula>
    </cfRule>
    <cfRule type="cellIs" dxfId="3725" priority="3427" operator="equal">
      <formula>0</formula>
    </cfRule>
    <cfRule type="cellIs" dxfId="3724" priority="3428" operator="greaterThan">
      <formula>0</formula>
    </cfRule>
  </conditionalFormatting>
  <conditionalFormatting sqref="O55">
    <cfRule type="cellIs" dxfId="3723" priority="3421" operator="equal">
      <formula>"PMS"</formula>
    </cfRule>
    <cfRule type="containsText" dxfId="3722" priority="3422" operator="containsText" text="CMS">
      <formula>NOT(ISERROR(SEARCH("CMS",O55)))</formula>
    </cfRule>
    <cfRule type="cellIs" dxfId="3721" priority="3423" operator="equal">
      <formula>0</formula>
    </cfRule>
    <cfRule type="cellIs" dxfId="3720" priority="3424" operator="greaterThan">
      <formula>0</formula>
    </cfRule>
  </conditionalFormatting>
  <conditionalFormatting sqref="O55">
    <cfRule type="cellIs" dxfId="3719" priority="3417" operator="equal">
      <formula>"PMS"</formula>
    </cfRule>
    <cfRule type="containsText" dxfId="3718" priority="3418" operator="containsText" text="CMS">
      <formula>NOT(ISERROR(SEARCH("CMS",O55)))</formula>
    </cfRule>
    <cfRule type="cellIs" dxfId="3717" priority="3419" operator="equal">
      <formula>0</formula>
    </cfRule>
    <cfRule type="cellIs" dxfId="3716" priority="3420" operator="greaterThan">
      <formula>0</formula>
    </cfRule>
  </conditionalFormatting>
  <conditionalFormatting sqref="O55">
    <cfRule type="cellIs" dxfId="3715" priority="3413" operator="equal">
      <formula>"PMS"</formula>
    </cfRule>
    <cfRule type="containsText" dxfId="3714" priority="3414" operator="containsText" text="CMS">
      <formula>NOT(ISERROR(SEARCH("CMS",O55)))</formula>
    </cfRule>
    <cfRule type="cellIs" dxfId="3713" priority="3415" operator="equal">
      <formula>0</formula>
    </cfRule>
    <cfRule type="cellIs" dxfId="3712" priority="3416" operator="greaterThan">
      <formula>0</formula>
    </cfRule>
  </conditionalFormatting>
  <conditionalFormatting sqref="O55">
    <cfRule type="cellIs" dxfId="3711" priority="3409" operator="equal">
      <formula>"PMS"</formula>
    </cfRule>
    <cfRule type="containsText" dxfId="3710" priority="3410" operator="containsText" text="CMS">
      <formula>NOT(ISERROR(SEARCH("CMS",O55)))</formula>
    </cfRule>
    <cfRule type="cellIs" dxfId="3709" priority="3411" operator="equal">
      <formula>0</formula>
    </cfRule>
    <cfRule type="cellIs" dxfId="3708" priority="3412" operator="greaterThan">
      <formula>0</formula>
    </cfRule>
  </conditionalFormatting>
  <conditionalFormatting sqref="O55">
    <cfRule type="cellIs" dxfId="3707" priority="3405" operator="equal">
      <formula>"PMS"</formula>
    </cfRule>
    <cfRule type="containsText" dxfId="3706" priority="3406" operator="containsText" text="CMS">
      <formula>NOT(ISERROR(SEARCH("CMS",O55)))</formula>
    </cfRule>
    <cfRule type="cellIs" dxfId="3705" priority="3407" operator="equal">
      <formula>0</formula>
    </cfRule>
    <cfRule type="cellIs" dxfId="3704" priority="3408" operator="greaterThan">
      <formula>0</formula>
    </cfRule>
  </conditionalFormatting>
  <conditionalFormatting sqref="O55">
    <cfRule type="cellIs" dxfId="3703" priority="3401" operator="equal">
      <formula>"PMS"</formula>
    </cfRule>
    <cfRule type="containsText" dxfId="3702" priority="3402" operator="containsText" text="CMS">
      <formula>NOT(ISERROR(SEARCH("CMS",O55)))</formula>
    </cfRule>
    <cfRule type="cellIs" dxfId="3701" priority="3403" operator="equal">
      <formula>0</formula>
    </cfRule>
    <cfRule type="cellIs" dxfId="3700" priority="3404" operator="greaterThan">
      <formula>0</formula>
    </cfRule>
  </conditionalFormatting>
  <conditionalFormatting sqref="O55">
    <cfRule type="cellIs" dxfId="3699" priority="3397" operator="equal">
      <formula>"PMS"</formula>
    </cfRule>
    <cfRule type="containsText" dxfId="3698" priority="3398" operator="containsText" text="CMS">
      <formula>NOT(ISERROR(SEARCH("CMS",O55)))</formula>
    </cfRule>
    <cfRule type="cellIs" dxfId="3697" priority="3399" operator="equal">
      <formula>0</formula>
    </cfRule>
    <cfRule type="cellIs" dxfId="3696" priority="3400" operator="greaterThan">
      <formula>0</formula>
    </cfRule>
  </conditionalFormatting>
  <conditionalFormatting sqref="O55">
    <cfRule type="cellIs" dxfId="3695" priority="3393" operator="equal">
      <formula>"PMS"</formula>
    </cfRule>
    <cfRule type="containsText" dxfId="3694" priority="3394" operator="containsText" text="CMS">
      <formula>NOT(ISERROR(SEARCH("CMS",O55)))</formula>
    </cfRule>
    <cfRule type="cellIs" dxfId="3693" priority="3395" operator="equal">
      <formula>0</formula>
    </cfRule>
    <cfRule type="cellIs" dxfId="3692" priority="3396" operator="greaterThan">
      <formula>0</formula>
    </cfRule>
  </conditionalFormatting>
  <conditionalFormatting sqref="O55">
    <cfRule type="cellIs" dxfId="3691" priority="3389" operator="equal">
      <formula>"PMS"</formula>
    </cfRule>
    <cfRule type="containsText" dxfId="3690" priority="3390" operator="containsText" text="CMS">
      <formula>NOT(ISERROR(SEARCH("CMS",O55)))</formula>
    </cfRule>
    <cfRule type="cellIs" dxfId="3689" priority="3391" operator="equal">
      <formula>0</formula>
    </cfRule>
    <cfRule type="cellIs" dxfId="3688" priority="3392" operator="greaterThan">
      <formula>0</formula>
    </cfRule>
  </conditionalFormatting>
  <conditionalFormatting sqref="O55">
    <cfRule type="cellIs" dxfId="3687" priority="3385" operator="equal">
      <formula>"PMS"</formula>
    </cfRule>
    <cfRule type="containsText" dxfId="3686" priority="3386" operator="containsText" text="CMS">
      <formula>NOT(ISERROR(SEARCH("CMS",O55)))</formula>
    </cfRule>
    <cfRule type="cellIs" dxfId="3685" priority="3387" operator="equal">
      <formula>0</formula>
    </cfRule>
    <cfRule type="cellIs" dxfId="3684" priority="3388" operator="greaterThan">
      <formula>0</formula>
    </cfRule>
  </conditionalFormatting>
  <conditionalFormatting sqref="O55">
    <cfRule type="cellIs" dxfId="3683" priority="3381" operator="equal">
      <formula>"PMS"</formula>
    </cfRule>
    <cfRule type="containsText" dxfId="3682" priority="3382" operator="containsText" text="CMS">
      <formula>NOT(ISERROR(SEARCH("CMS",O55)))</formula>
    </cfRule>
    <cfRule type="cellIs" dxfId="3681" priority="3383" operator="equal">
      <formula>0</formula>
    </cfRule>
    <cfRule type="cellIs" dxfId="3680" priority="3384" operator="greaterThan">
      <formula>0</formula>
    </cfRule>
  </conditionalFormatting>
  <conditionalFormatting sqref="O55">
    <cfRule type="cellIs" dxfId="3679" priority="3377" operator="equal">
      <formula>"PMS"</formula>
    </cfRule>
    <cfRule type="containsText" dxfId="3678" priority="3378" operator="containsText" text="CMS">
      <formula>NOT(ISERROR(SEARCH("CMS",O55)))</formula>
    </cfRule>
    <cfRule type="cellIs" dxfId="3677" priority="3379" operator="equal">
      <formula>0</formula>
    </cfRule>
    <cfRule type="cellIs" dxfId="3676" priority="3380" operator="greaterThan">
      <formula>0</formula>
    </cfRule>
  </conditionalFormatting>
  <conditionalFormatting sqref="O55">
    <cfRule type="cellIs" dxfId="3675" priority="3373" operator="equal">
      <formula>"PMS"</formula>
    </cfRule>
    <cfRule type="containsText" dxfId="3674" priority="3374" operator="containsText" text="CMS">
      <formula>NOT(ISERROR(SEARCH("CMS",O55)))</formula>
    </cfRule>
    <cfRule type="cellIs" dxfId="3673" priority="3375" operator="equal">
      <formula>0</formula>
    </cfRule>
    <cfRule type="cellIs" dxfId="3672" priority="3376" operator="greaterThan">
      <formula>0</formula>
    </cfRule>
  </conditionalFormatting>
  <conditionalFormatting sqref="O55">
    <cfRule type="cellIs" dxfId="3671" priority="3369" operator="equal">
      <formula>"PMS"</formula>
    </cfRule>
    <cfRule type="containsText" dxfId="3670" priority="3370" operator="containsText" text="CMS">
      <formula>NOT(ISERROR(SEARCH("CMS",O55)))</formula>
    </cfRule>
    <cfRule type="cellIs" dxfId="3669" priority="3371" operator="equal">
      <formula>0</formula>
    </cfRule>
    <cfRule type="cellIs" dxfId="3668" priority="3372" operator="greaterThan">
      <formula>0</formula>
    </cfRule>
  </conditionalFormatting>
  <conditionalFormatting sqref="O55">
    <cfRule type="cellIs" dxfId="3667" priority="3365" operator="equal">
      <formula>"PMS"</formula>
    </cfRule>
    <cfRule type="containsText" dxfId="3666" priority="3366" operator="containsText" text="CMS">
      <formula>NOT(ISERROR(SEARCH("CMS",O55)))</formula>
    </cfRule>
    <cfRule type="cellIs" dxfId="3665" priority="3367" operator="equal">
      <formula>0</formula>
    </cfRule>
    <cfRule type="cellIs" dxfId="3664" priority="3368" operator="greaterThan">
      <formula>0</formula>
    </cfRule>
  </conditionalFormatting>
  <conditionalFormatting sqref="O55">
    <cfRule type="cellIs" dxfId="3663" priority="3361" operator="equal">
      <formula>"PMS"</formula>
    </cfRule>
    <cfRule type="containsText" dxfId="3662" priority="3362" operator="containsText" text="CMS">
      <formula>NOT(ISERROR(SEARCH("CMS",O55)))</formula>
    </cfRule>
    <cfRule type="cellIs" dxfId="3661" priority="3363" operator="equal">
      <formula>0</formula>
    </cfRule>
    <cfRule type="cellIs" dxfId="3660" priority="3364" operator="greaterThan">
      <formula>0</formula>
    </cfRule>
  </conditionalFormatting>
  <conditionalFormatting sqref="O55">
    <cfRule type="cellIs" dxfId="3659" priority="3357" operator="equal">
      <formula>"PMS"</formula>
    </cfRule>
    <cfRule type="containsText" dxfId="3658" priority="3358" operator="containsText" text="CMS">
      <formula>NOT(ISERROR(SEARCH("CMS",O55)))</formula>
    </cfRule>
    <cfRule type="cellIs" dxfId="3657" priority="3359" operator="equal">
      <formula>0</formula>
    </cfRule>
    <cfRule type="cellIs" dxfId="3656" priority="3360" operator="greaterThan">
      <formula>0</formula>
    </cfRule>
  </conditionalFormatting>
  <conditionalFormatting sqref="O55">
    <cfRule type="cellIs" dxfId="3655" priority="3353" operator="equal">
      <formula>"PMS"</formula>
    </cfRule>
    <cfRule type="containsText" dxfId="3654" priority="3354" operator="containsText" text="CMS">
      <formula>NOT(ISERROR(SEARCH("CMS",O55)))</formula>
    </cfRule>
    <cfRule type="cellIs" dxfId="3653" priority="3355" operator="equal">
      <formula>0</formula>
    </cfRule>
    <cfRule type="cellIs" dxfId="3652" priority="3356" operator="greaterThan">
      <formula>0</formula>
    </cfRule>
  </conditionalFormatting>
  <conditionalFormatting sqref="O55">
    <cfRule type="cellIs" dxfId="3651" priority="3349" operator="equal">
      <formula>"PMS"</formula>
    </cfRule>
    <cfRule type="containsText" dxfId="3650" priority="3350" operator="containsText" text="CMS">
      <formula>NOT(ISERROR(SEARCH("CMS",O55)))</formula>
    </cfRule>
    <cfRule type="cellIs" dxfId="3649" priority="3351" operator="equal">
      <formula>0</formula>
    </cfRule>
    <cfRule type="cellIs" dxfId="3648" priority="3352" operator="greaterThan">
      <formula>0</formula>
    </cfRule>
  </conditionalFormatting>
  <conditionalFormatting sqref="O55">
    <cfRule type="cellIs" dxfId="3647" priority="3345" operator="equal">
      <formula>"PMS"</formula>
    </cfRule>
    <cfRule type="containsText" dxfId="3646" priority="3346" operator="containsText" text="CMS">
      <formula>NOT(ISERROR(SEARCH("CMS",O55)))</formula>
    </cfRule>
    <cfRule type="cellIs" dxfId="3645" priority="3347" operator="equal">
      <formula>0</formula>
    </cfRule>
    <cfRule type="cellIs" dxfId="3644" priority="3348" operator="greaterThan">
      <formula>0</formula>
    </cfRule>
  </conditionalFormatting>
  <conditionalFormatting sqref="O55">
    <cfRule type="cellIs" dxfId="3643" priority="3341" operator="equal">
      <formula>"PMS"</formula>
    </cfRule>
    <cfRule type="containsText" dxfId="3642" priority="3342" operator="containsText" text="CMS">
      <formula>NOT(ISERROR(SEARCH("CMS",O55)))</formula>
    </cfRule>
    <cfRule type="cellIs" dxfId="3641" priority="3343" operator="equal">
      <formula>0</formula>
    </cfRule>
    <cfRule type="cellIs" dxfId="3640" priority="3344" operator="greaterThan">
      <formula>0</formula>
    </cfRule>
  </conditionalFormatting>
  <conditionalFormatting sqref="O55">
    <cfRule type="cellIs" dxfId="3639" priority="3337" operator="equal">
      <formula>"PMS"</formula>
    </cfRule>
    <cfRule type="containsText" dxfId="3638" priority="3338" operator="containsText" text="CMS">
      <formula>NOT(ISERROR(SEARCH("CMS",O55)))</formula>
    </cfRule>
    <cfRule type="cellIs" dxfId="3637" priority="3339" operator="equal">
      <formula>0</formula>
    </cfRule>
    <cfRule type="cellIs" dxfId="3636" priority="3340" operator="greaterThan">
      <formula>0</formula>
    </cfRule>
  </conditionalFormatting>
  <conditionalFormatting sqref="O55">
    <cfRule type="cellIs" dxfId="3635" priority="3333" operator="equal">
      <formula>"PMS"</formula>
    </cfRule>
    <cfRule type="containsText" dxfId="3634" priority="3334" operator="containsText" text="CMS">
      <formula>NOT(ISERROR(SEARCH("CMS",O55)))</formula>
    </cfRule>
    <cfRule type="cellIs" dxfId="3633" priority="3335" operator="equal">
      <formula>0</formula>
    </cfRule>
    <cfRule type="cellIs" dxfId="3632" priority="3336" operator="greaterThan">
      <formula>0</formula>
    </cfRule>
  </conditionalFormatting>
  <conditionalFormatting sqref="O55">
    <cfRule type="cellIs" dxfId="3631" priority="3329" operator="equal">
      <formula>"PMS"</formula>
    </cfRule>
    <cfRule type="containsText" dxfId="3630" priority="3330" operator="containsText" text="CMS">
      <formula>NOT(ISERROR(SEARCH("CMS",O55)))</formula>
    </cfRule>
    <cfRule type="cellIs" dxfId="3629" priority="3331" operator="equal">
      <formula>0</formula>
    </cfRule>
    <cfRule type="cellIs" dxfId="3628" priority="3332" operator="greaterThan">
      <formula>0</formula>
    </cfRule>
  </conditionalFormatting>
  <conditionalFormatting sqref="O55">
    <cfRule type="cellIs" dxfId="3627" priority="3325" operator="equal">
      <formula>"PMS"</formula>
    </cfRule>
    <cfRule type="containsText" dxfId="3626" priority="3326" operator="containsText" text="CMS">
      <formula>NOT(ISERROR(SEARCH("CMS",O55)))</formula>
    </cfRule>
    <cfRule type="cellIs" dxfId="3625" priority="3327" operator="equal">
      <formula>0</formula>
    </cfRule>
    <cfRule type="cellIs" dxfId="3624" priority="3328" operator="greaterThan">
      <formula>0</formula>
    </cfRule>
  </conditionalFormatting>
  <conditionalFormatting sqref="O55">
    <cfRule type="cellIs" dxfId="3623" priority="3321" operator="equal">
      <formula>"PMS"</formula>
    </cfRule>
    <cfRule type="containsText" dxfId="3622" priority="3322" operator="containsText" text="CMS">
      <formula>NOT(ISERROR(SEARCH("CMS",O55)))</formula>
    </cfRule>
    <cfRule type="cellIs" dxfId="3621" priority="3323" operator="equal">
      <formula>0</formula>
    </cfRule>
    <cfRule type="cellIs" dxfId="3620" priority="3324" operator="greaterThan">
      <formula>0</formula>
    </cfRule>
  </conditionalFormatting>
  <conditionalFormatting sqref="O55">
    <cfRule type="cellIs" dxfId="3619" priority="3317" operator="equal">
      <formula>"PMS"</formula>
    </cfRule>
    <cfRule type="containsText" dxfId="3618" priority="3318" operator="containsText" text="CMS">
      <formula>NOT(ISERROR(SEARCH("CMS",O55)))</formula>
    </cfRule>
    <cfRule type="cellIs" dxfId="3617" priority="3319" operator="equal">
      <formula>0</formula>
    </cfRule>
    <cfRule type="cellIs" dxfId="3616" priority="3320" operator="greaterThan">
      <formula>0</formula>
    </cfRule>
  </conditionalFormatting>
  <conditionalFormatting sqref="O55">
    <cfRule type="cellIs" dxfId="3615" priority="3313" operator="equal">
      <formula>"PMS"</formula>
    </cfRule>
    <cfRule type="containsText" dxfId="3614" priority="3314" operator="containsText" text="CMS">
      <formula>NOT(ISERROR(SEARCH("CMS",O55)))</formula>
    </cfRule>
    <cfRule type="cellIs" dxfId="3613" priority="3315" operator="equal">
      <formula>0</formula>
    </cfRule>
    <cfRule type="cellIs" dxfId="3612" priority="3316" operator="greaterThan">
      <formula>0</formula>
    </cfRule>
  </conditionalFormatting>
  <conditionalFormatting sqref="O55">
    <cfRule type="cellIs" dxfId="3611" priority="3309" operator="equal">
      <formula>"PMS"</formula>
    </cfRule>
    <cfRule type="containsText" dxfId="3610" priority="3310" operator="containsText" text="CMS">
      <formula>NOT(ISERROR(SEARCH("CMS",O55)))</formula>
    </cfRule>
    <cfRule type="cellIs" dxfId="3609" priority="3311" operator="equal">
      <formula>0</formula>
    </cfRule>
    <cfRule type="cellIs" dxfId="3608" priority="3312" operator="greaterThan">
      <formula>0</formula>
    </cfRule>
  </conditionalFormatting>
  <conditionalFormatting sqref="O55">
    <cfRule type="cellIs" dxfId="3607" priority="3305" operator="equal">
      <formula>"PMS"</formula>
    </cfRule>
    <cfRule type="containsText" dxfId="3606" priority="3306" operator="containsText" text="CMS">
      <formula>NOT(ISERROR(SEARCH("CMS",O55)))</formula>
    </cfRule>
    <cfRule type="cellIs" dxfId="3605" priority="3307" operator="equal">
      <formula>0</formula>
    </cfRule>
    <cfRule type="cellIs" dxfId="3604" priority="3308" operator="greaterThan">
      <formula>0</formula>
    </cfRule>
  </conditionalFormatting>
  <conditionalFormatting sqref="O55">
    <cfRule type="cellIs" dxfId="3603" priority="3301" operator="equal">
      <formula>"PMS"</formula>
    </cfRule>
    <cfRule type="containsText" dxfId="3602" priority="3302" operator="containsText" text="CMS">
      <formula>NOT(ISERROR(SEARCH("CMS",O55)))</formula>
    </cfRule>
    <cfRule type="cellIs" dxfId="3601" priority="3303" operator="equal">
      <formula>0</formula>
    </cfRule>
    <cfRule type="cellIs" dxfId="3600" priority="3304" operator="greaterThan">
      <formula>0</formula>
    </cfRule>
  </conditionalFormatting>
  <conditionalFormatting sqref="O55">
    <cfRule type="cellIs" dxfId="3599" priority="3297" operator="equal">
      <formula>"PMS"</formula>
    </cfRule>
    <cfRule type="containsText" dxfId="3598" priority="3298" operator="containsText" text="CMS">
      <formula>NOT(ISERROR(SEARCH("CMS",O55)))</formula>
    </cfRule>
    <cfRule type="cellIs" dxfId="3597" priority="3299" operator="equal">
      <formula>0</formula>
    </cfRule>
    <cfRule type="cellIs" dxfId="3596" priority="3300" operator="greaterThan">
      <formula>0</formula>
    </cfRule>
  </conditionalFormatting>
  <conditionalFormatting sqref="O55">
    <cfRule type="cellIs" dxfId="3595" priority="3293" operator="equal">
      <formula>"PMS"</formula>
    </cfRule>
    <cfRule type="containsText" dxfId="3594" priority="3294" operator="containsText" text="CMS">
      <formula>NOT(ISERROR(SEARCH("CMS",O55)))</formula>
    </cfRule>
    <cfRule type="cellIs" dxfId="3593" priority="3295" operator="equal">
      <formula>0</formula>
    </cfRule>
    <cfRule type="cellIs" dxfId="3592" priority="3296" operator="greaterThan">
      <formula>0</formula>
    </cfRule>
  </conditionalFormatting>
  <conditionalFormatting sqref="O55">
    <cfRule type="cellIs" dxfId="3591" priority="3289" operator="equal">
      <formula>"PMS"</formula>
    </cfRule>
    <cfRule type="containsText" dxfId="3590" priority="3290" operator="containsText" text="CMS">
      <formula>NOT(ISERROR(SEARCH("CMS",O55)))</formula>
    </cfRule>
    <cfRule type="cellIs" dxfId="3589" priority="3291" operator="equal">
      <formula>0</formula>
    </cfRule>
    <cfRule type="cellIs" dxfId="3588" priority="3292" operator="greaterThan">
      <formula>0</formula>
    </cfRule>
  </conditionalFormatting>
  <conditionalFormatting sqref="O55">
    <cfRule type="cellIs" dxfId="3587" priority="3285" operator="equal">
      <formula>"PMS"</formula>
    </cfRule>
    <cfRule type="containsText" dxfId="3586" priority="3286" operator="containsText" text="CMS">
      <formula>NOT(ISERROR(SEARCH("CMS",O55)))</formula>
    </cfRule>
    <cfRule type="cellIs" dxfId="3585" priority="3287" operator="equal">
      <formula>0</formula>
    </cfRule>
    <cfRule type="cellIs" dxfId="3584" priority="3288" operator="greaterThan">
      <formula>0</formula>
    </cfRule>
  </conditionalFormatting>
  <conditionalFormatting sqref="O55">
    <cfRule type="cellIs" dxfId="3583" priority="3281" operator="equal">
      <formula>"PMS"</formula>
    </cfRule>
    <cfRule type="containsText" dxfId="3582" priority="3282" operator="containsText" text="CMS">
      <formula>NOT(ISERROR(SEARCH("CMS",O55)))</formula>
    </cfRule>
    <cfRule type="cellIs" dxfId="3581" priority="3283" operator="equal">
      <formula>0</formula>
    </cfRule>
    <cfRule type="cellIs" dxfId="3580" priority="3284" operator="greaterThan">
      <formula>0</formula>
    </cfRule>
  </conditionalFormatting>
  <conditionalFormatting sqref="O55">
    <cfRule type="cellIs" dxfId="3579" priority="3277" operator="equal">
      <formula>"PMS"</formula>
    </cfRule>
    <cfRule type="containsText" dxfId="3578" priority="3278" operator="containsText" text="CMS">
      <formula>NOT(ISERROR(SEARCH("CMS",O55)))</formula>
    </cfRule>
    <cfRule type="cellIs" dxfId="3577" priority="3279" operator="equal">
      <formula>0</formula>
    </cfRule>
    <cfRule type="cellIs" dxfId="3576" priority="3280" operator="greaterThan">
      <formula>0</formula>
    </cfRule>
  </conditionalFormatting>
  <conditionalFormatting sqref="O55">
    <cfRule type="cellIs" dxfId="3575" priority="3273" operator="equal">
      <formula>"PMS"</formula>
    </cfRule>
    <cfRule type="containsText" dxfId="3574" priority="3274" operator="containsText" text="CMS">
      <formula>NOT(ISERROR(SEARCH("CMS",O55)))</formula>
    </cfRule>
    <cfRule type="cellIs" dxfId="3573" priority="3275" operator="equal">
      <formula>0</formula>
    </cfRule>
    <cfRule type="cellIs" dxfId="3572" priority="3276" operator="greaterThan">
      <formula>0</formula>
    </cfRule>
  </conditionalFormatting>
  <conditionalFormatting sqref="O55">
    <cfRule type="cellIs" dxfId="3571" priority="3269" operator="equal">
      <formula>"PMS"</formula>
    </cfRule>
    <cfRule type="containsText" dxfId="3570" priority="3270" operator="containsText" text="CMS">
      <formula>NOT(ISERROR(SEARCH("CMS",O55)))</formula>
    </cfRule>
    <cfRule type="cellIs" dxfId="3569" priority="3271" operator="equal">
      <formula>0</formula>
    </cfRule>
    <cfRule type="cellIs" dxfId="3568" priority="3272" operator="greaterThan">
      <formula>0</formula>
    </cfRule>
  </conditionalFormatting>
  <conditionalFormatting sqref="O55">
    <cfRule type="cellIs" dxfId="3567" priority="3265" operator="equal">
      <formula>"PMS"</formula>
    </cfRule>
    <cfRule type="containsText" dxfId="3566" priority="3266" operator="containsText" text="CMS">
      <formula>NOT(ISERROR(SEARCH("CMS",O55)))</formula>
    </cfRule>
    <cfRule type="cellIs" dxfId="3565" priority="3267" operator="equal">
      <formula>0</formula>
    </cfRule>
    <cfRule type="cellIs" dxfId="3564" priority="3268" operator="greaterThan">
      <formula>0</formula>
    </cfRule>
  </conditionalFormatting>
  <conditionalFormatting sqref="O55">
    <cfRule type="cellIs" dxfId="3563" priority="3261" operator="equal">
      <formula>"PMS"</formula>
    </cfRule>
    <cfRule type="containsText" dxfId="3562" priority="3262" operator="containsText" text="CMS">
      <formula>NOT(ISERROR(SEARCH("CMS",O55)))</formula>
    </cfRule>
    <cfRule type="cellIs" dxfId="3561" priority="3263" operator="equal">
      <formula>0</formula>
    </cfRule>
    <cfRule type="cellIs" dxfId="3560" priority="3264" operator="greaterThan">
      <formula>0</formula>
    </cfRule>
  </conditionalFormatting>
  <conditionalFormatting sqref="O55">
    <cfRule type="cellIs" dxfId="3559" priority="3257" operator="equal">
      <formula>"PMS"</formula>
    </cfRule>
    <cfRule type="containsText" dxfId="3558" priority="3258" operator="containsText" text="CMS">
      <formula>NOT(ISERROR(SEARCH("CMS",O55)))</formula>
    </cfRule>
    <cfRule type="cellIs" dxfId="3557" priority="3259" operator="equal">
      <formula>0</formula>
    </cfRule>
    <cfRule type="cellIs" dxfId="3556" priority="3260" operator="greaterThan">
      <formula>0</formula>
    </cfRule>
  </conditionalFormatting>
  <conditionalFormatting sqref="O55">
    <cfRule type="cellIs" dxfId="3555" priority="3253" operator="equal">
      <formula>"PMS"</formula>
    </cfRule>
    <cfRule type="containsText" dxfId="3554" priority="3254" operator="containsText" text="CMS">
      <formula>NOT(ISERROR(SEARCH("CMS",O55)))</formula>
    </cfRule>
    <cfRule type="cellIs" dxfId="3553" priority="3255" operator="equal">
      <formula>0</formula>
    </cfRule>
    <cfRule type="cellIs" dxfId="3552" priority="3256" operator="greaterThan">
      <formula>0</formula>
    </cfRule>
  </conditionalFormatting>
  <conditionalFormatting sqref="O55">
    <cfRule type="cellIs" dxfId="3551" priority="3249" operator="equal">
      <formula>"PMS"</formula>
    </cfRule>
    <cfRule type="containsText" dxfId="3550" priority="3250" operator="containsText" text="CMS">
      <formula>NOT(ISERROR(SEARCH("CMS",O55)))</formula>
    </cfRule>
    <cfRule type="cellIs" dxfId="3549" priority="3251" operator="equal">
      <formula>0</formula>
    </cfRule>
    <cfRule type="cellIs" dxfId="3548" priority="3252" operator="greaterThan">
      <formula>0</formula>
    </cfRule>
  </conditionalFormatting>
  <conditionalFormatting sqref="O55">
    <cfRule type="cellIs" dxfId="3547" priority="3245" operator="equal">
      <formula>"PMS"</formula>
    </cfRule>
    <cfRule type="containsText" dxfId="3546" priority="3246" operator="containsText" text="CMS">
      <formula>NOT(ISERROR(SEARCH("CMS",O55)))</formula>
    </cfRule>
    <cfRule type="cellIs" dxfId="3545" priority="3247" operator="equal">
      <formula>0</formula>
    </cfRule>
    <cfRule type="cellIs" dxfId="3544" priority="3248" operator="greaterThan">
      <formula>0</formula>
    </cfRule>
  </conditionalFormatting>
  <conditionalFormatting sqref="O55">
    <cfRule type="cellIs" dxfId="3543" priority="3241" operator="equal">
      <formula>"PMS"</formula>
    </cfRule>
    <cfRule type="containsText" dxfId="3542" priority="3242" operator="containsText" text="CMS">
      <formula>NOT(ISERROR(SEARCH("CMS",O55)))</formula>
    </cfRule>
    <cfRule type="cellIs" dxfId="3541" priority="3243" operator="equal">
      <formula>0</formula>
    </cfRule>
    <cfRule type="cellIs" dxfId="3540" priority="3244" operator="greaterThan">
      <formula>0</formula>
    </cfRule>
  </conditionalFormatting>
  <conditionalFormatting sqref="O55">
    <cfRule type="cellIs" dxfId="3539" priority="3237" operator="equal">
      <formula>"PMS"</formula>
    </cfRule>
    <cfRule type="containsText" dxfId="3538" priority="3238" operator="containsText" text="CMS">
      <formula>NOT(ISERROR(SEARCH("CMS",O55)))</formula>
    </cfRule>
    <cfRule type="cellIs" dxfId="3537" priority="3239" operator="equal">
      <formula>0</formula>
    </cfRule>
    <cfRule type="cellIs" dxfId="3536" priority="3240" operator="greaterThan">
      <formula>0</formula>
    </cfRule>
  </conditionalFormatting>
  <conditionalFormatting sqref="O55">
    <cfRule type="cellIs" dxfId="3535" priority="3233" operator="equal">
      <formula>"PMS"</formula>
    </cfRule>
    <cfRule type="containsText" dxfId="3534" priority="3234" operator="containsText" text="CMS">
      <formula>NOT(ISERROR(SEARCH("CMS",O55)))</formula>
    </cfRule>
    <cfRule type="cellIs" dxfId="3533" priority="3235" operator="equal">
      <formula>0</formula>
    </cfRule>
    <cfRule type="cellIs" dxfId="3532" priority="3236" operator="greaterThan">
      <formula>0</formula>
    </cfRule>
  </conditionalFormatting>
  <conditionalFormatting sqref="O55">
    <cfRule type="cellIs" dxfId="3531" priority="3229" operator="equal">
      <formula>"PMS"</formula>
    </cfRule>
    <cfRule type="containsText" dxfId="3530" priority="3230" operator="containsText" text="CMS">
      <formula>NOT(ISERROR(SEARCH("CMS",O55)))</formula>
    </cfRule>
    <cfRule type="cellIs" dxfId="3529" priority="3231" operator="equal">
      <formula>0</formula>
    </cfRule>
    <cfRule type="cellIs" dxfId="3528" priority="3232" operator="greaterThan">
      <formula>0</formula>
    </cfRule>
  </conditionalFormatting>
  <conditionalFormatting sqref="O55">
    <cfRule type="cellIs" dxfId="3527" priority="3225" operator="equal">
      <formula>"PMS"</formula>
    </cfRule>
    <cfRule type="containsText" dxfId="3526" priority="3226" operator="containsText" text="CMS">
      <formula>NOT(ISERROR(SEARCH("CMS",O55)))</formula>
    </cfRule>
    <cfRule type="cellIs" dxfId="3525" priority="3227" operator="equal">
      <formula>0</formula>
    </cfRule>
    <cfRule type="cellIs" dxfId="3524" priority="3228" operator="greaterThan">
      <formula>0</formula>
    </cfRule>
  </conditionalFormatting>
  <conditionalFormatting sqref="O55">
    <cfRule type="cellIs" dxfId="3523" priority="3221" operator="equal">
      <formula>"PMS"</formula>
    </cfRule>
    <cfRule type="containsText" dxfId="3522" priority="3222" operator="containsText" text="CMS">
      <formula>NOT(ISERROR(SEARCH("CMS",O55)))</formula>
    </cfRule>
    <cfRule type="cellIs" dxfId="3521" priority="3223" operator="equal">
      <formula>0</formula>
    </cfRule>
    <cfRule type="cellIs" dxfId="3520" priority="3224" operator="greaterThan">
      <formula>0</formula>
    </cfRule>
  </conditionalFormatting>
  <conditionalFormatting sqref="O55">
    <cfRule type="cellIs" dxfId="3519" priority="3217" operator="equal">
      <formula>"PMS"</formula>
    </cfRule>
    <cfRule type="containsText" dxfId="3518" priority="3218" operator="containsText" text="CMS">
      <formula>NOT(ISERROR(SEARCH("CMS",O55)))</formula>
    </cfRule>
    <cfRule type="cellIs" dxfId="3517" priority="3219" operator="equal">
      <formula>0</formula>
    </cfRule>
    <cfRule type="cellIs" dxfId="3516" priority="3220" operator="greaterThan">
      <formula>0</formula>
    </cfRule>
  </conditionalFormatting>
  <conditionalFormatting sqref="O55">
    <cfRule type="cellIs" dxfId="3515" priority="3213" operator="equal">
      <formula>"PMS"</formula>
    </cfRule>
    <cfRule type="containsText" dxfId="3514" priority="3214" operator="containsText" text="CMS">
      <formula>NOT(ISERROR(SEARCH("CMS",O55)))</formula>
    </cfRule>
    <cfRule type="cellIs" dxfId="3513" priority="3215" operator="equal">
      <formula>0</formula>
    </cfRule>
    <cfRule type="cellIs" dxfId="3512" priority="3216" operator="greaterThan">
      <formula>0</formula>
    </cfRule>
  </conditionalFormatting>
  <conditionalFormatting sqref="O55">
    <cfRule type="cellIs" dxfId="3511" priority="3209" operator="equal">
      <formula>"PMS"</formula>
    </cfRule>
    <cfRule type="containsText" dxfId="3510" priority="3210" operator="containsText" text="CMS">
      <formula>NOT(ISERROR(SEARCH("CMS",O55)))</formula>
    </cfRule>
    <cfRule type="cellIs" dxfId="3509" priority="3211" operator="equal">
      <formula>0</formula>
    </cfRule>
    <cfRule type="cellIs" dxfId="3508" priority="3212" operator="greaterThan">
      <formula>0</formula>
    </cfRule>
  </conditionalFormatting>
  <conditionalFormatting sqref="O55">
    <cfRule type="cellIs" dxfId="3507" priority="3205" operator="equal">
      <formula>"PMS"</formula>
    </cfRule>
    <cfRule type="containsText" dxfId="3506" priority="3206" operator="containsText" text="CMS">
      <formula>NOT(ISERROR(SEARCH("CMS",O55)))</formula>
    </cfRule>
    <cfRule type="cellIs" dxfId="3505" priority="3207" operator="equal">
      <formula>0</formula>
    </cfRule>
    <cfRule type="cellIs" dxfId="3504" priority="3208" operator="greaterThan">
      <formula>0</formula>
    </cfRule>
  </conditionalFormatting>
  <conditionalFormatting sqref="O55">
    <cfRule type="cellIs" dxfId="3503" priority="3201" operator="equal">
      <formula>"PMS"</formula>
    </cfRule>
    <cfRule type="containsText" dxfId="3502" priority="3202" operator="containsText" text="CMS">
      <formula>NOT(ISERROR(SEARCH("CMS",O55)))</formula>
    </cfRule>
    <cfRule type="cellIs" dxfId="3501" priority="3203" operator="equal">
      <formula>0</formula>
    </cfRule>
    <cfRule type="cellIs" dxfId="3500" priority="3204" operator="greaterThan">
      <formula>0</formula>
    </cfRule>
  </conditionalFormatting>
  <conditionalFormatting sqref="O55">
    <cfRule type="cellIs" dxfId="3499" priority="3197" operator="equal">
      <formula>"PMS"</formula>
    </cfRule>
    <cfRule type="containsText" dxfId="3498" priority="3198" operator="containsText" text="CMS">
      <formula>NOT(ISERROR(SEARCH("CMS",O55)))</formula>
    </cfRule>
    <cfRule type="cellIs" dxfId="3497" priority="3199" operator="equal">
      <formula>0</formula>
    </cfRule>
    <cfRule type="cellIs" dxfId="3496" priority="3200" operator="greaterThan">
      <formula>0</formula>
    </cfRule>
  </conditionalFormatting>
  <conditionalFormatting sqref="O55">
    <cfRule type="cellIs" dxfId="3495" priority="3193" operator="equal">
      <formula>"PMS"</formula>
    </cfRule>
    <cfRule type="containsText" dxfId="3494" priority="3194" operator="containsText" text="CMS">
      <formula>NOT(ISERROR(SEARCH("CMS",O55)))</formula>
    </cfRule>
    <cfRule type="cellIs" dxfId="3493" priority="3195" operator="equal">
      <formula>0</formula>
    </cfRule>
    <cfRule type="cellIs" dxfId="3492" priority="3196" operator="greaterThan">
      <formula>0</formula>
    </cfRule>
  </conditionalFormatting>
  <conditionalFormatting sqref="O55">
    <cfRule type="cellIs" dxfId="3491" priority="3189" operator="equal">
      <formula>"PMS"</formula>
    </cfRule>
    <cfRule type="containsText" dxfId="3490" priority="3190" operator="containsText" text="CMS">
      <formula>NOT(ISERROR(SEARCH("CMS",O55)))</formula>
    </cfRule>
    <cfRule type="cellIs" dxfId="3489" priority="3191" operator="equal">
      <formula>0</formula>
    </cfRule>
    <cfRule type="cellIs" dxfId="3488" priority="3192" operator="greaterThan">
      <formula>0</formula>
    </cfRule>
  </conditionalFormatting>
  <conditionalFormatting sqref="O55">
    <cfRule type="cellIs" dxfId="3487" priority="3185" operator="equal">
      <formula>"PMS"</formula>
    </cfRule>
    <cfRule type="containsText" dxfId="3486" priority="3186" operator="containsText" text="CMS">
      <formula>NOT(ISERROR(SEARCH("CMS",O55)))</formula>
    </cfRule>
    <cfRule type="cellIs" dxfId="3485" priority="3187" operator="equal">
      <formula>0</formula>
    </cfRule>
    <cfRule type="cellIs" dxfId="3484" priority="3188" operator="greaterThan">
      <formula>0</formula>
    </cfRule>
  </conditionalFormatting>
  <conditionalFormatting sqref="O55">
    <cfRule type="cellIs" dxfId="3483" priority="3181" operator="equal">
      <formula>"PMS"</formula>
    </cfRule>
    <cfRule type="containsText" dxfId="3482" priority="3182" operator="containsText" text="CMS">
      <formula>NOT(ISERROR(SEARCH("CMS",O55)))</formula>
    </cfRule>
    <cfRule type="cellIs" dxfId="3481" priority="3183" operator="equal">
      <formula>0</formula>
    </cfRule>
    <cfRule type="cellIs" dxfId="3480" priority="3184" operator="greaterThan">
      <formula>0</formula>
    </cfRule>
  </conditionalFormatting>
  <conditionalFormatting sqref="O55">
    <cfRule type="cellIs" dxfId="3479" priority="3177" operator="equal">
      <formula>"PMS"</formula>
    </cfRule>
    <cfRule type="containsText" dxfId="3478" priority="3178" operator="containsText" text="CMS">
      <formula>NOT(ISERROR(SEARCH("CMS",O55)))</formula>
    </cfRule>
    <cfRule type="cellIs" dxfId="3477" priority="3179" operator="equal">
      <formula>0</formula>
    </cfRule>
    <cfRule type="cellIs" dxfId="3476" priority="3180" operator="greaterThan">
      <formula>0</formula>
    </cfRule>
  </conditionalFormatting>
  <conditionalFormatting sqref="O55">
    <cfRule type="cellIs" dxfId="3475" priority="3173" operator="equal">
      <formula>"PMS"</formula>
    </cfRule>
    <cfRule type="containsText" dxfId="3474" priority="3174" operator="containsText" text="CMS">
      <formula>NOT(ISERROR(SEARCH("CMS",O55)))</formula>
    </cfRule>
    <cfRule type="cellIs" dxfId="3473" priority="3175" operator="equal">
      <formula>0</formula>
    </cfRule>
    <cfRule type="cellIs" dxfId="3472" priority="3176" operator="greaterThan">
      <formula>0</formula>
    </cfRule>
  </conditionalFormatting>
  <conditionalFormatting sqref="O55">
    <cfRule type="cellIs" dxfId="3471" priority="3169" operator="equal">
      <formula>"PMS"</formula>
    </cfRule>
    <cfRule type="containsText" dxfId="3470" priority="3170" operator="containsText" text="CMS">
      <formula>NOT(ISERROR(SEARCH("CMS",O55)))</formula>
    </cfRule>
    <cfRule type="cellIs" dxfId="3469" priority="3171" operator="equal">
      <formula>0</formula>
    </cfRule>
    <cfRule type="cellIs" dxfId="3468" priority="3172" operator="greaterThan">
      <formula>0</formula>
    </cfRule>
  </conditionalFormatting>
  <conditionalFormatting sqref="O55">
    <cfRule type="cellIs" dxfId="3467" priority="3165" operator="equal">
      <formula>"PMS"</formula>
    </cfRule>
    <cfRule type="containsText" dxfId="3466" priority="3166" operator="containsText" text="CMS">
      <formula>NOT(ISERROR(SEARCH("CMS",O55)))</formula>
    </cfRule>
    <cfRule type="cellIs" dxfId="3465" priority="3167" operator="equal">
      <formula>0</formula>
    </cfRule>
    <cfRule type="cellIs" dxfId="3464" priority="3168" operator="greaterThan">
      <formula>0</formula>
    </cfRule>
  </conditionalFormatting>
  <conditionalFormatting sqref="O55">
    <cfRule type="cellIs" dxfId="3463" priority="3161" operator="equal">
      <formula>"PMS"</formula>
    </cfRule>
    <cfRule type="containsText" dxfId="3462" priority="3162" operator="containsText" text="CMS">
      <formula>NOT(ISERROR(SEARCH("CMS",O55)))</formula>
    </cfRule>
    <cfRule type="cellIs" dxfId="3461" priority="3163" operator="equal">
      <formula>0</formula>
    </cfRule>
    <cfRule type="cellIs" dxfId="3460" priority="3164" operator="greaterThan">
      <formula>0</formula>
    </cfRule>
  </conditionalFormatting>
  <conditionalFormatting sqref="O55">
    <cfRule type="cellIs" dxfId="3459" priority="3157" operator="equal">
      <formula>"PMS"</formula>
    </cfRule>
    <cfRule type="containsText" dxfId="3458" priority="3158" operator="containsText" text="CMS">
      <formula>NOT(ISERROR(SEARCH("CMS",O55)))</formula>
    </cfRule>
    <cfRule type="cellIs" dxfId="3457" priority="3159" operator="equal">
      <formula>0</formula>
    </cfRule>
    <cfRule type="cellIs" dxfId="3456" priority="3160" operator="greaterThan">
      <formula>0</formula>
    </cfRule>
  </conditionalFormatting>
  <conditionalFormatting sqref="O55">
    <cfRule type="cellIs" dxfId="3455" priority="3153" operator="equal">
      <formula>"PMS"</formula>
    </cfRule>
    <cfRule type="containsText" dxfId="3454" priority="3154" operator="containsText" text="CMS">
      <formula>NOT(ISERROR(SEARCH("CMS",O55)))</formula>
    </cfRule>
    <cfRule type="cellIs" dxfId="3453" priority="3155" operator="equal">
      <formula>0</formula>
    </cfRule>
    <cfRule type="cellIs" dxfId="3452" priority="3156" operator="greaterThan">
      <formula>0</formula>
    </cfRule>
  </conditionalFormatting>
  <conditionalFormatting sqref="O55">
    <cfRule type="cellIs" dxfId="3451" priority="3149" operator="equal">
      <formula>"PMS"</formula>
    </cfRule>
    <cfRule type="containsText" dxfId="3450" priority="3150" operator="containsText" text="CMS">
      <formula>NOT(ISERROR(SEARCH("CMS",O55)))</formula>
    </cfRule>
    <cfRule type="cellIs" dxfId="3449" priority="3151" operator="equal">
      <formula>0</formula>
    </cfRule>
    <cfRule type="cellIs" dxfId="3448" priority="3152" operator="greaterThan">
      <formula>0</formula>
    </cfRule>
  </conditionalFormatting>
  <conditionalFormatting sqref="O55">
    <cfRule type="cellIs" dxfId="3447" priority="3145" operator="equal">
      <formula>"PMS"</formula>
    </cfRule>
    <cfRule type="containsText" dxfId="3446" priority="3146" operator="containsText" text="CMS">
      <formula>NOT(ISERROR(SEARCH("CMS",O55)))</formula>
    </cfRule>
    <cfRule type="cellIs" dxfId="3445" priority="3147" operator="equal">
      <formula>0</formula>
    </cfRule>
    <cfRule type="cellIs" dxfId="3444" priority="3148" operator="greaterThan">
      <formula>0</formula>
    </cfRule>
  </conditionalFormatting>
  <conditionalFormatting sqref="O55">
    <cfRule type="cellIs" dxfId="3443" priority="3141" operator="equal">
      <formula>"PMS"</formula>
    </cfRule>
    <cfRule type="containsText" dxfId="3442" priority="3142" operator="containsText" text="CMS">
      <formula>NOT(ISERROR(SEARCH("CMS",O55)))</formula>
    </cfRule>
    <cfRule type="cellIs" dxfId="3441" priority="3143" operator="equal">
      <formula>0</formula>
    </cfRule>
    <cfRule type="cellIs" dxfId="3440" priority="3144" operator="greaterThan">
      <formula>0</formula>
    </cfRule>
  </conditionalFormatting>
  <conditionalFormatting sqref="O55">
    <cfRule type="cellIs" dxfId="3439" priority="3137" operator="equal">
      <formula>"PMS"</formula>
    </cfRule>
    <cfRule type="containsText" dxfId="3438" priority="3138" operator="containsText" text="CMS">
      <formula>NOT(ISERROR(SEARCH("CMS",O55)))</formula>
    </cfRule>
    <cfRule type="cellIs" dxfId="3437" priority="3139" operator="equal">
      <formula>0</formula>
    </cfRule>
    <cfRule type="cellIs" dxfId="3436" priority="3140" operator="greaterThan">
      <formula>0</formula>
    </cfRule>
  </conditionalFormatting>
  <conditionalFormatting sqref="O55">
    <cfRule type="cellIs" dxfId="3435" priority="3133" operator="equal">
      <formula>"PMS"</formula>
    </cfRule>
    <cfRule type="containsText" dxfId="3434" priority="3134" operator="containsText" text="CMS">
      <formula>NOT(ISERROR(SEARCH("CMS",O55)))</formula>
    </cfRule>
    <cfRule type="cellIs" dxfId="3433" priority="3135" operator="equal">
      <formula>0</formula>
    </cfRule>
    <cfRule type="cellIs" dxfId="3432" priority="3136" operator="greaterThan">
      <formula>0</formula>
    </cfRule>
  </conditionalFormatting>
  <conditionalFormatting sqref="O55">
    <cfRule type="cellIs" dxfId="3431" priority="3129" operator="equal">
      <formula>"PMS"</formula>
    </cfRule>
    <cfRule type="containsText" dxfId="3430" priority="3130" operator="containsText" text="CMS">
      <formula>NOT(ISERROR(SEARCH("CMS",O55)))</formula>
    </cfRule>
    <cfRule type="cellIs" dxfId="3429" priority="3131" operator="equal">
      <formula>0</formula>
    </cfRule>
    <cfRule type="cellIs" dxfId="3428" priority="3132" operator="greaterThan">
      <formula>0</formula>
    </cfRule>
  </conditionalFormatting>
  <conditionalFormatting sqref="O55">
    <cfRule type="cellIs" dxfId="3427" priority="3125" operator="equal">
      <formula>"PMS"</formula>
    </cfRule>
    <cfRule type="containsText" dxfId="3426" priority="3126" operator="containsText" text="CMS">
      <formula>NOT(ISERROR(SEARCH("CMS",O55)))</formula>
    </cfRule>
    <cfRule type="cellIs" dxfId="3425" priority="3127" operator="equal">
      <formula>0</formula>
    </cfRule>
    <cfRule type="cellIs" dxfId="3424" priority="3128" operator="greaterThan">
      <formula>0</formula>
    </cfRule>
  </conditionalFormatting>
  <conditionalFormatting sqref="O55">
    <cfRule type="cellIs" dxfId="3423" priority="3121" operator="equal">
      <formula>"PMS"</formula>
    </cfRule>
    <cfRule type="containsText" dxfId="3422" priority="3122" operator="containsText" text="CMS">
      <formula>NOT(ISERROR(SEARCH("CMS",O55)))</formula>
    </cfRule>
    <cfRule type="cellIs" dxfId="3421" priority="3123" operator="equal">
      <formula>0</formula>
    </cfRule>
    <cfRule type="cellIs" dxfId="3420" priority="3124" operator="greaterThan">
      <formula>0</formula>
    </cfRule>
  </conditionalFormatting>
  <conditionalFormatting sqref="O55">
    <cfRule type="cellIs" dxfId="3419" priority="3117" operator="equal">
      <formula>"PMS"</formula>
    </cfRule>
    <cfRule type="containsText" dxfId="3418" priority="3118" operator="containsText" text="CMS">
      <formula>NOT(ISERROR(SEARCH("CMS",O55)))</formula>
    </cfRule>
    <cfRule type="cellIs" dxfId="3417" priority="3119" operator="equal">
      <formula>0</formula>
    </cfRule>
    <cfRule type="cellIs" dxfId="3416" priority="3120" operator="greaterThan">
      <formula>0</formula>
    </cfRule>
  </conditionalFormatting>
  <conditionalFormatting sqref="O55">
    <cfRule type="cellIs" dxfId="3415" priority="3113" operator="equal">
      <formula>"PMS"</formula>
    </cfRule>
    <cfRule type="containsText" dxfId="3414" priority="3114" operator="containsText" text="CMS">
      <formula>NOT(ISERROR(SEARCH("CMS",O55)))</formula>
    </cfRule>
    <cfRule type="cellIs" dxfId="3413" priority="3115" operator="equal">
      <formula>0</formula>
    </cfRule>
    <cfRule type="cellIs" dxfId="3412" priority="3116" operator="greaterThan">
      <formula>0</formula>
    </cfRule>
  </conditionalFormatting>
  <conditionalFormatting sqref="O55">
    <cfRule type="cellIs" dxfId="3411" priority="3109" operator="equal">
      <formula>"PMS"</formula>
    </cfRule>
    <cfRule type="containsText" dxfId="3410" priority="3110" operator="containsText" text="CMS">
      <formula>NOT(ISERROR(SEARCH("CMS",O55)))</formula>
    </cfRule>
    <cfRule type="cellIs" dxfId="3409" priority="3111" operator="equal">
      <formula>0</formula>
    </cfRule>
    <cfRule type="cellIs" dxfId="3408" priority="3112" operator="greaterThan">
      <formula>0</formula>
    </cfRule>
  </conditionalFormatting>
  <conditionalFormatting sqref="O55">
    <cfRule type="cellIs" dxfId="3407" priority="3105" operator="equal">
      <formula>"PMS"</formula>
    </cfRule>
    <cfRule type="containsText" dxfId="3406" priority="3106" operator="containsText" text="CMS">
      <formula>NOT(ISERROR(SEARCH("CMS",O55)))</formula>
    </cfRule>
    <cfRule type="cellIs" dxfId="3405" priority="3107" operator="equal">
      <formula>0</formula>
    </cfRule>
    <cfRule type="cellIs" dxfId="3404" priority="3108" operator="greaterThan">
      <formula>0</formula>
    </cfRule>
  </conditionalFormatting>
  <conditionalFormatting sqref="O55">
    <cfRule type="cellIs" dxfId="3403" priority="3101" operator="equal">
      <formula>"PMS"</formula>
    </cfRule>
    <cfRule type="containsText" dxfId="3402" priority="3102" operator="containsText" text="CMS">
      <formula>NOT(ISERROR(SEARCH("CMS",O55)))</formula>
    </cfRule>
    <cfRule type="cellIs" dxfId="3401" priority="3103" operator="equal">
      <formula>0</formula>
    </cfRule>
    <cfRule type="cellIs" dxfId="3400" priority="3104" operator="greaterThan">
      <formula>0</formula>
    </cfRule>
  </conditionalFormatting>
  <conditionalFormatting sqref="O55">
    <cfRule type="cellIs" dxfId="3399" priority="3097" operator="equal">
      <formula>"PMS"</formula>
    </cfRule>
    <cfRule type="containsText" dxfId="3398" priority="3098" operator="containsText" text="CMS">
      <formula>NOT(ISERROR(SEARCH("CMS",O55)))</formula>
    </cfRule>
    <cfRule type="cellIs" dxfId="3397" priority="3099" operator="equal">
      <formula>0</formula>
    </cfRule>
    <cfRule type="cellIs" dxfId="3396" priority="3100" operator="greaterThan">
      <formula>0</formula>
    </cfRule>
  </conditionalFormatting>
  <conditionalFormatting sqref="O55">
    <cfRule type="cellIs" dxfId="3395" priority="3093" operator="equal">
      <formula>"PMS"</formula>
    </cfRule>
    <cfRule type="containsText" dxfId="3394" priority="3094" operator="containsText" text="CMS">
      <formula>NOT(ISERROR(SEARCH("CMS",O55)))</formula>
    </cfRule>
    <cfRule type="cellIs" dxfId="3393" priority="3095" operator="equal">
      <formula>0</formula>
    </cfRule>
    <cfRule type="cellIs" dxfId="3392" priority="3096" operator="greaterThan">
      <formula>0</formula>
    </cfRule>
  </conditionalFormatting>
  <conditionalFormatting sqref="O55">
    <cfRule type="cellIs" dxfId="3391" priority="3089" operator="equal">
      <formula>"PMS"</formula>
    </cfRule>
    <cfRule type="containsText" dxfId="3390" priority="3090" operator="containsText" text="CMS">
      <formula>NOT(ISERROR(SEARCH("CMS",O55)))</formula>
    </cfRule>
    <cfRule type="cellIs" dxfId="3389" priority="3091" operator="equal">
      <formula>0</formula>
    </cfRule>
    <cfRule type="cellIs" dxfId="3388" priority="3092" operator="greaterThan">
      <formula>0</formula>
    </cfRule>
  </conditionalFormatting>
  <conditionalFormatting sqref="O55">
    <cfRule type="cellIs" dxfId="3387" priority="3085" operator="equal">
      <formula>"PMS"</formula>
    </cfRule>
    <cfRule type="containsText" dxfId="3386" priority="3086" operator="containsText" text="CMS">
      <formula>NOT(ISERROR(SEARCH("CMS",O55)))</formula>
    </cfRule>
    <cfRule type="cellIs" dxfId="3385" priority="3087" operator="equal">
      <formula>0</formula>
    </cfRule>
    <cfRule type="cellIs" dxfId="3384" priority="3088" operator="greaterThan">
      <formula>0</formula>
    </cfRule>
  </conditionalFormatting>
  <conditionalFormatting sqref="O55">
    <cfRule type="cellIs" dxfId="3383" priority="3081" operator="equal">
      <formula>"PMS"</formula>
    </cfRule>
    <cfRule type="containsText" dxfId="3382" priority="3082" operator="containsText" text="CMS">
      <formula>NOT(ISERROR(SEARCH("CMS",O55)))</formula>
    </cfRule>
    <cfRule type="cellIs" dxfId="3381" priority="3083" operator="equal">
      <formula>0</formula>
    </cfRule>
    <cfRule type="cellIs" dxfId="3380" priority="3084" operator="greaterThan">
      <formula>0</formula>
    </cfRule>
  </conditionalFormatting>
  <conditionalFormatting sqref="O55">
    <cfRule type="cellIs" dxfId="3379" priority="3077" operator="equal">
      <formula>"PMS"</formula>
    </cfRule>
    <cfRule type="containsText" dxfId="3378" priority="3078" operator="containsText" text="CMS">
      <formula>NOT(ISERROR(SEARCH("CMS",O55)))</formula>
    </cfRule>
    <cfRule type="cellIs" dxfId="3377" priority="3079" operator="equal">
      <formula>0</formula>
    </cfRule>
    <cfRule type="cellIs" dxfId="3376" priority="3080" operator="greaterThan">
      <formula>0</formula>
    </cfRule>
  </conditionalFormatting>
  <conditionalFormatting sqref="O55">
    <cfRule type="cellIs" dxfId="3375" priority="3073" operator="equal">
      <formula>"PMS"</formula>
    </cfRule>
    <cfRule type="containsText" dxfId="3374" priority="3074" operator="containsText" text="CMS">
      <formula>NOT(ISERROR(SEARCH("CMS",O55)))</formula>
    </cfRule>
    <cfRule type="cellIs" dxfId="3373" priority="3075" operator="equal">
      <formula>0</formula>
    </cfRule>
    <cfRule type="cellIs" dxfId="3372" priority="3076" operator="greaterThan">
      <formula>0</formula>
    </cfRule>
  </conditionalFormatting>
  <conditionalFormatting sqref="O55">
    <cfRule type="cellIs" dxfId="3371" priority="3069" operator="equal">
      <formula>"PMS"</formula>
    </cfRule>
    <cfRule type="containsText" dxfId="3370" priority="3070" operator="containsText" text="CMS">
      <formula>NOT(ISERROR(SEARCH("CMS",O55)))</formula>
    </cfRule>
    <cfRule type="cellIs" dxfId="3369" priority="3071" operator="equal">
      <formula>0</formula>
    </cfRule>
    <cfRule type="cellIs" dxfId="3368" priority="3072" operator="greaterThan">
      <formula>0</formula>
    </cfRule>
  </conditionalFormatting>
  <conditionalFormatting sqref="O55">
    <cfRule type="cellIs" dxfId="3367" priority="3065" operator="equal">
      <formula>"PMS"</formula>
    </cfRule>
    <cfRule type="containsText" dxfId="3366" priority="3066" operator="containsText" text="CMS">
      <formula>NOT(ISERROR(SEARCH("CMS",O55)))</formula>
    </cfRule>
    <cfRule type="cellIs" dxfId="3365" priority="3067" operator="equal">
      <formula>0</formula>
    </cfRule>
    <cfRule type="cellIs" dxfId="3364" priority="3068" operator="greaterThan">
      <formula>0</formula>
    </cfRule>
  </conditionalFormatting>
  <conditionalFormatting sqref="O55">
    <cfRule type="cellIs" dxfId="3363" priority="3061" operator="equal">
      <formula>"PMS"</formula>
    </cfRule>
    <cfRule type="containsText" dxfId="3362" priority="3062" operator="containsText" text="CMS">
      <formula>NOT(ISERROR(SEARCH("CMS",O55)))</formula>
    </cfRule>
    <cfRule type="cellIs" dxfId="3361" priority="3063" operator="equal">
      <formula>0</formula>
    </cfRule>
    <cfRule type="cellIs" dxfId="3360" priority="3064" operator="greaterThan">
      <formula>0</formula>
    </cfRule>
  </conditionalFormatting>
  <conditionalFormatting sqref="O55">
    <cfRule type="cellIs" dxfId="3359" priority="3057" operator="equal">
      <formula>"PMS"</formula>
    </cfRule>
    <cfRule type="containsText" dxfId="3358" priority="3058" operator="containsText" text="CMS">
      <formula>NOT(ISERROR(SEARCH("CMS",O55)))</formula>
    </cfRule>
    <cfRule type="cellIs" dxfId="3357" priority="3059" operator="equal">
      <formula>0</formula>
    </cfRule>
    <cfRule type="cellIs" dxfId="3356" priority="3060" operator="greaterThan">
      <formula>0</formula>
    </cfRule>
  </conditionalFormatting>
  <conditionalFormatting sqref="O55">
    <cfRule type="cellIs" dxfId="3355" priority="3053" operator="equal">
      <formula>"PMS"</formula>
    </cfRule>
    <cfRule type="containsText" dxfId="3354" priority="3054" operator="containsText" text="CMS">
      <formula>NOT(ISERROR(SEARCH("CMS",O55)))</formula>
    </cfRule>
    <cfRule type="cellIs" dxfId="3353" priority="3055" operator="equal">
      <formula>0</formula>
    </cfRule>
    <cfRule type="cellIs" dxfId="3352" priority="3056" operator="greaterThan">
      <formula>0</formula>
    </cfRule>
  </conditionalFormatting>
  <conditionalFormatting sqref="O55">
    <cfRule type="cellIs" dxfId="3351" priority="3049" operator="equal">
      <formula>"PMS"</formula>
    </cfRule>
    <cfRule type="containsText" dxfId="3350" priority="3050" operator="containsText" text="CMS">
      <formula>NOT(ISERROR(SEARCH("CMS",O55)))</formula>
    </cfRule>
    <cfRule type="cellIs" dxfId="3349" priority="3051" operator="equal">
      <formula>0</formula>
    </cfRule>
    <cfRule type="cellIs" dxfId="3348" priority="3052" operator="greaterThan">
      <formula>0</formula>
    </cfRule>
  </conditionalFormatting>
  <conditionalFormatting sqref="O55">
    <cfRule type="cellIs" dxfId="3347" priority="3045" operator="equal">
      <formula>"PMS"</formula>
    </cfRule>
    <cfRule type="containsText" dxfId="3346" priority="3046" operator="containsText" text="CMS">
      <formula>NOT(ISERROR(SEARCH("CMS",O55)))</formula>
    </cfRule>
    <cfRule type="cellIs" dxfId="3345" priority="3047" operator="equal">
      <formula>0</formula>
    </cfRule>
    <cfRule type="cellIs" dxfId="3344" priority="3048" operator="greaterThan">
      <formula>0</formula>
    </cfRule>
  </conditionalFormatting>
  <conditionalFormatting sqref="O55">
    <cfRule type="cellIs" dxfId="3343" priority="3041" operator="equal">
      <formula>"PMS"</formula>
    </cfRule>
    <cfRule type="containsText" dxfId="3342" priority="3042" operator="containsText" text="CMS">
      <formula>NOT(ISERROR(SEARCH("CMS",O55)))</formula>
    </cfRule>
    <cfRule type="cellIs" dxfId="3341" priority="3043" operator="equal">
      <formula>0</formula>
    </cfRule>
    <cfRule type="cellIs" dxfId="3340" priority="3044" operator="greaterThan">
      <formula>0</formula>
    </cfRule>
  </conditionalFormatting>
  <conditionalFormatting sqref="O55">
    <cfRule type="cellIs" dxfId="3339" priority="3037" operator="equal">
      <formula>"PMS"</formula>
    </cfRule>
    <cfRule type="containsText" dxfId="3338" priority="3038" operator="containsText" text="CMS">
      <formula>NOT(ISERROR(SEARCH("CMS",O55)))</formula>
    </cfRule>
    <cfRule type="cellIs" dxfId="3337" priority="3039" operator="equal">
      <formula>0</formula>
    </cfRule>
    <cfRule type="cellIs" dxfId="3336" priority="3040" operator="greaterThan">
      <formula>0</formula>
    </cfRule>
  </conditionalFormatting>
  <conditionalFormatting sqref="O55">
    <cfRule type="cellIs" dxfId="3335" priority="3033" operator="equal">
      <formula>"PMS"</formula>
    </cfRule>
    <cfRule type="containsText" dxfId="3334" priority="3034" operator="containsText" text="CMS">
      <formula>NOT(ISERROR(SEARCH("CMS",O55)))</formula>
    </cfRule>
    <cfRule type="cellIs" dxfId="3333" priority="3035" operator="equal">
      <formula>0</formula>
    </cfRule>
    <cfRule type="cellIs" dxfId="3332" priority="3036" operator="greaterThan">
      <formula>0</formula>
    </cfRule>
  </conditionalFormatting>
  <conditionalFormatting sqref="O55">
    <cfRule type="cellIs" dxfId="3331" priority="3029" operator="equal">
      <formula>"PMS"</formula>
    </cfRule>
    <cfRule type="containsText" dxfId="3330" priority="3030" operator="containsText" text="CMS">
      <formula>NOT(ISERROR(SEARCH("CMS",O55)))</formula>
    </cfRule>
    <cfRule type="cellIs" dxfId="3329" priority="3031" operator="equal">
      <formula>0</formula>
    </cfRule>
    <cfRule type="cellIs" dxfId="3328" priority="3032" operator="greaterThan">
      <formula>0</formula>
    </cfRule>
  </conditionalFormatting>
  <conditionalFormatting sqref="O55">
    <cfRule type="cellIs" dxfId="3327" priority="3025" operator="equal">
      <formula>"PMS"</formula>
    </cfRule>
    <cfRule type="containsText" dxfId="3326" priority="3026" operator="containsText" text="CMS">
      <formula>NOT(ISERROR(SEARCH("CMS",O55)))</formula>
    </cfRule>
    <cfRule type="cellIs" dxfId="3325" priority="3027" operator="equal">
      <formula>0</formula>
    </cfRule>
    <cfRule type="cellIs" dxfId="3324" priority="3028" operator="greaterThan">
      <formula>0</formula>
    </cfRule>
  </conditionalFormatting>
  <conditionalFormatting sqref="O55">
    <cfRule type="cellIs" dxfId="3323" priority="3021" operator="equal">
      <formula>"PMS"</formula>
    </cfRule>
    <cfRule type="containsText" dxfId="3322" priority="3022" operator="containsText" text="CMS">
      <formula>NOT(ISERROR(SEARCH("CMS",O55)))</formula>
    </cfRule>
    <cfRule type="cellIs" dxfId="3321" priority="3023" operator="equal">
      <formula>0</formula>
    </cfRule>
    <cfRule type="cellIs" dxfId="3320" priority="3024" operator="greaterThan">
      <formula>0</formula>
    </cfRule>
  </conditionalFormatting>
  <conditionalFormatting sqref="O55">
    <cfRule type="cellIs" dxfId="3319" priority="3017" operator="equal">
      <formula>"PMS"</formula>
    </cfRule>
    <cfRule type="containsText" dxfId="3318" priority="3018" operator="containsText" text="CMS">
      <formula>NOT(ISERROR(SEARCH("CMS",O55)))</formula>
    </cfRule>
    <cfRule type="cellIs" dxfId="3317" priority="3019" operator="equal">
      <formula>0</formula>
    </cfRule>
    <cfRule type="cellIs" dxfId="3316" priority="3020" operator="greaterThan">
      <formula>0</formula>
    </cfRule>
  </conditionalFormatting>
  <conditionalFormatting sqref="O55">
    <cfRule type="cellIs" dxfId="3315" priority="3013" operator="equal">
      <formula>"PMS"</formula>
    </cfRule>
    <cfRule type="containsText" dxfId="3314" priority="3014" operator="containsText" text="CMS">
      <formula>NOT(ISERROR(SEARCH("CMS",O55)))</formula>
    </cfRule>
    <cfRule type="cellIs" dxfId="3313" priority="3015" operator="equal">
      <formula>0</formula>
    </cfRule>
    <cfRule type="cellIs" dxfId="3312" priority="3016" operator="greaterThan">
      <formula>0</formula>
    </cfRule>
  </conditionalFormatting>
  <conditionalFormatting sqref="O55">
    <cfRule type="cellIs" dxfId="3311" priority="3009" operator="equal">
      <formula>"PMS"</formula>
    </cfRule>
    <cfRule type="containsText" dxfId="3310" priority="3010" operator="containsText" text="CMS">
      <formula>NOT(ISERROR(SEARCH("CMS",O55)))</formula>
    </cfRule>
    <cfRule type="cellIs" dxfId="3309" priority="3011" operator="equal">
      <formula>0</formula>
    </cfRule>
    <cfRule type="cellIs" dxfId="3308" priority="3012" operator="greaterThan">
      <formula>0</formula>
    </cfRule>
  </conditionalFormatting>
  <conditionalFormatting sqref="O55">
    <cfRule type="cellIs" dxfId="3307" priority="3005" operator="equal">
      <formula>"PMS"</formula>
    </cfRule>
    <cfRule type="containsText" dxfId="3306" priority="3006" operator="containsText" text="CMS">
      <formula>NOT(ISERROR(SEARCH("CMS",O55)))</formula>
    </cfRule>
    <cfRule type="cellIs" dxfId="3305" priority="3007" operator="equal">
      <formula>0</formula>
    </cfRule>
    <cfRule type="cellIs" dxfId="3304" priority="3008" operator="greaterThan">
      <formula>0</formula>
    </cfRule>
  </conditionalFormatting>
  <conditionalFormatting sqref="O55">
    <cfRule type="cellIs" dxfId="3303" priority="3001" operator="equal">
      <formula>"PMS"</formula>
    </cfRule>
    <cfRule type="containsText" dxfId="3302" priority="3002" operator="containsText" text="CMS">
      <formula>NOT(ISERROR(SEARCH("CMS",O55)))</formula>
    </cfRule>
    <cfRule type="cellIs" dxfId="3301" priority="3003" operator="equal">
      <formula>0</formula>
    </cfRule>
    <cfRule type="cellIs" dxfId="3300" priority="3004" operator="greaterThan">
      <formula>0</formula>
    </cfRule>
  </conditionalFormatting>
  <conditionalFormatting sqref="O55">
    <cfRule type="cellIs" dxfId="3299" priority="2997" operator="equal">
      <formula>"PMS"</formula>
    </cfRule>
    <cfRule type="containsText" dxfId="3298" priority="2998" operator="containsText" text="CMS">
      <formula>NOT(ISERROR(SEARCH("CMS",O55)))</formula>
    </cfRule>
    <cfRule type="cellIs" dxfId="3297" priority="2999" operator="equal">
      <formula>0</formula>
    </cfRule>
    <cfRule type="cellIs" dxfId="3296" priority="3000" operator="greaterThan">
      <formula>0</formula>
    </cfRule>
  </conditionalFormatting>
  <conditionalFormatting sqref="O55">
    <cfRule type="cellIs" dxfId="3295" priority="2993" operator="equal">
      <formula>"PMS"</formula>
    </cfRule>
    <cfRule type="containsText" dxfId="3294" priority="2994" operator="containsText" text="CMS">
      <formula>NOT(ISERROR(SEARCH("CMS",O55)))</formula>
    </cfRule>
    <cfRule type="cellIs" dxfId="3293" priority="2995" operator="equal">
      <formula>0</formula>
    </cfRule>
    <cfRule type="cellIs" dxfId="3292" priority="2996" operator="greaterThan">
      <formula>0</formula>
    </cfRule>
  </conditionalFormatting>
  <conditionalFormatting sqref="O55">
    <cfRule type="cellIs" dxfId="3291" priority="2989" operator="equal">
      <formula>"PMS"</formula>
    </cfRule>
    <cfRule type="containsText" dxfId="3290" priority="2990" operator="containsText" text="CMS">
      <formula>NOT(ISERROR(SEARCH("CMS",O55)))</formula>
    </cfRule>
    <cfRule type="cellIs" dxfId="3289" priority="2991" operator="equal">
      <formula>0</formula>
    </cfRule>
    <cfRule type="cellIs" dxfId="3288" priority="2992" operator="greaterThan">
      <formula>0</formula>
    </cfRule>
  </conditionalFormatting>
  <conditionalFormatting sqref="O55">
    <cfRule type="cellIs" dxfId="3287" priority="2985" operator="equal">
      <formula>"PMS"</formula>
    </cfRule>
    <cfRule type="containsText" dxfId="3286" priority="2986" operator="containsText" text="CMS">
      <formula>NOT(ISERROR(SEARCH("CMS",O55)))</formula>
    </cfRule>
    <cfRule type="cellIs" dxfId="3285" priority="2987" operator="equal">
      <formula>0</formula>
    </cfRule>
    <cfRule type="cellIs" dxfId="3284" priority="2988" operator="greaterThan">
      <formula>0</formula>
    </cfRule>
  </conditionalFormatting>
  <conditionalFormatting sqref="O55">
    <cfRule type="cellIs" dxfId="3283" priority="2981" operator="equal">
      <formula>"PMS"</formula>
    </cfRule>
    <cfRule type="containsText" dxfId="3282" priority="2982" operator="containsText" text="CMS">
      <formula>NOT(ISERROR(SEARCH("CMS",O55)))</formula>
    </cfRule>
    <cfRule type="cellIs" dxfId="3281" priority="2983" operator="equal">
      <formula>0</formula>
    </cfRule>
    <cfRule type="cellIs" dxfId="3280" priority="2984" operator="greaterThan">
      <formula>0</formula>
    </cfRule>
  </conditionalFormatting>
  <conditionalFormatting sqref="O55">
    <cfRule type="cellIs" dxfId="3279" priority="2977" operator="equal">
      <formula>"PMS"</formula>
    </cfRule>
    <cfRule type="containsText" dxfId="3278" priority="2978" operator="containsText" text="CMS">
      <formula>NOT(ISERROR(SEARCH("CMS",O55)))</formula>
    </cfRule>
    <cfRule type="cellIs" dxfId="3277" priority="2979" operator="equal">
      <formula>0</formula>
    </cfRule>
    <cfRule type="cellIs" dxfId="3276" priority="2980" operator="greaterThan">
      <formula>0</formula>
    </cfRule>
  </conditionalFormatting>
  <conditionalFormatting sqref="O55">
    <cfRule type="cellIs" dxfId="3275" priority="2973" operator="equal">
      <formula>"PMS"</formula>
    </cfRule>
    <cfRule type="containsText" dxfId="3274" priority="2974" operator="containsText" text="CMS">
      <formula>NOT(ISERROR(SEARCH("CMS",O55)))</formula>
    </cfRule>
    <cfRule type="cellIs" dxfId="3273" priority="2975" operator="equal">
      <formula>0</formula>
    </cfRule>
    <cfRule type="cellIs" dxfId="3272" priority="2976" operator="greaterThan">
      <formula>0</formula>
    </cfRule>
  </conditionalFormatting>
  <conditionalFormatting sqref="O55">
    <cfRule type="cellIs" dxfId="3271" priority="2969" operator="equal">
      <formula>"PMS"</formula>
    </cfRule>
    <cfRule type="containsText" dxfId="3270" priority="2970" operator="containsText" text="CMS">
      <formula>NOT(ISERROR(SEARCH("CMS",O55)))</formula>
    </cfRule>
    <cfRule type="cellIs" dxfId="3269" priority="2971" operator="equal">
      <formula>0</formula>
    </cfRule>
    <cfRule type="cellIs" dxfId="3268" priority="2972" operator="greaterThan">
      <formula>0</formula>
    </cfRule>
  </conditionalFormatting>
  <conditionalFormatting sqref="O55">
    <cfRule type="cellIs" dxfId="3267" priority="2965" operator="equal">
      <formula>"PMS"</formula>
    </cfRule>
    <cfRule type="containsText" dxfId="3266" priority="2966" operator="containsText" text="CMS">
      <formula>NOT(ISERROR(SEARCH("CMS",O55)))</formula>
    </cfRule>
    <cfRule type="cellIs" dxfId="3265" priority="2967" operator="equal">
      <formula>0</formula>
    </cfRule>
    <cfRule type="cellIs" dxfId="3264" priority="2968" operator="greaterThan">
      <formula>0</formula>
    </cfRule>
  </conditionalFormatting>
  <conditionalFormatting sqref="O55">
    <cfRule type="cellIs" dxfId="3263" priority="2961" operator="equal">
      <formula>"PMS"</formula>
    </cfRule>
    <cfRule type="containsText" dxfId="3262" priority="2962" operator="containsText" text="CMS">
      <formula>NOT(ISERROR(SEARCH("CMS",O55)))</formula>
    </cfRule>
    <cfRule type="cellIs" dxfId="3261" priority="2963" operator="equal">
      <formula>0</formula>
    </cfRule>
    <cfRule type="cellIs" dxfId="3260" priority="2964" operator="greaterThan">
      <formula>0</formula>
    </cfRule>
  </conditionalFormatting>
  <conditionalFormatting sqref="O55">
    <cfRule type="cellIs" dxfId="3259" priority="2957" operator="equal">
      <formula>"PMS"</formula>
    </cfRule>
    <cfRule type="containsText" dxfId="3258" priority="2958" operator="containsText" text="CMS">
      <formula>NOT(ISERROR(SEARCH("CMS",O55)))</formula>
    </cfRule>
    <cfRule type="cellIs" dxfId="3257" priority="2959" operator="equal">
      <formula>0</formula>
    </cfRule>
    <cfRule type="cellIs" dxfId="3256" priority="2960" operator="greaterThan">
      <formula>0</formula>
    </cfRule>
  </conditionalFormatting>
  <conditionalFormatting sqref="O55">
    <cfRule type="cellIs" dxfId="3255" priority="2953" operator="equal">
      <formula>"PMS"</formula>
    </cfRule>
    <cfRule type="containsText" dxfId="3254" priority="2954" operator="containsText" text="CMS">
      <formula>NOT(ISERROR(SEARCH("CMS",O55)))</formula>
    </cfRule>
    <cfRule type="cellIs" dxfId="3253" priority="2955" operator="equal">
      <formula>0</formula>
    </cfRule>
    <cfRule type="cellIs" dxfId="3252" priority="2956" operator="greaterThan">
      <formula>0</formula>
    </cfRule>
  </conditionalFormatting>
  <conditionalFormatting sqref="O55">
    <cfRule type="cellIs" dxfId="3251" priority="2949" operator="equal">
      <formula>"PMS"</formula>
    </cfRule>
    <cfRule type="containsText" dxfId="3250" priority="2950" operator="containsText" text="CMS">
      <formula>NOT(ISERROR(SEARCH("CMS",O55)))</formula>
    </cfRule>
    <cfRule type="cellIs" dxfId="3249" priority="2951" operator="equal">
      <formula>0</formula>
    </cfRule>
    <cfRule type="cellIs" dxfId="3248" priority="2952" operator="greaterThan">
      <formula>0</formula>
    </cfRule>
  </conditionalFormatting>
  <conditionalFormatting sqref="O55">
    <cfRule type="cellIs" dxfId="3247" priority="2945" operator="equal">
      <formula>"PMS"</formula>
    </cfRule>
    <cfRule type="containsText" dxfId="3246" priority="2946" operator="containsText" text="CMS">
      <formula>NOT(ISERROR(SEARCH("CMS",O55)))</formula>
    </cfRule>
    <cfRule type="cellIs" dxfId="3245" priority="2947" operator="equal">
      <formula>0</formula>
    </cfRule>
    <cfRule type="cellIs" dxfId="3244" priority="2948" operator="greaterThan">
      <formula>0</formula>
    </cfRule>
  </conditionalFormatting>
  <conditionalFormatting sqref="O55">
    <cfRule type="cellIs" dxfId="3243" priority="2941" operator="equal">
      <formula>"PMS"</formula>
    </cfRule>
    <cfRule type="containsText" dxfId="3242" priority="2942" operator="containsText" text="CMS">
      <formula>NOT(ISERROR(SEARCH("CMS",O55)))</formula>
    </cfRule>
    <cfRule type="cellIs" dxfId="3241" priority="2943" operator="equal">
      <formula>0</formula>
    </cfRule>
    <cfRule type="cellIs" dxfId="3240" priority="2944" operator="greaterThan">
      <formula>0</formula>
    </cfRule>
  </conditionalFormatting>
  <conditionalFormatting sqref="O55">
    <cfRule type="cellIs" dxfId="3239" priority="2937" operator="equal">
      <formula>"PMS"</formula>
    </cfRule>
    <cfRule type="containsText" dxfId="3238" priority="2938" operator="containsText" text="CMS">
      <formula>NOT(ISERROR(SEARCH("CMS",O55)))</formula>
    </cfRule>
    <cfRule type="cellIs" dxfId="3237" priority="2939" operator="equal">
      <formula>0</formula>
    </cfRule>
    <cfRule type="cellIs" dxfId="3236" priority="2940" operator="greaterThan">
      <formula>0</formula>
    </cfRule>
  </conditionalFormatting>
  <conditionalFormatting sqref="O55">
    <cfRule type="cellIs" dxfId="3235" priority="2933" operator="equal">
      <formula>"PMS"</formula>
    </cfRule>
    <cfRule type="containsText" dxfId="3234" priority="2934" operator="containsText" text="CMS">
      <formula>NOT(ISERROR(SEARCH("CMS",O55)))</formula>
    </cfRule>
    <cfRule type="cellIs" dxfId="3233" priority="2935" operator="equal">
      <formula>0</formula>
    </cfRule>
    <cfRule type="cellIs" dxfId="3232" priority="2936" operator="greaterThan">
      <formula>0</formula>
    </cfRule>
  </conditionalFormatting>
  <conditionalFormatting sqref="O55">
    <cfRule type="cellIs" dxfId="3231" priority="2929" operator="equal">
      <formula>"PMS"</formula>
    </cfRule>
    <cfRule type="containsText" dxfId="3230" priority="2930" operator="containsText" text="CMS">
      <formula>NOT(ISERROR(SEARCH("CMS",O55)))</formula>
    </cfRule>
    <cfRule type="cellIs" dxfId="3229" priority="2931" operator="equal">
      <formula>0</formula>
    </cfRule>
    <cfRule type="cellIs" dxfId="3228" priority="2932" operator="greaterThan">
      <formula>0</formula>
    </cfRule>
  </conditionalFormatting>
  <conditionalFormatting sqref="O55">
    <cfRule type="cellIs" dxfId="3227" priority="2925" operator="equal">
      <formula>"PMS"</formula>
    </cfRule>
    <cfRule type="containsText" dxfId="3226" priority="2926" operator="containsText" text="CMS">
      <formula>NOT(ISERROR(SEARCH("CMS",O55)))</formula>
    </cfRule>
    <cfRule type="cellIs" dxfId="3225" priority="2927" operator="equal">
      <formula>0</formula>
    </cfRule>
    <cfRule type="cellIs" dxfId="3224" priority="2928" operator="greaterThan">
      <formula>0</formula>
    </cfRule>
  </conditionalFormatting>
  <conditionalFormatting sqref="O55">
    <cfRule type="cellIs" dxfId="3223" priority="2921" operator="equal">
      <formula>"PMS"</formula>
    </cfRule>
    <cfRule type="containsText" dxfId="3222" priority="2922" operator="containsText" text="CMS">
      <formula>NOT(ISERROR(SEARCH("CMS",O55)))</formula>
    </cfRule>
    <cfRule type="cellIs" dxfId="3221" priority="2923" operator="equal">
      <formula>0</formula>
    </cfRule>
    <cfRule type="cellIs" dxfId="3220" priority="2924" operator="greaterThan">
      <formula>0</formula>
    </cfRule>
  </conditionalFormatting>
  <conditionalFormatting sqref="O55">
    <cfRule type="cellIs" dxfId="3219" priority="2917" operator="equal">
      <formula>"PMS"</formula>
    </cfRule>
    <cfRule type="containsText" dxfId="3218" priority="2918" operator="containsText" text="CMS">
      <formula>NOT(ISERROR(SEARCH("CMS",O55)))</formula>
    </cfRule>
    <cfRule type="cellIs" dxfId="3217" priority="2919" operator="equal">
      <formula>0</formula>
    </cfRule>
    <cfRule type="cellIs" dxfId="3216" priority="2920" operator="greaterThan">
      <formula>0</formula>
    </cfRule>
  </conditionalFormatting>
  <conditionalFormatting sqref="O55">
    <cfRule type="cellIs" dxfId="3215" priority="2913" operator="equal">
      <formula>"PMS"</formula>
    </cfRule>
    <cfRule type="containsText" dxfId="3214" priority="2914" operator="containsText" text="CMS">
      <formula>NOT(ISERROR(SEARCH("CMS",O55)))</formula>
    </cfRule>
    <cfRule type="cellIs" dxfId="3213" priority="2915" operator="equal">
      <formula>0</formula>
    </cfRule>
    <cfRule type="cellIs" dxfId="3212" priority="2916" operator="greaterThan">
      <formula>0</formula>
    </cfRule>
  </conditionalFormatting>
  <conditionalFormatting sqref="O55">
    <cfRule type="cellIs" dxfId="3211" priority="2909" operator="equal">
      <formula>"PMS"</formula>
    </cfRule>
    <cfRule type="containsText" dxfId="3210" priority="2910" operator="containsText" text="CMS">
      <formula>NOT(ISERROR(SEARCH("CMS",O55)))</formula>
    </cfRule>
    <cfRule type="cellIs" dxfId="3209" priority="2911" operator="equal">
      <formula>0</formula>
    </cfRule>
    <cfRule type="cellIs" dxfId="3208" priority="2912" operator="greaterThan">
      <formula>0</formula>
    </cfRule>
  </conditionalFormatting>
  <conditionalFormatting sqref="O55">
    <cfRule type="cellIs" dxfId="3207" priority="2905" operator="equal">
      <formula>"PMS"</formula>
    </cfRule>
    <cfRule type="containsText" dxfId="3206" priority="2906" operator="containsText" text="CMS">
      <formula>NOT(ISERROR(SEARCH("CMS",O55)))</formula>
    </cfRule>
    <cfRule type="cellIs" dxfId="3205" priority="2907" operator="equal">
      <formula>0</formula>
    </cfRule>
    <cfRule type="cellIs" dxfId="3204" priority="2908" operator="greaterThan">
      <formula>0</formula>
    </cfRule>
  </conditionalFormatting>
  <conditionalFormatting sqref="O55">
    <cfRule type="cellIs" dxfId="3203" priority="2901" operator="equal">
      <formula>"PMS"</formula>
    </cfRule>
    <cfRule type="containsText" dxfId="3202" priority="2902" operator="containsText" text="CMS">
      <formula>NOT(ISERROR(SEARCH("CMS",O55)))</formula>
    </cfRule>
    <cfRule type="cellIs" dxfId="3201" priority="2903" operator="equal">
      <formula>0</formula>
    </cfRule>
    <cfRule type="cellIs" dxfId="3200" priority="2904" operator="greaterThan">
      <formula>0</formula>
    </cfRule>
  </conditionalFormatting>
  <conditionalFormatting sqref="O55">
    <cfRule type="cellIs" dxfId="3199" priority="2897" operator="equal">
      <formula>"PMS"</formula>
    </cfRule>
    <cfRule type="containsText" dxfId="3198" priority="2898" operator="containsText" text="CMS">
      <formula>NOT(ISERROR(SEARCH("CMS",O55)))</formula>
    </cfRule>
    <cfRule type="cellIs" dxfId="3197" priority="2899" operator="equal">
      <formula>0</formula>
    </cfRule>
    <cfRule type="cellIs" dxfId="3196" priority="2900" operator="greaterThan">
      <formula>0</formula>
    </cfRule>
  </conditionalFormatting>
  <conditionalFormatting sqref="O55">
    <cfRule type="cellIs" dxfId="3195" priority="2893" operator="equal">
      <formula>"PMS"</formula>
    </cfRule>
    <cfRule type="containsText" dxfId="3194" priority="2894" operator="containsText" text="CMS">
      <formula>NOT(ISERROR(SEARCH("CMS",O55)))</formula>
    </cfRule>
    <cfRule type="cellIs" dxfId="3193" priority="2895" operator="equal">
      <formula>0</formula>
    </cfRule>
    <cfRule type="cellIs" dxfId="3192" priority="2896" operator="greaterThan">
      <formula>0</formula>
    </cfRule>
  </conditionalFormatting>
  <conditionalFormatting sqref="O55">
    <cfRule type="cellIs" dxfId="3191" priority="2889" operator="equal">
      <formula>"PMS"</formula>
    </cfRule>
    <cfRule type="containsText" dxfId="3190" priority="2890" operator="containsText" text="CMS">
      <formula>NOT(ISERROR(SEARCH("CMS",O55)))</formula>
    </cfRule>
    <cfRule type="cellIs" dxfId="3189" priority="2891" operator="equal">
      <formula>0</formula>
    </cfRule>
    <cfRule type="cellIs" dxfId="3188" priority="2892" operator="greaterThan">
      <formula>0</formula>
    </cfRule>
  </conditionalFormatting>
  <conditionalFormatting sqref="O55">
    <cfRule type="cellIs" dxfId="3187" priority="2885" operator="equal">
      <formula>"PMS"</formula>
    </cfRule>
    <cfRule type="containsText" dxfId="3186" priority="2886" operator="containsText" text="CMS">
      <formula>NOT(ISERROR(SEARCH("CMS",O55)))</formula>
    </cfRule>
    <cfRule type="cellIs" dxfId="3185" priority="2887" operator="equal">
      <formula>0</formula>
    </cfRule>
    <cfRule type="cellIs" dxfId="3184" priority="2888" operator="greaterThan">
      <formula>0</formula>
    </cfRule>
  </conditionalFormatting>
  <conditionalFormatting sqref="O49">
    <cfRule type="cellIs" dxfId="3179" priority="2877" operator="equal">
      <formula>"PMS"</formula>
    </cfRule>
    <cfRule type="containsText" dxfId="3178" priority="2878" operator="containsText" text="CMS">
      <formula>NOT(ISERROR(SEARCH("CMS",O49)))</formula>
    </cfRule>
    <cfRule type="cellIs" dxfId="3177" priority="2879" operator="equal">
      <formula>0</formula>
    </cfRule>
    <cfRule type="cellIs" dxfId="3176" priority="2880" operator="greaterThan">
      <formula>0</formula>
    </cfRule>
  </conditionalFormatting>
  <conditionalFormatting sqref="O49">
    <cfRule type="cellIs" dxfId="3175" priority="2873" operator="equal">
      <formula>"PMS"</formula>
    </cfRule>
    <cfRule type="containsText" dxfId="3174" priority="2874" operator="containsText" text="CMS">
      <formula>NOT(ISERROR(SEARCH("CMS",O49)))</formula>
    </cfRule>
    <cfRule type="cellIs" dxfId="3173" priority="2875" operator="equal">
      <formula>0</formula>
    </cfRule>
    <cfRule type="cellIs" dxfId="3172" priority="2876" operator="greaterThan">
      <formula>0</formula>
    </cfRule>
  </conditionalFormatting>
  <conditionalFormatting sqref="O49">
    <cfRule type="cellIs" dxfId="3171" priority="2869" operator="equal">
      <formula>"PMS"</formula>
    </cfRule>
    <cfRule type="containsText" dxfId="3170" priority="2870" operator="containsText" text="CMS">
      <formula>NOT(ISERROR(SEARCH("CMS",O49)))</formula>
    </cfRule>
    <cfRule type="cellIs" dxfId="3169" priority="2871" operator="equal">
      <formula>0</formula>
    </cfRule>
    <cfRule type="cellIs" dxfId="3168" priority="2872" operator="greaterThan">
      <formula>0</formula>
    </cfRule>
  </conditionalFormatting>
  <conditionalFormatting sqref="O49">
    <cfRule type="cellIs" dxfId="3167" priority="2865" operator="equal">
      <formula>"PMS"</formula>
    </cfRule>
    <cfRule type="containsText" dxfId="3166" priority="2866" operator="containsText" text="CMS">
      <formula>NOT(ISERROR(SEARCH("CMS",O49)))</formula>
    </cfRule>
    <cfRule type="cellIs" dxfId="3165" priority="2867" operator="equal">
      <formula>0</formula>
    </cfRule>
    <cfRule type="cellIs" dxfId="3164" priority="2868" operator="greaterThan">
      <formula>0</formula>
    </cfRule>
  </conditionalFormatting>
  <conditionalFormatting sqref="O49">
    <cfRule type="cellIs" dxfId="3163" priority="2861" operator="equal">
      <formula>"PMS"</formula>
    </cfRule>
    <cfRule type="containsText" dxfId="3162" priority="2862" operator="containsText" text="CMS">
      <formula>NOT(ISERROR(SEARCH("CMS",O49)))</formula>
    </cfRule>
    <cfRule type="cellIs" dxfId="3161" priority="2863" operator="equal">
      <formula>0</formula>
    </cfRule>
    <cfRule type="cellIs" dxfId="3160" priority="2864" operator="greaterThan">
      <formula>0</formula>
    </cfRule>
  </conditionalFormatting>
  <conditionalFormatting sqref="O49">
    <cfRule type="cellIs" dxfId="3159" priority="2857" operator="equal">
      <formula>"PMS"</formula>
    </cfRule>
    <cfRule type="containsText" dxfId="3158" priority="2858" operator="containsText" text="CMS">
      <formula>NOT(ISERROR(SEARCH("CMS",O49)))</formula>
    </cfRule>
    <cfRule type="cellIs" dxfId="3157" priority="2859" operator="equal">
      <formula>0</formula>
    </cfRule>
    <cfRule type="cellIs" dxfId="3156" priority="2860" operator="greaterThan">
      <formula>0</formula>
    </cfRule>
  </conditionalFormatting>
  <conditionalFormatting sqref="O49">
    <cfRule type="cellIs" dxfId="3155" priority="2853" operator="equal">
      <formula>"PMS"</formula>
    </cfRule>
    <cfRule type="containsText" dxfId="3154" priority="2854" operator="containsText" text="CMS">
      <formula>NOT(ISERROR(SEARCH("CMS",O49)))</formula>
    </cfRule>
    <cfRule type="cellIs" dxfId="3153" priority="2855" operator="equal">
      <formula>0</formula>
    </cfRule>
    <cfRule type="cellIs" dxfId="3152" priority="2856" operator="greaterThan">
      <formula>0</formula>
    </cfRule>
  </conditionalFormatting>
  <conditionalFormatting sqref="O49">
    <cfRule type="cellIs" dxfId="3151" priority="2849" operator="equal">
      <formula>"PMS"</formula>
    </cfRule>
    <cfRule type="containsText" dxfId="3150" priority="2850" operator="containsText" text="CMS">
      <formula>NOT(ISERROR(SEARCH("CMS",O49)))</formula>
    </cfRule>
    <cfRule type="cellIs" dxfId="3149" priority="2851" operator="equal">
      <formula>0</formula>
    </cfRule>
    <cfRule type="cellIs" dxfId="3148" priority="2852" operator="greaterThan">
      <formula>0</formula>
    </cfRule>
  </conditionalFormatting>
  <conditionalFormatting sqref="O49">
    <cfRule type="cellIs" dxfId="3147" priority="2845" operator="equal">
      <formula>"PMS"</formula>
    </cfRule>
    <cfRule type="containsText" dxfId="3146" priority="2846" operator="containsText" text="CMS">
      <formula>NOT(ISERROR(SEARCH("CMS",O49)))</formula>
    </cfRule>
    <cfRule type="cellIs" dxfId="3145" priority="2847" operator="equal">
      <formula>0</formula>
    </cfRule>
    <cfRule type="cellIs" dxfId="3144" priority="2848" operator="greaterThan">
      <formula>0</formula>
    </cfRule>
  </conditionalFormatting>
  <conditionalFormatting sqref="O49">
    <cfRule type="cellIs" dxfId="3143" priority="2841" operator="equal">
      <formula>"PMS"</formula>
    </cfRule>
    <cfRule type="containsText" dxfId="3142" priority="2842" operator="containsText" text="CMS">
      <formula>NOT(ISERROR(SEARCH("CMS",O49)))</formula>
    </cfRule>
    <cfRule type="cellIs" dxfId="3141" priority="2843" operator="equal">
      <formula>0</formula>
    </cfRule>
    <cfRule type="cellIs" dxfId="3140" priority="2844" operator="greaterThan">
      <formula>0</formula>
    </cfRule>
  </conditionalFormatting>
  <conditionalFormatting sqref="O49">
    <cfRule type="cellIs" dxfId="3139" priority="2837" operator="equal">
      <formula>"PMS"</formula>
    </cfRule>
    <cfRule type="containsText" dxfId="3138" priority="2838" operator="containsText" text="CMS">
      <formula>NOT(ISERROR(SEARCH("CMS",O49)))</formula>
    </cfRule>
    <cfRule type="cellIs" dxfId="3137" priority="2839" operator="equal">
      <formula>0</formula>
    </cfRule>
    <cfRule type="cellIs" dxfId="3136" priority="2840" operator="greaterThan">
      <formula>0</formula>
    </cfRule>
  </conditionalFormatting>
  <conditionalFormatting sqref="O49">
    <cfRule type="cellIs" dxfId="3135" priority="2833" operator="equal">
      <formula>"PMS"</formula>
    </cfRule>
    <cfRule type="containsText" dxfId="3134" priority="2834" operator="containsText" text="CMS">
      <formula>NOT(ISERROR(SEARCH("CMS",O49)))</formula>
    </cfRule>
    <cfRule type="cellIs" dxfId="3133" priority="2835" operator="equal">
      <formula>0</formula>
    </cfRule>
    <cfRule type="cellIs" dxfId="3132" priority="2836" operator="greaterThan">
      <formula>0</formula>
    </cfRule>
  </conditionalFormatting>
  <conditionalFormatting sqref="O49">
    <cfRule type="cellIs" dxfId="3131" priority="2829" operator="equal">
      <formula>"PMS"</formula>
    </cfRule>
    <cfRule type="containsText" dxfId="3130" priority="2830" operator="containsText" text="CMS">
      <formula>NOT(ISERROR(SEARCH("CMS",O49)))</formula>
    </cfRule>
    <cfRule type="cellIs" dxfId="3129" priority="2831" operator="equal">
      <formula>0</formula>
    </cfRule>
    <cfRule type="cellIs" dxfId="3128" priority="2832" operator="greaterThan">
      <formula>0</formula>
    </cfRule>
  </conditionalFormatting>
  <conditionalFormatting sqref="O49">
    <cfRule type="cellIs" dxfId="3127" priority="2825" operator="equal">
      <formula>"PMS"</formula>
    </cfRule>
    <cfRule type="containsText" dxfId="3126" priority="2826" operator="containsText" text="CMS">
      <formula>NOT(ISERROR(SEARCH("CMS",O49)))</formula>
    </cfRule>
    <cfRule type="cellIs" dxfId="3125" priority="2827" operator="equal">
      <formula>0</formula>
    </cfRule>
    <cfRule type="cellIs" dxfId="3124" priority="2828" operator="greaterThan">
      <formula>0</formula>
    </cfRule>
  </conditionalFormatting>
  <conditionalFormatting sqref="O49">
    <cfRule type="cellIs" dxfId="3123" priority="2821" operator="equal">
      <formula>"PMS"</formula>
    </cfRule>
    <cfRule type="containsText" dxfId="3122" priority="2822" operator="containsText" text="CMS">
      <formula>NOT(ISERROR(SEARCH("CMS",O49)))</formula>
    </cfRule>
    <cfRule type="cellIs" dxfId="3121" priority="2823" operator="equal">
      <formula>0</formula>
    </cfRule>
    <cfRule type="cellIs" dxfId="3120" priority="2824" operator="greaterThan">
      <formula>0</formula>
    </cfRule>
  </conditionalFormatting>
  <conditionalFormatting sqref="O49">
    <cfRule type="cellIs" dxfId="3119" priority="2817" operator="equal">
      <formula>"PMS"</formula>
    </cfRule>
    <cfRule type="containsText" dxfId="3118" priority="2818" operator="containsText" text="CMS">
      <formula>NOT(ISERROR(SEARCH("CMS",O49)))</formula>
    </cfRule>
    <cfRule type="cellIs" dxfId="3117" priority="2819" operator="equal">
      <formula>0</formula>
    </cfRule>
    <cfRule type="cellIs" dxfId="3116" priority="2820" operator="greaterThan">
      <formula>0</formula>
    </cfRule>
  </conditionalFormatting>
  <conditionalFormatting sqref="O49">
    <cfRule type="cellIs" dxfId="3115" priority="2813" operator="equal">
      <formula>"PMS"</formula>
    </cfRule>
    <cfRule type="containsText" dxfId="3114" priority="2814" operator="containsText" text="CMS">
      <formula>NOT(ISERROR(SEARCH("CMS",O49)))</formula>
    </cfRule>
    <cfRule type="cellIs" dxfId="3113" priority="2815" operator="equal">
      <formula>0</formula>
    </cfRule>
    <cfRule type="cellIs" dxfId="3112" priority="2816" operator="greaterThan">
      <formula>0</formula>
    </cfRule>
  </conditionalFormatting>
  <conditionalFormatting sqref="O49">
    <cfRule type="cellIs" dxfId="3111" priority="2809" operator="equal">
      <formula>"PMS"</formula>
    </cfRule>
    <cfRule type="containsText" dxfId="3110" priority="2810" operator="containsText" text="CMS">
      <formula>NOT(ISERROR(SEARCH("CMS",O49)))</formula>
    </cfRule>
    <cfRule type="cellIs" dxfId="3109" priority="2811" operator="equal">
      <formula>0</formula>
    </cfRule>
    <cfRule type="cellIs" dxfId="3108" priority="2812" operator="greaterThan">
      <formula>0</formula>
    </cfRule>
  </conditionalFormatting>
  <conditionalFormatting sqref="O49">
    <cfRule type="cellIs" dxfId="3107" priority="2805" operator="equal">
      <formula>"PMS"</formula>
    </cfRule>
    <cfRule type="containsText" dxfId="3106" priority="2806" operator="containsText" text="CMS">
      <formula>NOT(ISERROR(SEARCH("CMS",O49)))</formula>
    </cfRule>
    <cfRule type="cellIs" dxfId="3105" priority="2807" operator="equal">
      <formula>0</formula>
    </cfRule>
    <cfRule type="cellIs" dxfId="3104" priority="2808" operator="greaterThan">
      <formula>0</formula>
    </cfRule>
  </conditionalFormatting>
  <conditionalFormatting sqref="O49">
    <cfRule type="cellIs" dxfId="3103" priority="2801" operator="equal">
      <formula>"PMS"</formula>
    </cfRule>
    <cfRule type="containsText" dxfId="3102" priority="2802" operator="containsText" text="CMS">
      <formula>NOT(ISERROR(SEARCH("CMS",O49)))</formula>
    </cfRule>
    <cfRule type="cellIs" dxfId="3101" priority="2803" operator="equal">
      <formula>0</formula>
    </cfRule>
    <cfRule type="cellIs" dxfId="3100" priority="2804" operator="greaterThan">
      <formula>0</formula>
    </cfRule>
  </conditionalFormatting>
  <conditionalFormatting sqref="O49">
    <cfRule type="cellIs" dxfId="3099" priority="2797" operator="equal">
      <formula>"PMS"</formula>
    </cfRule>
    <cfRule type="containsText" dxfId="3098" priority="2798" operator="containsText" text="CMS">
      <formula>NOT(ISERROR(SEARCH("CMS",O49)))</formula>
    </cfRule>
    <cfRule type="cellIs" dxfId="3097" priority="2799" operator="equal">
      <formula>0</formula>
    </cfRule>
    <cfRule type="cellIs" dxfId="3096" priority="2800" operator="greaterThan">
      <formula>0</formula>
    </cfRule>
  </conditionalFormatting>
  <conditionalFormatting sqref="O49">
    <cfRule type="cellIs" dxfId="3095" priority="2793" operator="equal">
      <formula>"PMS"</formula>
    </cfRule>
    <cfRule type="containsText" dxfId="3094" priority="2794" operator="containsText" text="CMS">
      <formula>NOT(ISERROR(SEARCH("CMS",O49)))</formula>
    </cfRule>
    <cfRule type="cellIs" dxfId="3093" priority="2795" operator="equal">
      <formula>0</formula>
    </cfRule>
    <cfRule type="cellIs" dxfId="3092" priority="2796" operator="greaterThan">
      <formula>0</formula>
    </cfRule>
  </conditionalFormatting>
  <conditionalFormatting sqref="O49">
    <cfRule type="cellIs" dxfId="3091" priority="2789" operator="equal">
      <formula>"PMS"</formula>
    </cfRule>
    <cfRule type="containsText" dxfId="3090" priority="2790" operator="containsText" text="CMS">
      <formula>NOT(ISERROR(SEARCH("CMS",O49)))</formula>
    </cfRule>
    <cfRule type="cellIs" dxfId="3089" priority="2791" operator="equal">
      <formula>0</formula>
    </cfRule>
    <cfRule type="cellIs" dxfId="3088" priority="2792" operator="greaterThan">
      <formula>0</formula>
    </cfRule>
  </conditionalFormatting>
  <conditionalFormatting sqref="O49">
    <cfRule type="cellIs" dxfId="3087" priority="2785" operator="equal">
      <formula>"PMS"</formula>
    </cfRule>
    <cfRule type="containsText" dxfId="3086" priority="2786" operator="containsText" text="CMS">
      <formula>NOT(ISERROR(SEARCH("CMS",O49)))</formula>
    </cfRule>
    <cfRule type="cellIs" dxfId="3085" priority="2787" operator="equal">
      <formula>0</formula>
    </cfRule>
    <cfRule type="cellIs" dxfId="3084" priority="2788" operator="greaterThan">
      <formula>0</formula>
    </cfRule>
  </conditionalFormatting>
  <conditionalFormatting sqref="O49">
    <cfRule type="cellIs" dxfId="3083" priority="2781" operator="equal">
      <formula>"PMS"</formula>
    </cfRule>
    <cfRule type="containsText" dxfId="3082" priority="2782" operator="containsText" text="CMS">
      <formula>NOT(ISERROR(SEARCH("CMS",O49)))</formula>
    </cfRule>
    <cfRule type="cellIs" dxfId="3081" priority="2783" operator="equal">
      <formula>0</formula>
    </cfRule>
    <cfRule type="cellIs" dxfId="3080" priority="2784" operator="greaterThan">
      <formula>0</formula>
    </cfRule>
  </conditionalFormatting>
  <conditionalFormatting sqref="O49">
    <cfRule type="cellIs" dxfId="3079" priority="2777" operator="equal">
      <formula>"PMS"</formula>
    </cfRule>
    <cfRule type="containsText" dxfId="3078" priority="2778" operator="containsText" text="CMS">
      <formula>NOT(ISERROR(SEARCH("CMS",O49)))</formula>
    </cfRule>
    <cfRule type="cellIs" dxfId="3077" priority="2779" operator="equal">
      <formula>0</formula>
    </cfRule>
    <cfRule type="cellIs" dxfId="3076" priority="2780" operator="greaterThan">
      <formula>0</formula>
    </cfRule>
  </conditionalFormatting>
  <conditionalFormatting sqref="O49">
    <cfRule type="cellIs" dxfId="3075" priority="2773" operator="equal">
      <formula>"PMS"</formula>
    </cfRule>
    <cfRule type="containsText" dxfId="3074" priority="2774" operator="containsText" text="CMS">
      <formula>NOT(ISERROR(SEARCH("CMS",O49)))</formula>
    </cfRule>
    <cfRule type="cellIs" dxfId="3073" priority="2775" operator="equal">
      <formula>0</formula>
    </cfRule>
    <cfRule type="cellIs" dxfId="3072" priority="2776" operator="greaterThan">
      <formula>0</formula>
    </cfRule>
  </conditionalFormatting>
  <conditionalFormatting sqref="O49">
    <cfRule type="cellIs" dxfId="3071" priority="2769" operator="equal">
      <formula>"PMS"</formula>
    </cfRule>
    <cfRule type="containsText" dxfId="3070" priority="2770" operator="containsText" text="CMS">
      <formula>NOT(ISERROR(SEARCH("CMS",O49)))</formula>
    </cfRule>
    <cfRule type="cellIs" dxfId="3069" priority="2771" operator="equal">
      <formula>0</formula>
    </cfRule>
    <cfRule type="cellIs" dxfId="3068" priority="2772" operator="greaterThan">
      <formula>0</formula>
    </cfRule>
  </conditionalFormatting>
  <conditionalFormatting sqref="O49">
    <cfRule type="cellIs" dxfId="3067" priority="2765" operator="equal">
      <formula>"PMS"</formula>
    </cfRule>
    <cfRule type="containsText" dxfId="3066" priority="2766" operator="containsText" text="CMS">
      <formula>NOT(ISERROR(SEARCH("CMS",O49)))</formula>
    </cfRule>
    <cfRule type="cellIs" dxfId="3065" priority="2767" operator="equal">
      <formula>0</formula>
    </cfRule>
    <cfRule type="cellIs" dxfId="3064" priority="2768" operator="greaterThan">
      <formula>0</formula>
    </cfRule>
  </conditionalFormatting>
  <conditionalFormatting sqref="O49">
    <cfRule type="cellIs" dxfId="3063" priority="2761" operator="equal">
      <formula>"PMS"</formula>
    </cfRule>
    <cfRule type="containsText" dxfId="3062" priority="2762" operator="containsText" text="CMS">
      <formula>NOT(ISERROR(SEARCH("CMS",O49)))</formula>
    </cfRule>
    <cfRule type="cellIs" dxfId="3061" priority="2763" operator="equal">
      <formula>0</formula>
    </cfRule>
    <cfRule type="cellIs" dxfId="3060" priority="2764" operator="greaterThan">
      <formula>0</formula>
    </cfRule>
  </conditionalFormatting>
  <conditionalFormatting sqref="O49">
    <cfRule type="cellIs" dxfId="3059" priority="2757" operator="equal">
      <formula>"PMS"</formula>
    </cfRule>
    <cfRule type="containsText" dxfId="3058" priority="2758" operator="containsText" text="CMS">
      <formula>NOT(ISERROR(SEARCH("CMS",O49)))</formula>
    </cfRule>
    <cfRule type="cellIs" dxfId="3057" priority="2759" operator="equal">
      <formula>0</formula>
    </cfRule>
    <cfRule type="cellIs" dxfId="3056" priority="2760" operator="greaterThan">
      <formula>0</formula>
    </cfRule>
  </conditionalFormatting>
  <conditionalFormatting sqref="O49">
    <cfRule type="cellIs" dxfId="3055" priority="2753" operator="equal">
      <formula>"PMS"</formula>
    </cfRule>
    <cfRule type="containsText" dxfId="3054" priority="2754" operator="containsText" text="CMS">
      <formula>NOT(ISERROR(SEARCH("CMS",O49)))</formula>
    </cfRule>
    <cfRule type="cellIs" dxfId="3053" priority="2755" operator="equal">
      <formula>0</formula>
    </cfRule>
    <cfRule type="cellIs" dxfId="3052" priority="2756" operator="greaterThan">
      <formula>0</formula>
    </cfRule>
  </conditionalFormatting>
  <conditionalFormatting sqref="O49">
    <cfRule type="cellIs" dxfId="3051" priority="2749" operator="equal">
      <formula>"PMS"</formula>
    </cfRule>
    <cfRule type="containsText" dxfId="3050" priority="2750" operator="containsText" text="CMS">
      <formula>NOT(ISERROR(SEARCH("CMS",O49)))</formula>
    </cfRule>
    <cfRule type="cellIs" dxfId="3049" priority="2751" operator="equal">
      <formula>0</formula>
    </cfRule>
    <cfRule type="cellIs" dxfId="3048" priority="2752" operator="greaterThan">
      <formula>0</formula>
    </cfRule>
  </conditionalFormatting>
  <conditionalFormatting sqref="O49">
    <cfRule type="cellIs" dxfId="3047" priority="2745" operator="equal">
      <formula>"PMS"</formula>
    </cfRule>
    <cfRule type="containsText" dxfId="3046" priority="2746" operator="containsText" text="CMS">
      <formula>NOT(ISERROR(SEARCH("CMS",O49)))</formula>
    </cfRule>
    <cfRule type="cellIs" dxfId="3045" priority="2747" operator="equal">
      <formula>0</formula>
    </cfRule>
    <cfRule type="cellIs" dxfId="3044" priority="2748" operator="greaterThan">
      <formula>0</formula>
    </cfRule>
  </conditionalFormatting>
  <conditionalFormatting sqref="O49">
    <cfRule type="cellIs" dxfId="3043" priority="2741" operator="equal">
      <formula>"PMS"</formula>
    </cfRule>
    <cfRule type="containsText" dxfId="3042" priority="2742" operator="containsText" text="CMS">
      <formula>NOT(ISERROR(SEARCH("CMS",O49)))</formula>
    </cfRule>
    <cfRule type="cellIs" dxfId="3041" priority="2743" operator="equal">
      <formula>0</formula>
    </cfRule>
    <cfRule type="cellIs" dxfId="3040" priority="2744" operator="greaterThan">
      <formula>0</formula>
    </cfRule>
  </conditionalFormatting>
  <conditionalFormatting sqref="O49">
    <cfRule type="cellIs" dxfId="3039" priority="2737" operator="equal">
      <formula>"PMS"</formula>
    </cfRule>
    <cfRule type="containsText" dxfId="3038" priority="2738" operator="containsText" text="CMS">
      <formula>NOT(ISERROR(SEARCH("CMS",O49)))</formula>
    </cfRule>
    <cfRule type="cellIs" dxfId="3037" priority="2739" operator="equal">
      <formula>0</formula>
    </cfRule>
    <cfRule type="cellIs" dxfId="3036" priority="2740" operator="greaterThan">
      <formula>0</formula>
    </cfRule>
  </conditionalFormatting>
  <conditionalFormatting sqref="O49">
    <cfRule type="cellIs" dxfId="3035" priority="2733" operator="equal">
      <formula>"PMS"</formula>
    </cfRule>
    <cfRule type="containsText" dxfId="3034" priority="2734" operator="containsText" text="CMS">
      <formula>NOT(ISERROR(SEARCH("CMS",O49)))</formula>
    </cfRule>
    <cfRule type="cellIs" dxfId="3033" priority="2735" operator="equal">
      <formula>0</formula>
    </cfRule>
    <cfRule type="cellIs" dxfId="3032" priority="2736" operator="greaterThan">
      <formula>0</formula>
    </cfRule>
  </conditionalFormatting>
  <conditionalFormatting sqref="O49">
    <cfRule type="cellIs" dxfId="3031" priority="2729" operator="equal">
      <formula>"PMS"</formula>
    </cfRule>
    <cfRule type="containsText" dxfId="3030" priority="2730" operator="containsText" text="CMS">
      <formula>NOT(ISERROR(SEARCH("CMS",O49)))</formula>
    </cfRule>
    <cfRule type="cellIs" dxfId="3029" priority="2731" operator="equal">
      <formula>0</formula>
    </cfRule>
    <cfRule type="cellIs" dxfId="3028" priority="2732" operator="greaterThan">
      <formula>0</formula>
    </cfRule>
  </conditionalFormatting>
  <conditionalFormatting sqref="O49">
    <cfRule type="cellIs" dxfId="3027" priority="2725" operator="equal">
      <formula>"PMS"</formula>
    </cfRule>
    <cfRule type="containsText" dxfId="3026" priority="2726" operator="containsText" text="CMS">
      <formula>NOT(ISERROR(SEARCH("CMS",O49)))</formula>
    </cfRule>
    <cfRule type="cellIs" dxfId="3025" priority="2727" operator="equal">
      <formula>0</formula>
    </cfRule>
    <cfRule type="cellIs" dxfId="3024" priority="2728" operator="greaterThan">
      <formula>0</formula>
    </cfRule>
  </conditionalFormatting>
  <conditionalFormatting sqref="O49">
    <cfRule type="cellIs" dxfId="3023" priority="2721" operator="equal">
      <formula>"PMS"</formula>
    </cfRule>
    <cfRule type="containsText" dxfId="3022" priority="2722" operator="containsText" text="CMS">
      <formula>NOT(ISERROR(SEARCH("CMS",O49)))</formula>
    </cfRule>
    <cfRule type="cellIs" dxfId="3021" priority="2723" operator="equal">
      <formula>0</formula>
    </cfRule>
    <cfRule type="cellIs" dxfId="3020" priority="2724" operator="greaterThan">
      <formula>0</formula>
    </cfRule>
  </conditionalFormatting>
  <conditionalFormatting sqref="O49">
    <cfRule type="cellIs" dxfId="3019" priority="2717" operator="equal">
      <formula>"PMS"</formula>
    </cfRule>
    <cfRule type="containsText" dxfId="3018" priority="2718" operator="containsText" text="CMS">
      <formula>NOT(ISERROR(SEARCH("CMS",O49)))</formula>
    </cfRule>
    <cfRule type="cellIs" dxfId="3017" priority="2719" operator="equal">
      <formula>0</formula>
    </cfRule>
    <cfRule type="cellIs" dxfId="3016" priority="2720" operator="greaterThan">
      <formula>0</formula>
    </cfRule>
  </conditionalFormatting>
  <conditionalFormatting sqref="O49">
    <cfRule type="cellIs" dxfId="3015" priority="2713" operator="equal">
      <formula>"PMS"</formula>
    </cfRule>
    <cfRule type="containsText" dxfId="3014" priority="2714" operator="containsText" text="CMS">
      <formula>NOT(ISERROR(SEARCH("CMS",O49)))</formula>
    </cfRule>
    <cfRule type="cellIs" dxfId="3013" priority="2715" operator="equal">
      <formula>0</formula>
    </cfRule>
    <cfRule type="cellIs" dxfId="3012" priority="2716" operator="greaterThan">
      <formula>0</formula>
    </cfRule>
  </conditionalFormatting>
  <conditionalFormatting sqref="O49">
    <cfRule type="cellIs" dxfId="3011" priority="2709" operator="equal">
      <formula>"PMS"</formula>
    </cfRule>
    <cfRule type="containsText" dxfId="3010" priority="2710" operator="containsText" text="CMS">
      <formula>NOT(ISERROR(SEARCH("CMS",O49)))</formula>
    </cfRule>
    <cfRule type="cellIs" dxfId="3009" priority="2711" operator="equal">
      <formula>0</formula>
    </cfRule>
    <cfRule type="cellIs" dxfId="3008" priority="2712" operator="greaterThan">
      <formula>0</formula>
    </cfRule>
  </conditionalFormatting>
  <conditionalFormatting sqref="O49">
    <cfRule type="cellIs" dxfId="3007" priority="2705" operator="equal">
      <formula>"PMS"</formula>
    </cfRule>
    <cfRule type="containsText" dxfId="3006" priority="2706" operator="containsText" text="CMS">
      <formula>NOT(ISERROR(SEARCH("CMS",O49)))</formula>
    </cfRule>
    <cfRule type="cellIs" dxfId="3005" priority="2707" operator="equal">
      <formula>0</formula>
    </cfRule>
    <cfRule type="cellIs" dxfId="3004" priority="2708" operator="greaterThan">
      <formula>0</formula>
    </cfRule>
  </conditionalFormatting>
  <conditionalFormatting sqref="O49">
    <cfRule type="cellIs" dxfId="3003" priority="2701" operator="equal">
      <formula>"PMS"</formula>
    </cfRule>
    <cfRule type="containsText" dxfId="3002" priority="2702" operator="containsText" text="CMS">
      <formula>NOT(ISERROR(SEARCH("CMS",O49)))</formula>
    </cfRule>
    <cfRule type="cellIs" dxfId="3001" priority="2703" operator="equal">
      <formula>0</formula>
    </cfRule>
    <cfRule type="cellIs" dxfId="3000" priority="2704" operator="greaterThan">
      <formula>0</formula>
    </cfRule>
  </conditionalFormatting>
  <conditionalFormatting sqref="O49">
    <cfRule type="cellIs" dxfId="2999" priority="2697" operator="equal">
      <formula>"PMS"</formula>
    </cfRule>
    <cfRule type="containsText" dxfId="2998" priority="2698" operator="containsText" text="CMS">
      <formula>NOT(ISERROR(SEARCH("CMS",O49)))</formula>
    </cfRule>
    <cfRule type="cellIs" dxfId="2997" priority="2699" operator="equal">
      <formula>0</formula>
    </cfRule>
    <cfRule type="cellIs" dxfId="2996" priority="2700" operator="greaterThan">
      <formula>0</formula>
    </cfRule>
  </conditionalFormatting>
  <conditionalFormatting sqref="O49">
    <cfRule type="cellIs" dxfId="2995" priority="2693" operator="equal">
      <formula>"PMS"</formula>
    </cfRule>
    <cfRule type="containsText" dxfId="2994" priority="2694" operator="containsText" text="CMS">
      <formula>NOT(ISERROR(SEARCH("CMS",O49)))</formula>
    </cfRule>
    <cfRule type="cellIs" dxfId="2993" priority="2695" operator="equal">
      <formula>0</formula>
    </cfRule>
    <cfRule type="cellIs" dxfId="2992" priority="2696" operator="greaterThan">
      <formula>0</formula>
    </cfRule>
  </conditionalFormatting>
  <conditionalFormatting sqref="O49">
    <cfRule type="cellIs" dxfId="2991" priority="2689" operator="equal">
      <formula>"PMS"</formula>
    </cfRule>
    <cfRule type="containsText" dxfId="2990" priority="2690" operator="containsText" text="CMS">
      <formula>NOT(ISERROR(SEARCH("CMS",O49)))</formula>
    </cfRule>
    <cfRule type="cellIs" dxfId="2989" priority="2691" operator="equal">
      <formula>0</formula>
    </cfRule>
    <cfRule type="cellIs" dxfId="2988" priority="2692" operator="greaterThan">
      <formula>0</formula>
    </cfRule>
  </conditionalFormatting>
  <conditionalFormatting sqref="O49">
    <cfRule type="cellIs" dxfId="2987" priority="2685" operator="equal">
      <formula>"PMS"</formula>
    </cfRule>
    <cfRule type="containsText" dxfId="2986" priority="2686" operator="containsText" text="CMS">
      <formula>NOT(ISERROR(SEARCH("CMS",O49)))</formula>
    </cfRule>
    <cfRule type="cellIs" dxfId="2985" priority="2687" operator="equal">
      <formula>0</formula>
    </cfRule>
    <cfRule type="cellIs" dxfId="2984" priority="2688" operator="greaterThan">
      <formula>0</formula>
    </cfRule>
  </conditionalFormatting>
  <conditionalFormatting sqref="O49">
    <cfRule type="cellIs" dxfId="2983" priority="2681" operator="equal">
      <formula>"PMS"</formula>
    </cfRule>
    <cfRule type="containsText" dxfId="2982" priority="2682" operator="containsText" text="CMS">
      <formula>NOT(ISERROR(SEARCH("CMS",O49)))</formula>
    </cfRule>
    <cfRule type="cellIs" dxfId="2981" priority="2683" operator="equal">
      <formula>0</formula>
    </cfRule>
    <cfRule type="cellIs" dxfId="2980" priority="2684" operator="greaterThan">
      <formula>0</formula>
    </cfRule>
  </conditionalFormatting>
  <conditionalFormatting sqref="O49">
    <cfRule type="cellIs" dxfId="2979" priority="2677" operator="equal">
      <formula>"PMS"</formula>
    </cfRule>
    <cfRule type="containsText" dxfId="2978" priority="2678" operator="containsText" text="CMS">
      <formula>NOT(ISERROR(SEARCH("CMS",O49)))</formula>
    </cfRule>
    <cfRule type="cellIs" dxfId="2977" priority="2679" operator="equal">
      <formula>0</formula>
    </cfRule>
    <cfRule type="cellIs" dxfId="2976" priority="2680" operator="greaterThan">
      <formula>0</formula>
    </cfRule>
  </conditionalFormatting>
  <conditionalFormatting sqref="O49">
    <cfRule type="cellIs" dxfId="2975" priority="2673" operator="equal">
      <formula>"PMS"</formula>
    </cfRule>
    <cfRule type="containsText" dxfId="2974" priority="2674" operator="containsText" text="CMS">
      <formula>NOT(ISERROR(SEARCH("CMS",O49)))</formula>
    </cfRule>
    <cfRule type="cellIs" dxfId="2973" priority="2675" operator="equal">
      <formula>0</formula>
    </cfRule>
    <cfRule type="cellIs" dxfId="2972" priority="2676" operator="greaterThan">
      <formula>0</formula>
    </cfRule>
  </conditionalFormatting>
  <conditionalFormatting sqref="O49">
    <cfRule type="cellIs" dxfId="2971" priority="2669" operator="equal">
      <formula>"PMS"</formula>
    </cfRule>
    <cfRule type="containsText" dxfId="2970" priority="2670" operator="containsText" text="CMS">
      <formula>NOT(ISERROR(SEARCH("CMS",O49)))</formula>
    </cfRule>
    <cfRule type="cellIs" dxfId="2969" priority="2671" operator="equal">
      <formula>0</formula>
    </cfRule>
    <cfRule type="cellIs" dxfId="2968" priority="2672" operator="greaterThan">
      <formula>0</formula>
    </cfRule>
  </conditionalFormatting>
  <conditionalFormatting sqref="O49">
    <cfRule type="cellIs" dxfId="2967" priority="2665" operator="equal">
      <formula>"PMS"</formula>
    </cfRule>
    <cfRule type="containsText" dxfId="2966" priority="2666" operator="containsText" text="CMS">
      <formula>NOT(ISERROR(SEARCH("CMS",O49)))</formula>
    </cfRule>
    <cfRule type="cellIs" dxfId="2965" priority="2667" operator="equal">
      <formula>0</formula>
    </cfRule>
    <cfRule type="cellIs" dxfId="2964" priority="2668" operator="greaterThan">
      <formula>0</formula>
    </cfRule>
  </conditionalFormatting>
  <conditionalFormatting sqref="O49">
    <cfRule type="cellIs" dxfId="2963" priority="2661" operator="equal">
      <formula>"PMS"</formula>
    </cfRule>
    <cfRule type="containsText" dxfId="2962" priority="2662" operator="containsText" text="CMS">
      <formula>NOT(ISERROR(SEARCH("CMS",O49)))</formula>
    </cfRule>
    <cfRule type="cellIs" dxfId="2961" priority="2663" operator="equal">
      <formula>0</formula>
    </cfRule>
    <cfRule type="cellIs" dxfId="2960" priority="2664" operator="greaterThan">
      <formula>0</formula>
    </cfRule>
  </conditionalFormatting>
  <conditionalFormatting sqref="O49">
    <cfRule type="cellIs" dxfId="2959" priority="2657" operator="equal">
      <formula>"PMS"</formula>
    </cfRule>
    <cfRule type="containsText" dxfId="2958" priority="2658" operator="containsText" text="CMS">
      <formula>NOT(ISERROR(SEARCH("CMS",O49)))</formula>
    </cfRule>
    <cfRule type="cellIs" dxfId="2957" priority="2659" operator="equal">
      <formula>0</formula>
    </cfRule>
    <cfRule type="cellIs" dxfId="2956" priority="2660" operator="greaterThan">
      <formula>0</formula>
    </cfRule>
  </conditionalFormatting>
  <conditionalFormatting sqref="O49">
    <cfRule type="cellIs" dxfId="2955" priority="2653" operator="equal">
      <formula>"PMS"</formula>
    </cfRule>
    <cfRule type="containsText" dxfId="2954" priority="2654" operator="containsText" text="CMS">
      <formula>NOT(ISERROR(SEARCH("CMS",O49)))</formula>
    </cfRule>
    <cfRule type="cellIs" dxfId="2953" priority="2655" operator="equal">
      <formula>0</formula>
    </cfRule>
    <cfRule type="cellIs" dxfId="2952" priority="2656" operator="greaterThan">
      <formula>0</formula>
    </cfRule>
  </conditionalFormatting>
  <conditionalFormatting sqref="O49">
    <cfRule type="cellIs" dxfId="2951" priority="2649" operator="equal">
      <formula>"PMS"</formula>
    </cfRule>
    <cfRule type="containsText" dxfId="2950" priority="2650" operator="containsText" text="CMS">
      <formula>NOT(ISERROR(SEARCH("CMS",O49)))</formula>
    </cfRule>
    <cfRule type="cellIs" dxfId="2949" priority="2651" operator="equal">
      <formula>0</formula>
    </cfRule>
    <cfRule type="cellIs" dxfId="2948" priority="2652" operator="greaterThan">
      <formula>0</formula>
    </cfRule>
  </conditionalFormatting>
  <conditionalFormatting sqref="O49">
    <cfRule type="cellIs" dxfId="2947" priority="2645" operator="equal">
      <formula>"PMS"</formula>
    </cfRule>
    <cfRule type="containsText" dxfId="2946" priority="2646" operator="containsText" text="CMS">
      <formula>NOT(ISERROR(SEARCH("CMS",O49)))</formula>
    </cfRule>
    <cfRule type="cellIs" dxfId="2945" priority="2647" operator="equal">
      <formula>0</formula>
    </cfRule>
    <cfRule type="cellIs" dxfId="2944" priority="2648" operator="greaterThan">
      <formula>0</formula>
    </cfRule>
  </conditionalFormatting>
  <conditionalFormatting sqref="O49">
    <cfRule type="cellIs" dxfId="2943" priority="2641" operator="equal">
      <formula>"PMS"</formula>
    </cfRule>
    <cfRule type="containsText" dxfId="2942" priority="2642" operator="containsText" text="CMS">
      <formula>NOT(ISERROR(SEARCH("CMS",O49)))</formula>
    </cfRule>
    <cfRule type="cellIs" dxfId="2941" priority="2643" operator="equal">
      <formula>0</formula>
    </cfRule>
    <cfRule type="cellIs" dxfId="2940" priority="2644" operator="greaterThan">
      <formula>0</formula>
    </cfRule>
  </conditionalFormatting>
  <conditionalFormatting sqref="O49">
    <cfRule type="cellIs" dxfId="2939" priority="2637" operator="equal">
      <formula>"PMS"</formula>
    </cfRule>
    <cfRule type="containsText" dxfId="2938" priority="2638" operator="containsText" text="CMS">
      <formula>NOT(ISERROR(SEARCH("CMS",O49)))</formula>
    </cfRule>
    <cfRule type="cellIs" dxfId="2937" priority="2639" operator="equal">
      <formula>0</formula>
    </cfRule>
    <cfRule type="cellIs" dxfId="2936" priority="2640" operator="greaterThan">
      <formula>0</formula>
    </cfRule>
  </conditionalFormatting>
  <conditionalFormatting sqref="O49">
    <cfRule type="cellIs" dxfId="2935" priority="2633" operator="equal">
      <formula>"PMS"</formula>
    </cfRule>
    <cfRule type="containsText" dxfId="2934" priority="2634" operator="containsText" text="CMS">
      <formula>NOT(ISERROR(SEARCH("CMS",O49)))</formula>
    </cfRule>
    <cfRule type="cellIs" dxfId="2933" priority="2635" operator="equal">
      <formula>0</formula>
    </cfRule>
    <cfRule type="cellIs" dxfId="2932" priority="2636" operator="greaterThan">
      <formula>0</formula>
    </cfRule>
  </conditionalFormatting>
  <conditionalFormatting sqref="O49">
    <cfRule type="cellIs" dxfId="2931" priority="2629" operator="equal">
      <formula>"PMS"</formula>
    </cfRule>
    <cfRule type="containsText" dxfId="2930" priority="2630" operator="containsText" text="CMS">
      <formula>NOT(ISERROR(SEARCH("CMS",O49)))</formula>
    </cfRule>
    <cfRule type="cellIs" dxfId="2929" priority="2631" operator="equal">
      <formula>0</formula>
    </cfRule>
    <cfRule type="cellIs" dxfId="2928" priority="2632" operator="greaterThan">
      <formula>0</formula>
    </cfRule>
  </conditionalFormatting>
  <conditionalFormatting sqref="O49">
    <cfRule type="cellIs" dxfId="2927" priority="2625" operator="equal">
      <formula>"PMS"</formula>
    </cfRule>
    <cfRule type="containsText" dxfId="2926" priority="2626" operator="containsText" text="CMS">
      <formula>NOT(ISERROR(SEARCH("CMS",O49)))</formula>
    </cfRule>
    <cfRule type="cellIs" dxfId="2925" priority="2627" operator="equal">
      <formula>0</formula>
    </cfRule>
    <cfRule type="cellIs" dxfId="2924" priority="2628" operator="greaterThan">
      <formula>0</formula>
    </cfRule>
  </conditionalFormatting>
  <conditionalFormatting sqref="O49">
    <cfRule type="cellIs" dxfId="2923" priority="2621" operator="equal">
      <formula>"PMS"</formula>
    </cfRule>
    <cfRule type="containsText" dxfId="2922" priority="2622" operator="containsText" text="CMS">
      <formula>NOT(ISERROR(SEARCH("CMS",O49)))</formula>
    </cfRule>
    <cfRule type="cellIs" dxfId="2921" priority="2623" operator="equal">
      <formula>0</formula>
    </cfRule>
    <cfRule type="cellIs" dxfId="2920" priority="2624" operator="greaterThan">
      <formula>0</formula>
    </cfRule>
  </conditionalFormatting>
  <conditionalFormatting sqref="O49">
    <cfRule type="cellIs" dxfId="2919" priority="2617" operator="equal">
      <formula>"PMS"</formula>
    </cfRule>
    <cfRule type="containsText" dxfId="2918" priority="2618" operator="containsText" text="CMS">
      <formula>NOT(ISERROR(SEARCH("CMS",O49)))</formula>
    </cfRule>
    <cfRule type="cellIs" dxfId="2917" priority="2619" operator="equal">
      <formula>0</formula>
    </cfRule>
    <cfRule type="cellIs" dxfId="2916" priority="2620" operator="greaterThan">
      <formula>0</formula>
    </cfRule>
  </conditionalFormatting>
  <conditionalFormatting sqref="O49">
    <cfRule type="cellIs" dxfId="2915" priority="2613" operator="equal">
      <formula>"PMS"</formula>
    </cfRule>
    <cfRule type="containsText" dxfId="2914" priority="2614" operator="containsText" text="CMS">
      <formula>NOT(ISERROR(SEARCH("CMS",O49)))</formula>
    </cfRule>
    <cfRule type="cellIs" dxfId="2913" priority="2615" operator="equal">
      <formula>0</formula>
    </cfRule>
    <cfRule type="cellIs" dxfId="2912" priority="2616" operator="greaterThan">
      <formula>0</formula>
    </cfRule>
  </conditionalFormatting>
  <conditionalFormatting sqref="O49">
    <cfRule type="cellIs" dxfId="2911" priority="2609" operator="equal">
      <formula>"PMS"</formula>
    </cfRule>
    <cfRule type="containsText" dxfId="2910" priority="2610" operator="containsText" text="CMS">
      <formula>NOT(ISERROR(SEARCH("CMS",O49)))</formula>
    </cfRule>
    <cfRule type="cellIs" dxfId="2909" priority="2611" operator="equal">
      <formula>0</formula>
    </cfRule>
    <cfRule type="cellIs" dxfId="2908" priority="2612" operator="greaterThan">
      <formula>0</formula>
    </cfRule>
  </conditionalFormatting>
  <conditionalFormatting sqref="O49">
    <cfRule type="cellIs" dxfId="2907" priority="2605" operator="equal">
      <formula>"PMS"</formula>
    </cfRule>
    <cfRule type="containsText" dxfId="2906" priority="2606" operator="containsText" text="CMS">
      <formula>NOT(ISERROR(SEARCH("CMS",O49)))</formula>
    </cfRule>
    <cfRule type="cellIs" dxfId="2905" priority="2607" operator="equal">
      <formula>0</formula>
    </cfRule>
    <cfRule type="cellIs" dxfId="2904" priority="2608" operator="greaterThan">
      <formula>0</formula>
    </cfRule>
  </conditionalFormatting>
  <conditionalFormatting sqref="O49">
    <cfRule type="cellIs" dxfId="2903" priority="2601" operator="equal">
      <formula>"PMS"</formula>
    </cfRule>
    <cfRule type="containsText" dxfId="2902" priority="2602" operator="containsText" text="CMS">
      <formula>NOT(ISERROR(SEARCH("CMS",O49)))</formula>
    </cfRule>
    <cfRule type="cellIs" dxfId="2901" priority="2603" operator="equal">
      <formula>0</formula>
    </cfRule>
    <cfRule type="cellIs" dxfId="2900" priority="2604" operator="greaterThan">
      <formula>0</formula>
    </cfRule>
  </conditionalFormatting>
  <conditionalFormatting sqref="O49">
    <cfRule type="cellIs" dxfId="2899" priority="2597" operator="equal">
      <formula>"PMS"</formula>
    </cfRule>
    <cfRule type="containsText" dxfId="2898" priority="2598" operator="containsText" text="CMS">
      <formula>NOT(ISERROR(SEARCH("CMS",O49)))</formula>
    </cfRule>
    <cfRule type="cellIs" dxfId="2897" priority="2599" operator="equal">
      <formula>0</formula>
    </cfRule>
    <cfRule type="cellIs" dxfId="2896" priority="2600" operator="greaterThan">
      <formula>0</formula>
    </cfRule>
  </conditionalFormatting>
  <conditionalFormatting sqref="O49">
    <cfRule type="cellIs" dxfId="2895" priority="2593" operator="equal">
      <formula>"PMS"</formula>
    </cfRule>
    <cfRule type="containsText" dxfId="2894" priority="2594" operator="containsText" text="CMS">
      <formula>NOT(ISERROR(SEARCH("CMS",O49)))</formula>
    </cfRule>
    <cfRule type="cellIs" dxfId="2893" priority="2595" operator="equal">
      <formula>0</formula>
    </cfRule>
    <cfRule type="cellIs" dxfId="2892" priority="2596" operator="greaterThan">
      <formula>0</formula>
    </cfRule>
  </conditionalFormatting>
  <conditionalFormatting sqref="O49">
    <cfRule type="cellIs" dxfId="2891" priority="2589" operator="equal">
      <formula>"PMS"</formula>
    </cfRule>
    <cfRule type="containsText" dxfId="2890" priority="2590" operator="containsText" text="CMS">
      <formula>NOT(ISERROR(SEARCH("CMS",O49)))</formula>
    </cfRule>
    <cfRule type="cellIs" dxfId="2889" priority="2591" operator="equal">
      <formula>0</formula>
    </cfRule>
    <cfRule type="cellIs" dxfId="2888" priority="2592" operator="greaterThan">
      <formula>0</formula>
    </cfRule>
  </conditionalFormatting>
  <conditionalFormatting sqref="O52:O55">
    <cfRule type="cellIs" dxfId="2887" priority="2585" operator="equal">
      <formula>"PMS"</formula>
    </cfRule>
    <cfRule type="containsText" dxfId="2886" priority="2586" operator="containsText" text="CMS">
      <formula>NOT(ISERROR(SEARCH("CMS",O52)))</formula>
    </cfRule>
    <cfRule type="cellIs" dxfId="2885" priority="2587" operator="equal">
      <formula>0</formula>
    </cfRule>
    <cfRule type="cellIs" dxfId="2884" priority="2588" operator="greaterThan">
      <formula>0</formula>
    </cfRule>
  </conditionalFormatting>
  <conditionalFormatting sqref="O52:O55">
    <cfRule type="cellIs" dxfId="2883" priority="2581" operator="equal">
      <formula>"PMS"</formula>
    </cfRule>
    <cfRule type="containsText" dxfId="2882" priority="2582" operator="containsText" text="CMS">
      <formula>NOT(ISERROR(SEARCH("CMS",O52)))</formula>
    </cfRule>
    <cfRule type="cellIs" dxfId="2881" priority="2583" operator="equal">
      <formula>0</formula>
    </cfRule>
    <cfRule type="cellIs" dxfId="2880" priority="2584" operator="greaterThan">
      <formula>0</formula>
    </cfRule>
  </conditionalFormatting>
  <conditionalFormatting sqref="O52:O55">
    <cfRule type="cellIs" dxfId="2879" priority="2577" operator="equal">
      <formula>"PMS"</formula>
    </cfRule>
    <cfRule type="containsText" dxfId="2878" priority="2578" operator="containsText" text="CMS">
      <formula>NOT(ISERROR(SEARCH("CMS",O52)))</formula>
    </cfRule>
    <cfRule type="cellIs" dxfId="2877" priority="2579" operator="equal">
      <formula>0</formula>
    </cfRule>
    <cfRule type="cellIs" dxfId="2876" priority="2580" operator="greaterThan">
      <formula>0</formula>
    </cfRule>
  </conditionalFormatting>
  <conditionalFormatting sqref="O52:O55">
    <cfRule type="cellIs" dxfId="2875" priority="2573" operator="equal">
      <formula>"PMS"</formula>
    </cfRule>
    <cfRule type="containsText" dxfId="2874" priority="2574" operator="containsText" text="CMS">
      <formula>NOT(ISERROR(SEARCH("CMS",O52)))</formula>
    </cfRule>
    <cfRule type="cellIs" dxfId="2873" priority="2575" operator="equal">
      <formula>0</formula>
    </cfRule>
    <cfRule type="cellIs" dxfId="2872" priority="2576" operator="greaterThan">
      <formula>0</formula>
    </cfRule>
  </conditionalFormatting>
  <conditionalFormatting sqref="O52:O55">
    <cfRule type="cellIs" dxfId="2871" priority="2569" operator="equal">
      <formula>"PMS"</formula>
    </cfRule>
    <cfRule type="containsText" dxfId="2870" priority="2570" operator="containsText" text="CMS">
      <formula>NOT(ISERROR(SEARCH("CMS",O52)))</formula>
    </cfRule>
    <cfRule type="cellIs" dxfId="2869" priority="2571" operator="equal">
      <formula>0</formula>
    </cfRule>
    <cfRule type="cellIs" dxfId="2868" priority="2572" operator="greaterThan">
      <formula>0</formula>
    </cfRule>
  </conditionalFormatting>
  <conditionalFormatting sqref="O52:O55">
    <cfRule type="cellIs" dxfId="2867" priority="2565" operator="equal">
      <formula>"PMS"</formula>
    </cfRule>
    <cfRule type="containsText" dxfId="2866" priority="2566" operator="containsText" text="CMS">
      <formula>NOT(ISERROR(SEARCH("CMS",O52)))</formula>
    </cfRule>
    <cfRule type="cellIs" dxfId="2865" priority="2567" operator="equal">
      <formula>0</formula>
    </cfRule>
    <cfRule type="cellIs" dxfId="2864" priority="2568" operator="greaterThan">
      <formula>0</formula>
    </cfRule>
  </conditionalFormatting>
  <conditionalFormatting sqref="O52:O55">
    <cfRule type="cellIs" dxfId="2863" priority="2561" operator="equal">
      <formula>"PMS"</formula>
    </cfRule>
    <cfRule type="containsText" dxfId="2862" priority="2562" operator="containsText" text="CMS">
      <formula>NOT(ISERROR(SEARCH("CMS",O52)))</formula>
    </cfRule>
    <cfRule type="cellIs" dxfId="2861" priority="2563" operator="equal">
      <formula>0</formula>
    </cfRule>
    <cfRule type="cellIs" dxfId="2860" priority="2564" operator="greaterThan">
      <formula>0</formula>
    </cfRule>
  </conditionalFormatting>
  <conditionalFormatting sqref="O52:O55">
    <cfRule type="cellIs" dxfId="2859" priority="2557" operator="equal">
      <formula>"PMS"</formula>
    </cfRule>
    <cfRule type="containsText" dxfId="2858" priority="2558" operator="containsText" text="CMS">
      <formula>NOT(ISERROR(SEARCH("CMS",O52)))</formula>
    </cfRule>
    <cfRule type="cellIs" dxfId="2857" priority="2559" operator="equal">
      <formula>0</formula>
    </cfRule>
    <cfRule type="cellIs" dxfId="2856" priority="2560" operator="greaterThan">
      <formula>0</formula>
    </cfRule>
  </conditionalFormatting>
  <conditionalFormatting sqref="O52:O55">
    <cfRule type="cellIs" dxfId="2855" priority="2553" operator="equal">
      <formula>"PMS"</formula>
    </cfRule>
    <cfRule type="containsText" dxfId="2854" priority="2554" operator="containsText" text="CMS">
      <formula>NOT(ISERROR(SEARCH("CMS",O52)))</formula>
    </cfRule>
    <cfRule type="cellIs" dxfId="2853" priority="2555" operator="equal">
      <formula>0</formula>
    </cfRule>
    <cfRule type="cellIs" dxfId="2852" priority="2556" operator="greaterThan">
      <formula>0</formula>
    </cfRule>
  </conditionalFormatting>
  <conditionalFormatting sqref="O52:O55">
    <cfRule type="cellIs" dxfId="2851" priority="2549" operator="equal">
      <formula>"PMS"</formula>
    </cfRule>
    <cfRule type="containsText" dxfId="2850" priority="2550" operator="containsText" text="CMS">
      <formula>NOT(ISERROR(SEARCH("CMS",O52)))</formula>
    </cfRule>
    <cfRule type="cellIs" dxfId="2849" priority="2551" operator="equal">
      <formula>0</formula>
    </cfRule>
    <cfRule type="cellIs" dxfId="2848" priority="2552" operator="greaterThan">
      <formula>0</formula>
    </cfRule>
  </conditionalFormatting>
  <conditionalFormatting sqref="O52:O55">
    <cfRule type="cellIs" dxfId="2847" priority="2545" operator="equal">
      <formula>"PMS"</formula>
    </cfRule>
    <cfRule type="containsText" dxfId="2846" priority="2546" operator="containsText" text="CMS">
      <formula>NOT(ISERROR(SEARCH("CMS",O52)))</formula>
    </cfRule>
    <cfRule type="cellIs" dxfId="2845" priority="2547" operator="equal">
      <formula>0</formula>
    </cfRule>
    <cfRule type="cellIs" dxfId="2844" priority="2548" operator="greaterThan">
      <formula>0</formula>
    </cfRule>
  </conditionalFormatting>
  <conditionalFormatting sqref="O52:O55">
    <cfRule type="cellIs" dxfId="2843" priority="2541" operator="equal">
      <formula>"PMS"</formula>
    </cfRule>
    <cfRule type="containsText" dxfId="2842" priority="2542" operator="containsText" text="CMS">
      <formula>NOT(ISERROR(SEARCH("CMS",O52)))</formula>
    </cfRule>
    <cfRule type="cellIs" dxfId="2841" priority="2543" operator="equal">
      <formula>0</formula>
    </cfRule>
    <cfRule type="cellIs" dxfId="2840" priority="2544" operator="greaterThan">
      <formula>0</formula>
    </cfRule>
  </conditionalFormatting>
  <conditionalFormatting sqref="O52:O55">
    <cfRule type="cellIs" dxfId="2839" priority="2537" operator="equal">
      <formula>"PMS"</formula>
    </cfRule>
    <cfRule type="containsText" dxfId="2838" priority="2538" operator="containsText" text="CMS">
      <formula>NOT(ISERROR(SEARCH("CMS",O52)))</formula>
    </cfRule>
    <cfRule type="cellIs" dxfId="2837" priority="2539" operator="equal">
      <formula>0</formula>
    </cfRule>
    <cfRule type="cellIs" dxfId="2836" priority="2540" operator="greaterThan">
      <formula>0</formula>
    </cfRule>
  </conditionalFormatting>
  <conditionalFormatting sqref="O52:O55">
    <cfRule type="cellIs" dxfId="2835" priority="2533" operator="equal">
      <formula>"PMS"</formula>
    </cfRule>
    <cfRule type="containsText" dxfId="2834" priority="2534" operator="containsText" text="CMS">
      <formula>NOT(ISERROR(SEARCH("CMS",O52)))</formula>
    </cfRule>
    <cfRule type="cellIs" dxfId="2833" priority="2535" operator="equal">
      <formula>0</formula>
    </cfRule>
    <cfRule type="cellIs" dxfId="2832" priority="2536" operator="greaterThan">
      <formula>0</formula>
    </cfRule>
  </conditionalFormatting>
  <conditionalFormatting sqref="O52:O55">
    <cfRule type="cellIs" dxfId="2831" priority="2529" operator="equal">
      <formula>"PMS"</formula>
    </cfRule>
    <cfRule type="containsText" dxfId="2830" priority="2530" operator="containsText" text="CMS">
      <formula>NOT(ISERROR(SEARCH("CMS",O52)))</formula>
    </cfRule>
    <cfRule type="cellIs" dxfId="2829" priority="2531" operator="equal">
      <formula>0</formula>
    </cfRule>
    <cfRule type="cellIs" dxfId="2828" priority="2532" operator="greaterThan">
      <formula>0</formula>
    </cfRule>
  </conditionalFormatting>
  <conditionalFormatting sqref="O52:O55">
    <cfRule type="cellIs" dxfId="2827" priority="2525" operator="equal">
      <formula>"PMS"</formula>
    </cfRule>
    <cfRule type="containsText" dxfId="2826" priority="2526" operator="containsText" text="CMS">
      <formula>NOT(ISERROR(SEARCH("CMS",O52)))</formula>
    </cfRule>
    <cfRule type="cellIs" dxfId="2825" priority="2527" operator="equal">
      <formula>0</formula>
    </cfRule>
    <cfRule type="cellIs" dxfId="2824" priority="2528" operator="greaterThan">
      <formula>0</formula>
    </cfRule>
  </conditionalFormatting>
  <conditionalFormatting sqref="O52:O55">
    <cfRule type="cellIs" dxfId="2823" priority="2521" operator="equal">
      <formula>"PMS"</formula>
    </cfRule>
    <cfRule type="containsText" dxfId="2822" priority="2522" operator="containsText" text="CMS">
      <formula>NOT(ISERROR(SEARCH("CMS",O52)))</formula>
    </cfRule>
    <cfRule type="cellIs" dxfId="2821" priority="2523" operator="equal">
      <formula>0</formula>
    </cfRule>
    <cfRule type="cellIs" dxfId="2820" priority="2524" operator="greaterThan">
      <formula>0</formula>
    </cfRule>
  </conditionalFormatting>
  <conditionalFormatting sqref="O52:O55">
    <cfRule type="cellIs" dxfId="2819" priority="2517" operator="equal">
      <formula>"PMS"</formula>
    </cfRule>
    <cfRule type="containsText" dxfId="2818" priority="2518" operator="containsText" text="CMS">
      <formula>NOT(ISERROR(SEARCH("CMS",O52)))</formula>
    </cfRule>
    <cfRule type="cellIs" dxfId="2817" priority="2519" operator="equal">
      <formula>0</formula>
    </cfRule>
    <cfRule type="cellIs" dxfId="2816" priority="2520" operator="greaterThan">
      <formula>0</formula>
    </cfRule>
  </conditionalFormatting>
  <conditionalFormatting sqref="O52:O55">
    <cfRule type="cellIs" dxfId="2815" priority="2513" operator="equal">
      <formula>"PMS"</formula>
    </cfRule>
    <cfRule type="containsText" dxfId="2814" priority="2514" operator="containsText" text="CMS">
      <formula>NOT(ISERROR(SEARCH("CMS",O52)))</formula>
    </cfRule>
    <cfRule type="cellIs" dxfId="2813" priority="2515" operator="equal">
      <formula>0</formula>
    </cfRule>
    <cfRule type="cellIs" dxfId="2812" priority="2516" operator="greaterThan">
      <formula>0</formula>
    </cfRule>
  </conditionalFormatting>
  <conditionalFormatting sqref="O52:O55">
    <cfRule type="cellIs" dxfId="2811" priority="2509" operator="equal">
      <formula>"PMS"</formula>
    </cfRule>
    <cfRule type="containsText" dxfId="2810" priority="2510" operator="containsText" text="CMS">
      <formula>NOT(ISERROR(SEARCH("CMS",O52)))</formula>
    </cfRule>
    <cfRule type="cellIs" dxfId="2809" priority="2511" operator="equal">
      <formula>0</formula>
    </cfRule>
    <cfRule type="cellIs" dxfId="2808" priority="2512" operator="greaterThan">
      <formula>0</formula>
    </cfRule>
  </conditionalFormatting>
  <conditionalFormatting sqref="O52:O55">
    <cfRule type="cellIs" dxfId="2807" priority="2505" operator="equal">
      <formula>"PMS"</formula>
    </cfRule>
    <cfRule type="containsText" dxfId="2806" priority="2506" operator="containsText" text="CMS">
      <formula>NOT(ISERROR(SEARCH("CMS",O52)))</formula>
    </cfRule>
    <cfRule type="cellIs" dxfId="2805" priority="2507" operator="equal">
      <formula>0</formula>
    </cfRule>
    <cfRule type="cellIs" dxfId="2804" priority="2508" operator="greaterThan">
      <formula>0</formula>
    </cfRule>
  </conditionalFormatting>
  <conditionalFormatting sqref="O52:O55">
    <cfRule type="cellIs" dxfId="2803" priority="2501" operator="equal">
      <formula>"PMS"</formula>
    </cfRule>
    <cfRule type="containsText" dxfId="2802" priority="2502" operator="containsText" text="CMS">
      <formula>NOT(ISERROR(SEARCH("CMS",O52)))</formula>
    </cfRule>
    <cfRule type="cellIs" dxfId="2801" priority="2503" operator="equal">
      <formula>0</formula>
    </cfRule>
    <cfRule type="cellIs" dxfId="2800" priority="2504" operator="greaterThan">
      <formula>0</formula>
    </cfRule>
  </conditionalFormatting>
  <conditionalFormatting sqref="O52:O55">
    <cfRule type="cellIs" dxfId="2799" priority="2497" operator="equal">
      <formula>"PMS"</formula>
    </cfRule>
    <cfRule type="containsText" dxfId="2798" priority="2498" operator="containsText" text="CMS">
      <formula>NOT(ISERROR(SEARCH("CMS",O52)))</formula>
    </cfRule>
    <cfRule type="cellIs" dxfId="2797" priority="2499" operator="equal">
      <formula>0</formula>
    </cfRule>
    <cfRule type="cellIs" dxfId="2796" priority="2500" operator="greaterThan">
      <formula>0</formula>
    </cfRule>
  </conditionalFormatting>
  <conditionalFormatting sqref="O52:O55">
    <cfRule type="cellIs" dxfId="2795" priority="2493" operator="equal">
      <formula>"PMS"</formula>
    </cfRule>
    <cfRule type="containsText" dxfId="2794" priority="2494" operator="containsText" text="CMS">
      <formula>NOT(ISERROR(SEARCH("CMS",O52)))</formula>
    </cfRule>
    <cfRule type="cellIs" dxfId="2793" priority="2495" operator="equal">
      <formula>0</formula>
    </cfRule>
    <cfRule type="cellIs" dxfId="2792" priority="2496" operator="greaterThan">
      <formula>0</formula>
    </cfRule>
  </conditionalFormatting>
  <conditionalFormatting sqref="O52:O55">
    <cfRule type="cellIs" dxfId="2791" priority="2489" operator="equal">
      <formula>"PMS"</formula>
    </cfRule>
    <cfRule type="containsText" dxfId="2790" priority="2490" operator="containsText" text="CMS">
      <formula>NOT(ISERROR(SEARCH("CMS",O52)))</formula>
    </cfRule>
    <cfRule type="cellIs" dxfId="2789" priority="2491" operator="equal">
      <formula>0</formula>
    </cfRule>
    <cfRule type="cellIs" dxfId="2788" priority="2492" operator="greaterThan">
      <formula>0</formula>
    </cfRule>
  </conditionalFormatting>
  <conditionalFormatting sqref="O52:O55">
    <cfRule type="cellIs" dxfId="2787" priority="2485" operator="equal">
      <formula>"PMS"</formula>
    </cfRule>
    <cfRule type="containsText" dxfId="2786" priority="2486" operator="containsText" text="CMS">
      <formula>NOT(ISERROR(SEARCH("CMS",O52)))</formula>
    </cfRule>
    <cfRule type="cellIs" dxfId="2785" priority="2487" operator="equal">
      <formula>0</formula>
    </cfRule>
    <cfRule type="cellIs" dxfId="2784" priority="2488" operator="greaterThan">
      <formula>0</formula>
    </cfRule>
  </conditionalFormatting>
  <conditionalFormatting sqref="O52:O55">
    <cfRule type="cellIs" dxfId="2783" priority="2481" operator="equal">
      <formula>"PMS"</formula>
    </cfRule>
    <cfRule type="containsText" dxfId="2782" priority="2482" operator="containsText" text="CMS">
      <formula>NOT(ISERROR(SEARCH("CMS",O52)))</formula>
    </cfRule>
    <cfRule type="cellIs" dxfId="2781" priority="2483" operator="equal">
      <formula>0</formula>
    </cfRule>
    <cfRule type="cellIs" dxfId="2780" priority="2484" operator="greaterThan">
      <formula>0</formula>
    </cfRule>
  </conditionalFormatting>
  <conditionalFormatting sqref="O52:O55">
    <cfRule type="cellIs" dxfId="2779" priority="2477" operator="equal">
      <formula>"PMS"</formula>
    </cfRule>
    <cfRule type="containsText" dxfId="2778" priority="2478" operator="containsText" text="CMS">
      <formula>NOT(ISERROR(SEARCH("CMS",O52)))</formula>
    </cfRule>
    <cfRule type="cellIs" dxfId="2777" priority="2479" operator="equal">
      <formula>0</formula>
    </cfRule>
    <cfRule type="cellIs" dxfId="2776" priority="2480" operator="greaterThan">
      <formula>0</formula>
    </cfRule>
  </conditionalFormatting>
  <conditionalFormatting sqref="O52:O55">
    <cfRule type="cellIs" dxfId="2775" priority="2473" operator="equal">
      <formula>"PMS"</formula>
    </cfRule>
    <cfRule type="containsText" dxfId="2774" priority="2474" operator="containsText" text="CMS">
      <formula>NOT(ISERROR(SEARCH("CMS",O52)))</formula>
    </cfRule>
    <cfRule type="cellIs" dxfId="2773" priority="2475" operator="equal">
      <formula>0</formula>
    </cfRule>
    <cfRule type="cellIs" dxfId="2772" priority="2476" operator="greaterThan">
      <formula>0</formula>
    </cfRule>
  </conditionalFormatting>
  <conditionalFormatting sqref="O52:O55">
    <cfRule type="cellIs" dxfId="2771" priority="2469" operator="equal">
      <formula>"PMS"</formula>
    </cfRule>
    <cfRule type="containsText" dxfId="2770" priority="2470" operator="containsText" text="CMS">
      <formula>NOT(ISERROR(SEARCH("CMS",O52)))</formula>
    </cfRule>
    <cfRule type="cellIs" dxfId="2769" priority="2471" operator="equal">
      <formula>0</formula>
    </cfRule>
    <cfRule type="cellIs" dxfId="2768" priority="2472" operator="greaterThan">
      <formula>0</formula>
    </cfRule>
  </conditionalFormatting>
  <conditionalFormatting sqref="O52:O55">
    <cfRule type="cellIs" dxfId="2767" priority="2465" operator="equal">
      <formula>"PMS"</formula>
    </cfRule>
    <cfRule type="containsText" dxfId="2766" priority="2466" operator="containsText" text="CMS">
      <formula>NOT(ISERROR(SEARCH("CMS",O52)))</formula>
    </cfRule>
    <cfRule type="cellIs" dxfId="2765" priority="2467" operator="equal">
      <formula>0</formula>
    </cfRule>
    <cfRule type="cellIs" dxfId="2764" priority="2468" operator="greaterThan">
      <formula>0</formula>
    </cfRule>
  </conditionalFormatting>
  <conditionalFormatting sqref="O52:O55">
    <cfRule type="cellIs" dxfId="2763" priority="2461" operator="equal">
      <formula>"PMS"</formula>
    </cfRule>
    <cfRule type="containsText" dxfId="2762" priority="2462" operator="containsText" text="CMS">
      <formula>NOT(ISERROR(SEARCH("CMS",O52)))</formula>
    </cfRule>
    <cfRule type="cellIs" dxfId="2761" priority="2463" operator="equal">
      <formula>0</formula>
    </cfRule>
    <cfRule type="cellIs" dxfId="2760" priority="2464" operator="greaterThan">
      <formula>0</formula>
    </cfRule>
  </conditionalFormatting>
  <conditionalFormatting sqref="O52:O55">
    <cfRule type="cellIs" dxfId="2759" priority="2457" operator="equal">
      <formula>"PMS"</formula>
    </cfRule>
    <cfRule type="containsText" dxfId="2758" priority="2458" operator="containsText" text="CMS">
      <formula>NOT(ISERROR(SEARCH("CMS",O52)))</formula>
    </cfRule>
    <cfRule type="cellIs" dxfId="2757" priority="2459" operator="equal">
      <formula>0</formula>
    </cfRule>
    <cfRule type="cellIs" dxfId="2756" priority="2460" operator="greaterThan">
      <formula>0</formula>
    </cfRule>
  </conditionalFormatting>
  <conditionalFormatting sqref="O52:O55">
    <cfRule type="cellIs" dxfId="2755" priority="2453" operator="equal">
      <formula>"PMS"</formula>
    </cfRule>
    <cfRule type="containsText" dxfId="2754" priority="2454" operator="containsText" text="CMS">
      <formula>NOT(ISERROR(SEARCH("CMS",O52)))</formula>
    </cfRule>
    <cfRule type="cellIs" dxfId="2753" priority="2455" operator="equal">
      <formula>0</formula>
    </cfRule>
    <cfRule type="cellIs" dxfId="2752" priority="2456" operator="greaterThan">
      <formula>0</formula>
    </cfRule>
  </conditionalFormatting>
  <conditionalFormatting sqref="O52:O55">
    <cfRule type="cellIs" dxfId="2751" priority="2449" operator="equal">
      <formula>"PMS"</formula>
    </cfRule>
    <cfRule type="containsText" dxfId="2750" priority="2450" operator="containsText" text="CMS">
      <formula>NOT(ISERROR(SEARCH("CMS",O52)))</formula>
    </cfRule>
    <cfRule type="cellIs" dxfId="2749" priority="2451" operator="equal">
      <formula>0</formula>
    </cfRule>
    <cfRule type="cellIs" dxfId="2748" priority="2452" operator="greaterThan">
      <formula>0</formula>
    </cfRule>
  </conditionalFormatting>
  <conditionalFormatting sqref="O52:O55">
    <cfRule type="cellIs" dxfId="2747" priority="2445" operator="equal">
      <formula>"PMS"</formula>
    </cfRule>
    <cfRule type="containsText" dxfId="2746" priority="2446" operator="containsText" text="CMS">
      <formula>NOT(ISERROR(SEARCH("CMS",O52)))</formula>
    </cfRule>
    <cfRule type="cellIs" dxfId="2745" priority="2447" operator="equal">
      <formula>0</formula>
    </cfRule>
    <cfRule type="cellIs" dxfId="2744" priority="2448" operator="greaterThan">
      <formula>0</formula>
    </cfRule>
  </conditionalFormatting>
  <conditionalFormatting sqref="O52:O55">
    <cfRule type="cellIs" dxfId="2743" priority="2441" operator="equal">
      <formula>"PMS"</formula>
    </cfRule>
    <cfRule type="containsText" dxfId="2742" priority="2442" operator="containsText" text="CMS">
      <formula>NOT(ISERROR(SEARCH("CMS",O52)))</formula>
    </cfRule>
    <cfRule type="cellIs" dxfId="2741" priority="2443" operator="equal">
      <formula>0</formula>
    </cfRule>
    <cfRule type="cellIs" dxfId="2740" priority="2444" operator="greaterThan">
      <formula>0</formula>
    </cfRule>
  </conditionalFormatting>
  <conditionalFormatting sqref="O52:O55">
    <cfRule type="cellIs" dxfId="2739" priority="2437" operator="equal">
      <formula>"PMS"</formula>
    </cfRule>
    <cfRule type="containsText" dxfId="2738" priority="2438" operator="containsText" text="CMS">
      <formula>NOT(ISERROR(SEARCH("CMS",O52)))</formula>
    </cfRule>
    <cfRule type="cellIs" dxfId="2737" priority="2439" operator="equal">
      <formula>0</formula>
    </cfRule>
    <cfRule type="cellIs" dxfId="2736" priority="2440" operator="greaterThan">
      <formula>0</formula>
    </cfRule>
  </conditionalFormatting>
  <conditionalFormatting sqref="O52:O55">
    <cfRule type="cellIs" dxfId="2735" priority="2433" operator="equal">
      <formula>"PMS"</formula>
    </cfRule>
    <cfRule type="containsText" dxfId="2734" priority="2434" operator="containsText" text="CMS">
      <formula>NOT(ISERROR(SEARCH("CMS",O52)))</formula>
    </cfRule>
    <cfRule type="cellIs" dxfId="2733" priority="2435" operator="equal">
      <formula>0</formula>
    </cfRule>
    <cfRule type="cellIs" dxfId="2732" priority="2436" operator="greaterThan">
      <formula>0</formula>
    </cfRule>
  </conditionalFormatting>
  <conditionalFormatting sqref="O52:O55">
    <cfRule type="cellIs" dxfId="2731" priority="2429" operator="equal">
      <formula>"PMS"</formula>
    </cfRule>
    <cfRule type="containsText" dxfId="2730" priority="2430" operator="containsText" text="CMS">
      <formula>NOT(ISERROR(SEARCH("CMS",O52)))</formula>
    </cfRule>
    <cfRule type="cellIs" dxfId="2729" priority="2431" operator="equal">
      <formula>0</formula>
    </cfRule>
    <cfRule type="cellIs" dxfId="2728" priority="2432" operator="greaterThan">
      <formula>0</formula>
    </cfRule>
  </conditionalFormatting>
  <conditionalFormatting sqref="O52:O55">
    <cfRule type="cellIs" dxfId="2727" priority="2425" operator="equal">
      <formula>"PMS"</formula>
    </cfRule>
    <cfRule type="containsText" dxfId="2726" priority="2426" operator="containsText" text="CMS">
      <formula>NOT(ISERROR(SEARCH("CMS",O52)))</formula>
    </cfRule>
    <cfRule type="cellIs" dxfId="2725" priority="2427" operator="equal">
      <formula>0</formula>
    </cfRule>
    <cfRule type="cellIs" dxfId="2724" priority="2428" operator="greaterThan">
      <formula>0</formula>
    </cfRule>
  </conditionalFormatting>
  <conditionalFormatting sqref="O52:O55">
    <cfRule type="cellIs" dxfId="2723" priority="2421" operator="equal">
      <formula>"PMS"</formula>
    </cfRule>
    <cfRule type="containsText" dxfId="2722" priority="2422" operator="containsText" text="CMS">
      <formula>NOT(ISERROR(SEARCH("CMS",O52)))</formula>
    </cfRule>
    <cfRule type="cellIs" dxfId="2721" priority="2423" operator="equal">
      <formula>0</formula>
    </cfRule>
    <cfRule type="cellIs" dxfId="2720" priority="2424" operator="greaterThan">
      <formula>0</formula>
    </cfRule>
  </conditionalFormatting>
  <conditionalFormatting sqref="O52:O55">
    <cfRule type="cellIs" dxfId="2719" priority="2417" operator="equal">
      <formula>"PMS"</formula>
    </cfRule>
    <cfRule type="containsText" dxfId="2718" priority="2418" operator="containsText" text="CMS">
      <formula>NOT(ISERROR(SEARCH("CMS",O52)))</formula>
    </cfRule>
    <cfRule type="cellIs" dxfId="2717" priority="2419" operator="equal">
      <formula>0</formula>
    </cfRule>
    <cfRule type="cellIs" dxfId="2716" priority="2420" operator="greaterThan">
      <formula>0</formula>
    </cfRule>
  </conditionalFormatting>
  <conditionalFormatting sqref="O52:O55">
    <cfRule type="cellIs" dxfId="2715" priority="2413" operator="equal">
      <formula>"PMS"</formula>
    </cfRule>
    <cfRule type="containsText" dxfId="2714" priority="2414" operator="containsText" text="CMS">
      <formula>NOT(ISERROR(SEARCH("CMS",O52)))</formula>
    </cfRule>
    <cfRule type="cellIs" dxfId="2713" priority="2415" operator="equal">
      <formula>0</formula>
    </cfRule>
    <cfRule type="cellIs" dxfId="2712" priority="2416" operator="greaterThan">
      <formula>0</formula>
    </cfRule>
  </conditionalFormatting>
  <conditionalFormatting sqref="O52:O55">
    <cfRule type="cellIs" dxfId="2711" priority="2409" operator="equal">
      <formula>"PMS"</formula>
    </cfRule>
    <cfRule type="containsText" dxfId="2710" priority="2410" operator="containsText" text="CMS">
      <formula>NOT(ISERROR(SEARCH("CMS",O52)))</formula>
    </cfRule>
    <cfRule type="cellIs" dxfId="2709" priority="2411" operator="equal">
      <formula>0</formula>
    </cfRule>
    <cfRule type="cellIs" dxfId="2708" priority="2412" operator="greaterThan">
      <formula>0</formula>
    </cfRule>
  </conditionalFormatting>
  <conditionalFormatting sqref="O52:O55">
    <cfRule type="cellIs" dxfId="2707" priority="2405" operator="equal">
      <formula>"PMS"</formula>
    </cfRule>
    <cfRule type="containsText" dxfId="2706" priority="2406" operator="containsText" text="CMS">
      <formula>NOT(ISERROR(SEARCH("CMS",O52)))</formula>
    </cfRule>
    <cfRule type="cellIs" dxfId="2705" priority="2407" operator="equal">
      <formula>0</formula>
    </cfRule>
    <cfRule type="cellIs" dxfId="2704" priority="2408" operator="greaterThan">
      <formula>0</formula>
    </cfRule>
  </conditionalFormatting>
  <conditionalFormatting sqref="O52:O55">
    <cfRule type="cellIs" dxfId="2703" priority="2401" operator="equal">
      <formula>"PMS"</formula>
    </cfRule>
    <cfRule type="containsText" dxfId="2702" priority="2402" operator="containsText" text="CMS">
      <formula>NOT(ISERROR(SEARCH("CMS",O52)))</formula>
    </cfRule>
    <cfRule type="cellIs" dxfId="2701" priority="2403" operator="equal">
      <formula>0</formula>
    </cfRule>
    <cfRule type="cellIs" dxfId="2700" priority="2404" operator="greaterThan">
      <formula>0</formula>
    </cfRule>
  </conditionalFormatting>
  <conditionalFormatting sqref="O52:O55">
    <cfRule type="cellIs" dxfId="2699" priority="2397" operator="equal">
      <formula>"PMS"</formula>
    </cfRule>
    <cfRule type="containsText" dxfId="2698" priority="2398" operator="containsText" text="CMS">
      <formula>NOT(ISERROR(SEARCH("CMS",O52)))</formula>
    </cfRule>
    <cfRule type="cellIs" dxfId="2697" priority="2399" operator="equal">
      <formula>0</formula>
    </cfRule>
    <cfRule type="cellIs" dxfId="2696" priority="2400" operator="greaterThan">
      <formula>0</formula>
    </cfRule>
  </conditionalFormatting>
  <conditionalFormatting sqref="O52:O55">
    <cfRule type="cellIs" dxfId="2695" priority="2393" operator="equal">
      <formula>"PMS"</formula>
    </cfRule>
    <cfRule type="containsText" dxfId="2694" priority="2394" operator="containsText" text="CMS">
      <formula>NOT(ISERROR(SEARCH("CMS",O52)))</formula>
    </cfRule>
    <cfRule type="cellIs" dxfId="2693" priority="2395" operator="equal">
      <formula>0</formula>
    </cfRule>
    <cfRule type="cellIs" dxfId="2692" priority="2396" operator="greaterThan">
      <formula>0</formula>
    </cfRule>
  </conditionalFormatting>
  <conditionalFormatting sqref="O52:O55">
    <cfRule type="cellIs" dxfId="2691" priority="2389" operator="equal">
      <formula>"PMS"</formula>
    </cfRule>
    <cfRule type="containsText" dxfId="2690" priority="2390" operator="containsText" text="CMS">
      <formula>NOT(ISERROR(SEARCH("CMS",O52)))</formula>
    </cfRule>
    <cfRule type="cellIs" dxfId="2689" priority="2391" operator="equal">
      <formula>0</formula>
    </cfRule>
    <cfRule type="cellIs" dxfId="2688" priority="2392" operator="greaterThan">
      <formula>0</formula>
    </cfRule>
  </conditionalFormatting>
  <conditionalFormatting sqref="O52:O55">
    <cfRule type="cellIs" dxfId="2687" priority="2385" operator="equal">
      <formula>"PMS"</formula>
    </cfRule>
    <cfRule type="containsText" dxfId="2686" priority="2386" operator="containsText" text="CMS">
      <formula>NOT(ISERROR(SEARCH("CMS",O52)))</formula>
    </cfRule>
    <cfRule type="cellIs" dxfId="2685" priority="2387" operator="equal">
      <formula>0</formula>
    </cfRule>
    <cfRule type="cellIs" dxfId="2684" priority="2388" operator="greaterThan">
      <formula>0</formula>
    </cfRule>
  </conditionalFormatting>
  <conditionalFormatting sqref="O52:O55">
    <cfRule type="cellIs" dxfId="2683" priority="2381" operator="equal">
      <formula>"PMS"</formula>
    </cfRule>
    <cfRule type="containsText" dxfId="2682" priority="2382" operator="containsText" text="CMS">
      <formula>NOT(ISERROR(SEARCH("CMS",O52)))</formula>
    </cfRule>
    <cfRule type="cellIs" dxfId="2681" priority="2383" operator="equal">
      <formula>0</formula>
    </cfRule>
    <cfRule type="cellIs" dxfId="2680" priority="2384" operator="greaterThan">
      <formula>0</formula>
    </cfRule>
  </conditionalFormatting>
  <conditionalFormatting sqref="O52:O55">
    <cfRule type="cellIs" dxfId="2679" priority="2377" operator="equal">
      <formula>"PMS"</formula>
    </cfRule>
    <cfRule type="containsText" dxfId="2678" priority="2378" operator="containsText" text="CMS">
      <formula>NOT(ISERROR(SEARCH("CMS",O52)))</formula>
    </cfRule>
    <cfRule type="cellIs" dxfId="2677" priority="2379" operator="equal">
      <formula>0</formula>
    </cfRule>
    <cfRule type="cellIs" dxfId="2676" priority="2380" operator="greaterThan">
      <formula>0</formula>
    </cfRule>
  </conditionalFormatting>
  <conditionalFormatting sqref="O52:O55">
    <cfRule type="cellIs" dxfId="2675" priority="2373" operator="equal">
      <formula>"PMS"</formula>
    </cfRule>
    <cfRule type="containsText" dxfId="2674" priority="2374" operator="containsText" text="CMS">
      <formula>NOT(ISERROR(SEARCH("CMS",O52)))</formula>
    </cfRule>
    <cfRule type="cellIs" dxfId="2673" priority="2375" operator="equal">
      <formula>0</formula>
    </cfRule>
    <cfRule type="cellIs" dxfId="2672" priority="2376" operator="greaterThan">
      <formula>0</formula>
    </cfRule>
  </conditionalFormatting>
  <conditionalFormatting sqref="O52:O55">
    <cfRule type="cellIs" dxfId="2671" priority="2369" operator="equal">
      <formula>"PMS"</formula>
    </cfRule>
    <cfRule type="containsText" dxfId="2670" priority="2370" operator="containsText" text="CMS">
      <formula>NOT(ISERROR(SEARCH("CMS",O52)))</formula>
    </cfRule>
    <cfRule type="cellIs" dxfId="2669" priority="2371" operator="equal">
      <formula>0</formula>
    </cfRule>
    <cfRule type="cellIs" dxfId="2668" priority="2372" operator="greaterThan">
      <formula>0</formula>
    </cfRule>
  </conditionalFormatting>
  <conditionalFormatting sqref="O52:O55">
    <cfRule type="cellIs" dxfId="2667" priority="2365" operator="equal">
      <formula>"PMS"</formula>
    </cfRule>
    <cfRule type="containsText" dxfId="2666" priority="2366" operator="containsText" text="CMS">
      <formula>NOT(ISERROR(SEARCH("CMS",O52)))</formula>
    </cfRule>
    <cfRule type="cellIs" dxfId="2665" priority="2367" operator="equal">
      <formula>0</formula>
    </cfRule>
    <cfRule type="cellIs" dxfId="2664" priority="2368" operator="greaterThan">
      <formula>0</formula>
    </cfRule>
  </conditionalFormatting>
  <conditionalFormatting sqref="O52:O55">
    <cfRule type="cellIs" dxfId="2663" priority="2361" operator="equal">
      <formula>"PMS"</formula>
    </cfRule>
    <cfRule type="containsText" dxfId="2662" priority="2362" operator="containsText" text="CMS">
      <formula>NOT(ISERROR(SEARCH("CMS",O52)))</formula>
    </cfRule>
    <cfRule type="cellIs" dxfId="2661" priority="2363" operator="equal">
      <formula>0</formula>
    </cfRule>
    <cfRule type="cellIs" dxfId="2660" priority="2364" operator="greaterThan">
      <formula>0</formula>
    </cfRule>
  </conditionalFormatting>
  <conditionalFormatting sqref="O52:O55">
    <cfRule type="cellIs" dxfId="2659" priority="2357" operator="equal">
      <formula>"PMS"</formula>
    </cfRule>
    <cfRule type="containsText" dxfId="2658" priority="2358" operator="containsText" text="CMS">
      <formula>NOT(ISERROR(SEARCH("CMS",O52)))</formula>
    </cfRule>
    <cfRule type="cellIs" dxfId="2657" priority="2359" operator="equal">
      <formula>0</formula>
    </cfRule>
    <cfRule type="cellIs" dxfId="2656" priority="2360" operator="greaterThan">
      <formula>0</formula>
    </cfRule>
  </conditionalFormatting>
  <conditionalFormatting sqref="O52:O55">
    <cfRule type="cellIs" dxfId="2655" priority="2353" operator="equal">
      <formula>"PMS"</formula>
    </cfRule>
    <cfRule type="containsText" dxfId="2654" priority="2354" operator="containsText" text="CMS">
      <formula>NOT(ISERROR(SEARCH("CMS",O52)))</formula>
    </cfRule>
    <cfRule type="cellIs" dxfId="2653" priority="2355" operator="equal">
      <formula>0</formula>
    </cfRule>
    <cfRule type="cellIs" dxfId="2652" priority="2356" operator="greaterThan">
      <formula>0</formula>
    </cfRule>
  </conditionalFormatting>
  <conditionalFormatting sqref="O52:O55">
    <cfRule type="cellIs" dxfId="2651" priority="2349" operator="equal">
      <formula>"PMS"</formula>
    </cfRule>
    <cfRule type="containsText" dxfId="2650" priority="2350" operator="containsText" text="CMS">
      <formula>NOT(ISERROR(SEARCH("CMS",O52)))</formula>
    </cfRule>
    <cfRule type="cellIs" dxfId="2649" priority="2351" operator="equal">
      <formula>0</formula>
    </cfRule>
    <cfRule type="cellIs" dxfId="2648" priority="2352" operator="greaterThan">
      <formula>0</formula>
    </cfRule>
  </conditionalFormatting>
  <conditionalFormatting sqref="O52:O55">
    <cfRule type="cellIs" dxfId="2647" priority="2345" operator="equal">
      <formula>"PMS"</formula>
    </cfRule>
    <cfRule type="containsText" dxfId="2646" priority="2346" operator="containsText" text="CMS">
      <formula>NOT(ISERROR(SEARCH("CMS",O52)))</formula>
    </cfRule>
    <cfRule type="cellIs" dxfId="2645" priority="2347" operator="equal">
      <formula>0</formula>
    </cfRule>
    <cfRule type="cellIs" dxfId="2644" priority="2348" operator="greaterThan">
      <formula>0</formula>
    </cfRule>
  </conditionalFormatting>
  <conditionalFormatting sqref="O52:O55">
    <cfRule type="cellIs" dxfId="2643" priority="2341" operator="equal">
      <formula>"PMS"</formula>
    </cfRule>
    <cfRule type="containsText" dxfId="2642" priority="2342" operator="containsText" text="CMS">
      <formula>NOT(ISERROR(SEARCH("CMS",O52)))</formula>
    </cfRule>
    <cfRule type="cellIs" dxfId="2641" priority="2343" operator="equal">
      <formula>0</formula>
    </cfRule>
    <cfRule type="cellIs" dxfId="2640" priority="2344" operator="greaterThan">
      <formula>0</formula>
    </cfRule>
  </conditionalFormatting>
  <conditionalFormatting sqref="O52:O55">
    <cfRule type="cellIs" dxfId="2639" priority="2337" operator="equal">
      <formula>"PMS"</formula>
    </cfRule>
    <cfRule type="containsText" dxfId="2638" priority="2338" operator="containsText" text="CMS">
      <formula>NOT(ISERROR(SEARCH("CMS",O52)))</formula>
    </cfRule>
    <cfRule type="cellIs" dxfId="2637" priority="2339" operator="equal">
      <formula>0</formula>
    </cfRule>
    <cfRule type="cellIs" dxfId="2636" priority="2340" operator="greaterThan">
      <formula>0</formula>
    </cfRule>
  </conditionalFormatting>
  <conditionalFormatting sqref="O52:O55">
    <cfRule type="cellIs" dxfId="2635" priority="2333" operator="equal">
      <formula>"PMS"</formula>
    </cfRule>
    <cfRule type="containsText" dxfId="2634" priority="2334" operator="containsText" text="CMS">
      <formula>NOT(ISERROR(SEARCH("CMS",O52)))</formula>
    </cfRule>
    <cfRule type="cellIs" dxfId="2633" priority="2335" operator="equal">
      <formula>0</formula>
    </cfRule>
    <cfRule type="cellIs" dxfId="2632" priority="2336" operator="greaterThan">
      <formula>0</formula>
    </cfRule>
  </conditionalFormatting>
  <conditionalFormatting sqref="O52:O55">
    <cfRule type="cellIs" dxfId="2631" priority="2329" operator="equal">
      <formula>"PMS"</formula>
    </cfRule>
    <cfRule type="containsText" dxfId="2630" priority="2330" operator="containsText" text="CMS">
      <formula>NOT(ISERROR(SEARCH("CMS",O52)))</formula>
    </cfRule>
    <cfRule type="cellIs" dxfId="2629" priority="2331" operator="equal">
      <formula>0</formula>
    </cfRule>
    <cfRule type="cellIs" dxfId="2628" priority="2332" operator="greaterThan">
      <formula>0</formula>
    </cfRule>
  </conditionalFormatting>
  <conditionalFormatting sqref="O52:O55">
    <cfRule type="cellIs" dxfId="2627" priority="2325" operator="equal">
      <formula>"PMS"</formula>
    </cfRule>
    <cfRule type="containsText" dxfId="2626" priority="2326" operator="containsText" text="CMS">
      <formula>NOT(ISERROR(SEARCH("CMS",O52)))</formula>
    </cfRule>
    <cfRule type="cellIs" dxfId="2625" priority="2327" operator="equal">
      <formula>0</formula>
    </cfRule>
    <cfRule type="cellIs" dxfId="2624" priority="2328" operator="greaterThan">
      <formula>0</formula>
    </cfRule>
  </conditionalFormatting>
  <conditionalFormatting sqref="O52:O55">
    <cfRule type="cellIs" dxfId="2623" priority="2321" operator="equal">
      <formula>"PMS"</formula>
    </cfRule>
    <cfRule type="containsText" dxfId="2622" priority="2322" operator="containsText" text="CMS">
      <formula>NOT(ISERROR(SEARCH("CMS",O52)))</formula>
    </cfRule>
    <cfRule type="cellIs" dxfId="2621" priority="2323" operator="equal">
      <formula>0</formula>
    </cfRule>
    <cfRule type="cellIs" dxfId="2620" priority="2324" operator="greaterThan">
      <formula>0</formula>
    </cfRule>
  </conditionalFormatting>
  <conditionalFormatting sqref="O52:O55">
    <cfRule type="cellIs" dxfId="2619" priority="2317" operator="equal">
      <formula>"PMS"</formula>
    </cfRule>
    <cfRule type="containsText" dxfId="2618" priority="2318" operator="containsText" text="CMS">
      <formula>NOT(ISERROR(SEARCH("CMS",O52)))</formula>
    </cfRule>
    <cfRule type="cellIs" dxfId="2617" priority="2319" operator="equal">
      <formula>0</formula>
    </cfRule>
    <cfRule type="cellIs" dxfId="2616" priority="2320" operator="greaterThan">
      <formula>0</formula>
    </cfRule>
  </conditionalFormatting>
  <conditionalFormatting sqref="O52:O55">
    <cfRule type="cellIs" dxfId="2615" priority="2313" operator="equal">
      <formula>"PMS"</formula>
    </cfRule>
    <cfRule type="containsText" dxfId="2614" priority="2314" operator="containsText" text="CMS">
      <formula>NOT(ISERROR(SEARCH("CMS",O52)))</formula>
    </cfRule>
    <cfRule type="cellIs" dxfId="2613" priority="2315" operator="equal">
      <formula>0</formula>
    </cfRule>
    <cfRule type="cellIs" dxfId="2612" priority="2316" operator="greaterThan">
      <formula>0</formula>
    </cfRule>
  </conditionalFormatting>
  <conditionalFormatting sqref="O52:O55">
    <cfRule type="cellIs" dxfId="2611" priority="2309" operator="equal">
      <formula>"PMS"</formula>
    </cfRule>
    <cfRule type="containsText" dxfId="2610" priority="2310" operator="containsText" text="CMS">
      <formula>NOT(ISERROR(SEARCH("CMS",O52)))</formula>
    </cfRule>
    <cfRule type="cellIs" dxfId="2609" priority="2311" operator="equal">
      <formula>0</formula>
    </cfRule>
    <cfRule type="cellIs" dxfId="2608" priority="2312" operator="greaterThan">
      <formula>0</formula>
    </cfRule>
  </conditionalFormatting>
  <conditionalFormatting sqref="O52:O55">
    <cfRule type="cellIs" dxfId="2607" priority="2305" operator="equal">
      <formula>"PMS"</formula>
    </cfRule>
    <cfRule type="containsText" dxfId="2606" priority="2306" operator="containsText" text="CMS">
      <formula>NOT(ISERROR(SEARCH("CMS",O52)))</formula>
    </cfRule>
    <cfRule type="cellIs" dxfId="2605" priority="2307" operator="equal">
      <formula>0</formula>
    </cfRule>
    <cfRule type="cellIs" dxfId="2604" priority="2308" operator="greaterThan">
      <formula>0</formula>
    </cfRule>
  </conditionalFormatting>
  <conditionalFormatting sqref="O52:O55">
    <cfRule type="cellIs" dxfId="2603" priority="2301" operator="equal">
      <formula>"PMS"</formula>
    </cfRule>
    <cfRule type="containsText" dxfId="2602" priority="2302" operator="containsText" text="CMS">
      <formula>NOT(ISERROR(SEARCH("CMS",O52)))</formula>
    </cfRule>
    <cfRule type="cellIs" dxfId="2601" priority="2303" operator="equal">
      <formula>0</formula>
    </cfRule>
    <cfRule type="cellIs" dxfId="2600" priority="2304" operator="greaterThan">
      <formula>0</formula>
    </cfRule>
  </conditionalFormatting>
  <conditionalFormatting sqref="O52:O55">
    <cfRule type="cellIs" dxfId="2599" priority="2297" operator="equal">
      <formula>"PMS"</formula>
    </cfRule>
    <cfRule type="containsText" dxfId="2598" priority="2298" operator="containsText" text="CMS">
      <formula>NOT(ISERROR(SEARCH("CMS",O52)))</formula>
    </cfRule>
    <cfRule type="cellIs" dxfId="2597" priority="2299" operator="equal">
      <formula>0</formula>
    </cfRule>
    <cfRule type="cellIs" dxfId="2596" priority="2300" operator="greaterThan">
      <formula>0</formula>
    </cfRule>
  </conditionalFormatting>
  <conditionalFormatting sqref="O52:O55">
    <cfRule type="cellIs" dxfId="2595" priority="2293" operator="equal">
      <formula>"PMS"</formula>
    </cfRule>
    <cfRule type="containsText" dxfId="2594" priority="2294" operator="containsText" text="CMS">
      <formula>NOT(ISERROR(SEARCH("CMS",O52)))</formula>
    </cfRule>
    <cfRule type="cellIs" dxfId="2593" priority="2295" operator="equal">
      <formula>0</formula>
    </cfRule>
    <cfRule type="cellIs" dxfId="2592" priority="2296" operator="greaterThan">
      <formula>0</formula>
    </cfRule>
  </conditionalFormatting>
  <conditionalFormatting sqref="O58">
    <cfRule type="cellIs" dxfId="2591" priority="2289" operator="equal">
      <formula>"PMS"</formula>
    </cfRule>
    <cfRule type="containsText" dxfId="2590" priority="2290" operator="containsText" text="CMS">
      <formula>NOT(ISERROR(SEARCH("CMS",O58)))</formula>
    </cfRule>
    <cfRule type="cellIs" dxfId="2589" priority="2291" operator="equal">
      <formula>0</formula>
    </cfRule>
    <cfRule type="cellIs" dxfId="2588" priority="2292" operator="greaterThan">
      <formula>0</formula>
    </cfRule>
  </conditionalFormatting>
  <conditionalFormatting sqref="O58">
    <cfRule type="cellIs" dxfId="2587" priority="2285" operator="equal">
      <formula>"PMS"</formula>
    </cfRule>
    <cfRule type="containsText" dxfId="2586" priority="2286" operator="containsText" text="CMS">
      <formula>NOT(ISERROR(SEARCH("CMS",O58)))</formula>
    </cfRule>
    <cfRule type="cellIs" dxfId="2585" priority="2287" operator="equal">
      <formula>0</formula>
    </cfRule>
    <cfRule type="cellIs" dxfId="2584" priority="2288" operator="greaterThan">
      <formula>0</formula>
    </cfRule>
  </conditionalFormatting>
  <conditionalFormatting sqref="O58">
    <cfRule type="cellIs" dxfId="2583" priority="2281" operator="equal">
      <formula>"PMS"</formula>
    </cfRule>
    <cfRule type="containsText" dxfId="2582" priority="2282" operator="containsText" text="CMS">
      <formula>NOT(ISERROR(SEARCH("CMS",O58)))</formula>
    </cfRule>
    <cfRule type="cellIs" dxfId="2581" priority="2283" operator="equal">
      <formula>0</formula>
    </cfRule>
    <cfRule type="cellIs" dxfId="2580" priority="2284" operator="greaterThan">
      <formula>0</formula>
    </cfRule>
  </conditionalFormatting>
  <conditionalFormatting sqref="O58">
    <cfRule type="cellIs" dxfId="2579" priority="2277" operator="equal">
      <formula>"PMS"</formula>
    </cfRule>
    <cfRule type="containsText" dxfId="2578" priority="2278" operator="containsText" text="CMS">
      <formula>NOT(ISERROR(SEARCH("CMS",O58)))</formula>
    </cfRule>
    <cfRule type="cellIs" dxfId="2577" priority="2279" operator="equal">
      <formula>0</formula>
    </cfRule>
    <cfRule type="cellIs" dxfId="2576" priority="2280" operator="greaterThan">
      <formula>0</formula>
    </cfRule>
  </conditionalFormatting>
  <conditionalFormatting sqref="O58">
    <cfRule type="cellIs" dxfId="2575" priority="2273" operator="equal">
      <formula>"PMS"</formula>
    </cfRule>
    <cfRule type="containsText" dxfId="2574" priority="2274" operator="containsText" text="CMS">
      <formula>NOT(ISERROR(SEARCH("CMS",O58)))</formula>
    </cfRule>
    <cfRule type="cellIs" dxfId="2573" priority="2275" operator="equal">
      <formula>0</formula>
    </cfRule>
    <cfRule type="cellIs" dxfId="2572" priority="2276" operator="greaterThan">
      <formula>0</formula>
    </cfRule>
  </conditionalFormatting>
  <conditionalFormatting sqref="O58">
    <cfRule type="cellIs" dxfId="2571" priority="2269" operator="equal">
      <formula>"PMS"</formula>
    </cfRule>
    <cfRule type="containsText" dxfId="2570" priority="2270" operator="containsText" text="CMS">
      <formula>NOT(ISERROR(SEARCH("CMS",O58)))</formula>
    </cfRule>
    <cfRule type="cellIs" dxfId="2569" priority="2271" operator="equal">
      <formula>0</formula>
    </cfRule>
    <cfRule type="cellIs" dxfId="2568" priority="2272" operator="greaterThan">
      <formula>0</formula>
    </cfRule>
  </conditionalFormatting>
  <conditionalFormatting sqref="O58">
    <cfRule type="cellIs" dxfId="2567" priority="2265" operator="equal">
      <formula>"PMS"</formula>
    </cfRule>
    <cfRule type="containsText" dxfId="2566" priority="2266" operator="containsText" text="CMS">
      <formula>NOT(ISERROR(SEARCH("CMS",O58)))</formula>
    </cfRule>
    <cfRule type="cellIs" dxfId="2565" priority="2267" operator="equal">
      <formula>0</formula>
    </cfRule>
    <cfRule type="cellIs" dxfId="2564" priority="2268" operator="greaterThan">
      <formula>0</formula>
    </cfRule>
  </conditionalFormatting>
  <conditionalFormatting sqref="O58">
    <cfRule type="cellIs" dxfId="2563" priority="2261" operator="equal">
      <formula>"PMS"</formula>
    </cfRule>
    <cfRule type="containsText" dxfId="2562" priority="2262" operator="containsText" text="CMS">
      <formula>NOT(ISERROR(SEARCH("CMS",O58)))</formula>
    </cfRule>
    <cfRule type="cellIs" dxfId="2561" priority="2263" operator="equal">
      <formula>0</formula>
    </cfRule>
    <cfRule type="cellIs" dxfId="2560" priority="2264" operator="greaterThan">
      <formula>0</formula>
    </cfRule>
  </conditionalFormatting>
  <conditionalFormatting sqref="O58">
    <cfRule type="cellIs" dxfId="2559" priority="2257" operator="equal">
      <formula>"PMS"</formula>
    </cfRule>
    <cfRule type="containsText" dxfId="2558" priority="2258" operator="containsText" text="CMS">
      <formula>NOT(ISERROR(SEARCH("CMS",O58)))</formula>
    </cfRule>
    <cfRule type="cellIs" dxfId="2557" priority="2259" operator="equal">
      <formula>0</formula>
    </cfRule>
    <cfRule type="cellIs" dxfId="2556" priority="2260" operator="greaterThan">
      <formula>0</formula>
    </cfRule>
  </conditionalFormatting>
  <conditionalFormatting sqref="O58">
    <cfRule type="cellIs" dxfId="2555" priority="2253" operator="equal">
      <formula>"PMS"</formula>
    </cfRule>
    <cfRule type="containsText" dxfId="2554" priority="2254" operator="containsText" text="CMS">
      <formula>NOT(ISERROR(SEARCH("CMS",O58)))</formula>
    </cfRule>
    <cfRule type="cellIs" dxfId="2553" priority="2255" operator="equal">
      <formula>0</formula>
    </cfRule>
    <cfRule type="cellIs" dxfId="2552" priority="2256" operator="greaterThan">
      <formula>0</formula>
    </cfRule>
  </conditionalFormatting>
  <conditionalFormatting sqref="O58">
    <cfRule type="cellIs" dxfId="2551" priority="2249" operator="equal">
      <formula>"PMS"</formula>
    </cfRule>
    <cfRule type="containsText" dxfId="2550" priority="2250" operator="containsText" text="CMS">
      <formula>NOT(ISERROR(SEARCH("CMS",O58)))</formula>
    </cfRule>
    <cfRule type="cellIs" dxfId="2549" priority="2251" operator="equal">
      <formula>0</formula>
    </cfRule>
    <cfRule type="cellIs" dxfId="2548" priority="2252" operator="greaterThan">
      <formula>0</formula>
    </cfRule>
  </conditionalFormatting>
  <conditionalFormatting sqref="O58">
    <cfRule type="cellIs" dxfId="2547" priority="2245" operator="equal">
      <formula>"PMS"</formula>
    </cfRule>
    <cfRule type="containsText" dxfId="2546" priority="2246" operator="containsText" text="CMS">
      <formula>NOT(ISERROR(SEARCH("CMS",O58)))</formula>
    </cfRule>
    <cfRule type="cellIs" dxfId="2545" priority="2247" operator="equal">
      <formula>0</formula>
    </cfRule>
    <cfRule type="cellIs" dxfId="2544" priority="2248" operator="greaterThan">
      <formula>0</formula>
    </cfRule>
  </conditionalFormatting>
  <conditionalFormatting sqref="O58">
    <cfRule type="cellIs" dxfId="2543" priority="2241" operator="equal">
      <formula>"PMS"</formula>
    </cfRule>
    <cfRule type="containsText" dxfId="2542" priority="2242" operator="containsText" text="CMS">
      <formula>NOT(ISERROR(SEARCH("CMS",O58)))</formula>
    </cfRule>
    <cfRule type="cellIs" dxfId="2541" priority="2243" operator="equal">
      <formula>0</formula>
    </cfRule>
    <cfRule type="cellIs" dxfId="2540" priority="2244" operator="greaterThan">
      <formula>0</formula>
    </cfRule>
  </conditionalFormatting>
  <conditionalFormatting sqref="O58">
    <cfRule type="cellIs" dxfId="2539" priority="2237" operator="equal">
      <formula>"PMS"</formula>
    </cfRule>
    <cfRule type="containsText" dxfId="2538" priority="2238" operator="containsText" text="CMS">
      <formula>NOT(ISERROR(SEARCH("CMS",O58)))</formula>
    </cfRule>
    <cfRule type="cellIs" dxfId="2537" priority="2239" operator="equal">
      <formula>0</formula>
    </cfRule>
    <cfRule type="cellIs" dxfId="2536" priority="2240" operator="greaterThan">
      <formula>0</formula>
    </cfRule>
  </conditionalFormatting>
  <conditionalFormatting sqref="O58">
    <cfRule type="cellIs" dxfId="2535" priority="2233" operator="equal">
      <formula>"PMS"</formula>
    </cfRule>
    <cfRule type="containsText" dxfId="2534" priority="2234" operator="containsText" text="CMS">
      <formula>NOT(ISERROR(SEARCH("CMS",O58)))</formula>
    </cfRule>
    <cfRule type="cellIs" dxfId="2533" priority="2235" operator="equal">
      <formula>0</formula>
    </cfRule>
    <cfRule type="cellIs" dxfId="2532" priority="2236" operator="greaterThan">
      <formula>0</formula>
    </cfRule>
  </conditionalFormatting>
  <conditionalFormatting sqref="O58">
    <cfRule type="cellIs" dxfId="2531" priority="2229" operator="equal">
      <formula>"PMS"</formula>
    </cfRule>
    <cfRule type="containsText" dxfId="2530" priority="2230" operator="containsText" text="CMS">
      <formula>NOT(ISERROR(SEARCH("CMS",O58)))</formula>
    </cfRule>
    <cfRule type="cellIs" dxfId="2529" priority="2231" operator="equal">
      <formula>0</formula>
    </cfRule>
    <cfRule type="cellIs" dxfId="2528" priority="2232" operator="greaterThan">
      <formula>0</formula>
    </cfRule>
  </conditionalFormatting>
  <conditionalFormatting sqref="O58">
    <cfRule type="cellIs" dxfId="2527" priority="2225" operator="equal">
      <formula>"PMS"</formula>
    </cfRule>
    <cfRule type="containsText" dxfId="2526" priority="2226" operator="containsText" text="CMS">
      <formula>NOT(ISERROR(SEARCH("CMS",O58)))</formula>
    </cfRule>
    <cfRule type="cellIs" dxfId="2525" priority="2227" operator="equal">
      <formula>0</formula>
    </cfRule>
    <cfRule type="cellIs" dxfId="2524" priority="2228" operator="greaterThan">
      <formula>0</formula>
    </cfRule>
  </conditionalFormatting>
  <conditionalFormatting sqref="O58">
    <cfRule type="cellIs" dxfId="2523" priority="2221" operator="equal">
      <formula>"PMS"</formula>
    </cfRule>
    <cfRule type="containsText" dxfId="2522" priority="2222" operator="containsText" text="CMS">
      <formula>NOT(ISERROR(SEARCH("CMS",O58)))</formula>
    </cfRule>
    <cfRule type="cellIs" dxfId="2521" priority="2223" operator="equal">
      <formula>0</formula>
    </cfRule>
    <cfRule type="cellIs" dxfId="2520" priority="2224" operator="greaterThan">
      <formula>0</formula>
    </cfRule>
  </conditionalFormatting>
  <conditionalFormatting sqref="O58">
    <cfRule type="cellIs" dxfId="2519" priority="2217" operator="equal">
      <formula>"PMS"</formula>
    </cfRule>
    <cfRule type="containsText" dxfId="2518" priority="2218" operator="containsText" text="CMS">
      <formula>NOT(ISERROR(SEARCH("CMS",O58)))</formula>
    </cfRule>
    <cfRule type="cellIs" dxfId="2517" priority="2219" operator="equal">
      <formula>0</formula>
    </cfRule>
    <cfRule type="cellIs" dxfId="2516" priority="2220" operator="greaterThan">
      <formula>0</formula>
    </cfRule>
  </conditionalFormatting>
  <conditionalFormatting sqref="O58">
    <cfRule type="cellIs" dxfId="2515" priority="2213" operator="equal">
      <formula>"PMS"</formula>
    </cfRule>
    <cfRule type="containsText" dxfId="2514" priority="2214" operator="containsText" text="CMS">
      <formula>NOT(ISERROR(SEARCH("CMS",O58)))</formula>
    </cfRule>
    <cfRule type="cellIs" dxfId="2513" priority="2215" operator="equal">
      <formula>0</formula>
    </cfRule>
    <cfRule type="cellIs" dxfId="2512" priority="2216" operator="greaterThan">
      <formula>0</formula>
    </cfRule>
  </conditionalFormatting>
  <conditionalFormatting sqref="O58">
    <cfRule type="cellIs" dxfId="2511" priority="2209" operator="equal">
      <formula>"PMS"</formula>
    </cfRule>
    <cfRule type="containsText" dxfId="2510" priority="2210" operator="containsText" text="CMS">
      <formula>NOT(ISERROR(SEARCH("CMS",O58)))</formula>
    </cfRule>
    <cfRule type="cellIs" dxfId="2509" priority="2211" operator="equal">
      <formula>0</formula>
    </cfRule>
    <cfRule type="cellIs" dxfId="2508" priority="2212" operator="greaterThan">
      <formula>0</formula>
    </cfRule>
  </conditionalFormatting>
  <conditionalFormatting sqref="O58">
    <cfRule type="cellIs" dxfId="2507" priority="2205" operator="equal">
      <formula>"PMS"</formula>
    </cfRule>
    <cfRule type="containsText" dxfId="2506" priority="2206" operator="containsText" text="CMS">
      <formula>NOT(ISERROR(SEARCH("CMS",O58)))</formula>
    </cfRule>
    <cfRule type="cellIs" dxfId="2505" priority="2207" operator="equal">
      <formula>0</formula>
    </cfRule>
    <cfRule type="cellIs" dxfId="2504" priority="2208" operator="greaterThan">
      <formula>0</formula>
    </cfRule>
  </conditionalFormatting>
  <conditionalFormatting sqref="O58">
    <cfRule type="cellIs" dxfId="2503" priority="2201" operator="equal">
      <formula>"PMS"</formula>
    </cfRule>
    <cfRule type="containsText" dxfId="2502" priority="2202" operator="containsText" text="CMS">
      <formula>NOT(ISERROR(SEARCH("CMS",O58)))</formula>
    </cfRule>
    <cfRule type="cellIs" dxfId="2501" priority="2203" operator="equal">
      <formula>0</formula>
    </cfRule>
    <cfRule type="cellIs" dxfId="2500" priority="2204" operator="greaterThan">
      <formula>0</formula>
    </cfRule>
  </conditionalFormatting>
  <conditionalFormatting sqref="O58">
    <cfRule type="cellIs" dxfId="2499" priority="2197" operator="equal">
      <formula>"PMS"</formula>
    </cfRule>
    <cfRule type="containsText" dxfId="2498" priority="2198" operator="containsText" text="CMS">
      <formula>NOT(ISERROR(SEARCH("CMS",O58)))</formula>
    </cfRule>
    <cfRule type="cellIs" dxfId="2497" priority="2199" operator="equal">
      <formula>0</formula>
    </cfRule>
    <cfRule type="cellIs" dxfId="2496" priority="2200" operator="greaterThan">
      <formula>0</formula>
    </cfRule>
  </conditionalFormatting>
  <conditionalFormatting sqref="O58">
    <cfRule type="cellIs" dxfId="2495" priority="2193" operator="equal">
      <formula>"PMS"</formula>
    </cfRule>
    <cfRule type="containsText" dxfId="2494" priority="2194" operator="containsText" text="CMS">
      <formula>NOT(ISERROR(SEARCH("CMS",O58)))</formula>
    </cfRule>
    <cfRule type="cellIs" dxfId="2493" priority="2195" operator="equal">
      <formula>0</formula>
    </cfRule>
    <cfRule type="cellIs" dxfId="2492" priority="2196" operator="greaterThan">
      <formula>0</formula>
    </cfRule>
  </conditionalFormatting>
  <conditionalFormatting sqref="O58">
    <cfRule type="cellIs" dxfId="2491" priority="2189" operator="equal">
      <formula>"PMS"</formula>
    </cfRule>
    <cfRule type="containsText" dxfId="2490" priority="2190" operator="containsText" text="CMS">
      <formula>NOT(ISERROR(SEARCH("CMS",O58)))</formula>
    </cfRule>
    <cfRule type="cellIs" dxfId="2489" priority="2191" operator="equal">
      <formula>0</formula>
    </cfRule>
    <cfRule type="cellIs" dxfId="2488" priority="2192" operator="greaterThan">
      <formula>0</formula>
    </cfRule>
  </conditionalFormatting>
  <conditionalFormatting sqref="O58">
    <cfRule type="cellIs" dxfId="2487" priority="2185" operator="equal">
      <formula>"PMS"</formula>
    </cfRule>
    <cfRule type="containsText" dxfId="2486" priority="2186" operator="containsText" text="CMS">
      <formula>NOT(ISERROR(SEARCH("CMS",O58)))</formula>
    </cfRule>
    <cfRule type="cellIs" dxfId="2485" priority="2187" operator="equal">
      <formula>0</formula>
    </cfRule>
    <cfRule type="cellIs" dxfId="2484" priority="2188" operator="greaterThan">
      <formula>0</formula>
    </cfRule>
  </conditionalFormatting>
  <conditionalFormatting sqref="O58">
    <cfRule type="cellIs" dxfId="2483" priority="2181" operator="equal">
      <formula>"PMS"</formula>
    </cfRule>
    <cfRule type="containsText" dxfId="2482" priority="2182" operator="containsText" text="CMS">
      <formula>NOT(ISERROR(SEARCH("CMS",O58)))</formula>
    </cfRule>
    <cfRule type="cellIs" dxfId="2481" priority="2183" operator="equal">
      <formula>0</formula>
    </cfRule>
    <cfRule type="cellIs" dxfId="2480" priority="2184" operator="greaterThan">
      <formula>0</formula>
    </cfRule>
  </conditionalFormatting>
  <conditionalFormatting sqref="O58">
    <cfRule type="cellIs" dxfId="2479" priority="2177" operator="equal">
      <formula>"PMS"</formula>
    </cfRule>
    <cfRule type="containsText" dxfId="2478" priority="2178" operator="containsText" text="CMS">
      <formula>NOT(ISERROR(SEARCH("CMS",O58)))</formula>
    </cfRule>
    <cfRule type="cellIs" dxfId="2477" priority="2179" operator="equal">
      <formula>0</formula>
    </cfRule>
    <cfRule type="cellIs" dxfId="2476" priority="2180" operator="greaterThan">
      <formula>0</formula>
    </cfRule>
  </conditionalFormatting>
  <conditionalFormatting sqref="O58">
    <cfRule type="cellIs" dxfId="2475" priority="2173" operator="equal">
      <formula>"PMS"</formula>
    </cfRule>
    <cfRule type="containsText" dxfId="2474" priority="2174" operator="containsText" text="CMS">
      <formula>NOT(ISERROR(SEARCH("CMS",O58)))</formula>
    </cfRule>
    <cfRule type="cellIs" dxfId="2473" priority="2175" operator="equal">
      <formula>0</formula>
    </cfRule>
    <cfRule type="cellIs" dxfId="2472" priority="2176" operator="greaterThan">
      <formula>0</formula>
    </cfRule>
  </conditionalFormatting>
  <conditionalFormatting sqref="O58">
    <cfRule type="cellIs" dxfId="2471" priority="2169" operator="equal">
      <formula>"PMS"</formula>
    </cfRule>
    <cfRule type="containsText" dxfId="2470" priority="2170" operator="containsText" text="CMS">
      <formula>NOT(ISERROR(SEARCH("CMS",O58)))</formula>
    </cfRule>
    <cfRule type="cellIs" dxfId="2469" priority="2171" operator="equal">
      <formula>0</formula>
    </cfRule>
    <cfRule type="cellIs" dxfId="2468" priority="2172" operator="greaterThan">
      <formula>0</formula>
    </cfRule>
  </conditionalFormatting>
  <conditionalFormatting sqref="O58">
    <cfRule type="cellIs" dxfId="2467" priority="2165" operator="equal">
      <formula>"PMS"</formula>
    </cfRule>
    <cfRule type="containsText" dxfId="2466" priority="2166" operator="containsText" text="CMS">
      <formula>NOT(ISERROR(SEARCH("CMS",O58)))</formula>
    </cfRule>
    <cfRule type="cellIs" dxfId="2465" priority="2167" operator="equal">
      <formula>0</formula>
    </cfRule>
    <cfRule type="cellIs" dxfId="2464" priority="2168" operator="greaterThan">
      <formula>0</formula>
    </cfRule>
  </conditionalFormatting>
  <conditionalFormatting sqref="O58">
    <cfRule type="cellIs" dxfId="2463" priority="2161" operator="equal">
      <formula>"PMS"</formula>
    </cfRule>
    <cfRule type="containsText" dxfId="2462" priority="2162" operator="containsText" text="CMS">
      <formula>NOT(ISERROR(SEARCH("CMS",O58)))</formula>
    </cfRule>
    <cfRule type="cellIs" dxfId="2461" priority="2163" operator="equal">
      <formula>0</formula>
    </cfRule>
    <cfRule type="cellIs" dxfId="2460" priority="2164" operator="greaterThan">
      <formula>0</formula>
    </cfRule>
  </conditionalFormatting>
  <conditionalFormatting sqref="O58">
    <cfRule type="cellIs" dxfId="2459" priority="2157" operator="equal">
      <formula>"PMS"</formula>
    </cfRule>
    <cfRule type="containsText" dxfId="2458" priority="2158" operator="containsText" text="CMS">
      <formula>NOT(ISERROR(SEARCH("CMS",O58)))</formula>
    </cfRule>
    <cfRule type="cellIs" dxfId="2457" priority="2159" operator="equal">
      <formula>0</formula>
    </cfRule>
    <cfRule type="cellIs" dxfId="2456" priority="2160" operator="greaterThan">
      <formula>0</formula>
    </cfRule>
  </conditionalFormatting>
  <conditionalFormatting sqref="O58">
    <cfRule type="cellIs" dxfId="2455" priority="2153" operator="equal">
      <formula>"PMS"</formula>
    </cfRule>
    <cfRule type="containsText" dxfId="2454" priority="2154" operator="containsText" text="CMS">
      <formula>NOT(ISERROR(SEARCH("CMS",O58)))</formula>
    </cfRule>
    <cfRule type="cellIs" dxfId="2453" priority="2155" operator="equal">
      <formula>0</formula>
    </cfRule>
    <cfRule type="cellIs" dxfId="2452" priority="2156" operator="greaterThan">
      <formula>0</formula>
    </cfRule>
  </conditionalFormatting>
  <conditionalFormatting sqref="O58">
    <cfRule type="cellIs" dxfId="2451" priority="2149" operator="equal">
      <formula>"PMS"</formula>
    </cfRule>
    <cfRule type="containsText" dxfId="2450" priority="2150" operator="containsText" text="CMS">
      <formula>NOT(ISERROR(SEARCH("CMS",O58)))</formula>
    </cfRule>
    <cfRule type="cellIs" dxfId="2449" priority="2151" operator="equal">
      <formula>0</formula>
    </cfRule>
    <cfRule type="cellIs" dxfId="2448" priority="2152" operator="greaterThan">
      <formula>0</formula>
    </cfRule>
  </conditionalFormatting>
  <conditionalFormatting sqref="O58">
    <cfRule type="cellIs" dxfId="2447" priority="2145" operator="equal">
      <formula>"PMS"</formula>
    </cfRule>
    <cfRule type="containsText" dxfId="2446" priority="2146" operator="containsText" text="CMS">
      <formula>NOT(ISERROR(SEARCH("CMS",O58)))</formula>
    </cfRule>
    <cfRule type="cellIs" dxfId="2445" priority="2147" operator="equal">
      <formula>0</formula>
    </cfRule>
    <cfRule type="cellIs" dxfId="2444" priority="2148" operator="greaterThan">
      <formula>0</formula>
    </cfRule>
  </conditionalFormatting>
  <conditionalFormatting sqref="O58">
    <cfRule type="cellIs" dxfId="2443" priority="2141" operator="equal">
      <formula>"PMS"</formula>
    </cfRule>
    <cfRule type="containsText" dxfId="2442" priority="2142" operator="containsText" text="CMS">
      <formula>NOT(ISERROR(SEARCH("CMS",O58)))</formula>
    </cfRule>
    <cfRule type="cellIs" dxfId="2441" priority="2143" operator="equal">
      <formula>0</formula>
    </cfRule>
    <cfRule type="cellIs" dxfId="2440" priority="2144" operator="greaterThan">
      <formula>0</formula>
    </cfRule>
  </conditionalFormatting>
  <conditionalFormatting sqref="O58">
    <cfRule type="cellIs" dxfId="2439" priority="2137" operator="equal">
      <formula>"PMS"</formula>
    </cfRule>
    <cfRule type="containsText" dxfId="2438" priority="2138" operator="containsText" text="CMS">
      <formula>NOT(ISERROR(SEARCH("CMS",O58)))</formula>
    </cfRule>
    <cfRule type="cellIs" dxfId="2437" priority="2139" operator="equal">
      <formula>0</formula>
    </cfRule>
    <cfRule type="cellIs" dxfId="2436" priority="2140" operator="greaterThan">
      <formula>0</formula>
    </cfRule>
  </conditionalFormatting>
  <conditionalFormatting sqref="O58">
    <cfRule type="cellIs" dxfId="2435" priority="2133" operator="equal">
      <formula>"PMS"</formula>
    </cfRule>
    <cfRule type="containsText" dxfId="2434" priority="2134" operator="containsText" text="CMS">
      <formula>NOT(ISERROR(SEARCH("CMS",O58)))</formula>
    </cfRule>
    <cfRule type="cellIs" dxfId="2433" priority="2135" operator="equal">
      <formula>0</formula>
    </cfRule>
    <cfRule type="cellIs" dxfId="2432" priority="2136" operator="greaterThan">
      <formula>0</formula>
    </cfRule>
  </conditionalFormatting>
  <conditionalFormatting sqref="O58">
    <cfRule type="cellIs" dxfId="2431" priority="2129" operator="equal">
      <formula>"PMS"</formula>
    </cfRule>
    <cfRule type="containsText" dxfId="2430" priority="2130" operator="containsText" text="CMS">
      <formula>NOT(ISERROR(SEARCH("CMS",O58)))</formula>
    </cfRule>
    <cfRule type="cellIs" dxfId="2429" priority="2131" operator="equal">
      <formula>0</formula>
    </cfRule>
    <cfRule type="cellIs" dxfId="2428" priority="2132" operator="greaterThan">
      <formula>0</formula>
    </cfRule>
  </conditionalFormatting>
  <conditionalFormatting sqref="O58">
    <cfRule type="cellIs" dxfId="2427" priority="2125" operator="equal">
      <formula>"PMS"</formula>
    </cfRule>
    <cfRule type="containsText" dxfId="2426" priority="2126" operator="containsText" text="CMS">
      <formula>NOT(ISERROR(SEARCH("CMS",O58)))</formula>
    </cfRule>
    <cfRule type="cellIs" dxfId="2425" priority="2127" operator="equal">
      <formula>0</formula>
    </cfRule>
    <cfRule type="cellIs" dxfId="2424" priority="2128" operator="greaterThan">
      <formula>0</formula>
    </cfRule>
  </conditionalFormatting>
  <conditionalFormatting sqref="O58">
    <cfRule type="cellIs" dxfId="2423" priority="2121" operator="equal">
      <formula>"PMS"</formula>
    </cfRule>
    <cfRule type="containsText" dxfId="2422" priority="2122" operator="containsText" text="CMS">
      <formula>NOT(ISERROR(SEARCH("CMS",O58)))</formula>
    </cfRule>
    <cfRule type="cellIs" dxfId="2421" priority="2123" operator="equal">
      <formula>0</formula>
    </cfRule>
    <cfRule type="cellIs" dxfId="2420" priority="2124" operator="greaterThan">
      <formula>0</formula>
    </cfRule>
  </conditionalFormatting>
  <conditionalFormatting sqref="O58">
    <cfRule type="cellIs" dxfId="2419" priority="2117" operator="equal">
      <formula>"PMS"</formula>
    </cfRule>
    <cfRule type="containsText" dxfId="2418" priority="2118" operator="containsText" text="CMS">
      <formula>NOT(ISERROR(SEARCH("CMS",O58)))</formula>
    </cfRule>
    <cfRule type="cellIs" dxfId="2417" priority="2119" operator="equal">
      <formula>0</formula>
    </cfRule>
    <cfRule type="cellIs" dxfId="2416" priority="2120" operator="greaterThan">
      <formula>0</formula>
    </cfRule>
  </conditionalFormatting>
  <conditionalFormatting sqref="O58">
    <cfRule type="cellIs" dxfId="2415" priority="2113" operator="equal">
      <formula>"PMS"</formula>
    </cfRule>
    <cfRule type="containsText" dxfId="2414" priority="2114" operator="containsText" text="CMS">
      <formula>NOT(ISERROR(SEARCH("CMS",O58)))</formula>
    </cfRule>
    <cfRule type="cellIs" dxfId="2413" priority="2115" operator="equal">
      <formula>0</formula>
    </cfRule>
    <cfRule type="cellIs" dxfId="2412" priority="2116" operator="greaterThan">
      <formula>0</formula>
    </cfRule>
  </conditionalFormatting>
  <conditionalFormatting sqref="O58">
    <cfRule type="cellIs" dxfId="2411" priority="2109" operator="equal">
      <formula>"PMS"</formula>
    </cfRule>
    <cfRule type="containsText" dxfId="2410" priority="2110" operator="containsText" text="CMS">
      <formula>NOT(ISERROR(SEARCH("CMS",O58)))</formula>
    </cfRule>
    <cfRule type="cellIs" dxfId="2409" priority="2111" operator="equal">
      <formula>0</formula>
    </cfRule>
    <cfRule type="cellIs" dxfId="2408" priority="2112" operator="greaterThan">
      <formula>0</formula>
    </cfRule>
  </conditionalFormatting>
  <conditionalFormatting sqref="O58">
    <cfRule type="cellIs" dxfId="2407" priority="2105" operator="equal">
      <formula>"PMS"</formula>
    </cfRule>
    <cfRule type="containsText" dxfId="2406" priority="2106" operator="containsText" text="CMS">
      <formula>NOT(ISERROR(SEARCH("CMS",O58)))</formula>
    </cfRule>
    <cfRule type="cellIs" dxfId="2405" priority="2107" operator="equal">
      <formula>0</formula>
    </cfRule>
    <cfRule type="cellIs" dxfId="2404" priority="2108" operator="greaterThan">
      <formula>0</formula>
    </cfRule>
  </conditionalFormatting>
  <conditionalFormatting sqref="O58">
    <cfRule type="cellIs" dxfId="2403" priority="2101" operator="equal">
      <formula>"PMS"</formula>
    </cfRule>
    <cfRule type="containsText" dxfId="2402" priority="2102" operator="containsText" text="CMS">
      <formula>NOT(ISERROR(SEARCH("CMS",O58)))</formula>
    </cfRule>
    <cfRule type="cellIs" dxfId="2401" priority="2103" operator="equal">
      <formula>0</formula>
    </cfRule>
    <cfRule type="cellIs" dxfId="2400" priority="2104" operator="greaterThan">
      <formula>0</formula>
    </cfRule>
  </conditionalFormatting>
  <conditionalFormatting sqref="O58">
    <cfRule type="cellIs" dxfId="2399" priority="2097" operator="equal">
      <formula>"PMS"</formula>
    </cfRule>
    <cfRule type="containsText" dxfId="2398" priority="2098" operator="containsText" text="CMS">
      <formula>NOT(ISERROR(SEARCH("CMS",O58)))</formula>
    </cfRule>
    <cfRule type="cellIs" dxfId="2397" priority="2099" operator="equal">
      <formula>0</formula>
    </cfRule>
    <cfRule type="cellIs" dxfId="2396" priority="2100" operator="greaterThan">
      <formula>0</formula>
    </cfRule>
  </conditionalFormatting>
  <conditionalFormatting sqref="O58">
    <cfRule type="cellIs" dxfId="2395" priority="2093" operator="equal">
      <formula>"PMS"</formula>
    </cfRule>
    <cfRule type="containsText" dxfId="2394" priority="2094" operator="containsText" text="CMS">
      <formula>NOT(ISERROR(SEARCH("CMS",O58)))</formula>
    </cfRule>
    <cfRule type="cellIs" dxfId="2393" priority="2095" operator="equal">
      <formula>0</formula>
    </cfRule>
    <cfRule type="cellIs" dxfId="2392" priority="2096" operator="greaterThan">
      <formula>0</formula>
    </cfRule>
  </conditionalFormatting>
  <conditionalFormatting sqref="O58">
    <cfRule type="cellIs" dxfId="2391" priority="2089" operator="equal">
      <formula>"PMS"</formula>
    </cfRule>
    <cfRule type="containsText" dxfId="2390" priority="2090" operator="containsText" text="CMS">
      <formula>NOT(ISERROR(SEARCH("CMS",O58)))</formula>
    </cfRule>
    <cfRule type="cellIs" dxfId="2389" priority="2091" operator="equal">
      <formula>0</formula>
    </cfRule>
    <cfRule type="cellIs" dxfId="2388" priority="2092" operator="greaterThan">
      <formula>0</formula>
    </cfRule>
  </conditionalFormatting>
  <conditionalFormatting sqref="O58">
    <cfRule type="cellIs" dxfId="2387" priority="2085" operator="equal">
      <formula>"PMS"</formula>
    </cfRule>
    <cfRule type="containsText" dxfId="2386" priority="2086" operator="containsText" text="CMS">
      <formula>NOT(ISERROR(SEARCH("CMS",O58)))</formula>
    </cfRule>
    <cfRule type="cellIs" dxfId="2385" priority="2087" operator="equal">
      <formula>0</formula>
    </cfRule>
    <cfRule type="cellIs" dxfId="2384" priority="2088" operator="greaterThan">
      <formula>0</formula>
    </cfRule>
  </conditionalFormatting>
  <conditionalFormatting sqref="O58">
    <cfRule type="cellIs" dxfId="2383" priority="2081" operator="equal">
      <formula>"PMS"</formula>
    </cfRule>
    <cfRule type="containsText" dxfId="2382" priority="2082" operator="containsText" text="CMS">
      <formula>NOT(ISERROR(SEARCH("CMS",O58)))</formula>
    </cfRule>
    <cfRule type="cellIs" dxfId="2381" priority="2083" operator="equal">
      <formula>0</formula>
    </cfRule>
    <cfRule type="cellIs" dxfId="2380" priority="2084" operator="greaterThan">
      <formula>0</formula>
    </cfRule>
  </conditionalFormatting>
  <conditionalFormatting sqref="O58">
    <cfRule type="cellIs" dxfId="2379" priority="2077" operator="equal">
      <formula>"PMS"</formula>
    </cfRule>
    <cfRule type="containsText" dxfId="2378" priority="2078" operator="containsText" text="CMS">
      <formula>NOT(ISERROR(SEARCH("CMS",O58)))</formula>
    </cfRule>
    <cfRule type="cellIs" dxfId="2377" priority="2079" operator="equal">
      <formula>0</formula>
    </cfRule>
    <cfRule type="cellIs" dxfId="2376" priority="2080" operator="greaterThan">
      <formula>0</formula>
    </cfRule>
  </conditionalFormatting>
  <conditionalFormatting sqref="O58">
    <cfRule type="cellIs" dxfId="2375" priority="2073" operator="equal">
      <formula>"PMS"</formula>
    </cfRule>
    <cfRule type="containsText" dxfId="2374" priority="2074" operator="containsText" text="CMS">
      <formula>NOT(ISERROR(SEARCH("CMS",O58)))</formula>
    </cfRule>
    <cfRule type="cellIs" dxfId="2373" priority="2075" operator="equal">
      <formula>0</formula>
    </cfRule>
    <cfRule type="cellIs" dxfId="2372" priority="2076" operator="greaterThan">
      <formula>0</formula>
    </cfRule>
  </conditionalFormatting>
  <conditionalFormatting sqref="O58">
    <cfRule type="cellIs" dxfId="2371" priority="2069" operator="equal">
      <formula>"PMS"</formula>
    </cfRule>
    <cfRule type="containsText" dxfId="2370" priority="2070" operator="containsText" text="CMS">
      <formula>NOT(ISERROR(SEARCH("CMS",O58)))</formula>
    </cfRule>
    <cfRule type="cellIs" dxfId="2369" priority="2071" operator="equal">
      <formula>0</formula>
    </cfRule>
    <cfRule type="cellIs" dxfId="2368" priority="2072" operator="greaterThan">
      <formula>0</formula>
    </cfRule>
  </conditionalFormatting>
  <conditionalFormatting sqref="O58">
    <cfRule type="cellIs" dxfId="2367" priority="2065" operator="equal">
      <formula>"PMS"</formula>
    </cfRule>
    <cfRule type="containsText" dxfId="2366" priority="2066" operator="containsText" text="CMS">
      <formula>NOT(ISERROR(SEARCH("CMS",O58)))</formula>
    </cfRule>
    <cfRule type="cellIs" dxfId="2365" priority="2067" operator="equal">
      <formula>0</formula>
    </cfRule>
    <cfRule type="cellIs" dxfId="2364" priority="2068" operator="greaterThan">
      <formula>0</formula>
    </cfRule>
  </conditionalFormatting>
  <conditionalFormatting sqref="O58">
    <cfRule type="cellIs" dxfId="2363" priority="2061" operator="equal">
      <formula>"PMS"</formula>
    </cfRule>
    <cfRule type="containsText" dxfId="2362" priority="2062" operator="containsText" text="CMS">
      <formula>NOT(ISERROR(SEARCH("CMS",O58)))</formula>
    </cfRule>
    <cfRule type="cellIs" dxfId="2361" priority="2063" operator="equal">
      <formula>0</formula>
    </cfRule>
    <cfRule type="cellIs" dxfId="2360" priority="2064" operator="greaterThan">
      <formula>0</formula>
    </cfRule>
  </conditionalFormatting>
  <conditionalFormatting sqref="O58">
    <cfRule type="cellIs" dxfId="2359" priority="2057" operator="equal">
      <formula>"PMS"</formula>
    </cfRule>
    <cfRule type="containsText" dxfId="2358" priority="2058" operator="containsText" text="CMS">
      <formula>NOT(ISERROR(SEARCH("CMS",O58)))</formula>
    </cfRule>
    <cfRule type="cellIs" dxfId="2357" priority="2059" operator="equal">
      <formula>0</formula>
    </cfRule>
    <cfRule type="cellIs" dxfId="2356" priority="2060" operator="greaterThan">
      <formula>0</formula>
    </cfRule>
  </conditionalFormatting>
  <conditionalFormatting sqref="O58">
    <cfRule type="cellIs" dxfId="2355" priority="2053" operator="equal">
      <formula>"PMS"</formula>
    </cfRule>
    <cfRule type="containsText" dxfId="2354" priority="2054" operator="containsText" text="CMS">
      <formula>NOT(ISERROR(SEARCH("CMS",O58)))</formula>
    </cfRule>
    <cfRule type="cellIs" dxfId="2353" priority="2055" operator="equal">
      <formula>0</formula>
    </cfRule>
    <cfRule type="cellIs" dxfId="2352" priority="2056" operator="greaterThan">
      <formula>0</formula>
    </cfRule>
  </conditionalFormatting>
  <conditionalFormatting sqref="O58">
    <cfRule type="cellIs" dxfId="2351" priority="2049" operator="equal">
      <formula>"PMS"</formula>
    </cfRule>
    <cfRule type="containsText" dxfId="2350" priority="2050" operator="containsText" text="CMS">
      <formula>NOT(ISERROR(SEARCH("CMS",O58)))</formula>
    </cfRule>
    <cfRule type="cellIs" dxfId="2349" priority="2051" operator="equal">
      <formula>0</formula>
    </cfRule>
    <cfRule type="cellIs" dxfId="2348" priority="2052" operator="greaterThan">
      <formula>0</formula>
    </cfRule>
  </conditionalFormatting>
  <conditionalFormatting sqref="O58">
    <cfRule type="cellIs" dxfId="2347" priority="2045" operator="equal">
      <formula>"PMS"</formula>
    </cfRule>
    <cfRule type="containsText" dxfId="2346" priority="2046" operator="containsText" text="CMS">
      <formula>NOT(ISERROR(SEARCH("CMS",O58)))</formula>
    </cfRule>
    <cfRule type="cellIs" dxfId="2345" priority="2047" operator="equal">
      <formula>0</formula>
    </cfRule>
    <cfRule type="cellIs" dxfId="2344" priority="2048" operator="greaterThan">
      <formula>0</formula>
    </cfRule>
  </conditionalFormatting>
  <conditionalFormatting sqref="O58">
    <cfRule type="cellIs" dxfId="2343" priority="2041" operator="equal">
      <formula>"PMS"</formula>
    </cfRule>
    <cfRule type="containsText" dxfId="2342" priority="2042" operator="containsText" text="CMS">
      <formula>NOT(ISERROR(SEARCH("CMS",O58)))</formula>
    </cfRule>
    <cfRule type="cellIs" dxfId="2341" priority="2043" operator="equal">
      <formula>0</formula>
    </cfRule>
    <cfRule type="cellIs" dxfId="2340" priority="2044" operator="greaterThan">
      <formula>0</formula>
    </cfRule>
  </conditionalFormatting>
  <conditionalFormatting sqref="O58">
    <cfRule type="cellIs" dxfId="2339" priority="2037" operator="equal">
      <formula>"PMS"</formula>
    </cfRule>
    <cfRule type="containsText" dxfId="2338" priority="2038" operator="containsText" text="CMS">
      <formula>NOT(ISERROR(SEARCH("CMS",O58)))</formula>
    </cfRule>
    <cfRule type="cellIs" dxfId="2337" priority="2039" operator="equal">
      <formula>0</formula>
    </cfRule>
    <cfRule type="cellIs" dxfId="2336" priority="2040" operator="greaterThan">
      <formula>0</formula>
    </cfRule>
  </conditionalFormatting>
  <conditionalFormatting sqref="O58">
    <cfRule type="cellIs" dxfId="2335" priority="2033" operator="equal">
      <formula>"PMS"</formula>
    </cfRule>
    <cfRule type="containsText" dxfId="2334" priority="2034" operator="containsText" text="CMS">
      <formula>NOT(ISERROR(SEARCH("CMS",O58)))</formula>
    </cfRule>
    <cfRule type="cellIs" dxfId="2333" priority="2035" operator="equal">
      <formula>0</formula>
    </cfRule>
    <cfRule type="cellIs" dxfId="2332" priority="2036" operator="greaterThan">
      <formula>0</formula>
    </cfRule>
  </conditionalFormatting>
  <conditionalFormatting sqref="O58">
    <cfRule type="cellIs" dxfId="2331" priority="2029" operator="equal">
      <formula>"PMS"</formula>
    </cfRule>
    <cfRule type="containsText" dxfId="2330" priority="2030" operator="containsText" text="CMS">
      <formula>NOT(ISERROR(SEARCH("CMS",O58)))</formula>
    </cfRule>
    <cfRule type="cellIs" dxfId="2329" priority="2031" operator="equal">
      <formula>0</formula>
    </cfRule>
    <cfRule type="cellIs" dxfId="2328" priority="2032" operator="greaterThan">
      <formula>0</formula>
    </cfRule>
  </conditionalFormatting>
  <conditionalFormatting sqref="O58">
    <cfRule type="cellIs" dxfId="2327" priority="2025" operator="equal">
      <formula>"PMS"</formula>
    </cfRule>
    <cfRule type="containsText" dxfId="2326" priority="2026" operator="containsText" text="CMS">
      <formula>NOT(ISERROR(SEARCH("CMS",O58)))</formula>
    </cfRule>
    <cfRule type="cellIs" dxfId="2325" priority="2027" operator="equal">
      <formula>0</formula>
    </cfRule>
    <cfRule type="cellIs" dxfId="2324" priority="2028" operator="greaterThan">
      <formula>0</formula>
    </cfRule>
  </conditionalFormatting>
  <conditionalFormatting sqref="O58">
    <cfRule type="cellIs" dxfId="2323" priority="2021" operator="equal">
      <formula>"PMS"</formula>
    </cfRule>
    <cfRule type="containsText" dxfId="2322" priority="2022" operator="containsText" text="CMS">
      <formula>NOT(ISERROR(SEARCH("CMS",O58)))</formula>
    </cfRule>
    <cfRule type="cellIs" dxfId="2321" priority="2023" operator="equal">
      <formula>0</formula>
    </cfRule>
    <cfRule type="cellIs" dxfId="2320" priority="2024" operator="greaterThan">
      <formula>0</formula>
    </cfRule>
  </conditionalFormatting>
  <conditionalFormatting sqref="O58">
    <cfRule type="cellIs" dxfId="2319" priority="2017" operator="equal">
      <formula>"PMS"</formula>
    </cfRule>
    <cfRule type="containsText" dxfId="2318" priority="2018" operator="containsText" text="CMS">
      <formula>NOT(ISERROR(SEARCH("CMS",O58)))</formula>
    </cfRule>
    <cfRule type="cellIs" dxfId="2317" priority="2019" operator="equal">
      <formula>0</formula>
    </cfRule>
    <cfRule type="cellIs" dxfId="2316" priority="2020" operator="greaterThan">
      <formula>0</formula>
    </cfRule>
  </conditionalFormatting>
  <conditionalFormatting sqref="O58">
    <cfRule type="cellIs" dxfId="2315" priority="2013" operator="equal">
      <formula>"PMS"</formula>
    </cfRule>
    <cfRule type="containsText" dxfId="2314" priority="2014" operator="containsText" text="CMS">
      <formula>NOT(ISERROR(SEARCH("CMS",O58)))</formula>
    </cfRule>
    <cfRule type="cellIs" dxfId="2313" priority="2015" operator="equal">
      <formula>0</formula>
    </cfRule>
    <cfRule type="cellIs" dxfId="2312" priority="2016" operator="greaterThan">
      <formula>0</formula>
    </cfRule>
  </conditionalFormatting>
  <conditionalFormatting sqref="O58">
    <cfRule type="cellIs" dxfId="2311" priority="2009" operator="equal">
      <formula>"PMS"</formula>
    </cfRule>
    <cfRule type="containsText" dxfId="2310" priority="2010" operator="containsText" text="CMS">
      <formula>NOT(ISERROR(SEARCH("CMS",O58)))</formula>
    </cfRule>
    <cfRule type="cellIs" dxfId="2309" priority="2011" operator="equal">
      <formula>0</formula>
    </cfRule>
    <cfRule type="cellIs" dxfId="2308" priority="2012" operator="greaterThan">
      <formula>0</formula>
    </cfRule>
  </conditionalFormatting>
  <conditionalFormatting sqref="O58">
    <cfRule type="cellIs" dxfId="2307" priority="2005" operator="equal">
      <formula>"PMS"</formula>
    </cfRule>
    <cfRule type="containsText" dxfId="2306" priority="2006" operator="containsText" text="CMS">
      <formula>NOT(ISERROR(SEARCH("CMS",O58)))</formula>
    </cfRule>
    <cfRule type="cellIs" dxfId="2305" priority="2007" operator="equal">
      <formula>0</formula>
    </cfRule>
    <cfRule type="cellIs" dxfId="2304" priority="2008" operator="greaterThan">
      <formula>0</formula>
    </cfRule>
  </conditionalFormatting>
  <conditionalFormatting sqref="O58">
    <cfRule type="cellIs" dxfId="2303" priority="2001" operator="equal">
      <formula>"PMS"</formula>
    </cfRule>
    <cfRule type="containsText" dxfId="2302" priority="2002" operator="containsText" text="CMS">
      <formula>NOT(ISERROR(SEARCH("CMS",O58)))</formula>
    </cfRule>
    <cfRule type="cellIs" dxfId="2301" priority="2003" operator="equal">
      <formula>0</formula>
    </cfRule>
    <cfRule type="cellIs" dxfId="2300" priority="2004" operator="greaterThan">
      <formula>0</formula>
    </cfRule>
  </conditionalFormatting>
  <conditionalFormatting sqref="O58">
    <cfRule type="cellIs" dxfId="2299" priority="1997" operator="equal">
      <formula>"PMS"</formula>
    </cfRule>
    <cfRule type="containsText" dxfId="2298" priority="1998" operator="containsText" text="CMS">
      <formula>NOT(ISERROR(SEARCH("CMS",O58)))</formula>
    </cfRule>
    <cfRule type="cellIs" dxfId="2297" priority="1999" operator="equal">
      <formula>0</formula>
    </cfRule>
    <cfRule type="cellIs" dxfId="2296" priority="2000" operator="greaterThan">
      <formula>0</formula>
    </cfRule>
  </conditionalFormatting>
  <conditionalFormatting sqref="O56">
    <cfRule type="cellIs" dxfId="2295" priority="1993" operator="equal">
      <formula>"PMS"</formula>
    </cfRule>
    <cfRule type="containsText" dxfId="2294" priority="1994" operator="containsText" text="CMS">
      <formula>NOT(ISERROR(SEARCH("CMS",O56)))</formula>
    </cfRule>
    <cfRule type="cellIs" dxfId="2293" priority="1995" operator="equal">
      <formula>0</formula>
    </cfRule>
    <cfRule type="cellIs" dxfId="2292" priority="1996" operator="greaterThan">
      <formula>0</formula>
    </cfRule>
  </conditionalFormatting>
  <conditionalFormatting sqref="O56">
    <cfRule type="cellIs" dxfId="2291" priority="1989" operator="equal">
      <formula>"PMS"</formula>
    </cfRule>
    <cfRule type="containsText" dxfId="2290" priority="1990" operator="containsText" text="CMS">
      <formula>NOT(ISERROR(SEARCH("CMS",O56)))</formula>
    </cfRule>
    <cfRule type="cellIs" dxfId="2289" priority="1991" operator="equal">
      <formula>0</formula>
    </cfRule>
    <cfRule type="cellIs" dxfId="2288" priority="1992" operator="greaterThan">
      <formula>0</formula>
    </cfRule>
  </conditionalFormatting>
  <conditionalFormatting sqref="O56">
    <cfRule type="cellIs" dxfId="2287" priority="1985" operator="equal">
      <formula>"PMS"</formula>
    </cfRule>
    <cfRule type="containsText" dxfId="2286" priority="1986" operator="containsText" text="CMS">
      <formula>NOT(ISERROR(SEARCH("CMS",O56)))</formula>
    </cfRule>
    <cfRule type="cellIs" dxfId="2285" priority="1987" operator="equal">
      <formula>0</formula>
    </cfRule>
    <cfRule type="cellIs" dxfId="2284" priority="1988" operator="greaterThan">
      <formula>0</formula>
    </cfRule>
  </conditionalFormatting>
  <conditionalFormatting sqref="O56">
    <cfRule type="cellIs" dxfId="2283" priority="1981" operator="equal">
      <formula>"PMS"</formula>
    </cfRule>
    <cfRule type="containsText" dxfId="2282" priority="1982" operator="containsText" text="CMS">
      <formula>NOT(ISERROR(SEARCH("CMS",O56)))</formula>
    </cfRule>
    <cfRule type="cellIs" dxfId="2281" priority="1983" operator="equal">
      <formula>0</formula>
    </cfRule>
    <cfRule type="cellIs" dxfId="2280" priority="1984" operator="greaterThan">
      <formula>0</formula>
    </cfRule>
  </conditionalFormatting>
  <conditionalFormatting sqref="O56">
    <cfRule type="cellIs" dxfId="2279" priority="1977" operator="equal">
      <formula>"PMS"</formula>
    </cfRule>
    <cfRule type="containsText" dxfId="2278" priority="1978" operator="containsText" text="CMS">
      <formula>NOT(ISERROR(SEARCH("CMS",O56)))</formula>
    </cfRule>
    <cfRule type="cellIs" dxfId="2277" priority="1979" operator="equal">
      <formula>0</formula>
    </cfRule>
    <cfRule type="cellIs" dxfId="2276" priority="1980" operator="greaterThan">
      <formula>0</formula>
    </cfRule>
  </conditionalFormatting>
  <conditionalFormatting sqref="O56">
    <cfRule type="cellIs" dxfId="2275" priority="1973" operator="equal">
      <formula>"PMS"</formula>
    </cfRule>
    <cfRule type="containsText" dxfId="2274" priority="1974" operator="containsText" text="CMS">
      <formula>NOT(ISERROR(SEARCH("CMS",O56)))</formula>
    </cfRule>
    <cfRule type="cellIs" dxfId="2273" priority="1975" operator="equal">
      <formula>0</formula>
    </cfRule>
    <cfRule type="cellIs" dxfId="2272" priority="1976" operator="greaterThan">
      <formula>0</formula>
    </cfRule>
  </conditionalFormatting>
  <conditionalFormatting sqref="O56">
    <cfRule type="cellIs" dxfId="2271" priority="1969" operator="equal">
      <formula>"PMS"</formula>
    </cfRule>
    <cfRule type="containsText" dxfId="2270" priority="1970" operator="containsText" text="CMS">
      <formula>NOT(ISERROR(SEARCH("CMS",O56)))</formula>
    </cfRule>
    <cfRule type="cellIs" dxfId="2269" priority="1971" operator="equal">
      <formula>0</formula>
    </cfRule>
    <cfRule type="cellIs" dxfId="2268" priority="1972" operator="greaterThan">
      <formula>0</formula>
    </cfRule>
  </conditionalFormatting>
  <conditionalFormatting sqref="O56">
    <cfRule type="cellIs" dxfId="2267" priority="1965" operator="equal">
      <formula>"PMS"</formula>
    </cfRule>
    <cfRule type="containsText" dxfId="2266" priority="1966" operator="containsText" text="CMS">
      <formula>NOT(ISERROR(SEARCH("CMS",O56)))</formula>
    </cfRule>
    <cfRule type="cellIs" dxfId="2265" priority="1967" operator="equal">
      <formula>0</formula>
    </cfRule>
    <cfRule type="cellIs" dxfId="2264" priority="1968" operator="greaterThan">
      <formula>0</formula>
    </cfRule>
  </conditionalFormatting>
  <conditionalFormatting sqref="O56">
    <cfRule type="cellIs" dxfId="2263" priority="1961" operator="equal">
      <formula>"PMS"</formula>
    </cfRule>
    <cfRule type="containsText" dxfId="2262" priority="1962" operator="containsText" text="CMS">
      <formula>NOT(ISERROR(SEARCH("CMS",O56)))</formula>
    </cfRule>
    <cfRule type="cellIs" dxfId="2261" priority="1963" operator="equal">
      <formula>0</formula>
    </cfRule>
    <cfRule type="cellIs" dxfId="2260" priority="1964" operator="greaterThan">
      <formula>0</formula>
    </cfRule>
  </conditionalFormatting>
  <conditionalFormatting sqref="O56">
    <cfRule type="cellIs" dxfId="2259" priority="1957" operator="equal">
      <formula>"PMS"</formula>
    </cfRule>
    <cfRule type="containsText" dxfId="2258" priority="1958" operator="containsText" text="CMS">
      <formula>NOT(ISERROR(SEARCH("CMS",O56)))</formula>
    </cfRule>
    <cfRule type="cellIs" dxfId="2257" priority="1959" operator="equal">
      <formula>0</formula>
    </cfRule>
    <cfRule type="cellIs" dxfId="2256" priority="1960" operator="greaterThan">
      <formula>0</formula>
    </cfRule>
  </conditionalFormatting>
  <conditionalFormatting sqref="O56">
    <cfRule type="cellIs" dxfId="2255" priority="1953" operator="equal">
      <formula>"PMS"</formula>
    </cfRule>
    <cfRule type="containsText" dxfId="2254" priority="1954" operator="containsText" text="CMS">
      <formula>NOT(ISERROR(SEARCH("CMS",O56)))</formula>
    </cfRule>
    <cfRule type="cellIs" dxfId="2253" priority="1955" operator="equal">
      <formula>0</formula>
    </cfRule>
    <cfRule type="cellIs" dxfId="2252" priority="1956" operator="greaterThan">
      <formula>0</formula>
    </cfRule>
  </conditionalFormatting>
  <conditionalFormatting sqref="O56">
    <cfRule type="cellIs" dxfId="2251" priority="1949" operator="equal">
      <formula>"PMS"</formula>
    </cfRule>
    <cfRule type="containsText" dxfId="2250" priority="1950" operator="containsText" text="CMS">
      <formula>NOT(ISERROR(SEARCH("CMS",O56)))</formula>
    </cfRule>
    <cfRule type="cellIs" dxfId="2249" priority="1951" operator="equal">
      <formula>0</formula>
    </cfRule>
    <cfRule type="cellIs" dxfId="2248" priority="1952" operator="greaterThan">
      <formula>0</formula>
    </cfRule>
  </conditionalFormatting>
  <conditionalFormatting sqref="O56">
    <cfRule type="cellIs" dxfId="2247" priority="1945" operator="equal">
      <formula>"PMS"</formula>
    </cfRule>
    <cfRule type="containsText" dxfId="2246" priority="1946" operator="containsText" text="CMS">
      <formula>NOT(ISERROR(SEARCH("CMS",O56)))</formula>
    </cfRule>
    <cfRule type="cellIs" dxfId="2245" priority="1947" operator="equal">
      <formula>0</formula>
    </cfRule>
    <cfRule type="cellIs" dxfId="2244" priority="1948" operator="greaterThan">
      <formula>0</formula>
    </cfRule>
  </conditionalFormatting>
  <conditionalFormatting sqref="O56">
    <cfRule type="cellIs" dxfId="2243" priority="1941" operator="equal">
      <formula>"PMS"</formula>
    </cfRule>
    <cfRule type="containsText" dxfId="2242" priority="1942" operator="containsText" text="CMS">
      <formula>NOT(ISERROR(SEARCH("CMS",O56)))</formula>
    </cfRule>
    <cfRule type="cellIs" dxfId="2241" priority="1943" operator="equal">
      <formula>0</formula>
    </cfRule>
    <cfRule type="cellIs" dxfId="2240" priority="1944" operator="greaterThan">
      <formula>0</formula>
    </cfRule>
  </conditionalFormatting>
  <conditionalFormatting sqref="O56">
    <cfRule type="cellIs" dxfId="2239" priority="1937" operator="equal">
      <formula>"PMS"</formula>
    </cfRule>
    <cfRule type="containsText" dxfId="2238" priority="1938" operator="containsText" text="CMS">
      <formula>NOT(ISERROR(SEARCH("CMS",O56)))</formula>
    </cfRule>
    <cfRule type="cellIs" dxfId="2237" priority="1939" operator="equal">
      <formula>0</formula>
    </cfRule>
    <cfRule type="cellIs" dxfId="2236" priority="1940" operator="greaterThan">
      <formula>0</formula>
    </cfRule>
  </conditionalFormatting>
  <conditionalFormatting sqref="O56">
    <cfRule type="cellIs" dxfId="2235" priority="1933" operator="equal">
      <formula>"PMS"</formula>
    </cfRule>
    <cfRule type="containsText" dxfId="2234" priority="1934" operator="containsText" text="CMS">
      <formula>NOT(ISERROR(SEARCH("CMS",O56)))</formula>
    </cfRule>
    <cfRule type="cellIs" dxfId="2233" priority="1935" operator="equal">
      <formula>0</formula>
    </cfRule>
    <cfRule type="cellIs" dxfId="2232" priority="1936" operator="greaterThan">
      <formula>0</formula>
    </cfRule>
  </conditionalFormatting>
  <conditionalFormatting sqref="O56">
    <cfRule type="cellIs" dxfId="2231" priority="1929" operator="equal">
      <formula>"PMS"</formula>
    </cfRule>
    <cfRule type="containsText" dxfId="2230" priority="1930" operator="containsText" text="CMS">
      <formula>NOT(ISERROR(SEARCH("CMS",O56)))</formula>
    </cfRule>
    <cfRule type="cellIs" dxfId="2229" priority="1931" operator="equal">
      <formula>0</formula>
    </cfRule>
    <cfRule type="cellIs" dxfId="2228" priority="1932" operator="greaterThan">
      <formula>0</formula>
    </cfRule>
  </conditionalFormatting>
  <conditionalFormatting sqref="O56">
    <cfRule type="cellIs" dxfId="2227" priority="1925" operator="equal">
      <formula>"PMS"</formula>
    </cfRule>
    <cfRule type="containsText" dxfId="2226" priority="1926" operator="containsText" text="CMS">
      <formula>NOT(ISERROR(SEARCH("CMS",O56)))</formula>
    </cfRule>
    <cfRule type="cellIs" dxfId="2225" priority="1927" operator="equal">
      <formula>0</formula>
    </cfRule>
    <cfRule type="cellIs" dxfId="2224" priority="1928" operator="greaterThan">
      <formula>0</formula>
    </cfRule>
  </conditionalFormatting>
  <conditionalFormatting sqref="O56">
    <cfRule type="cellIs" dxfId="2223" priority="1921" operator="equal">
      <formula>"PMS"</formula>
    </cfRule>
    <cfRule type="containsText" dxfId="2222" priority="1922" operator="containsText" text="CMS">
      <formula>NOT(ISERROR(SEARCH("CMS",O56)))</formula>
    </cfRule>
    <cfRule type="cellIs" dxfId="2221" priority="1923" operator="equal">
      <formula>0</formula>
    </cfRule>
    <cfRule type="cellIs" dxfId="2220" priority="1924" operator="greaterThan">
      <formula>0</formula>
    </cfRule>
  </conditionalFormatting>
  <conditionalFormatting sqref="O56">
    <cfRule type="cellIs" dxfId="2219" priority="1917" operator="equal">
      <formula>"PMS"</formula>
    </cfRule>
    <cfRule type="containsText" dxfId="2218" priority="1918" operator="containsText" text="CMS">
      <formula>NOT(ISERROR(SEARCH("CMS",O56)))</formula>
    </cfRule>
    <cfRule type="cellIs" dxfId="2217" priority="1919" operator="equal">
      <formula>0</formula>
    </cfRule>
    <cfRule type="cellIs" dxfId="2216" priority="1920" operator="greaterThan">
      <formula>0</formula>
    </cfRule>
  </conditionalFormatting>
  <conditionalFormatting sqref="O56">
    <cfRule type="cellIs" dxfId="2215" priority="1913" operator="equal">
      <formula>"PMS"</formula>
    </cfRule>
    <cfRule type="containsText" dxfId="2214" priority="1914" operator="containsText" text="CMS">
      <formula>NOT(ISERROR(SEARCH("CMS",O56)))</formula>
    </cfRule>
    <cfRule type="cellIs" dxfId="2213" priority="1915" operator="equal">
      <formula>0</formula>
    </cfRule>
    <cfRule type="cellIs" dxfId="2212" priority="1916" operator="greaterThan">
      <formula>0</formula>
    </cfRule>
  </conditionalFormatting>
  <conditionalFormatting sqref="O56">
    <cfRule type="cellIs" dxfId="2211" priority="1909" operator="equal">
      <formula>"PMS"</formula>
    </cfRule>
    <cfRule type="containsText" dxfId="2210" priority="1910" operator="containsText" text="CMS">
      <formula>NOT(ISERROR(SEARCH("CMS",O56)))</formula>
    </cfRule>
    <cfRule type="cellIs" dxfId="2209" priority="1911" operator="equal">
      <formula>0</formula>
    </cfRule>
    <cfRule type="cellIs" dxfId="2208" priority="1912" operator="greaterThan">
      <formula>0</formula>
    </cfRule>
  </conditionalFormatting>
  <conditionalFormatting sqref="O56">
    <cfRule type="cellIs" dxfId="2207" priority="1905" operator="equal">
      <formula>"PMS"</formula>
    </cfRule>
    <cfRule type="containsText" dxfId="2206" priority="1906" operator="containsText" text="CMS">
      <formula>NOT(ISERROR(SEARCH("CMS",O56)))</formula>
    </cfRule>
    <cfRule type="cellIs" dxfId="2205" priority="1907" operator="equal">
      <formula>0</formula>
    </cfRule>
    <cfRule type="cellIs" dxfId="2204" priority="1908" operator="greaterThan">
      <formula>0</formula>
    </cfRule>
  </conditionalFormatting>
  <conditionalFormatting sqref="O56">
    <cfRule type="cellIs" dxfId="2203" priority="1901" operator="equal">
      <formula>"PMS"</formula>
    </cfRule>
    <cfRule type="containsText" dxfId="2202" priority="1902" operator="containsText" text="CMS">
      <formula>NOT(ISERROR(SEARCH("CMS",O56)))</formula>
    </cfRule>
    <cfRule type="cellIs" dxfId="2201" priority="1903" operator="equal">
      <formula>0</formula>
    </cfRule>
    <cfRule type="cellIs" dxfId="2200" priority="1904" operator="greaterThan">
      <formula>0</formula>
    </cfRule>
  </conditionalFormatting>
  <conditionalFormatting sqref="O56">
    <cfRule type="cellIs" dxfId="2199" priority="1897" operator="equal">
      <formula>"PMS"</formula>
    </cfRule>
    <cfRule type="containsText" dxfId="2198" priority="1898" operator="containsText" text="CMS">
      <formula>NOT(ISERROR(SEARCH("CMS",O56)))</formula>
    </cfRule>
    <cfRule type="cellIs" dxfId="2197" priority="1899" operator="equal">
      <formula>0</formula>
    </cfRule>
    <cfRule type="cellIs" dxfId="2196" priority="1900" operator="greaterThan">
      <formula>0</formula>
    </cfRule>
  </conditionalFormatting>
  <conditionalFormatting sqref="O56">
    <cfRule type="cellIs" dxfId="2195" priority="1893" operator="equal">
      <formula>"PMS"</formula>
    </cfRule>
    <cfRule type="containsText" dxfId="2194" priority="1894" operator="containsText" text="CMS">
      <formula>NOT(ISERROR(SEARCH("CMS",O56)))</formula>
    </cfRule>
    <cfRule type="cellIs" dxfId="2193" priority="1895" operator="equal">
      <formula>0</formula>
    </cfRule>
    <cfRule type="cellIs" dxfId="2192" priority="1896" operator="greaterThan">
      <formula>0</formula>
    </cfRule>
  </conditionalFormatting>
  <conditionalFormatting sqref="O56">
    <cfRule type="cellIs" dxfId="2191" priority="1889" operator="equal">
      <formula>"PMS"</formula>
    </cfRule>
    <cfRule type="containsText" dxfId="2190" priority="1890" operator="containsText" text="CMS">
      <formula>NOT(ISERROR(SEARCH("CMS",O56)))</formula>
    </cfRule>
    <cfRule type="cellIs" dxfId="2189" priority="1891" operator="equal">
      <formula>0</formula>
    </cfRule>
    <cfRule type="cellIs" dxfId="2188" priority="1892" operator="greaterThan">
      <formula>0</formula>
    </cfRule>
  </conditionalFormatting>
  <conditionalFormatting sqref="O56">
    <cfRule type="cellIs" dxfId="2187" priority="1885" operator="equal">
      <formula>"PMS"</formula>
    </cfRule>
    <cfRule type="containsText" dxfId="2186" priority="1886" operator="containsText" text="CMS">
      <formula>NOT(ISERROR(SEARCH("CMS",O56)))</formula>
    </cfRule>
    <cfRule type="cellIs" dxfId="2185" priority="1887" operator="equal">
      <formula>0</formula>
    </cfRule>
    <cfRule type="cellIs" dxfId="2184" priority="1888" operator="greaterThan">
      <formula>0</formula>
    </cfRule>
  </conditionalFormatting>
  <conditionalFormatting sqref="O56">
    <cfRule type="cellIs" dxfId="2183" priority="1881" operator="equal">
      <formula>"PMS"</formula>
    </cfRule>
    <cfRule type="containsText" dxfId="2182" priority="1882" operator="containsText" text="CMS">
      <formula>NOT(ISERROR(SEARCH("CMS",O56)))</formula>
    </cfRule>
    <cfRule type="cellIs" dxfId="2181" priority="1883" operator="equal">
      <formula>0</formula>
    </cfRule>
    <cfRule type="cellIs" dxfId="2180" priority="1884" operator="greaterThan">
      <formula>0</formula>
    </cfRule>
  </conditionalFormatting>
  <conditionalFormatting sqref="O56">
    <cfRule type="cellIs" dxfId="2179" priority="1877" operator="equal">
      <formula>"PMS"</formula>
    </cfRule>
    <cfRule type="containsText" dxfId="2178" priority="1878" operator="containsText" text="CMS">
      <formula>NOT(ISERROR(SEARCH("CMS",O56)))</formula>
    </cfRule>
    <cfRule type="cellIs" dxfId="2177" priority="1879" operator="equal">
      <formula>0</formula>
    </cfRule>
    <cfRule type="cellIs" dxfId="2176" priority="1880" operator="greaterThan">
      <formula>0</formula>
    </cfRule>
  </conditionalFormatting>
  <conditionalFormatting sqref="O56">
    <cfRule type="cellIs" dxfId="2175" priority="1873" operator="equal">
      <formula>"PMS"</formula>
    </cfRule>
    <cfRule type="containsText" dxfId="2174" priority="1874" operator="containsText" text="CMS">
      <formula>NOT(ISERROR(SEARCH("CMS",O56)))</formula>
    </cfRule>
    <cfRule type="cellIs" dxfId="2173" priority="1875" operator="equal">
      <formula>0</formula>
    </cfRule>
    <cfRule type="cellIs" dxfId="2172" priority="1876" operator="greaterThan">
      <formula>0</formula>
    </cfRule>
  </conditionalFormatting>
  <conditionalFormatting sqref="O56">
    <cfRule type="cellIs" dxfId="2171" priority="1869" operator="equal">
      <formula>"PMS"</formula>
    </cfRule>
    <cfRule type="containsText" dxfId="2170" priority="1870" operator="containsText" text="CMS">
      <formula>NOT(ISERROR(SEARCH("CMS",O56)))</formula>
    </cfRule>
    <cfRule type="cellIs" dxfId="2169" priority="1871" operator="equal">
      <formula>0</formula>
    </cfRule>
    <cfRule type="cellIs" dxfId="2168" priority="1872" operator="greaterThan">
      <formula>0</formula>
    </cfRule>
  </conditionalFormatting>
  <conditionalFormatting sqref="O56">
    <cfRule type="cellIs" dxfId="2167" priority="1865" operator="equal">
      <formula>"PMS"</formula>
    </cfRule>
    <cfRule type="containsText" dxfId="2166" priority="1866" operator="containsText" text="CMS">
      <formula>NOT(ISERROR(SEARCH("CMS",O56)))</formula>
    </cfRule>
    <cfRule type="cellIs" dxfId="2165" priority="1867" operator="equal">
      <formula>0</formula>
    </cfRule>
    <cfRule type="cellIs" dxfId="2164" priority="1868" operator="greaterThan">
      <formula>0</formula>
    </cfRule>
  </conditionalFormatting>
  <conditionalFormatting sqref="O56">
    <cfRule type="cellIs" dxfId="2163" priority="1861" operator="equal">
      <formula>"PMS"</formula>
    </cfRule>
    <cfRule type="containsText" dxfId="2162" priority="1862" operator="containsText" text="CMS">
      <formula>NOT(ISERROR(SEARCH("CMS",O56)))</formula>
    </cfRule>
    <cfRule type="cellIs" dxfId="2161" priority="1863" operator="equal">
      <formula>0</formula>
    </cfRule>
    <cfRule type="cellIs" dxfId="2160" priority="1864" operator="greaterThan">
      <formula>0</formula>
    </cfRule>
  </conditionalFormatting>
  <conditionalFormatting sqref="O56">
    <cfRule type="cellIs" dxfId="2159" priority="1857" operator="equal">
      <formula>"PMS"</formula>
    </cfRule>
    <cfRule type="containsText" dxfId="2158" priority="1858" operator="containsText" text="CMS">
      <formula>NOT(ISERROR(SEARCH("CMS",O56)))</formula>
    </cfRule>
    <cfRule type="cellIs" dxfId="2157" priority="1859" operator="equal">
      <formula>0</formula>
    </cfRule>
    <cfRule type="cellIs" dxfId="2156" priority="1860" operator="greaterThan">
      <formula>0</formula>
    </cfRule>
  </conditionalFormatting>
  <conditionalFormatting sqref="O56">
    <cfRule type="cellIs" dxfId="2155" priority="1853" operator="equal">
      <formula>"PMS"</formula>
    </cfRule>
    <cfRule type="containsText" dxfId="2154" priority="1854" operator="containsText" text="CMS">
      <formula>NOT(ISERROR(SEARCH("CMS",O56)))</formula>
    </cfRule>
    <cfRule type="cellIs" dxfId="2153" priority="1855" operator="equal">
      <formula>0</formula>
    </cfRule>
    <cfRule type="cellIs" dxfId="2152" priority="1856" operator="greaterThan">
      <formula>0</formula>
    </cfRule>
  </conditionalFormatting>
  <conditionalFormatting sqref="O56">
    <cfRule type="cellIs" dxfId="2151" priority="1849" operator="equal">
      <formula>"PMS"</formula>
    </cfRule>
    <cfRule type="containsText" dxfId="2150" priority="1850" operator="containsText" text="CMS">
      <formula>NOT(ISERROR(SEARCH("CMS",O56)))</formula>
    </cfRule>
    <cfRule type="cellIs" dxfId="2149" priority="1851" operator="equal">
      <formula>0</formula>
    </cfRule>
    <cfRule type="cellIs" dxfId="2148" priority="1852" operator="greaterThan">
      <formula>0</formula>
    </cfRule>
  </conditionalFormatting>
  <conditionalFormatting sqref="O56">
    <cfRule type="cellIs" dxfId="2147" priority="1845" operator="equal">
      <formula>"PMS"</formula>
    </cfRule>
    <cfRule type="containsText" dxfId="2146" priority="1846" operator="containsText" text="CMS">
      <formula>NOT(ISERROR(SEARCH("CMS",O56)))</formula>
    </cfRule>
    <cfRule type="cellIs" dxfId="2145" priority="1847" operator="equal">
      <formula>0</formula>
    </cfRule>
    <cfRule type="cellIs" dxfId="2144" priority="1848" operator="greaterThan">
      <formula>0</formula>
    </cfRule>
  </conditionalFormatting>
  <conditionalFormatting sqref="O56">
    <cfRule type="cellIs" dxfId="2143" priority="1841" operator="equal">
      <formula>"PMS"</formula>
    </cfRule>
    <cfRule type="containsText" dxfId="2142" priority="1842" operator="containsText" text="CMS">
      <formula>NOT(ISERROR(SEARCH("CMS",O56)))</formula>
    </cfRule>
    <cfRule type="cellIs" dxfId="2141" priority="1843" operator="equal">
      <formula>0</formula>
    </cfRule>
    <cfRule type="cellIs" dxfId="2140" priority="1844" operator="greaterThan">
      <formula>0</formula>
    </cfRule>
  </conditionalFormatting>
  <conditionalFormatting sqref="O56">
    <cfRule type="cellIs" dxfId="2139" priority="1837" operator="equal">
      <formula>"PMS"</formula>
    </cfRule>
    <cfRule type="containsText" dxfId="2138" priority="1838" operator="containsText" text="CMS">
      <formula>NOT(ISERROR(SEARCH("CMS",O56)))</formula>
    </cfRule>
    <cfRule type="cellIs" dxfId="2137" priority="1839" operator="equal">
      <formula>0</formula>
    </cfRule>
    <cfRule type="cellIs" dxfId="2136" priority="1840" operator="greaterThan">
      <formula>0</formula>
    </cfRule>
  </conditionalFormatting>
  <conditionalFormatting sqref="O56">
    <cfRule type="cellIs" dxfId="2135" priority="1833" operator="equal">
      <formula>"PMS"</formula>
    </cfRule>
    <cfRule type="containsText" dxfId="2134" priority="1834" operator="containsText" text="CMS">
      <formula>NOT(ISERROR(SEARCH("CMS",O56)))</formula>
    </cfRule>
    <cfRule type="cellIs" dxfId="2133" priority="1835" operator="equal">
      <formula>0</formula>
    </cfRule>
    <cfRule type="cellIs" dxfId="2132" priority="1836" operator="greaterThan">
      <formula>0</formula>
    </cfRule>
  </conditionalFormatting>
  <conditionalFormatting sqref="O56">
    <cfRule type="cellIs" dxfId="2131" priority="1829" operator="equal">
      <formula>"PMS"</formula>
    </cfRule>
    <cfRule type="containsText" dxfId="2130" priority="1830" operator="containsText" text="CMS">
      <formula>NOT(ISERROR(SEARCH("CMS",O56)))</formula>
    </cfRule>
    <cfRule type="cellIs" dxfId="2129" priority="1831" operator="equal">
      <formula>0</formula>
    </cfRule>
    <cfRule type="cellIs" dxfId="2128" priority="1832" operator="greaterThan">
      <formula>0</formula>
    </cfRule>
  </conditionalFormatting>
  <conditionalFormatting sqref="O56">
    <cfRule type="cellIs" dxfId="2127" priority="1825" operator="equal">
      <formula>"PMS"</formula>
    </cfRule>
    <cfRule type="containsText" dxfId="2126" priority="1826" operator="containsText" text="CMS">
      <formula>NOT(ISERROR(SEARCH("CMS",O56)))</formula>
    </cfRule>
    <cfRule type="cellIs" dxfId="2125" priority="1827" operator="equal">
      <formula>0</formula>
    </cfRule>
    <cfRule type="cellIs" dxfId="2124" priority="1828" operator="greaterThan">
      <formula>0</formula>
    </cfRule>
  </conditionalFormatting>
  <conditionalFormatting sqref="O56">
    <cfRule type="cellIs" dxfId="2123" priority="1821" operator="equal">
      <formula>"PMS"</formula>
    </cfRule>
    <cfRule type="containsText" dxfId="2122" priority="1822" operator="containsText" text="CMS">
      <formula>NOT(ISERROR(SEARCH("CMS",O56)))</formula>
    </cfRule>
    <cfRule type="cellIs" dxfId="2121" priority="1823" operator="equal">
      <formula>0</formula>
    </cfRule>
    <cfRule type="cellIs" dxfId="2120" priority="1824" operator="greaterThan">
      <formula>0</formula>
    </cfRule>
  </conditionalFormatting>
  <conditionalFormatting sqref="O56">
    <cfRule type="cellIs" dxfId="2119" priority="1817" operator="equal">
      <formula>"PMS"</formula>
    </cfRule>
    <cfRule type="containsText" dxfId="2118" priority="1818" operator="containsText" text="CMS">
      <formula>NOT(ISERROR(SEARCH("CMS",O56)))</formula>
    </cfRule>
    <cfRule type="cellIs" dxfId="2117" priority="1819" operator="equal">
      <formula>0</formula>
    </cfRule>
    <cfRule type="cellIs" dxfId="2116" priority="1820" operator="greaterThan">
      <formula>0</formula>
    </cfRule>
  </conditionalFormatting>
  <conditionalFormatting sqref="O56">
    <cfRule type="cellIs" dxfId="2115" priority="1813" operator="equal">
      <formula>"PMS"</formula>
    </cfRule>
    <cfRule type="containsText" dxfId="2114" priority="1814" operator="containsText" text="CMS">
      <formula>NOT(ISERROR(SEARCH("CMS",O56)))</formula>
    </cfRule>
    <cfRule type="cellIs" dxfId="2113" priority="1815" operator="equal">
      <formula>0</formula>
    </cfRule>
    <cfRule type="cellIs" dxfId="2112" priority="1816" operator="greaterThan">
      <formula>0</formula>
    </cfRule>
  </conditionalFormatting>
  <conditionalFormatting sqref="O56">
    <cfRule type="cellIs" dxfId="2111" priority="1809" operator="equal">
      <formula>"PMS"</formula>
    </cfRule>
    <cfRule type="containsText" dxfId="2110" priority="1810" operator="containsText" text="CMS">
      <formula>NOT(ISERROR(SEARCH("CMS",O56)))</formula>
    </cfRule>
    <cfRule type="cellIs" dxfId="2109" priority="1811" operator="equal">
      <formula>0</formula>
    </cfRule>
    <cfRule type="cellIs" dxfId="2108" priority="1812" operator="greaterThan">
      <formula>0</formula>
    </cfRule>
  </conditionalFormatting>
  <conditionalFormatting sqref="O56">
    <cfRule type="cellIs" dxfId="2107" priority="1805" operator="equal">
      <formula>"PMS"</formula>
    </cfRule>
    <cfRule type="containsText" dxfId="2106" priority="1806" operator="containsText" text="CMS">
      <formula>NOT(ISERROR(SEARCH("CMS",O56)))</formula>
    </cfRule>
    <cfRule type="cellIs" dxfId="2105" priority="1807" operator="equal">
      <formula>0</formula>
    </cfRule>
    <cfRule type="cellIs" dxfId="2104" priority="1808" operator="greaterThan">
      <formula>0</formula>
    </cfRule>
  </conditionalFormatting>
  <conditionalFormatting sqref="O56">
    <cfRule type="cellIs" dxfId="2103" priority="1801" operator="equal">
      <formula>"PMS"</formula>
    </cfRule>
    <cfRule type="containsText" dxfId="2102" priority="1802" operator="containsText" text="CMS">
      <formula>NOT(ISERROR(SEARCH("CMS",O56)))</formula>
    </cfRule>
    <cfRule type="cellIs" dxfId="2101" priority="1803" operator="equal">
      <formula>0</formula>
    </cfRule>
    <cfRule type="cellIs" dxfId="2100" priority="1804" operator="greaterThan">
      <formula>0</formula>
    </cfRule>
  </conditionalFormatting>
  <conditionalFormatting sqref="O56">
    <cfRule type="cellIs" dxfId="2099" priority="1797" operator="equal">
      <formula>"PMS"</formula>
    </cfRule>
    <cfRule type="containsText" dxfId="2098" priority="1798" operator="containsText" text="CMS">
      <formula>NOT(ISERROR(SEARCH("CMS",O56)))</formula>
    </cfRule>
    <cfRule type="cellIs" dxfId="2097" priority="1799" operator="equal">
      <formula>0</formula>
    </cfRule>
    <cfRule type="cellIs" dxfId="2096" priority="1800" operator="greaterThan">
      <formula>0</formula>
    </cfRule>
  </conditionalFormatting>
  <conditionalFormatting sqref="O56">
    <cfRule type="cellIs" dxfId="2095" priority="1793" operator="equal">
      <formula>"PMS"</formula>
    </cfRule>
    <cfRule type="containsText" dxfId="2094" priority="1794" operator="containsText" text="CMS">
      <formula>NOT(ISERROR(SEARCH("CMS",O56)))</formula>
    </cfRule>
    <cfRule type="cellIs" dxfId="2093" priority="1795" operator="equal">
      <formula>0</formula>
    </cfRule>
    <cfRule type="cellIs" dxfId="2092" priority="1796" operator="greaterThan">
      <formula>0</formula>
    </cfRule>
  </conditionalFormatting>
  <conditionalFormatting sqref="O56">
    <cfRule type="cellIs" dxfId="2091" priority="1789" operator="equal">
      <formula>"PMS"</formula>
    </cfRule>
    <cfRule type="containsText" dxfId="2090" priority="1790" operator="containsText" text="CMS">
      <formula>NOT(ISERROR(SEARCH("CMS",O56)))</formula>
    </cfRule>
    <cfRule type="cellIs" dxfId="2089" priority="1791" operator="equal">
      <formula>0</formula>
    </cfRule>
    <cfRule type="cellIs" dxfId="2088" priority="1792" operator="greaterThan">
      <formula>0</formula>
    </cfRule>
  </conditionalFormatting>
  <conditionalFormatting sqref="O56">
    <cfRule type="cellIs" dxfId="2087" priority="1785" operator="equal">
      <formula>"PMS"</formula>
    </cfRule>
    <cfRule type="containsText" dxfId="2086" priority="1786" operator="containsText" text="CMS">
      <formula>NOT(ISERROR(SEARCH("CMS",O56)))</formula>
    </cfRule>
    <cfRule type="cellIs" dxfId="2085" priority="1787" operator="equal">
      <formula>0</formula>
    </cfRule>
    <cfRule type="cellIs" dxfId="2084" priority="1788" operator="greaterThan">
      <formula>0</formula>
    </cfRule>
  </conditionalFormatting>
  <conditionalFormatting sqref="O56">
    <cfRule type="cellIs" dxfId="2083" priority="1781" operator="equal">
      <formula>"PMS"</formula>
    </cfRule>
    <cfRule type="containsText" dxfId="2082" priority="1782" operator="containsText" text="CMS">
      <formula>NOT(ISERROR(SEARCH("CMS",O56)))</formula>
    </cfRule>
    <cfRule type="cellIs" dxfId="2081" priority="1783" operator="equal">
      <formula>0</formula>
    </cfRule>
    <cfRule type="cellIs" dxfId="2080" priority="1784" operator="greaterThan">
      <formula>0</formula>
    </cfRule>
  </conditionalFormatting>
  <conditionalFormatting sqref="O56">
    <cfRule type="cellIs" dxfId="2079" priority="1777" operator="equal">
      <formula>"PMS"</formula>
    </cfRule>
    <cfRule type="containsText" dxfId="2078" priority="1778" operator="containsText" text="CMS">
      <formula>NOT(ISERROR(SEARCH("CMS",O56)))</formula>
    </cfRule>
    <cfRule type="cellIs" dxfId="2077" priority="1779" operator="equal">
      <formula>0</formula>
    </cfRule>
    <cfRule type="cellIs" dxfId="2076" priority="1780" operator="greaterThan">
      <formula>0</formula>
    </cfRule>
  </conditionalFormatting>
  <conditionalFormatting sqref="O56">
    <cfRule type="cellIs" dxfId="2075" priority="1773" operator="equal">
      <formula>"PMS"</formula>
    </cfRule>
    <cfRule type="containsText" dxfId="2074" priority="1774" operator="containsText" text="CMS">
      <formula>NOT(ISERROR(SEARCH("CMS",O56)))</formula>
    </cfRule>
    <cfRule type="cellIs" dxfId="2073" priority="1775" operator="equal">
      <formula>0</formula>
    </cfRule>
    <cfRule type="cellIs" dxfId="2072" priority="1776" operator="greaterThan">
      <formula>0</formula>
    </cfRule>
  </conditionalFormatting>
  <conditionalFormatting sqref="O56">
    <cfRule type="cellIs" dxfId="2071" priority="1769" operator="equal">
      <formula>"PMS"</formula>
    </cfRule>
    <cfRule type="containsText" dxfId="2070" priority="1770" operator="containsText" text="CMS">
      <formula>NOT(ISERROR(SEARCH("CMS",O56)))</formula>
    </cfRule>
    <cfRule type="cellIs" dxfId="2069" priority="1771" operator="equal">
      <formula>0</formula>
    </cfRule>
    <cfRule type="cellIs" dxfId="2068" priority="1772" operator="greaterThan">
      <formula>0</formula>
    </cfRule>
  </conditionalFormatting>
  <conditionalFormatting sqref="O56">
    <cfRule type="cellIs" dxfId="2067" priority="1765" operator="equal">
      <formula>"PMS"</formula>
    </cfRule>
    <cfRule type="containsText" dxfId="2066" priority="1766" operator="containsText" text="CMS">
      <formula>NOT(ISERROR(SEARCH("CMS",O56)))</formula>
    </cfRule>
    <cfRule type="cellIs" dxfId="2065" priority="1767" operator="equal">
      <formula>0</formula>
    </cfRule>
    <cfRule type="cellIs" dxfId="2064" priority="1768" operator="greaterThan">
      <formula>0</formula>
    </cfRule>
  </conditionalFormatting>
  <conditionalFormatting sqref="O56">
    <cfRule type="cellIs" dxfId="2063" priority="1761" operator="equal">
      <formula>"PMS"</formula>
    </cfRule>
    <cfRule type="containsText" dxfId="2062" priority="1762" operator="containsText" text="CMS">
      <formula>NOT(ISERROR(SEARCH("CMS",O56)))</formula>
    </cfRule>
    <cfRule type="cellIs" dxfId="2061" priority="1763" operator="equal">
      <formula>0</formula>
    </cfRule>
    <cfRule type="cellIs" dxfId="2060" priority="1764" operator="greaterThan">
      <formula>0</formula>
    </cfRule>
  </conditionalFormatting>
  <conditionalFormatting sqref="O56">
    <cfRule type="cellIs" dxfId="2059" priority="1757" operator="equal">
      <formula>"PMS"</formula>
    </cfRule>
    <cfRule type="containsText" dxfId="2058" priority="1758" operator="containsText" text="CMS">
      <formula>NOT(ISERROR(SEARCH("CMS",O56)))</formula>
    </cfRule>
    <cfRule type="cellIs" dxfId="2057" priority="1759" operator="equal">
      <formula>0</formula>
    </cfRule>
    <cfRule type="cellIs" dxfId="2056" priority="1760" operator="greaterThan">
      <formula>0</formula>
    </cfRule>
  </conditionalFormatting>
  <conditionalFormatting sqref="O56">
    <cfRule type="cellIs" dxfId="2055" priority="1753" operator="equal">
      <formula>"PMS"</formula>
    </cfRule>
    <cfRule type="containsText" dxfId="2054" priority="1754" operator="containsText" text="CMS">
      <formula>NOT(ISERROR(SEARCH("CMS",O56)))</formula>
    </cfRule>
    <cfRule type="cellIs" dxfId="2053" priority="1755" operator="equal">
      <formula>0</formula>
    </cfRule>
    <cfRule type="cellIs" dxfId="2052" priority="1756" operator="greaterThan">
      <formula>0</formula>
    </cfRule>
  </conditionalFormatting>
  <conditionalFormatting sqref="O56">
    <cfRule type="cellIs" dxfId="2051" priority="1749" operator="equal">
      <formula>"PMS"</formula>
    </cfRule>
    <cfRule type="containsText" dxfId="2050" priority="1750" operator="containsText" text="CMS">
      <formula>NOT(ISERROR(SEARCH("CMS",O56)))</formula>
    </cfRule>
    <cfRule type="cellIs" dxfId="2049" priority="1751" operator="equal">
      <formula>0</formula>
    </cfRule>
    <cfRule type="cellIs" dxfId="2048" priority="1752" operator="greaterThan">
      <formula>0</formula>
    </cfRule>
  </conditionalFormatting>
  <conditionalFormatting sqref="O56">
    <cfRule type="cellIs" dxfId="2047" priority="1745" operator="equal">
      <formula>"PMS"</formula>
    </cfRule>
    <cfRule type="containsText" dxfId="2046" priority="1746" operator="containsText" text="CMS">
      <formula>NOT(ISERROR(SEARCH("CMS",O56)))</formula>
    </cfRule>
    <cfRule type="cellIs" dxfId="2045" priority="1747" operator="equal">
      <formula>0</formula>
    </cfRule>
    <cfRule type="cellIs" dxfId="2044" priority="1748" operator="greaterThan">
      <formula>0</formula>
    </cfRule>
  </conditionalFormatting>
  <conditionalFormatting sqref="O56">
    <cfRule type="cellIs" dxfId="2043" priority="1741" operator="equal">
      <formula>"PMS"</formula>
    </cfRule>
    <cfRule type="containsText" dxfId="2042" priority="1742" operator="containsText" text="CMS">
      <formula>NOT(ISERROR(SEARCH("CMS",O56)))</formula>
    </cfRule>
    <cfRule type="cellIs" dxfId="2041" priority="1743" operator="equal">
      <formula>0</formula>
    </cfRule>
    <cfRule type="cellIs" dxfId="2040" priority="1744" operator="greaterThan">
      <formula>0</formula>
    </cfRule>
  </conditionalFormatting>
  <conditionalFormatting sqref="O56">
    <cfRule type="cellIs" dxfId="2039" priority="1737" operator="equal">
      <formula>"PMS"</formula>
    </cfRule>
    <cfRule type="containsText" dxfId="2038" priority="1738" operator="containsText" text="CMS">
      <formula>NOT(ISERROR(SEARCH("CMS",O56)))</formula>
    </cfRule>
    <cfRule type="cellIs" dxfId="2037" priority="1739" operator="equal">
      <formula>0</formula>
    </cfRule>
    <cfRule type="cellIs" dxfId="2036" priority="1740" operator="greaterThan">
      <formula>0</formula>
    </cfRule>
  </conditionalFormatting>
  <conditionalFormatting sqref="O56">
    <cfRule type="cellIs" dxfId="2035" priority="1733" operator="equal">
      <formula>"PMS"</formula>
    </cfRule>
    <cfRule type="containsText" dxfId="2034" priority="1734" operator="containsText" text="CMS">
      <formula>NOT(ISERROR(SEARCH("CMS",O56)))</formula>
    </cfRule>
    <cfRule type="cellIs" dxfId="2033" priority="1735" operator="equal">
      <formula>0</formula>
    </cfRule>
    <cfRule type="cellIs" dxfId="2032" priority="1736" operator="greaterThan">
      <formula>0</formula>
    </cfRule>
  </conditionalFormatting>
  <conditionalFormatting sqref="O56">
    <cfRule type="cellIs" dxfId="2031" priority="1729" operator="equal">
      <formula>"PMS"</formula>
    </cfRule>
    <cfRule type="containsText" dxfId="2030" priority="1730" operator="containsText" text="CMS">
      <formula>NOT(ISERROR(SEARCH("CMS",O56)))</formula>
    </cfRule>
    <cfRule type="cellIs" dxfId="2029" priority="1731" operator="equal">
      <formula>0</formula>
    </cfRule>
    <cfRule type="cellIs" dxfId="2028" priority="1732" operator="greaterThan">
      <formula>0</formula>
    </cfRule>
  </conditionalFormatting>
  <conditionalFormatting sqref="O56">
    <cfRule type="cellIs" dxfId="2027" priority="1725" operator="equal">
      <formula>"PMS"</formula>
    </cfRule>
    <cfRule type="containsText" dxfId="2026" priority="1726" operator="containsText" text="CMS">
      <formula>NOT(ISERROR(SEARCH("CMS",O56)))</formula>
    </cfRule>
    <cfRule type="cellIs" dxfId="2025" priority="1727" operator="equal">
      <formula>0</formula>
    </cfRule>
    <cfRule type="cellIs" dxfId="2024" priority="1728" operator="greaterThan">
      <formula>0</formula>
    </cfRule>
  </conditionalFormatting>
  <conditionalFormatting sqref="O56">
    <cfRule type="cellIs" dxfId="2023" priority="1721" operator="equal">
      <formula>"PMS"</formula>
    </cfRule>
    <cfRule type="containsText" dxfId="2022" priority="1722" operator="containsText" text="CMS">
      <formula>NOT(ISERROR(SEARCH("CMS",O56)))</formula>
    </cfRule>
    <cfRule type="cellIs" dxfId="2021" priority="1723" operator="equal">
      <formula>0</formula>
    </cfRule>
    <cfRule type="cellIs" dxfId="2020" priority="1724" operator="greaterThan">
      <formula>0</formula>
    </cfRule>
  </conditionalFormatting>
  <conditionalFormatting sqref="O56">
    <cfRule type="cellIs" dxfId="2019" priority="1717" operator="equal">
      <formula>"PMS"</formula>
    </cfRule>
    <cfRule type="containsText" dxfId="2018" priority="1718" operator="containsText" text="CMS">
      <formula>NOT(ISERROR(SEARCH("CMS",O56)))</formula>
    </cfRule>
    <cfRule type="cellIs" dxfId="2017" priority="1719" operator="equal">
      <formula>0</formula>
    </cfRule>
    <cfRule type="cellIs" dxfId="2016" priority="1720" operator="greaterThan">
      <formula>0</formula>
    </cfRule>
  </conditionalFormatting>
  <conditionalFormatting sqref="O56">
    <cfRule type="cellIs" dxfId="2015" priority="1713" operator="equal">
      <formula>"PMS"</formula>
    </cfRule>
    <cfRule type="containsText" dxfId="2014" priority="1714" operator="containsText" text="CMS">
      <formula>NOT(ISERROR(SEARCH("CMS",O56)))</formula>
    </cfRule>
    <cfRule type="cellIs" dxfId="2013" priority="1715" operator="equal">
      <formula>0</formula>
    </cfRule>
    <cfRule type="cellIs" dxfId="2012" priority="1716" operator="greaterThan">
      <formula>0</formula>
    </cfRule>
  </conditionalFormatting>
  <conditionalFormatting sqref="O56">
    <cfRule type="cellIs" dxfId="2011" priority="1709" operator="equal">
      <formula>"PMS"</formula>
    </cfRule>
    <cfRule type="containsText" dxfId="2010" priority="1710" operator="containsText" text="CMS">
      <formula>NOT(ISERROR(SEARCH("CMS",O56)))</formula>
    </cfRule>
    <cfRule type="cellIs" dxfId="2009" priority="1711" operator="equal">
      <formula>0</formula>
    </cfRule>
    <cfRule type="cellIs" dxfId="2008" priority="1712" operator="greaterThan">
      <formula>0</formula>
    </cfRule>
  </conditionalFormatting>
  <conditionalFormatting sqref="O56">
    <cfRule type="cellIs" dxfId="2007" priority="1705" operator="equal">
      <formula>"PMS"</formula>
    </cfRule>
    <cfRule type="containsText" dxfId="2006" priority="1706" operator="containsText" text="CMS">
      <formula>NOT(ISERROR(SEARCH("CMS",O56)))</formula>
    </cfRule>
    <cfRule type="cellIs" dxfId="2005" priority="1707" operator="equal">
      <formula>0</formula>
    </cfRule>
    <cfRule type="cellIs" dxfId="2004" priority="1708" operator="greaterThan">
      <formula>0</formula>
    </cfRule>
  </conditionalFormatting>
  <conditionalFormatting sqref="O56">
    <cfRule type="cellIs" dxfId="2003" priority="1701" operator="equal">
      <formula>"PMS"</formula>
    </cfRule>
    <cfRule type="containsText" dxfId="2002" priority="1702" operator="containsText" text="CMS">
      <formula>NOT(ISERROR(SEARCH("CMS",O56)))</formula>
    </cfRule>
    <cfRule type="cellIs" dxfId="2001" priority="1703" operator="equal">
      <formula>0</formula>
    </cfRule>
    <cfRule type="cellIs" dxfId="2000" priority="1704" operator="greaterThan">
      <formula>0</formula>
    </cfRule>
  </conditionalFormatting>
  <conditionalFormatting sqref="O56">
    <cfRule type="cellIs" dxfId="1999" priority="1697" operator="equal">
      <formula>"PMS"</formula>
    </cfRule>
    <cfRule type="containsText" dxfId="1998" priority="1698" operator="containsText" text="CMS">
      <formula>NOT(ISERROR(SEARCH("CMS",O56)))</formula>
    </cfRule>
    <cfRule type="cellIs" dxfId="1997" priority="1699" operator="equal">
      <formula>0</formula>
    </cfRule>
    <cfRule type="cellIs" dxfId="1996" priority="1700" operator="greaterThan">
      <formula>0</formula>
    </cfRule>
  </conditionalFormatting>
  <conditionalFormatting sqref="O56">
    <cfRule type="cellIs" dxfId="1995" priority="1693" operator="equal">
      <formula>"PMS"</formula>
    </cfRule>
    <cfRule type="containsText" dxfId="1994" priority="1694" operator="containsText" text="CMS">
      <formula>NOT(ISERROR(SEARCH("CMS",O56)))</formula>
    </cfRule>
    <cfRule type="cellIs" dxfId="1993" priority="1695" operator="equal">
      <formula>0</formula>
    </cfRule>
    <cfRule type="cellIs" dxfId="1992" priority="1696" operator="greaterThan">
      <formula>0</formula>
    </cfRule>
  </conditionalFormatting>
  <conditionalFormatting sqref="O56">
    <cfRule type="cellIs" dxfId="1991" priority="1689" operator="equal">
      <formula>"PMS"</formula>
    </cfRule>
    <cfRule type="containsText" dxfId="1990" priority="1690" operator="containsText" text="CMS">
      <formula>NOT(ISERROR(SEARCH("CMS",O56)))</formula>
    </cfRule>
    <cfRule type="cellIs" dxfId="1989" priority="1691" operator="equal">
      <formula>0</formula>
    </cfRule>
    <cfRule type="cellIs" dxfId="1988" priority="1692" operator="greaterThan">
      <formula>0</formula>
    </cfRule>
  </conditionalFormatting>
  <conditionalFormatting sqref="O56">
    <cfRule type="cellIs" dxfId="1987" priority="1685" operator="equal">
      <formula>"PMS"</formula>
    </cfRule>
    <cfRule type="containsText" dxfId="1986" priority="1686" operator="containsText" text="CMS">
      <formula>NOT(ISERROR(SEARCH("CMS",O56)))</formula>
    </cfRule>
    <cfRule type="cellIs" dxfId="1985" priority="1687" operator="equal">
      <formula>0</formula>
    </cfRule>
    <cfRule type="cellIs" dxfId="1984" priority="1688" operator="greaterThan">
      <formula>0</formula>
    </cfRule>
  </conditionalFormatting>
  <conditionalFormatting sqref="O56">
    <cfRule type="cellIs" dxfId="1983" priority="1681" operator="equal">
      <formula>"PMS"</formula>
    </cfRule>
    <cfRule type="containsText" dxfId="1982" priority="1682" operator="containsText" text="CMS">
      <formula>NOT(ISERROR(SEARCH("CMS",O56)))</formula>
    </cfRule>
    <cfRule type="cellIs" dxfId="1981" priority="1683" operator="equal">
      <formula>0</formula>
    </cfRule>
    <cfRule type="cellIs" dxfId="1980" priority="1684" operator="greaterThan">
      <formula>0</formula>
    </cfRule>
  </conditionalFormatting>
  <conditionalFormatting sqref="O56">
    <cfRule type="cellIs" dxfId="1979" priority="1677" operator="equal">
      <formula>"PMS"</formula>
    </cfRule>
    <cfRule type="containsText" dxfId="1978" priority="1678" operator="containsText" text="CMS">
      <formula>NOT(ISERROR(SEARCH("CMS",O56)))</formula>
    </cfRule>
    <cfRule type="cellIs" dxfId="1977" priority="1679" operator="equal">
      <formula>0</formula>
    </cfRule>
    <cfRule type="cellIs" dxfId="1976" priority="1680" operator="greaterThan">
      <formula>0</formula>
    </cfRule>
  </conditionalFormatting>
  <conditionalFormatting sqref="O56">
    <cfRule type="cellIs" dxfId="1975" priority="1673" operator="equal">
      <formula>"PMS"</formula>
    </cfRule>
    <cfRule type="containsText" dxfId="1974" priority="1674" operator="containsText" text="CMS">
      <formula>NOT(ISERROR(SEARCH("CMS",O56)))</formula>
    </cfRule>
    <cfRule type="cellIs" dxfId="1973" priority="1675" operator="equal">
      <formula>0</formula>
    </cfRule>
    <cfRule type="cellIs" dxfId="1972" priority="1676" operator="greaterThan">
      <formula>0</formula>
    </cfRule>
  </conditionalFormatting>
  <conditionalFormatting sqref="O56">
    <cfRule type="cellIs" dxfId="1971" priority="1669" operator="equal">
      <formula>"PMS"</formula>
    </cfRule>
    <cfRule type="containsText" dxfId="1970" priority="1670" operator="containsText" text="CMS">
      <formula>NOT(ISERROR(SEARCH("CMS",O56)))</formula>
    </cfRule>
    <cfRule type="cellIs" dxfId="1969" priority="1671" operator="equal">
      <formula>0</formula>
    </cfRule>
    <cfRule type="cellIs" dxfId="1968" priority="1672" operator="greaterThan">
      <formula>0</formula>
    </cfRule>
  </conditionalFormatting>
  <conditionalFormatting sqref="O56">
    <cfRule type="cellIs" dxfId="1967" priority="1665" operator="equal">
      <formula>"PMS"</formula>
    </cfRule>
    <cfRule type="containsText" dxfId="1966" priority="1666" operator="containsText" text="CMS">
      <formula>NOT(ISERROR(SEARCH("CMS",O56)))</formula>
    </cfRule>
    <cfRule type="cellIs" dxfId="1965" priority="1667" operator="equal">
      <formula>0</formula>
    </cfRule>
    <cfRule type="cellIs" dxfId="1964" priority="1668" operator="greaterThan">
      <formula>0</formula>
    </cfRule>
  </conditionalFormatting>
  <conditionalFormatting sqref="O56">
    <cfRule type="cellIs" dxfId="1963" priority="1661" operator="equal">
      <formula>"PMS"</formula>
    </cfRule>
    <cfRule type="containsText" dxfId="1962" priority="1662" operator="containsText" text="CMS">
      <formula>NOT(ISERROR(SEARCH("CMS",O56)))</formula>
    </cfRule>
    <cfRule type="cellIs" dxfId="1961" priority="1663" operator="equal">
      <formula>0</formula>
    </cfRule>
    <cfRule type="cellIs" dxfId="1960" priority="1664" operator="greaterThan">
      <formula>0</formula>
    </cfRule>
  </conditionalFormatting>
  <conditionalFormatting sqref="O56">
    <cfRule type="cellIs" dxfId="1959" priority="1657" operator="equal">
      <formula>"PMS"</formula>
    </cfRule>
    <cfRule type="containsText" dxfId="1958" priority="1658" operator="containsText" text="CMS">
      <formula>NOT(ISERROR(SEARCH("CMS",O56)))</formula>
    </cfRule>
    <cfRule type="cellIs" dxfId="1957" priority="1659" operator="equal">
      <formula>0</formula>
    </cfRule>
    <cfRule type="cellIs" dxfId="1956" priority="1660" operator="greaterThan">
      <formula>0</formula>
    </cfRule>
  </conditionalFormatting>
  <conditionalFormatting sqref="O56">
    <cfRule type="cellIs" dxfId="1955" priority="1653" operator="equal">
      <formula>"PMS"</formula>
    </cfRule>
    <cfRule type="containsText" dxfId="1954" priority="1654" operator="containsText" text="CMS">
      <formula>NOT(ISERROR(SEARCH("CMS",O56)))</formula>
    </cfRule>
    <cfRule type="cellIs" dxfId="1953" priority="1655" operator="equal">
      <formula>0</formula>
    </cfRule>
    <cfRule type="cellIs" dxfId="1952" priority="1656" operator="greaterThan">
      <formula>0</formula>
    </cfRule>
  </conditionalFormatting>
  <conditionalFormatting sqref="O56">
    <cfRule type="cellIs" dxfId="1951" priority="1649" operator="equal">
      <formula>"PMS"</formula>
    </cfRule>
    <cfRule type="containsText" dxfId="1950" priority="1650" operator="containsText" text="CMS">
      <formula>NOT(ISERROR(SEARCH("CMS",O56)))</formula>
    </cfRule>
    <cfRule type="cellIs" dxfId="1949" priority="1651" operator="equal">
      <formula>0</formula>
    </cfRule>
    <cfRule type="cellIs" dxfId="1948" priority="1652" operator="greaterThan">
      <formula>0</formula>
    </cfRule>
  </conditionalFormatting>
  <conditionalFormatting sqref="O56">
    <cfRule type="cellIs" dxfId="1947" priority="1645" operator="equal">
      <formula>"PMS"</formula>
    </cfRule>
    <cfRule type="containsText" dxfId="1946" priority="1646" operator="containsText" text="CMS">
      <formula>NOT(ISERROR(SEARCH("CMS",O56)))</formula>
    </cfRule>
    <cfRule type="cellIs" dxfId="1945" priority="1647" operator="equal">
      <formula>0</formula>
    </cfRule>
    <cfRule type="cellIs" dxfId="1944" priority="1648" operator="greaterThan">
      <formula>0</formula>
    </cfRule>
  </conditionalFormatting>
  <conditionalFormatting sqref="O56">
    <cfRule type="cellIs" dxfId="1943" priority="1641" operator="equal">
      <formula>"PMS"</formula>
    </cfRule>
    <cfRule type="containsText" dxfId="1942" priority="1642" operator="containsText" text="CMS">
      <formula>NOT(ISERROR(SEARCH("CMS",O56)))</formula>
    </cfRule>
    <cfRule type="cellIs" dxfId="1941" priority="1643" operator="equal">
      <formula>0</formula>
    </cfRule>
    <cfRule type="cellIs" dxfId="1940" priority="1644" operator="greaterThan">
      <formula>0</formula>
    </cfRule>
  </conditionalFormatting>
  <conditionalFormatting sqref="O56">
    <cfRule type="cellIs" dxfId="1939" priority="1637" operator="equal">
      <formula>"PMS"</formula>
    </cfRule>
    <cfRule type="containsText" dxfId="1938" priority="1638" operator="containsText" text="CMS">
      <formula>NOT(ISERROR(SEARCH("CMS",O56)))</formula>
    </cfRule>
    <cfRule type="cellIs" dxfId="1937" priority="1639" operator="equal">
      <formula>0</formula>
    </cfRule>
    <cfRule type="cellIs" dxfId="1936" priority="1640" operator="greaterThan">
      <formula>0</formula>
    </cfRule>
  </conditionalFormatting>
  <conditionalFormatting sqref="O56">
    <cfRule type="cellIs" dxfId="1935" priority="1633" operator="equal">
      <formula>"PMS"</formula>
    </cfRule>
    <cfRule type="containsText" dxfId="1934" priority="1634" operator="containsText" text="CMS">
      <formula>NOT(ISERROR(SEARCH("CMS",O56)))</formula>
    </cfRule>
    <cfRule type="cellIs" dxfId="1933" priority="1635" operator="equal">
      <formula>0</formula>
    </cfRule>
    <cfRule type="cellIs" dxfId="1932" priority="1636" operator="greaterThan">
      <formula>0</formula>
    </cfRule>
  </conditionalFormatting>
  <conditionalFormatting sqref="O56">
    <cfRule type="cellIs" dxfId="1931" priority="1629" operator="equal">
      <formula>"PMS"</formula>
    </cfRule>
    <cfRule type="containsText" dxfId="1930" priority="1630" operator="containsText" text="CMS">
      <formula>NOT(ISERROR(SEARCH("CMS",O56)))</formula>
    </cfRule>
    <cfRule type="cellIs" dxfId="1929" priority="1631" operator="equal">
      <formula>0</formula>
    </cfRule>
    <cfRule type="cellIs" dxfId="1928" priority="1632" operator="greaterThan">
      <formula>0</formula>
    </cfRule>
  </conditionalFormatting>
  <conditionalFormatting sqref="O56">
    <cfRule type="cellIs" dxfId="1927" priority="1625" operator="equal">
      <formula>"PMS"</formula>
    </cfRule>
    <cfRule type="containsText" dxfId="1926" priority="1626" operator="containsText" text="CMS">
      <formula>NOT(ISERROR(SEARCH("CMS",O56)))</formula>
    </cfRule>
    <cfRule type="cellIs" dxfId="1925" priority="1627" operator="equal">
      <formula>0</formula>
    </cfRule>
    <cfRule type="cellIs" dxfId="1924" priority="1628" operator="greaterThan">
      <formula>0</formula>
    </cfRule>
  </conditionalFormatting>
  <conditionalFormatting sqref="O56">
    <cfRule type="cellIs" dxfId="1923" priority="1621" operator="equal">
      <formula>"PMS"</formula>
    </cfRule>
    <cfRule type="containsText" dxfId="1922" priority="1622" operator="containsText" text="CMS">
      <formula>NOT(ISERROR(SEARCH("CMS",O56)))</formula>
    </cfRule>
    <cfRule type="cellIs" dxfId="1921" priority="1623" operator="equal">
      <formula>0</formula>
    </cfRule>
    <cfRule type="cellIs" dxfId="1920" priority="1624" operator="greaterThan">
      <formula>0</formula>
    </cfRule>
  </conditionalFormatting>
  <conditionalFormatting sqref="O56">
    <cfRule type="cellIs" dxfId="1919" priority="1617" operator="equal">
      <formula>"PMS"</formula>
    </cfRule>
    <cfRule type="containsText" dxfId="1918" priority="1618" operator="containsText" text="CMS">
      <formula>NOT(ISERROR(SEARCH("CMS",O56)))</formula>
    </cfRule>
    <cfRule type="cellIs" dxfId="1917" priority="1619" operator="equal">
      <formula>0</formula>
    </cfRule>
    <cfRule type="cellIs" dxfId="1916" priority="1620" operator="greaterThan">
      <formula>0</formula>
    </cfRule>
  </conditionalFormatting>
  <conditionalFormatting sqref="O56">
    <cfRule type="cellIs" dxfId="1915" priority="1613" operator="equal">
      <formula>"PMS"</formula>
    </cfRule>
    <cfRule type="containsText" dxfId="1914" priority="1614" operator="containsText" text="CMS">
      <formula>NOT(ISERROR(SEARCH("CMS",O56)))</formula>
    </cfRule>
    <cfRule type="cellIs" dxfId="1913" priority="1615" operator="equal">
      <formula>0</formula>
    </cfRule>
    <cfRule type="cellIs" dxfId="1912" priority="1616" operator="greaterThan">
      <formula>0</formula>
    </cfRule>
  </conditionalFormatting>
  <conditionalFormatting sqref="O56">
    <cfRule type="cellIs" dxfId="1911" priority="1609" operator="equal">
      <formula>"PMS"</formula>
    </cfRule>
    <cfRule type="containsText" dxfId="1910" priority="1610" operator="containsText" text="CMS">
      <formula>NOT(ISERROR(SEARCH("CMS",O56)))</formula>
    </cfRule>
    <cfRule type="cellIs" dxfId="1909" priority="1611" operator="equal">
      <formula>0</formula>
    </cfRule>
    <cfRule type="cellIs" dxfId="1908" priority="1612" operator="greaterThan">
      <formula>0</formula>
    </cfRule>
  </conditionalFormatting>
  <conditionalFormatting sqref="O56">
    <cfRule type="cellIs" dxfId="1907" priority="1605" operator="equal">
      <formula>"PMS"</formula>
    </cfRule>
    <cfRule type="containsText" dxfId="1906" priority="1606" operator="containsText" text="CMS">
      <formula>NOT(ISERROR(SEARCH("CMS",O56)))</formula>
    </cfRule>
    <cfRule type="cellIs" dxfId="1905" priority="1607" operator="equal">
      <formula>0</formula>
    </cfRule>
    <cfRule type="cellIs" dxfId="1904" priority="1608" operator="greaterThan">
      <formula>0</formula>
    </cfRule>
  </conditionalFormatting>
  <conditionalFormatting sqref="O56">
    <cfRule type="cellIs" dxfId="1903" priority="1601" operator="equal">
      <formula>"PMS"</formula>
    </cfRule>
    <cfRule type="containsText" dxfId="1902" priority="1602" operator="containsText" text="CMS">
      <formula>NOT(ISERROR(SEARCH("CMS",O56)))</formula>
    </cfRule>
    <cfRule type="cellIs" dxfId="1901" priority="1603" operator="equal">
      <formula>0</formula>
    </cfRule>
    <cfRule type="cellIs" dxfId="1900" priority="1604" operator="greaterThan">
      <formula>0</formula>
    </cfRule>
  </conditionalFormatting>
  <conditionalFormatting sqref="O56">
    <cfRule type="cellIs" dxfId="1899" priority="1597" operator="equal">
      <formula>"PMS"</formula>
    </cfRule>
    <cfRule type="containsText" dxfId="1898" priority="1598" operator="containsText" text="CMS">
      <formula>NOT(ISERROR(SEARCH("CMS",O56)))</formula>
    </cfRule>
    <cfRule type="cellIs" dxfId="1897" priority="1599" operator="equal">
      <formula>0</formula>
    </cfRule>
    <cfRule type="cellIs" dxfId="1896" priority="1600" operator="greaterThan">
      <formula>0</formula>
    </cfRule>
  </conditionalFormatting>
  <conditionalFormatting sqref="O56">
    <cfRule type="cellIs" dxfId="1895" priority="1593" operator="equal">
      <formula>"PMS"</formula>
    </cfRule>
    <cfRule type="containsText" dxfId="1894" priority="1594" operator="containsText" text="CMS">
      <formula>NOT(ISERROR(SEARCH("CMS",O56)))</formula>
    </cfRule>
    <cfRule type="cellIs" dxfId="1893" priority="1595" operator="equal">
      <formula>0</formula>
    </cfRule>
    <cfRule type="cellIs" dxfId="1892" priority="1596" operator="greaterThan">
      <formula>0</formula>
    </cfRule>
  </conditionalFormatting>
  <conditionalFormatting sqref="O56">
    <cfRule type="cellIs" dxfId="1891" priority="1589" operator="equal">
      <formula>"PMS"</formula>
    </cfRule>
    <cfRule type="containsText" dxfId="1890" priority="1590" operator="containsText" text="CMS">
      <formula>NOT(ISERROR(SEARCH("CMS",O56)))</formula>
    </cfRule>
    <cfRule type="cellIs" dxfId="1889" priority="1591" operator="equal">
      <formula>0</formula>
    </cfRule>
    <cfRule type="cellIs" dxfId="1888" priority="1592" operator="greaterThan">
      <formula>0</formula>
    </cfRule>
  </conditionalFormatting>
  <conditionalFormatting sqref="O56">
    <cfRule type="cellIs" dxfId="1887" priority="1585" operator="equal">
      <formula>"PMS"</formula>
    </cfRule>
    <cfRule type="containsText" dxfId="1886" priority="1586" operator="containsText" text="CMS">
      <formula>NOT(ISERROR(SEARCH("CMS",O56)))</formula>
    </cfRule>
    <cfRule type="cellIs" dxfId="1885" priority="1587" operator="equal">
      <formula>0</formula>
    </cfRule>
    <cfRule type="cellIs" dxfId="1884" priority="1588" operator="greaterThan">
      <formula>0</formula>
    </cfRule>
  </conditionalFormatting>
  <conditionalFormatting sqref="O56">
    <cfRule type="cellIs" dxfId="1883" priority="1581" operator="equal">
      <formula>"PMS"</formula>
    </cfRule>
    <cfRule type="containsText" dxfId="1882" priority="1582" operator="containsText" text="CMS">
      <formula>NOT(ISERROR(SEARCH("CMS",O56)))</formula>
    </cfRule>
    <cfRule type="cellIs" dxfId="1881" priority="1583" operator="equal">
      <formula>0</formula>
    </cfRule>
    <cfRule type="cellIs" dxfId="1880" priority="1584" operator="greaterThan">
      <formula>0</formula>
    </cfRule>
  </conditionalFormatting>
  <conditionalFormatting sqref="O56">
    <cfRule type="cellIs" dxfId="1879" priority="1577" operator="equal">
      <formula>"PMS"</formula>
    </cfRule>
    <cfRule type="containsText" dxfId="1878" priority="1578" operator="containsText" text="CMS">
      <formula>NOT(ISERROR(SEARCH("CMS",O56)))</formula>
    </cfRule>
    <cfRule type="cellIs" dxfId="1877" priority="1579" operator="equal">
      <formula>0</formula>
    </cfRule>
    <cfRule type="cellIs" dxfId="1876" priority="1580" operator="greaterThan">
      <formula>0</formula>
    </cfRule>
  </conditionalFormatting>
  <conditionalFormatting sqref="O56">
    <cfRule type="cellIs" dxfId="1875" priority="1573" operator="equal">
      <formula>"PMS"</formula>
    </cfRule>
    <cfRule type="containsText" dxfId="1874" priority="1574" operator="containsText" text="CMS">
      <formula>NOT(ISERROR(SEARCH("CMS",O56)))</formula>
    </cfRule>
    <cfRule type="cellIs" dxfId="1873" priority="1575" operator="equal">
      <formula>0</formula>
    </cfRule>
    <cfRule type="cellIs" dxfId="1872" priority="1576" operator="greaterThan">
      <formula>0</formula>
    </cfRule>
  </conditionalFormatting>
  <conditionalFormatting sqref="O56">
    <cfRule type="cellIs" dxfId="1871" priority="1569" operator="equal">
      <formula>"PMS"</formula>
    </cfRule>
    <cfRule type="containsText" dxfId="1870" priority="1570" operator="containsText" text="CMS">
      <formula>NOT(ISERROR(SEARCH("CMS",O56)))</formula>
    </cfRule>
    <cfRule type="cellIs" dxfId="1869" priority="1571" operator="equal">
      <formula>0</formula>
    </cfRule>
    <cfRule type="cellIs" dxfId="1868" priority="1572" operator="greaterThan">
      <formula>0</formula>
    </cfRule>
  </conditionalFormatting>
  <conditionalFormatting sqref="O56">
    <cfRule type="cellIs" dxfId="1867" priority="1565" operator="equal">
      <formula>"PMS"</formula>
    </cfRule>
    <cfRule type="containsText" dxfId="1866" priority="1566" operator="containsText" text="CMS">
      <formula>NOT(ISERROR(SEARCH("CMS",O56)))</formula>
    </cfRule>
    <cfRule type="cellIs" dxfId="1865" priority="1567" operator="equal">
      <formula>0</formula>
    </cfRule>
    <cfRule type="cellIs" dxfId="1864" priority="1568" operator="greaterThan">
      <formula>0</formula>
    </cfRule>
  </conditionalFormatting>
  <conditionalFormatting sqref="O56">
    <cfRule type="cellIs" dxfId="1863" priority="1561" operator="equal">
      <formula>"PMS"</formula>
    </cfRule>
    <cfRule type="containsText" dxfId="1862" priority="1562" operator="containsText" text="CMS">
      <formula>NOT(ISERROR(SEARCH("CMS",O56)))</formula>
    </cfRule>
    <cfRule type="cellIs" dxfId="1861" priority="1563" operator="equal">
      <formula>0</formula>
    </cfRule>
    <cfRule type="cellIs" dxfId="1860" priority="1564" operator="greaterThan">
      <formula>0</formula>
    </cfRule>
  </conditionalFormatting>
  <conditionalFormatting sqref="O56">
    <cfRule type="cellIs" dxfId="1859" priority="1557" operator="equal">
      <formula>"PMS"</formula>
    </cfRule>
    <cfRule type="containsText" dxfId="1858" priority="1558" operator="containsText" text="CMS">
      <formula>NOT(ISERROR(SEARCH("CMS",O56)))</formula>
    </cfRule>
    <cfRule type="cellIs" dxfId="1857" priority="1559" operator="equal">
      <formula>0</formula>
    </cfRule>
    <cfRule type="cellIs" dxfId="1856" priority="1560" operator="greaterThan">
      <formula>0</formula>
    </cfRule>
  </conditionalFormatting>
  <conditionalFormatting sqref="O56">
    <cfRule type="cellIs" dxfId="1855" priority="1553" operator="equal">
      <formula>"PMS"</formula>
    </cfRule>
    <cfRule type="containsText" dxfId="1854" priority="1554" operator="containsText" text="CMS">
      <formula>NOT(ISERROR(SEARCH("CMS",O56)))</formula>
    </cfRule>
    <cfRule type="cellIs" dxfId="1853" priority="1555" operator="equal">
      <formula>0</formula>
    </cfRule>
    <cfRule type="cellIs" dxfId="1852" priority="1556" operator="greaterThan">
      <formula>0</formula>
    </cfRule>
  </conditionalFormatting>
  <conditionalFormatting sqref="O56">
    <cfRule type="cellIs" dxfId="1851" priority="1549" operator="equal">
      <formula>"PMS"</formula>
    </cfRule>
    <cfRule type="containsText" dxfId="1850" priority="1550" operator="containsText" text="CMS">
      <formula>NOT(ISERROR(SEARCH("CMS",O56)))</formula>
    </cfRule>
    <cfRule type="cellIs" dxfId="1849" priority="1551" operator="equal">
      <formula>0</formula>
    </cfRule>
    <cfRule type="cellIs" dxfId="1848" priority="1552" operator="greaterThan">
      <formula>0</formula>
    </cfRule>
  </conditionalFormatting>
  <conditionalFormatting sqref="O56">
    <cfRule type="cellIs" dxfId="1847" priority="1545" operator="equal">
      <formula>"PMS"</formula>
    </cfRule>
    <cfRule type="containsText" dxfId="1846" priority="1546" operator="containsText" text="CMS">
      <formula>NOT(ISERROR(SEARCH("CMS",O56)))</formula>
    </cfRule>
    <cfRule type="cellIs" dxfId="1845" priority="1547" operator="equal">
      <formula>0</formula>
    </cfRule>
    <cfRule type="cellIs" dxfId="1844" priority="1548" operator="greaterThan">
      <formula>0</formula>
    </cfRule>
  </conditionalFormatting>
  <conditionalFormatting sqref="O56">
    <cfRule type="cellIs" dxfId="1843" priority="1541" operator="equal">
      <formula>"PMS"</formula>
    </cfRule>
    <cfRule type="containsText" dxfId="1842" priority="1542" operator="containsText" text="CMS">
      <formula>NOT(ISERROR(SEARCH("CMS",O56)))</formula>
    </cfRule>
    <cfRule type="cellIs" dxfId="1841" priority="1543" operator="equal">
      <formula>0</formula>
    </cfRule>
    <cfRule type="cellIs" dxfId="1840" priority="1544" operator="greaterThan">
      <formula>0</formula>
    </cfRule>
  </conditionalFormatting>
  <conditionalFormatting sqref="O56">
    <cfRule type="cellIs" dxfId="1839" priority="1537" operator="equal">
      <formula>"PMS"</formula>
    </cfRule>
    <cfRule type="containsText" dxfId="1838" priority="1538" operator="containsText" text="CMS">
      <formula>NOT(ISERROR(SEARCH("CMS",O56)))</formula>
    </cfRule>
    <cfRule type="cellIs" dxfId="1837" priority="1539" operator="equal">
      <formula>0</formula>
    </cfRule>
    <cfRule type="cellIs" dxfId="1836" priority="1540" operator="greaterThan">
      <formula>0</formula>
    </cfRule>
  </conditionalFormatting>
  <conditionalFormatting sqref="O56">
    <cfRule type="cellIs" dxfId="1835" priority="1533" operator="equal">
      <formula>"PMS"</formula>
    </cfRule>
    <cfRule type="containsText" dxfId="1834" priority="1534" operator="containsText" text="CMS">
      <formula>NOT(ISERROR(SEARCH("CMS",O56)))</formula>
    </cfRule>
    <cfRule type="cellIs" dxfId="1833" priority="1535" operator="equal">
      <formula>0</formula>
    </cfRule>
    <cfRule type="cellIs" dxfId="1832" priority="1536" operator="greaterThan">
      <formula>0</formula>
    </cfRule>
  </conditionalFormatting>
  <conditionalFormatting sqref="O56">
    <cfRule type="cellIs" dxfId="1831" priority="1529" operator="equal">
      <formula>"PMS"</formula>
    </cfRule>
    <cfRule type="containsText" dxfId="1830" priority="1530" operator="containsText" text="CMS">
      <formula>NOT(ISERROR(SEARCH("CMS",O56)))</formula>
    </cfRule>
    <cfRule type="cellIs" dxfId="1829" priority="1531" operator="equal">
      <formula>0</formula>
    </cfRule>
    <cfRule type="cellIs" dxfId="1828" priority="1532" operator="greaterThan">
      <formula>0</formula>
    </cfRule>
  </conditionalFormatting>
  <conditionalFormatting sqref="O56">
    <cfRule type="cellIs" dxfId="1827" priority="1525" operator="equal">
      <formula>"PMS"</formula>
    </cfRule>
    <cfRule type="containsText" dxfId="1826" priority="1526" operator="containsText" text="CMS">
      <formula>NOT(ISERROR(SEARCH("CMS",O56)))</formula>
    </cfRule>
    <cfRule type="cellIs" dxfId="1825" priority="1527" operator="equal">
      <formula>0</formula>
    </cfRule>
    <cfRule type="cellIs" dxfId="1824" priority="1528" operator="greaterThan">
      <formula>0</formula>
    </cfRule>
  </conditionalFormatting>
  <conditionalFormatting sqref="O56">
    <cfRule type="cellIs" dxfId="1823" priority="1521" operator="equal">
      <formula>"PMS"</formula>
    </cfRule>
    <cfRule type="containsText" dxfId="1822" priority="1522" operator="containsText" text="CMS">
      <formula>NOT(ISERROR(SEARCH("CMS",O56)))</formula>
    </cfRule>
    <cfRule type="cellIs" dxfId="1821" priority="1523" operator="equal">
      <formula>0</formula>
    </cfRule>
    <cfRule type="cellIs" dxfId="1820" priority="1524" operator="greaterThan">
      <formula>0</formula>
    </cfRule>
  </conditionalFormatting>
  <conditionalFormatting sqref="O56">
    <cfRule type="cellIs" dxfId="1819" priority="1517" operator="equal">
      <formula>"PMS"</formula>
    </cfRule>
    <cfRule type="containsText" dxfId="1818" priority="1518" operator="containsText" text="CMS">
      <formula>NOT(ISERROR(SEARCH("CMS",O56)))</formula>
    </cfRule>
    <cfRule type="cellIs" dxfId="1817" priority="1519" operator="equal">
      <formula>0</formula>
    </cfRule>
    <cfRule type="cellIs" dxfId="1816" priority="1520" operator="greaterThan">
      <formula>0</formula>
    </cfRule>
  </conditionalFormatting>
  <conditionalFormatting sqref="O56">
    <cfRule type="cellIs" dxfId="1815" priority="1513" operator="equal">
      <formula>"PMS"</formula>
    </cfRule>
    <cfRule type="containsText" dxfId="1814" priority="1514" operator="containsText" text="CMS">
      <formula>NOT(ISERROR(SEARCH("CMS",O56)))</formula>
    </cfRule>
    <cfRule type="cellIs" dxfId="1813" priority="1515" operator="equal">
      <formula>0</formula>
    </cfRule>
    <cfRule type="cellIs" dxfId="1812" priority="1516" operator="greaterThan">
      <formula>0</formula>
    </cfRule>
  </conditionalFormatting>
  <conditionalFormatting sqref="O56">
    <cfRule type="cellIs" dxfId="1811" priority="1509" operator="equal">
      <formula>"PMS"</formula>
    </cfRule>
    <cfRule type="containsText" dxfId="1810" priority="1510" operator="containsText" text="CMS">
      <formula>NOT(ISERROR(SEARCH("CMS",O56)))</formula>
    </cfRule>
    <cfRule type="cellIs" dxfId="1809" priority="1511" operator="equal">
      <formula>0</formula>
    </cfRule>
    <cfRule type="cellIs" dxfId="1808" priority="1512" operator="greaterThan">
      <formula>0</formula>
    </cfRule>
  </conditionalFormatting>
  <conditionalFormatting sqref="O56">
    <cfRule type="cellIs" dxfId="1807" priority="1505" operator="equal">
      <formula>"PMS"</formula>
    </cfRule>
    <cfRule type="containsText" dxfId="1806" priority="1506" operator="containsText" text="CMS">
      <formula>NOT(ISERROR(SEARCH("CMS",O56)))</formula>
    </cfRule>
    <cfRule type="cellIs" dxfId="1805" priority="1507" operator="equal">
      <formula>0</formula>
    </cfRule>
    <cfRule type="cellIs" dxfId="1804" priority="1508" operator="greaterThan">
      <formula>0</formula>
    </cfRule>
  </conditionalFormatting>
  <conditionalFormatting sqref="O56">
    <cfRule type="cellIs" dxfId="1803" priority="1501" operator="equal">
      <formula>"PMS"</formula>
    </cfRule>
    <cfRule type="containsText" dxfId="1802" priority="1502" operator="containsText" text="CMS">
      <formula>NOT(ISERROR(SEARCH("CMS",O56)))</formula>
    </cfRule>
    <cfRule type="cellIs" dxfId="1801" priority="1503" operator="equal">
      <formula>0</formula>
    </cfRule>
    <cfRule type="cellIs" dxfId="1800" priority="1504" operator="greaterThan">
      <formula>0</formula>
    </cfRule>
  </conditionalFormatting>
  <conditionalFormatting sqref="O56">
    <cfRule type="cellIs" dxfId="1799" priority="1497" operator="equal">
      <formula>"PMS"</formula>
    </cfRule>
    <cfRule type="containsText" dxfId="1798" priority="1498" operator="containsText" text="CMS">
      <formula>NOT(ISERROR(SEARCH("CMS",O56)))</formula>
    </cfRule>
    <cfRule type="cellIs" dxfId="1797" priority="1499" operator="equal">
      <formula>0</formula>
    </cfRule>
    <cfRule type="cellIs" dxfId="1796" priority="1500" operator="greaterThan">
      <formula>0</formula>
    </cfRule>
  </conditionalFormatting>
  <conditionalFormatting sqref="O56">
    <cfRule type="cellIs" dxfId="1795" priority="1493" operator="equal">
      <formula>"PMS"</formula>
    </cfRule>
    <cfRule type="containsText" dxfId="1794" priority="1494" operator="containsText" text="CMS">
      <formula>NOT(ISERROR(SEARCH("CMS",O56)))</formula>
    </cfRule>
    <cfRule type="cellIs" dxfId="1793" priority="1495" operator="equal">
      <formula>0</formula>
    </cfRule>
    <cfRule type="cellIs" dxfId="1792" priority="1496" operator="greaterThan">
      <formula>0</formula>
    </cfRule>
  </conditionalFormatting>
  <conditionalFormatting sqref="O56">
    <cfRule type="cellIs" dxfId="1791" priority="1489" operator="equal">
      <formula>"PMS"</formula>
    </cfRule>
    <cfRule type="containsText" dxfId="1790" priority="1490" operator="containsText" text="CMS">
      <formula>NOT(ISERROR(SEARCH("CMS",O56)))</formula>
    </cfRule>
    <cfRule type="cellIs" dxfId="1789" priority="1491" operator="equal">
      <formula>0</formula>
    </cfRule>
    <cfRule type="cellIs" dxfId="1788" priority="1492" operator="greaterThan">
      <formula>0</formula>
    </cfRule>
  </conditionalFormatting>
  <conditionalFormatting sqref="O56">
    <cfRule type="cellIs" dxfId="1787" priority="1485" operator="equal">
      <formula>"PMS"</formula>
    </cfRule>
    <cfRule type="containsText" dxfId="1786" priority="1486" operator="containsText" text="CMS">
      <formula>NOT(ISERROR(SEARCH("CMS",O56)))</formula>
    </cfRule>
    <cfRule type="cellIs" dxfId="1785" priority="1487" operator="equal">
      <formula>0</formula>
    </cfRule>
    <cfRule type="cellIs" dxfId="1784" priority="1488" operator="greaterThan">
      <formula>0</formula>
    </cfRule>
  </conditionalFormatting>
  <conditionalFormatting sqref="O56">
    <cfRule type="cellIs" dxfId="1783" priority="1481" operator="equal">
      <formula>"PMS"</formula>
    </cfRule>
    <cfRule type="containsText" dxfId="1782" priority="1482" operator="containsText" text="CMS">
      <formula>NOT(ISERROR(SEARCH("CMS",O56)))</formula>
    </cfRule>
    <cfRule type="cellIs" dxfId="1781" priority="1483" operator="equal">
      <formula>0</formula>
    </cfRule>
    <cfRule type="cellIs" dxfId="1780" priority="1484" operator="greaterThan">
      <formula>0</formula>
    </cfRule>
  </conditionalFormatting>
  <conditionalFormatting sqref="O56">
    <cfRule type="cellIs" dxfId="1779" priority="1477" operator="equal">
      <formula>"PMS"</formula>
    </cfRule>
    <cfRule type="containsText" dxfId="1778" priority="1478" operator="containsText" text="CMS">
      <formula>NOT(ISERROR(SEARCH("CMS",O56)))</formula>
    </cfRule>
    <cfRule type="cellIs" dxfId="1777" priority="1479" operator="equal">
      <formula>0</formula>
    </cfRule>
    <cfRule type="cellIs" dxfId="1776" priority="1480" operator="greaterThan">
      <formula>0</formula>
    </cfRule>
  </conditionalFormatting>
  <conditionalFormatting sqref="O56">
    <cfRule type="cellIs" dxfId="1775" priority="1473" operator="equal">
      <formula>"PMS"</formula>
    </cfRule>
    <cfRule type="containsText" dxfId="1774" priority="1474" operator="containsText" text="CMS">
      <formula>NOT(ISERROR(SEARCH("CMS",O56)))</formula>
    </cfRule>
    <cfRule type="cellIs" dxfId="1773" priority="1475" operator="equal">
      <formula>0</formula>
    </cfRule>
    <cfRule type="cellIs" dxfId="1772" priority="1476" operator="greaterThan">
      <formula>0</formula>
    </cfRule>
  </conditionalFormatting>
  <conditionalFormatting sqref="O56">
    <cfRule type="cellIs" dxfId="1771" priority="1469" operator="equal">
      <formula>"PMS"</formula>
    </cfRule>
    <cfRule type="containsText" dxfId="1770" priority="1470" operator="containsText" text="CMS">
      <formula>NOT(ISERROR(SEARCH("CMS",O56)))</formula>
    </cfRule>
    <cfRule type="cellIs" dxfId="1769" priority="1471" operator="equal">
      <formula>0</formula>
    </cfRule>
    <cfRule type="cellIs" dxfId="1768" priority="1472" operator="greaterThan">
      <formula>0</formula>
    </cfRule>
  </conditionalFormatting>
  <conditionalFormatting sqref="O56">
    <cfRule type="cellIs" dxfId="1767" priority="1465" operator="equal">
      <formula>"PMS"</formula>
    </cfRule>
    <cfRule type="containsText" dxfId="1766" priority="1466" operator="containsText" text="CMS">
      <formula>NOT(ISERROR(SEARCH("CMS",O56)))</formula>
    </cfRule>
    <cfRule type="cellIs" dxfId="1765" priority="1467" operator="equal">
      <formula>0</formula>
    </cfRule>
    <cfRule type="cellIs" dxfId="1764" priority="1468" operator="greaterThan">
      <formula>0</formula>
    </cfRule>
  </conditionalFormatting>
  <conditionalFormatting sqref="O56">
    <cfRule type="cellIs" dxfId="1763" priority="1461" operator="equal">
      <formula>"PMS"</formula>
    </cfRule>
    <cfRule type="containsText" dxfId="1762" priority="1462" operator="containsText" text="CMS">
      <formula>NOT(ISERROR(SEARCH("CMS",O56)))</formula>
    </cfRule>
    <cfRule type="cellIs" dxfId="1761" priority="1463" operator="equal">
      <formula>0</formula>
    </cfRule>
    <cfRule type="cellIs" dxfId="1760" priority="1464" operator="greaterThan">
      <formula>0</formula>
    </cfRule>
  </conditionalFormatting>
  <conditionalFormatting sqref="O56">
    <cfRule type="cellIs" dxfId="1759" priority="1457" operator="equal">
      <formula>"PMS"</formula>
    </cfRule>
    <cfRule type="containsText" dxfId="1758" priority="1458" operator="containsText" text="CMS">
      <formula>NOT(ISERROR(SEARCH("CMS",O56)))</formula>
    </cfRule>
    <cfRule type="cellIs" dxfId="1757" priority="1459" operator="equal">
      <formula>0</formula>
    </cfRule>
    <cfRule type="cellIs" dxfId="1756" priority="1460" operator="greaterThan">
      <formula>0</formula>
    </cfRule>
  </conditionalFormatting>
  <conditionalFormatting sqref="O56">
    <cfRule type="cellIs" dxfId="1755" priority="1453" operator="equal">
      <formula>"PMS"</formula>
    </cfRule>
    <cfRule type="containsText" dxfId="1754" priority="1454" operator="containsText" text="CMS">
      <formula>NOT(ISERROR(SEARCH("CMS",O56)))</formula>
    </cfRule>
    <cfRule type="cellIs" dxfId="1753" priority="1455" operator="equal">
      <formula>0</formula>
    </cfRule>
    <cfRule type="cellIs" dxfId="1752" priority="1456" operator="greaterThan">
      <formula>0</formula>
    </cfRule>
  </conditionalFormatting>
  <conditionalFormatting sqref="O56">
    <cfRule type="cellIs" dxfId="1751" priority="1449" operator="equal">
      <formula>"PMS"</formula>
    </cfRule>
    <cfRule type="containsText" dxfId="1750" priority="1450" operator="containsText" text="CMS">
      <formula>NOT(ISERROR(SEARCH("CMS",O56)))</formula>
    </cfRule>
    <cfRule type="cellIs" dxfId="1749" priority="1451" operator="equal">
      <formula>0</formula>
    </cfRule>
    <cfRule type="cellIs" dxfId="1748" priority="1452" operator="greaterThan">
      <formula>0</formula>
    </cfRule>
  </conditionalFormatting>
  <conditionalFormatting sqref="O56">
    <cfRule type="cellIs" dxfId="1747" priority="1445" operator="equal">
      <formula>"PMS"</formula>
    </cfRule>
    <cfRule type="containsText" dxfId="1746" priority="1446" operator="containsText" text="CMS">
      <formula>NOT(ISERROR(SEARCH("CMS",O56)))</formula>
    </cfRule>
    <cfRule type="cellIs" dxfId="1745" priority="1447" operator="equal">
      <formula>0</formula>
    </cfRule>
    <cfRule type="cellIs" dxfId="1744" priority="1448" operator="greaterThan">
      <formula>0</formula>
    </cfRule>
  </conditionalFormatting>
  <conditionalFormatting sqref="O56">
    <cfRule type="cellIs" dxfId="1743" priority="1441" operator="equal">
      <formula>"PMS"</formula>
    </cfRule>
    <cfRule type="containsText" dxfId="1742" priority="1442" operator="containsText" text="CMS">
      <formula>NOT(ISERROR(SEARCH("CMS",O56)))</formula>
    </cfRule>
    <cfRule type="cellIs" dxfId="1741" priority="1443" operator="equal">
      <formula>0</formula>
    </cfRule>
    <cfRule type="cellIs" dxfId="1740" priority="1444" operator="greaterThan">
      <formula>0</formula>
    </cfRule>
  </conditionalFormatting>
  <conditionalFormatting sqref="O56">
    <cfRule type="cellIs" dxfId="1739" priority="1437" operator="equal">
      <formula>"PMS"</formula>
    </cfRule>
    <cfRule type="containsText" dxfId="1738" priority="1438" operator="containsText" text="CMS">
      <formula>NOT(ISERROR(SEARCH("CMS",O56)))</formula>
    </cfRule>
    <cfRule type="cellIs" dxfId="1737" priority="1439" operator="equal">
      <formula>0</formula>
    </cfRule>
    <cfRule type="cellIs" dxfId="1736" priority="1440" operator="greaterThan">
      <formula>0</formula>
    </cfRule>
  </conditionalFormatting>
  <conditionalFormatting sqref="O56">
    <cfRule type="cellIs" dxfId="1735" priority="1433" operator="equal">
      <formula>"PMS"</formula>
    </cfRule>
    <cfRule type="containsText" dxfId="1734" priority="1434" operator="containsText" text="CMS">
      <formula>NOT(ISERROR(SEARCH("CMS",O56)))</formula>
    </cfRule>
    <cfRule type="cellIs" dxfId="1733" priority="1435" operator="equal">
      <formula>0</formula>
    </cfRule>
    <cfRule type="cellIs" dxfId="1732" priority="1436" operator="greaterThan">
      <formula>0</formula>
    </cfRule>
  </conditionalFormatting>
  <conditionalFormatting sqref="O56">
    <cfRule type="cellIs" dxfId="1731" priority="1429" operator="equal">
      <formula>"PMS"</formula>
    </cfRule>
    <cfRule type="containsText" dxfId="1730" priority="1430" operator="containsText" text="CMS">
      <formula>NOT(ISERROR(SEARCH("CMS",O56)))</formula>
    </cfRule>
    <cfRule type="cellIs" dxfId="1729" priority="1431" operator="equal">
      <formula>0</formula>
    </cfRule>
    <cfRule type="cellIs" dxfId="1728" priority="1432" operator="greaterThan">
      <formula>0</formula>
    </cfRule>
  </conditionalFormatting>
  <conditionalFormatting sqref="O56">
    <cfRule type="cellIs" dxfId="1727" priority="1425" operator="equal">
      <formula>"PMS"</formula>
    </cfRule>
    <cfRule type="containsText" dxfId="1726" priority="1426" operator="containsText" text="CMS">
      <formula>NOT(ISERROR(SEARCH("CMS",O56)))</formula>
    </cfRule>
    <cfRule type="cellIs" dxfId="1725" priority="1427" operator="equal">
      <formula>0</formula>
    </cfRule>
    <cfRule type="cellIs" dxfId="1724" priority="1428" operator="greaterThan">
      <formula>0</formula>
    </cfRule>
  </conditionalFormatting>
  <conditionalFormatting sqref="O56">
    <cfRule type="cellIs" dxfId="1723" priority="1421" operator="equal">
      <formula>"PMS"</formula>
    </cfRule>
    <cfRule type="containsText" dxfId="1722" priority="1422" operator="containsText" text="CMS">
      <formula>NOT(ISERROR(SEARCH("CMS",O56)))</formula>
    </cfRule>
    <cfRule type="cellIs" dxfId="1721" priority="1423" operator="equal">
      <formula>0</formula>
    </cfRule>
    <cfRule type="cellIs" dxfId="1720" priority="1424" operator="greaterThan">
      <formula>0</formula>
    </cfRule>
  </conditionalFormatting>
  <conditionalFormatting sqref="O56">
    <cfRule type="cellIs" dxfId="1719" priority="1417" operator="equal">
      <formula>"PMS"</formula>
    </cfRule>
    <cfRule type="containsText" dxfId="1718" priority="1418" operator="containsText" text="CMS">
      <formula>NOT(ISERROR(SEARCH("CMS",O56)))</formula>
    </cfRule>
    <cfRule type="cellIs" dxfId="1717" priority="1419" operator="equal">
      <formula>0</formula>
    </cfRule>
    <cfRule type="cellIs" dxfId="1716" priority="1420" operator="greaterThan">
      <formula>0</formula>
    </cfRule>
  </conditionalFormatting>
  <conditionalFormatting sqref="O56">
    <cfRule type="cellIs" dxfId="1715" priority="1413" operator="equal">
      <formula>"PMS"</formula>
    </cfRule>
    <cfRule type="containsText" dxfId="1714" priority="1414" operator="containsText" text="CMS">
      <formula>NOT(ISERROR(SEARCH("CMS",O56)))</formula>
    </cfRule>
    <cfRule type="cellIs" dxfId="1713" priority="1415" operator="equal">
      <formula>0</formula>
    </cfRule>
    <cfRule type="cellIs" dxfId="1712" priority="1416" operator="greaterThan">
      <formula>0</formula>
    </cfRule>
  </conditionalFormatting>
  <conditionalFormatting sqref="O56">
    <cfRule type="cellIs" dxfId="1711" priority="1409" operator="equal">
      <formula>"PMS"</formula>
    </cfRule>
    <cfRule type="containsText" dxfId="1710" priority="1410" operator="containsText" text="CMS">
      <formula>NOT(ISERROR(SEARCH("CMS",O56)))</formula>
    </cfRule>
    <cfRule type="cellIs" dxfId="1709" priority="1411" operator="equal">
      <formula>0</formula>
    </cfRule>
    <cfRule type="cellIs" dxfId="1708" priority="1412" operator="greaterThan">
      <formula>0</formula>
    </cfRule>
  </conditionalFormatting>
  <conditionalFormatting sqref="O56">
    <cfRule type="cellIs" dxfId="1707" priority="1405" operator="equal">
      <formula>"PMS"</formula>
    </cfRule>
    <cfRule type="containsText" dxfId="1706" priority="1406" operator="containsText" text="CMS">
      <formula>NOT(ISERROR(SEARCH("CMS",O56)))</formula>
    </cfRule>
    <cfRule type="cellIs" dxfId="1705" priority="1407" operator="equal">
      <formula>0</formula>
    </cfRule>
    <cfRule type="cellIs" dxfId="1704" priority="1408" operator="greaterThan">
      <formula>0</formula>
    </cfRule>
  </conditionalFormatting>
  <conditionalFormatting sqref="O56">
    <cfRule type="cellIs" dxfId="1703" priority="1401" operator="equal">
      <formula>"PMS"</formula>
    </cfRule>
    <cfRule type="containsText" dxfId="1702" priority="1402" operator="containsText" text="CMS">
      <formula>NOT(ISERROR(SEARCH("CMS",O56)))</formula>
    </cfRule>
    <cfRule type="cellIs" dxfId="1701" priority="1403" operator="equal">
      <formula>0</formula>
    </cfRule>
    <cfRule type="cellIs" dxfId="1700" priority="1404" operator="greaterThan">
      <formula>0</formula>
    </cfRule>
  </conditionalFormatting>
  <conditionalFormatting sqref="O56">
    <cfRule type="cellIs" dxfId="1699" priority="1397" operator="equal">
      <formula>"PMS"</formula>
    </cfRule>
    <cfRule type="containsText" dxfId="1698" priority="1398" operator="containsText" text="CMS">
      <formula>NOT(ISERROR(SEARCH("CMS",O56)))</formula>
    </cfRule>
    <cfRule type="cellIs" dxfId="1697" priority="1399" operator="equal">
      <formula>0</formula>
    </cfRule>
    <cfRule type="cellIs" dxfId="1696" priority="1400" operator="greaterThan">
      <formula>0</formula>
    </cfRule>
  </conditionalFormatting>
  <conditionalFormatting sqref="O56">
    <cfRule type="cellIs" dxfId="1695" priority="1393" operator="equal">
      <formula>"PMS"</formula>
    </cfRule>
    <cfRule type="containsText" dxfId="1694" priority="1394" operator="containsText" text="CMS">
      <formula>NOT(ISERROR(SEARCH("CMS",O56)))</formula>
    </cfRule>
    <cfRule type="cellIs" dxfId="1693" priority="1395" operator="equal">
      <formula>0</formula>
    </cfRule>
    <cfRule type="cellIs" dxfId="1692" priority="1396" operator="greaterThan">
      <formula>0</formula>
    </cfRule>
  </conditionalFormatting>
  <conditionalFormatting sqref="O56">
    <cfRule type="cellIs" dxfId="1691" priority="1389" operator="equal">
      <formula>"PMS"</formula>
    </cfRule>
    <cfRule type="containsText" dxfId="1690" priority="1390" operator="containsText" text="CMS">
      <formula>NOT(ISERROR(SEARCH("CMS",O56)))</formula>
    </cfRule>
    <cfRule type="cellIs" dxfId="1689" priority="1391" operator="equal">
      <formula>0</formula>
    </cfRule>
    <cfRule type="cellIs" dxfId="1688" priority="1392" operator="greaterThan">
      <formula>0</formula>
    </cfRule>
  </conditionalFormatting>
  <conditionalFormatting sqref="O56">
    <cfRule type="cellIs" dxfId="1687" priority="1385" operator="equal">
      <formula>"PMS"</formula>
    </cfRule>
    <cfRule type="containsText" dxfId="1686" priority="1386" operator="containsText" text="CMS">
      <formula>NOT(ISERROR(SEARCH("CMS",O56)))</formula>
    </cfRule>
    <cfRule type="cellIs" dxfId="1685" priority="1387" operator="equal">
      <formula>0</formula>
    </cfRule>
    <cfRule type="cellIs" dxfId="1684" priority="1388" operator="greaterThan">
      <formula>0</formula>
    </cfRule>
  </conditionalFormatting>
  <conditionalFormatting sqref="O56">
    <cfRule type="cellIs" dxfId="1683" priority="1381" operator="equal">
      <formula>"PMS"</formula>
    </cfRule>
    <cfRule type="containsText" dxfId="1682" priority="1382" operator="containsText" text="CMS">
      <formula>NOT(ISERROR(SEARCH("CMS",O56)))</formula>
    </cfRule>
    <cfRule type="cellIs" dxfId="1681" priority="1383" operator="equal">
      <formula>0</formula>
    </cfRule>
    <cfRule type="cellIs" dxfId="1680" priority="1384" operator="greaterThan">
      <formula>0</formula>
    </cfRule>
  </conditionalFormatting>
  <conditionalFormatting sqref="O56">
    <cfRule type="cellIs" dxfId="1679" priority="1377" operator="equal">
      <formula>"PMS"</formula>
    </cfRule>
    <cfRule type="containsText" dxfId="1678" priority="1378" operator="containsText" text="CMS">
      <formula>NOT(ISERROR(SEARCH("CMS",O56)))</formula>
    </cfRule>
    <cfRule type="cellIs" dxfId="1677" priority="1379" operator="equal">
      <formula>0</formula>
    </cfRule>
    <cfRule type="cellIs" dxfId="1676" priority="1380" operator="greaterThan">
      <formula>0</formula>
    </cfRule>
  </conditionalFormatting>
  <conditionalFormatting sqref="O56">
    <cfRule type="cellIs" dxfId="1675" priority="1373" operator="equal">
      <formula>"PMS"</formula>
    </cfRule>
    <cfRule type="containsText" dxfId="1674" priority="1374" operator="containsText" text="CMS">
      <formula>NOT(ISERROR(SEARCH("CMS",O56)))</formula>
    </cfRule>
    <cfRule type="cellIs" dxfId="1673" priority="1375" operator="equal">
      <formula>0</formula>
    </cfRule>
    <cfRule type="cellIs" dxfId="1672" priority="1376" operator="greaterThan">
      <formula>0</formula>
    </cfRule>
  </conditionalFormatting>
  <conditionalFormatting sqref="O56">
    <cfRule type="cellIs" dxfId="1671" priority="1369" operator="equal">
      <formula>"PMS"</formula>
    </cfRule>
    <cfRule type="containsText" dxfId="1670" priority="1370" operator="containsText" text="CMS">
      <formula>NOT(ISERROR(SEARCH("CMS",O56)))</formula>
    </cfRule>
    <cfRule type="cellIs" dxfId="1669" priority="1371" operator="equal">
      <formula>0</formula>
    </cfRule>
    <cfRule type="cellIs" dxfId="1668" priority="1372" operator="greaterThan">
      <formula>0</formula>
    </cfRule>
  </conditionalFormatting>
  <conditionalFormatting sqref="O56">
    <cfRule type="cellIs" dxfId="1667" priority="1365" operator="equal">
      <formula>"PMS"</formula>
    </cfRule>
    <cfRule type="containsText" dxfId="1666" priority="1366" operator="containsText" text="CMS">
      <formula>NOT(ISERROR(SEARCH("CMS",O56)))</formula>
    </cfRule>
    <cfRule type="cellIs" dxfId="1665" priority="1367" operator="equal">
      <formula>0</formula>
    </cfRule>
    <cfRule type="cellIs" dxfId="1664" priority="1368" operator="greaterThan">
      <formula>0</formula>
    </cfRule>
  </conditionalFormatting>
  <conditionalFormatting sqref="O56">
    <cfRule type="cellIs" dxfId="1663" priority="1361" operator="equal">
      <formula>"PMS"</formula>
    </cfRule>
    <cfRule type="containsText" dxfId="1662" priority="1362" operator="containsText" text="CMS">
      <formula>NOT(ISERROR(SEARCH("CMS",O56)))</formula>
    </cfRule>
    <cfRule type="cellIs" dxfId="1661" priority="1363" operator="equal">
      <formula>0</formula>
    </cfRule>
    <cfRule type="cellIs" dxfId="1660" priority="1364" operator="greaterThan">
      <formula>0</formula>
    </cfRule>
  </conditionalFormatting>
  <conditionalFormatting sqref="O56">
    <cfRule type="cellIs" dxfId="1659" priority="1357" operator="equal">
      <formula>"PMS"</formula>
    </cfRule>
    <cfRule type="containsText" dxfId="1658" priority="1358" operator="containsText" text="CMS">
      <formula>NOT(ISERROR(SEARCH("CMS",O56)))</formula>
    </cfRule>
    <cfRule type="cellIs" dxfId="1657" priority="1359" operator="equal">
      <formula>0</formula>
    </cfRule>
    <cfRule type="cellIs" dxfId="1656" priority="1360" operator="greaterThan">
      <formula>0</formula>
    </cfRule>
  </conditionalFormatting>
  <conditionalFormatting sqref="O56">
    <cfRule type="cellIs" dxfId="1655" priority="1353" operator="equal">
      <formula>"PMS"</formula>
    </cfRule>
    <cfRule type="containsText" dxfId="1654" priority="1354" operator="containsText" text="CMS">
      <formula>NOT(ISERROR(SEARCH("CMS",O56)))</formula>
    </cfRule>
    <cfRule type="cellIs" dxfId="1653" priority="1355" operator="equal">
      <formula>0</formula>
    </cfRule>
    <cfRule type="cellIs" dxfId="1652" priority="1356" operator="greaterThan">
      <formula>0</formula>
    </cfRule>
  </conditionalFormatting>
  <conditionalFormatting sqref="O56">
    <cfRule type="cellIs" dxfId="1651" priority="1349" operator="equal">
      <formula>"PMS"</formula>
    </cfRule>
    <cfRule type="containsText" dxfId="1650" priority="1350" operator="containsText" text="CMS">
      <formula>NOT(ISERROR(SEARCH("CMS",O56)))</formula>
    </cfRule>
    <cfRule type="cellIs" dxfId="1649" priority="1351" operator="equal">
      <formula>0</formula>
    </cfRule>
    <cfRule type="cellIs" dxfId="1648" priority="1352" operator="greaterThan">
      <formula>0</formula>
    </cfRule>
  </conditionalFormatting>
  <conditionalFormatting sqref="O56">
    <cfRule type="cellIs" dxfId="1647" priority="1345" operator="equal">
      <formula>"PMS"</formula>
    </cfRule>
    <cfRule type="containsText" dxfId="1646" priority="1346" operator="containsText" text="CMS">
      <formula>NOT(ISERROR(SEARCH("CMS",O56)))</formula>
    </cfRule>
    <cfRule type="cellIs" dxfId="1645" priority="1347" operator="equal">
      <formula>0</formula>
    </cfRule>
    <cfRule type="cellIs" dxfId="1644" priority="1348" operator="greaterThan">
      <formula>0</formula>
    </cfRule>
  </conditionalFormatting>
  <conditionalFormatting sqref="O56">
    <cfRule type="cellIs" dxfId="1643" priority="1341" operator="equal">
      <formula>"PMS"</formula>
    </cfRule>
    <cfRule type="containsText" dxfId="1642" priority="1342" operator="containsText" text="CMS">
      <formula>NOT(ISERROR(SEARCH("CMS",O56)))</formula>
    </cfRule>
    <cfRule type="cellIs" dxfId="1641" priority="1343" operator="equal">
      <formula>0</formula>
    </cfRule>
    <cfRule type="cellIs" dxfId="1640" priority="1344" operator="greaterThan">
      <formula>0</formula>
    </cfRule>
  </conditionalFormatting>
  <conditionalFormatting sqref="O56">
    <cfRule type="cellIs" dxfId="1639" priority="1337" operator="equal">
      <formula>"PMS"</formula>
    </cfRule>
    <cfRule type="containsText" dxfId="1638" priority="1338" operator="containsText" text="CMS">
      <formula>NOT(ISERROR(SEARCH("CMS",O56)))</formula>
    </cfRule>
    <cfRule type="cellIs" dxfId="1637" priority="1339" operator="equal">
      <formula>0</formula>
    </cfRule>
    <cfRule type="cellIs" dxfId="1636" priority="1340" operator="greaterThan">
      <formula>0</formula>
    </cfRule>
  </conditionalFormatting>
  <conditionalFormatting sqref="O56">
    <cfRule type="cellIs" dxfId="1635" priority="1333" operator="equal">
      <formula>"PMS"</formula>
    </cfRule>
    <cfRule type="containsText" dxfId="1634" priority="1334" operator="containsText" text="CMS">
      <formula>NOT(ISERROR(SEARCH("CMS",O56)))</formula>
    </cfRule>
    <cfRule type="cellIs" dxfId="1633" priority="1335" operator="equal">
      <formula>0</formula>
    </cfRule>
    <cfRule type="cellIs" dxfId="1632" priority="1336" operator="greaterThan">
      <formula>0</formula>
    </cfRule>
  </conditionalFormatting>
  <conditionalFormatting sqref="O56">
    <cfRule type="cellIs" dxfId="1631" priority="1329" operator="equal">
      <formula>"PMS"</formula>
    </cfRule>
    <cfRule type="containsText" dxfId="1630" priority="1330" operator="containsText" text="CMS">
      <formula>NOT(ISERROR(SEARCH("CMS",O56)))</formula>
    </cfRule>
    <cfRule type="cellIs" dxfId="1629" priority="1331" operator="equal">
      <formula>0</formula>
    </cfRule>
    <cfRule type="cellIs" dxfId="1628" priority="1332" operator="greaterThan">
      <formula>0</formula>
    </cfRule>
  </conditionalFormatting>
  <conditionalFormatting sqref="O56">
    <cfRule type="cellIs" dxfId="1627" priority="1325" operator="equal">
      <formula>"PMS"</formula>
    </cfRule>
    <cfRule type="containsText" dxfId="1626" priority="1326" operator="containsText" text="CMS">
      <formula>NOT(ISERROR(SEARCH("CMS",O56)))</formula>
    </cfRule>
    <cfRule type="cellIs" dxfId="1625" priority="1327" operator="equal">
      <formula>0</formula>
    </cfRule>
    <cfRule type="cellIs" dxfId="1624" priority="1328" operator="greaterThan">
      <formula>0</formula>
    </cfRule>
  </conditionalFormatting>
  <conditionalFormatting sqref="O56">
    <cfRule type="cellIs" dxfId="1623" priority="1321" operator="equal">
      <formula>"PMS"</formula>
    </cfRule>
    <cfRule type="containsText" dxfId="1622" priority="1322" operator="containsText" text="CMS">
      <formula>NOT(ISERROR(SEARCH("CMS",O56)))</formula>
    </cfRule>
    <cfRule type="cellIs" dxfId="1621" priority="1323" operator="equal">
      <formula>0</formula>
    </cfRule>
    <cfRule type="cellIs" dxfId="1620" priority="1324" operator="greaterThan">
      <formula>0</formula>
    </cfRule>
  </conditionalFormatting>
  <conditionalFormatting sqref="O56">
    <cfRule type="cellIs" dxfId="1619" priority="1317" operator="equal">
      <formula>"PMS"</formula>
    </cfRule>
    <cfRule type="containsText" dxfId="1618" priority="1318" operator="containsText" text="CMS">
      <formula>NOT(ISERROR(SEARCH("CMS",O56)))</formula>
    </cfRule>
    <cfRule type="cellIs" dxfId="1617" priority="1319" operator="equal">
      <formula>0</formula>
    </cfRule>
    <cfRule type="cellIs" dxfId="1616" priority="1320" operator="greaterThan">
      <formula>0</formula>
    </cfRule>
  </conditionalFormatting>
  <conditionalFormatting sqref="O56">
    <cfRule type="cellIs" dxfId="1615" priority="1313" operator="equal">
      <formula>"PMS"</formula>
    </cfRule>
    <cfRule type="containsText" dxfId="1614" priority="1314" operator="containsText" text="CMS">
      <formula>NOT(ISERROR(SEARCH("CMS",O56)))</formula>
    </cfRule>
    <cfRule type="cellIs" dxfId="1613" priority="1315" operator="equal">
      <formula>0</formula>
    </cfRule>
    <cfRule type="cellIs" dxfId="1612" priority="1316" operator="greaterThan">
      <formula>0</formula>
    </cfRule>
  </conditionalFormatting>
  <conditionalFormatting sqref="O56">
    <cfRule type="cellIs" dxfId="1611" priority="1309" operator="equal">
      <formula>"PMS"</formula>
    </cfRule>
    <cfRule type="containsText" dxfId="1610" priority="1310" operator="containsText" text="CMS">
      <formula>NOT(ISERROR(SEARCH("CMS",O56)))</formula>
    </cfRule>
    <cfRule type="cellIs" dxfId="1609" priority="1311" operator="equal">
      <formula>0</formula>
    </cfRule>
    <cfRule type="cellIs" dxfId="1608" priority="1312" operator="greaterThan">
      <formula>0</formula>
    </cfRule>
  </conditionalFormatting>
  <conditionalFormatting sqref="O56">
    <cfRule type="cellIs" dxfId="1607" priority="1305" operator="equal">
      <formula>"PMS"</formula>
    </cfRule>
    <cfRule type="containsText" dxfId="1606" priority="1306" operator="containsText" text="CMS">
      <formula>NOT(ISERROR(SEARCH("CMS",O56)))</formula>
    </cfRule>
    <cfRule type="cellIs" dxfId="1605" priority="1307" operator="equal">
      <formula>0</formula>
    </cfRule>
    <cfRule type="cellIs" dxfId="1604" priority="1308" operator="greaterThan">
      <formula>0</formula>
    </cfRule>
  </conditionalFormatting>
  <conditionalFormatting sqref="O56">
    <cfRule type="cellIs" dxfId="1603" priority="1301" operator="equal">
      <formula>"PMS"</formula>
    </cfRule>
    <cfRule type="containsText" dxfId="1602" priority="1302" operator="containsText" text="CMS">
      <formula>NOT(ISERROR(SEARCH("CMS",O56)))</formula>
    </cfRule>
    <cfRule type="cellIs" dxfId="1601" priority="1303" operator="equal">
      <formula>0</formula>
    </cfRule>
    <cfRule type="cellIs" dxfId="1600" priority="1304" operator="greaterThan">
      <formula>0</formula>
    </cfRule>
  </conditionalFormatting>
  <conditionalFormatting sqref="O56">
    <cfRule type="cellIs" dxfId="1599" priority="1297" operator="equal">
      <formula>"PMS"</formula>
    </cfRule>
    <cfRule type="containsText" dxfId="1598" priority="1298" operator="containsText" text="CMS">
      <formula>NOT(ISERROR(SEARCH("CMS",O56)))</formula>
    </cfRule>
    <cfRule type="cellIs" dxfId="1597" priority="1299" operator="equal">
      <formula>0</formula>
    </cfRule>
    <cfRule type="cellIs" dxfId="1596" priority="1300" operator="greaterThan">
      <formula>0</formula>
    </cfRule>
  </conditionalFormatting>
  <conditionalFormatting sqref="O56">
    <cfRule type="cellIs" dxfId="1595" priority="1293" operator="equal">
      <formula>"PMS"</formula>
    </cfRule>
    <cfRule type="containsText" dxfId="1594" priority="1294" operator="containsText" text="CMS">
      <formula>NOT(ISERROR(SEARCH("CMS",O56)))</formula>
    </cfRule>
    <cfRule type="cellIs" dxfId="1593" priority="1295" operator="equal">
      <formula>0</formula>
    </cfRule>
    <cfRule type="cellIs" dxfId="1592" priority="1296" operator="greaterThan">
      <formula>0</formula>
    </cfRule>
  </conditionalFormatting>
  <conditionalFormatting sqref="O56">
    <cfRule type="cellIs" dxfId="1591" priority="1289" operator="equal">
      <formula>"PMS"</formula>
    </cfRule>
    <cfRule type="containsText" dxfId="1590" priority="1290" operator="containsText" text="CMS">
      <formula>NOT(ISERROR(SEARCH("CMS",O56)))</formula>
    </cfRule>
    <cfRule type="cellIs" dxfId="1589" priority="1291" operator="equal">
      <formula>0</formula>
    </cfRule>
    <cfRule type="cellIs" dxfId="1588" priority="1292" operator="greaterThan">
      <formula>0</formula>
    </cfRule>
  </conditionalFormatting>
  <conditionalFormatting sqref="O56">
    <cfRule type="cellIs" dxfId="1587" priority="1285" operator="equal">
      <formula>"PMS"</formula>
    </cfRule>
    <cfRule type="containsText" dxfId="1586" priority="1286" operator="containsText" text="CMS">
      <formula>NOT(ISERROR(SEARCH("CMS",O56)))</formula>
    </cfRule>
    <cfRule type="cellIs" dxfId="1585" priority="1287" operator="equal">
      <formula>0</formula>
    </cfRule>
    <cfRule type="cellIs" dxfId="1584" priority="1288" operator="greaterThan">
      <formula>0</formula>
    </cfRule>
  </conditionalFormatting>
  <conditionalFormatting sqref="O56">
    <cfRule type="cellIs" dxfId="1583" priority="1281" operator="equal">
      <formula>"PMS"</formula>
    </cfRule>
    <cfRule type="containsText" dxfId="1582" priority="1282" operator="containsText" text="CMS">
      <formula>NOT(ISERROR(SEARCH("CMS",O56)))</formula>
    </cfRule>
    <cfRule type="cellIs" dxfId="1581" priority="1283" operator="equal">
      <formula>0</formula>
    </cfRule>
    <cfRule type="cellIs" dxfId="1580" priority="1284" operator="greaterThan">
      <formula>0</formula>
    </cfRule>
  </conditionalFormatting>
  <conditionalFormatting sqref="O56">
    <cfRule type="cellIs" dxfId="1579" priority="1277" operator="equal">
      <formula>"PMS"</formula>
    </cfRule>
    <cfRule type="containsText" dxfId="1578" priority="1278" operator="containsText" text="CMS">
      <formula>NOT(ISERROR(SEARCH("CMS",O56)))</formula>
    </cfRule>
    <cfRule type="cellIs" dxfId="1577" priority="1279" operator="equal">
      <formula>0</formula>
    </cfRule>
    <cfRule type="cellIs" dxfId="1576" priority="1280" operator="greaterThan">
      <formula>0</formula>
    </cfRule>
  </conditionalFormatting>
  <conditionalFormatting sqref="O56">
    <cfRule type="cellIs" dxfId="1575" priority="1273" operator="equal">
      <formula>"PMS"</formula>
    </cfRule>
    <cfRule type="containsText" dxfId="1574" priority="1274" operator="containsText" text="CMS">
      <formula>NOT(ISERROR(SEARCH("CMS",O56)))</formula>
    </cfRule>
    <cfRule type="cellIs" dxfId="1573" priority="1275" operator="equal">
      <formula>0</formula>
    </cfRule>
    <cfRule type="cellIs" dxfId="1572" priority="1276" operator="greaterThan">
      <formula>0</formula>
    </cfRule>
  </conditionalFormatting>
  <conditionalFormatting sqref="O56">
    <cfRule type="cellIs" dxfId="1571" priority="1269" operator="equal">
      <formula>"PMS"</formula>
    </cfRule>
    <cfRule type="containsText" dxfId="1570" priority="1270" operator="containsText" text="CMS">
      <formula>NOT(ISERROR(SEARCH("CMS",O56)))</formula>
    </cfRule>
    <cfRule type="cellIs" dxfId="1569" priority="1271" operator="equal">
      <formula>0</formula>
    </cfRule>
    <cfRule type="cellIs" dxfId="1568" priority="1272" operator="greaterThan">
      <formula>0</formula>
    </cfRule>
  </conditionalFormatting>
  <conditionalFormatting sqref="O56">
    <cfRule type="cellIs" dxfId="1567" priority="1265" operator="equal">
      <formula>"PMS"</formula>
    </cfRule>
    <cfRule type="containsText" dxfId="1566" priority="1266" operator="containsText" text="CMS">
      <formula>NOT(ISERROR(SEARCH("CMS",O56)))</formula>
    </cfRule>
    <cfRule type="cellIs" dxfId="1565" priority="1267" operator="equal">
      <formula>0</formula>
    </cfRule>
    <cfRule type="cellIs" dxfId="1564" priority="1268" operator="greaterThan">
      <formula>0</formula>
    </cfRule>
  </conditionalFormatting>
  <conditionalFormatting sqref="O56">
    <cfRule type="cellIs" dxfId="1563" priority="1261" operator="equal">
      <formula>"PMS"</formula>
    </cfRule>
    <cfRule type="containsText" dxfId="1562" priority="1262" operator="containsText" text="CMS">
      <formula>NOT(ISERROR(SEARCH("CMS",O56)))</formula>
    </cfRule>
    <cfRule type="cellIs" dxfId="1561" priority="1263" operator="equal">
      <formula>0</formula>
    </cfRule>
    <cfRule type="cellIs" dxfId="1560" priority="1264" operator="greaterThan">
      <formula>0</formula>
    </cfRule>
  </conditionalFormatting>
  <conditionalFormatting sqref="O56">
    <cfRule type="cellIs" dxfId="1559" priority="1257" operator="equal">
      <formula>"PMS"</formula>
    </cfRule>
    <cfRule type="containsText" dxfId="1558" priority="1258" operator="containsText" text="CMS">
      <formula>NOT(ISERROR(SEARCH("CMS",O56)))</formula>
    </cfRule>
    <cfRule type="cellIs" dxfId="1557" priority="1259" operator="equal">
      <formula>0</formula>
    </cfRule>
    <cfRule type="cellIs" dxfId="1556" priority="1260" operator="greaterThan">
      <formula>0</formula>
    </cfRule>
  </conditionalFormatting>
  <conditionalFormatting sqref="O56">
    <cfRule type="cellIs" dxfId="1555" priority="1253" operator="equal">
      <formula>"PMS"</formula>
    </cfRule>
    <cfRule type="containsText" dxfId="1554" priority="1254" operator="containsText" text="CMS">
      <formula>NOT(ISERROR(SEARCH("CMS",O56)))</formula>
    </cfRule>
    <cfRule type="cellIs" dxfId="1553" priority="1255" operator="equal">
      <formula>0</formula>
    </cfRule>
    <cfRule type="cellIs" dxfId="1552" priority="1256" operator="greaterThan">
      <formula>0</formula>
    </cfRule>
  </conditionalFormatting>
  <conditionalFormatting sqref="O56">
    <cfRule type="cellIs" dxfId="1551" priority="1249" operator="equal">
      <formula>"PMS"</formula>
    </cfRule>
    <cfRule type="containsText" dxfId="1550" priority="1250" operator="containsText" text="CMS">
      <formula>NOT(ISERROR(SEARCH("CMS",O56)))</formula>
    </cfRule>
    <cfRule type="cellIs" dxfId="1549" priority="1251" operator="equal">
      <formula>0</formula>
    </cfRule>
    <cfRule type="cellIs" dxfId="1548" priority="1252" operator="greaterThan">
      <formula>0</formula>
    </cfRule>
  </conditionalFormatting>
  <conditionalFormatting sqref="O56">
    <cfRule type="cellIs" dxfId="1547" priority="1245" operator="equal">
      <formula>"PMS"</formula>
    </cfRule>
    <cfRule type="containsText" dxfId="1546" priority="1246" operator="containsText" text="CMS">
      <formula>NOT(ISERROR(SEARCH("CMS",O56)))</formula>
    </cfRule>
    <cfRule type="cellIs" dxfId="1545" priority="1247" operator="equal">
      <formula>0</formula>
    </cfRule>
    <cfRule type="cellIs" dxfId="1544" priority="1248" operator="greaterThan">
      <formula>0</formula>
    </cfRule>
  </conditionalFormatting>
  <conditionalFormatting sqref="O56">
    <cfRule type="cellIs" dxfId="1543" priority="1241" operator="equal">
      <formula>"PMS"</formula>
    </cfRule>
    <cfRule type="containsText" dxfId="1542" priority="1242" operator="containsText" text="CMS">
      <formula>NOT(ISERROR(SEARCH("CMS",O56)))</formula>
    </cfRule>
    <cfRule type="cellIs" dxfId="1541" priority="1243" operator="equal">
      <formula>0</formula>
    </cfRule>
    <cfRule type="cellIs" dxfId="1540" priority="1244" operator="greaterThan">
      <formula>0</formula>
    </cfRule>
  </conditionalFormatting>
  <conditionalFormatting sqref="O56">
    <cfRule type="cellIs" dxfId="1539" priority="1237" operator="equal">
      <formula>"PMS"</formula>
    </cfRule>
    <cfRule type="containsText" dxfId="1538" priority="1238" operator="containsText" text="CMS">
      <formula>NOT(ISERROR(SEARCH("CMS",O56)))</formula>
    </cfRule>
    <cfRule type="cellIs" dxfId="1537" priority="1239" operator="equal">
      <formula>0</formula>
    </cfRule>
    <cfRule type="cellIs" dxfId="1536" priority="1240" operator="greaterThan">
      <formula>0</formula>
    </cfRule>
  </conditionalFormatting>
  <conditionalFormatting sqref="O56">
    <cfRule type="cellIs" dxfId="1535" priority="1233" operator="equal">
      <formula>"PMS"</formula>
    </cfRule>
    <cfRule type="containsText" dxfId="1534" priority="1234" operator="containsText" text="CMS">
      <formula>NOT(ISERROR(SEARCH("CMS",O56)))</formula>
    </cfRule>
    <cfRule type="cellIs" dxfId="1533" priority="1235" operator="equal">
      <formula>0</formula>
    </cfRule>
    <cfRule type="cellIs" dxfId="1532" priority="1236" operator="greaterThan">
      <formula>0</formula>
    </cfRule>
  </conditionalFormatting>
  <conditionalFormatting sqref="O56">
    <cfRule type="cellIs" dxfId="1531" priority="1229" operator="equal">
      <formula>"PMS"</formula>
    </cfRule>
    <cfRule type="containsText" dxfId="1530" priority="1230" operator="containsText" text="CMS">
      <formula>NOT(ISERROR(SEARCH("CMS",O56)))</formula>
    </cfRule>
    <cfRule type="cellIs" dxfId="1529" priority="1231" operator="equal">
      <formula>0</formula>
    </cfRule>
    <cfRule type="cellIs" dxfId="1528" priority="1232" operator="greaterThan">
      <formula>0</formula>
    </cfRule>
  </conditionalFormatting>
  <conditionalFormatting sqref="O56">
    <cfRule type="cellIs" dxfId="1527" priority="1225" operator="equal">
      <formula>"PMS"</formula>
    </cfRule>
    <cfRule type="containsText" dxfId="1526" priority="1226" operator="containsText" text="CMS">
      <formula>NOT(ISERROR(SEARCH("CMS",O56)))</formula>
    </cfRule>
    <cfRule type="cellIs" dxfId="1525" priority="1227" operator="equal">
      <formula>0</formula>
    </cfRule>
    <cfRule type="cellIs" dxfId="1524" priority="1228" operator="greaterThan">
      <formula>0</formula>
    </cfRule>
  </conditionalFormatting>
  <conditionalFormatting sqref="O56">
    <cfRule type="cellIs" dxfId="1523" priority="1221" operator="equal">
      <formula>"PMS"</formula>
    </cfRule>
    <cfRule type="containsText" dxfId="1522" priority="1222" operator="containsText" text="CMS">
      <formula>NOT(ISERROR(SEARCH("CMS",O56)))</formula>
    </cfRule>
    <cfRule type="cellIs" dxfId="1521" priority="1223" operator="equal">
      <formula>0</formula>
    </cfRule>
    <cfRule type="cellIs" dxfId="1520" priority="1224" operator="greaterThan">
      <formula>0</formula>
    </cfRule>
  </conditionalFormatting>
  <conditionalFormatting sqref="O56">
    <cfRule type="cellIs" dxfId="1519" priority="1217" operator="equal">
      <formula>"PMS"</formula>
    </cfRule>
    <cfRule type="containsText" dxfId="1518" priority="1218" operator="containsText" text="CMS">
      <formula>NOT(ISERROR(SEARCH("CMS",O56)))</formula>
    </cfRule>
    <cfRule type="cellIs" dxfId="1517" priority="1219" operator="equal">
      <formula>0</formula>
    </cfRule>
    <cfRule type="cellIs" dxfId="1516" priority="1220" operator="greaterThan">
      <formula>0</formula>
    </cfRule>
  </conditionalFormatting>
  <conditionalFormatting sqref="O56">
    <cfRule type="cellIs" dxfId="1515" priority="1213" operator="equal">
      <formula>"PMS"</formula>
    </cfRule>
    <cfRule type="containsText" dxfId="1514" priority="1214" operator="containsText" text="CMS">
      <formula>NOT(ISERROR(SEARCH("CMS",O56)))</formula>
    </cfRule>
    <cfRule type="cellIs" dxfId="1513" priority="1215" operator="equal">
      <formula>0</formula>
    </cfRule>
    <cfRule type="cellIs" dxfId="1512" priority="1216" operator="greaterThan">
      <formula>0</formula>
    </cfRule>
  </conditionalFormatting>
  <conditionalFormatting sqref="O56">
    <cfRule type="cellIs" dxfId="1511" priority="1209" operator="equal">
      <formula>"PMS"</formula>
    </cfRule>
    <cfRule type="containsText" dxfId="1510" priority="1210" operator="containsText" text="CMS">
      <formula>NOT(ISERROR(SEARCH("CMS",O56)))</formula>
    </cfRule>
    <cfRule type="cellIs" dxfId="1509" priority="1211" operator="equal">
      <formula>0</formula>
    </cfRule>
    <cfRule type="cellIs" dxfId="1508" priority="1212" operator="greaterThan">
      <formula>0</formula>
    </cfRule>
  </conditionalFormatting>
  <conditionalFormatting sqref="O56">
    <cfRule type="cellIs" dxfId="1507" priority="1205" operator="equal">
      <formula>"PMS"</formula>
    </cfRule>
    <cfRule type="containsText" dxfId="1506" priority="1206" operator="containsText" text="CMS">
      <formula>NOT(ISERROR(SEARCH("CMS",O56)))</formula>
    </cfRule>
    <cfRule type="cellIs" dxfId="1505" priority="1207" operator="equal">
      <formula>0</formula>
    </cfRule>
    <cfRule type="cellIs" dxfId="1504" priority="1208" operator="greaterThan">
      <formula>0</formula>
    </cfRule>
  </conditionalFormatting>
  <conditionalFormatting sqref="O56">
    <cfRule type="cellIs" dxfId="1503" priority="1201" operator="equal">
      <formula>"PMS"</formula>
    </cfRule>
    <cfRule type="containsText" dxfId="1502" priority="1202" operator="containsText" text="CMS">
      <formula>NOT(ISERROR(SEARCH("CMS",O56)))</formula>
    </cfRule>
    <cfRule type="cellIs" dxfId="1501" priority="1203" operator="equal">
      <formula>0</formula>
    </cfRule>
    <cfRule type="cellIs" dxfId="1500" priority="1204" operator="greaterThan">
      <formula>0</formula>
    </cfRule>
  </conditionalFormatting>
  <conditionalFormatting sqref="O56">
    <cfRule type="cellIs" dxfId="1499" priority="1197" operator="equal">
      <formula>"PMS"</formula>
    </cfRule>
    <cfRule type="containsText" dxfId="1498" priority="1198" operator="containsText" text="CMS">
      <formula>NOT(ISERROR(SEARCH("CMS",O56)))</formula>
    </cfRule>
    <cfRule type="cellIs" dxfId="1497" priority="1199" operator="equal">
      <formula>0</formula>
    </cfRule>
    <cfRule type="cellIs" dxfId="1496" priority="1200" operator="greaterThan">
      <formula>0</formula>
    </cfRule>
  </conditionalFormatting>
  <conditionalFormatting sqref="O56">
    <cfRule type="cellIs" dxfId="1495" priority="1193" operator="equal">
      <formula>"PMS"</formula>
    </cfRule>
    <cfRule type="containsText" dxfId="1494" priority="1194" operator="containsText" text="CMS">
      <formula>NOT(ISERROR(SEARCH("CMS",O56)))</formula>
    </cfRule>
    <cfRule type="cellIs" dxfId="1493" priority="1195" operator="equal">
      <formula>0</formula>
    </cfRule>
    <cfRule type="cellIs" dxfId="1492" priority="1196" operator="greaterThan">
      <formula>0</formula>
    </cfRule>
  </conditionalFormatting>
  <conditionalFormatting sqref="O56">
    <cfRule type="cellIs" dxfId="1491" priority="1189" operator="equal">
      <formula>"PMS"</formula>
    </cfRule>
    <cfRule type="containsText" dxfId="1490" priority="1190" operator="containsText" text="CMS">
      <formula>NOT(ISERROR(SEARCH("CMS",O56)))</formula>
    </cfRule>
    <cfRule type="cellIs" dxfId="1489" priority="1191" operator="equal">
      <formula>0</formula>
    </cfRule>
    <cfRule type="cellIs" dxfId="1488" priority="1192" operator="greaterThan">
      <formula>0</formula>
    </cfRule>
  </conditionalFormatting>
  <conditionalFormatting sqref="O56">
    <cfRule type="cellIs" dxfId="1487" priority="1185" operator="equal">
      <formula>"PMS"</formula>
    </cfRule>
    <cfRule type="containsText" dxfId="1486" priority="1186" operator="containsText" text="CMS">
      <formula>NOT(ISERROR(SEARCH("CMS",O56)))</formula>
    </cfRule>
    <cfRule type="cellIs" dxfId="1485" priority="1187" operator="equal">
      <formula>0</formula>
    </cfRule>
    <cfRule type="cellIs" dxfId="1484" priority="1188" operator="greaterThan">
      <formula>0</formula>
    </cfRule>
  </conditionalFormatting>
  <conditionalFormatting sqref="O56">
    <cfRule type="cellIs" dxfId="1483" priority="1181" operator="equal">
      <formula>"PMS"</formula>
    </cfRule>
    <cfRule type="containsText" dxfId="1482" priority="1182" operator="containsText" text="CMS">
      <formula>NOT(ISERROR(SEARCH("CMS",O56)))</formula>
    </cfRule>
    <cfRule type="cellIs" dxfId="1481" priority="1183" operator="equal">
      <formula>0</formula>
    </cfRule>
    <cfRule type="cellIs" dxfId="1480" priority="1184" operator="greaterThan">
      <formula>0</formula>
    </cfRule>
  </conditionalFormatting>
  <conditionalFormatting sqref="O56">
    <cfRule type="cellIs" dxfId="1479" priority="1177" operator="equal">
      <formula>"PMS"</formula>
    </cfRule>
    <cfRule type="containsText" dxfId="1478" priority="1178" operator="containsText" text="CMS">
      <formula>NOT(ISERROR(SEARCH("CMS",O56)))</formula>
    </cfRule>
    <cfRule type="cellIs" dxfId="1477" priority="1179" operator="equal">
      <formula>0</formula>
    </cfRule>
    <cfRule type="cellIs" dxfId="1476" priority="1180" operator="greaterThan">
      <formula>0</formula>
    </cfRule>
  </conditionalFormatting>
  <conditionalFormatting sqref="O56">
    <cfRule type="cellIs" dxfId="1475" priority="1173" operator="equal">
      <formula>"PMS"</formula>
    </cfRule>
    <cfRule type="containsText" dxfId="1474" priority="1174" operator="containsText" text="CMS">
      <formula>NOT(ISERROR(SEARCH("CMS",O56)))</formula>
    </cfRule>
    <cfRule type="cellIs" dxfId="1473" priority="1175" operator="equal">
      <formula>0</formula>
    </cfRule>
    <cfRule type="cellIs" dxfId="1472" priority="1176" operator="greaterThan">
      <formula>0</formula>
    </cfRule>
  </conditionalFormatting>
  <conditionalFormatting sqref="O56">
    <cfRule type="cellIs" dxfId="1471" priority="1169" operator="equal">
      <formula>"PMS"</formula>
    </cfRule>
    <cfRule type="containsText" dxfId="1470" priority="1170" operator="containsText" text="CMS">
      <formula>NOT(ISERROR(SEARCH("CMS",O56)))</formula>
    </cfRule>
    <cfRule type="cellIs" dxfId="1469" priority="1171" operator="equal">
      <formula>0</formula>
    </cfRule>
    <cfRule type="cellIs" dxfId="1468" priority="1172" operator="greaterThan">
      <formula>0</formula>
    </cfRule>
  </conditionalFormatting>
  <conditionalFormatting sqref="O56">
    <cfRule type="cellIs" dxfId="1467" priority="1165" operator="equal">
      <formula>"PMS"</formula>
    </cfRule>
    <cfRule type="containsText" dxfId="1466" priority="1166" operator="containsText" text="CMS">
      <formula>NOT(ISERROR(SEARCH("CMS",O56)))</formula>
    </cfRule>
    <cfRule type="cellIs" dxfId="1465" priority="1167" operator="equal">
      <formula>0</formula>
    </cfRule>
    <cfRule type="cellIs" dxfId="1464" priority="1168" operator="greaterThan">
      <formula>0</formula>
    </cfRule>
  </conditionalFormatting>
  <conditionalFormatting sqref="O56">
    <cfRule type="cellIs" dxfId="1463" priority="1161" operator="equal">
      <formula>"PMS"</formula>
    </cfRule>
    <cfRule type="containsText" dxfId="1462" priority="1162" operator="containsText" text="CMS">
      <formula>NOT(ISERROR(SEARCH("CMS",O56)))</formula>
    </cfRule>
    <cfRule type="cellIs" dxfId="1461" priority="1163" operator="equal">
      <formula>0</formula>
    </cfRule>
    <cfRule type="cellIs" dxfId="1460" priority="1164" operator="greaterThan">
      <formula>0</formula>
    </cfRule>
  </conditionalFormatting>
  <conditionalFormatting sqref="O56">
    <cfRule type="cellIs" dxfId="1459" priority="1157" operator="equal">
      <formula>"PMS"</formula>
    </cfRule>
    <cfRule type="containsText" dxfId="1458" priority="1158" operator="containsText" text="CMS">
      <formula>NOT(ISERROR(SEARCH("CMS",O56)))</formula>
    </cfRule>
    <cfRule type="cellIs" dxfId="1457" priority="1159" operator="equal">
      <formula>0</formula>
    </cfRule>
    <cfRule type="cellIs" dxfId="1456" priority="1160" operator="greaterThan">
      <formula>0</formula>
    </cfRule>
  </conditionalFormatting>
  <conditionalFormatting sqref="O56">
    <cfRule type="cellIs" dxfId="1455" priority="1153" operator="equal">
      <formula>"PMS"</formula>
    </cfRule>
    <cfRule type="containsText" dxfId="1454" priority="1154" operator="containsText" text="CMS">
      <formula>NOT(ISERROR(SEARCH("CMS",O56)))</formula>
    </cfRule>
    <cfRule type="cellIs" dxfId="1453" priority="1155" operator="equal">
      <formula>0</formula>
    </cfRule>
    <cfRule type="cellIs" dxfId="1452" priority="1156" operator="greaterThan">
      <formula>0</formula>
    </cfRule>
  </conditionalFormatting>
  <conditionalFormatting sqref="O56">
    <cfRule type="cellIs" dxfId="1451" priority="1149" operator="equal">
      <formula>"PMS"</formula>
    </cfRule>
    <cfRule type="containsText" dxfId="1450" priority="1150" operator="containsText" text="CMS">
      <formula>NOT(ISERROR(SEARCH("CMS",O56)))</formula>
    </cfRule>
    <cfRule type="cellIs" dxfId="1449" priority="1151" operator="equal">
      <formula>0</formula>
    </cfRule>
    <cfRule type="cellIs" dxfId="1448" priority="1152" operator="greaterThan">
      <formula>0</formula>
    </cfRule>
  </conditionalFormatting>
  <conditionalFormatting sqref="O56">
    <cfRule type="cellIs" dxfId="1447" priority="1145" operator="equal">
      <formula>"PMS"</formula>
    </cfRule>
    <cfRule type="containsText" dxfId="1446" priority="1146" operator="containsText" text="CMS">
      <formula>NOT(ISERROR(SEARCH("CMS",O56)))</formula>
    </cfRule>
    <cfRule type="cellIs" dxfId="1445" priority="1147" operator="equal">
      <formula>0</formula>
    </cfRule>
    <cfRule type="cellIs" dxfId="1444" priority="1148" operator="greaterThan">
      <formula>0</formula>
    </cfRule>
  </conditionalFormatting>
  <conditionalFormatting sqref="O56">
    <cfRule type="cellIs" dxfId="1443" priority="1141" operator="equal">
      <formula>"PMS"</formula>
    </cfRule>
    <cfRule type="containsText" dxfId="1442" priority="1142" operator="containsText" text="CMS">
      <formula>NOT(ISERROR(SEARCH("CMS",O56)))</formula>
    </cfRule>
    <cfRule type="cellIs" dxfId="1441" priority="1143" operator="equal">
      <formula>0</formula>
    </cfRule>
    <cfRule type="cellIs" dxfId="1440" priority="1144" operator="greaterThan">
      <formula>0</formula>
    </cfRule>
  </conditionalFormatting>
  <conditionalFormatting sqref="O56">
    <cfRule type="cellIs" dxfId="1439" priority="1137" operator="equal">
      <formula>"PMS"</formula>
    </cfRule>
    <cfRule type="containsText" dxfId="1438" priority="1138" operator="containsText" text="CMS">
      <formula>NOT(ISERROR(SEARCH("CMS",O56)))</formula>
    </cfRule>
    <cfRule type="cellIs" dxfId="1437" priority="1139" operator="equal">
      <formula>0</formula>
    </cfRule>
    <cfRule type="cellIs" dxfId="1436" priority="1140" operator="greaterThan">
      <formula>0</formula>
    </cfRule>
  </conditionalFormatting>
  <conditionalFormatting sqref="O56">
    <cfRule type="cellIs" dxfId="1435" priority="1133" operator="equal">
      <formula>"PMS"</formula>
    </cfRule>
    <cfRule type="containsText" dxfId="1434" priority="1134" operator="containsText" text="CMS">
      <formula>NOT(ISERROR(SEARCH("CMS",O56)))</formula>
    </cfRule>
    <cfRule type="cellIs" dxfId="1433" priority="1135" operator="equal">
      <formula>0</formula>
    </cfRule>
    <cfRule type="cellIs" dxfId="1432" priority="1136" operator="greaterThan">
      <formula>0</formula>
    </cfRule>
  </conditionalFormatting>
  <conditionalFormatting sqref="O56">
    <cfRule type="cellIs" dxfId="1431" priority="1129" operator="equal">
      <formula>"PMS"</formula>
    </cfRule>
    <cfRule type="containsText" dxfId="1430" priority="1130" operator="containsText" text="CMS">
      <formula>NOT(ISERROR(SEARCH("CMS",O56)))</formula>
    </cfRule>
    <cfRule type="cellIs" dxfId="1429" priority="1131" operator="equal">
      <formula>0</formula>
    </cfRule>
    <cfRule type="cellIs" dxfId="1428" priority="1132" operator="greaterThan">
      <formula>0</formula>
    </cfRule>
  </conditionalFormatting>
  <conditionalFormatting sqref="O56">
    <cfRule type="cellIs" dxfId="1427" priority="1125" operator="equal">
      <formula>"PMS"</formula>
    </cfRule>
    <cfRule type="containsText" dxfId="1426" priority="1126" operator="containsText" text="CMS">
      <formula>NOT(ISERROR(SEARCH("CMS",O56)))</formula>
    </cfRule>
    <cfRule type="cellIs" dxfId="1425" priority="1127" operator="equal">
      <formula>0</formula>
    </cfRule>
    <cfRule type="cellIs" dxfId="1424" priority="1128" operator="greaterThan">
      <formula>0</formula>
    </cfRule>
  </conditionalFormatting>
  <conditionalFormatting sqref="O56">
    <cfRule type="cellIs" dxfId="1423" priority="1121" operator="equal">
      <formula>"PMS"</formula>
    </cfRule>
    <cfRule type="containsText" dxfId="1422" priority="1122" operator="containsText" text="CMS">
      <formula>NOT(ISERROR(SEARCH("CMS",O56)))</formula>
    </cfRule>
    <cfRule type="cellIs" dxfId="1421" priority="1123" operator="equal">
      <formula>0</formula>
    </cfRule>
    <cfRule type="cellIs" dxfId="1420" priority="1124" operator="greaterThan">
      <formula>0</formula>
    </cfRule>
  </conditionalFormatting>
  <conditionalFormatting sqref="O56">
    <cfRule type="cellIs" dxfId="1419" priority="1117" operator="equal">
      <formula>"PMS"</formula>
    </cfRule>
    <cfRule type="containsText" dxfId="1418" priority="1118" operator="containsText" text="CMS">
      <formula>NOT(ISERROR(SEARCH("CMS",O56)))</formula>
    </cfRule>
    <cfRule type="cellIs" dxfId="1417" priority="1119" operator="equal">
      <formula>0</formula>
    </cfRule>
    <cfRule type="cellIs" dxfId="1416" priority="1120" operator="greaterThan">
      <formula>0</formula>
    </cfRule>
  </conditionalFormatting>
  <conditionalFormatting sqref="O56">
    <cfRule type="cellIs" dxfId="1415" priority="1113" operator="equal">
      <formula>"PMS"</formula>
    </cfRule>
    <cfRule type="containsText" dxfId="1414" priority="1114" operator="containsText" text="CMS">
      <formula>NOT(ISERROR(SEARCH("CMS",O56)))</formula>
    </cfRule>
    <cfRule type="cellIs" dxfId="1413" priority="1115" operator="equal">
      <formula>0</formula>
    </cfRule>
    <cfRule type="cellIs" dxfId="1412" priority="1116" operator="greaterThan">
      <formula>0</formula>
    </cfRule>
  </conditionalFormatting>
  <conditionalFormatting sqref="O56">
    <cfRule type="cellIs" dxfId="1411" priority="1109" operator="equal">
      <formula>"PMS"</formula>
    </cfRule>
    <cfRule type="containsText" dxfId="1410" priority="1110" operator="containsText" text="CMS">
      <formula>NOT(ISERROR(SEARCH("CMS",O56)))</formula>
    </cfRule>
    <cfRule type="cellIs" dxfId="1409" priority="1111" operator="equal">
      <formula>0</formula>
    </cfRule>
    <cfRule type="cellIs" dxfId="1408" priority="1112" operator="greaterThan">
      <formula>0</formula>
    </cfRule>
  </conditionalFormatting>
  <conditionalFormatting sqref="O56">
    <cfRule type="cellIs" dxfId="1407" priority="1105" operator="equal">
      <formula>"PMS"</formula>
    </cfRule>
    <cfRule type="containsText" dxfId="1406" priority="1106" operator="containsText" text="CMS">
      <formula>NOT(ISERROR(SEARCH("CMS",O56)))</formula>
    </cfRule>
    <cfRule type="cellIs" dxfId="1405" priority="1107" operator="equal">
      <formula>0</formula>
    </cfRule>
    <cfRule type="cellIs" dxfId="1404" priority="1108" operator="greaterThan">
      <formula>0</formula>
    </cfRule>
  </conditionalFormatting>
  <conditionalFormatting sqref="O56">
    <cfRule type="cellIs" dxfId="1403" priority="1101" operator="equal">
      <formula>"PMS"</formula>
    </cfRule>
    <cfRule type="containsText" dxfId="1402" priority="1102" operator="containsText" text="CMS">
      <formula>NOT(ISERROR(SEARCH("CMS",O56)))</formula>
    </cfRule>
    <cfRule type="cellIs" dxfId="1401" priority="1103" operator="equal">
      <formula>0</formula>
    </cfRule>
    <cfRule type="cellIs" dxfId="1400" priority="1104" operator="greaterThan">
      <formula>0</formula>
    </cfRule>
  </conditionalFormatting>
  <conditionalFormatting sqref="O56">
    <cfRule type="cellIs" dxfId="1399" priority="1097" operator="equal">
      <formula>"PMS"</formula>
    </cfRule>
    <cfRule type="containsText" dxfId="1398" priority="1098" operator="containsText" text="CMS">
      <formula>NOT(ISERROR(SEARCH("CMS",O56)))</formula>
    </cfRule>
    <cfRule type="cellIs" dxfId="1397" priority="1099" operator="equal">
      <formula>0</formula>
    </cfRule>
    <cfRule type="cellIs" dxfId="1396" priority="1100" operator="greaterThan">
      <formula>0</formula>
    </cfRule>
  </conditionalFormatting>
  <conditionalFormatting sqref="O56">
    <cfRule type="cellIs" dxfId="1395" priority="1093" operator="equal">
      <formula>"PMS"</formula>
    </cfRule>
    <cfRule type="containsText" dxfId="1394" priority="1094" operator="containsText" text="CMS">
      <formula>NOT(ISERROR(SEARCH("CMS",O56)))</formula>
    </cfRule>
    <cfRule type="cellIs" dxfId="1393" priority="1095" operator="equal">
      <formula>0</formula>
    </cfRule>
    <cfRule type="cellIs" dxfId="1392" priority="1096" operator="greaterThan">
      <formula>0</formula>
    </cfRule>
  </conditionalFormatting>
  <conditionalFormatting sqref="O56">
    <cfRule type="cellIs" dxfId="1391" priority="1089" operator="equal">
      <formula>"PMS"</formula>
    </cfRule>
    <cfRule type="containsText" dxfId="1390" priority="1090" operator="containsText" text="CMS">
      <formula>NOT(ISERROR(SEARCH("CMS",O56)))</formula>
    </cfRule>
    <cfRule type="cellIs" dxfId="1389" priority="1091" operator="equal">
      <formula>0</formula>
    </cfRule>
    <cfRule type="cellIs" dxfId="1388" priority="1092" operator="greaterThan">
      <formula>0</formula>
    </cfRule>
  </conditionalFormatting>
  <conditionalFormatting sqref="O56">
    <cfRule type="cellIs" dxfId="1387" priority="1085" operator="equal">
      <formula>"PMS"</formula>
    </cfRule>
    <cfRule type="containsText" dxfId="1386" priority="1086" operator="containsText" text="CMS">
      <formula>NOT(ISERROR(SEARCH("CMS",O56)))</formula>
    </cfRule>
    <cfRule type="cellIs" dxfId="1385" priority="1087" operator="equal">
      <formula>0</formula>
    </cfRule>
    <cfRule type="cellIs" dxfId="1384" priority="1088" operator="greaterThan">
      <formula>0</formula>
    </cfRule>
  </conditionalFormatting>
  <conditionalFormatting sqref="O56">
    <cfRule type="cellIs" dxfId="1383" priority="1081" operator="equal">
      <formula>"PMS"</formula>
    </cfRule>
    <cfRule type="containsText" dxfId="1382" priority="1082" operator="containsText" text="CMS">
      <formula>NOT(ISERROR(SEARCH("CMS",O56)))</formula>
    </cfRule>
    <cfRule type="cellIs" dxfId="1381" priority="1083" operator="equal">
      <formula>0</formula>
    </cfRule>
    <cfRule type="cellIs" dxfId="1380" priority="1084" operator="greaterThan">
      <formula>0</formula>
    </cfRule>
  </conditionalFormatting>
  <conditionalFormatting sqref="O56">
    <cfRule type="cellIs" dxfId="1379" priority="1077" operator="equal">
      <formula>"PMS"</formula>
    </cfRule>
    <cfRule type="containsText" dxfId="1378" priority="1078" operator="containsText" text="CMS">
      <formula>NOT(ISERROR(SEARCH("CMS",O56)))</formula>
    </cfRule>
    <cfRule type="cellIs" dxfId="1377" priority="1079" operator="equal">
      <formula>0</formula>
    </cfRule>
    <cfRule type="cellIs" dxfId="1376" priority="1080" operator="greaterThan">
      <formula>0</formula>
    </cfRule>
  </conditionalFormatting>
  <conditionalFormatting sqref="O56">
    <cfRule type="cellIs" dxfId="1375" priority="1073" operator="equal">
      <formula>"PMS"</formula>
    </cfRule>
    <cfRule type="containsText" dxfId="1374" priority="1074" operator="containsText" text="CMS">
      <formula>NOT(ISERROR(SEARCH("CMS",O56)))</formula>
    </cfRule>
    <cfRule type="cellIs" dxfId="1373" priority="1075" operator="equal">
      <formula>0</formula>
    </cfRule>
    <cfRule type="cellIs" dxfId="1372" priority="1076" operator="greaterThan">
      <formula>0</formula>
    </cfRule>
  </conditionalFormatting>
  <conditionalFormatting sqref="O56">
    <cfRule type="cellIs" dxfId="1371" priority="1069" operator="equal">
      <formula>"PMS"</formula>
    </cfRule>
    <cfRule type="containsText" dxfId="1370" priority="1070" operator="containsText" text="CMS">
      <formula>NOT(ISERROR(SEARCH("CMS",O56)))</formula>
    </cfRule>
    <cfRule type="cellIs" dxfId="1369" priority="1071" operator="equal">
      <formula>0</formula>
    </cfRule>
    <cfRule type="cellIs" dxfId="1368" priority="1072" operator="greaterThan">
      <formula>0</formula>
    </cfRule>
  </conditionalFormatting>
  <conditionalFormatting sqref="O56">
    <cfRule type="cellIs" dxfId="1367" priority="1065" operator="equal">
      <formula>"PMS"</formula>
    </cfRule>
    <cfRule type="containsText" dxfId="1366" priority="1066" operator="containsText" text="CMS">
      <formula>NOT(ISERROR(SEARCH("CMS",O56)))</formula>
    </cfRule>
    <cfRule type="cellIs" dxfId="1365" priority="1067" operator="equal">
      <formula>0</formula>
    </cfRule>
    <cfRule type="cellIs" dxfId="1364" priority="1068" operator="greaterThan">
      <formula>0</formula>
    </cfRule>
  </conditionalFormatting>
  <conditionalFormatting sqref="O56">
    <cfRule type="cellIs" dxfId="1363" priority="1061" operator="equal">
      <formula>"PMS"</formula>
    </cfRule>
    <cfRule type="containsText" dxfId="1362" priority="1062" operator="containsText" text="CMS">
      <formula>NOT(ISERROR(SEARCH("CMS",O56)))</formula>
    </cfRule>
    <cfRule type="cellIs" dxfId="1361" priority="1063" operator="equal">
      <formula>0</formula>
    </cfRule>
    <cfRule type="cellIs" dxfId="1360" priority="1064" operator="greaterThan">
      <formula>0</formula>
    </cfRule>
  </conditionalFormatting>
  <conditionalFormatting sqref="O56">
    <cfRule type="cellIs" dxfId="1359" priority="1057" operator="equal">
      <formula>"PMS"</formula>
    </cfRule>
    <cfRule type="containsText" dxfId="1358" priority="1058" operator="containsText" text="CMS">
      <formula>NOT(ISERROR(SEARCH("CMS",O56)))</formula>
    </cfRule>
    <cfRule type="cellIs" dxfId="1357" priority="1059" operator="equal">
      <formula>0</formula>
    </cfRule>
    <cfRule type="cellIs" dxfId="1356" priority="1060" operator="greaterThan">
      <formula>0</formula>
    </cfRule>
  </conditionalFormatting>
  <conditionalFormatting sqref="O56">
    <cfRule type="cellIs" dxfId="1355" priority="1053" operator="equal">
      <formula>"PMS"</formula>
    </cfRule>
    <cfRule type="containsText" dxfId="1354" priority="1054" operator="containsText" text="CMS">
      <formula>NOT(ISERROR(SEARCH("CMS",O56)))</formula>
    </cfRule>
    <cfRule type="cellIs" dxfId="1353" priority="1055" operator="equal">
      <formula>0</formula>
    </cfRule>
    <cfRule type="cellIs" dxfId="1352" priority="1056" operator="greaterThan">
      <formula>0</formula>
    </cfRule>
  </conditionalFormatting>
  <conditionalFormatting sqref="O56">
    <cfRule type="cellIs" dxfId="1351" priority="1049" operator="equal">
      <formula>"PMS"</formula>
    </cfRule>
    <cfRule type="containsText" dxfId="1350" priority="1050" operator="containsText" text="CMS">
      <formula>NOT(ISERROR(SEARCH("CMS",O56)))</formula>
    </cfRule>
    <cfRule type="cellIs" dxfId="1349" priority="1051" operator="equal">
      <formula>0</formula>
    </cfRule>
    <cfRule type="cellIs" dxfId="1348" priority="1052" operator="greaterThan">
      <formula>0</formula>
    </cfRule>
  </conditionalFormatting>
  <conditionalFormatting sqref="O56">
    <cfRule type="cellIs" dxfId="1347" priority="1045" operator="equal">
      <formula>"PMS"</formula>
    </cfRule>
    <cfRule type="containsText" dxfId="1346" priority="1046" operator="containsText" text="CMS">
      <formula>NOT(ISERROR(SEARCH("CMS",O56)))</formula>
    </cfRule>
    <cfRule type="cellIs" dxfId="1345" priority="1047" operator="equal">
      <formula>0</formula>
    </cfRule>
    <cfRule type="cellIs" dxfId="1344" priority="1048" operator="greaterThan">
      <formula>0</formula>
    </cfRule>
  </conditionalFormatting>
  <conditionalFormatting sqref="O56">
    <cfRule type="cellIs" dxfId="1343" priority="1041" operator="equal">
      <formula>"PMS"</formula>
    </cfRule>
    <cfRule type="containsText" dxfId="1342" priority="1042" operator="containsText" text="CMS">
      <formula>NOT(ISERROR(SEARCH("CMS",O56)))</formula>
    </cfRule>
    <cfRule type="cellIs" dxfId="1341" priority="1043" operator="equal">
      <formula>0</formula>
    </cfRule>
    <cfRule type="cellIs" dxfId="1340" priority="1044" operator="greaterThan">
      <formula>0</formula>
    </cfRule>
  </conditionalFormatting>
  <conditionalFormatting sqref="O56">
    <cfRule type="cellIs" dxfId="1339" priority="1037" operator="equal">
      <formula>"PMS"</formula>
    </cfRule>
    <cfRule type="containsText" dxfId="1338" priority="1038" operator="containsText" text="CMS">
      <formula>NOT(ISERROR(SEARCH("CMS",O56)))</formula>
    </cfRule>
    <cfRule type="cellIs" dxfId="1337" priority="1039" operator="equal">
      <formula>0</formula>
    </cfRule>
    <cfRule type="cellIs" dxfId="1336" priority="1040" operator="greaterThan">
      <formula>0</formula>
    </cfRule>
  </conditionalFormatting>
  <conditionalFormatting sqref="O56">
    <cfRule type="cellIs" dxfId="1335" priority="1033" operator="equal">
      <formula>"PMS"</formula>
    </cfRule>
    <cfRule type="containsText" dxfId="1334" priority="1034" operator="containsText" text="CMS">
      <formula>NOT(ISERROR(SEARCH("CMS",O56)))</formula>
    </cfRule>
    <cfRule type="cellIs" dxfId="1333" priority="1035" operator="equal">
      <formula>0</formula>
    </cfRule>
    <cfRule type="cellIs" dxfId="1332" priority="1036" operator="greaterThan">
      <formula>0</formula>
    </cfRule>
  </conditionalFormatting>
  <conditionalFormatting sqref="O56">
    <cfRule type="cellIs" dxfId="1331" priority="1029" operator="equal">
      <formula>"PMS"</formula>
    </cfRule>
    <cfRule type="containsText" dxfId="1330" priority="1030" operator="containsText" text="CMS">
      <formula>NOT(ISERROR(SEARCH("CMS",O56)))</formula>
    </cfRule>
    <cfRule type="cellIs" dxfId="1329" priority="1031" operator="equal">
      <formula>0</formula>
    </cfRule>
    <cfRule type="cellIs" dxfId="1328" priority="1032" operator="greaterThan">
      <formula>0</formula>
    </cfRule>
  </conditionalFormatting>
  <conditionalFormatting sqref="O56">
    <cfRule type="cellIs" dxfId="1327" priority="1025" operator="equal">
      <formula>"PMS"</formula>
    </cfRule>
    <cfRule type="containsText" dxfId="1326" priority="1026" operator="containsText" text="CMS">
      <formula>NOT(ISERROR(SEARCH("CMS",O56)))</formula>
    </cfRule>
    <cfRule type="cellIs" dxfId="1325" priority="1027" operator="equal">
      <formula>0</formula>
    </cfRule>
    <cfRule type="cellIs" dxfId="1324" priority="1028" operator="greaterThan">
      <formula>0</formula>
    </cfRule>
  </conditionalFormatting>
  <conditionalFormatting sqref="O56">
    <cfRule type="cellIs" dxfId="1323" priority="1021" operator="equal">
      <formula>"PMS"</formula>
    </cfRule>
    <cfRule type="containsText" dxfId="1322" priority="1022" operator="containsText" text="CMS">
      <formula>NOT(ISERROR(SEARCH("CMS",O56)))</formula>
    </cfRule>
    <cfRule type="cellIs" dxfId="1321" priority="1023" operator="equal">
      <formula>0</formula>
    </cfRule>
    <cfRule type="cellIs" dxfId="1320" priority="1024" operator="greaterThan">
      <formula>0</formula>
    </cfRule>
  </conditionalFormatting>
  <conditionalFormatting sqref="O56">
    <cfRule type="cellIs" dxfId="1319" priority="1017" operator="equal">
      <formula>"PMS"</formula>
    </cfRule>
    <cfRule type="containsText" dxfId="1318" priority="1018" operator="containsText" text="CMS">
      <formula>NOT(ISERROR(SEARCH("CMS",O56)))</formula>
    </cfRule>
    <cfRule type="cellIs" dxfId="1317" priority="1019" operator="equal">
      <formula>0</formula>
    </cfRule>
    <cfRule type="cellIs" dxfId="1316" priority="1020" operator="greaterThan">
      <formula>0</formula>
    </cfRule>
  </conditionalFormatting>
  <conditionalFormatting sqref="O56">
    <cfRule type="cellIs" dxfId="1315" priority="1013" operator="equal">
      <formula>"PMS"</formula>
    </cfRule>
    <cfRule type="containsText" dxfId="1314" priority="1014" operator="containsText" text="CMS">
      <formula>NOT(ISERROR(SEARCH("CMS",O56)))</formula>
    </cfRule>
    <cfRule type="cellIs" dxfId="1313" priority="1015" operator="equal">
      <formula>0</formula>
    </cfRule>
    <cfRule type="cellIs" dxfId="1312" priority="1016" operator="greaterThan">
      <formula>0</formula>
    </cfRule>
  </conditionalFormatting>
  <conditionalFormatting sqref="O56">
    <cfRule type="cellIs" dxfId="1311" priority="1009" operator="equal">
      <formula>"PMS"</formula>
    </cfRule>
    <cfRule type="containsText" dxfId="1310" priority="1010" operator="containsText" text="CMS">
      <formula>NOT(ISERROR(SEARCH("CMS",O56)))</formula>
    </cfRule>
    <cfRule type="cellIs" dxfId="1309" priority="1011" operator="equal">
      <formula>0</formula>
    </cfRule>
    <cfRule type="cellIs" dxfId="1308" priority="1012" operator="greaterThan">
      <formula>0</formula>
    </cfRule>
  </conditionalFormatting>
  <conditionalFormatting sqref="O56">
    <cfRule type="cellIs" dxfId="1307" priority="1005" operator="equal">
      <formula>"PMS"</formula>
    </cfRule>
    <cfRule type="containsText" dxfId="1306" priority="1006" operator="containsText" text="CMS">
      <formula>NOT(ISERROR(SEARCH("CMS",O56)))</formula>
    </cfRule>
    <cfRule type="cellIs" dxfId="1305" priority="1007" operator="equal">
      <formula>0</formula>
    </cfRule>
    <cfRule type="cellIs" dxfId="1304" priority="1008" operator="greaterThan">
      <formula>0</formula>
    </cfRule>
  </conditionalFormatting>
  <conditionalFormatting sqref="O56">
    <cfRule type="cellIs" dxfId="1303" priority="1001" operator="equal">
      <formula>"PMS"</formula>
    </cfRule>
    <cfRule type="containsText" dxfId="1302" priority="1002" operator="containsText" text="CMS">
      <formula>NOT(ISERROR(SEARCH("CMS",O56)))</formula>
    </cfRule>
    <cfRule type="cellIs" dxfId="1301" priority="1003" operator="equal">
      <formula>0</formula>
    </cfRule>
    <cfRule type="cellIs" dxfId="1300" priority="1004" operator="greaterThan">
      <formula>0</formula>
    </cfRule>
  </conditionalFormatting>
  <conditionalFormatting sqref="O56">
    <cfRule type="cellIs" dxfId="1299" priority="997" operator="equal">
      <formula>"PMS"</formula>
    </cfRule>
    <cfRule type="containsText" dxfId="1298" priority="998" operator="containsText" text="CMS">
      <formula>NOT(ISERROR(SEARCH("CMS",O56)))</formula>
    </cfRule>
    <cfRule type="cellIs" dxfId="1297" priority="999" operator="equal">
      <formula>0</formula>
    </cfRule>
    <cfRule type="cellIs" dxfId="1296" priority="1000" operator="greaterThan">
      <formula>0</formula>
    </cfRule>
  </conditionalFormatting>
  <conditionalFormatting sqref="O56">
    <cfRule type="cellIs" dxfId="1295" priority="993" operator="equal">
      <formula>"PMS"</formula>
    </cfRule>
    <cfRule type="containsText" dxfId="1294" priority="994" operator="containsText" text="CMS">
      <formula>NOT(ISERROR(SEARCH("CMS",O56)))</formula>
    </cfRule>
    <cfRule type="cellIs" dxfId="1293" priority="995" operator="equal">
      <formula>0</formula>
    </cfRule>
    <cfRule type="cellIs" dxfId="1292" priority="996" operator="greaterThan">
      <formula>0</formula>
    </cfRule>
  </conditionalFormatting>
  <conditionalFormatting sqref="O56">
    <cfRule type="cellIs" dxfId="1291" priority="989" operator="equal">
      <formula>"PMS"</formula>
    </cfRule>
    <cfRule type="containsText" dxfId="1290" priority="990" operator="containsText" text="CMS">
      <formula>NOT(ISERROR(SEARCH("CMS",O56)))</formula>
    </cfRule>
    <cfRule type="cellIs" dxfId="1289" priority="991" operator="equal">
      <formula>0</formula>
    </cfRule>
    <cfRule type="cellIs" dxfId="1288" priority="992" operator="greaterThan">
      <formula>0</formula>
    </cfRule>
  </conditionalFormatting>
  <conditionalFormatting sqref="O56">
    <cfRule type="cellIs" dxfId="1287" priority="985" operator="equal">
      <formula>"PMS"</formula>
    </cfRule>
    <cfRule type="containsText" dxfId="1286" priority="986" operator="containsText" text="CMS">
      <formula>NOT(ISERROR(SEARCH("CMS",O56)))</formula>
    </cfRule>
    <cfRule type="cellIs" dxfId="1285" priority="987" operator="equal">
      <formula>0</formula>
    </cfRule>
    <cfRule type="cellIs" dxfId="1284" priority="988" operator="greaterThan">
      <formula>0</formula>
    </cfRule>
  </conditionalFormatting>
  <conditionalFormatting sqref="O56">
    <cfRule type="cellIs" dxfId="1283" priority="981" operator="equal">
      <formula>"PMS"</formula>
    </cfRule>
    <cfRule type="containsText" dxfId="1282" priority="982" operator="containsText" text="CMS">
      <formula>NOT(ISERROR(SEARCH("CMS",O56)))</formula>
    </cfRule>
    <cfRule type="cellIs" dxfId="1281" priority="983" operator="equal">
      <formula>0</formula>
    </cfRule>
    <cfRule type="cellIs" dxfId="1280" priority="984" operator="greaterThan">
      <formula>0</formula>
    </cfRule>
  </conditionalFormatting>
  <conditionalFormatting sqref="O56">
    <cfRule type="cellIs" dxfId="1279" priority="977" operator="equal">
      <formula>"PMS"</formula>
    </cfRule>
    <cfRule type="containsText" dxfId="1278" priority="978" operator="containsText" text="CMS">
      <formula>NOT(ISERROR(SEARCH("CMS",O56)))</formula>
    </cfRule>
    <cfRule type="cellIs" dxfId="1277" priority="979" operator="equal">
      <formula>0</formula>
    </cfRule>
    <cfRule type="cellIs" dxfId="1276" priority="980" operator="greaterThan">
      <formula>0</formula>
    </cfRule>
  </conditionalFormatting>
  <conditionalFormatting sqref="O56">
    <cfRule type="cellIs" dxfId="1275" priority="973" operator="equal">
      <formula>"PMS"</formula>
    </cfRule>
    <cfRule type="containsText" dxfId="1274" priority="974" operator="containsText" text="CMS">
      <formula>NOT(ISERROR(SEARCH("CMS",O56)))</formula>
    </cfRule>
    <cfRule type="cellIs" dxfId="1273" priority="975" operator="equal">
      <formula>0</formula>
    </cfRule>
    <cfRule type="cellIs" dxfId="1272" priority="976" operator="greaterThan">
      <formula>0</formula>
    </cfRule>
  </conditionalFormatting>
  <conditionalFormatting sqref="O56">
    <cfRule type="cellIs" dxfId="1271" priority="969" operator="equal">
      <formula>"PMS"</formula>
    </cfRule>
    <cfRule type="containsText" dxfId="1270" priority="970" operator="containsText" text="CMS">
      <formula>NOT(ISERROR(SEARCH("CMS",O56)))</formula>
    </cfRule>
    <cfRule type="cellIs" dxfId="1269" priority="971" operator="equal">
      <formula>0</formula>
    </cfRule>
    <cfRule type="cellIs" dxfId="1268" priority="972" operator="greaterThan">
      <formula>0</formula>
    </cfRule>
  </conditionalFormatting>
  <conditionalFormatting sqref="O56">
    <cfRule type="cellIs" dxfId="1267" priority="965" operator="equal">
      <formula>"PMS"</formula>
    </cfRule>
    <cfRule type="containsText" dxfId="1266" priority="966" operator="containsText" text="CMS">
      <formula>NOT(ISERROR(SEARCH("CMS",O56)))</formula>
    </cfRule>
    <cfRule type="cellIs" dxfId="1265" priority="967" operator="equal">
      <formula>0</formula>
    </cfRule>
    <cfRule type="cellIs" dxfId="1264" priority="968" operator="greaterThan">
      <formula>0</formula>
    </cfRule>
  </conditionalFormatting>
  <conditionalFormatting sqref="O56">
    <cfRule type="cellIs" dxfId="1263" priority="961" operator="equal">
      <formula>"PMS"</formula>
    </cfRule>
    <cfRule type="containsText" dxfId="1262" priority="962" operator="containsText" text="CMS">
      <formula>NOT(ISERROR(SEARCH("CMS",O56)))</formula>
    </cfRule>
    <cfRule type="cellIs" dxfId="1261" priority="963" operator="equal">
      <formula>0</formula>
    </cfRule>
    <cfRule type="cellIs" dxfId="1260" priority="964" operator="greaterThan">
      <formula>0</formula>
    </cfRule>
  </conditionalFormatting>
  <conditionalFormatting sqref="O56">
    <cfRule type="cellIs" dxfId="1259" priority="957" operator="equal">
      <formula>"PMS"</formula>
    </cfRule>
    <cfRule type="containsText" dxfId="1258" priority="958" operator="containsText" text="CMS">
      <formula>NOT(ISERROR(SEARCH("CMS",O56)))</formula>
    </cfRule>
    <cfRule type="cellIs" dxfId="1257" priority="959" operator="equal">
      <formula>0</formula>
    </cfRule>
    <cfRule type="cellIs" dxfId="1256" priority="960" operator="greaterThan">
      <formula>0</formula>
    </cfRule>
  </conditionalFormatting>
  <conditionalFormatting sqref="O56">
    <cfRule type="cellIs" dxfId="1255" priority="953" operator="equal">
      <formula>"PMS"</formula>
    </cfRule>
    <cfRule type="containsText" dxfId="1254" priority="954" operator="containsText" text="CMS">
      <formula>NOT(ISERROR(SEARCH("CMS",O56)))</formula>
    </cfRule>
    <cfRule type="cellIs" dxfId="1253" priority="955" operator="equal">
      <formula>0</formula>
    </cfRule>
    <cfRule type="cellIs" dxfId="1252" priority="956" operator="greaterThan">
      <formula>0</formula>
    </cfRule>
  </conditionalFormatting>
  <conditionalFormatting sqref="O56">
    <cfRule type="cellIs" dxfId="1251" priority="949" operator="equal">
      <formula>"PMS"</formula>
    </cfRule>
    <cfRule type="containsText" dxfId="1250" priority="950" operator="containsText" text="CMS">
      <formula>NOT(ISERROR(SEARCH("CMS",O56)))</formula>
    </cfRule>
    <cfRule type="cellIs" dxfId="1249" priority="951" operator="equal">
      <formula>0</formula>
    </cfRule>
    <cfRule type="cellIs" dxfId="1248" priority="952" operator="greaterThan">
      <formula>0</formula>
    </cfRule>
  </conditionalFormatting>
  <conditionalFormatting sqref="O56">
    <cfRule type="cellIs" dxfId="1247" priority="945" operator="equal">
      <formula>"PMS"</formula>
    </cfRule>
    <cfRule type="containsText" dxfId="1246" priority="946" operator="containsText" text="CMS">
      <formula>NOT(ISERROR(SEARCH("CMS",O56)))</formula>
    </cfRule>
    <cfRule type="cellIs" dxfId="1245" priority="947" operator="equal">
      <formula>0</formula>
    </cfRule>
    <cfRule type="cellIs" dxfId="1244" priority="948" operator="greaterThan">
      <formula>0</formula>
    </cfRule>
  </conditionalFormatting>
  <conditionalFormatting sqref="O56">
    <cfRule type="cellIs" dxfId="1243" priority="941" operator="equal">
      <formula>"PMS"</formula>
    </cfRule>
    <cfRule type="containsText" dxfId="1242" priority="942" operator="containsText" text="CMS">
      <formula>NOT(ISERROR(SEARCH("CMS",O56)))</formula>
    </cfRule>
    <cfRule type="cellIs" dxfId="1241" priority="943" operator="equal">
      <formula>0</formula>
    </cfRule>
    <cfRule type="cellIs" dxfId="1240" priority="944" operator="greaterThan">
      <formula>0</formula>
    </cfRule>
  </conditionalFormatting>
  <conditionalFormatting sqref="O56">
    <cfRule type="cellIs" dxfId="1239" priority="937" operator="equal">
      <formula>"PMS"</formula>
    </cfRule>
    <cfRule type="containsText" dxfId="1238" priority="938" operator="containsText" text="CMS">
      <formula>NOT(ISERROR(SEARCH("CMS",O56)))</formula>
    </cfRule>
    <cfRule type="cellIs" dxfId="1237" priority="939" operator="equal">
      <formula>0</formula>
    </cfRule>
    <cfRule type="cellIs" dxfId="1236" priority="940" operator="greaterThan">
      <formula>0</formula>
    </cfRule>
  </conditionalFormatting>
  <conditionalFormatting sqref="O56">
    <cfRule type="cellIs" dxfId="1235" priority="933" operator="equal">
      <formula>"PMS"</formula>
    </cfRule>
    <cfRule type="containsText" dxfId="1234" priority="934" operator="containsText" text="CMS">
      <formula>NOT(ISERROR(SEARCH("CMS",O56)))</formula>
    </cfRule>
    <cfRule type="cellIs" dxfId="1233" priority="935" operator="equal">
      <formula>0</formula>
    </cfRule>
    <cfRule type="cellIs" dxfId="1232" priority="936" operator="greaterThan">
      <formula>0</formula>
    </cfRule>
  </conditionalFormatting>
  <conditionalFormatting sqref="O56">
    <cfRule type="cellIs" dxfId="1231" priority="929" operator="equal">
      <formula>"PMS"</formula>
    </cfRule>
    <cfRule type="containsText" dxfId="1230" priority="930" operator="containsText" text="CMS">
      <formula>NOT(ISERROR(SEARCH("CMS",O56)))</formula>
    </cfRule>
    <cfRule type="cellIs" dxfId="1229" priority="931" operator="equal">
      <formula>0</formula>
    </cfRule>
    <cfRule type="cellIs" dxfId="1228" priority="932" operator="greaterThan">
      <formula>0</formula>
    </cfRule>
  </conditionalFormatting>
  <conditionalFormatting sqref="O56">
    <cfRule type="cellIs" dxfId="1227" priority="925" operator="equal">
      <formula>"PMS"</formula>
    </cfRule>
    <cfRule type="containsText" dxfId="1226" priority="926" operator="containsText" text="CMS">
      <formula>NOT(ISERROR(SEARCH("CMS",O56)))</formula>
    </cfRule>
    <cfRule type="cellIs" dxfId="1225" priority="927" operator="equal">
      <formula>0</formula>
    </cfRule>
    <cfRule type="cellIs" dxfId="1224" priority="928" operator="greaterThan">
      <formula>0</formula>
    </cfRule>
  </conditionalFormatting>
  <conditionalFormatting sqref="O56">
    <cfRule type="cellIs" dxfId="1223" priority="921" operator="equal">
      <formula>"PMS"</formula>
    </cfRule>
    <cfRule type="containsText" dxfId="1222" priority="922" operator="containsText" text="CMS">
      <formula>NOT(ISERROR(SEARCH("CMS",O56)))</formula>
    </cfRule>
    <cfRule type="cellIs" dxfId="1221" priority="923" operator="equal">
      <formula>0</formula>
    </cfRule>
    <cfRule type="cellIs" dxfId="1220" priority="924" operator="greaterThan">
      <formula>0</formula>
    </cfRule>
  </conditionalFormatting>
  <conditionalFormatting sqref="O56">
    <cfRule type="cellIs" dxfId="1219" priority="917" operator="equal">
      <formula>"PMS"</formula>
    </cfRule>
    <cfRule type="containsText" dxfId="1218" priority="918" operator="containsText" text="CMS">
      <formula>NOT(ISERROR(SEARCH("CMS",O56)))</formula>
    </cfRule>
    <cfRule type="cellIs" dxfId="1217" priority="919" operator="equal">
      <formula>0</formula>
    </cfRule>
    <cfRule type="cellIs" dxfId="1216" priority="920" operator="greaterThan">
      <formula>0</formula>
    </cfRule>
  </conditionalFormatting>
  <conditionalFormatting sqref="O56">
    <cfRule type="cellIs" dxfId="1215" priority="913" operator="equal">
      <formula>"PMS"</formula>
    </cfRule>
    <cfRule type="containsText" dxfId="1214" priority="914" operator="containsText" text="CMS">
      <formula>NOT(ISERROR(SEARCH("CMS",O56)))</formula>
    </cfRule>
    <cfRule type="cellIs" dxfId="1213" priority="915" operator="equal">
      <formula>0</formula>
    </cfRule>
    <cfRule type="cellIs" dxfId="1212" priority="916" operator="greaterThan">
      <formula>0</formula>
    </cfRule>
  </conditionalFormatting>
  <conditionalFormatting sqref="O56">
    <cfRule type="cellIs" dxfId="1211" priority="909" operator="equal">
      <formula>"PMS"</formula>
    </cfRule>
    <cfRule type="containsText" dxfId="1210" priority="910" operator="containsText" text="CMS">
      <formula>NOT(ISERROR(SEARCH("CMS",O56)))</formula>
    </cfRule>
    <cfRule type="cellIs" dxfId="1209" priority="911" operator="equal">
      <formula>0</formula>
    </cfRule>
    <cfRule type="cellIs" dxfId="1208" priority="912" operator="greaterThan">
      <formula>0</formula>
    </cfRule>
  </conditionalFormatting>
  <conditionalFormatting sqref="O56">
    <cfRule type="cellIs" dxfId="1207" priority="905" operator="equal">
      <formula>"PMS"</formula>
    </cfRule>
    <cfRule type="containsText" dxfId="1206" priority="906" operator="containsText" text="CMS">
      <formula>NOT(ISERROR(SEARCH("CMS",O56)))</formula>
    </cfRule>
    <cfRule type="cellIs" dxfId="1205" priority="907" operator="equal">
      <formula>0</formula>
    </cfRule>
    <cfRule type="cellIs" dxfId="1204" priority="908" operator="greaterThan">
      <formula>0</formula>
    </cfRule>
  </conditionalFormatting>
  <conditionalFormatting sqref="O56">
    <cfRule type="cellIs" dxfId="1203" priority="901" operator="equal">
      <formula>"PMS"</formula>
    </cfRule>
    <cfRule type="containsText" dxfId="1202" priority="902" operator="containsText" text="CMS">
      <formula>NOT(ISERROR(SEARCH("CMS",O56)))</formula>
    </cfRule>
    <cfRule type="cellIs" dxfId="1201" priority="903" operator="equal">
      <formula>0</formula>
    </cfRule>
    <cfRule type="cellIs" dxfId="1200" priority="904" operator="greaterThan">
      <formula>0</formula>
    </cfRule>
  </conditionalFormatting>
  <conditionalFormatting sqref="O56">
    <cfRule type="cellIs" dxfId="1199" priority="897" operator="equal">
      <formula>"PMS"</formula>
    </cfRule>
    <cfRule type="containsText" dxfId="1198" priority="898" operator="containsText" text="CMS">
      <formula>NOT(ISERROR(SEARCH("CMS",O56)))</formula>
    </cfRule>
    <cfRule type="cellIs" dxfId="1197" priority="899" operator="equal">
      <formula>0</formula>
    </cfRule>
    <cfRule type="cellIs" dxfId="1196" priority="900" operator="greaterThan">
      <formula>0</formula>
    </cfRule>
  </conditionalFormatting>
  <conditionalFormatting sqref="O56">
    <cfRule type="cellIs" dxfId="1195" priority="893" operator="equal">
      <formula>"PMS"</formula>
    </cfRule>
    <cfRule type="containsText" dxfId="1194" priority="894" operator="containsText" text="CMS">
      <formula>NOT(ISERROR(SEARCH("CMS",O56)))</formula>
    </cfRule>
    <cfRule type="cellIs" dxfId="1193" priority="895" operator="equal">
      <formula>0</formula>
    </cfRule>
    <cfRule type="cellIs" dxfId="1192" priority="896" operator="greaterThan">
      <formula>0</formula>
    </cfRule>
  </conditionalFormatting>
  <conditionalFormatting sqref="O49">
    <cfRule type="cellIs" dxfId="1191" priority="889" operator="equal">
      <formula>"PMS"</formula>
    </cfRule>
    <cfRule type="containsText" dxfId="1190" priority="890" operator="containsText" text="CMS">
      <formula>NOT(ISERROR(SEARCH("CMS",O49)))</formula>
    </cfRule>
    <cfRule type="cellIs" dxfId="1189" priority="891" operator="equal">
      <formula>0</formula>
    </cfRule>
    <cfRule type="cellIs" dxfId="1188" priority="892" operator="greaterThan">
      <formula>0</formula>
    </cfRule>
  </conditionalFormatting>
  <conditionalFormatting sqref="O49">
    <cfRule type="cellIs" dxfId="1187" priority="885" operator="equal">
      <formula>"PMS"</formula>
    </cfRule>
    <cfRule type="containsText" dxfId="1186" priority="886" operator="containsText" text="CMS">
      <formula>NOT(ISERROR(SEARCH("CMS",O49)))</formula>
    </cfRule>
    <cfRule type="cellIs" dxfId="1185" priority="887" operator="equal">
      <formula>0</formula>
    </cfRule>
    <cfRule type="cellIs" dxfId="1184" priority="888" operator="greaterThan">
      <formula>0</formula>
    </cfRule>
  </conditionalFormatting>
  <conditionalFormatting sqref="O49">
    <cfRule type="cellIs" dxfId="1183" priority="881" operator="equal">
      <formula>"PMS"</formula>
    </cfRule>
    <cfRule type="containsText" dxfId="1182" priority="882" operator="containsText" text="CMS">
      <formula>NOT(ISERROR(SEARCH("CMS",O49)))</formula>
    </cfRule>
    <cfRule type="cellIs" dxfId="1181" priority="883" operator="equal">
      <formula>0</formula>
    </cfRule>
    <cfRule type="cellIs" dxfId="1180" priority="884" operator="greaterThan">
      <formula>0</formula>
    </cfRule>
  </conditionalFormatting>
  <conditionalFormatting sqref="O49">
    <cfRule type="cellIs" dxfId="1179" priority="877" operator="equal">
      <formula>"PMS"</formula>
    </cfRule>
    <cfRule type="containsText" dxfId="1178" priority="878" operator="containsText" text="CMS">
      <formula>NOT(ISERROR(SEARCH("CMS",O49)))</formula>
    </cfRule>
    <cfRule type="cellIs" dxfId="1177" priority="879" operator="equal">
      <formula>0</formula>
    </cfRule>
    <cfRule type="cellIs" dxfId="1176" priority="880" operator="greaterThan">
      <formula>0</formula>
    </cfRule>
  </conditionalFormatting>
  <conditionalFormatting sqref="O49">
    <cfRule type="cellIs" dxfId="1175" priority="873" operator="equal">
      <formula>"PMS"</formula>
    </cfRule>
    <cfRule type="containsText" dxfId="1174" priority="874" operator="containsText" text="CMS">
      <formula>NOT(ISERROR(SEARCH("CMS",O49)))</formula>
    </cfRule>
    <cfRule type="cellIs" dxfId="1173" priority="875" operator="equal">
      <formula>0</formula>
    </cfRule>
    <cfRule type="cellIs" dxfId="1172" priority="876" operator="greaterThan">
      <formula>0</formula>
    </cfRule>
  </conditionalFormatting>
  <conditionalFormatting sqref="O49">
    <cfRule type="cellIs" dxfId="1171" priority="869" operator="equal">
      <formula>"PMS"</formula>
    </cfRule>
    <cfRule type="containsText" dxfId="1170" priority="870" operator="containsText" text="CMS">
      <formula>NOT(ISERROR(SEARCH("CMS",O49)))</formula>
    </cfRule>
    <cfRule type="cellIs" dxfId="1169" priority="871" operator="equal">
      <formula>0</formula>
    </cfRule>
    <cfRule type="cellIs" dxfId="1168" priority="872" operator="greaterThan">
      <formula>0</formula>
    </cfRule>
  </conditionalFormatting>
  <conditionalFormatting sqref="O49">
    <cfRule type="cellIs" dxfId="1167" priority="865" operator="equal">
      <formula>"PMS"</formula>
    </cfRule>
    <cfRule type="containsText" dxfId="1166" priority="866" operator="containsText" text="CMS">
      <formula>NOT(ISERROR(SEARCH("CMS",O49)))</formula>
    </cfRule>
    <cfRule type="cellIs" dxfId="1165" priority="867" operator="equal">
      <formula>0</formula>
    </cfRule>
    <cfRule type="cellIs" dxfId="1164" priority="868" operator="greaterThan">
      <formula>0</formula>
    </cfRule>
  </conditionalFormatting>
  <conditionalFormatting sqref="O49">
    <cfRule type="cellIs" dxfId="1163" priority="861" operator="equal">
      <formula>"PMS"</formula>
    </cfRule>
    <cfRule type="containsText" dxfId="1162" priority="862" operator="containsText" text="CMS">
      <formula>NOT(ISERROR(SEARCH("CMS",O49)))</formula>
    </cfRule>
    <cfRule type="cellIs" dxfId="1161" priority="863" operator="equal">
      <formula>0</formula>
    </cfRule>
    <cfRule type="cellIs" dxfId="1160" priority="864" operator="greaterThan">
      <formula>0</formula>
    </cfRule>
  </conditionalFormatting>
  <conditionalFormatting sqref="O49">
    <cfRule type="cellIs" dxfId="1159" priority="857" operator="equal">
      <formula>"PMS"</formula>
    </cfRule>
    <cfRule type="containsText" dxfId="1158" priority="858" operator="containsText" text="CMS">
      <formula>NOT(ISERROR(SEARCH("CMS",O49)))</formula>
    </cfRule>
    <cfRule type="cellIs" dxfId="1157" priority="859" operator="equal">
      <formula>0</formula>
    </cfRule>
    <cfRule type="cellIs" dxfId="1156" priority="860" operator="greaterThan">
      <formula>0</formula>
    </cfRule>
  </conditionalFormatting>
  <conditionalFormatting sqref="O49">
    <cfRule type="cellIs" dxfId="1155" priority="853" operator="equal">
      <formula>"PMS"</formula>
    </cfRule>
    <cfRule type="containsText" dxfId="1154" priority="854" operator="containsText" text="CMS">
      <formula>NOT(ISERROR(SEARCH("CMS",O49)))</formula>
    </cfRule>
    <cfRule type="cellIs" dxfId="1153" priority="855" operator="equal">
      <formula>0</formula>
    </cfRule>
    <cfRule type="cellIs" dxfId="1152" priority="856" operator="greaterThan">
      <formula>0</formula>
    </cfRule>
  </conditionalFormatting>
  <conditionalFormatting sqref="O49">
    <cfRule type="cellIs" dxfId="1151" priority="849" operator="equal">
      <formula>"PMS"</formula>
    </cfRule>
    <cfRule type="containsText" dxfId="1150" priority="850" operator="containsText" text="CMS">
      <formula>NOT(ISERROR(SEARCH("CMS",O49)))</formula>
    </cfRule>
    <cfRule type="cellIs" dxfId="1149" priority="851" operator="equal">
      <formula>0</formula>
    </cfRule>
    <cfRule type="cellIs" dxfId="1148" priority="852" operator="greaterThan">
      <formula>0</formula>
    </cfRule>
  </conditionalFormatting>
  <conditionalFormatting sqref="O49">
    <cfRule type="cellIs" dxfId="1147" priority="845" operator="equal">
      <formula>"PMS"</formula>
    </cfRule>
    <cfRule type="containsText" dxfId="1146" priority="846" operator="containsText" text="CMS">
      <formula>NOT(ISERROR(SEARCH("CMS",O49)))</formula>
    </cfRule>
    <cfRule type="cellIs" dxfId="1145" priority="847" operator="equal">
      <formula>0</formula>
    </cfRule>
    <cfRule type="cellIs" dxfId="1144" priority="848" operator="greaterThan">
      <formula>0</formula>
    </cfRule>
  </conditionalFormatting>
  <conditionalFormatting sqref="O49">
    <cfRule type="cellIs" dxfId="1143" priority="841" operator="equal">
      <formula>"PMS"</formula>
    </cfRule>
    <cfRule type="containsText" dxfId="1142" priority="842" operator="containsText" text="CMS">
      <formula>NOT(ISERROR(SEARCH("CMS",O49)))</formula>
    </cfRule>
    <cfRule type="cellIs" dxfId="1141" priority="843" operator="equal">
      <formula>0</formula>
    </cfRule>
    <cfRule type="cellIs" dxfId="1140" priority="844" operator="greaterThan">
      <formula>0</formula>
    </cfRule>
  </conditionalFormatting>
  <conditionalFormatting sqref="O49">
    <cfRule type="cellIs" dxfId="1139" priority="837" operator="equal">
      <formula>"PMS"</formula>
    </cfRule>
    <cfRule type="containsText" dxfId="1138" priority="838" operator="containsText" text="CMS">
      <formula>NOT(ISERROR(SEARCH("CMS",O49)))</formula>
    </cfRule>
    <cfRule type="cellIs" dxfId="1137" priority="839" operator="equal">
      <formula>0</formula>
    </cfRule>
    <cfRule type="cellIs" dxfId="1136" priority="840" operator="greaterThan">
      <formula>0</formula>
    </cfRule>
  </conditionalFormatting>
  <conditionalFormatting sqref="O49">
    <cfRule type="cellIs" dxfId="1135" priority="833" operator="equal">
      <formula>"PMS"</formula>
    </cfRule>
    <cfRule type="containsText" dxfId="1134" priority="834" operator="containsText" text="CMS">
      <formula>NOT(ISERROR(SEARCH("CMS",O49)))</formula>
    </cfRule>
    <cfRule type="cellIs" dxfId="1133" priority="835" operator="equal">
      <formula>0</formula>
    </cfRule>
    <cfRule type="cellIs" dxfId="1132" priority="836" operator="greaterThan">
      <formula>0</formula>
    </cfRule>
  </conditionalFormatting>
  <conditionalFormatting sqref="O49">
    <cfRule type="cellIs" dxfId="1131" priority="829" operator="equal">
      <formula>"PMS"</formula>
    </cfRule>
    <cfRule type="containsText" dxfId="1130" priority="830" operator="containsText" text="CMS">
      <formula>NOT(ISERROR(SEARCH("CMS",O49)))</formula>
    </cfRule>
    <cfRule type="cellIs" dxfId="1129" priority="831" operator="equal">
      <formula>0</formula>
    </cfRule>
    <cfRule type="cellIs" dxfId="1128" priority="832" operator="greaterThan">
      <formula>0</formula>
    </cfRule>
  </conditionalFormatting>
  <conditionalFormatting sqref="O49">
    <cfRule type="cellIs" dxfId="1127" priority="825" operator="equal">
      <formula>"PMS"</formula>
    </cfRule>
    <cfRule type="containsText" dxfId="1126" priority="826" operator="containsText" text="CMS">
      <formula>NOT(ISERROR(SEARCH("CMS",O49)))</formula>
    </cfRule>
    <cfRule type="cellIs" dxfId="1125" priority="827" operator="equal">
      <formula>0</formula>
    </cfRule>
    <cfRule type="cellIs" dxfId="1124" priority="828" operator="greaterThan">
      <formula>0</formula>
    </cfRule>
  </conditionalFormatting>
  <conditionalFormatting sqref="O49">
    <cfRule type="cellIs" dxfId="1123" priority="821" operator="equal">
      <formula>"PMS"</formula>
    </cfRule>
    <cfRule type="containsText" dxfId="1122" priority="822" operator="containsText" text="CMS">
      <formula>NOT(ISERROR(SEARCH("CMS",O49)))</formula>
    </cfRule>
    <cfRule type="cellIs" dxfId="1121" priority="823" operator="equal">
      <formula>0</formula>
    </cfRule>
    <cfRule type="cellIs" dxfId="1120" priority="824" operator="greaterThan">
      <formula>0</formula>
    </cfRule>
  </conditionalFormatting>
  <conditionalFormatting sqref="O49">
    <cfRule type="cellIs" dxfId="1119" priority="817" operator="equal">
      <formula>"PMS"</formula>
    </cfRule>
    <cfRule type="containsText" dxfId="1118" priority="818" operator="containsText" text="CMS">
      <formula>NOT(ISERROR(SEARCH("CMS",O49)))</formula>
    </cfRule>
    <cfRule type="cellIs" dxfId="1117" priority="819" operator="equal">
      <formula>0</formula>
    </cfRule>
    <cfRule type="cellIs" dxfId="1116" priority="820" operator="greaterThan">
      <formula>0</formula>
    </cfRule>
  </conditionalFormatting>
  <conditionalFormatting sqref="O49">
    <cfRule type="cellIs" dxfId="1115" priority="813" operator="equal">
      <formula>"PMS"</formula>
    </cfRule>
    <cfRule type="containsText" dxfId="1114" priority="814" operator="containsText" text="CMS">
      <formula>NOT(ISERROR(SEARCH("CMS",O49)))</formula>
    </cfRule>
    <cfRule type="cellIs" dxfId="1113" priority="815" operator="equal">
      <formula>0</formula>
    </cfRule>
    <cfRule type="cellIs" dxfId="1112" priority="816" operator="greaterThan">
      <formula>0</formula>
    </cfRule>
  </conditionalFormatting>
  <conditionalFormatting sqref="O49">
    <cfRule type="cellIs" dxfId="1111" priority="809" operator="equal">
      <formula>"PMS"</formula>
    </cfRule>
    <cfRule type="containsText" dxfId="1110" priority="810" operator="containsText" text="CMS">
      <formula>NOT(ISERROR(SEARCH("CMS",O49)))</formula>
    </cfRule>
    <cfRule type="cellIs" dxfId="1109" priority="811" operator="equal">
      <formula>0</formula>
    </cfRule>
    <cfRule type="cellIs" dxfId="1108" priority="812" operator="greaterThan">
      <formula>0</formula>
    </cfRule>
  </conditionalFormatting>
  <conditionalFormatting sqref="O49">
    <cfRule type="cellIs" dxfId="1107" priority="805" operator="equal">
      <formula>"PMS"</formula>
    </cfRule>
    <cfRule type="containsText" dxfId="1106" priority="806" operator="containsText" text="CMS">
      <formula>NOT(ISERROR(SEARCH("CMS",O49)))</formula>
    </cfRule>
    <cfRule type="cellIs" dxfId="1105" priority="807" operator="equal">
      <formula>0</formula>
    </cfRule>
    <cfRule type="cellIs" dxfId="1104" priority="808" operator="greaterThan">
      <formula>0</formula>
    </cfRule>
  </conditionalFormatting>
  <conditionalFormatting sqref="O49">
    <cfRule type="cellIs" dxfId="1103" priority="801" operator="equal">
      <formula>"PMS"</formula>
    </cfRule>
    <cfRule type="containsText" dxfId="1102" priority="802" operator="containsText" text="CMS">
      <formula>NOT(ISERROR(SEARCH("CMS",O49)))</formula>
    </cfRule>
    <cfRule type="cellIs" dxfId="1101" priority="803" operator="equal">
      <formula>0</formula>
    </cfRule>
    <cfRule type="cellIs" dxfId="1100" priority="804" operator="greaterThan">
      <formula>0</formula>
    </cfRule>
  </conditionalFormatting>
  <conditionalFormatting sqref="O49">
    <cfRule type="cellIs" dxfId="1099" priority="797" operator="equal">
      <formula>"PMS"</formula>
    </cfRule>
    <cfRule type="containsText" dxfId="1098" priority="798" operator="containsText" text="CMS">
      <formula>NOT(ISERROR(SEARCH("CMS",O49)))</formula>
    </cfRule>
    <cfRule type="cellIs" dxfId="1097" priority="799" operator="equal">
      <formula>0</formula>
    </cfRule>
    <cfRule type="cellIs" dxfId="1096" priority="800" operator="greaterThan">
      <formula>0</formula>
    </cfRule>
  </conditionalFormatting>
  <conditionalFormatting sqref="O49">
    <cfRule type="cellIs" dxfId="1095" priority="793" operator="equal">
      <formula>"PMS"</formula>
    </cfRule>
    <cfRule type="containsText" dxfId="1094" priority="794" operator="containsText" text="CMS">
      <formula>NOT(ISERROR(SEARCH("CMS",O49)))</formula>
    </cfRule>
    <cfRule type="cellIs" dxfId="1093" priority="795" operator="equal">
      <formula>0</formula>
    </cfRule>
    <cfRule type="cellIs" dxfId="1092" priority="796" operator="greaterThan">
      <formula>0</formula>
    </cfRule>
  </conditionalFormatting>
  <conditionalFormatting sqref="O49">
    <cfRule type="cellIs" dxfId="1091" priority="789" operator="equal">
      <formula>"PMS"</formula>
    </cfRule>
    <cfRule type="containsText" dxfId="1090" priority="790" operator="containsText" text="CMS">
      <formula>NOT(ISERROR(SEARCH("CMS",O49)))</formula>
    </cfRule>
    <cfRule type="cellIs" dxfId="1089" priority="791" operator="equal">
      <formula>0</formula>
    </cfRule>
    <cfRule type="cellIs" dxfId="1088" priority="792" operator="greaterThan">
      <formula>0</formula>
    </cfRule>
  </conditionalFormatting>
  <conditionalFormatting sqref="O49">
    <cfRule type="cellIs" dxfId="1087" priority="785" operator="equal">
      <formula>"PMS"</formula>
    </cfRule>
    <cfRule type="containsText" dxfId="1086" priority="786" operator="containsText" text="CMS">
      <formula>NOT(ISERROR(SEARCH("CMS",O49)))</formula>
    </cfRule>
    <cfRule type="cellIs" dxfId="1085" priority="787" operator="equal">
      <formula>0</formula>
    </cfRule>
    <cfRule type="cellIs" dxfId="1084" priority="788" operator="greaterThan">
      <formula>0</formula>
    </cfRule>
  </conditionalFormatting>
  <conditionalFormatting sqref="O49">
    <cfRule type="cellIs" dxfId="1083" priority="781" operator="equal">
      <formula>"PMS"</formula>
    </cfRule>
    <cfRule type="containsText" dxfId="1082" priority="782" operator="containsText" text="CMS">
      <formula>NOT(ISERROR(SEARCH("CMS",O49)))</formula>
    </cfRule>
    <cfRule type="cellIs" dxfId="1081" priority="783" operator="equal">
      <formula>0</formula>
    </cfRule>
    <cfRule type="cellIs" dxfId="1080" priority="784" operator="greaterThan">
      <formula>0</formula>
    </cfRule>
  </conditionalFormatting>
  <conditionalFormatting sqref="O49">
    <cfRule type="cellIs" dxfId="1079" priority="777" operator="equal">
      <formula>"PMS"</formula>
    </cfRule>
    <cfRule type="containsText" dxfId="1078" priority="778" operator="containsText" text="CMS">
      <formula>NOT(ISERROR(SEARCH("CMS",O49)))</formula>
    </cfRule>
    <cfRule type="cellIs" dxfId="1077" priority="779" operator="equal">
      <formula>0</formula>
    </cfRule>
    <cfRule type="cellIs" dxfId="1076" priority="780" operator="greaterThan">
      <formula>0</formula>
    </cfRule>
  </conditionalFormatting>
  <conditionalFormatting sqref="O49">
    <cfRule type="cellIs" dxfId="1075" priority="773" operator="equal">
      <formula>"PMS"</formula>
    </cfRule>
    <cfRule type="containsText" dxfId="1074" priority="774" operator="containsText" text="CMS">
      <formula>NOT(ISERROR(SEARCH("CMS",O49)))</formula>
    </cfRule>
    <cfRule type="cellIs" dxfId="1073" priority="775" operator="equal">
      <formula>0</formula>
    </cfRule>
    <cfRule type="cellIs" dxfId="1072" priority="776" operator="greaterThan">
      <formula>0</formula>
    </cfRule>
  </conditionalFormatting>
  <conditionalFormatting sqref="O49">
    <cfRule type="cellIs" dxfId="1071" priority="769" operator="equal">
      <formula>"PMS"</formula>
    </cfRule>
    <cfRule type="containsText" dxfId="1070" priority="770" operator="containsText" text="CMS">
      <formula>NOT(ISERROR(SEARCH("CMS",O49)))</formula>
    </cfRule>
    <cfRule type="cellIs" dxfId="1069" priority="771" operator="equal">
      <formula>0</formula>
    </cfRule>
    <cfRule type="cellIs" dxfId="1068" priority="772" operator="greaterThan">
      <formula>0</formula>
    </cfRule>
  </conditionalFormatting>
  <conditionalFormatting sqref="O49">
    <cfRule type="cellIs" dxfId="1067" priority="765" operator="equal">
      <formula>"PMS"</formula>
    </cfRule>
    <cfRule type="containsText" dxfId="1066" priority="766" operator="containsText" text="CMS">
      <formula>NOT(ISERROR(SEARCH("CMS",O49)))</formula>
    </cfRule>
    <cfRule type="cellIs" dxfId="1065" priority="767" operator="equal">
      <formula>0</formula>
    </cfRule>
    <cfRule type="cellIs" dxfId="1064" priority="768" operator="greaterThan">
      <formula>0</formula>
    </cfRule>
  </conditionalFormatting>
  <conditionalFormatting sqref="O49">
    <cfRule type="cellIs" dxfId="1063" priority="761" operator="equal">
      <formula>"PMS"</formula>
    </cfRule>
    <cfRule type="containsText" dxfId="1062" priority="762" operator="containsText" text="CMS">
      <formula>NOT(ISERROR(SEARCH("CMS",O49)))</formula>
    </cfRule>
    <cfRule type="cellIs" dxfId="1061" priority="763" operator="equal">
      <formula>0</formula>
    </cfRule>
    <cfRule type="cellIs" dxfId="1060" priority="764" operator="greaterThan">
      <formula>0</formula>
    </cfRule>
  </conditionalFormatting>
  <conditionalFormatting sqref="O49">
    <cfRule type="cellIs" dxfId="1059" priority="757" operator="equal">
      <formula>"PMS"</formula>
    </cfRule>
    <cfRule type="containsText" dxfId="1058" priority="758" operator="containsText" text="CMS">
      <formula>NOT(ISERROR(SEARCH("CMS",O49)))</formula>
    </cfRule>
    <cfRule type="cellIs" dxfId="1057" priority="759" operator="equal">
      <formula>0</formula>
    </cfRule>
    <cfRule type="cellIs" dxfId="1056" priority="760" operator="greaterThan">
      <formula>0</formula>
    </cfRule>
  </conditionalFormatting>
  <conditionalFormatting sqref="O49">
    <cfRule type="cellIs" dxfId="1055" priority="753" operator="equal">
      <formula>"PMS"</formula>
    </cfRule>
    <cfRule type="containsText" dxfId="1054" priority="754" operator="containsText" text="CMS">
      <formula>NOT(ISERROR(SEARCH("CMS",O49)))</formula>
    </cfRule>
    <cfRule type="cellIs" dxfId="1053" priority="755" operator="equal">
      <formula>0</formula>
    </cfRule>
    <cfRule type="cellIs" dxfId="1052" priority="756" operator="greaterThan">
      <formula>0</formula>
    </cfRule>
  </conditionalFormatting>
  <conditionalFormatting sqref="O49">
    <cfRule type="cellIs" dxfId="1051" priority="749" operator="equal">
      <formula>"PMS"</formula>
    </cfRule>
    <cfRule type="containsText" dxfId="1050" priority="750" operator="containsText" text="CMS">
      <formula>NOT(ISERROR(SEARCH("CMS",O49)))</formula>
    </cfRule>
    <cfRule type="cellIs" dxfId="1049" priority="751" operator="equal">
      <formula>0</formula>
    </cfRule>
    <cfRule type="cellIs" dxfId="1048" priority="752" operator="greaterThan">
      <formula>0</formula>
    </cfRule>
  </conditionalFormatting>
  <conditionalFormatting sqref="O49">
    <cfRule type="cellIs" dxfId="1047" priority="745" operator="equal">
      <formula>"PMS"</formula>
    </cfRule>
    <cfRule type="containsText" dxfId="1046" priority="746" operator="containsText" text="CMS">
      <formula>NOT(ISERROR(SEARCH("CMS",O49)))</formula>
    </cfRule>
    <cfRule type="cellIs" dxfId="1045" priority="747" operator="equal">
      <formula>0</formula>
    </cfRule>
    <cfRule type="cellIs" dxfId="1044" priority="748" operator="greaterThan">
      <formula>0</formula>
    </cfRule>
  </conditionalFormatting>
  <conditionalFormatting sqref="O49">
    <cfRule type="cellIs" dxfId="1043" priority="741" operator="equal">
      <formula>"PMS"</formula>
    </cfRule>
    <cfRule type="containsText" dxfId="1042" priority="742" operator="containsText" text="CMS">
      <formula>NOT(ISERROR(SEARCH("CMS",O49)))</formula>
    </cfRule>
    <cfRule type="cellIs" dxfId="1041" priority="743" operator="equal">
      <formula>0</formula>
    </cfRule>
    <cfRule type="cellIs" dxfId="1040" priority="744" operator="greaterThan">
      <formula>0</formula>
    </cfRule>
  </conditionalFormatting>
  <conditionalFormatting sqref="O49">
    <cfRule type="cellIs" dxfId="1039" priority="737" operator="equal">
      <formula>"PMS"</formula>
    </cfRule>
    <cfRule type="containsText" dxfId="1038" priority="738" operator="containsText" text="CMS">
      <formula>NOT(ISERROR(SEARCH("CMS",O49)))</formula>
    </cfRule>
    <cfRule type="cellIs" dxfId="1037" priority="739" operator="equal">
      <formula>0</formula>
    </cfRule>
    <cfRule type="cellIs" dxfId="1036" priority="740" operator="greaterThan">
      <formula>0</formula>
    </cfRule>
  </conditionalFormatting>
  <conditionalFormatting sqref="O49">
    <cfRule type="cellIs" dxfId="1035" priority="733" operator="equal">
      <formula>"PMS"</formula>
    </cfRule>
    <cfRule type="containsText" dxfId="1034" priority="734" operator="containsText" text="CMS">
      <formula>NOT(ISERROR(SEARCH("CMS",O49)))</formula>
    </cfRule>
    <cfRule type="cellIs" dxfId="1033" priority="735" operator="equal">
      <formula>0</formula>
    </cfRule>
    <cfRule type="cellIs" dxfId="1032" priority="736" operator="greaterThan">
      <formula>0</formula>
    </cfRule>
  </conditionalFormatting>
  <conditionalFormatting sqref="O49">
    <cfRule type="cellIs" dxfId="1031" priority="729" operator="equal">
      <formula>"PMS"</formula>
    </cfRule>
    <cfRule type="containsText" dxfId="1030" priority="730" operator="containsText" text="CMS">
      <formula>NOT(ISERROR(SEARCH("CMS",O49)))</formula>
    </cfRule>
    <cfRule type="cellIs" dxfId="1029" priority="731" operator="equal">
      <formula>0</formula>
    </cfRule>
    <cfRule type="cellIs" dxfId="1028" priority="732" operator="greaterThan">
      <formula>0</formula>
    </cfRule>
  </conditionalFormatting>
  <conditionalFormatting sqref="O49">
    <cfRule type="cellIs" dxfId="1027" priority="725" operator="equal">
      <formula>"PMS"</formula>
    </cfRule>
    <cfRule type="containsText" dxfId="1026" priority="726" operator="containsText" text="CMS">
      <formula>NOT(ISERROR(SEARCH("CMS",O49)))</formula>
    </cfRule>
    <cfRule type="cellIs" dxfId="1025" priority="727" operator="equal">
      <formula>0</formula>
    </cfRule>
    <cfRule type="cellIs" dxfId="1024" priority="728" operator="greaterThan">
      <formula>0</formula>
    </cfRule>
  </conditionalFormatting>
  <conditionalFormatting sqref="O49">
    <cfRule type="cellIs" dxfId="1023" priority="721" operator="equal">
      <formula>"PMS"</formula>
    </cfRule>
    <cfRule type="containsText" dxfId="1022" priority="722" operator="containsText" text="CMS">
      <formula>NOT(ISERROR(SEARCH("CMS",O49)))</formula>
    </cfRule>
    <cfRule type="cellIs" dxfId="1021" priority="723" operator="equal">
      <formula>0</formula>
    </cfRule>
    <cfRule type="cellIs" dxfId="1020" priority="724" operator="greaterThan">
      <formula>0</formula>
    </cfRule>
  </conditionalFormatting>
  <conditionalFormatting sqref="O49">
    <cfRule type="cellIs" dxfId="1019" priority="717" operator="equal">
      <formula>"PMS"</formula>
    </cfRule>
    <cfRule type="containsText" dxfId="1018" priority="718" operator="containsText" text="CMS">
      <formula>NOT(ISERROR(SEARCH("CMS",O49)))</formula>
    </cfRule>
    <cfRule type="cellIs" dxfId="1017" priority="719" operator="equal">
      <formula>0</formula>
    </cfRule>
    <cfRule type="cellIs" dxfId="1016" priority="720" operator="greaterThan">
      <formula>0</formula>
    </cfRule>
  </conditionalFormatting>
  <conditionalFormatting sqref="O49">
    <cfRule type="cellIs" dxfId="1015" priority="713" operator="equal">
      <formula>"PMS"</formula>
    </cfRule>
    <cfRule type="containsText" dxfId="1014" priority="714" operator="containsText" text="CMS">
      <formula>NOT(ISERROR(SEARCH("CMS",O49)))</formula>
    </cfRule>
    <cfRule type="cellIs" dxfId="1013" priority="715" operator="equal">
      <formula>0</formula>
    </cfRule>
    <cfRule type="cellIs" dxfId="1012" priority="716" operator="greaterThan">
      <formula>0</formula>
    </cfRule>
  </conditionalFormatting>
  <conditionalFormatting sqref="O49">
    <cfRule type="cellIs" dxfId="1011" priority="709" operator="equal">
      <formula>"PMS"</formula>
    </cfRule>
    <cfRule type="containsText" dxfId="1010" priority="710" operator="containsText" text="CMS">
      <formula>NOT(ISERROR(SEARCH("CMS",O49)))</formula>
    </cfRule>
    <cfRule type="cellIs" dxfId="1009" priority="711" operator="equal">
      <formula>0</formula>
    </cfRule>
    <cfRule type="cellIs" dxfId="1008" priority="712" operator="greaterThan">
      <formula>0</formula>
    </cfRule>
  </conditionalFormatting>
  <conditionalFormatting sqref="O49">
    <cfRule type="cellIs" dxfId="1007" priority="705" operator="equal">
      <formula>"PMS"</formula>
    </cfRule>
    <cfRule type="containsText" dxfId="1006" priority="706" operator="containsText" text="CMS">
      <formula>NOT(ISERROR(SEARCH("CMS",O49)))</formula>
    </cfRule>
    <cfRule type="cellIs" dxfId="1005" priority="707" operator="equal">
      <formula>0</formula>
    </cfRule>
    <cfRule type="cellIs" dxfId="1004" priority="708" operator="greaterThan">
      <formula>0</formula>
    </cfRule>
  </conditionalFormatting>
  <conditionalFormatting sqref="O49">
    <cfRule type="cellIs" dxfId="1003" priority="701" operator="equal">
      <formula>"PMS"</formula>
    </cfRule>
    <cfRule type="containsText" dxfId="1002" priority="702" operator="containsText" text="CMS">
      <formula>NOT(ISERROR(SEARCH("CMS",O49)))</formula>
    </cfRule>
    <cfRule type="cellIs" dxfId="1001" priority="703" operator="equal">
      <formula>0</formula>
    </cfRule>
    <cfRule type="cellIs" dxfId="1000" priority="704" operator="greaterThan">
      <formula>0</formula>
    </cfRule>
  </conditionalFormatting>
  <conditionalFormatting sqref="O49">
    <cfRule type="cellIs" dxfId="999" priority="697" operator="equal">
      <formula>"PMS"</formula>
    </cfRule>
    <cfRule type="containsText" dxfId="998" priority="698" operator="containsText" text="CMS">
      <formula>NOT(ISERROR(SEARCH("CMS",O49)))</formula>
    </cfRule>
    <cfRule type="cellIs" dxfId="997" priority="699" operator="equal">
      <formula>0</formula>
    </cfRule>
    <cfRule type="cellIs" dxfId="996" priority="700" operator="greaterThan">
      <formula>0</formula>
    </cfRule>
  </conditionalFormatting>
  <conditionalFormatting sqref="O49">
    <cfRule type="cellIs" dxfId="995" priority="693" operator="equal">
      <formula>"PMS"</formula>
    </cfRule>
    <cfRule type="containsText" dxfId="994" priority="694" operator="containsText" text="CMS">
      <formula>NOT(ISERROR(SEARCH("CMS",O49)))</formula>
    </cfRule>
    <cfRule type="cellIs" dxfId="993" priority="695" operator="equal">
      <formula>0</formula>
    </cfRule>
    <cfRule type="cellIs" dxfId="992" priority="696" operator="greaterThan">
      <formula>0</formula>
    </cfRule>
  </conditionalFormatting>
  <conditionalFormatting sqref="O49">
    <cfRule type="cellIs" dxfId="991" priority="689" operator="equal">
      <formula>"PMS"</formula>
    </cfRule>
    <cfRule type="containsText" dxfId="990" priority="690" operator="containsText" text="CMS">
      <formula>NOT(ISERROR(SEARCH("CMS",O49)))</formula>
    </cfRule>
    <cfRule type="cellIs" dxfId="989" priority="691" operator="equal">
      <formula>0</formula>
    </cfRule>
    <cfRule type="cellIs" dxfId="988" priority="692" operator="greaterThan">
      <formula>0</formula>
    </cfRule>
  </conditionalFormatting>
  <conditionalFormatting sqref="O49">
    <cfRule type="cellIs" dxfId="987" priority="685" operator="equal">
      <formula>"PMS"</formula>
    </cfRule>
    <cfRule type="containsText" dxfId="986" priority="686" operator="containsText" text="CMS">
      <formula>NOT(ISERROR(SEARCH("CMS",O49)))</formula>
    </cfRule>
    <cfRule type="cellIs" dxfId="985" priority="687" operator="equal">
      <formula>0</formula>
    </cfRule>
    <cfRule type="cellIs" dxfId="984" priority="688" operator="greaterThan">
      <formula>0</formula>
    </cfRule>
  </conditionalFormatting>
  <conditionalFormatting sqref="O49">
    <cfRule type="cellIs" dxfId="983" priority="681" operator="equal">
      <formula>"PMS"</formula>
    </cfRule>
    <cfRule type="containsText" dxfId="982" priority="682" operator="containsText" text="CMS">
      <formula>NOT(ISERROR(SEARCH("CMS",O49)))</formula>
    </cfRule>
    <cfRule type="cellIs" dxfId="981" priority="683" operator="equal">
      <formula>0</formula>
    </cfRule>
    <cfRule type="cellIs" dxfId="980" priority="684" operator="greaterThan">
      <formula>0</formula>
    </cfRule>
  </conditionalFormatting>
  <conditionalFormatting sqref="O49">
    <cfRule type="cellIs" dxfId="979" priority="677" operator="equal">
      <formula>"PMS"</formula>
    </cfRule>
    <cfRule type="containsText" dxfId="978" priority="678" operator="containsText" text="CMS">
      <formula>NOT(ISERROR(SEARCH("CMS",O49)))</formula>
    </cfRule>
    <cfRule type="cellIs" dxfId="977" priority="679" operator="equal">
      <formula>0</formula>
    </cfRule>
    <cfRule type="cellIs" dxfId="976" priority="680" operator="greaterThan">
      <formula>0</formula>
    </cfRule>
  </conditionalFormatting>
  <conditionalFormatting sqref="O49">
    <cfRule type="cellIs" dxfId="975" priority="673" operator="equal">
      <formula>"PMS"</formula>
    </cfRule>
    <cfRule type="containsText" dxfId="974" priority="674" operator="containsText" text="CMS">
      <formula>NOT(ISERROR(SEARCH("CMS",O49)))</formula>
    </cfRule>
    <cfRule type="cellIs" dxfId="973" priority="675" operator="equal">
      <formula>0</formula>
    </cfRule>
    <cfRule type="cellIs" dxfId="972" priority="676" operator="greaterThan">
      <formula>0</formula>
    </cfRule>
  </conditionalFormatting>
  <conditionalFormatting sqref="O49">
    <cfRule type="cellIs" dxfId="971" priority="669" operator="equal">
      <formula>"PMS"</formula>
    </cfRule>
    <cfRule type="containsText" dxfId="970" priority="670" operator="containsText" text="CMS">
      <formula>NOT(ISERROR(SEARCH("CMS",O49)))</formula>
    </cfRule>
    <cfRule type="cellIs" dxfId="969" priority="671" operator="equal">
      <formula>0</formula>
    </cfRule>
    <cfRule type="cellIs" dxfId="968" priority="672" operator="greaterThan">
      <formula>0</formula>
    </cfRule>
  </conditionalFormatting>
  <conditionalFormatting sqref="O49">
    <cfRule type="cellIs" dxfId="967" priority="665" operator="equal">
      <formula>"PMS"</formula>
    </cfRule>
    <cfRule type="containsText" dxfId="966" priority="666" operator="containsText" text="CMS">
      <formula>NOT(ISERROR(SEARCH("CMS",O49)))</formula>
    </cfRule>
    <cfRule type="cellIs" dxfId="965" priority="667" operator="equal">
      <formula>0</formula>
    </cfRule>
    <cfRule type="cellIs" dxfId="964" priority="668" operator="greaterThan">
      <formula>0</formula>
    </cfRule>
  </conditionalFormatting>
  <conditionalFormatting sqref="O49">
    <cfRule type="cellIs" dxfId="963" priority="661" operator="equal">
      <formula>"PMS"</formula>
    </cfRule>
    <cfRule type="containsText" dxfId="962" priority="662" operator="containsText" text="CMS">
      <formula>NOT(ISERROR(SEARCH("CMS",O49)))</formula>
    </cfRule>
    <cfRule type="cellIs" dxfId="961" priority="663" operator="equal">
      <formula>0</formula>
    </cfRule>
    <cfRule type="cellIs" dxfId="960" priority="664" operator="greaterThan">
      <formula>0</formula>
    </cfRule>
  </conditionalFormatting>
  <conditionalFormatting sqref="O49">
    <cfRule type="cellIs" dxfId="959" priority="657" operator="equal">
      <formula>"PMS"</formula>
    </cfRule>
    <cfRule type="containsText" dxfId="958" priority="658" operator="containsText" text="CMS">
      <formula>NOT(ISERROR(SEARCH("CMS",O49)))</formula>
    </cfRule>
    <cfRule type="cellIs" dxfId="957" priority="659" operator="equal">
      <formula>0</formula>
    </cfRule>
    <cfRule type="cellIs" dxfId="956" priority="660" operator="greaterThan">
      <formula>0</formula>
    </cfRule>
  </conditionalFormatting>
  <conditionalFormatting sqref="O49">
    <cfRule type="cellIs" dxfId="955" priority="653" operator="equal">
      <formula>"PMS"</formula>
    </cfRule>
    <cfRule type="containsText" dxfId="954" priority="654" operator="containsText" text="CMS">
      <formula>NOT(ISERROR(SEARCH("CMS",O49)))</formula>
    </cfRule>
    <cfRule type="cellIs" dxfId="953" priority="655" operator="equal">
      <formula>0</formula>
    </cfRule>
    <cfRule type="cellIs" dxfId="952" priority="656" operator="greaterThan">
      <formula>0</formula>
    </cfRule>
  </conditionalFormatting>
  <conditionalFormatting sqref="O49">
    <cfRule type="cellIs" dxfId="951" priority="649" operator="equal">
      <formula>"PMS"</formula>
    </cfRule>
    <cfRule type="containsText" dxfId="950" priority="650" operator="containsText" text="CMS">
      <formula>NOT(ISERROR(SEARCH("CMS",O49)))</formula>
    </cfRule>
    <cfRule type="cellIs" dxfId="949" priority="651" operator="equal">
      <formula>0</formula>
    </cfRule>
    <cfRule type="cellIs" dxfId="948" priority="652" operator="greaterThan">
      <formula>0</formula>
    </cfRule>
  </conditionalFormatting>
  <conditionalFormatting sqref="O49">
    <cfRule type="cellIs" dxfId="947" priority="645" operator="equal">
      <formula>"PMS"</formula>
    </cfRule>
    <cfRule type="containsText" dxfId="946" priority="646" operator="containsText" text="CMS">
      <formula>NOT(ISERROR(SEARCH("CMS",O49)))</formula>
    </cfRule>
    <cfRule type="cellIs" dxfId="945" priority="647" operator="equal">
      <formula>0</formula>
    </cfRule>
    <cfRule type="cellIs" dxfId="944" priority="648" operator="greaterThan">
      <formula>0</formula>
    </cfRule>
  </conditionalFormatting>
  <conditionalFormatting sqref="O49">
    <cfRule type="cellIs" dxfId="943" priority="641" operator="equal">
      <formula>"PMS"</formula>
    </cfRule>
    <cfRule type="containsText" dxfId="942" priority="642" operator="containsText" text="CMS">
      <formula>NOT(ISERROR(SEARCH("CMS",O49)))</formula>
    </cfRule>
    <cfRule type="cellIs" dxfId="941" priority="643" operator="equal">
      <formula>0</formula>
    </cfRule>
    <cfRule type="cellIs" dxfId="940" priority="644" operator="greaterThan">
      <formula>0</formula>
    </cfRule>
  </conditionalFormatting>
  <conditionalFormatting sqref="O49">
    <cfRule type="cellIs" dxfId="939" priority="637" operator="equal">
      <formula>"PMS"</formula>
    </cfRule>
    <cfRule type="containsText" dxfId="938" priority="638" operator="containsText" text="CMS">
      <formula>NOT(ISERROR(SEARCH("CMS",O49)))</formula>
    </cfRule>
    <cfRule type="cellIs" dxfId="937" priority="639" operator="equal">
      <formula>0</formula>
    </cfRule>
    <cfRule type="cellIs" dxfId="936" priority="640" operator="greaterThan">
      <formula>0</formula>
    </cfRule>
  </conditionalFormatting>
  <conditionalFormatting sqref="O49">
    <cfRule type="cellIs" dxfId="935" priority="633" operator="equal">
      <formula>"PMS"</formula>
    </cfRule>
    <cfRule type="containsText" dxfId="934" priority="634" operator="containsText" text="CMS">
      <formula>NOT(ISERROR(SEARCH("CMS",O49)))</formula>
    </cfRule>
    <cfRule type="cellIs" dxfId="933" priority="635" operator="equal">
      <formula>0</formula>
    </cfRule>
    <cfRule type="cellIs" dxfId="932" priority="636" operator="greaterThan">
      <formula>0</formula>
    </cfRule>
  </conditionalFormatting>
  <conditionalFormatting sqref="O49">
    <cfRule type="cellIs" dxfId="931" priority="629" operator="equal">
      <formula>"PMS"</formula>
    </cfRule>
    <cfRule type="containsText" dxfId="930" priority="630" operator="containsText" text="CMS">
      <formula>NOT(ISERROR(SEARCH("CMS",O49)))</formula>
    </cfRule>
    <cfRule type="cellIs" dxfId="929" priority="631" operator="equal">
      <formula>0</formula>
    </cfRule>
    <cfRule type="cellIs" dxfId="928" priority="632" operator="greaterThan">
      <formula>0</formula>
    </cfRule>
  </conditionalFormatting>
  <conditionalFormatting sqref="O49">
    <cfRule type="cellIs" dxfId="927" priority="625" operator="equal">
      <formula>"PMS"</formula>
    </cfRule>
    <cfRule type="containsText" dxfId="926" priority="626" operator="containsText" text="CMS">
      <formula>NOT(ISERROR(SEARCH("CMS",O49)))</formula>
    </cfRule>
    <cfRule type="cellIs" dxfId="925" priority="627" operator="equal">
      <formula>0</formula>
    </cfRule>
    <cfRule type="cellIs" dxfId="924" priority="628" operator="greaterThan">
      <formula>0</formula>
    </cfRule>
  </conditionalFormatting>
  <conditionalFormatting sqref="O49">
    <cfRule type="cellIs" dxfId="923" priority="621" operator="equal">
      <formula>"PMS"</formula>
    </cfRule>
    <cfRule type="containsText" dxfId="922" priority="622" operator="containsText" text="CMS">
      <formula>NOT(ISERROR(SEARCH("CMS",O49)))</formula>
    </cfRule>
    <cfRule type="cellIs" dxfId="921" priority="623" operator="equal">
      <formula>0</formula>
    </cfRule>
    <cfRule type="cellIs" dxfId="920" priority="624" operator="greaterThan">
      <formula>0</formula>
    </cfRule>
  </conditionalFormatting>
  <conditionalFormatting sqref="O49">
    <cfRule type="cellIs" dxfId="919" priority="617" operator="equal">
      <formula>"PMS"</formula>
    </cfRule>
    <cfRule type="containsText" dxfId="918" priority="618" operator="containsText" text="CMS">
      <formula>NOT(ISERROR(SEARCH("CMS",O49)))</formula>
    </cfRule>
    <cfRule type="cellIs" dxfId="917" priority="619" operator="equal">
      <formula>0</formula>
    </cfRule>
    <cfRule type="cellIs" dxfId="916" priority="620" operator="greaterThan">
      <formula>0</formula>
    </cfRule>
  </conditionalFormatting>
  <conditionalFormatting sqref="O49">
    <cfRule type="cellIs" dxfId="915" priority="613" operator="equal">
      <formula>"PMS"</formula>
    </cfRule>
    <cfRule type="containsText" dxfId="914" priority="614" operator="containsText" text="CMS">
      <formula>NOT(ISERROR(SEARCH("CMS",O49)))</formula>
    </cfRule>
    <cfRule type="cellIs" dxfId="913" priority="615" operator="equal">
      <formula>0</formula>
    </cfRule>
    <cfRule type="cellIs" dxfId="912" priority="616" operator="greaterThan">
      <formula>0</formula>
    </cfRule>
  </conditionalFormatting>
  <conditionalFormatting sqref="O49">
    <cfRule type="cellIs" dxfId="911" priority="609" operator="equal">
      <formula>"PMS"</formula>
    </cfRule>
    <cfRule type="containsText" dxfId="910" priority="610" operator="containsText" text="CMS">
      <formula>NOT(ISERROR(SEARCH("CMS",O49)))</formula>
    </cfRule>
    <cfRule type="cellIs" dxfId="909" priority="611" operator="equal">
      <formula>0</formula>
    </cfRule>
    <cfRule type="cellIs" dxfId="908" priority="612" operator="greaterThan">
      <formula>0</formula>
    </cfRule>
  </conditionalFormatting>
  <conditionalFormatting sqref="O49">
    <cfRule type="cellIs" dxfId="907" priority="605" operator="equal">
      <formula>"PMS"</formula>
    </cfRule>
    <cfRule type="containsText" dxfId="906" priority="606" operator="containsText" text="CMS">
      <formula>NOT(ISERROR(SEARCH("CMS",O49)))</formula>
    </cfRule>
    <cfRule type="cellIs" dxfId="905" priority="607" operator="equal">
      <formula>0</formula>
    </cfRule>
    <cfRule type="cellIs" dxfId="904" priority="608" operator="greaterThan">
      <formula>0</formula>
    </cfRule>
  </conditionalFormatting>
  <conditionalFormatting sqref="O49">
    <cfRule type="cellIs" dxfId="903" priority="601" operator="equal">
      <formula>"PMS"</formula>
    </cfRule>
    <cfRule type="containsText" dxfId="902" priority="602" operator="containsText" text="CMS">
      <formula>NOT(ISERROR(SEARCH("CMS",O49)))</formula>
    </cfRule>
    <cfRule type="cellIs" dxfId="901" priority="603" operator="equal">
      <formula>0</formula>
    </cfRule>
    <cfRule type="cellIs" dxfId="900" priority="604" operator="greaterThan">
      <formula>0</formula>
    </cfRule>
  </conditionalFormatting>
  <conditionalFormatting sqref="O52:O56">
    <cfRule type="cellIs" dxfId="899" priority="597" operator="equal">
      <formula>"PMS"</formula>
    </cfRule>
    <cfRule type="containsText" dxfId="898" priority="598" operator="containsText" text="CMS">
      <formula>NOT(ISERROR(SEARCH("CMS",O52)))</formula>
    </cfRule>
    <cfRule type="cellIs" dxfId="897" priority="599" operator="equal">
      <formula>0</formula>
    </cfRule>
    <cfRule type="cellIs" dxfId="896" priority="600" operator="greaterThan">
      <formula>0</formula>
    </cfRule>
  </conditionalFormatting>
  <conditionalFormatting sqref="O52:O56">
    <cfRule type="cellIs" dxfId="895" priority="593" operator="equal">
      <formula>"PMS"</formula>
    </cfRule>
    <cfRule type="containsText" dxfId="894" priority="594" operator="containsText" text="CMS">
      <formula>NOT(ISERROR(SEARCH("CMS",O52)))</formula>
    </cfRule>
    <cfRule type="cellIs" dxfId="893" priority="595" operator="equal">
      <formula>0</formula>
    </cfRule>
    <cfRule type="cellIs" dxfId="892" priority="596" operator="greaterThan">
      <formula>0</formula>
    </cfRule>
  </conditionalFormatting>
  <conditionalFormatting sqref="O52:O56">
    <cfRule type="cellIs" dxfId="891" priority="589" operator="equal">
      <formula>"PMS"</formula>
    </cfRule>
    <cfRule type="containsText" dxfId="890" priority="590" operator="containsText" text="CMS">
      <formula>NOT(ISERROR(SEARCH("CMS",O52)))</formula>
    </cfRule>
    <cfRule type="cellIs" dxfId="889" priority="591" operator="equal">
      <formula>0</formula>
    </cfRule>
    <cfRule type="cellIs" dxfId="888" priority="592" operator="greaterThan">
      <formula>0</formula>
    </cfRule>
  </conditionalFormatting>
  <conditionalFormatting sqref="O52:O56">
    <cfRule type="cellIs" dxfId="887" priority="585" operator="equal">
      <formula>"PMS"</formula>
    </cfRule>
    <cfRule type="containsText" dxfId="886" priority="586" operator="containsText" text="CMS">
      <formula>NOT(ISERROR(SEARCH("CMS",O52)))</formula>
    </cfRule>
    <cfRule type="cellIs" dxfId="885" priority="587" operator="equal">
      <formula>0</formula>
    </cfRule>
    <cfRule type="cellIs" dxfId="884" priority="588" operator="greaterThan">
      <formula>0</formula>
    </cfRule>
  </conditionalFormatting>
  <conditionalFormatting sqref="O52:O56">
    <cfRule type="cellIs" dxfId="883" priority="581" operator="equal">
      <formula>"PMS"</formula>
    </cfRule>
    <cfRule type="containsText" dxfId="882" priority="582" operator="containsText" text="CMS">
      <formula>NOT(ISERROR(SEARCH("CMS",O52)))</formula>
    </cfRule>
    <cfRule type="cellIs" dxfId="881" priority="583" operator="equal">
      <formula>0</formula>
    </cfRule>
    <cfRule type="cellIs" dxfId="880" priority="584" operator="greaterThan">
      <formula>0</formula>
    </cfRule>
  </conditionalFormatting>
  <conditionalFormatting sqref="O52:O56">
    <cfRule type="cellIs" dxfId="879" priority="577" operator="equal">
      <formula>"PMS"</formula>
    </cfRule>
    <cfRule type="containsText" dxfId="878" priority="578" operator="containsText" text="CMS">
      <formula>NOT(ISERROR(SEARCH("CMS",O52)))</formula>
    </cfRule>
    <cfRule type="cellIs" dxfId="877" priority="579" operator="equal">
      <formula>0</formula>
    </cfRule>
    <cfRule type="cellIs" dxfId="876" priority="580" operator="greaterThan">
      <formula>0</formula>
    </cfRule>
  </conditionalFormatting>
  <conditionalFormatting sqref="O52:O56">
    <cfRule type="cellIs" dxfId="875" priority="573" operator="equal">
      <formula>"PMS"</formula>
    </cfRule>
    <cfRule type="containsText" dxfId="874" priority="574" operator="containsText" text="CMS">
      <formula>NOT(ISERROR(SEARCH("CMS",O52)))</formula>
    </cfRule>
    <cfRule type="cellIs" dxfId="873" priority="575" operator="equal">
      <formula>0</formula>
    </cfRule>
    <cfRule type="cellIs" dxfId="872" priority="576" operator="greaterThan">
      <formula>0</formula>
    </cfRule>
  </conditionalFormatting>
  <conditionalFormatting sqref="O52:O56">
    <cfRule type="cellIs" dxfId="871" priority="569" operator="equal">
      <formula>"PMS"</formula>
    </cfRule>
    <cfRule type="containsText" dxfId="870" priority="570" operator="containsText" text="CMS">
      <formula>NOT(ISERROR(SEARCH("CMS",O52)))</formula>
    </cfRule>
    <cfRule type="cellIs" dxfId="869" priority="571" operator="equal">
      <formula>0</formula>
    </cfRule>
    <cfRule type="cellIs" dxfId="868" priority="572" operator="greaterThan">
      <formula>0</formula>
    </cfRule>
  </conditionalFormatting>
  <conditionalFormatting sqref="O52:O56">
    <cfRule type="cellIs" dxfId="867" priority="565" operator="equal">
      <formula>"PMS"</formula>
    </cfRule>
    <cfRule type="containsText" dxfId="866" priority="566" operator="containsText" text="CMS">
      <formula>NOT(ISERROR(SEARCH("CMS",O52)))</formula>
    </cfRule>
    <cfRule type="cellIs" dxfId="865" priority="567" operator="equal">
      <formula>0</formula>
    </cfRule>
    <cfRule type="cellIs" dxfId="864" priority="568" operator="greaterThan">
      <formula>0</formula>
    </cfRule>
  </conditionalFormatting>
  <conditionalFormatting sqref="O52:O56">
    <cfRule type="cellIs" dxfId="863" priority="561" operator="equal">
      <formula>"PMS"</formula>
    </cfRule>
    <cfRule type="containsText" dxfId="862" priority="562" operator="containsText" text="CMS">
      <formula>NOT(ISERROR(SEARCH("CMS",O52)))</formula>
    </cfRule>
    <cfRule type="cellIs" dxfId="861" priority="563" operator="equal">
      <formula>0</formula>
    </cfRule>
    <cfRule type="cellIs" dxfId="860" priority="564" operator="greaterThan">
      <formula>0</formula>
    </cfRule>
  </conditionalFormatting>
  <conditionalFormatting sqref="O52:O56">
    <cfRule type="cellIs" dxfId="859" priority="557" operator="equal">
      <formula>"PMS"</formula>
    </cfRule>
    <cfRule type="containsText" dxfId="858" priority="558" operator="containsText" text="CMS">
      <formula>NOT(ISERROR(SEARCH("CMS",O52)))</formula>
    </cfRule>
    <cfRule type="cellIs" dxfId="857" priority="559" operator="equal">
      <formula>0</formula>
    </cfRule>
    <cfRule type="cellIs" dxfId="856" priority="560" operator="greaterThan">
      <formula>0</formula>
    </cfRule>
  </conditionalFormatting>
  <conditionalFormatting sqref="O52:O56">
    <cfRule type="cellIs" dxfId="855" priority="553" operator="equal">
      <formula>"PMS"</formula>
    </cfRule>
    <cfRule type="containsText" dxfId="854" priority="554" operator="containsText" text="CMS">
      <formula>NOT(ISERROR(SEARCH("CMS",O52)))</formula>
    </cfRule>
    <cfRule type="cellIs" dxfId="853" priority="555" operator="equal">
      <formula>0</formula>
    </cfRule>
    <cfRule type="cellIs" dxfId="852" priority="556" operator="greaterThan">
      <formula>0</formula>
    </cfRule>
  </conditionalFormatting>
  <conditionalFormatting sqref="O52:O56">
    <cfRule type="cellIs" dxfId="851" priority="549" operator="equal">
      <formula>"PMS"</formula>
    </cfRule>
    <cfRule type="containsText" dxfId="850" priority="550" operator="containsText" text="CMS">
      <formula>NOT(ISERROR(SEARCH("CMS",O52)))</formula>
    </cfRule>
    <cfRule type="cellIs" dxfId="849" priority="551" operator="equal">
      <formula>0</formula>
    </cfRule>
    <cfRule type="cellIs" dxfId="848" priority="552" operator="greaterThan">
      <formula>0</formula>
    </cfRule>
  </conditionalFormatting>
  <conditionalFormatting sqref="O52:O56">
    <cfRule type="cellIs" dxfId="847" priority="545" operator="equal">
      <formula>"PMS"</formula>
    </cfRule>
    <cfRule type="containsText" dxfId="846" priority="546" operator="containsText" text="CMS">
      <formula>NOT(ISERROR(SEARCH("CMS",O52)))</formula>
    </cfRule>
    <cfRule type="cellIs" dxfId="845" priority="547" operator="equal">
      <formula>0</formula>
    </cfRule>
    <cfRule type="cellIs" dxfId="844" priority="548" operator="greaterThan">
      <formula>0</formula>
    </cfRule>
  </conditionalFormatting>
  <conditionalFormatting sqref="O52:O56">
    <cfRule type="cellIs" dxfId="843" priority="541" operator="equal">
      <formula>"PMS"</formula>
    </cfRule>
    <cfRule type="containsText" dxfId="842" priority="542" operator="containsText" text="CMS">
      <formula>NOT(ISERROR(SEARCH("CMS",O52)))</formula>
    </cfRule>
    <cfRule type="cellIs" dxfId="841" priority="543" operator="equal">
      <formula>0</formula>
    </cfRule>
    <cfRule type="cellIs" dxfId="840" priority="544" operator="greaterThan">
      <formula>0</formula>
    </cfRule>
  </conditionalFormatting>
  <conditionalFormatting sqref="O52:O56">
    <cfRule type="cellIs" dxfId="839" priority="537" operator="equal">
      <formula>"PMS"</formula>
    </cfRule>
    <cfRule type="containsText" dxfId="838" priority="538" operator="containsText" text="CMS">
      <formula>NOT(ISERROR(SEARCH("CMS",O52)))</formula>
    </cfRule>
    <cfRule type="cellIs" dxfId="837" priority="539" operator="equal">
      <formula>0</formula>
    </cfRule>
    <cfRule type="cellIs" dxfId="836" priority="540" operator="greaterThan">
      <formula>0</formula>
    </cfRule>
  </conditionalFormatting>
  <conditionalFormatting sqref="O52:O56">
    <cfRule type="cellIs" dxfId="835" priority="533" operator="equal">
      <formula>"PMS"</formula>
    </cfRule>
    <cfRule type="containsText" dxfId="834" priority="534" operator="containsText" text="CMS">
      <formula>NOT(ISERROR(SEARCH("CMS",O52)))</formula>
    </cfRule>
    <cfRule type="cellIs" dxfId="833" priority="535" operator="equal">
      <formula>0</formula>
    </cfRule>
    <cfRule type="cellIs" dxfId="832" priority="536" operator="greaterThan">
      <formula>0</formula>
    </cfRule>
  </conditionalFormatting>
  <conditionalFormatting sqref="O52:O56">
    <cfRule type="cellIs" dxfId="831" priority="529" operator="equal">
      <formula>"PMS"</formula>
    </cfRule>
    <cfRule type="containsText" dxfId="830" priority="530" operator="containsText" text="CMS">
      <formula>NOT(ISERROR(SEARCH("CMS",O52)))</formula>
    </cfRule>
    <cfRule type="cellIs" dxfId="829" priority="531" operator="equal">
      <formula>0</formula>
    </cfRule>
    <cfRule type="cellIs" dxfId="828" priority="532" operator="greaterThan">
      <formula>0</formula>
    </cfRule>
  </conditionalFormatting>
  <conditionalFormatting sqref="O52:O56">
    <cfRule type="cellIs" dxfId="827" priority="525" operator="equal">
      <formula>"PMS"</formula>
    </cfRule>
    <cfRule type="containsText" dxfId="826" priority="526" operator="containsText" text="CMS">
      <formula>NOT(ISERROR(SEARCH("CMS",O52)))</formula>
    </cfRule>
    <cfRule type="cellIs" dxfId="825" priority="527" operator="equal">
      <formula>0</formula>
    </cfRule>
    <cfRule type="cellIs" dxfId="824" priority="528" operator="greaterThan">
      <formula>0</formula>
    </cfRule>
  </conditionalFormatting>
  <conditionalFormatting sqref="O52:O56">
    <cfRule type="cellIs" dxfId="823" priority="521" operator="equal">
      <formula>"PMS"</formula>
    </cfRule>
    <cfRule type="containsText" dxfId="822" priority="522" operator="containsText" text="CMS">
      <formula>NOT(ISERROR(SEARCH("CMS",O52)))</formula>
    </cfRule>
    <cfRule type="cellIs" dxfId="821" priority="523" operator="equal">
      <formula>0</formula>
    </cfRule>
    <cfRule type="cellIs" dxfId="820" priority="524" operator="greaterThan">
      <formula>0</formula>
    </cfRule>
  </conditionalFormatting>
  <conditionalFormatting sqref="O52:O56">
    <cfRule type="cellIs" dxfId="819" priority="517" operator="equal">
      <formula>"PMS"</formula>
    </cfRule>
    <cfRule type="containsText" dxfId="818" priority="518" operator="containsText" text="CMS">
      <formula>NOT(ISERROR(SEARCH("CMS",O52)))</formula>
    </cfRule>
    <cfRule type="cellIs" dxfId="817" priority="519" operator="equal">
      <formula>0</formula>
    </cfRule>
    <cfRule type="cellIs" dxfId="816" priority="520" operator="greaterThan">
      <formula>0</formula>
    </cfRule>
  </conditionalFormatting>
  <conditionalFormatting sqref="O52:O56">
    <cfRule type="cellIs" dxfId="815" priority="513" operator="equal">
      <formula>"PMS"</formula>
    </cfRule>
    <cfRule type="containsText" dxfId="814" priority="514" operator="containsText" text="CMS">
      <formula>NOT(ISERROR(SEARCH("CMS",O52)))</formula>
    </cfRule>
    <cfRule type="cellIs" dxfId="813" priority="515" operator="equal">
      <formula>0</formula>
    </cfRule>
    <cfRule type="cellIs" dxfId="812" priority="516" operator="greaterThan">
      <formula>0</formula>
    </cfRule>
  </conditionalFormatting>
  <conditionalFormatting sqref="O52:O56">
    <cfRule type="cellIs" dxfId="811" priority="509" operator="equal">
      <formula>"PMS"</formula>
    </cfRule>
    <cfRule type="containsText" dxfId="810" priority="510" operator="containsText" text="CMS">
      <formula>NOT(ISERROR(SEARCH("CMS",O52)))</formula>
    </cfRule>
    <cfRule type="cellIs" dxfId="809" priority="511" operator="equal">
      <formula>0</formula>
    </cfRule>
    <cfRule type="cellIs" dxfId="808" priority="512" operator="greaterThan">
      <formula>0</formula>
    </cfRule>
  </conditionalFormatting>
  <conditionalFormatting sqref="O52:O56">
    <cfRule type="cellIs" dxfId="807" priority="505" operator="equal">
      <formula>"PMS"</formula>
    </cfRule>
    <cfRule type="containsText" dxfId="806" priority="506" operator="containsText" text="CMS">
      <formula>NOT(ISERROR(SEARCH("CMS",O52)))</formula>
    </cfRule>
    <cfRule type="cellIs" dxfId="805" priority="507" operator="equal">
      <formula>0</formula>
    </cfRule>
    <cfRule type="cellIs" dxfId="804" priority="508" operator="greaterThan">
      <formula>0</formula>
    </cfRule>
  </conditionalFormatting>
  <conditionalFormatting sqref="O52:O56">
    <cfRule type="cellIs" dxfId="803" priority="501" operator="equal">
      <formula>"PMS"</formula>
    </cfRule>
    <cfRule type="containsText" dxfId="802" priority="502" operator="containsText" text="CMS">
      <formula>NOT(ISERROR(SEARCH("CMS",O52)))</formula>
    </cfRule>
    <cfRule type="cellIs" dxfId="801" priority="503" operator="equal">
      <formula>0</formula>
    </cfRule>
    <cfRule type="cellIs" dxfId="800" priority="504" operator="greaterThan">
      <formula>0</formula>
    </cfRule>
  </conditionalFormatting>
  <conditionalFormatting sqref="O52:O56">
    <cfRule type="cellIs" dxfId="799" priority="497" operator="equal">
      <formula>"PMS"</formula>
    </cfRule>
    <cfRule type="containsText" dxfId="798" priority="498" operator="containsText" text="CMS">
      <formula>NOT(ISERROR(SEARCH("CMS",O52)))</formula>
    </cfRule>
    <cfRule type="cellIs" dxfId="797" priority="499" operator="equal">
      <formula>0</formula>
    </cfRule>
    <cfRule type="cellIs" dxfId="796" priority="500" operator="greaterThan">
      <formula>0</formula>
    </cfRule>
  </conditionalFormatting>
  <conditionalFormatting sqref="O52:O56">
    <cfRule type="cellIs" dxfId="795" priority="493" operator="equal">
      <formula>"PMS"</formula>
    </cfRule>
    <cfRule type="containsText" dxfId="794" priority="494" operator="containsText" text="CMS">
      <formula>NOT(ISERROR(SEARCH("CMS",O52)))</formula>
    </cfRule>
    <cfRule type="cellIs" dxfId="793" priority="495" operator="equal">
      <formula>0</formula>
    </cfRule>
    <cfRule type="cellIs" dxfId="792" priority="496" operator="greaterThan">
      <formula>0</formula>
    </cfRule>
  </conditionalFormatting>
  <conditionalFormatting sqref="O52:O56">
    <cfRule type="cellIs" dxfId="791" priority="489" operator="equal">
      <formula>"PMS"</formula>
    </cfRule>
    <cfRule type="containsText" dxfId="790" priority="490" operator="containsText" text="CMS">
      <formula>NOT(ISERROR(SEARCH("CMS",O52)))</formula>
    </cfRule>
    <cfRule type="cellIs" dxfId="789" priority="491" operator="equal">
      <formula>0</formula>
    </cfRule>
    <cfRule type="cellIs" dxfId="788" priority="492" operator="greaterThan">
      <formula>0</formula>
    </cfRule>
  </conditionalFormatting>
  <conditionalFormatting sqref="O52:O56">
    <cfRule type="cellIs" dxfId="787" priority="485" operator="equal">
      <formula>"PMS"</formula>
    </cfRule>
    <cfRule type="containsText" dxfId="786" priority="486" operator="containsText" text="CMS">
      <formula>NOT(ISERROR(SEARCH("CMS",O52)))</formula>
    </cfRule>
    <cfRule type="cellIs" dxfId="785" priority="487" operator="equal">
      <formula>0</formula>
    </cfRule>
    <cfRule type="cellIs" dxfId="784" priority="488" operator="greaterThan">
      <formula>0</formula>
    </cfRule>
  </conditionalFormatting>
  <conditionalFormatting sqref="O52:O56">
    <cfRule type="cellIs" dxfId="783" priority="481" operator="equal">
      <formula>"PMS"</formula>
    </cfRule>
    <cfRule type="containsText" dxfId="782" priority="482" operator="containsText" text="CMS">
      <formula>NOT(ISERROR(SEARCH("CMS",O52)))</formula>
    </cfRule>
    <cfRule type="cellIs" dxfId="781" priority="483" operator="equal">
      <formula>0</formula>
    </cfRule>
    <cfRule type="cellIs" dxfId="780" priority="484" operator="greaterThan">
      <formula>0</formula>
    </cfRule>
  </conditionalFormatting>
  <conditionalFormatting sqref="O52:O56">
    <cfRule type="cellIs" dxfId="779" priority="477" operator="equal">
      <formula>"PMS"</formula>
    </cfRule>
    <cfRule type="containsText" dxfId="778" priority="478" operator="containsText" text="CMS">
      <formula>NOT(ISERROR(SEARCH("CMS",O52)))</formula>
    </cfRule>
    <cfRule type="cellIs" dxfId="777" priority="479" operator="equal">
      <formula>0</formula>
    </cfRule>
    <cfRule type="cellIs" dxfId="776" priority="480" operator="greaterThan">
      <formula>0</formula>
    </cfRule>
  </conditionalFormatting>
  <conditionalFormatting sqref="O52:O56">
    <cfRule type="cellIs" dxfId="775" priority="473" operator="equal">
      <formula>"PMS"</formula>
    </cfRule>
    <cfRule type="containsText" dxfId="774" priority="474" operator="containsText" text="CMS">
      <formula>NOT(ISERROR(SEARCH("CMS",O52)))</formula>
    </cfRule>
    <cfRule type="cellIs" dxfId="773" priority="475" operator="equal">
      <formula>0</formula>
    </cfRule>
    <cfRule type="cellIs" dxfId="772" priority="476" operator="greaterThan">
      <formula>0</formula>
    </cfRule>
  </conditionalFormatting>
  <conditionalFormatting sqref="O52:O56">
    <cfRule type="cellIs" dxfId="771" priority="469" operator="equal">
      <formula>"PMS"</formula>
    </cfRule>
    <cfRule type="containsText" dxfId="770" priority="470" operator="containsText" text="CMS">
      <formula>NOT(ISERROR(SEARCH("CMS",O52)))</formula>
    </cfRule>
    <cfRule type="cellIs" dxfId="769" priority="471" operator="equal">
      <formula>0</formula>
    </cfRule>
    <cfRule type="cellIs" dxfId="768" priority="472" operator="greaterThan">
      <formula>0</formula>
    </cfRule>
  </conditionalFormatting>
  <conditionalFormatting sqref="O52:O56">
    <cfRule type="cellIs" dxfId="767" priority="465" operator="equal">
      <formula>"PMS"</formula>
    </cfRule>
    <cfRule type="containsText" dxfId="766" priority="466" operator="containsText" text="CMS">
      <formula>NOT(ISERROR(SEARCH("CMS",O52)))</formula>
    </cfRule>
    <cfRule type="cellIs" dxfId="765" priority="467" operator="equal">
      <formula>0</formula>
    </cfRule>
    <cfRule type="cellIs" dxfId="764" priority="468" operator="greaterThan">
      <formula>0</formula>
    </cfRule>
  </conditionalFormatting>
  <conditionalFormatting sqref="O52:O56">
    <cfRule type="cellIs" dxfId="763" priority="461" operator="equal">
      <formula>"PMS"</formula>
    </cfRule>
    <cfRule type="containsText" dxfId="762" priority="462" operator="containsText" text="CMS">
      <formula>NOT(ISERROR(SEARCH("CMS",O52)))</formula>
    </cfRule>
    <cfRule type="cellIs" dxfId="761" priority="463" operator="equal">
      <formula>0</formula>
    </cfRule>
    <cfRule type="cellIs" dxfId="760" priority="464" operator="greaterThan">
      <formula>0</formula>
    </cfRule>
  </conditionalFormatting>
  <conditionalFormatting sqref="O52:O56">
    <cfRule type="cellIs" dxfId="759" priority="457" operator="equal">
      <formula>"PMS"</formula>
    </cfRule>
    <cfRule type="containsText" dxfId="758" priority="458" operator="containsText" text="CMS">
      <formula>NOT(ISERROR(SEARCH("CMS",O52)))</formula>
    </cfRule>
    <cfRule type="cellIs" dxfId="757" priority="459" operator="equal">
      <formula>0</formula>
    </cfRule>
    <cfRule type="cellIs" dxfId="756" priority="460" operator="greaterThan">
      <formula>0</formula>
    </cfRule>
  </conditionalFormatting>
  <conditionalFormatting sqref="O52:O56">
    <cfRule type="cellIs" dxfId="755" priority="453" operator="equal">
      <formula>"PMS"</formula>
    </cfRule>
    <cfRule type="containsText" dxfId="754" priority="454" operator="containsText" text="CMS">
      <formula>NOT(ISERROR(SEARCH("CMS",O52)))</formula>
    </cfRule>
    <cfRule type="cellIs" dxfId="753" priority="455" operator="equal">
      <formula>0</formula>
    </cfRule>
    <cfRule type="cellIs" dxfId="752" priority="456" operator="greaterThan">
      <formula>0</formula>
    </cfRule>
  </conditionalFormatting>
  <conditionalFormatting sqref="O52:O56">
    <cfRule type="cellIs" dxfId="751" priority="449" operator="equal">
      <formula>"PMS"</formula>
    </cfRule>
    <cfRule type="containsText" dxfId="750" priority="450" operator="containsText" text="CMS">
      <formula>NOT(ISERROR(SEARCH("CMS",O52)))</formula>
    </cfRule>
    <cfRule type="cellIs" dxfId="749" priority="451" operator="equal">
      <formula>0</formula>
    </cfRule>
    <cfRule type="cellIs" dxfId="748" priority="452" operator="greaterThan">
      <formula>0</formula>
    </cfRule>
  </conditionalFormatting>
  <conditionalFormatting sqref="O52:O56">
    <cfRule type="cellIs" dxfId="747" priority="445" operator="equal">
      <formula>"PMS"</formula>
    </cfRule>
    <cfRule type="containsText" dxfId="746" priority="446" operator="containsText" text="CMS">
      <formula>NOT(ISERROR(SEARCH("CMS",O52)))</formula>
    </cfRule>
    <cfRule type="cellIs" dxfId="745" priority="447" operator="equal">
      <formula>0</formula>
    </cfRule>
    <cfRule type="cellIs" dxfId="744" priority="448" operator="greaterThan">
      <formula>0</formula>
    </cfRule>
  </conditionalFormatting>
  <conditionalFormatting sqref="O52:O56">
    <cfRule type="cellIs" dxfId="743" priority="441" operator="equal">
      <formula>"PMS"</formula>
    </cfRule>
    <cfRule type="containsText" dxfId="742" priority="442" operator="containsText" text="CMS">
      <formula>NOT(ISERROR(SEARCH("CMS",O52)))</formula>
    </cfRule>
    <cfRule type="cellIs" dxfId="741" priority="443" operator="equal">
      <formula>0</formula>
    </cfRule>
    <cfRule type="cellIs" dxfId="740" priority="444" operator="greaterThan">
      <formula>0</formula>
    </cfRule>
  </conditionalFormatting>
  <conditionalFormatting sqref="O52:O56">
    <cfRule type="cellIs" dxfId="739" priority="437" operator="equal">
      <formula>"PMS"</formula>
    </cfRule>
    <cfRule type="containsText" dxfId="738" priority="438" operator="containsText" text="CMS">
      <formula>NOT(ISERROR(SEARCH("CMS",O52)))</formula>
    </cfRule>
    <cfRule type="cellIs" dxfId="737" priority="439" operator="equal">
      <formula>0</formula>
    </cfRule>
    <cfRule type="cellIs" dxfId="736" priority="440" operator="greaterThan">
      <formula>0</formula>
    </cfRule>
  </conditionalFormatting>
  <conditionalFormatting sqref="O52:O56">
    <cfRule type="cellIs" dxfId="735" priority="433" operator="equal">
      <formula>"PMS"</formula>
    </cfRule>
    <cfRule type="containsText" dxfId="734" priority="434" operator="containsText" text="CMS">
      <formula>NOT(ISERROR(SEARCH("CMS",O52)))</formula>
    </cfRule>
    <cfRule type="cellIs" dxfId="733" priority="435" operator="equal">
      <formula>0</formula>
    </cfRule>
    <cfRule type="cellIs" dxfId="732" priority="436" operator="greaterThan">
      <formula>0</formula>
    </cfRule>
  </conditionalFormatting>
  <conditionalFormatting sqref="O52:O56">
    <cfRule type="cellIs" dxfId="731" priority="429" operator="equal">
      <formula>"PMS"</formula>
    </cfRule>
    <cfRule type="containsText" dxfId="730" priority="430" operator="containsText" text="CMS">
      <formula>NOT(ISERROR(SEARCH("CMS",O52)))</formula>
    </cfRule>
    <cfRule type="cellIs" dxfId="729" priority="431" operator="equal">
      <formula>0</formula>
    </cfRule>
    <cfRule type="cellIs" dxfId="728" priority="432" operator="greaterThan">
      <formula>0</formula>
    </cfRule>
  </conditionalFormatting>
  <conditionalFormatting sqref="O52:O56">
    <cfRule type="cellIs" dxfId="727" priority="425" operator="equal">
      <formula>"PMS"</formula>
    </cfRule>
    <cfRule type="containsText" dxfId="726" priority="426" operator="containsText" text="CMS">
      <formula>NOT(ISERROR(SEARCH("CMS",O52)))</formula>
    </cfRule>
    <cfRule type="cellIs" dxfId="725" priority="427" operator="equal">
      <formula>0</formula>
    </cfRule>
    <cfRule type="cellIs" dxfId="724" priority="428" operator="greaterThan">
      <formula>0</formula>
    </cfRule>
  </conditionalFormatting>
  <conditionalFormatting sqref="O52:O56">
    <cfRule type="cellIs" dxfId="723" priority="421" operator="equal">
      <formula>"PMS"</formula>
    </cfRule>
    <cfRule type="containsText" dxfId="722" priority="422" operator="containsText" text="CMS">
      <formula>NOT(ISERROR(SEARCH("CMS",O52)))</formula>
    </cfRule>
    <cfRule type="cellIs" dxfId="721" priority="423" operator="equal">
      <formula>0</formula>
    </cfRule>
    <cfRule type="cellIs" dxfId="720" priority="424" operator="greaterThan">
      <formula>0</formula>
    </cfRule>
  </conditionalFormatting>
  <conditionalFormatting sqref="O52:O56">
    <cfRule type="cellIs" dxfId="719" priority="417" operator="equal">
      <formula>"PMS"</formula>
    </cfRule>
    <cfRule type="containsText" dxfId="718" priority="418" operator="containsText" text="CMS">
      <formula>NOT(ISERROR(SEARCH("CMS",O52)))</formula>
    </cfRule>
    <cfRule type="cellIs" dxfId="717" priority="419" operator="equal">
      <formula>0</formula>
    </cfRule>
    <cfRule type="cellIs" dxfId="716" priority="420" operator="greaterThan">
      <formula>0</formula>
    </cfRule>
  </conditionalFormatting>
  <conditionalFormatting sqref="O52:O56">
    <cfRule type="cellIs" dxfId="715" priority="413" operator="equal">
      <formula>"PMS"</formula>
    </cfRule>
    <cfRule type="containsText" dxfId="714" priority="414" operator="containsText" text="CMS">
      <formula>NOT(ISERROR(SEARCH("CMS",O52)))</formula>
    </cfRule>
    <cfRule type="cellIs" dxfId="713" priority="415" operator="equal">
      <formula>0</formula>
    </cfRule>
    <cfRule type="cellIs" dxfId="712" priority="416" operator="greaterThan">
      <formula>0</formula>
    </cfRule>
  </conditionalFormatting>
  <conditionalFormatting sqref="O52:O56">
    <cfRule type="cellIs" dxfId="711" priority="409" operator="equal">
      <formula>"PMS"</formula>
    </cfRule>
    <cfRule type="containsText" dxfId="710" priority="410" operator="containsText" text="CMS">
      <formula>NOT(ISERROR(SEARCH("CMS",O52)))</formula>
    </cfRule>
    <cfRule type="cellIs" dxfId="709" priority="411" operator="equal">
      <formula>0</formula>
    </cfRule>
    <cfRule type="cellIs" dxfId="708" priority="412" operator="greaterThan">
      <formula>0</formula>
    </cfRule>
  </conditionalFormatting>
  <conditionalFormatting sqref="O52:O56">
    <cfRule type="cellIs" dxfId="707" priority="405" operator="equal">
      <formula>"PMS"</formula>
    </cfRule>
    <cfRule type="containsText" dxfId="706" priority="406" operator="containsText" text="CMS">
      <formula>NOT(ISERROR(SEARCH("CMS",O52)))</formula>
    </cfRule>
    <cfRule type="cellIs" dxfId="705" priority="407" operator="equal">
      <formula>0</formula>
    </cfRule>
    <cfRule type="cellIs" dxfId="704" priority="408" operator="greaterThan">
      <formula>0</formula>
    </cfRule>
  </conditionalFormatting>
  <conditionalFormatting sqref="O52:O56">
    <cfRule type="cellIs" dxfId="703" priority="401" operator="equal">
      <formula>"PMS"</formula>
    </cfRule>
    <cfRule type="containsText" dxfId="702" priority="402" operator="containsText" text="CMS">
      <formula>NOT(ISERROR(SEARCH("CMS",O52)))</formula>
    </cfRule>
    <cfRule type="cellIs" dxfId="701" priority="403" operator="equal">
      <formula>0</formula>
    </cfRule>
    <cfRule type="cellIs" dxfId="700" priority="404" operator="greaterThan">
      <formula>0</formula>
    </cfRule>
  </conditionalFormatting>
  <conditionalFormatting sqref="O52:O56">
    <cfRule type="cellIs" dxfId="699" priority="397" operator="equal">
      <formula>"PMS"</formula>
    </cfRule>
    <cfRule type="containsText" dxfId="698" priority="398" operator="containsText" text="CMS">
      <formula>NOT(ISERROR(SEARCH("CMS",O52)))</formula>
    </cfRule>
    <cfRule type="cellIs" dxfId="697" priority="399" operator="equal">
      <formula>0</formula>
    </cfRule>
    <cfRule type="cellIs" dxfId="696" priority="400" operator="greaterThan">
      <formula>0</formula>
    </cfRule>
  </conditionalFormatting>
  <conditionalFormatting sqref="O52:O56">
    <cfRule type="cellIs" dxfId="695" priority="393" operator="equal">
      <formula>"PMS"</formula>
    </cfRule>
    <cfRule type="containsText" dxfId="694" priority="394" operator="containsText" text="CMS">
      <formula>NOT(ISERROR(SEARCH("CMS",O52)))</formula>
    </cfRule>
    <cfRule type="cellIs" dxfId="693" priority="395" operator="equal">
      <formula>0</formula>
    </cfRule>
    <cfRule type="cellIs" dxfId="692" priority="396" operator="greaterThan">
      <formula>0</formula>
    </cfRule>
  </conditionalFormatting>
  <conditionalFormatting sqref="O52:O56">
    <cfRule type="cellIs" dxfId="691" priority="389" operator="equal">
      <formula>"PMS"</formula>
    </cfRule>
    <cfRule type="containsText" dxfId="690" priority="390" operator="containsText" text="CMS">
      <formula>NOT(ISERROR(SEARCH("CMS",O52)))</formula>
    </cfRule>
    <cfRule type="cellIs" dxfId="689" priority="391" operator="equal">
      <formula>0</formula>
    </cfRule>
    <cfRule type="cellIs" dxfId="688" priority="392" operator="greaterThan">
      <formula>0</formula>
    </cfRule>
  </conditionalFormatting>
  <conditionalFormatting sqref="O52:O56">
    <cfRule type="cellIs" dxfId="687" priority="385" operator="equal">
      <formula>"PMS"</formula>
    </cfRule>
    <cfRule type="containsText" dxfId="686" priority="386" operator="containsText" text="CMS">
      <formula>NOT(ISERROR(SEARCH("CMS",O52)))</formula>
    </cfRule>
    <cfRule type="cellIs" dxfId="685" priority="387" operator="equal">
      <formula>0</formula>
    </cfRule>
    <cfRule type="cellIs" dxfId="684" priority="388" operator="greaterThan">
      <formula>0</formula>
    </cfRule>
  </conditionalFormatting>
  <conditionalFormatting sqref="O52:O56">
    <cfRule type="cellIs" dxfId="683" priority="381" operator="equal">
      <formula>"PMS"</formula>
    </cfRule>
    <cfRule type="containsText" dxfId="682" priority="382" operator="containsText" text="CMS">
      <formula>NOT(ISERROR(SEARCH("CMS",O52)))</formula>
    </cfRule>
    <cfRule type="cellIs" dxfId="681" priority="383" operator="equal">
      <formula>0</formula>
    </cfRule>
    <cfRule type="cellIs" dxfId="680" priority="384" operator="greaterThan">
      <formula>0</formula>
    </cfRule>
  </conditionalFormatting>
  <conditionalFormatting sqref="O52:O56">
    <cfRule type="cellIs" dxfId="679" priority="377" operator="equal">
      <formula>"PMS"</formula>
    </cfRule>
    <cfRule type="containsText" dxfId="678" priority="378" operator="containsText" text="CMS">
      <formula>NOT(ISERROR(SEARCH("CMS",O52)))</formula>
    </cfRule>
    <cfRule type="cellIs" dxfId="677" priority="379" operator="equal">
      <formula>0</formula>
    </cfRule>
    <cfRule type="cellIs" dxfId="676" priority="380" operator="greaterThan">
      <formula>0</formula>
    </cfRule>
  </conditionalFormatting>
  <conditionalFormatting sqref="O52:O56">
    <cfRule type="cellIs" dxfId="675" priority="373" operator="equal">
      <formula>"PMS"</formula>
    </cfRule>
    <cfRule type="containsText" dxfId="674" priority="374" operator="containsText" text="CMS">
      <formula>NOT(ISERROR(SEARCH("CMS",O52)))</formula>
    </cfRule>
    <cfRule type="cellIs" dxfId="673" priority="375" operator="equal">
      <formula>0</formula>
    </cfRule>
    <cfRule type="cellIs" dxfId="672" priority="376" operator="greaterThan">
      <formula>0</formula>
    </cfRule>
  </conditionalFormatting>
  <conditionalFormatting sqref="O52:O56">
    <cfRule type="cellIs" dxfId="671" priority="369" operator="equal">
      <formula>"PMS"</formula>
    </cfRule>
    <cfRule type="containsText" dxfId="670" priority="370" operator="containsText" text="CMS">
      <formula>NOT(ISERROR(SEARCH("CMS",O52)))</formula>
    </cfRule>
    <cfRule type="cellIs" dxfId="669" priority="371" operator="equal">
      <formula>0</formula>
    </cfRule>
    <cfRule type="cellIs" dxfId="668" priority="372" operator="greaterThan">
      <formula>0</formula>
    </cfRule>
  </conditionalFormatting>
  <conditionalFormatting sqref="O52:O56">
    <cfRule type="cellIs" dxfId="667" priority="365" operator="equal">
      <formula>"PMS"</formula>
    </cfRule>
    <cfRule type="containsText" dxfId="666" priority="366" operator="containsText" text="CMS">
      <formula>NOT(ISERROR(SEARCH("CMS",O52)))</formula>
    </cfRule>
    <cfRule type="cellIs" dxfId="665" priority="367" operator="equal">
      <formula>0</formula>
    </cfRule>
    <cfRule type="cellIs" dxfId="664" priority="368" operator="greaterThan">
      <formula>0</formula>
    </cfRule>
  </conditionalFormatting>
  <conditionalFormatting sqref="O52:O56">
    <cfRule type="cellIs" dxfId="663" priority="361" operator="equal">
      <formula>"PMS"</formula>
    </cfRule>
    <cfRule type="containsText" dxfId="662" priority="362" operator="containsText" text="CMS">
      <formula>NOT(ISERROR(SEARCH("CMS",O52)))</formula>
    </cfRule>
    <cfRule type="cellIs" dxfId="661" priority="363" operator="equal">
      <formula>0</formula>
    </cfRule>
    <cfRule type="cellIs" dxfId="660" priority="364" operator="greaterThan">
      <formula>0</formula>
    </cfRule>
  </conditionalFormatting>
  <conditionalFormatting sqref="O52:O56">
    <cfRule type="cellIs" dxfId="659" priority="357" operator="equal">
      <formula>"PMS"</formula>
    </cfRule>
    <cfRule type="containsText" dxfId="658" priority="358" operator="containsText" text="CMS">
      <formula>NOT(ISERROR(SEARCH("CMS",O52)))</formula>
    </cfRule>
    <cfRule type="cellIs" dxfId="657" priority="359" operator="equal">
      <formula>0</formula>
    </cfRule>
    <cfRule type="cellIs" dxfId="656" priority="360" operator="greaterThan">
      <formula>0</formula>
    </cfRule>
  </conditionalFormatting>
  <conditionalFormatting sqref="O52:O56">
    <cfRule type="cellIs" dxfId="655" priority="353" operator="equal">
      <formula>"PMS"</formula>
    </cfRule>
    <cfRule type="containsText" dxfId="654" priority="354" operator="containsText" text="CMS">
      <formula>NOT(ISERROR(SEARCH("CMS",O52)))</formula>
    </cfRule>
    <cfRule type="cellIs" dxfId="653" priority="355" operator="equal">
      <formula>0</formula>
    </cfRule>
    <cfRule type="cellIs" dxfId="652" priority="356" operator="greaterThan">
      <formula>0</formula>
    </cfRule>
  </conditionalFormatting>
  <conditionalFormatting sqref="O52:O56">
    <cfRule type="cellIs" dxfId="651" priority="349" operator="equal">
      <formula>"PMS"</formula>
    </cfRule>
    <cfRule type="containsText" dxfId="650" priority="350" operator="containsText" text="CMS">
      <formula>NOT(ISERROR(SEARCH("CMS",O52)))</formula>
    </cfRule>
    <cfRule type="cellIs" dxfId="649" priority="351" operator="equal">
      <formula>0</formula>
    </cfRule>
    <cfRule type="cellIs" dxfId="648" priority="352" operator="greaterThan">
      <formula>0</formula>
    </cfRule>
  </conditionalFormatting>
  <conditionalFormatting sqref="O52:O56">
    <cfRule type="cellIs" dxfId="647" priority="345" operator="equal">
      <formula>"PMS"</formula>
    </cfRule>
    <cfRule type="containsText" dxfId="646" priority="346" operator="containsText" text="CMS">
      <formula>NOT(ISERROR(SEARCH("CMS",O52)))</formula>
    </cfRule>
    <cfRule type="cellIs" dxfId="645" priority="347" operator="equal">
      <formula>0</formula>
    </cfRule>
    <cfRule type="cellIs" dxfId="644" priority="348" operator="greaterThan">
      <formula>0</formula>
    </cfRule>
  </conditionalFormatting>
  <conditionalFormatting sqref="O52:O56">
    <cfRule type="cellIs" dxfId="643" priority="341" operator="equal">
      <formula>"PMS"</formula>
    </cfRule>
    <cfRule type="containsText" dxfId="642" priority="342" operator="containsText" text="CMS">
      <formula>NOT(ISERROR(SEARCH("CMS",O52)))</formula>
    </cfRule>
    <cfRule type="cellIs" dxfId="641" priority="343" operator="equal">
      <formula>0</formula>
    </cfRule>
    <cfRule type="cellIs" dxfId="640" priority="344" operator="greaterThan">
      <formula>0</formula>
    </cfRule>
  </conditionalFormatting>
  <conditionalFormatting sqref="O52:O56">
    <cfRule type="cellIs" dxfId="639" priority="337" operator="equal">
      <formula>"PMS"</formula>
    </cfRule>
    <cfRule type="containsText" dxfId="638" priority="338" operator="containsText" text="CMS">
      <formula>NOT(ISERROR(SEARCH("CMS",O52)))</formula>
    </cfRule>
    <cfRule type="cellIs" dxfId="637" priority="339" operator="equal">
      <formula>0</formula>
    </cfRule>
    <cfRule type="cellIs" dxfId="636" priority="340" operator="greaterThan">
      <formula>0</formula>
    </cfRule>
  </conditionalFormatting>
  <conditionalFormatting sqref="O52:O56">
    <cfRule type="cellIs" dxfId="635" priority="333" operator="equal">
      <formula>"PMS"</formula>
    </cfRule>
    <cfRule type="containsText" dxfId="634" priority="334" operator="containsText" text="CMS">
      <formula>NOT(ISERROR(SEARCH("CMS",O52)))</formula>
    </cfRule>
    <cfRule type="cellIs" dxfId="633" priority="335" operator="equal">
      <formula>0</formula>
    </cfRule>
    <cfRule type="cellIs" dxfId="632" priority="336" operator="greaterThan">
      <formula>0</formula>
    </cfRule>
  </conditionalFormatting>
  <conditionalFormatting sqref="O52:O56">
    <cfRule type="cellIs" dxfId="631" priority="329" operator="equal">
      <formula>"PMS"</formula>
    </cfRule>
    <cfRule type="containsText" dxfId="630" priority="330" operator="containsText" text="CMS">
      <formula>NOT(ISERROR(SEARCH("CMS",O52)))</formula>
    </cfRule>
    <cfRule type="cellIs" dxfId="629" priority="331" operator="equal">
      <formula>0</formula>
    </cfRule>
    <cfRule type="cellIs" dxfId="628" priority="332" operator="greaterThan">
      <formula>0</formula>
    </cfRule>
  </conditionalFormatting>
  <conditionalFormatting sqref="O52:O56">
    <cfRule type="cellIs" dxfId="627" priority="325" operator="equal">
      <formula>"PMS"</formula>
    </cfRule>
    <cfRule type="containsText" dxfId="626" priority="326" operator="containsText" text="CMS">
      <formula>NOT(ISERROR(SEARCH("CMS",O52)))</formula>
    </cfRule>
    <cfRule type="cellIs" dxfId="625" priority="327" operator="equal">
      <formula>0</formula>
    </cfRule>
    <cfRule type="cellIs" dxfId="624" priority="328" operator="greaterThan">
      <formula>0</formula>
    </cfRule>
  </conditionalFormatting>
  <conditionalFormatting sqref="O52:O56">
    <cfRule type="cellIs" dxfId="623" priority="321" operator="equal">
      <formula>"PMS"</formula>
    </cfRule>
    <cfRule type="containsText" dxfId="622" priority="322" operator="containsText" text="CMS">
      <formula>NOT(ISERROR(SEARCH("CMS",O52)))</formula>
    </cfRule>
    <cfRule type="cellIs" dxfId="621" priority="323" operator="equal">
      <formula>0</formula>
    </cfRule>
    <cfRule type="cellIs" dxfId="620" priority="324" operator="greaterThan">
      <formula>0</formula>
    </cfRule>
  </conditionalFormatting>
  <conditionalFormatting sqref="O52:O56">
    <cfRule type="cellIs" dxfId="619" priority="317" operator="equal">
      <formula>"PMS"</formula>
    </cfRule>
    <cfRule type="containsText" dxfId="618" priority="318" operator="containsText" text="CMS">
      <formula>NOT(ISERROR(SEARCH("CMS",O52)))</formula>
    </cfRule>
    <cfRule type="cellIs" dxfId="617" priority="319" operator="equal">
      <formula>0</formula>
    </cfRule>
    <cfRule type="cellIs" dxfId="616" priority="320" operator="greaterThan">
      <formula>0</formula>
    </cfRule>
  </conditionalFormatting>
  <conditionalFormatting sqref="O52:O56">
    <cfRule type="cellIs" dxfId="615" priority="313" operator="equal">
      <formula>"PMS"</formula>
    </cfRule>
    <cfRule type="containsText" dxfId="614" priority="314" operator="containsText" text="CMS">
      <formula>NOT(ISERROR(SEARCH("CMS",O52)))</formula>
    </cfRule>
    <cfRule type="cellIs" dxfId="613" priority="315" operator="equal">
      <formula>0</formula>
    </cfRule>
    <cfRule type="cellIs" dxfId="612" priority="316" operator="greaterThan">
      <formula>0</formula>
    </cfRule>
  </conditionalFormatting>
  <conditionalFormatting sqref="O52:O56">
    <cfRule type="cellIs" dxfId="611" priority="309" operator="equal">
      <formula>"PMS"</formula>
    </cfRule>
    <cfRule type="containsText" dxfId="610" priority="310" operator="containsText" text="CMS">
      <formula>NOT(ISERROR(SEARCH("CMS",O52)))</formula>
    </cfRule>
    <cfRule type="cellIs" dxfId="609" priority="311" operator="equal">
      <formula>0</formula>
    </cfRule>
    <cfRule type="cellIs" dxfId="608" priority="312" operator="greaterThan">
      <formula>0</formula>
    </cfRule>
  </conditionalFormatting>
  <conditionalFormatting sqref="O52:O56">
    <cfRule type="cellIs" dxfId="607" priority="305" operator="equal">
      <formula>"PMS"</formula>
    </cfRule>
    <cfRule type="containsText" dxfId="606" priority="306" operator="containsText" text="CMS">
      <formula>NOT(ISERROR(SEARCH("CMS",O52)))</formula>
    </cfRule>
    <cfRule type="cellIs" dxfId="605" priority="307" operator="equal">
      <formula>0</formula>
    </cfRule>
    <cfRule type="cellIs" dxfId="604" priority="308" operator="greaterThan">
      <formula>0</formula>
    </cfRule>
  </conditionalFormatting>
  <conditionalFormatting sqref="O58">
    <cfRule type="cellIs" dxfId="603" priority="301" operator="equal">
      <formula>"PMS"</formula>
    </cfRule>
    <cfRule type="containsText" dxfId="602" priority="302" operator="containsText" text="CMS">
      <formula>NOT(ISERROR(SEARCH("CMS",O58)))</formula>
    </cfRule>
    <cfRule type="cellIs" dxfId="601" priority="303" operator="equal">
      <formula>0</formula>
    </cfRule>
    <cfRule type="cellIs" dxfId="600" priority="304" operator="greaterThan">
      <formula>0</formula>
    </cfRule>
  </conditionalFormatting>
  <conditionalFormatting sqref="O58">
    <cfRule type="cellIs" dxfId="599" priority="297" operator="equal">
      <formula>"PMS"</formula>
    </cfRule>
    <cfRule type="containsText" dxfId="598" priority="298" operator="containsText" text="CMS">
      <formula>NOT(ISERROR(SEARCH("CMS",O58)))</formula>
    </cfRule>
    <cfRule type="cellIs" dxfId="597" priority="299" operator="equal">
      <formula>0</formula>
    </cfRule>
    <cfRule type="cellIs" dxfId="596" priority="300" operator="greaterThan">
      <formula>0</formula>
    </cfRule>
  </conditionalFormatting>
  <conditionalFormatting sqref="O58">
    <cfRule type="cellIs" dxfId="595" priority="293" operator="equal">
      <formula>"PMS"</formula>
    </cfRule>
    <cfRule type="containsText" dxfId="594" priority="294" operator="containsText" text="CMS">
      <formula>NOT(ISERROR(SEARCH("CMS",O58)))</formula>
    </cfRule>
    <cfRule type="cellIs" dxfId="593" priority="295" operator="equal">
      <formula>0</formula>
    </cfRule>
    <cfRule type="cellIs" dxfId="592" priority="296" operator="greaterThan">
      <formula>0</formula>
    </cfRule>
  </conditionalFormatting>
  <conditionalFormatting sqref="O58">
    <cfRule type="cellIs" dxfId="591" priority="289" operator="equal">
      <formula>"PMS"</formula>
    </cfRule>
    <cfRule type="containsText" dxfId="590" priority="290" operator="containsText" text="CMS">
      <formula>NOT(ISERROR(SEARCH("CMS",O58)))</formula>
    </cfRule>
    <cfRule type="cellIs" dxfId="589" priority="291" operator="equal">
      <formula>0</formula>
    </cfRule>
    <cfRule type="cellIs" dxfId="588" priority="292" operator="greaterThan">
      <formula>0</formula>
    </cfRule>
  </conditionalFormatting>
  <conditionalFormatting sqref="O58">
    <cfRule type="cellIs" dxfId="587" priority="285" operator="equal">
      <formula>"PMS"</formula>
    </cfRule>
    <cfRule type="containsText" dxfId="586" priority="286" operator="containsText" text="CMS">
      <formula>NOT(ISERROR(SEARCH("CMS",O58)))</formula>
    </cfRule>
    <cfRule type="cellIs" dxfId="585" priority="287" operator="equal">
      <formula>0</formula>
    </cfRule>
    <cfRule type="cellIs" dxfId="584" priority="288" operator="greaterThan">
      <formula>0</formula>
    </cfRule>
  </conditionalFormatting>
  <conditionalFormatting sqref="O58">
    <cfRule type="cellIs" dxfId="583" priority="281" operator="equal">
      <formula>"PMS"</formula>
    </cfRule>
    <cfRule type="containsText" dxfId="582" priority="282" operator="containsText" text="CMS">
      <formula>NOT(ISERROR(SEARCH("CMS",O58)))</formula>
    </cfRule>
    <cfRule type="cellIs" dxfId="581" priority="283" operator="equal">
      <formula>0</formula>
    </cfRule>
    <cfRule type="cellIs" dxfId="580" priority="284" operator="greaterThan">
      <formula>0</formula>
    </cfRule>
  </conditionalFormatting>
  <conditionalFormatting sqref="O58">
    <cfRule type="cellIs" dxfId="579" priority="277" operator="equal">
      <formula>"PMS"</formula>
    </cfRule>
    <cfRule type="containsText" dxfId="578" priority="278" operator="containsText" text="CMS">
      <formula>NOT(ISERROR(SEARCH("CMS",O58)))</formula>
    </cfRule>
    <cfRule type="cellIs" dxfId="577" priority="279" operator="equal">
      <formula>0</formula>
    </cfRule>
    <cfRule type="cellIs" dxfId="576" priority="280" operator="greaterThan">
      <formula>0</formula>
    </cfRule>
  </conditionalFormatting>
  <conditionalFormatting sqref="O58">
    <cfRule type="cellIs" dxfId="575" priority="273" operator="equal">
      <formula>"PMS"</formula>
    </cfRule>
    <cfRule type="containsText" dxfId="574" priority="274" operator="containsText" text="CMS">
      <formula>NOT(ISERROR(SEARCH("CMS",O58)))</formula>
    </cfRule>
    <cfRule type="cellIs" dxfId="573" priority="275" operator="equal">
      <formula>0</formula>
    </cfRule>
    <cfRule type="cellIs" dxfId="572" priority="276" operator="greaterThan">
      <formula>0</formula>
    </cfRule>
  </conditionalFormatting>
  <conditionalFormatting sqref="O58">
    <cfRule type="cellIs" dxfId="571" priority="269" operator="equal">
      <formula>"PMS"</formula>
    </cfRule>
    <cfRule type="containsText" dxfId="570" priority="270" operator="containsText" text="CMS">
      <formula>NOT(ISERROR(SEARCH("CMS",O58)))</formula>
    </cfRule>
    <cfRule type="cellIs" dxfId="569" priority="271" operator="equal">
      <formula>0</formula>
    </cfRule>
    <cfRule type="cellIs" dxfId="568" priority="272" operator="greaterThan">
      <formula>0</formula>
    </cfRule>
  </conditionalFormatting>
  <conditionalFormatting sqref="O58">
    <cfRule type="cellIs" dxfId="567" priority="265" operator="equal">
      <formula>"PMS"</formula>
    </cfRule>
    <cfRule type="containsText" dxfId="566" priority="266" operator="containsText" text="CMS">
      <formula>NOT(ISERROR(SEARCH("CMS",O58)))</formula>
    </cfRule>
    <cfRule type="cellIs" dxfId="565" priority="267" operator="equal">
      <formula>0</formula>
    </cfRule>
    <cfRule type="cellIs" dxfId="564" priority="268" operator="greaterThan">
      <formula>0</formula>
    </cfRule>
  </conditionalFormatting>
  <conditionalFormatting sqref="O58">
    <cfRule type="cellIs" dxfId="563" priority="261" operator="equal">
      <formula>"PMS"</formula>
    </cfRule>
    <cfRule type="containsText" dxfId="562" priority="262" operator="containsText" text="CMS">
      <formula>NOT(ISERROR(SEARCH("CMS",O58)))</formula>
    </cfRule>
    <cfRule type="cellIs" dxfId="561" priority="263" operator="equal">
      <formula>0</formula>
    </cfRule>
    <cfRule type="cellIs" dxfId="560" priority="264" operator="greaterThan">
      <formula>0</formula>
    </cfRule>
  </conditionalFormatting>
  <conditionalFormatting sqref="O58">
    <cfRule type="cellIs" dxfId="559" priority="257" operator="equal">
      <formula>"PMS"</formula>
    </cfRule>
    <cfRule type="containsText" dxfId="558" priority="258" operator="containsText" text="CMS">
      <formula>NOT(ISERROR(SEARCH("CMS",O58)))</formula>
    </cfRule>
    <cfRule type="cellIs" dxfId="557" priority="259" operator="equal">
      <formula>0</formula>
    </cfRule>
    <cfRule type="cellIs" dxfId="556" priority="260" operator="greaterThan">
      <formula>0</formula>
    </cfRule>
  </conditionalFormatting>
  <conditionalFormatting sqref="O58">
    <cfRule type="cellIs" dxfId="555" priority="253" operator="equal">
      <formula>"PMS"</formula>
    </cfRule>
    <cfRule type="containsText" dxfId="554" priority="254" operator="containsText" text="CMS">
      <formula>NOT(ISERROR(SEARCH("CMS",O58)))</formula>
    </cfRule>
    <cfRule type="cellIs" dxfId="553" priority="255" operator="equal">
      <formula>0</formula>
    </cfRule>
    <cfRule type="cellIs" dxfId="552" priority="256" operator="greaterThan">
      <formula>0</formula>
    </cfRule>
  </conditionalFormatting>
  <conditionalFormatting sqref="O58">
    <cfRule type="cellIs" dxfId="551" priority="249" operator="equal">
      <formula>"PMS"</formula>
    </cfRule>
    <cfRule type="containsText" dxfId="550" priority="250" operator="containsText" text="CMS">
      <formula>NOT(ISERROR(SEARCH("CMS",O58)))</formula>
    </cfRule>
    <cfRule type="cellIs" dxfId="549" priority="251" operator="equal">
      <formula>0</formula>
    </cfRule>
    <cfRule type="cellIs" dxfId="548" priority="252" operator="greaterThan">
      <formula>0</formula>
    </cfRule>
  </conditionalFormatting>
  <conditionalFormatting sqref="O58">
    <cfRule type="cellIs" dxfId="547" priority="245" operator="equal">
      <formula>"PMS"</formula>
    </cfRule>
    <cfRule type="containsText" dxfId="546" priority="246" operator="containsText" text="CMS">
      <formula>NOT(ISERROR(SEARCH("CMS",O58)))</formula>
    </cfRule>
    <cfRule type="cellIs" dxfId="545" priority="247" operator="equal">
      <formula>0</formula>
    </cfRule>
    <cfRule type="cellIs" dxfId="544" priority="248" operator="greaterThan">
      <formula>0</formula>
    </cfRule>
  </conditionalFormatting>
  <conditionalFormatting sqref="O58">
    <cfRule type="cellIs" dxfId="543" priority="241" operator="equal">
      <formula>"PMS"</formula>
    </cfRule>
    <cfRule type="containsText" dxfId="542" priority="242" operator="containsText" text="CMS">
      <formula>NOT(ISERROR(SEARCH("CMS",O58)))</formula>
    </cfRule>
    <cfRule type="cellIs" dxfId="541" priority="243" operator="equal">
      <formula>0</formula>
    </cfRule>
    <cfRule type="cellIs" dxfId="540" priority="244" operator="greaterThan">
      <formula>0</formula>
    </cfRule>
  </conditionalFormatting>
  <conditionalFormatting sqref="O58">
    <cfRule type="cellIs" dxfId="539" priority="237" operator="equal">
      <formula>"PMS"</formula>
    </cfRule>
    <cfRule type="containsText" dxfId="538" priority="238" operator="containsText" text="CMS">
      <formula>NOT(ISERROR(SEARCH("CMS",O58)))</formula>
    </cfRule>
    <cfRule type="cellIs" dxfId="537" priority="239" operator="equal">
      <formula>0</formula>
    </cfRule>
    <cfRule type="cellIs" dxfId="536" priority="240" operator="greaterThan">
      <formula>0</formula>
    </cfRule>
  </conditionalFormatting>
  <conditionalFormatting sqref="O58">
    <cfRule type="cellIs" dxfId="535" priority="233" operator="equal">
      <formula>"PMS"</formula>
    </cfRule>
    <cfRule type="containsText" dxfId="534" priority="234" operator="containsText" text="CMS">
      <formula>NOT(ISERROR(SEARCH("CMS",O58)))</formula>
    </cfRule>
    <cfRule type="cellIs" dxfId="533" priority="235" operator="equal">
      <formula>0</formula>
    </cfRule>
    <cfRule type="cellIs" dxfId="532" priority="236" operator="greaterThan">
      <formula>0</formula>
    </cfRule>
  </conditionalFormatting>
  <conditionalFormatting sqref="O58">
    <cfRule type="cellIs" dxfId="531" priority="229" operator="equal">
      <formula>"PMS"</formula>
    </cfRule>
    <cfRule type="containsText" dxfId="530" priority="230" operator="containsText" text="CMS">
      <formula>NOT(ISERROR(SEARCH("CMS",O58)))</formula>
    </cfRule>
    <cfRule type="cellIs" dxfId="529" priority="231" operator="equal">
      <formula>0</formula>
    </cfRule>
    <cfRule type="cellIs" dxfId="528" priority="232" operator="greaterThan">
      <formula>0</formula>
    </cfRule>
  </conditionalFormatting>
  <conditionalFormatting sqref="O58">
    <cfRule type="cellIs" dxfId="527" priority="225" operator="equal">
      <formula>"PMS"</formula>
    </cfRule>
    <cfRule type="containsText" dxfId="526" priority="226" operator="containsText" text="CMS">
      <formula>NOT(ISERROR(SEARCH("CMS",O58)))</formula>
    </cfRule>
    <cfRule type="cellIs" dxfId="525" priority="227" operator="equal">
      <formula>0</formula>
    </cfRule>
    <cfRule type="cellIs" dxfId="524" priority="228" operator="greaterThan">
      <formula>0</formula>
    </cfRule>
  </conditionalFormatting>
  <conditionalFormatting sqref="O58">
    <cfRule type="cellIs" dxfId="523" priority="221" operator="equal">
      <formula>"PMS"</formula>
    </cfRule>
    <cfRule type="containsText" dxfId="522" priority="222" operator="containsText" text="CMS">
      <formula>NOT(ISERROR(SEARCH("CMS",O58)))</formula>
    </cfRule>
    <cfRule type="cellIs" dxfId="521" priority="223" operator="equal">
      <formula>0</formula>
    </cfRule>
    <cfRule type="cellIs" dxfId="520" priority="224" operator="greaterThan">
      <formula>0</formula>
    </cfRule>
  </conditionalFormatting>
  <conditionalFormatting sqref="O58">
    <cfRule type="cellIs" dxfId="519" priority="217" operator="equal">
      <formula>"PMS"</formula>
    </cfRule>
    <cfRule type="containsText" dxfId="518" priority="218" operator="containsText" text="CMS">
      <formula>NOT(ISERROR(SEARCH("CMS",O58)))</formula>
    </cfRule>
    <cfRule type="cellIs" dxfId="517" priority="219" operator="equal">
      <formula>0</formula>
    </cfRule>
    <cfRule type="cellIs" dxfId="516" priority="220" operator="greaterThan">
      <formula>0</formula>
    </cfRule>
  </conditionalFormatting>
  <conditionalFormatting sqref="O58">
    <cfRule type="cellIs" dxfId="515" priority="213" operator="equal">
      <formula>"PMS"</formula>
    </cfRule>
    <cfRule type="containsText" dxfId="514" priority="214" operator="containsText" text="CMS">
      <formula>NOT(ISERROR(SEARCH("CMS",O58)))</formula>
    </cfRule>
    <cfRule type="cellIs" dxfId="513" priority="215" operator="equal">
      <formula>0</formula>
    </cfRule>
    <cfRule type="cellIs" dxfId="512" priority="216" operator="greaterThan">
      <formula>0</formula>
    </cfRule>
  </conditionalFormatting>
  <conditionalFormatting sqref="O58">
    <cfRule type="cellIs" dxfId="511" priority="209" operator="equal">
      <formula>"PMS"</formula>
    </cfRule>
    <cfRule type="containsText" dxfId="510" priority="210" operator="containsText" text="CMS">
      <formula>NOT(ISERROR(SEARCH("CMS",O58)))</formula>
    </cfRule>
    <cfRule type="cellIs" dxfId="509" priority="211" operator="equal">
      <formula>0</formula>
    </cfRule>
    <cfRule type="cellIs" dxfId="508" priority="212" operator="greaterThan">
      <formula>0</formula>
    </cfRule>
  </conditionalFormatting>
  <conditionalFormatting sqref="O58">
    <cfRule type="cellIs" dxfId="507" priority="205" operator="equal">
      <formula>"PMS"</formula>
    </cfRule>
    <cfRule type="containsText" dxfId="506" priority="206" operator="containsText" text="CMS">
      <formula>NOT(ISERROR(SEARCH("CMS",O58)))</formula>
    </cfRule>
    <cfRule type="cellIs" dxfId="505" priority="207" operator="equal">
      <formula>0</formula>
    </cfRule>
    <cfRule type="cellIs" dxfId="504" priority="208" operator="greaterThan">
      <formula>0</formula>
    </cfRule>
  </conditionalFormatting>
  <conditionalFormatting sqref="O58">
    <cfRule type="cellIs" dxfId="503" priority="201" operator="equal">
      <formula>"PMS"</formula>
    </cfRule>
    <cfRule type="containsText" dxfId="502" priority="202" operator="containsText" text="CMS">
      <formula>NOT(ISERROR(SEARCH("CMS",O58)))</formula>
    </cfRule>
    <cfRule type="cellIs" dxfId="501" priority="203" operator="equal">
      <formula>0</formula>
    </cfRule>
    <cfRule type="cellIs" dxfId="500" priority="204" operator="greaterThan">
      <formula>0</formula>
    </cfRule>
  </conditionalFormatting>
  <conditionalFormatting sqref="O58">
    <cfRule type="cellIs" dxfId="499" priority="197" operator="equal">
      <formula>"PMS"</formula>
    </cfRule>
    <cfRule type="containsText" dxfId="498" priority="198" operator="containsText" text="CMS">
      <formula>NOT(ISERROR(SEARCH("CMS",O58)))</formula>
    </cfRule>
    <cfRule type="cellIs" dxfId="497" priority="199" operator="equal">
      <formula>0</formula>
    </cfRule>
    <cfRule type="cellIs" dxfId="496" priority="200" operator="greaterThan">
      <formula>0</formula>
    </cfRule>
  </conditionalFormatting>
  <conditionalFormatting sqref="O58">
    <cfRule type="cellIs" dxfId="495" priority="193" operator="equal">
      <formula>"PMS"</formula>
    </cfRule>
    <cfRule type="containsText" dxfId="494" priority="194" operator="containsText" text="CMS">
      <formula>NOT(ISERROR(SEARCH("CMS",O58)))</formula>
    </cfRule>
    <cfRule type="cellIs" dxfId="493" priority="195" operator="equal">
      <formula>0</formula>
    </cfRule>
    <cfRule type="cellIs" dxfId="492" priority="196" operator="greaterThan">
      <formula>0</formula>
    </cfRule>
  </conditionalFormatting>
  <conditionalFormatting sqref="O58">
    <cfRule type="cellIs" dxfId="491" priority="189" operator="equal">
      <formula>"PMS"</formula>
    </cfRule>
    <cfRule type="containsText" dxfId="490" priority="190" operator="containsText" text="CMS">
      <formula>NOT(ISERROR(SEARCH("CMS",O58)))</formula>
    </cfRule>
    <cfRule type="cellIs" dxfId="489" priority="191" operator="equal">
      <formula>0</formula>
    </cfRule>
    <cfRule type="cellIs" dxfId="488" priority="192" operator="greaterThan">
      <formula>0</formula>
    </cfRule>
  </conditionalFormatting>
  <conditionalFormatting sqref="O58">
    <cfRule type="cellIs" dxfId="487" priority="185" operator="equal">
      <formula>"PMS"</formula>
    </cfRule>
    <cfRule type="containsText" dxfId="486" priority="186" operator="containsText" text="CMS">
      <formula>NOT(ISERROR(SEARCH("CMS",O58)))</formula>
    </cfRule>
    <cfRule type="cellIs" dxfId="485" priority="187" operator="equal">
      <formula>0</formula>
    </cfRule>
    <cfRule type="cellIs" dxfId="484" priority="188" operator="greaterThan">
      <formula>0</formula>
    </cfRule>
  </conditionalFormatting>
  <conditionalFormatting sqref="O58">
    <cfRule type="cellIs" dxfId="483" priority="181" operator="equal">
      <formula>"PMS"</formula>
    </cfRule>
    <cfRule type="containsText" dxfId="482" priority="182" operator="containsText" text="CMS">
      <formula>NOT(ISERROR(SEARCH("CMS",O58)))</formula>
    </cfRule>
    <cfRule type="cellIs" dxfId="481" priority="183" operator="equal">
      <formula>0</formula>
    </cfRule>
    <cfRule type="cellIs" dxfId="480" priority="184" operator="greaterThan">
      <formula>0</formula>
    </cfRule>
  </conditionalFormatting>
  <conditionalFormatting sqref="O58">
    <cfRule type="cellIs" dxfId="479" priority="177" operator="equal">
      <formula>"PMS"</formula>
    </cfRule>
    <cfRule type="containsText" dxfId="478" priority="178" operator="containsText" text="CMS">
      <formula>NOT(ISERROR(SEARCH("CMS",O58)))</formula>
    </cfRule>
    <cfRule type="cellIs" dxfId="477" priority="179" operator="equal">
      <formula>0</formula>
    </cfRule>
    <cfRule type="cellIs" dxfId="476" priority="180" operator="greaterThan">
      <formula>0</formula>
    </cfRule>
  </conditionalFormatting>
  <conditionalFormatting sqref="O58">
    <cfRule type="cellIs" dxfId="475" priority="173" operator="equal">
      <formula>"PMS"</formula>
    </cfRule>
    <cfRule type="containsText" dxfId="474" priority="174" operator="containsText" text="CMS">
      <formula>NOT(ISERROR(SEARCH("CMS",O58)))</formula>
    </cfRule>
    <cfRule type="cellIs" dxfId="473" priority="175" operator="equal">
      <formula>0</formula>
    </cfRule>
    <cfRule type="cellIs" dxfId="472" priority="176" operator="greaterThan">
      <formula>0</formula>
    </cfRule>
  </conditionalFormatting>
  <conditionalFormatting sqref="O58">
    <cfRule type="cellIs" dxfId="471" priority="169" operator="equal">
      <formula>"PMS"</formula>
    </cfRule>
    <cfRule type="containsText" dxfId="470" priority="170" operator="containsText" text="CMS">
      <formula>NOT(ISERROR(SEARCH("CMS",O58)))</formula>
    </cfRule>
    <cfRule type="cellIs" dxfId="469" priority="171" operator="equal">
      <formula>0</formula>
    </cfRule>
    <cfRule type="cellIs" dxfId="468" priority="172" operator="greaterThan">
      <formula>0</formula>
    </cfRule>
  </conditionalFormatting>
  <conditionalFormatting sqref="O58">
    <cfRule type="cellIs" dxfId="467" priority="165" operator="equal">
      <formula>"PMS"</formula>
    </cfRule>
    <cfRule type="containsText" dxfId="466" priority="166" operator="containsText" text="CMS">
      <formula>NOT(ISERROR(SEARCH("CMS",O58)))</formula>
    </cfRule>
    <cfRule type="cellIs" dxfId="465" priority="167" operator="equal">
      <formula>0</formula>
    </cfRule>
    <cfRule type="cellIs" dxfId="464" priority="168" operator="greaterThan">
      <formula>0</formula>
    </cfRule>
  </conditionalFormatting>
  <conditionalFormatting sqref="O58">
    <cfRule type="cellIs" dxfId="463" priority="161" operator="equal">
      <formula>"PMS"</formula>
    </cfRule>
    <cfRule type="containsText" dxfId="462" priority="162" operator="containsText" text="CMS">
      <formula>NOT(ISERROR(SEARCH("CMS",O58)))</formula>
    </cfRule>
    <cfRule type="cellIs" dxfId="461" priority="163" operator="equal">
      <formula>0</formula>
    </cfRule>
    <cfRule type="cellIs" dxfId="460" priority="164" operator="greaterThan">
      <formula>0</formula>
    </cfRule>
  </conditionalFormatting>
  <conditionalFormatting sqref="O58">
    <cfRule type="cellIs" dxfId="459" priority="157" operator="equal">
      <formula>"PMS"</formula>
    </cfRule>
    <cfRule type="containsText" dxfId="458" priority="158" operator="containsText" text="CMS">
      <formula>NOT(ISERROR(SEARCH("CMS",O58)))</formula>
    </cfRule>
    <cfRule type="cellIs" dxfId="457" priority="159" operator="equal">
      <formula>0</formula>
    </cfRule>
    <cfRule type="cellIs" dxfId="456" priority="160" operator="greaterThan">
      <formula>0</formula>
    </cfRule>
  </conditionalFormatting>
  <conditionalFormatting sqref="O58">
    <cfRule type="cellIs" dxfId="455" priority="153" operator="equal">
      <formula>"PMS"</formula>
    </cfRule>
    <cfRule type="containsText" dxfId="454" priority="154" operator="containsText" text="CMS">
      <formula>NOT(ISERROR(SEARCH("CMS",O58)))</formula>
    </cfRule>
    <cfRule type="cellIs" dxfId="453" priority="155" operator="equal">
      <formula>0</formula>
    </cfRule>
    <cfRule type="cellIs" dxfId="452" priority="156" operator="greaterThan">
      <formula>0</formula>
    </cfRule>
  </conditionalFormatting>
  <conditionalFormatting sqref="O58">
    <cfRule type="cellIs" dxfId="451" priority="149" operator="equal">
      <formula>"PMS"</formula>
    </cfRule>
    <cfRule type="containsText" dxfId="450" priority="150" operator="containsText" text="CMS">
      <formula>NOT(ISERROR(SEARCH("CMS",O58)))</formula>
    </cfRule>
    <cfRule type="cellIs" dxfId="449" priority="151" operator="equal">
      <formula>0</formula>
    </cfRule>
    <cfRule type="cellIs" dxfId="448" priority="152" operator="greaterThan">
      <formula>0</formula>
    </cfRule>
  </conditionalFormatting>
  <conditionalFormatting sqref="O58">
    <cfRule type="cellIs" dxfId="447" priority="145" operator="equal">
      <formula>"PMS"</formula>
    </cfRule>
    <cfRule type="containsText" dxfId="446" priority="146" operator="containsText" text="CMS">
      <formula>NOT(ISERROR(SEARCH("CMS",O58)))</formula>
    </cfRule>
    <cfRule type="cellIs" dxfId="445" priority="147" operator="equal">
      <formula>0</formula>
    </cfRule>
    <cfRule type="cellIs" dxfId="444" priority="148" operator="greaterThan">
      <formula>0</formula>
    </cfRule>
  </conditionalFormatting>
  <conditionalFormatting sqref="O58">
    <cfRule type="cellIs" dxfId="443" priority="141" operator="equal">
      <formula>"PMS"</formula>
    </cfRule>
    <cfRule type="containsText" dxfId="442" priority="142" operator="containsText" text="CMS">
      <formula>NOT(ISERROR(SEARCH("CMS",O58)))</formula>
    </cfRule>
    <cfRule type="cellIs" dxfId="441" priority="143" operator="equal">
      <formula>0</formula>
    </cfRule>
    <cfRule type="cellIs" dxfId="440" priority="144" operator="greaterThan">
      <formula>0</formula>
    </cfRule>
  </conditionalFormatting>
  <conditionalFormatting sqref="O58">
    <cfRule type="cellIs" dxfId="439" priority="137" operator="equal">
      <formula>"PMS"</formula>
    </cfRule>
    <cfRule type="containsText" dxfId="438" priority="138" operator="containsText" text="CMS">
      <formula>NOT(ISERROR(SEARCH("CMS",O58)))</formula>
    </cfRule>
    <cfRule type="cellIs" dxfId="437" priority="139" operator="equal">
      <formula>0</formula>
    </cfRule>
    <cfRule type="cellIs" dxfId="436" priority="140" operator="greaterThan">
      <formula>0</formula>
    </cfRule>
  </conditionalFormatting>
  <conditionalFormatting sqref="O58">
    <cfRule type="cellIs" dxfId="435" priority="133" operator="equal">
      <formula>"PMS"</formula>
    </cfRule>
    <cfRule type="containsText" dxfId="434" priority="134" operator="containsText" text="CMS">
      <formula>NOT(ISERROR(SEARCH("CMS",O58)))</formula>
    </cfRule>
    <cfRule type="cellIs" dxfId="433" priority="135" operator="equal">
      <formula>0</formula>
    </cfRule>
    <cfRule type="cellIs" dxfId="432" priority="136" operator="greaterThan">
      <formula>0</formula>
    </cfRule>
  </conditionalFormatting>
  <conditionalFormatting sqref="O58">
    <cfRule type="cellIs" dxfId="431" priority="129" operator="equal">
      <formula>"PMS"</formula>
    </cfRule>
    <cfRule type="containsText" dxfId="430" priority="130" operator="containsText" text="CMS">
      <formula>NOT(ISERROR(SEARCH("CMS",O58)))</formula>
    </cfRule>
    <cfRule type="cellIs" dxfId="429" priority="131" operator="equal">
      <formula>0</formula>
    </cfRule>
    <cfRule type="cellIs" dxfId="428" priority="132" operator="greaterThan">
      <formula>0</formula>
    </cfRule>
  </conditionalFormatting>
  <conditionalFormatting sqref="O58">
    <cfRule type="cellIs" dxfId="427" priority="125" operator="equal">
      <formula>"PMS"</formula>
    </cfRule>
    <cfRule type="containsText" dxfId="426" priority="126" operator="containsText" text="CMS">
      <formula>NOT(ISERROR(SEARCH("CMS",O58)))</formula>
    </cfRule>
    <cfRule type="cellIs" dxfId="425" priority="127" operator="equal">
      <formula>0</formula>
    </cfRule>
    <cfRule type="cellIs" dxfId="424" priority="128" operator="greaterThan">
      <formula>0</formula>
    </cfRule>
  </conditionalFormatting>
  <conditionalFormatting sqref="O58">
    <cfRule type="cellIs" dxfId="423" priority="121" operator="equal">
      <formula>"PMS"</formula>
    </cfRule>
    <cfRule type="containsText" dxfId="422" priority="122" operator="containsText" text="CMS">
      <formula>NOT(ISERROR(SEARCH("CMS",O58)))</formula>
    </cfRule>
    <cfRule type="cellIs" dxfId="421" priority="123" operator="equal">
      <formula>0</formula>
    </cfRule>
    <cfRule type="cellIs" dxfId="420" priority="124" operator="greaterThan">
      <formula>0</formula>
    </cfRule>
  </conditionalFormatting>
  <conditionalFormatting sqref="O58">
    <cfRule type="cellIs" dxfId="419" priority="117" operator="equal">
      <formula>"PMS"</formula>
    </cfRule>
    <cfRule type="containsText" dxfId="418" priority="118" operator="containsText" text="CMS">
      <formula>NOT(ISERROR(SEARCH("CMS",O58)))</formula>
    </cfRule>
    <cfRule type="cellIs" dxfId="417" priority="119" operator="equal">
      <formula>0</formula>
    </cfRule>
    <cfRule type="cellIs" dxfId="416" priority="120" operator="greaterThan">
      <formula>0</formula>
    </cfRule>
  </conditionalFormatting>
  <conditionalFormatting sqref="O58">
    <cfRule type="cellIs" dxfId="415" priority="113" operator="equal">
      <formula>"PMS"</formula>
    </cfRule>
    <cfRule type="containsText" dxfId="414" priority="114" operator="containsText" text="CMS">
      <formula>NOT(ISERROR(SEARCH("CMS",O58)))</formula>
    </cfRule>
    <cfRule type="cellIs" dxfId="413" priority="115" operator="equal">
      <formula>0</formula>
    </cfRule>
    <cfRule type="cellIs" dxfId="412" priority="116" operator="greaterThan">
      <formula>0</formula>
    </cfRule>
  </conditionalFormatting>
  <conditionalFormatting sqref="O58">
    <cfRule type="cellIs" dxfId="411" priority="109" operator="equal">
      <formula>"PMS"</formula>
    </cfRule>
    <cfRule type="containsText" dxfId="410" priority="110" operator="containsText" text="CMS">
      <formula>NOT(ISERROR(SEARCH("CMS",O58)))</formula>
    </cfRule>
    <cfRule type="cellIs" dxfId="409" priority="111" operator="equal">
      <formula>0</formula>
    </cfRule>
    <cfRule type="cellIs" dxfId="408" priority="112" operator="greaterThan">
      <formula>0</formula>
    </cfRule>
  </conditionalFormatting>
  <conditionalFormatting sqref="O58">
    <cfRule type="cellIs" dxfId="407" priority="105" operator="equal">
      <formula>"PMS"</formula>
    </cfRule>
    <cfRule type="containsText" dxfId="406" priority="106" operator="containsText" text="CMS">
      <formula>NOT(ISERROR(SEARCH("CMS",O58)))</formula>
    </cfRule>
    <cfRule type="cellIs" dxfId="405" priority="107" operator="equal">
      <formula>0</formula>
    </cfRule>
    <cfRule type="cellIs" dxfId="404" priority="108" operator="greaterThan">
      <formula>0</formula>
    </cfRule>
  </conditionalFormatting>
  <conditionalFormatting sqref="O58">
    <cfRule type="cellIs" dxfId="403" priority="101" operator="equal">
      <formula>"PMS"</formula>
    </cfRule>
    <cfRule type="containsText" dxfId="402" priority="102" operator="containsText" text="CMS">
      <formula>NOT(ISERROR(SEARCH("CMS",O58)))</formula>
    </cfRule>
    <cfRule type="cellIs" dxfId="401" priority="103" operator="equal">
      <formula>0</formula>
    </cfRule>
    <cfRule type="cellIs" dxfId="400" priority="104" operator="greaterThan">
      <formula>0</formula>
    </cfRule>
  </conditionalFormatting>
  <conditionalFormatting sqref="O58">
    <cfRule type="cellIs" dxfId="399" priority="97" operator="equal">
      <formula>"PMS"</formula>
    </cfRule>
    <cfRule type="containsText" dxfId="398" priority="98" operator="containsText" text="CMS">
      <formula>NOT(ISERROR(SEARCH("CMS",O58)))</formula>
    </cfRule>
    <cfRule type="cellIs" dxfId="397" priority="99" operator="equal">
      <formula>0</formula>
    </cfRule>
    <cfRule type="cellIs" dxfId="396" priority="100" operator="greaterThan">
      <formula>0</formula>
    </cfRule>
  </conditionalFormatting>
  <conditionalFormatting sqref="O58">
    <cfRule type="cellIs" dxfId="395" priority="93" operator="equal">
      <formula>"PMS"</formula>
    </cfRule>
    <cfRule type="containsText" dxfId="394" priority="94" operator="containsText" text="CMS">
      <formula>NOT(ISERROR(SEARCH("CMS",O58)))</formula>
    </cfRule>
    <cfRule type="cellIs" dxfId="393" priority="95" operator="equal">
      <formula>0</formula>
    </cfRule>
    <cfRule type="cellIs" dxfId="392" priority="96" operator="greaterThan">
      <formula>0</formula>
    </cfRule>
  </conditionalFormatting>
  <conditionalFormatting sqref="O58">
    <cfRule type="cellIs" dxfId="391" priority="89" operator="equal">
      <formula>"PMS"</formula>
    </cfRule>
    <cfRule type="containsText" dxfId="390" priority="90" operator="containsText" text="CMS">
      <formula>NOT(ISERROR(SEARCH("CMS",O58)))</formula>
    </cfRule>
    <cfRule type="cellIs" dxfId="389" priority="91" operator="equal">
      <formula>0</formula>
    </cfRule>
    <cfRule type="cellIs" dxfId="388" priority="92" operator="greaterThan">
      <formula>0</formula>
    </cfRule>
  </conditionalFormatting>
  <conditionalFormatting sqref="O58">
    <cfRule type="cellIs" dxfId="387" priority="85" operator="equal">
      <formula>"PMS"</formula>
    </cfRule>
    <cfRule type="containsText" dxfId="386" priority="86" operator="containsText" text="CMS">
      <formula>NOT(ISERROR(SEARCH("CMS",O58)))</formula>
    </cfRule>
    <cfRule type="cellIs" dxfId="385" priority="87" operator="equal">
      <formula>0</formula>
    </cfRule>
    <cfRule type="cellIs" dxfId="384" priority="88" operator="greaterThan">
      <formula>0</formula>
    </cfRule>
  </conditionalFormatting>
  <conditionalFormatting sqref="O58">
    <cfRule type="cellIs" dxfId="383" priority="81" operator="equal">
      <formula>"PMS"</formula>
    </cfRule>
    <cfRule type="containsText" dxfId="382" priority="82" operator="containsText" text="CMS">
      <formula>NOT(ISERROR(SEARCH("CMS",O58)))</formula>
    </cfRule>
    <cfRule type="cellIs" dxfId="381" priority="83" operator="equal">
      <formula>0</formula>
    </cfRule>
    <cfRule type="cellIs" dxfId="380" priority="84" operator="greaterThan">
      <formula>0</formula>
    </cfRule>
  </conditionalFormatting>
  <conditionalFormatting sqref="O58">
    <cfRule type="cellIs" dxfId="379" priority="77" operator="equal">
      <formula>"PMS"</formula>
    </cfRule>
    <cfRule type="containsText" dxfId="378" priority="78" operator="containsText" text="CMS">
      <formula>NOT(ISERROR(SEARCH("CMS",O58)))</formula>
    </cfRule>
    <cfRule type="cellIs" dxfId="377" priority="79" operator="equal">
      <formula>0</formula>
    </cfRule>
    <cfRule type="cellIs" dxfId="376" priority="80" operator="greaterThan">
      <formula>0</formula>
    </cfRule>
  </conditionalFormatting>
  <conditionalFormatting sqref="O58">
    <cfRule type="cellIs" dxfId="375" priority="73" operator="equal">
      <formula>"PMS"</formula>
    </cfRule>
    <cfRule type="containsText" dxfId="374" priority="74" operator="containsText" text="CMS">
      <formula>NOT(ISERROR(SEARCH("CMS",O58)))</formula>
    </cfRule>
    <cfRule type="cellIs" dxfId="373" priority="75" operator="equal">
      <formula>0</formula>
    </cfRule>
    <cfRule type="cellIs" dxfId="372" priority="76" operator="greaterThan">
      <formula>0</formula>
    </cfRule>
  </conditionalFormatting>
  <conditionalFormatting sqref="O58">
    <cfRule type="cellIs" dxfId="371" priority="69" operator="equal">
      <formula>"PMS"</formula>
    </cfRule>
    <cfRule type="containsText" dxfId="370" priority="70" operator="containsText" text="CMS">
      <formula>NOT(ISERROR(SEARCH("CMS",O58)))</formula>
    </cfRule>
    <cfRule type="cellIs" dxfId="369" priority="71" operator="equal">
      <formula>0</formula>
    </cfRule>
    <cfRule type="cellIs" dxfId="368" priority="72" operator="greaterThan">
      <formula>0</formula>
    </cfRule>
  </conditionalFormatting>
  <conditionalFormatting sqref="O58">
    <cfRule type="cellIs" dxfId="367" priority="65" operator="equal">
      <formula>"PMS"</formula>
    </cfRule>
    <cfRule type="containsText" dxfId="366" priority="66" operator="containsText" text="CMS">
      <formula>NOT(ISERROR(SEARCH("CMS",O58)))</formula>
    </cfRule>
    <cfRule type="cellIs" dxfId="365" priority="67" operator="equal">
      <formula>0</formula>
    </cfRule>
    <cfRule type="cellIs" dxfId="364" priority="68" operator="greaterThan">
      <formula>0</formula>
    </cfRule>
  </conditionalFormatting>
  <conditionalFormatting sqref="O58">
    <cfRule type="cellIs" dxfId="363" priority="61" operator="equal">
      <formula>"PMS"</formula>
    </cfRule>
    <cfRule type="containsText" dxfId="362" priority="62" operator="containsText" text="CMS">
      <formula>NOT(ISERROR(SEARCH("CMS",O58)))</formula>
    </cfRule>
    <cfRule type="cellIs" dxfId="361" priority="63" operator="equal">
      <formula>0</formula>
    </cfRule>
    <cfRule type="cellIs" dxfId="360" priority="64" operator="greaterThan">
      <formula>0</formula>
    </cfRule>
  </conditionalFormatting>
  <conditionalFormatting sqref="O58">
    <cfRule type="cellIs" dxfId="359" priority="57" operator="equal">
      <formula>"PMS"</formula>
    </cfRule>
    <cfRule type="containsText" dxfId="358" priority="58" operator="containsText" text="CMS">
      <formula>NOT(ISERROR(SEARCH("CMS",O58)))</formula>
    </cfRule>
    <cfRule type="cellIs" dxfId="357" priority="59" operator="equal">
      <formula>0</formula>
    </cfRule>
    <cfRule type="cellIs" dxfId="356" priority="60" operator="greaterThan">
      <formula>0</formula>
    </cfRule>
  </conditionalFormatting>
  <conditionalFormatting sqref="O58">
    <cfRule type="cellIs" dxfId="355" priority="53" operator="equal">
      <formula>"PMS"</formula>
    </cfRule>
    <cfRule type="containsText" dxfId="354" priority="54" operator="containsText" text="CMS">
      <formula>NOT(ISERROR(SEARCH("CMS",O58)))</formula>
    </cfRule>
    <cfRule type="cellIs" dxfId="353" priority="55" operator="equal">
      <formula>0</formula>
    </cfRule>
    <cfRule type="cellIs" dxfId="352" priority="56" operator="greaterThan">
      <formula>0</formula>
    </cfRule>
  </conditionalFormatting>
  <conditionalFormatting sqref="O58">
    <cfRule type="cellIs" dxfId="351" priority="49" operator="equal">
      <formula>"PMS"</formula>
    </cfRule>
    <cfRule type="containsText" dxfId="350" priority="50" operator="containsText" text="CMS">
      <formula>NOT(ISERROR(SEARCH("CMS",O58)))</formula>
    </cfRule>
    <cfRule type="cellIs" dxfId="349" priority="51" operator="equal">
      <formula>0</formula>
    </cfRule>
    <cfRule type="cellIs" dxfId="348" priority="52" operator="greaterThan">
      <formula>0</formula>
    </cfRule>
  </conditionalFormatting>
  <conditionalFormatting sqref="O58">
    <cfRule type="cellIs" dxfId="347" priority="45" operator="equal">
      <formula>"PMS"</formula>
    </cfRule>
    <cfRule type="containsText" dxfId="346" priority="46" operator="containsText" text="CMS">
      <formula>NOT(ISERROR(SEARCH("CMS",O58)))</formula>
    </cfRule>
    <cfRule type="cellIs" dxfId="345" priority="47" operator="equal">
      <formula>0</formula>
    </cfRule>
    <cfRule type="cellIs" dxfId="344" priority="48" operator="greaterThan">
      <formula>0</formula>
    </cfRule>
  </conditionalFormatting>
  <conditionalFormatting sqref="O58">
    <cfRule type="cellIs" dxfId="343" priority="41" operator="equal">
      <formula>"PMS"</formula>
    </cfRule>
    <cfRule type="containsText" dxfId="342" priority="42" operator="containsText" text="CMS">
      <formula>NOT(ISERROR(SEARCH("CMS",O58)))</formula>
    </cfRule>
    <cfRule type="cellIs" dxfId="341" priority="43" operator="equal">
      <formula>0</formula>
    </cfRule>
    <cfRule type="cellIs" dxfId="340" priority="44" operator="greaterThan">
      <formula>0</formula>
    </cfRule>
  </conditionalFormatting>
  <conditionalFormatting sqref="O58">
    <cfRule type="cellIs" dxfId="339" priority="37" operator="equal">
      <formula>"PMS"</formula>
    </cfRule>
    <cfRule type="containsText" dxfId="338" priority="38" operator="containsText" text="CMS">
      <formula>NOT(ISERROR(SEARCH("CMS",O58)))</formula>
    </cfRule>
    <cfRule type="cellIs" dxfId="337" priority="39" operator="equal">
      <formula>0</formula>
    </cfRule>
    <cfRule type="cellIs" dxfId="336" priority="40" operator="greaterThan">
      <formula>0</formula>
    </cfRule>
  </conditionalFormatting>
  <conditionalFormatting sqref="O58">
    <cfRule type="cellIs" dxfId="335" priority="33" operator="equal">
      <formula>"PMS"</formula>
    </cfRule>
    <cfRule type="containsText" dxfId="334" priority="34" operator="containsText" text="CMS">
      <formula>NOT(ISERROR(SEARCH("CMS",O58)))</formula>
    </cfRule>
    <cfRule type="cellIs" dxfId="333" priority="35" operator="equal">
      <formula>0</formula>
    </cfRule>
    <cfRule type="cellIs" dxfId="332" priority="36" operator="greaterThan">
      <formula>0</formula>
    </cfRule>
  </conditionalFormatting>
  <conditionalFormatting sqref="O58">
    <cfRule type="cellIs" dxfId="331" priority="29" operator="equal">
      <formula>"PMS"</formula>
    </cfRule>
    <cfRule type="containsText" dxfId="330" priority="30" operator="containsText" text="CMS">
      <formula>NOT(ISERROR(SEARCH("CMS",O58)))</formula>
    </cfRule>
    <cfRule type="cellIs" dxfId="329" priority="31" operator="equal">
      <formula>0</formula>
    </cfRule>
    <cfRule type="cellIs" dxfId="328" priority="32" operator="greaterThan">
      <formula>0</formula>
    </cfRule>
  </conditionalFormatting>
  <conditionalFormatting sqref="O58">
    <cfRule type="cellIs" dxfId="327" priority="25" operator="equal">
      <formula>"PMS"</formula>
    </cfRule>
    <cfRule type="containsText" dxfId="326" priority="26" operator="containsText" text="CMS">
      <formula>NOT(ISERROR(SEARCH("CMS",O58)))</formula>
    </cfRule>
    <cfRule type="cellIs" dxfId="325" priority="27" operator="equal">
      <formula>0</formula>
    </cfRule>
    <cfRule type="cellIs" dxfId="324" priority="28" operator="greaterThan">
      <formula>0</formula>
    </cfRule>
  </conditionalFormatting>
  <conditionalFormatting sqref="O58">
    <cfRule type="cellIs" dxfId="323" priority="21" operator="equal">
      <formula>"PMS"</formula>
    </cfRule>
    <cfRule type="containsText" dxfId="322" priority="22" operator="containsText" text="CMS">
      <formula>NOT(ISERROR(SEARCH("CMS",O58)))</formula>
    </cfRule>
    <cfRule type="cellIs" dxfId="321" priority="23" operator="equal">
      <formula>0</formula>
    </cfRule>
    <cfRule type="cellIs" dxfId="320" priority="24" operator="greaterThan">
      <formula>0</formula>
    </cfRule>
  </conditionalFormatting>
  <conditionalFormatting sqref="O58">
    <cfRule type="cellIs" dxfId="319" priority="17" operator="equal">
      <formula>"PMS"</formula>
    </cfRule>
    <cfRule type="containsText" dxfId="318" priority="18" operator="containsText" text="CMS">
      <formula>NOT(ISERROR(SEARCH("CMS",O58)))</formula>
    </cfRule>
    <cfRule type="cellIs" dxfId="317" priority="19" operator="equal">
      <formula>0</formula>
    </cfRule>
    <cfRule type="cellIs" dxfId="316" priority="20" operator="greaterThan">
      <formula>0</formula>
    </cfRule>
  </conditionalFormatting>
  <conditionalFormatting sqref="O58">
    <cfRule type="cellIs" dxfId="315" priority="13" operator="equal">
      <formula>"PMS"</formula>
    </cfRule>
    <cfRule type="containsText" dxfId="314" priority="14" operator="containsText" text="CMS">
      <formula>NOT(ISERROR(SEARCH("CMS",O58)))</formula>
    </cfRule>
    <cfRule type="cellIs" dxfId="313" priority="15" operator="equal">
      <formula>0</formula>
    </cfRule>
    <cfRule type="cellIs" dxfId="312" priority="16" operator="greaterThan">
      <formula>0</formula>
    </cfRule>
  </conditionalFormatting>
  <conditionalFormatting sqref="O58">
    <cfRule type="cellIs" dxfId="311" priority="9" operator="equal">
      <formula>"PMS"</formula>
    </cfRule>
    <cfRule type="containsText" dxfId="310" priority="10" operator="containsText" text="CMS">
      <formula>NOT(ISERROR(SEARCH("CMS",O58)))</formula>
    </cfRule>
    <cfRule type="cellIs" dxfId="309" priority="11" operator="equal">
      <formula>0</formula>
    </cfRule>
    <cfRule type="cellIs" dxfId="308" priority="12" operator="greaterThan">
      <formula>0</formula>
    </cfRule>
  </conditionalFormatting>
  <conditionalFormatting sqref="P53:P54">
    <cfRule type="cellIs" dxfId="307" priority="5" operator="equal">
      <formula>"PMS"</formula>
    </cfRule>
    <cfRule type="containsText" dxfId="306" priority="6" operator="containsText" text="CMS">
      <formula>NOT(ISERROR(SEARCH("CMS",P53)))</formula>
    </cfRule>
    <cfRule type="cellIs" dxfId="305" priority="7" operator="equal">
      <formula>0</formula>
    </cfRule>
    <cfRule type="cellIs" dxfId="304" priority="8" operator="greaterThan">
      <formula>0</formula>
    </cfRule>
  </conditionalFormatting>
  <conditionalFormatting sqref="O21">
    <cfRule type="cellIs" dxfId="303" priority="1" operator="equal">
      <formula>"PMS"</formula>
    </cfRule>
    <cfRule type="containsText" dxfId="302" priority="2" operator="containsText" text="CMS">
      <formula>NOT(ISERROR(SEARCH("CMS",O21)))</formula>
    </cfRule>
    <cfRule type="cellIs" dxfId="301" priority="3" operator="equal">
      <formula>0</formula>
    </cfRule>
    <cfRule type="cellIs" dxfId="3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00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B6BF-EED3-4845-9484-A538931109C7}">
  <sheetPr codeName="Sheet4"/>
  <dimension ref="A1:BN503"/>
  <sheetViews>
    <sheetView zoomScale="85" zoomScaleNormal="85" workbookViewId="0">
      <pane xSplit="4" ySplit="4" topLeftCell="E484" activePane="bottomRight" state="frozen"/>
      <selection pane="topRight" activeCell="E1" sqref="E1"/>
      <selection pane="bottomLeft" activeCell="E1" sqref="E1"/>
      <selection pane="bottomRight" activeCell="E499" sqref="E499"/>
    </sheetView>
  </sheetViews>
  <sheetFormatPr defaultColWidth="8.42578125" defaultRowHeight="14.25" x14ac:dyDescent="0.2"/>
  <cols>
    <col min="1" max="1" width="14.42578125" style="22" bestFit="1" customWidth="1"/>
    <col min="2" max="2" width="6.7109375" style="22" customWidth="1"/>
    <col min="3" max="3" width="3.42578125" style="22" hidden="1" customWidth="1"/>
    <col min="4" max="4" width="3.85546875" style="22" hidden="1" customWidth="1"/>
    <col min="5" max="5" width="10.28515625" style="312" customWidth="1"/>
    <col min="6" max="10" width="10.42578125" style="312" customWidth="1"/>
    <col min="11" max="11" width="10.42578125" style="312" hidden="1" customWidth="1"/>
    <col min="12" max="12" width="9.5703125" style="312" customWidth="1"/>
    <col min="13" max="14" width="10.42578125" style="312" customWidth="1"/>
    <col min="15" max="15" width="10.42578125" style="312" hidden="1" customWidth="1"/>
    <col min="16" max="18" width="10.42578125" style="312" customWidth="1"/>
    <col min="19" max="19" width="10.42578125" style="312" hidden="1" customWidth="1"/>
    <col min="20" max="46" width="10.42578125" style="312" customWidth="1"/>
    <col min="47" max="47" width="10.42578125" style="313" customWidth="1"/>
    <col min="48" max="55" width="10.42578125" style="312" customWidth="1"/>
    <col min="56" max="56" width="10.42578125" style="312" hidden="1" customWidth="1"/>
    <col min="57" max="59" width="10.42578125" style="312" customWidth="1"/>
    <col min="60" max="60" width="10.42578125" style="312" hidden="1" customWidth="1"/>
    <col min="61" max="63" width="10.42578125" style="312" customWidth="1"/>
    <col min="64" max="64" width="10.42578125" style="312" hidden="1" customWidth="1"/>
    <col min="65" max="66" width="10.42578125" style="312" customWidth="1"/>
    <col min="67" max="16384" width="8.42578125" style="22"/>
  </cols>
  <sheetData>
    <row r="1" spans="1:66" ht="15" thickBot="1" x14ac:dyDescent="0.25">
      <c r="A1" s="262" t="str">
        <f ca="1">TEXT(TODAY(), "MMMM")</f>
        <v>February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32</v>
      </c>
      <c r="AU1" s="263">
        <v>31</v>
      </c>
      <c r="AV1" s="23">
        <v>31</v>
      </c>
      <c r="AW1" s="23"/>
      <c r="AX1" s="23"/>
      <c r="AY1" s="23">
        <v>59</v>
      </c>
      <c r="AZ1" s="23"/>
      <c r="BA1" s="23"/>
      <c r="BB1" s="23"/>
      <c r="BC1" s="23">
        <v>64</v>
      </c>
      <c r="BD1" s="23"/>
      <c r="BE1" s="23"/>
      <c r="BF1" s="23"/>
      <c r="BG1" s="23">
        <v>79</v>
      </c>
      <c r="BH1" s="23"/>
      <c r="BI1" s="23"/>
      <c r="BJ1" s="23"/>
      <c r="BK1" s="23">
        <v>75</v>
      </c>
      <c r="BL1" s="23"/>
      <c r="BM1" s="23"/>
      <c r="BN1" s="23"/>
    </row>
    <row r="2" spans="1:66" s="265" customFormat="1" ht="16.5" thickBot="1" x14ac:dyDescent="0.25">
      <c r="A2" s="433" t="s">
        <v>89</v>
      </c>
      <c r="B2" s="433" t="s">
        <v>70</v>
      </c>
      <c r="C2" s="109"/>
      <c r="D2" s="264"/>
      <c r="E2" s="435" t="s">
        <v>90</v>
      </c>
      <c r="F2" s="436"/>
      <c r="G2" s="436"/>
      <c r="H2" s="436"/>
      <c r="I2" s="436"/>
      <c r="J2" s="436"/>
      <c r="K2" s="436"/>
      <c r="L2" s="436"/>
      <c r="M2" s="436"/>
      <c r="N2" s="436"/>
      <c r="O2" s="436"/>
      <c r="P2" s="436"/>
      <c r="Q2" s="436"/>
      <c r="R2" s="436"/>
      <c r="S2" s="436"/>
      <c r="T2" s="436"/>
      <c r="U2" s="437"/>
      <c r="V2" s="438" t="s">
        <v>27</v>
      </c>
      <c r="W2" s="436"/>
      <c r="X2" s="436"/>
      <c r="Y2" s="436"/>
      <c r="Z2" s="436"/>
      <c r="AA2" s="436"/>
      <c r="AB2" s="436"/>
      <c r="AC2" s="436"/>
      <c r="AD2" s="436"/>
      <c r="AE2" s="436"/>
      <c r="AF2" s="436"/>
      <c r="AG2" s="439"/>
      <c r="AH2" s="426" t="s">
        <v>91</v>
      </c>
      <c r="AI2" s="427"/>
      <c r="AJ2" s="427"/>
      <c r="AK2" s="428"/>
      <c r="AL2" s="435" t="s">
        <v>92</v>
      </c>
      <c r="AM2" s="436"/>
      <c r="AN2" s="436"/>
      <c r="AO2" s="436"/>
      <c r="AP2" s="436"/>
      <c r="AQ2" s="436"/>
      <c r="AR2" s="436"/>
      <c r="AS2" s="437"/>
      <c r="AT2" s="426" t="s">
        <v>93</v>
      </c>
      <c r="AU2" s="427"/>
      <c r="AV2" s="450"/>
      <c r="AW2" s="450"/>
      <c r="AX2" s="451"/>
      <c r="AY2" s="426" t="s">
        <v>94</v>
      </c>
      <c r="AZ2" s="450"/>
      <c r="BA2" s="450"/>
      <c r="BB2" s="451"/>
      <c r="BC2" s="426" t="s">
        <v>95</v>
      </c>
      <c r="BD2" s="427"/>
      <c r="BE2" s="427"/>
      <c r="BF2" s="428"/>
      <c r="BG2" s="426" t="s">
        <v>96</v>
      </c>
      <c r="BH2" s="427"/>
      <c r="BI2" s="427"/>
      <c r="BJ2" s="428"/>
      <c r="BK2" s="426" t="s">
        <v>97</v>
      </c>
      <c r="BL2" s="427"/>
      <c r="BM2" s="427"/>
      <c r="BN2" s="428"/>
    </row>
    <row r="3" spans="1:66" ht="29.45" customHeight="1" thickBot="1" x14ac:dyDescent="0.25">
      <c r="A3" s="434"/>
      <c r="B3" s="434"/>
      <c r="C3" s="266"/>
      <c r="D3" s="267"/>
      <c r="E3" s="429" t="s">
        <v>98</v>
      </c>
      <c r="F3" s="430"/>
      <c r="G3" s="268" t="s">
        <v>99</v>
      </c>
      <c r="H3" s="268" t="s">
        <v>100</v>
      </c>
      <c r="I3" s="268" t="s">
        <v>101</v>
      </c>
      <c r="J3" s="268" t="s">
        <v>99</v>
      </c>
      <c r="K3" s="268" t="s">
        <v>102</v>
      </c>
      <c r="L3" s="268" t="s">
        <v>100</v>
      </c>
      <c r="M3" s="268" t="s">
        <v>101</v>
      </c>
      <c r="N3" s="268" t="s">
        <v>99</v>
      </c>
      <c r="O3" s="268" t="s">
        <v>102</v>
      </c>
      <c r="P3" s="268" t="s">
        <v>100</v>
      </c>
      <c r="Q3" s="268" t="s">
        <v>101</v>
      </c>
      <c r="R3" s="268" t="s">
        <v>99</v>
      </c>
      <c r="S3" s="268" t="s">
        <v>102</v>
      </c>
      <c r="T3" s="268" t="s">
        <v>100</v>
      </c>
      <c r="U3" s="269" t="s">
        <v>101</v>
      </c>
      <c r="V3" s="270" t="s">
        <v>99</v>
      </c>
      <c r="W3" s="271" t="s">
        <v>102</v>
      </c>
      <c r="X3" s="271" t="s">
        <v>100</v>
      </c>
      <c r="Y3" s="271" t="s">
        <v>101</v>
      </c>
      <c r="Z3" s="271" t="s">
        <v>99</v>
      </c>
      <c r="AA3" s="271" t="s">
        <v>102</v>
      </c>
      <c r="AB3" s="271" t="s">
        <v>100</v>
      </c>
      <c r="AC3" s="271" t="s">
        <v>101</v>
      </c>
      <c r="AD3" s="271" t="s">
        <v>99</v>
      </c>
      <c r="AE3" s="271" t="s">
        <v>102</v>
      </c>
      <c r="AF3" s="271" t="s">
        <v>100</v>
      </c>
      <c r="AG3" s="272" t="s">
        <v>101</v>
      </c>
      <c r="AH3" s="273" t="s">
        <v>99</v>
      </c>
      <c r="AI3" s="271" t="s">
        <v>102</v>
      </c>
      <c r="AJ3" s="271" t="s">
        <v>100</v>
      </c>
      <c r="AK3" s="274" t="s">
        <v>101</v>
      </c>
      <c r="AL3" s="429" t="s">
        <v>103</v>
      </c>
      <c r="AM3" s="430"/>
      <c r="AN3" s="268" t="s">
        <v>99</v>
      </c>
      <c r="AO3" s="268" t="s">
        <v>100</v>
      </c>
      <c r="AP3" s="268" t="s">
        <v>101</v>
      </c>
      <c r="AQ3" s="268" t="s">
        <v>99</v>
      </c>
      <c r="AR3" s="268" t="s">
        <v>100</v>
      </c>
      <c r="AS3" s="269" t="s">
        <v>101</v>
      </c>
      <c r="AT3" s="431" t="s">
        <v>98</v>
      </c>
      <c r="AU3" s="432"/>
      <c r="AV3" s="275" t="s">
        <v>99</v>
      </c>
      <c r="AW3" s="276" t="s">
        <v>100</v>
      </c>
      <c r="AX3" s="277" t="s">
        <v>101</v>
      </c>
      <c r="AY3" s="278" t="s">
        <v>104</v>
      </c>
      <c r="AZ3" s="275" t="s">
        <v>99</v>
      </c>
      <c r="BA3" s="276" t="s">
        <v>100</v>
      </c>
      <c r="BB3" s="277" t="s">
        <v>101</v>
      </c>
      <c r="BC3" s="273" t="s">
        <v>99</v>
      </c>
      <c r="BD3" s="271" t="s">
        <v>102</v>
      </c>
      <c r="BE3" s="271" t="s">
        <v>100</v>
      </c>
      <c r="BF3" s="274" t="s">
        <v>101</v>
      </c>
      <c r="BG3" s="273" t="s">
        <v>99</v>
      </c>
      <c r="BH3" s="271" t="s">
        <v>102</v>
      </c>
      <c r="BI3" s="271" t="s">
        <v>100</v>
      </c>
      <c r="BJ3" s="274" t="s">
        <v>101</v>
      </c>
      <c r="BK3" s="273" t="s">
        <v>99</v>
      </c>
      <c r="BL3" s="271" t="s">
        <v>102</v>
      </c>
      <c r="BM3" s="271" t="s">
        <v>100</v>
      </c>
      <c r="BN3" s="274" t="s">
        <v>101</v>
      </c>
    </row>
    <row r="4" spans="1:66" ht="15" customHeight="1" thickBot="1" x14ac:dyDescent="0.3">
      <c r="A4" s="434"/>
      <c r="B4" s="434"/>
      <c r="C4" s="279"/>
      <c r="D4" s="280"/>
      <c r="E4" s="281"/>
      <c r="F4" s="282"/>
      <c r="G4" s="440" t="s">
        <v>105</v>
      </c>
      <c r="H4" s="441"/>
      <c r="I4" s="442"/>
      <c r="J4" s="443" t="s">
        <v>106</v>
      </c>
      <c r="K4" s="444"/>
      <c r="L4" s="444"/>
      <c r="M4" s="445"/>
      <c r="N4" s="443" t="s">
        <v>107</v>
      </c>
      <c r="O4" s="444"/>
      <c r="P4" s="444"/>
      <c r="Q4" s="445"/>
      <c r="R4" s="446" t="s">
        <v>108</v>
      </c>
      <c r="S4" s="444"/>
      <c r="T4" s="444"/>
      <c r="U4" s="445"/>
      <c r="V4" s="452" t="s">
        <v>105</v>
      </c>
      <c r="W4" s="453"/>
      <c r="X4" s="453"/>
      <c r="Y4" s="454"/>
      <c r="Z4" s="452" t="s">
        <v>106</v>
      </c>
      <c r="AA4" s="453"/>
      <c r="AB4" s="453"/>
      <c r="AC4" s="455"/>
      <c r="AD4" s="456" t="s">
        <v>107</v>
      </c>
      <c r="AE4" s="453"/>
      <c r="AF4" s="453"/>
      <c r="AG4" s="454"/>
      <c r="AH4" s="447" t="s">
        <v>105</v>
      </c>
      <c r="AI4" s="448"/>
      <c r="AJ4" s="448"/>
      <c r="AK4" s="449"/>
      <c r="AL4" s="457"/>
      <c r="AM4" s="458"/>
      <c r="AN4" s="447" t="s">
        <v>105</v>
      </c>
      <c r="AO4" s="448"/>
      <c r="AP4" s="449"/>
      <c r="AQ4" s="440" t="s">
        <v>106</v>
      </c>
      <c r="AR4" s="441"/>
      <c r="AS4" s="442"/>
      <c r="AT4" s="459"/>
      <c r="AU4" s="460"/>
      <c r="AV4" s="447" t="s">
        <v>105</v>
      </c>
      <c r="AW4" s="448"/>
      <c r="AX4" s="449"/>
      <c r="AY4" s="283"/>
      <c r="AZ4" s="447" t="s">
        <v>109</v>
      </c>
      <c r="BA4" s="448"/>
      <c r="BB4" s="449"/>
      <c r="BC4" s="447" t="s">
        <v>105</v>
      </c>
      <c r="BD4" s="448"/>
      <c r="BE4" s="448"/>
      <c r="BF4" s="449"/>
      <c r="BG4" s="447" t="s">
        <v>105</v>
      </c>
      <c r="BH4" s="448"/>
      <c r="BI4" s="448"/>
      <c r="BJ4" s="449"/>
      <c r="BK4" s="447" t="s">
        <v>105</v>
      </c>
      <c r="BL4" s="448"/>
      <c r="BM4" s="448"/>
      <c r="BN4" s="449"/>
    </row>
    <row r="5" spans="1:66" ht="15" x14ac:dyDescent="0.2">
      <c r="A5" s="367">
        <v>45689</v>
      </c>
      <c r="B5" s="364">
        <v>0</v>
      </c>
      <c r="C5" s="315">
        <v>1</v>
      </c>
      <c r="D5" s="316" t="s">
        <v>110</v>
      </c>
      <c r="E5" s="284">
        <v>14.4</v>
      </c>
      <c r="F5" s="285">
        <v>71.37</v>
      </c>
      <c r="G5" s="286" cm="1">
        <f t="array" aca="1" ref="G5" ca="1">INDIRECT("'"&amp;$C5&amp;"'!"&amp;"$"&amp;$D5&amp;$E$1&amp;"")</f>
        <v>6.7</v>
      </c>
      <c r="H5" s="287">
        <v>0.99</v>
      </c>
      <c r="I5" s="285">
        <v>0.89</v>
      </c>
      <c r="J5" s="286" cm="1">
        <f t="array" aca="1" ref="J5" ca="1">INDIRECT("'"&amp;$C5&amp;"'!"&amp;"$"&amp;$D5&amp;$J$1&amp;"")</f>
        <v>6.7</v>
      </c>
      <c r="K5" s="287"/>
      <c r="L5" s="287">
        <v>0.99</v>
      </c>
      <c r="M5" s="285">
        <v>0.87</v>
      </c>
      <c r="N5" s="286" cm="1">
        <f t="array" aca="1" ref="N5" ca="1">INDIRECT("'"&amp;$C5&amp;"'!"&amp;"$"&amp;$D5&amp;$N$1&amp;"")</f>
        <v>6.7</v>
      </c>
      <c r="O5" s="287"/>
      <c r="P5" s="287">
        <v>0.99</v>
      </c>
      <c r="Q5" s="285">
        <v>0.9</v>
      </c>
      <c r="R5" s="286" cm="1">
        <f t="array" aca="1" ref="R5" ca="1">INDIRECT("'"&amp;$C5&amp;"'!"&amp;"$"&amp;$D5&amp;$R$1&amp;"")</f>
        <v>6.7</v>
      </c>
      <c r="S5" s="287"/>
      <c r="T5" s="287">
        <v>0.99</v>
      </c>
      <c r="U5" s="285">
        <v>0.9</v>
      </c>
      <c r="V5" s="286" t="str" cm="1">
        <f t="array" aca="1" ref="V5" ca="1">INDIRECT("'"&amp;$C5&amp;"'!"&amp;"$"&amp;$D5&amp;$V$1&amp;"")</f>
        <v>CMS</v>
      </c>
      <c r="W5" s="287" t="s">
        <v>1</v>
      </c>
      <c r="X5" s="287" t="s">
        <v>1</v>
      </c>
      <c r="Y5" s="288" t="s">
        <v>1</v>
      </c>
      <c r="Z5" s="284" cm="1">
        <f t="array" aca="1" ref="Z5" ca="1">INDIRECT("'"&amp;$C5&amp;"'!"&amp;"$"&amp;$D5&amp;$Z$1&amp;"")</f>
        <v>0</v>
      </c>
      <c r="AA5" s="287" t="s">
        <v>1</v>
      </c>
      <c r="AB5" s="287" t="s">
        <v>1</v>
      </c>
      <c r="AC5" s="285" t="s">
        <v>1</v>
      </c>
      <c r="AD5" s="286" cm="1">
        <f t="array" aca="1" ref="AD5" ca="1">INDIRECT("'"&amp;$C5&amp;"'!"&amp;"$"&amp;$D5&amp;$AD$1&amp;"")</f>
        <v>3.2</v>
      </c>
      <c r="AE5" s="287">
        <f>3.8*3.65</f>
        <v>13.87</v>
      </c>
      <c r="AF5" s="287">
        <v>0.99</v>
      </c>
      <c r="AG5" s="285">
        <v>0.34</v>
      </c>
      <c r="AH5" s="284" cm="1">
        <f t="array" aca="1" ref="AH5" ca="1">INDIRECT("'"&amp;$C5&amp;"'!"&amp;"$"&amp;$D5&amp;$AH$1&amp;"")</f>
        <v>3.8</v>
      </c>
      <c r="AI5" s="287">
        <v>13.99</v>
      </c>
      <c r="AJ5" s="287">
        <v>0.97</v>
      </c>
      <c r="AK5" s="285">
        <v>0.95499999999999996</v>
      </c>
      <c r="AL5" s="284">
        <v>11.8</v>
      </c>
      <c r="AM5" s="288">
        <v>70.599999999999994</v>
      </c>
      <c r="AN5" s="284" cm="1">
        <f t="array" aca="1" ref="AN5" ca="1">INDIRECT("'"&amp;$C5&amp;"'!"&amp;"$"&amp;$D5&amp;$AL$1&amp;"")</f>
        <v>4.0999999999999996</v>
      </c>
      <c r="AO5" s="287">
        <v>0.96</v>
      </c>
      <c r="AP5" s="285">
        <v>1.1399999999999999</v>
      </c>
      <c r="AQ5" s="286" t="str" cm="1">
        <f t="array" aca="1" ref="AQ5" ca="1">INDIRECT("'"&amp;$C5&amp;"'!"&amp;"$"&amp;$D5&amp;$AQ$1&amp;"")</f>
        <v>CMS</v>
      </c>
      <c r="AR5" s="287" t="s">
        <v>1</v>
      </c>
      <c r="AS5" s="285" t="s">
        <v>1</v>
      </c>
      <c r="AT5" s="289">
        <v>0</v>
      </c>
      <c r="AU5" s="288">
        <v>70.34</v>
      </c>
      <c r="AV5" s="284" t="str" cm="1">
        <f t="array" aca="1" ref="AV5" ca="1">INDIRECT("'"&amp;$C5&amp;"'!"&amp;"$"&amp;$D5&amp;31&amp;"")</f>
        <v>PMS</v>
      </c>
      <c r="AW5" s="287" t="s">
        <v>1</v>
      </c>
      <c r="AX5" s="285" t="s">
        <v>1</v>
      </c>
      <c r="AY5" s="317">
        <v>70</v>
      </c>
      <c r="AZ5" s="284" cm="1">
        <f t="array" aca="1" ref="AZ5" ca="1">INDIRECT("'"&amp;$C5&amp;"'!"&amp;"$"&amp;$D5&amp;58&amp;"")</f>
        <v>1.5999999999999999</v>
      </c>
      <c r="BA5" s="286">
        <v>0.99</v>
      </c>
      <c r="BB5" s="285">
        <v>0.22</v>
      </c>
      <c r="BC5" s="289" cm="1">
        <f t="array" aca="1" ref="BC5" ca="1">INDIRECT("'"&amp;$C5&amp;"'!"&amp;"$"&amp;$D5&amp;63&amp;"")</f>
        <v>0.88</v>
      </c>
      <c r="BD5" s="287"/>
      <c r="BE5" s="287">
        <v>0.99</v>
      </c>
      <c r="BF5" s="285">
        <v>0.11</v>
      </c>
      <c r="BG5" s="381" cm="1">
        <f t="array" aca="1" ref="BG5" ca="1">INDIRECT("'"&amp;$C5&amp;"'!"&amp;"$"&amp;$D5&amp;78&amp;"")</f>
        <v>0.75</v>
      </c>
      <c r="BH5" s="287"/>
      <c r="BI5" s="287">
        <v>0.96</v>
      </c>
      <c r="BJ5" s="285">
        <v>0.19</v>
      </c>
      <c r="BK5" s="381" cm="1">
        <f t="array" aca="1" ref="BK5" ca="1">INDIRECT("'"&amp;$C5&amp;"'!"&amp;"$"&amp;$D5&amp;74&amp;"")</f>
        <v>1.6</v>
      </c>
      <c r="BL5" s="287"/>
      <c r="BM5" s="287">
        <v>0.99</v>
      </c>
      <c r="BN5" s="285">
        <v>0.22</v>
      </c>
    </row>
    <row r="6" spans="1:66" ht="15" x14ac:dyDescent="0.2">
      <c r="A6" s="368">
        <v>45689</v>
      </c>
      <c r="B6" s="365">
        <v>4.1666666666666699E-2</v>
      </c>
      <c r="C6" s="318">
        <v>1</v>
      </c>
      <c r="D6" s="319" t="s">
        <v>111</v>
      </c>
      <c r="E6" s="290">
        <v>14.4</v>
      </c>
      <c r="F6" s="291">
        <v>71.650000000000006</v>
      </c>
      <c r="G6" s="292" cm="1">
        <f t="array" aca="1" ref="G6" ca="1">INDIRECT("'"&amp;$C6&amp;"'!"&amp;"$"&amp;$D6&amp;$E$1&amp;"")</f>
        <v>6.8</v>
      </c>
      <c r="H6" s="293">
        <v>0.99</v>
      </c>
      <c r="I6" s="291">
        <v>0.91</v>
      </c>
      <c r="J6" s="292" cm="1">
        <f t="array" aca="1" ref="J6" ca="1">INDIRECT("'"&amp;$C6&amp;"'!"&amp;"$"&amp;$D6&amp;$J$1&amp;"")</f>
        <v>6.8</v>
      </c>
      <c r="K6" s="293"/>
      <c r="L6" s="293">
        <v>0.99</v>
      </c>
      <c r="M6" s="291">
        <v>0.91</v>
      </c>
      <c r="N6" s="292" cm="1">
        <f t="array" aca="1" ref="N6" ca="1">INDIRECT("'"&amp;$C6&amp;"'!"&amp;"$"&amp;$D6&amp;$N$1&amp;"")</f>
        <v>6.8</v>
      </c>
      <c r="O6" s="293"/>
      <c r="P6" s="293">
        <v>0.99</v>
      </c>
      <c r="Q6" s="291">
        <v>0.93</v>
      </c>
      <c r="R6" s="292" cm="1">
        <f t="array" aca="1" ref="R6" ca="1">INDIRECT("'"&amp;$C6&amp;"'!"&amp;"$"&amp;$D6&amp;$R$1&amp;"")</f>
        <v>6.8</v>
      </c>
      <c r="S6" s="293"/>
      <c r="T6" s="293">
        <v>0.99</v>
      </c>
      <c r="U6" s="291">
        <v>0.84</v>
      </c>
      <c r="V6" s="292" t="str" cm="1">
        <f t="array" aca="1" ref="V6" ca="1">INDIRECT("'"&amp;$C6&amp;"'!"&amp;"$"&amp;$D6&amp;$V$1&amp;"")</f>
        <v>CMS</v>
      </c>
      <c r="W6" s="293" t="s">
        <v>1</v>
      </c>
      <c r="X6" s="293" t="s">
        <v>1</v>
      </c>
      <c r="Y6" s="294" t="s">
        <v>1</v>
      </c>
      <c r="Z6" s="290" cm="1">
        <f t="array" aca="1" ref="Z6" ca="1">INDIRECT("'"&amp;$C6&amp;"'!"&amp;"$"&amp;$D6&amp;$Z$1&amp;"")</f>
        <v>0</v>
      </c>
      <c r="AA6" s="293" t="s">
        <v>1</v>
      </c>
      <c r="AB6" s="293" t="s">
        <v>1</v>
      </c>
      <c r="AC6" s="291" t="s">
        <v>1</v>
      </c>
      <c r="AD6" s="292" cm="1">
        <f t="array" aca="1" ref="AD6" ca="1">INDIRECT("'"&amp;$C6&amp;"'!"&amp;"$"&amp;$D6&amp;$AD$1&amp;"")</f>
        <v>3.2</v>
      </c>
      <c r="AE6" s="293">
        <f>3.8*3.66</f>
        <v>13.907999999999999</v>
      </c>
      <c r="AF6" s="293">
        <v>0.99</v>
      </c>
      <c r="AG6" s="294">
        <v>0.31</v>
      </c>
      <c r="AH6" s="290" cm="1">
        <f t="array" aca="1" ref="AH6" ca="1">INDIRECT("'"&amp;$C6&amp;"'!"&amp;"$"&amp;$D6&amp;$AH$1&amp;"")</f>
        <v>3.8</v>
      </c>
      <c r="AI6" s="293">
        <v>13.99</v>
      </c>
      <c r="AJ6" s="293">
        <v>0.96</v>
      </c>
      <c r="AK6" s="291">
        <v>0.95799999999999996</v>
      </c>
      <c r="AL6" s="290">
        <v>11.8</v>
      </c>
      <c r="AM6" s="294">
        <v>70.599999999999994</v>
      </c>
      <c r="AN6" s="290" cm="1">
        <f t="array" aca="1" ref="AN6" ca="1">INDIRECT("'"&amp;$C6&amp;"'!"&amp;"$"&amp;$D6&amp;$AL$1&amp;"")</f>
        <v>4.0999999999999996</v>
      </c>
      <c r="AO6" s="293">
        <v>0.97</v>
      </c>
      <c r="AP6" s="291">
        <v>1.02</v>
      </c>
      <c r="AQ6" s="292" t="str" cm="1">
        <f t="array" aca="1" ref="AQ6" ca="1">INDIRECT("'"&amp;$C6&amp;"'!"&amp;"$"&amp;$D6&amp;$AQ$1&amp;"")</f>
        <v>CMS</v>
      </c>
      <c r="AR6" s="293" t="s">
        <v>1</v>
      </c>
      <c r="AS6" s="291" t="s">
        <v>1</v>
      </c>
      <c r="AT6" s="295">
        <v>0</v>
      </c>
      <c r="AU6" s="294">
        <v>70.16</v>
      </c>
      <c r="AV6" s="290" t="str" cm="1">
        <f t="array" aca="1" ref="AV6" ca="1">INDIRECT("'"&amp;$C6&amp;"'!"&amp;"$"&amp;$D6&amp;31&amp;"")</f>
        <v>PMS</v>
      </c>
      <c r="AW6" s="293" t="s">
        <v>1</v>
      </c>
      <c r="AX6" s="291" t="s">
        <v>1</v>
      </c>
      <c r="AY6" s="296">
        <v>70.2</v>
      </c>
      <c r="AZ6" s="290" cm="1">
        <f t="array" aca="1" ref="AZ6" ca="1">INDIRECT("'"&amp;$C6&amp;"'!"&amp;"$"&amp;$D6&amp;58&amp;"")</f>
        <v>0</v>
      </c>
      <c r="BA6" s="292" t="s">
        <v>1</v>
      </c>
      <c r="BB6" s="291" t="s">
        <v>1</v>
      </c>
      <c r="BC6" s="295" cm="1">
        <f t="array" aca="1" ref="BC6" ca="1">INDIRECT("'"&amp;$C6&amp;"'!"&amp;"$"&amp;$D6&amp;63&amp;"")</f>
        <v>0.79</v>
      </c>
      <c r="BD6" s="293"/>
      <c r="BE6" s="293">
        <v>0.99</v>
      </c>
      <c r="BF6" s="291">
        <v>0.1</v>
      </c>
      <c r="BG6" s="296" cm="1">
        <f t="array" aca="1" ref="BG6" ca="1">INDIRECT("'"&amp;$C6&amp;"'!"&amp;"$"&amp;$D6&amp;78&amp;"")</f>
        <v>0.75</v>
      </c>
      <c r="BH6" s="293"/>
      <c r="BI6" s="293">
        <v>0.96</v>
      </c>
      <c r="BJ6" s="291">
        <v>0.18</v>
      </c>
      <c r="BK6" s="296" cm="1">
        <f t="array" aca="1" ref="BK6" ca="1">INDIRECT("'"&amp;$C6&amp;"'!"&amp;"$"&amp;$D6&amp;74&amp;"")</f>
        <v>0.86</v>
      </c>
      <c r="BL6" s="293"/>
      <c r="BM6" s="293">
        <v>0.9</v>
      </c>
      <c r="BN6" s="291">
        <v>0.42</v>
      </c>
    </row>
    <row r="7" spans="1:66" ht="15" x14ac:dyDescent="0.2">
      <c r="A7" s="368">
        <v>45689</v>
      </c>
      <c r="B7" s="365">
        <v>8.3333333333333301E-2</v>
      </c>
      <c r="C7" s="318">
        <v>1</v>
      </c>
      <c r="D7" s="319" t="s">
        <v>112</v>
      </c>
      <c r="E7" s="297">
        <v>14.4</v>
      </c>
      <c r="F7" s="298">
        <v>71.849999999999994</v>
      </c>
      <c r="G7" s="299" cm="1">
        <f t="array" aca="1" ref="G7" ca="1">INDIRECT("'"&amp;$C7&amp;"'!"&amp;"$"&amp;$D7&amp;$E$1&amp;"")</f>
        <v>6.7</v>
      </c>
      <c r="H7" s="300">
        <v>0.99</v>
      </c>
      <c r="I7" s="298">
        <v>0.94</v>
      </c>
      <c r="J7" s="299" cm="1">
        <f t="array" aca="1" ref="J7" ca="1">INDIRECT("'"&amp;$C7&amp;"'!"&amp;"$"&amp;$D7&amp;$J$1&amp;"")</f>
        <v>6.7</v>
      </c>
      <c r="K7" s="300"/>
      <c r="L7" s="300">
        <v>0.99</v>
      </c>
      <c r="M7" s="298">
        <v>0.91</v>
      </c>
      <c r="N7" s="299" cm="1">
        <f t="array" aca="1" ref="N7" ca="1">INDIRECT("'"&amp;$C7&amp;"'!"&amp;"$"&amp;$D7&amp;$N$1&amp;"")</f>
        <v>6.7</v>
      </c>
      <c r="O7" s="300"/>
      <c r="P7" s="300">
        <v>0.99</v>
      </c>
      <c r="Q7" s="298">
        <v>0.93</v>
      </c>
      <c r="R7" s="299" cm="1">
        <f t="array" aca="1" ref="R7" ca="1">INDIRECT("'"&amp;$C7&amp;"'!"&amp;"$"&amp;$D7&amp;$R$1&amp;"")</f>
        <v>6.7</v>
      </c>
      <c r="S7" s="300"/>
      <c r="T7" s="300">
        <v>0.99</v>
      </c>
      <c r="U7" s="298">
        <v>0.82</v>
      </c>
      <c r="V7" s="299" t="str" cm="1">
        <f t="array" aca="1" ref="V7" ca="1">INDIRECT("'"&amp;$C7&amp;"'!"&amp;"$"&amp;$D7&amp;$V$1&amp;"")</f>
        <v>CMS</v>
      </c>
      <c r="W7" s="300" t="s">
        <v>1</v>
      </c>
      <c r="X7" s="300" t="s">
        <v>1</v>
      </c>
      <c r="Y7" s="301" t="s">
        <v>1</v>
      </c>
      <c r="Z7" s="297">
        <v>0</v>
      </c>
      <c r="AA7" s="300" t="s">
        <v>1</v>
      </c>
      <c r="AB7" s="300" t="s">
        <v>1</v>
      </c>
      <c r="AC7" s="298" t="s">
        <v>1</v>
      </c>
      <c r="AD7" s="299" cm="1">
        <f t="array" aca="1" ref="AD7" ca="1">INDIRECT("'"&amp;$C7&amp;"'!"&amp;"$"&amp;$D7&amp;$AD$1&amp;"")</f>
        <v>3.2</v>
      </c>
      <c r="AE7" s="300">
        <f>3.8*3.67</f>
        <v>13.946</v>
      </c>
      <c r="AF7" s="300">
        <v>1</v>
      </c>
      <c r="AG7" s="301">
        <v>0.11</v>
      </c>
      <c r="AH7" s="297" cm="1">
        <f t="array" aca="1" ref="AH7" ca="1">INDIRECT("'"&amp;$C7&amp;"'!"&amp;"$"&amp;$D7&amp;$AH$1&amp;"")</f>
        <v>3.8</v>
      </c>
      <c r="AI7" s="300">
        <v>13.96</v>
      </c>
      <c r="AJ7" s="300">
        <v>0.95</v>
      </c>
      <c r="AK7" s="298">
        <v>1.06</v>
      </c>
      <c r="AL7" s="297">
        <v>11.8</v>
      </c>
      <c r="AM7" s="301">
        <v>70.7</v>
      </c>
      <c r="AN7" s="297" cm="1">
        <f t="array" aca="1" ref="AN7" ca="1">INDIRECT("'"&amp;$C7&amp;"'!"&amp;"$"&amp;$D7&amp;$AL$1&amp;"")</f>
        <v>3.5</v>
      </c>
      <c r="AO7" s="300">
        <v>0.96</v>
      </c>
      <c r="AP7" s="298">
        <v>1.03</v>
      </c>
      <c r="AQ7" s="299" t="str" cm="1">
        <f t="array" aca="1" ref="AQ7" ca="1">INDIRECT("'"&amp;$C7&amp;"'!"&amp;"$"&amp;$D7&amp;$AQ$1&amp;"")</f>
        <v>CMS</v>
      </c>
      <c r="AR7" s="300" t="s">
        <v>1</v>
      </c>
      <c r="AS7" s="298" t="s">
        <v>1</v>
      </c>
      <c r="AT7" s="302">
        <v>0</v>
      </c>
      <c r="AU7" s="301">
        <v>69.849999999999994</v>
      </c>
      <c r="AV7" s="297" t="str" cm="1">
        <f t="array" aca="1" ref="AV7" ca="1">INDIRECT("'"&amp;$C7&amp;"'!"&amp;"$"&amp;$D7&amp;31&amp;"")</f>
        <v>PMS</v>
      </c>
      <c r="AW7" s="300" t="s">
        <v>1</v>
      </c>
      <c r="AX7" s="298" t="s">
        <v>1</v>
      </c>
      <c r="AY7" s="303">
        <v>70.3</v>
      </c>
      <c r="AZ7" s="297" cm="1">
        <f t="array" aca="1" ref="AZ7" ca="1">INDIRECT("'"&amp;$C7&amp;"'!"&amp;"$"&amp;$D7&amp;58&amp;"")</f>
        <v>0</v>
      </c>
      <c r="BA7" s="299" t="s">
        <v>1</v>
      </c>
      <c r="BB7" s="298" t="s">
        <v>1</v>
      </c>
      <c r="BC7" s="302" cm="1">
        <f t="array" aca="1" ref="BC7" ca="1">INDIRECT("'"&amp;$C7&amp;"'!"&amp;"$"&amp;$D7&amp;63&amp;"")</f>
        <v>0.76</v>
      </c>
      <c r="BD7" s="300"/>
      <c r="BE7" s="300">
        <v>0.99</v>
      </c>
      <c r="BF7" s="298">
        <v>0.09</v>
      </c>
      <c r="BG7" s="303" cm="1">
        <f t="array" aca="1" ref="BG7" ca="1">INDIRECT("'"&amp;$C7&amp;"'!"&amp;"$"&amp;$D7&amp;78&amp;"")</f>
        <v>0.69</v>
      </c>
      <c r="BH7" s="300"/>
      <c r="BI7" s="300">
        <v>0.96</v>
      </c>
      <c r="BJ7" s="298">
        <v>0.18</v>
      </c>
      <c r="BK7" s="303" cm="1">
        <f t="array" aca="1" ref="BK7" ca="1">INDIRECT("'"&amp;$C7&amp;"'!"&amp;"$"&amp;$D7&amp;74&amp;"")</f>
        <v>0</v>
      </c>
      <c r="BL7" s="300"/>
      <c r="BM7" s="300" t="s">
        <v>1</v>
      </c>
      <c r="BN7" s="298" t="s">
        <v>1</v>
      </c>
    </row>
    <row r="8" spans="1:66" ht="15" x14ac:dyDescent="0.2">
      <c r="A8" s="368">
        <v>45689</v>
      </c>
      <c r="B8" s="365">
        <v>0.125</v>
      </c>
      <c r="C8" s="318">
        <v>1</v>
      </c>
      <c r="D8" s="319" t="s">
        <v>113</v>
      </c>
      <c r="E8" s="290">
        <v>14.4</v>
      </c>
      <c r="F8" s="291">
        <v>71.73</v>
      </c>
      <c r="G8" s="292" cm="1">
        <f t="array" aca="1" ref="G8" ca="1">INDIRECT("'"&amp;$C8&amp;"'!"&amp;"$"&amp;$D8&amp;$E$1&amp;"")</f>
        <v>6.5</v>
      </c>
      <c r="H8" s="293">
        <v>0.99</v>
      </c>
      <c r="I8" s="291">
        <v>0.76</v>
      </c>
      <c r="J8" s="292" cm="1">
        <f t="array" aca="1" ref="J8" ca="1">INDIRECT("'"&amp;$C8&amp;"'!"&amp;"$"&amp;$D8&amp;$J$1&amp;"")</f>
        <v>6.5</v>
      </c>
      <c r="K8" s="293"/>
      <c r="L8" s="293">
        <v>0.99</v>
      </c>
      <c r="M8" s="291">
        <v>0.67</v>
      </c>
      <c r="N8" s="292" cm="1">
        <f t="array" aca="1" ref="N8" ca="1">INDIRECT("'"&amp;$C8&amp;"'!"&amp;"$"&amp;$D8&amp;$N$1&amp;"")</f>
        <v>6.5</v>
      </c>
      <c r="O8" s="293"/>
      <c r="P8" s="293">
        <v>0.99</v>
      </c>
      <c r="Q8" s="291">
        <v>0.72</v>
      </c>
      <c r="R8" s="292" cm="1">
        <f t="array" aca="1" ref="R8" ca="1">INDIRECT("'"&amp;$C8&amp;"'!"&amp;"$"&amp;$D8&amp;$R$1&amp;"")</f>
        <v>6.5</v>
      </c>
      <c r="S8" s="293"/>
      <c r="T8" s="293">
        <v>0.99</v>
      </c>
      <c r="U8" s="291">
        <v>0.71</v>
      </c>
      <c r="V8" s="292" t="str" cm="1">
        <f t="array" aca="1" ref="V8" ca="1">INDIRECT("'"&amp;$C8&amp;"'!"&amp;"$"&amp;$D8&amp;$V$1&amp;"")</f>
        <v>CMS</v>
      </c>
      <c r="W8" s="293" t="s">
        <v>1</v>
      </c>
      <c r="X8" s="293" t="s">
        <v>1</v>
      </c>
      <c r="Y8" s="294" t="s">
        <v>1</v>
      </c>
      <c r="Z8" s="290" cm="1">
        <f t="array" aca="1" ref="Z8" ca="1">INDIRECT("'"&amp;$C8&amp;"'!"&amp;"$"&amp;$D8&amp;$Z$1&amp;"")</f>
        <v>0</v>
      </c>
      <c r="AA8" s="293" t="s">
        <v>1</v>
      </c>
      <c r="AB8" s="293" t="s">
        <v>1</v>
      </c>
      <c r="AC8" s="291" t="s">
        <v>1</v>
      </c>
      <c r="AD8" s="292" cm="1">
        <f t="array" aca="1" ref="AD8" ca="1">INDIRECT("'"&amp;$C8&amp;"'!"&amp;"$"&amp;$D8&amp;$AD$1&amp;"")</f>
        <v>3.2</v>
      </c>
      <c r="AE8" s="293">
        <f>3.8*3.67</f>
        <v>13.946</v>
      </c>
      <c r="AF8" s="293">
        <v>1</v>
      </c>
      <c r="AG8" s="294">
        <v>0.13</v>
      </c>
      <c r="AH8" s="290" cm="1">
        <f t="array" aca="1" ref="AH8" ca="1">INDIRECT("'"&amp;$C8&amp;"'!"&amp;"$"&amp;$D8&amp;$AH$1&amp;"")</f>
        <v>3.8</v>
      </c>
      <c r="AI8" s="293">
        <v>13.8</v>
      </c>
      <c r="AJ8" s="293">
        <v>0.96</v>
      </c>
      <c r="AK8" s="291">
        <v>1.1399999999999999</v>
      </c>
      <c r="AL8" s="290">
        <v>11.8</v>
      </c>
      <c r="AM8" s="294">
        <v>70.7</v>
      </c>
      <c r="AN8" s="290" cm="1">
        <f t="array" aca="1" ref="AN8" ca="1">INDIRECT("'"&amp;$C8&amp;"'!"&amp;"$"&amp;$D8&amp;$AL$1&amp;"")</f>
        <v>2.5</v>
      </c>
      <c r="AO8" s="293">
        <v>0.95</v>
      </c>
      <c r="AP8" s="291">
        <v>0.86</v>
      </c>
      <c r="AQ8" s="292" t="str" cm="1">
        <f t="array" aca="1" ref="AQ8" ca="1">INDIRECT("'"&amp;$C8&amp;"'!"&amp;"$"&amp;$D8&amp;$AQ$1&amp;"")</f>
        <v>CMS</v>
      </c>
      <c r="AR8" s="293" t="s">
        <v>1</v>
      </c>
      <c r="AS8" s="291" t="s">
        <v>1</v>
      </c>
      <c r="AT8" s="295">
        <v>0</v>
      </c>
      <c r="AU8" s="294">
        <v>69.89</v>
      </c>
      <c r="AV8" s="290" t="str" cm="1">
        <f t="array" aca="1" ref="AV8" ca="1">INDIRECT("'"&amp;$C8&amp;"'!"&amp;"$"&amp;$D8&amp;31&amp;"")</f>
        <v>PMS</v>
      </c>
      <c r="AW8" s="293" t="s">
        <v>1</v>
      </c>
      <c r="AX8" s="291" t="s">
        <v>1</v>
      </c>
      <c r="AY8" s="296">
        <v>70.3</v>
      </c>
      <c r="AZ8" s="290" cm="1">
        <f t="array" aca="1" ref="AZ8" ca="1">INDIRECT("'"&amp;$C8&amp;"'!"&amp;"$"&amp;$D8&amp;58&amp;"")</f>
        <v>0</v>
      </c>
      <c r="BA8" s="292" t="s">
        <v>1</v>
      </c>
      <c r="BB8" s="291" t="s">
        <v>1</v>
      </c>
      <c r="BC8" s="295" cm="1">
        <f t="array" aca="1" ref="BC8" ca="1">INDIRECT("'"&amp;$C8&amp;"'!"&amp;"$"&amp;$D8&amp;63&amp;"")</f>
        <v>0.73</v>
      </c>
      <c r="BD8" s="293"/>
      <c r="BE8" s="293">
        <v>0.99</v>
      </c>
      <c r="BF8" s="291">
        <v>7.0000000000000007E-2</v>
      </c>
      <c r="BG8" s="296" cm="1">
        <f t="array" aca="1" ref="BG8" ca="1">INDIRECT("'"&amp;$C8&amp;"'!"&amp;"$"&amp;$D8&amp;78&amp;"")</f>
        <v>0.67</v>
      </c>
      <c r="BH8" s="293"/>
      <c r="BI8" s="293">
        <v>0.96</v>
      </c>
      <c r="BJ8" s="291">
        <v>0.18</v>
      </c>
      <c r="BK8" s="296" cm="1">
        <f t="array" aca="1" ref="BK8" ca="1">INDIRECT("'"&amp;$C8&amp;"'!"&amp;"$"&amp;$D8&amp;74&amp;"")</f>
        <v>2.2599999999999998</v>
      </c>
      <c r="BL8" s="293"/>
      <c r="BM8" s="293">
        <v>0.9</v>
      </c>
      <c r="BN8" s="291">
        <v>1</v>
      </c>
    </row>
    <row r="9" spans="1:66" ht="15" x14ac:dyDescent="0.2">
      <c r="A9" s="368">
        <v>45689</v>
      </c>
      <c r="B9" s="365">
        <v>0.16666666666666699</v>
      </c>
      <c r="C9" s="318">
        <v>1</v>
      </c>
      <c r="D9" s="319" t="s">
        <v>114</v>
      </c>
      <c r="E9" s="297">
        <v>14.2</v>
      </c>
      <c r="F9" s="298">
        <v>71.430000000000007</v>
      </c>
      <c r="G9" s="299" cm="1">
        <f t="array" aca="1" ref="G9" ca="1">INDIRECT("'"&amp;$C9&amp;"'!"&amp;"$"&amp;$D9&amp;$E$1&amp;"")</f>
        <v>5.7</v>
      </c>
      <c r="H9" s="300">
        <v>0.99</v>
      </c>
      <c r="I9" s="298">
        <v>0.47</v>
      </c>
      <c r="J9" s="299" cm="1">
        <f t="array" aca="1" ref="J9" ca="1">INDIRECT("'"&amp;$C9&amp;"'!"&amp;"$"&amp;$D9&amp;$J$1&amp;"")</f>
        <v>5.7</v>
      </c>
      <c r="K9" s="300"/>
      <c r="L9" s="300">
        <v>0.99</v>
      </c>
      <c r="M9" s="298">
        <v>0.47</v>
      </c>
      <c r="N9" s="299" cm="1">
        <f t="array" aca="1" ref="N9" ca="1">INDIRECT("'"&amp;$C9&amp;"'!"&amp;"$"&amp;$D9&amp;$N$1&amp;"")</f>
        <v>5.7</v>
      </c>
      <c r="O9" s="300"/>
      <c r="P9" s="300">
        <v>0.99</v>
      </c>
      <c r="Q9" s="298">
        <v>0.4</v>
      </c>
      <c r="R9" s="299" cm="1">
        <f t="array" aca="1" ref="R9" ca="1">INDIRECT("'"&amp;$C9&amp;"'!"&amp;"$"&amp;$D9&amp;$R$1&amp;"")</f>
        <v>5.7</v>
      </c>
      <c r="S9" s="300"/>
      <c r="T9" s="300">
        <v>0.99</v>
      </c>
      <c r="U9" s="298">
        <v>0.53</v>
      </c>
      <c r="V9" s="299" t="str" cm="1">
        <f t="array" aca="1" ref="V9" ca="1">INDIRECT("'"&amp;$C9&amp;"'!"&amp;"$"&amp;$D9&amp;$V$1&amp;"")</f>
        <v>CMS</v>
      </c>
      <c r="W9" s="300" t="s">
        <v>1</v>
      </c>
      <c r="X9" s="300" t="s">
        <v>1</v>
      </c>
      <c r="Y9" s="301" t="s">
        <v>1</v>
      </c>
      <c r="Z9" s="297" cm="1">
        <f t="array" aca="1" ref="Z9" ca="1">INDIRECT("'"&amp;$C9&amp;"'!"&amp;"$"&amp;$D9&amp;$Z$1&amp;"")</f>
        <v>0</v>
      </c>
      <c r="AA9" s="300" t="s">
        <v>1</v>
      </c>
      <c r="AB9" s="300" t="s">
        <v>1</v>
      </c>
      <c r="AC9" s="298" t="s">
        <v>1</v>
      </c>
      <c r="AD9" s="299" cm="1">
        <f t="array" aca="1" ref="AD9" ca="1">INDIRECT("'"&amp;$C9&amp;"'!"&amp;"$"&amp;$D9&amp;$AD$1&amp;"")</f>
        <v>2.8</v>
      </c>
      <c r="AE9" s="300">
        <f>3.8*3.67</f>
        <v>13.946</v>
      </c>
      <c r="AF9" s="300">
        <v>1</v>
      </c>
      <c r="AG9" s="301">
        <v>0.08</v>
      </c>
      <c r="AH9" s="297" cm="1">
        <f t="array" aca="1" ref="AH9" ca="1">INDIRECT("'"&amp;$C9&amp;"'!"&amp;"$"&amp;$D9&amp;$AH$1&amp;"")</f>
        <v>3</v>
      </c>
      <c r="AI9" s="300">
        <v>13.96</v>
      </c>
      <c r="AJ9" s="300">
        <v>0.95</v>
      </c>
      <c r="AK9" s="298">
        <v>0.73699999999999999</v>
      </c>
      <c r="AL9" s="297">
        <v>11.8</v>
      </c>
      <c r="AM9" s="301">
        <v>70.7</v>
      </c>
      <c r="AN9" s="297" cm="1">
        <f t="array" aca="1" ref="AN9" ca="1">INDIRECT("'"&amp;$C9&amp;"'!"&amp;"$"&amp;$D9&amp;$AL$1&amp;"")</f>
        <v>2.4</v>
      </c>
      <c r="AO9" s="300">
        <v>0.96</v>
      </c>
      <c r="AP9" s="298">
        <v>0.65</v>
      </c>
      <c r="AQ9" s="299" t="str" cm="1">
        <f t="array" aca="1" ref="AQ9" ca="1">INDIRECT("'"&amp;$C9&amp;"'!"&amp;"$"&amp;$D9&amp;$AQ$1&amp;"")</f>
        <v>CMS</v>
      </c>
      <c r="AR9" s="300" t="s">
        <v>1</v>
      </c>
      <c r="AS9" s="298" t="s">
        <v>1</v>
      </c>
      <c r="AT9" s="302">
        <v>0</v>
      </c>
      <c r="AU9" s="301">
        <v>69.900000000000006</v>
      </c>
      <c r="AV9" s="297" t="str" cm="1">
        <f t="array" aca="1" ref="AV9" ca="1">INDIRECT("'"&amp;$C9&amp;"'!"&amp;"$"&amp;$D9&amp;31&amp;"")</f>
        <v>PMS</v>
      </c>
      <c r="AW9" s="300" t="s">
        <v>1</v>
      </c>
      <c r="AX9" s="298" t="s">
        <v>1</v>
      </c>
      <c r="AY9" s="303">
        <v>70.099999999999994</v>
      </c>
      <c r="AZ9" s="297" cm="1">
        <f t="array" aca="1" ref="AZ9" ca="1">INDIRECT("'"&amp;$C9&amp;"'!"&amp;"$"&amp;$D9&amp;58&amp;"")</f>
        <v>0</v>
      </c>
      <c r="BA9" s="299" t="s">
        <v>1</v>
      </c>
      <c r="BB9" s="298" t="s">
        <v>1</v>
      </c>
      <c r="BC9" s="302" cm="1">
        <f t="array" aca="1" ref="BC9" ca="1">INDIRECT("'"&amp;$C9&amp;"'!"&amp;"$"&amp;$D9&amp;63&amp;"")</f>
        <v>0.7</v>
      </c>
      <c r="BD9" s="300"/>
      <c r="BE9" s="300">
        <v>0.99</v>
      </c>
      <c r="BF9" s="298">
        <v>7.0000000000000007E-2</v>
      </c>
      <c r="BG9" s="303" cm="1">
        <f t="array" aca="1" ref="BG9" ca="1">INDIRECT("'"&amp;$C9&amp;"'!"&amp;"$"&amp;$D9&amp;78&amp;"")</f>
        <v>0.67</v>
      </c>
      <c r="BH9" s="300"/>
      <c r="BI9" s="300">
        <v>0.96</v>
      </c>
      <c r="BJ9" s="298">
        <v>0.17</v>
      </c>
      <c r="BK9" s="303" cm="1">
        <f t="array" aca="1" ref="BK9" ca="1">INDIRECT("'"&amp;$C9&amp;"'!"&amp;"$"&amp;$D9&amp;74&amp;"")</f>
        <v>2.2599999999999998</v>
      </c>
      <c r="BL9" s="300"/>
      <c r="BM9" s="300">
        <v>0.9</v>
      </c>
      <c r="BN9" s="298">
        <v>1.4</v>
      </c>
    </row>
    <row r="10" spans="1:66" ht="15" x14ac:dyDescent="0.2">
      <c r="A10" s="368">
        <v>45689</v>
      </c>
      <c r="B10" s="365">
        <v>0.20833333333333301</v>
      </c>
      <c r="C10" s="318">
        <v>1</v>
      </c>
      <c r="D10" s="319" t="s">
        <v>115</v>
      </c>
      <c r="E10" s="290">
        <v>14.2</v>
      </c>
      <c r="F10" s="291">
        <v>71.98</v>
      </c>
      <c r="G10" s="292" cm="1">
        <f t="array" aca="1" ref="G10" ca="1">INDIRECT("'"&amp;$C10&amp;"'!"&amp;"$"&amp;$D10&amp;$E$1&amp;"")</f>
        <v>5.8</v>
      </c>
      <c r="H10" s="293">
        <v>0.99</v>
      </c>
      <c r="I10" s="291">
        <v>0.69</v>
      </c>
      <c r="J10" s="292" cm="1">
        <f t="array" aca="1" ref="J10" ca="1">INDIRECT("'"&amp;$C10&amp;"'!"&amp;"$"&amp;$D10&amp;$J$1&amp;"")</f>
        <v>5.8</v>
      </c>
      <c r="K10" s="293"/>
      <c r="L10" s="293">
        <v>0.99</v>
      </c>
      <c r="M10" s="291">
        <v>0.63</v>
      </c>
      <c r="N10" s="292" cm="1">
        <f t="array" aca="1" ref="N10" ca="1">INDIRECT("'"&amp;$C10&amp;"'!"&amp;"$"&amp;$D10&amp;$N$1&amp;"")</f>
        <v>5.4</v>
      </c>
      <c r="O10" s="293"/>
      <c r="P10" s="293">
        <v>0.99</v>
      </c>
      <c r="Q10" s="291">
        <v>0.6</v>
      </c>
      <c r="R10" s="292" cm="1">
        <f t="array" aca="1" ref="R10" ca="1">INDIRECT("'"&amp;$C10&amp;"'!"&amp;"$"&amp;$D10&amp;$R$1&amp;"")</f>
        <v>5.4</v>
      </c>
      <c r="S10" s="293"/>
      <c r="T10" s="293">
        <v>0.99</v>
      </c>
      <c r="U10" s="291">
        <v>0.63</v>
      </c>
      <c r="V10" s="292" t="str" cm="1">
        <f t="array" aca="1" ref="V10" ca="1">INDIRECT("'"&amp;$C10&amp;"'!"&amp;"$"&amp;$D10&amp;$V$1&amp;"")</f>
        <v>CMS</v>
      </c>
      <c r="W10" s="293" t="s">
        <v>1</v>
      </c>
      <c r="X10" s="293" t="s">
        <v>1</v>
      </c>
      <c r="Y10" s="294" t="s">
        <v>1</v>
      </c>
      <c r="Z10" s="290" cm="1">
        <f t="array" aca="1" ref="Z10" ca="1">INDIRECT("'"&amp;$C10&amp;"'!"&amp;"$"&amp;$D10&amp;$Z$1&amp;"")</f>
        <v>0</v>
      </c>
      <c r="AA10" s="293" t="s">
        <v>1</v>
      </c>
      <c r="AB10" s="293" t="s">
        <v>1</v>
      </c>
      <c r="AC10" s="291" t="s">
        <v>1</v>
      </c>
      <c r="AD10" s="292" cm="1">
        <f t="array" aca="1" ref="AD10" ca="1">INDIRECT("'"&amp;$C10&amp;"'!"&amp;"$"&amp;$D10&amp;$AD$1&amp;"")</f>
        <v>2.9</v>
      </c>
      <c r="AE10" s="293">
        <f>3.8*3.65</f>
        <v>13.87</v>
      </c>
      <c r="AF10" s="293">
        <v>1</v>
      </c>
      <c r="AG10" s="294">
        <v>8.5000000000000006E-2</v>
      </c>
      <c r="AH10" s="290" cm="1">
        <f t="array" aca="1" ref="AH10" ca="1">INDIRECT("'"&amp;$C10&amp;"'!"&amp;"$"&amp;$D10&amp;$AH$1&amp;"")</f>
        <v>2.6</v>
      </c>
      <c r="AI10" s="293">
        <v>14</v>
      </c>
      <c r="AJ10" s="293">
        <v>0.92</v>
      </c>
      <c r="AK10" s="291">
        <v>1.03</v>
      </c>
      <c r="AL10" s="290">
        <v>11.8</v>
      </c>
      <c r="AM10" s="294">
        <v>70.2</v>
      </c>
      <c r="AN10" s="290" cm="1">
        <f t="array" aca="1" ref="AN10" ca="1">INDIRECT("'"&amp;$C10&amp;"'!"&amp;"$"&amp;$D10&amp;$AL$1&amp;"")</f>
        <v>1</v>
      </c>
      <c r="AO10" s="293">
        <v>0.99</v>
      </c>
      <c r="AP10" s="291">
        <v>0.35</v>
      </c>
      <c r="AQ10" s="292" t="str" cm="1">
        <f t="array" aca="1" ref="AQ10" ca="1">INDIRECT("'"&amp;$C10&amp;"'!"&amp;"$"&amp;$D10&amp;$AQ$1&amp;"")</f>
        <v>CMS</v>
      </c>
      <c r="AR10" s="293" t="s">
        <v>1</v>
      </c>
      <c r="AS10" s="291" t="s">
        <v>1</v>
      </c>
      <c r="AT10" s="295">
        <v>0</v>
      </c>
      <c r="AU10" s="294">
        <v>0</v>
      </c>
      <c r="AV10" s="290" t="str" cm="1">
        <f t="array" aca="1" ref="AV10" ca="1">INDIRECT("'"&amp;$C10&amp;"'!"&amp;"$"&amp;$D10&amp;31&amp;"")</f>
        <v>PMS</v>
      </c>
      <c r="AW10" s="293" t="s">
        <v>1</v>
      </c>
      <c r="AX10" s="291" t="s">
        <v>1</v>
      </c>
      <c r="AY10" s="296">
        <v>70.599999999999994</v>
      </c>
      <c r="AZ10" s="290" cm="1">
        <f t="array" aca="1" ref="AZ10" ca="1">INDIRECT("'"&amp;$C10&amp;"'!"&amp;"$"&amp;$D10&amp;58&amp;"")</f>
        <v>0</v>
      </c>
      <c r="BA10" s="292" t="s">
        <v>1</v>
      </c>
      <c r="BB10" s="291" t="s">
        <v>1</v>
      </c>
      <c r="BC10" s="295" cm="1">
        <f t="array" aca="1" ref="BC10" ca="1">INDIRECT("'"&amp;$C10&amp;"'!"&amp;"$"&amp;$D10&amp;63&amp;"")</f>
        <v>0.73</v>
      </c>
      <c r="BD10" s="293"/>
      <c r="BE10" s="293">
        <v>0.99</v>
      </c>
      <c r="BF10" s="291">
        <v>7.0000000000000007E-2</v>
      </c>
      <c r="BG10" s="296" cm="1">
        <f t="array" aca="1" ref="BG10" ca="1">INDIRECT("'"&amp;$C10&amp;"'!"&amp;"$"&amp;$D10&amp;78&amp;"")</f>
        <v>0.71</v>
      </c>
      <c r="BH10" s="293"/>
      <c r="BI10" s="293">
        <v>0.96</v>
      </c>
      <c r="BJ10" s="291">
        <v>0.18</v>
      </c>
      <c r="BK10" s="296" cm="1">
        <f t="array" aca="1" ref="BK10" ca="1">INDIRECT("'"&amp;$C10&amp;"'!"&amp;"$"&amp;$D10&amp;74&amp;"")</f>
        <v>2.98</v>
      </c>
      <c r="BL10" s="293"/>
      <c r="BM10" s="293">
        <v>0.9</v>
      </c>
      <c r="BN10" s="291">
        <v>1.4</v>
      </c>
    </row>
    <row r="11" spans="1:66" ht="15" x14ac:dyDescent="0.2">
      <c r="A11" s="368">
        <v>45689</v>
      </c>
      <c r="B11" s="365">
        <v>0.25</v>
      </c>
      <c r="C11" s="318">
        <v>1</v>
      </c>
      <c r="D11" s="319" t="s">
        <v>116</v>
      </c>
      <c r="E11" s="297">
        <v>14.2</v>
      </c>
      <c r="F11" s="298">
        <v>70.84</v>
      </c>
      <c r="G11" s="299" cm="1">
        <f t="array" aca="1" ref="G11" ca="1">INDIRECT("'"&amp;$C11&amp;"'!"&amp;"$"&amp;$D11&amp;$E$1&amp;"")</f>
        <v>6.1</v>
      </c>
      <c r="H11" s="300">
        <v>0.99</v>
      </c>
      <c r="I11" s="298">
        <v>0.76</v>
      </c>
      <c r="J11" s="299" cm="1">
        <f t="array" aca="1" ref="J11" ca="1">INDIRECT("'"&amp;$C11&amp;"'!"&amp;"$"&amp;$D11&amp;$J$1&amp;"")</f>
        <v>6.1</v>
      </c>
      <c r="K11" s="300"/>
      <c r="L11" s="300">
        <v>0.99</v>
      </c>
      <c r="M11" s="298">
        <v>0.7</v>
      </c>
      <c r="N11" s="299" cm="1">
        <f t="array" aca="1" ref="N11" ca="1">INDIRECT("'"&amp;$C11&amp;"'!"&amp;"$"&amp;$D11&amp;$N$1&amp;"")</f>
        <v>6.1</v>
      </c>
      <c r="O11" s="300"/>
      <c r="P11" s="300">
        <v>0.99</v>
      </c>
      <c r="Q11" s="298">
        <v>0.73</v>
      </c>
      <c r="R11" s="299" cm="1">
        <f t="array" aca="1" ref="R11" ca="1">INDIRECT("'"&amp;$C11&amp;"'!"&amp;"$"&amp;$D11&amp;$R$1&amp;"")</f>
        <v>6.1</v>
      </c>
      <c r="S11" s="300"/>
      <c r="T11" s="300">
        <v>0.97</v>
      </c>
      <c r="U11" s="298">
        <v>1.29</v>
      </c>
      <c r="V11" s="299" t="str" cm="1">
        <f t="array" aca="1" ref="V11" ca="1">INDIRECT("'"&amp;$C11&amp;"'!"&amp;"$"&amp;$D11&amp;$V$1&amp;"")</f>
        <v>CMS</v>
      </c>
      <c r="W11" s="300" t="s">
        <v>1</v>
      </c>
      <c r="X11" s="300" t="s">
        <v>1</v>
      </c>
      <c r="Y11" s="301" t="s">
        <v>1</v>
      </c>
      <c r="Z11" s="297" cm="1">
        <f t="array" aca="1" ref="Z11" ca="1">INDIRECT("'"&amp;$C11&amp;"'!"&amp;"$"&amp;$D11&amp;$Z$1&amp;"")</f>
        <v>0</v>
      </c>
      <c r="AA11" s="300" t="s">
        <v>1</v>
      </c>
      <c r="AB11" s="300" t="s">
        <v>1</v>
      </c>
      <c r="AC11" s="298" t="s">
        <v>1</v>
      </c>
      <c r="AD11" s="299" cm="1">
        <f t="array" aca="1" ref="AD11" ca="1">INDIRECT("'"&amp;$C11&amp;"'!"&amp;"$"&amp;$D11&amp;$AD$1&amp;"")</f>
        <v>3.2</v>
      </c>
      <c r="AE11" s="300">
        <f>3.8*3.64</f>
        <v>13.831999999999999</v>
      </c>
      <c r="AF11" s="300">
        <v>1</v>
      </c>
      <c r="AG11" s="301">
        <v>0.15</v>
      </c>
      <c r="AH11" s="297" cm="1">
        <f t="array" aca="1" ref="AH11" ca="1">INDIRECT("'"&amp;$C11&amp;"'!"&amp;"$"&amp;$D11&amp;$AH$1&amp;"")</f>
        <v>0</v>
      </c>
      <c r="AI11" s="300" t="s">
        <v>1</v>
      </c>
      <c r="AJ11" s="300" t="s">
        <v>1</v>
      </c>
      <c r="AK11" s="298" t="s">
        <v>1</v>
      </c>
      <c r="AL11" s="297">
        <v>11.8</v>
      </c>
      <c r="AM11" s="301">
        <v>70.2</v>
      </c>
      <c r="AN11" s="297" cm="1">
        <f t="array" aca="1" ref="AN11" ca="1">INDIRECT("'"&amp;$C11&amp;"'!"&amp;"$"&amp;$D11&amp;$AL$1&amp;"")</f>
        <v>0</v>
      </c>
      <c r="AO11" s="300" t="s">
        <v>1</v>
      </c>
      <c r="AP11" s="298" t="s">
        <v>1</v>
      </c>
      <c r="AQ11" s="299" t="str" cm="1">
        <f t="array" aca="1" ref="AQ11" ca="1">INDIRECT("'"&amp;$C11&amp;"'!"&amp;"$"&amp;$D11&amp;$AQ$1&amp;"")</f>
        <v>CMS</v>
      </c>
      <c r="AR11" s="300" t="s">
        <v>1</v>
      </c>
      <c r="AS11" s="298" t="s">
        <v>1</v>
      </c>
      <c r="AT11" s="302">
        <v>0</v>
      </c>
      <c r="AU11" s="301">
        <v>0</v>
      </c>
      <c r="AV11" s="297" t="str" cm="1">
        <f t="array" aca="1" ref="AV11" ca="1">INDIRECT("'"&amp;$C11&amp;"'!"&amp;"$"&amp;$D11&amp;31&amp;"")</f>
        <v>PMS</v>
      </c>
      <c r="AW11" s="300" t="s">
        <v>1</v>
      </c>
      <c r="AX11" s="298" t="s">
        <v>1</v>
      </c>
      <c r="AY11" s="303">
        <v>69.8</v>
      </c>
      <c r="AZ11" s="297" cm="1">
        <f t="array" aca="1" ref="AZ11" ca="1">INDIRECT("'"&amp;$C11&amp;"'!"&amp;"$"&amp;$D11&amp;58&amp;"")</f>
        <v>0</v>
      </c>
      <c r="BA11" s="299" t="s">
        <v>1</v>
      </c>
      <c r="BB11" s="298" t="s">
        <v>1</v>
      </c>
      <c r="BC11" s="302" cm="1">
        <f t="array" aca="1" ref="BC11" ca="1">INDIRECT("'"&amp;$C11&amp;"'!"&amp;"$"&amp;$D11&amp;63&amp;"")</f>
        <v>0.8</v>
      </c>
      <c r="BD11" s="300"/>
      <c r="BE11" s="300">
        <v>0.99</v>
      </c>
      <c r="BF11" s="298">
        <v>7.0000000000000007E-2</v>
      </c>
      <c r="BG11" s="303" cm="1">
        <f t="array" aca="1" ref="BG11" ca="1">INDIRECT("'"&amp;$C11&amp;"'!"&amp;"$"&amp;$D11&amp;78&amp;"")</f>
        <v>0.71</v>
      </c>
      <c r="BH11" s="300"/>
      <c r="BI11" s="300">
        <v>0.96</v>
      </c>
      <c r="BJ11" s="298">
        <v>0.2</v>
      </c>
      <c r="BK11" s="303" cm="1">
        <f t="array" aca="1" ref="BK11" ca="1">INDIRECT("'"&amp;$C11&amp;"'!"&amp;"$"&amp;$D11&amp;74&amp;"")</f>
        <v>3.73</v>
      </c>
      <c r="BL11" s="300"/>
      <c r="BM11" s="300">
        <v>0.9</v>
      </c>
      <c r="BN11" s="298">
        <v>1.8</v>
      </c>
    </row>
    <row r="12" spans="1:66" ht="15" x14ac:dyDescent="0.2">
      <c r="A12" s="368">
        <v>45689</v>
      </c>
      <c r="B12" s="365">
        <v>0.29166666666666702</v>
      </c>
      <c r="C12" s="318">
        <v>1</v>
      </c>
      <c r="D12" s="319" t="s">
        <v>117</v>
      </c>
      <c r="E12" s="290">
        <v>14.1</v>
      </c>
      <c r="F12" s="291">
        <v>70.67</v>
      </c>
      <c r="G12" s="292" cm="1">
        <f t="array" aca="1" ref="G12" ca="1">INDIRECT("'"&amp;$C12&amp;"'!"&amp;"$"&amp;$D12&amp;$E$1&amp;"")</f>
        <v>6.2</v>
      </c>
      <c r="H12" s="293">
        <v>0.99</v>
      </c>
      <c r="I12" s="291">
        <v>1</v>
      </c>
      <c r="J12" s="292" cm="1">
        <f t="array" aca="1" ref="J12" ca="1">INDIRECT("'"&amp;$C12&amp;"'!"&amp;"$"&amp;$D12&amp;$J$1&amp;"")</f>
        <v>6.2</v>
      </c>
      <c r="K12" s="293"/>
      <c r="L12" s="293">
        <v>0.99</v>
      </c>
      <c r="M12" s="291">
        <v>1.04</v>
      </c>
      <c r="N12" s="292" cm="1">
        <f t="array" aca="1" ref="N12" ca="1">INDIRECT("'"&amp;$C12&amp;"'!"&amp;"$"&amp;$D12&amp;$N$1&amp;"")</f>
        <v>6.2</v>
      </c>
      <c r="O12" s="293"/>
      <c r="P12" s="293">
        <v>0.99</v>
      </c>
      <c r="Q12" s="291">
        <v>1.01</v>
      </c>
      <c r="R12" s="292" cm="1">
        <f t="array" aca="1" ref="R12" ca="1">INDIRECT("'"&amp;$C12&amp;"'!"&amp;"$"&amp;$D12&amp;$R$1&amp;"")</f>
        <v>6.2</v>
      </c>
      <c r="S12" s="293"/>
      <c r="T12" s="293">
        <v>0.97</v>
      </c>
      <c r="U12" s="291">
        <v>1.54</v>
      </c>
      <c r="V12" s="292" t="str" cm="1">
        <f t="array" aca="1" ref="V12" ca="1">INDIRECT("'"&amp;$C12&amp;"'!"&amp;"$"&amp;$D12&amp;$V$1&amp;"")</f>
        <v>CMS</v>
      </c>
      <c r="W12" s="293" t="s">
        <v>1</v>
      </c>
      <c r="X12" s="293" t="s">
        <v>1</v>
      </c>
      <c r="Y12" s="294" t="s">
        <v>1</v>
      </c>
      <c r="Z12" s="290" cm="1">
        <f t="array" aca="1" ref="Z12" ca="1">INDIRECT("'"&amp;$C12&amp;"'!"&amp;"$"&amp;$D12&amp;$Z$1&amp;"")</f>
        <v>0</v>
      </c>
      <c r="AA12" s="293" t="s">
        <v>1</v>
      </c>
      <c r="AB12" s="293" t="s">
        <v>1</v>
      </c>
      <c r="AC12" s="291" t="s">
        <v>1</v>
      </c>
      <c r="AD12" s="292" cm="1">
        <f t="array" aca="1" ref="AD12" ca="1">INDIRECT("'"&amp;$C12&amp;"'!"&amp;"$"&amp;$D12&amp;$AD$1&amp;"")</f>
        <v>3.2</v>
      </c>
      <c r="AE12" s="293">
        <f>3.8*3.63</f>
        <v>13.793999999999999</v>
      </c>
      <c r="AF12" s="293">
        <v>1</v>
      </c>
      <c r="AG12" s="294">
        <v>0.16</v>
      </c>
      <c r="AH12" s="290" t="str" cm="1">
        <f t="array" aca="1" ref="AH12" ca="1">INDIRECT("'"&amp;$C12&amp;"'!"&amp;"$"&amp;$D12&amp;$AH$1&amp;"")</f>
        <v>CMS</v>
      </c>
      <c r="AI12" s="293" t="s">
        <v>1</v>
      </c>
      <c r="AJ12" s="293" t="s">
        <v>1</v>
      </c>
      <c r="AK12" s="291" t="s">
        <v>1</v>
      </c>
      <c r="AL12" s="290">
        <v>11.8</v>
      </c>
      <c r="AM12" s="294" t="s">
        <v>1</v>
      </c>
      <c r="AN12" s="290" cm="1">
        <f t="array" aca="1" ref="AN12" ca="1">INDIRECT("'"&amp;$C12&amp;"'!"&amp;"$"&amp;$D12&amp;$AL$1&amp;"")</f>
        <v>0</v>
      </c>
      <c r="AO12" s="293" t="s">
        <v>1</v>
      </c>
      <c r="AP12" s="291" t="s">
        <v>1</v>
      </c>
      <c r="AQ12" s="292" t="str" cm="1">
        <f t="array" aca="1" ref="AQ12" ca="1">INDIRECT("'"&amp;$C12&amp;"'!"&amp;"$"&amp;$D12&amp;$AQ$1&amp;"")</f>
        <v>CMS</v>
      </c>
      <c r="AR12" s="293" t="s">
        <v>1</v>
      </c>
      <c r="AS12" s="291" t="s">
        <v>1</v>
      </c>
      <c r="AT12" s="295">
        <v>0</v>
      </c>
      <c r="AU12" s="294">
        <v>0</v>
      </c>
      <c r="AV12" s="290" t="str" cm="1">
        <f t="array" aca="1" ref="AV12" ca="1">INDIRECT("'"&amp;$C12&amp;"'!"&amp;"$"&amp;$D12&amp;31&amp;"")</f>
        <v>PMS</v>
      </c>
      <c r="AW12" s="293" t="s">
        <v>1</v>
      </c>
      <c r="AX12" s="291" t="s">
        <v>1</v>
      </c>
      <c r="AY12" s="296">
        <v>69.5</v>
      </c>
      <c r="AZ12" s="290" cm="1">
        <f t="array" aca="1" ref="AZ12" ca="1">INDIRECT("'"&amp;$C12&amp;"'!"&amp;"$"&amp;$D12&amp;58&amp;"")</f>
        <v>0</v>
      </c>
      <c r="BA12" s="292" t="s">
        <v>1</v>
      </c>
      <c r="BB12" s="291" t="s">
        <v>1</v>
      </c>
      <c r="BC12" s="295" cm="1">
        <f t="array" aca="1" ref="BC12" ca="1">INDIRECT("'"&amp;$C12&amp;"'!"&amp;"$"&amp;$D12&amp;63&amp;"")</f>
        <v>0.95</v>
      </c>
      <c r="BD12" s="293"/>
      <c r="BE12" s="293">
        <v>0.99</v>
      </c>
      <c r="BF12" s="291">
        <v>0.11</v>
      </c>
      <c r="BG12" s="296" cm="1">
        <f t="array" aca="1" ref="BG12" ca="1">INDIRECT("'"&amp;$C12&amp;"'!"&amp;"$"&amp;$D12&amp;78&amp;"")</f>
        <v>0.74</v>
      </c>
      <c r="BH12" s="293"/>
      <c r="BI12" s="293">
        <v>0.96</v>
      </c>
      <c r="BJ12" s="291">
        <v>0.21</v>
      </c>
      <c r="BK12" s="296" cm="1">
        <f t="array" aca="1" ref="BK12" ca="1">INDIRECT("'"&amp;$C12&amp;"'!"&amp;"$"&amp;$D12&amp;74&amp;"")</f>
        <v>3.9999999999999996</v>
      </c>
      <c r="BL12" s="293"/>
      <c r="BM12" s="293">
        <v>0.9</v>
      </c>
      <c r="BN12" s="291">
        <v>1.9</v>
      </c>
    </row>
    <row r="13" spans="1:66" ht="15" x14ac:dyDescent="0.2">
      <c r="A13" s="368">
        <v>45689</v>
      </c>
      <c r="B13" s="365">
        <v>0.33333333333333398</v>
      </c>
      <c r="C13" s="318">
        <v>1</v>
      </c>
      <c r="D13" s="319" t="s">
        <v>118</v>
      </c>
      <c r="E13" s="297">
        <v>14.2</v>
      </c>
      <c r="F13" s="298">
        <v>70.400000000000006</v>
      </c>
      <c r="G13" s="299" cm="1">
        <f t="array" aca="1" ref="G13" ca="1">INDIRECT("'"&amp;$C13&amp;"'!"&amp;"$"&amp;$D13&amp;$E$1&amp;"")</f>
        <v>6.8</v>
      </c>
      <c r="H13" s="300">
        <v>0.97</v>
      </c>
      <c r="I13" s="298">
        <v>1.28</v>
      </c>
      <c r="J13" s="299" cm="1">
        <f t="array" aca="1" ref="J13" ca="1">INDIRECT("'"&amp;$C13&amp;"'!"&amp;"$"&amp;$D13&amp;$J$1&amp;"")</f>
        <v>6.8</v>
      </c>
      <c r="K13" s="300"/>
      <c r="L13" s="300">
        <v>0.97</v>
      </c>
      <c r="M13" s="298">
        <v>1.28</v>
      </c>
      <c r="N13" s="299" cm="1">
        <f t="array" aca="1" ref="N13" ca="1">INDIRECT("'"&amp;$C13&amp;"'!"&amp;"$"&amp;$D13&amp;$N$1&amp;"")</f>
        <v>6.8</v>
      </c>
      <c r="O13" s="300"/>
      <c r="P13" s="300">
        <v>0.97</v>
      </c>
      <c r="Q13" s="298">
        <v>1.28</v>
      </c>
      <c r="R13" s="299" cm="1">
        <f t="array" aca="1" ref="R13" ca="1">INDIRECT("'"&amp;$C13&amp;"'!"&amp;"$"&amp;$D13&amp;$R$1&amp;"")</f>
        <v>6.8</v>
      </c>
      <c r="S13" s="300"/>
      <c r="T13" s="300">
        <v>0.97</v>
      </c>
      <c r="U13" s="298">
        <v>1.28</v>
      </c>
      <c r="V13" s="299" t="str" cm="1">
        <f t="array" aca="1" ref="V13" ca="1">INDIRECT("'"&amp;$C13&amp;"'!"&amp;"$"&amp;$D13&amp;$V$1&amp;"")</f>
        <v>CMS</v>
      </c>
      <c r="W13" s="300" t="s">
        <v>1</v>
      </c>
      <c r="X13" s="300" t="s">
        <v>1</v>
      </c>
      <c r="Y13" s="301" t="s">
        <v>1</v>
      </c>
      <c r="Z13" s="297" cm="1">
        <f t="array" aca="1" ref="Z13" ca="1">INDIRECT("'"&amp;$C13&amp;"'!"&amp;"$"&amp;$D13&amp;$Z$1&amp;"")</f>
        <v>0</v>
      </c>
      <c r="AA13" s="300" t="s">
        <v>1</v>
      </c>
      <c r="AB13" s="300" t="s">
        <v>1</v>
      </c>
      <c r="AC13" s="298" t="s">
        <v>1</v>
      </c>
      <c r="AD13" s="299" cm="1">
        <f t="array" aca="1" ref="AD13" ca="1">INDIRECT("'"&amp;$C13&amp;"'!"&amp;"$"&amp;$D13&amp;$AD$1&amp;"")</f>
        <v>3.2</v>
      </c>
      <c r="AE13" s="300">
        <f>3.8*3.56</f>
        <v>13.527999999999999</v>
      </c>
      <c r="AF13" s="300">
        <v>0.98</v>
      </c>
      <c r="AG13" s="301">
        <v>1.61</v>
      </c>
      <c r="AH13" s="297" t="str" cm="1">
        <f t="array" aca="1" ref="AH13" ca="1">INDIRECT("'"&amp;$C13&amp;"'!"&amp;"$"&amp;$D13&amp;$AH$1&amp;"")</f>
        <v>CMS</v>
      </c>
      <c r="AI13" s="300" t="s">
        <v>1</v>
      </c>
      <c r="AJ13" s="300" t="s">
        <v>1</v>
      </c>
      <c r="AK13" s="298" t="s">
        <v>1</v>
      </c>
      <c r="AL13" s="297">
        <v>11.7</v>
      </c>
      <c r="AM13" s="301">
        <v>69.7</v>
      </c>
      <c r="AN13" s="297" cm="1">
        <f t="array" aca="1" ref="AN13" ca="1">INDIRECT("'"&amp;$C13&amp;"'!"&amp;"$"&amp;$D13&amp;$AL$1&amp;"")</f>
        <v>4</v>
      </c>
      <c r="AO13" s="300">
        <v>0.9</v>
      </c>
      <c r="AP13" s="298">
        <v>0.71199999999999997</v>
      </c>
      <c r="AQ13" s="299" t="str" cm="1">
        <f t="array" aca="1" ref="AQ13" ca="1">INDIRECT("'"&amp;$C13&amp;"'!"&amp;"$"&amp;$D13&amp;$AQ$1&amp;"")</f>
        <v>CMS</v>
      </c>
      <c r="AR13" s="300" t="s">
        <v>1</v>
      </c>
      <c r="AS13" s="298" t="s">
        <v>1</v>
      </c>
      <c r="AT13" s="302">
        <v>0</v>
      </c>
      <c r="AU13" s="301">
        <v>68.28</v>
      </c>
      <c r="AV13" s="297" t="str" cm="1">
        <f t="array" aca="1" ref="AV13" ca="1">INDIRECT("'"&amp;$C13&amp;"'!"&amp;"$"&amp;$D13&amp;31&amp;"")</f>
        <v>PMS</v>
      </c>
      <c r="AW13" s="300" t="s">
        <v>1</v>
      </c>
      <c r="AX13" s="298" t="s">
        <v>1</v>
      </c>
      <c r="AY13" s="303">
        <v>69.3</v>
      </c>
      <c r="AZ13" s="297" cm="1">
        <f t="array" aca="1" ref="AZ13" ca="1">INDIRECT("'"&amp;$C13&amp;"'!"&amp;"$"&amp;$D13&amp;58&amp;"")</f>
        <v>1.2</v>
      </c>
      <c r="BA13" s="299">
        <v>0.98</v>
      </c>
      <c r="BB13" s="298">
        <v>0.24</v>
      </c>
      <c r="BC13" s="302" cm="1">
        <f t="array" aca="1" ref="BC13" ca="1">INDIRECT("'"&amp;$C13&amp;"'!"&amp;"$"&amp;$D13&amp;63&amp;"")</f>
        <v>0.95</v>
      </c>
      <c r="BD13" s="300"/>
      <c r="BE13" s="300">
        <v>0.99</v>
      </c>
      <c r="BF13" s="298">
        <v>0.13</v>
      </c>
      <c r="BG13" s="303" cm="1">
        <f t="array" aca="1" ref="BG13" ca="1">INDIRECT("'"&amp;$C13&amp;"'!"&amp;"$"&amp;$D13&amp;78&amp;"")</f>
        <v>0.74</v>
      </c>
      <c r="BH13" s="300"/>
      <c r="BI13" s="300">
        <v>0.96</v>
      </c>
      <c r="BJ13" s="298">
        <v>0.2</v>
      </c>
      <c r="BK13" s="303" cm="1">
        <f t="array" aca="1" ref="BK13" ca="1">INDIRECT("'"&amp;$C13&amp;"'!"&amp;"$"&amp;$D13&amp;74&amp;"")</f>
        <v>4.5</v>
      </c>
      <c r="BL13" s="300"/>
      <c r="BM13" s="300">
        <v>0.9</v>
      </c>
      <c r="BN13" s="298">
        <v>2.1</v>
      </c>
    </row>
    <row r="14" spans="1:66" ht="15" x14ac:dyDescent="0.2">
      <c r="A14" s="368">
        <v>45689</v>
      </c>
      <c r="B14" s="365">
        <v>0.375</v>
      </c>
      <c r="C14" s="318">
        <v>1</v>
      </c>
      <c r="D14" s="319" t="s">
        <v>119</v>
      </c>
      <c r="E14" s="290">
        <v>14.2</v>
      </c>
      <c r="F14" s="291">
        <v>70.03</v>
      </c>
      <c r="G14" s="292" cm="1">
        <f t="array" aca="1" ref="G14" ca="1">INDIRECT("'"&amp;$C14&amp;"'!"&amp;"$"&amp;$D14&amp;$E$1&amp;"")</f>
        <v>6.6</v>
      </c>
      <c r="H14" s="293">
        <v>0.98</v>
      </c>
      <c r="I14" s="291">
        <v>1.33</v>
      </c>
      <c r="J14" s="292" cm="1">
        <f t="array" aca="1" ref="J14" ca="1">INDIRECT("'"&amp;$C14&amp;"'!"&amp;"$"&amp;$D14&amp;$J$1&amp;"")</f>
        <v>6.6</v>
      </c>
      <c r="K14" s="293"/>
      <c r="L14" s="293">
        <v>0.98</v>
      </c>
      <c r="M14" s="291">
        <v>1.33</v>
      </c>
      <c r="N14" s="292" cm="1">
        <f t="array" aca="1" ref="N14" ca="1">INDIRECT("'"&amp;$C14&amp;"'!"&amp;"$"&amp;$D14&amp;$N$1&amp;"")</f>
        <v>6.6</v>
      </c>
      <c r="O14" s="293"/>
      <c r="P14" s="293">
        <v>0.98</v>
      </c>
      <c r="Q14" s="291">
        <v>1.33</v>
      </c>
      <c r="R14" s="292" cm="1">
        <f t="array" aca="1" ref="R14" ca="1">INDIRECT("'"&amp;$C14&amp;"'!"&amp;"$"&amp;$D14&amp;$R$1&amp;"")</f>
        <v>6.6</v>
      </c>
      <c r="S14" s="293"/>
      <c r="T14" s="293">
        <v>0.98</v>
      </c>
      <c r="U14" s="291">
        <v>1.33</v>
      </c>
      <c r="V14" s="292" t="str" cm="1">
        <f t="array" aca="1" ref="V14" ca="1">INDIRECT("'"&amp;$C14&amp;"'!"&amp;"$"&amp;$D14&amp;$V$1&amp;"")</f>
        <v>CMS</v>
      </c>
      <c r="W14" s="293" t="s">
        <v>1</v>
      </c>
      <c r="X14" s="293" t="s">
        <v>1</v>
      </c>
      <c r="Y14" s="294" t="s">
        <v>1</v>
      </c>
      <c r="Z14" s="290" cm="1">
        <f t="array" aca="1" ref="Z14" ca="1">INDIRECT("'"&amp;$C14&amp;"'!"&amp;"$"&amp;$D14&amp;$Z$1&amp;"")</f>
        <v>0</v>
      </c>
      <c r="AA14" s="293" t="s">
        <v>1</v>
      </c>
      <c r="AB14" s="293" t="s">
        <v>1</v>
      </c>
      <c r="AC14" s="291" t="s">
        <v>1</v>
      </c>
      <c r="AD14" s="292" cm="1">
        <f t="array" aca="1" ref="AD14" ca="1">INDIRECT("'"&amp;$C14&amp;"'!"&amp;"$"&amp;$D14&amp;$AD$1&amp;"")</f>
        <v>3.2</v>
      </c>
      <c r="AE14" s="293">
        <f>3.8*3.55</f>
        <v>13.489999999999998</v>
      </c>
      <c r="AF14" s="293">
        <v>0.95</v>
      </c>
      <c r="AG14" s="294">
        <v>1.04</v>
      </c>
      <c r="AH14" s="290" t="str" cm="1">
        <f t="array" aca="1" ref="AH14" ca="1">INDIRECT("'"&amp;$C14&amp;"'!"&amp;"$"&amp;$D14&amp;$AH$1&amp;"")</f>
        <v>CMS</v>
      </c>
      <c r="AI14" s="293" t="s">
        <v>1</v>
      </c>
      <c r="AJ14" s="293" t="s">
        <v>1</v>
      </c>
      <c r="AK14" s="291" t="s">
        <v>1</v>
      </c>
      <c r="AL14" s="290">
        <v>11.7</v>
      </c>
      <c r="AM14" s="294">
        <v>69</v>
      </c>
      <c r="AN14" s="290" cm="1">
        <f t="array" aca="1" ref="AN14" ca="1">INDIRECT("'"&amp;$C14&amp;"'!"&amp;"$"&amp;$D14&amp;$AL$1&amp;"")</f>
        <v>4.2</v>
      </c>
      <c r="AO14" s="293">
        <v>0.86</v>
      </c>
      <c r="AP14" s="291">
        <v>2.48</v>
      </c>
      <c r="AQ14" s="292" t="str" cm="1">
        <f t="array" aca="1" ref="AQ14" ca="1">INDIRECT("'"&amp;$C14&amp;"'!"&amp;"$"&amp;$D14&amp;$AQ$1&amp;"")</f>
        <v>CMS</v>
      </c>
      <c r="AR14" s="293" t="s">
        <v>1</v>
      </c>
      <c r="AS14" s="291" t="s">
        <v>1</v>
      </c>
      <c r="AT14" s="295">
        <v>0</v>
      </c>
      <c r="AU14" s="294">
        <v>68.38</v>
      </c>
      <c r="AV14" s="290" t="str" cm="1">
        <f t="array" aca="1" ref="AV14" ca="1">INDIRECT("'"&amp;$C14&amp;"'!"&amp;"$"&amp;$D14&amp;31&amp;"")</f>
        <v>PMS</v>
      </c>
      <c r="AW14" s="293" t="s">
        <v>1</v>
      </c>
      <c r="AX14" s="291" t="s">
        <v>1</v>
      </c>
      <c r="AY14" s="296">
        <v>68.8</v>
      </c>
      <c r="AZ14" s="290" cm="1">
        <f t="array" aca="1" ref="AZ14" ca="1">INDIRECT("'"&amp;$C14&amp;"'!"&amp;"$"&amp;$D14&amp;58&amp;"")</f>
        <v>8.1000000000000032</v>
      </c>
      <c r="BA14" s="292">
        <v>0.96</v>
      </c>
      <c r="BB14" s="291">
        <v>2.2999999999999998</v>
      </c>
      <c r="BC14" s="295" cm="1">
        <f t="array" aca="1" ref="BC14" ca="1">INDIRECT("'"&amp;$C14&amp;"'!"&amp;"$"&amp;$D14&amp;63&amp;"")</f>
        <v>1.1499999999999999</v>
      </c>
      <c r="BD14" s="293"/>
      <c r="BE14" s="293">
        <v>0.99</v>
      </c>
      <c r="BF14" s="291">
        <v>0.17</v>
      </c>
      <c r="BG14" s="296" cm="1">
        <f t="array" aca="1" ref="BG14" ca="1">INDIRECT("'"&amp;$C14&amp;"'!"&amp;"$"&amp;$D14&amp;78&amp;"")</f>
        <v>0.74</v>
      </c>
      <c r="BH14" s="293"/>
      <c r="BI14" s="293">
        <v>0.96</v>
      </c>
      <c r="BJ14" s="291">
        <v>0.2</v>
      </c>
      <c r="BK14" s="296" cm="1">
        <f t="array" aca="1" ref="BK14" ca="1">INDIRECT("'"&amp;$C14&amp;"'!"&amp;"$"&amp;$D14&amp;74&amp;"")</f>
        <v>0</v>
      </c>
      <c r="BL14" s="293"/>
      <c r="BM14" s="293" t="s">
        <v>1</v>
      </c>
      <c r="BN14" s="291" t="s">
        <v>1</v>
      </c>
    </row>
    <row r="15" spans="1:66" ht="15" x14ac:dyDescent="0.2">
      <c r="A15" s="368">
        <v>45689</v>
      </c>
      <c r="B15" s="365">
        <v>0.41666666666666702</v>
      </c>
      <c r="C15" s="318">
        <v>1</v>
      </c>
      <c r="D15" s="319" t="s">
        <v>120</v>
      </c>
      <c r="E15" s="297">
        <v>14.2</v>
      </c>
      <c r="F15" s="298">
        <v>70.5</v>
      </c>
      <c r="G15" s="299" cm="1">
        <f t="array" aca="1" ref="G15" ca="1">INDIRECT("'"&amp;$C15&amp;"'!"&amp;"$"&amp;$D15&amp;$E$1&amp;"")</f>
        <v>6.5</v>
      </c>
      <c r="H15" s="300">
        <v>0.97</v>
      </c>
      <c r="I15" s="298">
        <v>1.55</v>
      </c>
      <c r="J15" s="299" cm="1">
        <f t="array" aca="1" ref="J15" ca="1">INDIRECT("'"&amp;$C15&amp;"'!"&amp;"$"&amp;$D15&amp;$J$1&amp;"")</f>
        <v>6.5</v>
      </c>
      <c r="K15" s="300"/>
      <c r="L15" s="300">
        <v>0.97</v>
      </c>
      <c r="M15" s="298">
        <v>1.55</v>
      </c>
      <c r="N15" s="299" cm="1">
        <f t="array" aca="1" ref="N15" ca="1">INDIRECT("'"&amp;$C15&amp;"'!"&amp;"$"&amp;$D15&amp;$N$1&amp;"")</f>
        <v>6.5</v>
      </c>
      <c r="O15" s="300"/>
      <c r="P15" s="300">
        <v>0.97</v>
      </c>
      <c r="Q15" s="298">
        <v>1.55</v>
      </c>
      <c r="R15" s="299" cm="1">
        <f t="array" aca="1" ref="R15" ca="1">INDIRECT("'"&amp;$C15&amp;"'!"&amp;"$"&amp;$D15&amp;$R$1&amp;"")</f>
        <v>6.5</v>
      </c>
      <c r="S15" s="300"/>
      <c r="T15" s="300">
        <v>0.97</v>
      </c>
      <c r="U15" s="298">
        <v>1.55</v>
      </c>
      <c r="V15" s="299" t="str" cm="1">
        <f t="array" aca="1" ref="V15" ca="1">INDIRECT("'"&amp;$C15&amp;"'!"&amp;"$"&amp;$D15&amp;$V$1&amp;"")</f>
        <v>CMS</v>
      </c>
      <c r="W15" s="300" t="s">
        <v>1</v>
      </c>
      <c r="X15" s="300" t="s">
        <v>1</v>
      </c>
      <c r="Y15" s="301" t="s">
        <v>1</v>
      </c>
      <c r="Z15" s="297" cm="1">
        <f t="array" aca="1" ref="Z15" ca="1">INDIRECT("'"&amp;$C15&amp;"'!"&amp;"$"&amp;$D15&amp;$Z$1&amp;"")</f>
        <v>0</v>
      </c>
      <c r="AA15" s="300" t="s">
        <v>1</v>
      </c>
      <c r="AB15" s="300" t="s">
        <v>1</v>
      </c>
      <c r="AC15" s="298" t="s">
        <v>1</v>
      </c>
      <c r="AD15" s="299" cm="1">
        <f t="array" aca="1" ref="AD15" ca="1">INDIRECT("'"&amp;$C15&amp;"'!"&amp;"$"&amp;$D15&amp;$AD$1&amp;"")</f>
        <v>3.2</v>
      </c>
      <c r="AE15" s="300">
        <f>3.8*3.57</f>
        <v>13.565999999999999</v>
      </c>
      <c r="AF15" s="300">
        <v>0.94</v>
      </c>
      <c r="AG15" s="301">
        <v>1.18</v>
      </c>
      <c r="AH15" s="297" t="str" cm="1">
        <f t="array" aca="1" ref="AH15" ca="1">INDIRECT("'"&amp;$C15&amp;"'!"&amp;"$"&amp;$D15&amp;$AH$1&amp;"")</f>
        <v>CMS</v>
      </c>
      <c r="AI15" s="300" t="s">
        <v>1</v>
      </c>
      <c r="AJ15" s="300" t="s">
        <v>1</v>
      </c>
      <c r="AK15" s="298" t="s">
        <v>1</v>
      </c>
      <c r="AL15" s="297">
        <v>11.7</v>
      </c>
      <c r="AM15" s="301">
        <v>69.2</v>
      </c>
      <c r="AN15" s="297" cm="1">
        <f t="array" aca="1" ref="AN15" ca="1">INDIRECT("'"&amp;$C15&amp;"'!"&amp;"$"&amp;$D15&amp;$AL$1&amp;"")</f>
        <v>4</v>
      </c>
      <c r="AO15" s="300">
        <v>0.88</v>
      </c>
      <c r="AP15" s="298">
        <v>2.06</v>
      </c>
      <c r="AQ15" s="299" t="str" cm="1">
        <f t="array" aca="1" ref="AQ15" ca="1">INDIRECT("'"&amp;$C15&amp;"'!"&amp;"$"&amp;$D15&amp;$AQ$1&amp;"")</f>
        <v>CMS</v>
      </c>
      <c r="AR15" s="300" t="s">
        <v>1</v>
      </c>
      <c r="AS15" s="298" t="s">
        <v>1</v>
      </c>
      <c r="AT15" s="302">
        <v>0</v>
      </c>
      <c r="AU15" s="301">
        <v>68.52</v>
      </c>
      <c r="AV15" s="297" t="str" cm="1">
        <f t="array" aca="1" ref="AV15" ca="1">INDIRECT("'"&amp;$C15&amp;"'!"&amp;"$"&amp;$D15&amp;31&amp;"")</f>
        <v>PMS</v>
      </c>
      <c r="AW15" s="300" t="s">
        <v>1</v>
      </c>
      <c r="AX15" s="298" t="s">
        <v>1</v>
      </c>
      <c r="AY15" s="303">
        <v>69.099999999999994</v>
      </c>
      <c r="AZ15" s="297" cm="1">
        <f t="array" aca="1" ref="AZ15" ca="1">INDIRECT("'"&amp;$C15&amp;"'!"&amp;"$"&amp;$D15&amp;58&amp;"")</f>
        <v>13.900000000000004</v>
      </c>
      <c r="BA15" s="299">
        <v>0.95</v>
      </c>
      <c r="BB15" s="298">
        <v>4.5</v>
      </c>
      <c r="BC15" s="302" cm="1">
        <f t="array" aca="1" ref="BC15" ca="1">INDIRECT("'"&amp;$C15&amp;"'!"&amp;"$"&amp;$D15&amp;63&amp;"")</f>
        <v>1.18</v>
      </c>
      <c r="BD15" s="300"/>
      <c r="BE15" s="300">
        <v>0.99</v>
      </c>
      <c r="BF15" s="298">
        <v>0.17</v>
      </c>
      <c r="BG15" s="303" cm="1">
        <f t="array" aca="1" ref="BG15" ca="1">INDIRECT("'"&amp;$C15&amp;"'!"&amp;"$"&amp;$D15&amp;78&amp;"")</f>
        <v>0.85</v>
      </c>
      <c r="BH15" s="300"/>
      <c r="BI15" s="300">
        <v>0.96</v>
      </c>
      <c r="BJ15" s="298">
        <v>0.2</v>
      </c>
      <c r="BK15" s="303" cm="1">
        <f t="array" aca="1" ref="BK15" ca="1">INDIRECT("'"&amp;$C15&amp;"'!"&amp;"$"&amp;$D15&amp;74&amp;"")</f>
        <v>0</v>
      </c>
      <c r="BL15" s="300"/>
      <c r="BM15" s="300" t="s">
        <v>1</v>
      </c>
      <c r="BN15" s="298" t="s">
        <v>1</v>
      </c>
    </row>
    <row r="16" spans="1:66" ht="15" x14ac:dyDescent="0.2">
      <c r="A16" s="368">
        <v>45689</v>
      </c>
      <c r="B16" s="365">
        <v>0.45833333333333398</v>
      </c>
      <c r="C16" s="318">
        <v>1</v>
      </c>
      <c r="D16" s="319" t="s">
        <v>121</v>
      </c>
      <c r="E16" s="290">
        <v>14</v>
      </c>
      <c r="F16" s="291">
        <v>70.400000000000006</v>
      </c>
      <c r="G16" s="292" cm="1">
        <f t="array" aca="1" ref="G16" ca="1">INDIRECT("'"&amp;$C16&amp;"'!"&amp;"$"&amp;$D16&amp;$E$1&amp;"")</f>
        <v>6.7</v>
      </c>
      <c r="H16" s="293">
        <v>0.97</v>
      </c>
      <c r="I16" s="291">
        <v>1.6</v>
      </c>
      <c r="J16" s="292" cm="1">
        <f t="array" aca="1" ref="J16" ca="1">INDIRECT("'"&amp;$C16&amp;"'!"&amp;"$"&amp;$D16&amp;$J$1&amp;"")</f>
        <v>6.7</v>
      </c>
      <c r="K16" s="293"/>
      <c r="L16" s="293">
        <v>0.97</v>
      </c>
      <c r="M16" s="291">
        <v>1.6</v>
      </c>
      <c r="N16" s="292" cm="1">
        <f t="array" aca="1" ref="N16" ca="1">INDIRECT("'"&amp;$C16&amp;"'!"&amp;"$"&amp;$D16&amp;$N$1&amp;"")</f>
        <v>6.7</v>
      </c>
      <c r="O16" s="293"/>
      <c r="P16" s="293">
        <v>0.97</v>
      </c>
      <c r="Q16" s="291">
        <v>1.6</v>
      </c>
      <c r="R16" s="292" cm="1">
        <f t="array" aca="1" ref="R16" ca="1">INDIRECT("'"&amp;$C16&amp;"'!"&amp;"$"&amp;$D16&amp;$R$1&amp;"")</f>
        <v>6.7</v>
      </c>
      <c r="S16" s="293"/>
      <c r="T16" s="293">
        <v>0.97</v>
      </c>
      <c r="U16" s="291">
        <v>1.6</v>
      </c>
      <c r="V16" s="292" t="str" cm="1">
        <f t="array" aca="1" ref="V16" ca="1">INDIRECT("'"&amp;$C16&amp;"'!"&amp;"$"&amp;$D16&amp;$V$1&amp;"")</f>
        <v>CMS</v>
      </c>
      <c r="W16" s="293" t="s">
        <v>1</v>
      </c>
      <c r="X16" s="293" t="s">
        <v>1</v>
      </c>
      <c r="Y16" s="294" t="s">
        <v>1</v>
      </c>
      <c r="Z16" s="290" cm="1">
        <f t="array" aca="1" ref="Z16" ca="1">INDIRECT("'"&amp;$C16&amp;"'!"&amp;"$"&amp;$D16&amp;$Z$1&amp;"")</f>
        <v>0</v>
      </c>
      <c r="AA16" s="293" t="s">
        <v>1</v>
      </c>
      <c r="AB16" s="293" t="s">
        <v>1</v>
      </c>
      <c r="AC16" s="291" t="s">
        <v>1</v>
      </c>
      <c r="AD16" s="292" cm="1">
        <f t="array" aca="1" ref="AD16" ca="1">INDIRECT("'"&amp;$C16&amp;"'!"&amp;"$"&amp;$D16&amp;$AD$1&amp;"")</f>
        <v>3.2</v>
      </c>
      <c r="AE16" s="293">
        <f>3.8*3.56</f>
        <v>13.527999999999999</v>
      </c>
      <c r="AF16" s="293">
        <v>0.93</v>
      </c>
      <c r="AG16" s="294">
        <v>1.29</v>
      </c>
      <c r="AH16" s="290" t="str" cm="1">
        <f t="array" aca="1" ref="AH16" ca="1">INDIRECT("'"&amp;$C16&amp;"'!"&amp;"$"&amp;$D16&amp;$AH$1&amp;"")</f>
        <v>CMS</v>
      </c>
      <c r="AI16" s="293" t="s">
        <v>1</v>
      </c>
      <c r="AJ16" s="293" t="s">
        <v>1</v>
      </c>
      <c r="AK16" s="291" t="s">
        <v>1</v>
      </c>
      <c r="AL16" s="290">
        <v>11.7</v>
      </c>
      <c r="AM16" s="294">
        <v>69</v>
      </c>
      <c r="AN16" s="290" cm="1">
        <f t="array" aca="1" ref="AN16" ca="1">INDIRECT("'"&amp;$C16&amp;"'!"&amp;"$"&amp;$D16&amp;$AL$1&amp;"")</f>
        <v>4.2</v>
      </c>
      <c r="AO16" s="293">
        <v>0.83</v>
      </c>
      <c r="AP16" s="291">
        <v>2.08</v>
      </c>
      <c r="AQ16" s="292" t="str" cm="1">
        <f t="array" aca="1" ref="AQ16" ca="1">INDIRECT("'"&amp;$C16&amp;"'!"&amp;"$"&amp;$D16&amp;$AQ$1&amp;"")</f>
        <v>CMS</v>
      </c>
      <c r="AR16" s="293" t="s">
        <v>1</v>
      </c>
      <c r="AS16" s="291" t="s">
        <v>1</v>
      </c>
      <c r="AT16" s="295">
        <v>0</v>
      </c>
      <c r="AU16" s="294">
        <v>68.25</v>
      </c>
      <c r="AV16" s="290" t="str" cm="1">
        <f t="array" aca="1" ref="AV16" ca="1">INDIRECT("'"&amp;$C16&amp;"'!"&amp;"$"&amp;$D16&amp;31&amp;"")</f>
        <v>PMS</v>
      </c>
      <c r="AW16" s="293" t="s">
        <v>1</v>
      </c>
      <c r="AX16" s="291" t="s">
        <v>1</v>
      </c>
      <c r="AY16" s="296">
        <v>69.2</v>
      </c>
      <c r="AZ16" s="290" cm="1">
        <f t="array" aca="1" ref="AZ16" ca="1">INDIRECT("'"&amp;$C16&amp;"'!"&amp;"$"&amp;$D16&amp;58&amp;"")</f>
        <v>14.600000000000005</v>
      </c>
      <c r="BA16" s="292">
        <v>0.96</v>
      </c>
      <c r="BB16" s="291">
        <v>4.3</v>
      </c>
      <c r="BC16" s="295" cm="1">
        <f t="array" aca="1" ref="BC16" ca="1">INDIRECT("'"&amp;$C16&amp;"'!"&amp;"$"&amp;$D16&amp;63&amp;"")</f>
        <v>1.1399999999999999</v>
      </c>
      <c r="BD16" s="293"/>
      <c r="BE16" s="293">
        <v>0.999</v>
      </c>
      <c r="BF16" s="291">
        <v>0.78</v>
      </c>
      <c r="BG16" s="296" cm="1">
        <f t="array" aca="1" ref="BG16" ca="1">INDIRECT("'"&amp;$C16&amp;"'!"&amp;"$"&amp;$D16&amp;78&amp;"")</f>
        <v>0.86</v>
      </c>
      <c r="BH16" s="293"/>
      <c r="BI16" s="293">
        <v>0.96</v>
      </c>
      <c r="BJ16" s="291">
        <v>0.24</v>
      </c>
      <c r="BK16" s="296" cm="1">
        <f t="array" aca="1" ref="BK16" ca="1">INDIRECT("'"&amp;$C16&amp;"'!"&amp;"$"&amp;$D16&amp;74&amp;"")</f>
        <v>0</v>
      </c>
      <c r="BL16" s="293"/>
      <c r="BM16" s="293" t="s">
        <v>1</v>
      </c>
      <c r="BN16" s="291" t="s">
        <v>1</v>
      </c>
    </row>
    <row r="17" spans="1:66" ht="15" x14ac:dyDescent="0.2">
      <c r="A17" s="368">
        <v>45689</v>
      </c>
      <c r="B17" s="365">
        <v>0.5</v>
      </c>
      <c r="C17" s="318">
        <v>1</v>
      </c>
      <c r="D17" s="319" t="s">
        <v>122</v>
      </c>
      <c r="E17" s="297">
        <v>14.3</v>
      </c>
      <c r="F17" s="298">
        <v>70.599999999999994</v>
      </c>
      <c r="G17" s="299" cm="1">
        <f t="array" aca="1" ref="G17" ca="1">INDIRECT("'"&amp;$C17&amp;"'!"&amp;"$"&amp;$D17&amp;$E$1&amp;"")</f>
        <v>6.6</v>
      </c>
      <c r="H17" s="300">
        <v>0.97</v>
      </c>
      <c r="I17" s="298">
        <v>1.5</v>
      </c>
      <c r="J17" s="299" cm="1">
        <f t="array" aca="1" ref="J17" ca="1">INDIRECT("'"&amp;$C17&amp;"'!"&amp;"$"&amp;$D17&amp;$J$1&amp;"")</f>
        <v>6.6</v>
      </c>
      <c r="K17" s="300"/>
      <c r="L17" s="300">
        <v>0.97</v>
      </c>
      <c r="M17" s="298">
        <v>1.5</v>
      </c>
      <c r="N17" s="299" cm="1">
        <f t="array" aca="1" ref="N17" ca="1">INDIRECT("'"&amp;$C17&amp;"'!"&amp;"$"&amp;$D17&amp;$N$1&amp;"")</f>
        <v>6.6</v>
      </c>
      <c r="O17" s="300"/>
      <c r="P17" s="300">
        <v>0.97</v>
      </c>
      <c r="Q17" s="298">
        <v>1.5</v>
      </c>
      <c r="R17" s="299" cm="1">
        <f t="array" aca="1" ref="R17" ca="1">INDIRECT("'"&amp;$C17&amp;"'!"&amp;"$"&amp;$D17&amp;$R$1&amp;"")</f>
        <v>6.6</v>
      </c>
      <c r="S17" s="300"/>
      <c r="T17" s="300">
        <v>0.97</v>
      </c>
      <c r="U17" s="298">
        <v>1.5</v>
      </c>
      <c r="V17" s="299" t="str" cm="1">
        <f t="array" aca="1" ref="V17" ca="1">INDIRECT("'"&amp;$C17&amp;"'!"&amp;"$"&amp;$D17&amp;$V$1&amp;"")</f>
        <v>CMS</v>
      </c>
      <c r="W17" s="300" t="s">
        <v>1</v>
      </c>
      <c r="X17" s="300" t="s">
        <v>1</v>
      </c>
      <c r="Y17" s="301" t="s">
        <v>1</v>
      </c>
      <c r="Z17" s="297" cm="1">
        <f t="array" aca="1" ref="Z17" ca="1">INDIRECT("'"&amp;$C17&amp;"'!"&amp;"$"&amp;$D17&amp;$Z$1&amp;"")</f>
        <v>0</v>
      </c>
      <c r="AA17" s="300" t="s">
        <v>1</v>
      </c>
      <c r="AB17" s="300" t="s">
        <v>1</v>
      </c>
      <c r="AC17" s="298" t="s">
        <v>1</v>
      </c>
      <c r="AD17" s="299" cm="1">
        <f t="array" aca="1" ref="AD17" ca="1">INDIRECT("'"&amp;$C17&amp;"'!"&amp;"$"&amp;$D17&amp;$AD$1&amp;"")</f>
        <v>3.2</v>
      </c>
      <c r="AE17" s="300">
        <f>3.8*3.57</f>
        <v>13.565999999999999</v>
      </c>
      <c r="AF17" s="300">
        <v>0.94</v>
      </c>
      <c r="AG17" s="301">
        <v>1.1499999999999999</v>
      </c>
      <c r="AH17" s="297" t="str" cm="1">
        <f t="array" aca="1" ref="AH17" ca="1">INDIRECT("'"&amp;$C17&amp;"'!"&amp;"$"&amp;$D17&amp;$AH$1&amp;"")</f>
        <v>CMS</v>
      </c>
      <c r="AI17" s="300" t="s">
        <v>1</v>
      </c>
      <c r="AJ17" s="300" t="s">
        <v>1</v>
      </c>
      <c r="AK17" s="298" t="s">
        <v>1</v>
      </c>
      <c r="AL17" s="297">
        <v>11.7</v>
      </c>
      <c r="AM17" s="301">
        <v>69.3</v>
      </c>
      <c r="AN17" s="297" cm="1">
        <f t="array" aca="1" ref="AN17" ca="1">INDIRECT("'"&amp;$C17&amp;"'!"&amp;"$"&amp;$D17&amp;$AL$1&amp;"")</f>
        <v>3.7</v>
      </c>
      <c r="AO17" s="300">
        <v>0.88</v>
      </c>
      <c r="AP17" s="298">
        <v>1.95</v>
      </c>
      <c r="AQ17" s="299" t="str" cm="1">
        <f t="array" aca="1" ref="AQ17" ca="1">INDIRECT("'"&amp;$C17&amp;"'!"&amp;"$"&amp;$D17&amp;$AQ$1&amp;"")</f>
        <v>CMS</v>
      </c>
      <c r="AR17" s="300" t="s">
        <v>1</v>
      </c>
      <c r="AS17" s="298" t="s">
        <v>1</v>
      </c>
      <c r="AT17" s="302">
        <v>0</v>
      </c>
      <c r="AU17" s="301">
        <v>68.48</v>
      </c>
      <c r="AV17" s="297" t="str" cm="1">
        <f t="array" aca="1" ref="AV17" ca="1">INDIRECT("'"&amp;$C17&amp;"'!"&amp;"$"&amp;$D17&amp;31&amp;"")</f>
        <v>PMS</v>
      </c>
      <c r="AW17" s="300" t="s">
        <v>1</v>
      </c>
      <c r="AX17" s="298" t="s">
        <v>1</v>
      </c>
      <c r="AY17" s="303">
        <v>69.5</v>
      </c>
      <c r="AZ17" s="297" cm="1">
        <f t="array" aca="1" ref="AZ17" ca="1">INDIRECT("'"&amp;$C17&amp;"'!"&amp;"$"&amp;$D17&amp;58&amp;"")</f>
        <v>14.600000000000005</v>
      </c>
      <c r="BA17" s="299">
        <v>0.96</v>
      </c>
      <c r="BB17" s="298">
        <v>4.2</v>
      </c>
      <c r="BC17" s="302" cm="1">
        <f t="array" aca="1" ref="BC17" ca="1">INDIRECT("'"&amp;$C17&amp;"'!"&amp;"$"&amp;$D17&amp;63&amp;"")</f>
        <v>1.1200000000000001</v>
      </c>
      <c r="BD17" s="300"/>
      <c r="BE17" s="300">
        <v>0.99</v>
      </c>
      <c r="BF17" s="298">
        <v>0.16</v>
      </c>
      <c r="BG17" s="303" cm="1">
        <f t="array" aca="1" ref="BG17" ca="1">INDIRECT("'"&amp;$C17&amp;"'!"&amp;"$"&amp;$D17&amp;78&amp;"")</f>
        <v>0.86</v>
      </c>
      <c r="BH17" s="300"/>
      <c r="BI17" s="300">
        <v>0.96</v>
      </c>
      <c r="BJ17" s="298">
        <v>0.25</v>
      </c>
      <c r="BK17" s="303" cm="1">
        <f t="array" aca="1" ref="BK17" ca="1">INDIRECT("'"&amp;$C17&amp;"'!"&amp;"$"&amp;$D17&amp;74&amp;"")</f>
        <v>0</v>
      </c>
      <c r="BL17" s="300"/>
      <c r="BM17" s="300" t="s">
        <v>1</v>
      </c>
      <c r="BN17" s="298" t="s">
        <v>1</v>
      </c>
    </row>
    <row r="18" spans="1:66" ht="15" x14ac:dyDescent="0.2">
      <c r="A18" s="368">
        <v>45689</v>
      </c>
      <c r="B18" s="365">
        <v>0.54166666666666696</v>
      </c>
      <c r="C18" s="318">
        <v>1</v>
      </c>
      <c r="D18" s="319" t="s">
        <v>123</v>
      </c>
      <c r="E18" s="290">
        <v>14.2</v>
      </c>
      <c r="F18" s="291">
        <v>70.3</v>
      </c>
      <c r="G18" s="292" cm="1">
        <f t="array" aca="1" ref="G18" ca="1">INDIRECT("'"&amp;$C18&amp;"'!"&amp;"$"&amp;$D18&amp;$E$1&amp;"")</f>
        <v>6.7</v>
      </c>
      <c r="H18" s="293">
        <v>0.97</v>
      </c>
      <c r="I18" s="291">
        <v>1.6</v>
      </c>
      <c r="J18" s="292" cm="1">
        <f t="array" aca="1" ref="J18" ca="1">INDIRECT("'"&amp;$C18&amp;"'!"&amp;"$"&amp;$D18&amp;$J$1&amp;"")</f>
        <v>6.7</v>
      </c>
      <c r="K18" s="293"/>
      <c r="L18" s="293">
        <v>0.97</v>
      </c>
      <c r="M18" s="291">
        <v>1.6</v>
      </c>
      <c r="N18" s="292" cm="1">
        <f t="array" aca="1" ref="N18" ca="1">INDIRECT("'"&amp;$C18&amp;"'!"&amp;"$"&amp;$D18&amp;$N$1&amp;"")</f>
        <v>6.7</v>
      </c>
      <c r="O18" s="293"/>
      <c r="P18" s="293">
        <v>0.97</v>
      </c>
      <c r="Q18" s="291">
        <v>1.6</v>
      </c>
      <c r="R18" s="292" cm="1">
        <f t="array" aca="1" ref="R18" ca="1">INDIRECT("'"&amp;$C18&amp;"'!"&amp;"$"&amp;$D18&amp;$R$1&amp;"")</f>
        <v>6.7</v>
      </c>
      <c r="S18" s="293"/>
      <c r="T18" s="293">
        <v>0.97</v>
      </c>
      <c r="U18" s="291">
        <v>1.6</v>
      </c>
      <c r="V18" s="292" t="str" cm="1">
        <f t="array" aca="1" ref="V18" ca="1">INDIRECT("'"&amp;$C18&amp;"'!"&amp;"$"&amp;$D18&amp;$V$1&amp;"")</f>
        <v>CMS</v>
      </c>
      <c r="W18" s="293" t="s">
        <v>1</v>
      </c>
      <c r="X18" s="293" t="s">
        <v>1</v>
      </c>
      <c r="Y18" s="294" t="s">
        <v>1</v>
      </c>
      <c r="Z18" s="290" cm="1">
        <f t="array" aca="1" ref="Z18" ca="1">INDIRECT("'"&amp;$C18&amp;"'!"&amp;"$"&amp;$D18&amp;$Z$1&amp;"")</f>
        <v>0</v>
      </c>
      <c r="AA18" s="293" t="s">
        <v>1</v>
      </c>
      <c r="AB18" s="293" t="s">
        <v>1</v>
      </c>
      <c r="AC18" s="291" t="s">
        <v>1</v>
      </c>
      <c r="AD18" s="292" cm="1">
        <f t="array" aca="1" ref="AD18" ca="1">INDIRECT("'"&amp;$C18&amp;"'!"&amp;"$"&amp;$D18&amp;$AD$1&amp;"")</f>
        <v>3.2</v>
      </c>
      <c r="AE18" s="293">
        <f>3.8*3.55</f>
        <v>13.489999999999998</v>
      </c>
      <c r="AF18" s="293">
        <v>0.94</v>
      </c>
      <c r="AG18" s="294">
        <v>1.19</v>
      </c>
      <c r="AH18" s="290" t="str" cm="1">
        <f t="array" aca="1" ref="AH18" ca="1">INDIRECT("'"&amp;$C18&amp;"'!"&amp;"$"&amp;$D18&amp;$AH$1&amp;"")</f>
        <v>CMS</v>
      </c>
      <c r="AI18" s="293" t="s">
        <v>1</v>
      </c>
      <c r="AJ18" s="293" t="s">
        <v>1</v>
      </c>
      <c r="AK18" s="291" t="s">
        <v>1</v>
      </c>
      <c r="AL18" s="290">
        <v>11.7</v>
      </c>
      <c r="AM18" s="294">
        <v>69</v>
      </c>
      <c r="AN18" s="290" cm="1">
        <f t="array" aca="1" ref="AN18" ca="1">INDIRECT("'"&amp;$C18&amp;"'!"&amp;"$"&amp;$D18&amp;$AL$1&amp;"")</f>
        <v>3.7</v>
      </c>
      <c r="AO18" s="293">
        <v>0.87</v>
      </c>
      <c r="AP18" s="291">
        <v>2.35</v>
      </c>
      <c r="AQ18" s="292" t="str" cm="1">
        <f t="array" aca="1" ref="AQ18" ca="1">INDIRECT("'"&amp;$C18&amp;"'!"&amp;"$"&amp;$D18&amp;$AQ$1&amp;"")</f>
        <v>CMS</v>
      </c>
      <c r="AR18" s="293" t="s">
        <v>1</v>
      </c>
      <c r="AS18" s="291" t="s">
        <v>1</v>
      </c>
      <c r="AT18" s="295">
        <v>0</v>
      </c>
      <c r="AU18" s="294">
        <v>68.45</v>
      </c>
      <c r="AV18" s="290" t="str" cm="1">
        <f t="array" aca="1" ref="AV18" ca="1">INDIRECT("'"&amp;$C18&amp;"'!"&amp;"$"&amp;$D18&amp;31&amp;"")</f>
        <v>PMS</v>
      </c>
      <c r="AW18" s="293" t="s">
        <v>1</v>
      </c>
      <c r="AX18" s="291" t="s">
        <v>1</v>
      </c>
      <c r="AY18" s="296">
        <v>69.099999999999994</v>
      </c>
      <c r="AZ18" s="290" cm="1">
        <f t="array" aca="1" ref="AZ18" ca="1">INDIRECT("'"&amp;$C18&amp;"'!"&amp;"$"&amp;$D18&amp;58&amp;"")</f>
        <v>16.499999999999993</v>
      </c>
      <c r="BA18" s="292">
        <v>0.96</v>
      </c>
      <c r="BB18" s="291">
        <v>4.8</v>
      </c>
      <c r="BC18" s="295" cm="1">
        <f t="array" aca="1" ref="BC18" ca="1">INDIRECT("'"&amp;$C18&amp;"'!"&amp;"$"&amp;$D18&amp;63&amp;"")</f>
        <v>1.1200000000000001</v>
      </c>
      <c r="BD18" s="293"/>
      <c r="BE18" s="293">
        <v>0.99</v>
      </c>
      <c r="BF18" s="291">
        <v>0.8</v>
      </c>
      <c r="BG18" s="296" cm="1">
        <f t="array" aca="1" ref="BG18" ca="1">INDIRECT("'"&amp;$C18&amp;"'!"&amp;"$"&amp;$D18&amp;78&amp;"")</f>
        <v>0.89</v>
      </c>
      <c r="BH18" s="293"/>
      <c r="BI18" s="293">
        <v>0.96</v>
      </c>
      <c r="BJ18" s="291">
        <v>0.25</v>
      </c>
      <c r="BK18" s="296" cm="1">
        <f t="array" aca="1" ref="BK18" ca="1">INDIRECT("'"&amp;$C18&amp;"'!"&amp;"$"&amp;$D18&amp;74&amp;"")</f>
        <v>0</v>
      </c>
      <c r="BL18" s="293"/>
      <c r="BM18" s="293" t="s">
        <v>1</v>
      </c>
      <c r="BN18" s="291" t="s">
        <v>1</v>
      </c>
    </row>
    <row r="19" spans="1:66" ht="15" x14ac:dyDescent="0.2">
      <c r="A19" s="368">
        <v>45689</v>
      </c>
      <c r="B19" s="365">
        <v>0.58333333333333404</v>
      </c>
      <c r="C19" s="318">
        <v>1</v>
      </c>
      <c r="D19" s="319" t="s">
        <v>124</v>
      </c>
      <c r="E19" s="297">
        <v>14.3</v>
      </c>
      <c r="F19" s="298">
        <v>70.19</v>
      </c>
      <c r="G19" s="299" cm="1">
        <f t="array" aca="1" ref="G19" ca="1">INDIRECT("'"&amp;$C19&amp;"'!"&amp;"$"&amp;$D19&amp;$E$1&amp;"")</f>
        <v>6.6</v>
      </c>
      <c r="H19" s="300">
        <v>0.97</v>
      </c>
      <c r="I19" s="298">
        <v>1.56</v>
      </c>
      <c r="J19" s="299" cm="1">
        <f t="array" aca="1" ref="J19" ca="1">INDIRECT("'"&amp;$C19&amp;"'!"&amp;"$"&amp;$D19&amp;$J$1&amp;"")</f>
        <v>6.6</v>
      </c>
      <c r="K19" s="300"/>
      <c r="L19" s="300">
        <v>0.97</v>
      </c>
      <c r="M19" s="298">
        <v>1.56</v>
      </c>
      <c r="N19" s="299" cm="1">
        <f t="array" aca="1" ref="N19" ca="1">INDIRECT("'"&amp;$C19&amp;"'!"&amp;"$"&amp;$D19&amp;$N$1&amp;"")</f>
        <v>6.6</v>
      </c>
      <c r="O19" s="300"/>
      <c r="P19" s="300">
        <v>0.97</v>
      </c>
      <c r="Q19" s="298">
        <v>1.56</v>
      </c>
      <c r="R19" s="299" cm="1">
        <f t="array" aca="1" ref="R19" ca="1">INDIRECT("'"&amp;$C19&amp;"'!"&amp;"$"&amp;$D19&amp;$R$1&amp;"")</f>
        <v>6.6</v>
      </c>
      <c r="S19" s="300"/>
      <c r="T19" s="300">
        <v>0.97</v>
      </c>
      <c r="U19" s="298">
        <v>1.56</v>
      </c>
      <c r="V19" s="299" t="str" cm="1">
        <f t="array" aca="1" ref="V19" ca="1">INDIRECT("'"&amp;$C19&amp;"'!"&amp;"$"&amp;$D19&amp;$V$1&amp;"")</f>
        <v>CMS</v>
      </c>
      <c r="W19" s="300" t="s">
        <v>1</v>
      </c>
      <c r="X19" s="300" t="s">
        <v>1</v>
      </c>
      <c r="Y19" s="301" t="s">
        <v>1</v>
      </c>
      <c r="Z19" s="297" cm="1">
        <f t="array" aca="1" ref="Z19" ca="1">INDIRECT("'"&amp;$C19&amp;"'!"&amp;"$"&amp;$D19&amp;$Z$1&amp;"")</f>
        <v>0</v>
      </c>
      <c r="AA19" s="300" t="s">
        <v>1</v>
      </c>
      <c r="AB19" s="300" t="s">
        <v>1</v>
      </c>
      <c r="AC19" s="298" t="s">
        <v>1</v>
      </c>
      <c r="AD19" s="299" cm="1">
        <f t="array" aca="1" ref="AD19" ca="1">INDIRECT("'"&amp;$C19&amp;"'!"&amp;"$"&amp;$D19&amp;$AD$1&amp;"")</f>
        <v>3.2</v>
      </c>
      <c r="AE19" s="300">
        <f>3.55*3.8</f>
        <v>13.489999999999998</v>
      </c>
      <c r="AF19" s="300">
        <v>0.94</v>
      </c>
      <c r="AG19" s="301">
        <v>1.18</v>
      </c>
      <c r="AH19" s="297" t="str" cm="1">
        <f t="array" aca="1" ref="AH19" ca="1">INDIRECT("'"&amp;$C19&amp;"'!"&amp;"$"&amp;$D19&amp;$AH$1&amp;"")</f>
        <v>CMS</v>
      </c>
      <c r="AI19" s="300" t="s">
        <v>1</v>
      </c>
      <c r="AJ19" s="300" t="s">
        <v>1</v>
      </c>
      <c r="AK19" s="298" t="s">
        <v>1</v>
      </c>
      <c r="AL19" s="297">
        <v>11.7</v>
      </c>
      <c r="AM19" s="301">
        <v>68.900000000000006</v>
      </c>
      <c r="AN19" s="297" cm="1">
        <f t="array" aca="1" ref="AN19" ca="1">INDIRECT("'"&amp;$C19&amp;"'!"&amp;"$"&amp;$D19&amp;$AL$1&amp;"")</f>
        <v>3.7</v>
      </c>
      <c r="AO19" s="300">
        <v>0.85</v>
      </c>
      <c r="AP19" s="298">
        <v>2.35</v>
      </c>
      <c r="AQ19" s="299" t="str" cm="1">
        <f t="array" aca="1" ref="AQ19" ca="1">INDIRECT("'"&amp;$C19&amp;"'!"&amp;"$"&amp;$D19&amp;$AQ$1&amp;"")</f>
        <v>CMS</v>
      </c>
      <c r="AR19" s="300" t="s">
        <v>1</v>
      </c>
      <c r="AS19" s="298" t="s">
        <v>1</v>
      </c>
      <c r="AT19" s="302">
        <v>0</v>
      </c>
      <c r="AU19" s="301">
        <v>67.849999999999994</v>
      </c>
      <c r="AV19" s="297" t="str" cm="1">
        <f t="array" aca="1" ref="AV19" ca="1">INDIRECT("'"&amp;$C19&amp;"'!"&amp;"$"&amp;$D19&amp;31&amp;"")</f>
        <v>PMS</v>
      </c>
      <c r="AW19" s="300" t="s">
        <v>1</v>
      </c>
      <c r="AX19" s="298" t="s">
        <v>1</v>
      </c>
      <c r="AY19" s="303">
        <v>67.849999999999994</v>
      </c>
      <c r="AZ19" s="297" cm="1">
        <f t="array" aca="1" ref="AZ19" ca="1">INDIRECT("'"&amp;$C19&amp;"'!"&amp;"$"&amp;$D19&amp;58&amp;"")</f>
        <v>15.699999999999996</v>
      </c>
      <c r="BA19" s="299">
        <v>0.96</v>
      </c>
      <c r="BB19" s="298">
        <v>4.5999999999999996</v>
      </c>
      <c r="BC19" s="302" cm="1">
        <f t="array" aca="1" ref="BC19" ca="1">INDIRECT("'"&amp;$C19&amp;"'!"&amp;"$"&amp;$D19&amp;63&amp;"")</f>
        <v>1.2</v>
      </c>
      <c r="BD19" s="300"/>
      <c r="BE19" s="300">
        <v>0.97</v>
      </c>
      <c r="BF19" s="298">
        <v>0.55000000000000004</v>
      </c>
      <c r="BG19" s="303" cm="1">
        <f t="array" aca="1" ref="BG19" ca="1">INDIRECT("'"&amp;$C19&amp;"'!"&amp;"$"&amp;$D19&amp;78&amp;"")</f>
        <v>0.86</v>
      </c>
      <c r="BH19" s="300"/>
      <c r="BI19" s="300">
        <v>0.96</v>
      </c>
      <c r="BJ19" s="298">
        <v>0.25</v>
      </c>
      <c r="BK19" s="303" cm="1">
        <f t="array" aca="1" ref="BK19" ca="1">INDIRECT("'"&amp;$C19&amp;"'!"&amp;"$"&amp;$D19&amp;74&amp;"")</f>
        <v>0</v>
      </c>
      <c r="BL19" s="300"/>
      <c r="BM19" s="300" t="s">
        <v>1</v>
      </c>
      <c r="BN19" s="298" t="s">
        <v>1</v>
      </c>
    </row>
    <row r="20" spans="1:66" ht="15" x14ac:dyDescent="0.2">
      <c r="A20" s="368">
        <v>45689</v>
      </c>
      <c r="B20" s="365">
        <v>0.625</v>
      </c>
      <c r="C20" s="318">
        <v>1</v>
      </c>
      <c r="D20" s="319" t="s">
        <v>125</v>
      </c>
      <c r="E20" s="290">
        <v>14.2</v>
      </c>
      <c r="F20" s="291">
        <v>70.14</v>
      </c>
      <c r="G20" s="292" cm="1">
        <f t="array" aca="1" ref="G20" ca="1">INDIRECT("'"&amp;$C20&amp;"'!"&amp;"$"&amp;$D20&amp;$E$1&amp;"")</f>
        <v>6.5</v>
      </c>
      <c r="H20" s="293">
        <v>0.97</v>
      </c>
      <c r="I20" s="291">
        <v>1.65</v>
      </c>
      <c r="J20" s="292" cm="1">
        <f t="array" aca="1" ref="J20" ca="1">INDIRECT("'"&amp;$C20&amp;"'!"&amp;"$"&amp;$D20&amp;$J$1&amp;"")</f>
        <v>6.5</v>
      </c>
      <c r="K20" s="293"/>
      <c r="L20" s="293">
        <v>0.97</v>
      </c>
      <c r="M20" s="291">
        <v>1.65</v>
      </c>
      <c r="N20" s="292" cm="1">
        <f t="array" aca="1" ref="N20" ca="1">INDIRECT("'"&amp;$C20&amp;"'!"&amp;"$"&amp;$D20&amp;$N$1&amp;"")</f>
        <v>6.5</v>
      </c>
      <c r="O20" s="293"/>
      <c r="P20" s="293">
        <v>0.97</v>
      </c>
      <c r="Q20" s="291">
        <v>1.65</v>
      </c>
      <c r="R20" s="292" cm="1">
        <f t="array" aca="1" ref="R20" ca="1">INDIRECT("'"&amp;$C20&amp;"'!"&amp;"$"&amp;$D20&amp;$R$1&amp;"")</f>
        <v>6.5</v>
      </c>
      <c r="S20" s="293"/>
      <c r="T20" s="293">
        <v>0.97</v>
      </c>
      <c r="U20" s="291">
        <v>1.65</v>
      </c>
      <c r="V20" s="292" t="str" cm="1">
        <f t="array" aca="1" ref="V20" ca="1">INDIRECT("'"&amp;$C20&amp;"'!"&amp;"$"&amp;$D20&amp;$V$1&amp;"")</f>
        <v>CMS</v>
      </c>
      <c r="W20" s="293" t="s">
        <v>1</v>
      </c>
      <c r="X20" s="293" t="s">
        <v>1</v>
      </c>
      <c r="Y20" s="294" t="s">
        <v>1</v>
      </c>
      <c r="Z20" s="290" cm="1">
        <f t="array" aca="1" ref="Z20" ca="1">INDIRECT("'"&amp;$C20&amp;"'!"&amp;"$"&amp;$D20&amp;$Z$1&amp;"")</f>
        <v>0</v>
      </c>
      <c r="AA20" s="293" t="s">
        <v>1</v>
      </c>
      <c r="AB20" s="293" t="s">
        <v>1</v>
      </c>
      <c r="AC20" s="291" t="s">
        <v>1</v>
      </c>
      <c r="AD20" s="292" cm="1">
        <f t="array" aca="1" ref="AD20" ca="1">INDIRECT("'"&amp;$C20&amp;"'!"&amp;"$"&amp;$D20&amp;$AD$1&amp;"")</f>
        <v>3.2</v>
      </c>
      <c r="AE20" s="293">
        <f>3.55*3.8</f>
        <v>13.489999999999998</v>
      </c>
      <c r="AF20" s="293">
        <v>0.91</v>
      </c>
      <c r="AG20" s="294">
        <v>1.37</v>
      </c>
      <c r="AH20" s="290" t="str" cm="1">
        <f t="array" aca="1" ref="AH20" ca="1">INDIRECT("'"&amp;$C20&amp;"'!"&amp;"$"&amp;$D20&amp;$AH$1&amp;"")</f>
        <v>CMS</v>
      </c>
      <c r="AI20" s="293" t="s">
        <v>1</v>
      </c>
      <c r="AJ20" s="293" t="s">
        <v>1</v>
      </c>
      <c r="AK20" s="291" t="s">
        <v>1</v>
      </c>
      <c r="AL20" s="290">
        <v>11.7</v>
      </c>
      <c r="AM20" s="294">
        <v>69</v>
      </c>
      <c r="AN20" s="290" cm="1">
        <f t="array" aca="1" ref="AN20" ca="1">INDIRECT("'"&amp;$C20&amp;"'!"&amp;"$"&amp;$D20&amp;$AL$1&amp;"")</f>
        <v>3.7</v>
      </c>
      <c r="AO20" s="293">
        <v>0.85</v>
      </c>
      <c r="AP20" s="291">
        <v>2.2799999999999998</v>
      </c>
      <c r="AQ20" s="292" t="str" cm="1">
        <f t="array" aca="1" ref="AQ20" ca="1">INDIRECT("'"&amp;$C20&amp;"'!"&amp;"$"&amp;$D20&amp;$AQ$1&amp;"")</f>
        <v>CMS</v>
      </c>
      <c r="AR20" s="293" t="s">
        <v>1</v>
      </c>
      <c r="AS20" s="291" t="s">
        <v>1</v>
      </c>
      <c r="AT20" s="295">
        <v>0</v>
      </c>
      <c r="AU20" s="294">
        <v>67.849999999999994</v>
      </c>
      <c r="AV20" s="290" t="str" cm="1">
        <f t="array" aca="1" ref="AV20" ca="1">INDIRECT("'"&amp;$C20&amp;"'!"&amp;"$"&amp;$D20&amp;31&amp;"")</f>
        <v>PMS</v>
      </c>
      <c r="AW20" s="293" t="s">
        <v>1</v>
      </c>
      <c r="AX20" s="291" t="s">
        <v>1</v>
      </c>
      <c r="AY20" s="296">
        <v>68.900000000000006</v>
      </c>
      <c r="AZ20" s="290" cm="1">
        <f t="array" aca="1" ref="AZ20" ca="1">INDIRECT("'"&amp;$C20&amp;"'!"&amp;"$"&amp;$D20&amp;58&amp;"")</f>
        <v>16.600000000000005</v>
      </c>
      <c r="BA20" s="292">
        <v>0.96</v>
      </c>
      <c r="BB20" s="291">
        <v>4.9000000000000004</v>
      </c>
      <c r="BC20" s="295" cm="1">
        <f t="array" aca="1" ref="BC20" ca="1">INDIRECT("'"&amp;$C20&amp;"'!"&amp;"$"&amp;$D20&amp;63&amp;"")</f>
        <v>1.24</v>
      </c>
      <c r="BD20" s="293"/>
      <c r="BE20" s="293">
        <v>0.99</v>
      </c>
      <c r="BF20" s="291">
        <v>0.21</v>
      </c>
      <c r="BG20" s="296" cm="1">
        <f t="array" aca="1" ref="BG20" ca="1">INDIRECT("'"&amp;$C20&amp;"'!"&amp;"$"&amp;$D20&amp;78&amp;"")</f>
        <v>0.86</v>
      </c>
      <c r="BH20" s="293"/>
      <c r="BI20" s="293">
        <v>0.96</v>
      </c>
      <c r="BJ20" s="291">
        <v>0.22</v>
      </c>
      <c r="BK20" s="296" cm="1">
        <f t="array" aca="1" ref="BK20" ca="1">INDIRECT("'"&amp;$C20&amp;"'!"&amp;"$"&amp;$D20&amp;74&amp;"")</f>
        <v>0</v>
      </c>
      <c r="BL20" s="293"/>
      <c r="BM20" s="293" t="s">
        <v>1</v>
      </c>
      <c r="BN20" s="291" t="s">
        <v>1</v>
      </c>
    </row>
    <row r="21" spans="1:66" ht="15" x14ac:dyDescent="0.2">
      <c r="A21" s="368">
        <v>45689</v>
      </c>
      <c r="B21" s="365">
        <v>0.66666666666666696</v>
      </c>
      <c r="C21" s="318">
        <v>1</v>
      </c>
      <c r="D21" s="319" t="s">
        <v>126</v>
      </c>
      <c r="E21" s="297">
        <v>14.2</v>
      </c>
      <c r="F21" s="298">
        <v>70.34</v>
      </c>
      <c r="G21" s="299" cm="1">
        <f t="array" aca="1" ref="G21" ca="1">INDIRECT("'"&amp;$C21&amp;"'!"&amp;"$"&amp;$D21&amp;$E$1&amp;"")</f>
        <v>6.4</v>
      </c>
      <c r="H21" s="300">
        <v>0.97</v>
      </c>
      <c r="I21" s="298">
        <v>1.66</v>
      </c>
      <c r="J21" s="299" cm="1">
        <f t="array" aca="1" ref="J21" ca="1">INDIRECT("'"&amp;$C21&amp;"'!"&amp;"$"&amp;$D21&amp;$J$1&amp;"")</f>
        <v>6.4</v>
      </c>
      <c r="K21" s="300"/>
      <c r="L21" s="300">
        <v>0.97</v>
      </c>
      <c r="M21" s="298">
        <v>1.66</v>
      </c>
      <c r="N21" s="299" cm="1">
        <f t="array" aca="1" ref="N21" ca="1">INDIRECT("'"&amp;$C21&amp;"'!"&amp;"$"&amp;$D21&amp;$N$1&amp;"")</f>
        <v>6.4</v>
      </c>
      <c r="O21" s="300"/>
      <c r="P21" s="300">
        <v>0.97</v>
      </c>
      <c r="Q21" s="298">
        <v>1.66</v>
      </c>
      <c r="R21" s="299" cm="1">
        <f t="array" aca="1" ref="R21" ca="1">INDIRECT("'"&amp;$C21&amp;"'!"&amp;"$"&amp;$D21&amp;$R$1&amp;"")</f>
        <v>6.4</v>
      </c>
      <c r="S21" s="300"/>
      <c r="T21" s="300">
        <v>0.97</v>
      </c>
      <c r="U21" s="298">
        <v>1.66</v>
      </c>
      <c r="V21" s="299" t="str" cm="1">
        <f t="array" aca="1" ref="V21" ca="1">INDIRECT("'"&amp;$C21&amp;"'!"&amp;"$"&amp;$D21&amp;$V$1&amp;"")</f>
        <v>CMS</v>
      </c>
      <c r="W21" s="300" t="s">
        <v>1</v>
      </c>
      <c r="X21" s="300" t="s">
        <v>1</v>
      </c>
      <c r="Y21" s="301" t="s">
        <v>1</v>
      </c>
      <c r="Z21" s="297" cm="1">
        <f t="array" aca="1" ref="Z21" ca="1">INDIRECT("'"&amp;$C21&amp;"'!"&amp;"$"&amp;$D21&amp;$Z$1&amp;"")</f>
        <v>0</v>
      </c>
      <c r="AA21" s="300" t="s">
        <v>1</v>
      </c>
      <c r="AB21" s="300" t="s">
        <v>1</v>
      </c>
      <c r="AC21" s="298" t="s">
        <v>1</v>
      </c>
      <c r="AD21" s="299" cm="1">
        <f t="array" aca="1" ref="AD21" ca="1">INDIRECT("'"&amp;$C21&amp;"'!"&amp;"$"&amp;$D21&amp;$AD$1&amp;"")</f>
        <v>3.2</v>
      </c>
      <c r="AE21" s="300">
        <f>3.58*3.8</f>
        <v>13.603999999999999</v>
      </c>
      <c r="AF21" s="300">
        <v>0.92</v>
      </c>
      <c r="AG21" s="301">
        <v>1.38</v>
      </c>
      <c r="AH21" s="297" t="str" cm="1">
        <f t="array" aca="1" ref="AH21" ca="1">INDIRECT("'"&amp;$C21&amp;"'!"&amp;"$"&amp;$D21&amp;$AH$1&amp;"")</f>
        <v>CMS</v>
      </c>
      <c r="AI21" s="300" t="s">
        <v>1</v>
      </c>
      <c r="AJ21" s="300" t="s">
        <v>1</v>
      </c>
      <c r="AK21" s="298" t="s">
        <v>1</v>
      </c>
      <c r="AL21" s="297">
        <v>11.7</v>
      </c>
      <c r="AM21" s="301">
        <v>69.2</v>
      </c>
      <c r="AN21" s="297" cm="1">
        <f t="array" aca="1" ref="AN21" ca="1">INDIRECT("'"&amp;$C21&amp;"'!"&amp;"$"&amp;$D21&amp;$AL$1&amp;"")</f>
        <v>3.7</v>
      </c>
      <c r="AO21" s="300">
        <v>0.87</v>
      </c>
      <c r="AP21" s="298">
        <v>2</v>
      </c>
      <c r="AQ21" s="299" t="str" cm="1">
        <f t="array" aca="1" ref="AQ21" ca="1">INDIRECT("'"&amp;$C21&amp;"'!"&amp;"$"&amp;$D21&amp;$AQ$1&amp;"")</f>
        <v>CMS</v>
      </c>
      <c r="AR21" s="300" t="s">
        <v>1</v>
      </c>
      <c r="AS21" s="298" t="s">
        <v>1</v>
      </c>
      <c r="AT21" s="302">
        <v>0</v>
      </c>
      <c r="AU21" s="301">
        <v>68.489999999999995</v>
      </c>
      <c r="AV21" s="297" t="str" cm="1">
        <f t="array" aca="1" ref="AV21" ca="1">INDIRECT("'"&amp;$C21&amp;"'!"&amp;"$"&amp;$D21&amp;31&amp;"")</f>
        <v>PMS</v>
      </c>
      <c r="AW21" s="300" t="s">
        <v>1</v>
      </c>
      <c r="AX21" s="298" t="s">
        <v>1</v>
      </c>
      <c r="AY21" s="303">
        <v>69.2</v>
      </c>
      <c r="AZ21" s="297" cm="1">
        <f t="array" aca="1" ref="AZ21" ca="1">INDIRECT("'"&amp;$C21&amp;"'!"&amp;"$"&amp;$D21&amp;58&amp;"")</f>
        <v>16.600000000000005</v>
      </c>
      <c r="BA21" s="299">
        <v>0.96</v>
      </c>
      <c r="BB21" s="298">
        <v>4.8</v>
      </c>
      <c r="BC21" s="302" cm="1">
        <f t="array" aca="1" ref="BC21" ca="1">INDIRECT("'"&amp;$C21&amp;"'!"&amp;"$"&amp;$D21&amp;63&amp;"")</f>
        <v>1.18</v>
      </c>
      <c r="BD21" s="300"/>
      <c r="BE21" s="300">
        <v>0.99</v>
      </c>
      <c r="BF21" s="298">
        <v>0.19</v>
      </c>
      <c r="BG21" s="303" cm="1">
        <f t="array" aca="1" ref="BG21" ca="1">INDIRECT("'"&amp;$C21&amp;"'!"&amp;"$"&amp;$D21&amp;78&amp;"")</f>
        <v>0.88</v>
      </c>
      <c r="BH21" s="300"/>
      <c r="BI21" s="300">
        <v>0.96</v>
      </c>
      <c r="BJ21" s="298">
        <v>0.25</v>
      </c>
      <c r="BK21" s="303" cm="1">
        <f t="array" aca="1" ref="BK21" ca="1">INDIRECT("'"&amp;$C21&amp;"'!"&amp;"$"&amp;$D21&amp;74&amp;"")</f>
        <v>0</v>
      </c>
      <c r="BL21" s="300"/>
      <c r="BM21" s="300" t="s">
        <v>1</v>
      </c>
      <c r="BN21" s="298" t="s">
        <v>1</v>
      </c>
    </row>
    <row r="22" spans="1:66" ht="15" x14ac:dyDescent="0.2">
      <c r="A22" s="368">
        <v>45689</v>
      </c>
      <c r="B22" s="365">
        <v>0.70833333333333404</v>
      </c>
      <c r="C22" s="318">
        <v>1</v>
      </c>
      <c r="D22" s="319" t="s">
        <v>127</v>
      </c>
      <c r="E22" s="290">
        <v>14.4</v>
      </c>
      <c r="F22" s="291">
        <v>71.010000000000005</v>
      </c>
      <c r="G22" s="292" cm="1">
        <f t="array" aca="1" ref="G22" ca="1">INDIRECT("'"&amp;$C22&amp;"'!"&amp;"$"&amp;$D22&amp;$E$1&amp;"")</f>
        <v>6.4</v>
      </c>
      <c r="H22" s="293">
        <v>0.97</v>
      </c>
      <c r="I22" s="291">
        <v>1.64</v>
      </c>
      <c r="J22" s="292" cm="1">
        <f t="array" aca="1" ref="J22" ca="1">INDIRECT("'"&amp;$C22&amp;"'!"&amp;"$"&amp;$D22&amp;$J$1&amp;"")</f>
        <v>6.4</v>
      </c>
      <c r="K22" s="293"/>
      <c r="L22" s="293">
        <v>0.97</v>
      </c>
      <c r="M22" s="291">
        <v>1.64</v>
      </c>
      <c r="N22" s="292" cm="1">
        <f t="array" aca="1" ref="N22" ca="1">INDIRECT("'"&amp;$C22&amp;"'!"&amp;"$"&amp;$D22&amp;$N$1&amp;"")</f>
        <v>6.4</v>
      </c>
      <c r="O22" s="293"/>
      <c r="P22" s="293">
        <v>0.97</v>
      </c>
      <c r="Q22" s="291">
        <v>1.64</v>
      </c>
      <c r="R22" s="292" cm="1">
        <f t="array" aca="1" ref="R22" ca="1">INDIRECT("'"&amp;$C22&amp;"'!"&amp;"$"&amp;$D22&amp;$R$1&amp;"")</f>
        <v>6.4</v>
      </c>
      <c r="S22" s="293"/>
      <c r="T22" s="293">
        <v>0.97</v>
      </c>
      <c r="U22" s="291">
        <v>1.64</v>
      </c>
      <c r="V22" s="292" t="str" cm="1">
        <f t="array" aca="1" ref="V22" ca="1">INDIRECT("'"&amp;$C22&amp;"'!"&amp;"$"&amp;$D22&amp;$V$1&amp;"")</f>
        <v>CMS</v>
      </c>
      <c r="W22" s="293" t="s">
        <v>1</v>
      </c>
      <c r="X22" s="293" t="s">
        <v>1</v>
      </c>
      <c r="Y22" s="294" t="s">
        <v>1</v>
      </c>
      <c r="Z22" s="290" cm="1">
        <f t="array" aca="1" ref="Z22" ca="1">INDIRECT("'"&amp;$C22&amp;"'!"&amp;"$"&amp;$D22&amp;$Z$1&amp;"")</f>
        <v>0</v>
      </c>
      <c r="AA22" s="293" t="s">
        <v>1</v>
      </c>
      <c r="AB22" s="293" t="s">
        <v>1</v>
      </c>
      <c r="AC22" s="291" t="s">
        <v>1</v>
      </c>
      <c r="AD22" s="292" cm="1">
        <f t="array" aca="1" ref="AD22" ca="1">INDIRECT("'"&amp;$C22&amp;"'!"&amp;"$"&amp;$D22&amp;$AD$1&amp;"")</f>
        <v>3.2</v>
      </c>
      <c r="AE22" s="293">
        <f>3.58*3.8</f>
        <v>13.603999999999999</v>
      </c>
      <c r="AF22" s="293">
        <v>0.92</v>
      </c>
      <c r="AG22" s="294">
        <v>1.36</v>
      </c>
      <c r="AH22" s="290" t="str" cm="1">
        <f t="array" aca="1" ref="AH22" ca="1">INDIRECT("'"&amp;$C22&amp;"'!"&amp;"$"&amp;$D22&amp;$AH$1&amp;"")</f>
        <v>CMS</v>
      </c>
      <c r="AI22" s="293" t="s">
        <v>1</v>
      </c>
      <c r="AJ22" s="293" t="s">
        <v>1</v>
      </c>
      <c r="AK22" s="291" t="s">
        <v>1</v>
      </c>
      <c r="AL22" s="290">
        <v>11.7</v>
      </c>
      <c r="AM22" s="294">
        <v>69.900000000000006</v>
      </c>
      <c r="AN22" s="290" cm="1">
        <f t="array" aca="1" ref="AN22" ca="1">INDIRECT("'"&amp;$C22&amp;"'!"&amp;"$"&amp;$D22&amp;$AL$1&amp;"")</f>
        <v>3.6</v>
      </c>
      <c r="AO22" s="293">
        <v>0.93</v>
      </c>
      <c r="AP22" s="291">
        <v>1.44</v>
      </c>
      <c r="AQ22" s="292" t="str" cm="1">
        <f t="array" aca="1" ref="AQ22" ca="1">INDIRECT("'"&amp;$C22&amp;"'!"&amp;"$"&amp;$D22&amp;$AQ$1&amp;"")</f>
        <v>CMS</v>
      </c>
      <c r="AR22" s="293" t="s">
        <v>1</v>
      </c>
      <c r="AS22" s="291" t="s">
        <v>1</v>
      </c>
      <c r="AT22" s="295">
        <v>0</v>
      </c>
      <c r="AU22" s="294">
        <v>68.319999999999993</v>
      </c>
      <c r="AV22" s="290" t="str" cm="1">
        <f t="array" aca="1" ref="AV22" ca="1">INDIRECT("'"&amp;$C22&amp;"'!"&amp;"$"&amp;$D22&amp;31&amp;"")</f>
        <v>PMS</v>
      </c>
      <c r="AW22" s="293" t="s">
        <v>1</v>
      </c>
      <c r="AX22" s="291" t="s">
        <v>1</v>
      </c>
      <c r="AY22" s="296">
        <v>69.900000000000006</v>
      </c>
      <c r="AZ22" s="290" cm="1">
        <f t="array" aca="1" ref="AZ22" ca="1">INDIRECT("'"&amp;$C22&amp;"'!"&amp;"$"&amp;$D22&amp;58&amp;"")</f>
        <v>15.800000000000004</v>
      </c>
      <c r="BA22" s="292">
        <v>0.96</v>
      </c>
      <c r="BB22" s="291">
        <v>4.5999999999999996</v>
      </c>
      <c r="BC22" s="295" cm="1">
        <f t="array" aca="1" ref="BC22" ca="1">INDIRECT("'"&amp;$C22&amp;"'!"&amp;"$"&amp;$D22&amp;63&amp;"")</f>
        <v>1.18</v>
      </c>
      <c r="BD22" s="293"/>
      <c r="BE22" s="293">
        <v>0.99</v>
      </c>
      <c r="BF22" s="291">
        <v>0.19</v>
      </c>
      <c r="BG22" s="296" cm="1">
        <f t="array" aca="1" ref="BG22" ca="1">INDIRECT("'"&amp;$C22&amp;"'!"&amp;"$"&amp;$D22&amp;78&amp;"")</f>
        <v>0.88</v>
      </c>
      <c r="BH22" s="293"/>
      <c r="BI22" s="293">
        <v>0.96</v>
      </c>
      <c r="BJ22" s="291">
        <v>0.24</v>
      </c>
      <c r="BK22" s="296" cm="1">
        <f t="array" aca="1" ref="BK22" ca="1">INDIRECT("'"&amp;$C22&amp;"'!"&amp;"$"&amp;$D22&amp;74&amp;"")</f>
        <v>2.9</v>
      </c>
      <c r="BL22" s="293"/>
      <c r="BM22" s="293">
        <v>0.91</v>
      </c>
      <c r="BN22" s="291">
        <v>1.3</v>
      </c>
    </row>
    <row r="23" spans="1:66" ht="15" x14ac:dyDescent="0.2">
      <c r="A23" s="368">
        <v>45689</v>
      </c>
      <c r="B23" s="365">
        <v>0.750000000000001</v>
      </c>
      <c r="C23" s="318">
        <v>1</v>
      </c>
      <c r="D23" s="319" t="s">
        <v>128</v>
      </c>
      <c r="E23" s="297">
        <v>14.3</v>
      </c>
      <c r="F23" s="298">
        <v>70.7</v>
      </c>
      <c r="G23" s="299" cm="1">
        <f t="array" aca="1" ref="G23" ca="1">INDIRECT("'"&amp;$C23&amp;"'!"&amp;"$"&amp;$D23&amp;$E$1&amp;"")</f>
        <v>6.6</v>
      </c>
      <c r="H23" s="300">
        <v>0.98</v>
      </c>
      <c r="I23" s="298">
        <v>1.3</v>
      </c>
      <c r="J23" s="299" cm="1">
        <f t="array" aca="1" ref="J23" ca="1">INDIRECT("'"&amp;$C23&amp;"'!"&amp;"$"&amp;$D23&amp;$J$1&amp;"")</f>
        <v>6.6</v>
      </c>
      <c r="K23" s="300"/>
      <c r="L23" s="300">
        <v>0.98</v>
      </c>
      <c r="M23" s="298">
        <v>1.3</v>
      </c>
      <c r="N23" s="299" cm="1">
        <f t="array" aca="1" ref="N23" ca="1">INDIRECT("'"&amp;$C23&amp;"'!"&amp;"$"&amp;$D23&amp;$N$1&amp;"")</f>
        <v>6.6</v>
      </c>
      <c r="O23" s="300"/>
      <c r="P23" s="300">
        <v>0.98</v>
      </c>
      <c r="Q23" s="298">
        <v>1.3</v>
      </c>
      <c r="R23" s="299" cm="1">
        <f t="array" aca="1" ref="R23" ca="1">INDIRECT("'"&amp;$C23&amp;"'!"&amp;"$"&amp;$D23&amp;$R$1&amp;"")</f>
        <v>6.6</v>
      </c>
      <c r="S23" s="300"/>
      <c r="T23" s="300">
        <v>0.98</v>
      </c>
      <c r="U23" s="298">
        <v>1.3</v>
      </c>
      <c r="V23" s="299" t="str" cm="1">
        <f t="array" aca="1" ref="V23" ca="1">INDIRECT("'"&amp;$C23&amp;"'!"&amp;"$"&amp;$D23&amp;$V$1&amp;"")</f>
        <v>CMS</v>
      </c>
      <c r="W23" s="300" t="s">
        <v>1</v>
      </c>
      <c r="X23" s="300" t="s">
        <v>1</v>
      </c>
      <c r="Y23" s="301" t="s">
        <v>1</v>
      </c>
      <c r="Z23" s="297" cm="1">
        <f t="array" aca="1" ref="Z23" ca="1">INDIRECT("'"&amp;$C23&amp;"'!"&amp;"$"&amp;$D23&amp;$Z$1&amp;"")</f>
        <v>0</v>
      </c>
      <c r="AA23" s="300" t="s">
        <v>1</v>
      </c>
      <c r="AB23" s="300" t="s">
        <v>1</v>
      </c>
      <c r="AC23" s="298" t="s">
        <v>1</v>
      </c>
      <c r="AD23" s="299" cm="1">
        <f t="array" aca="1" ref="AD23" ca="1">INDIRECT("'"&amp;$C23&amp;"'!"&amp;"$"&amp;$D23&amp;$AD$1&amp;"")</f>
        <v>3.2</v>
      </c>
      <c r="AE23" s="300">
        <f>3.59*3.8</f>
        <v>13.641999999999999</v>
      </c>
      <c r="AF23" s="300">
        <v>0.92</v>
      </c>
      <c r="AG23" s="301">
        <v>1.39</v>
      </c>
      <c r="AH23" s="297" t="str" cm="1">
        <f t="array" aca="1" ref="AH23" ca="1">INDIRECT("'"&amp;$C23&amp;"'!"&amp;"$"&amp;$D23&amp;$AH$1&amp;"")</f>
        <v>CMS</v>
      </c>
      <c r="AI23" s="300" t="s">
        <v>1</v>
      </c>
      <c r="AJ23" s="300" t="s">
        <v>1</v>
      </c>
      <c r="AK23" s="298" t="s">
        <v>1</v>
      </c>
      <c r="AL23" s="297">
        <v>11.8</v>
      </c>
      <c r="AM23" s="301">
        <v>69.8</v>
      </c>
      <c r="AN23" s="297" cm="1">
        <f t="array" aca="1" ref="AN23" ca="1">INDIRECT("'"&amp;$C23&amp;"'!"&amp;"$"&amp;$D23&amp;$AL$1&amp;"")</f>
        <v>3.8</v>
      </c>
      <c r="AO23" s="300">
        <v>0.91</v>
      </c>
      <c r="AP23" s="298">
        <v>1.65</v>
      </c>
      <c r="AQ23" s="299" t="str" cm="1">
        <f t="array" aca="1" ref="AQ23" ca="1">INDIRECT("'"&amp;$C23&amp;"'!"&amp;"$"&amp;$D23&amp;$AQ$1&amp;"")</f>
        <v>CMS</v>
      </c>
      <c r="AR23" s="300" t="s">
        <v>1</v>
      </c>
      <c r="AS23" s="298" t="s">
        <v>1</v>
      </c>
      <c r="AT23" s="302">
        <v>0</v>
      </c>
      <c r="AU23" s="301">
        <v>68.349999999999994</v>
      </c>
      <c r="AV23" s="297" t="str" cm="1">
        <f t="array" aca="1" ref="AV23" ca="1">INDIRECT("'"&amp;$C23&amp;"'!"&amp;"$"&amp;$D23&amp;31&amp;"")</f>
        <v>PMS</v>
      </c>
      <c r="AW23" s="300" t="s">
        <v>1</v>
      </c>
      <c r="AX23" s="298" t="s">
        <v>1</v>
      </c>
      <c r="AY23" s="303">
        <v>69.7</v>
      </c>
      <c r="AZ23" s="297" cm="1">
        <f t="array" aca="1" ref="AZ23" ca="1">INDIRECT("'"&amp;$C23&amp;"'!"&amp;"$"&amp;$D23&amp;58&amp;"")</f>
        <v>15.700000000000003</v>
      </c>
      <c r="BA23" s="299">
        <v>0.97</v>
      </c>
      <c r="BB23" s="298">
        <v>4</v>
      </c>
      <c r="BC23" s="302" cm="1">
        <f t="array" aca="1" ref="BC23" ca="1">INDIRECT("'"&amp;$C23&amp;"'!"&amp;"$"&amp;$D23&amp;63&amp;"")</f>
        <v>1.1599999999999999</v>
      </c>
      <c r="BD23" s="300"/>
      <c r="BE23" s="300">
        <v>0.99</v>
      </c>
      <c r="BF23" s="298">
        <v>0.17</v>
      </c>
      <c r="BG23" s="303" cm="1">
        <f t="array" aca="1" ref="BG23" ca="1">INDIRECT("'"&amp;$C23&amp;"'!"&amp;"$"&amp;$D23&amp;78&amp;"")</f>
        <v>0.84</v>
      </c>
      <c r="BH23" s="300"/>
      <c r="BI23" s="300">
        <v>0.96</v>
      </c>
      <c r="BJ23" s="298">
        <v>0.24</v>
      </c>
      <c r="BK23" s="303" cm="1">
        <f t="array" aca="1" ref="BK23" ca="1">INDIRECT("'"&amp;$C23&amp;"'!"&amp;"$"&amp;$D23&amp;74&amp;"")</f>
        <v>4.5000000000000009</v>
      </c>
      <c r="BL23" s="300"/>
      <c r="BM23" s="300">
        <v>0.9</v>
      </c>
      <c r="BN23" s="298">
        <v>2.2000000000000002</v>
      </c>
    </row>
    <row r="24" spans="1:66" ht="15" x14ac:dyDescent="0.2">
      <c r="A24" s="368">
        <v>45689</v>
      </c>
      <c r="B24" s="365">
        <v>0.79166666666666696</v>
      </c>
      <c r="C24" s="318">
        <v>1</v>
      </c>
      <c r="D24" s="319" t="s">
        <v>129</v>
      </c>
      <c r="E24" s="290">
        <v>14.3</v>
      </c>
      <c r="F24" s="291">
        <v>71.099999999999994</v>
      </c>
      <c r="G24" s="292" cm="1">
        <f t="array" aca="1" ref="G24" ca="1">INDIRECT("'"&amp;$C24&amp;"'!"&amp;"$"&amp;$D24&amp;$E$1&amp;"")</f>
        <v>6.5</v>
      </c>
      <c r="H24" s="293">
        <v>0.98</v>
      </c>
      <c r="I24" s="291">
        <v>1.44</v>
      </c>
      <c r="J24" s="292" cm="1">
        <f t="array" aca="1" ref="J24" ca="1">INDIRECT("'"&amp;$C24&amp;"'!"&amp;"$"&amp;$D24&amp;$J$1&amp;"")</f>
        <v>6.5</v>
      </c>
      <c r="K24" s="304"/>
      <c r="L24" s="293">
        <v>0.98</v>
      </c>
      <c r="M24" s="291">
        <v>1.44</v>
      </c>
      <c r="N24" s="292" cm="1">
        <f t="array" aca="1" ref="N24" ca="1">INDIRECT("'"&amp;$C24&amp;"'!"&amp;"$"&amp;$D24&amp;$N$1&amp;"")</f>
        <v>6.5</v>
      </c>
      <c r="O24" s="293"/>
      <c r="P24" s="293">
        <v>0.98</v>
      </c>
      <c r="Q24" s="291">
        <v>1.44</v>
      </c>
      <c r="R24" s="292" cm="1">
        <f t="array" aca="1" ref="R24" ca="1">INDIRECT("'"&amp;$C24&amp;"'!"&amp;"$"&amp;$D24&amp;$R$1&amp;"")</f>
        <v>6.5</v>
      </c>
      <c r="S24" s="293"/>
      <c r="T24" s="293">
        <v>0.98</v>
      </c>
      <c r="U24" s="291">
        <v>1.44</v>
      </c>
      <c r="V24" s="292" t="str" cm="1">
        <f t="array" aca="1" ref="V24" ca="1">INDIRECT("'"&amp;$C24&amp;"'!"&amp;"$"&amp;$D24&amp;$V$1&amp;"")</f>
        <v>CMS</v>
      </c>
      <c r="W24" s="293" t="s">
        <v>1</v>
      </c>
      <c r="X24" s="293" t="s">
        <v>1</v>
      </c>
      <c r="Y24" s="294" t="s">
        <v>1</v>
      </c>
      <c r="Z24" s="290" cm="1">
        <f t="array" aca="1" ref="Z24" ca="1">INDIRECT("'"&amp;$C24&amp;"'!"&amp;"$"&amp;$D24&amp;$Z$1&amp;"")</f>
        <v>0</v>
      </c>
      <c r="AA24" s="293" t="s">
        <v>1</v>
      </c>
      <c r="AB24" s="293" t="s">
        <v>1</v>
      </c>
      <c r="AC24" s="291" t="s">
        <v>1</v>
      </c>
      <c r="AD24" s="292" cm="1">
        <f t="array" aca="1" ref="AD24" ca="1">INDIRECT("'"&amp;$C24&amp;"'!"&amp;"$"&amp;$D24&amp;$AD$1&amp;"")</f>
        <v>3.2</v>
      </c>
      <c r="AE24" s="293">
        <f>3.61*3.8</f>
        <v>13.717999999999998</v>
      </c>
      <c r="AF24" s="293">
        <v>0.94</v>
      </c>
      <c r="AG24" s="294">
        <v>1.18</v>
      </c>
      <c r="AH24" s="290" t="str" cm="1">
        <f t="array" aca="1" ref="AH24" ca="1">INDIRECT("'"&amp;$C24&amp;"'!"&amp;"$"&amp;$D24&amp;$AH$1&amp;"")</f>
        <v>CMS</v>
      </c>
      <c r="AI24" s="293" t="s">
        <v>1</v>
      </c>
      <c r="AJ24" s="293" t="s">
        <v>1</v>
      </c>
      <c r="AK24" s="291" t="s">
        <v>1</v>
      </c>
      <c r="AL24" s="290">
        <v>11.8</v>
      </c>
      <c r="AM24" s="294">
        <v>70</v>
      </c>
      <c r="AN24" s="290" cm="1">
        <f t="array" aca="1" ref="AN24" ca="1">INDIRECT("'"&amp;$C24&amp;"'!"&amp;"$"&amp;$D24&amp;$AL$1&amp;"")</f>
        <v>4</v>
      </c>
      <c r="AO24" s="293">
        <v>0.92</v>
      </c>
      <c r="AP24" s="291">
        <v>1.68</v>
      </c>
      <c r="AQ24" s="292" t="str" cm="1">
        <f t="array" aca="1" ref="AQ24" ca="1">INDIRECT("'"&amp;$C24&amp;"'!"&amp;"$"&amp;$D24&amp;$AQ$1&amp;"")</f>
        <v>CMS</v>
      </c>
      <c r="AR24" s="293" t="s">
        <v>1</v>
      </c>
      <c r="AS24" s="291" t="s">
        <v>1</v>
      </c>
      <c r="AT24" s="295">
        <v>0</v>
      </c>
      <c r="AU24" s="294">
        <v>69.8</v>
      </c>
      <c r="AV24" s="290" t="str" cm="1">
        <f t="array" aca="1" ref="AV24" ca="1">INDIRECT("'"&amp;$C24&amp;"'!"&amp;"$"&amp;$D24&amp;31&amp;"")</f>
        <v>PMS</v>
      </c>
      <c r="AW24" s="293" t="s">
        <v>1</v>
      </c>
      <c r="AX24" s="291" t="s">
        <v>1</v>
      </c>
      <c r="AY24" s="296">
        <v>69.8</v>
      </c>
      <c r="AZ24" s="290" cm="1">
        <f t="array" aca="1" ref="AZ24" ca="1">INDIRECT("'"&amp;$C24&amp;"'!"&amp;"$"&amp;$D24&amp;58&amp;"")</f>
        <v>16.600000000000005</v>
      </c>
      <c r="BA24" s="292">
        <v>0.97</v>
      </c>
      <c r="BB24" s="291">
        <v>4.2</v>
      </c>
      <c r="BC24" s="295" cm="1">
        <f t="array" aca="1" ref="BC24" ca="1">INDIRECT("'"&amp;$C24&amp;"'!"&amp;"$"&amp;$D24&amp;63&amp;"")</f>
        <v>1.53</v>
      </c>
      <c r="BD24" s="293"/>
      <c r="BE24" s="293">
        <v>0.99</v>
      </c>
      <c r="BF24" s="291">
        <v>0.17</v>
      </c>
      <c r="BG24" s="296" cm="1">
        <f t="array" aca="1" ref="BG24" ca="1">INDIRECT("'"&amp;$C24&amp;"'!"&amp;"$"&amp;$D24&amp;78&amp;"")</f>
        <v>0.83</v>
      </c>
      <c r="BH24" s="293"/>
      <c r="BI24" s="293">
        <v>0.97</v>
      </c>
      <c r="BJ24" s="291">
        <v>0.19</v>
      </c>
      <c r="BK24" s="296" cm="1">
        <f t="array" aca="1" ref="BK24" ca="1">INDIRECT("'"&amp;$C24&amp;"'!"&amp;"$"&amp;$D24&amp;74&amp;"")</f>
        <v>5.0000000000000009</v>
      </c>
      <c r="BL24" s="293"/>
      <c r="BM24" s="293">
        <v>0.9</v>
      </c>
      <c r="BN24" s="291">
        <v>2.4</v>
      </c>
    </row>
    <row r="25" spans="1:66" ht="15" x14ac:dyDescent="0.2">
      <c r="A25" s="368">
        <v>45689</v>
      </c>
      <c r="B25" s="365">
        <v>0.83333333333333337</v>
      </c>
      <c r="C25" s="318">
        <v>1</v>
      </c>
      <c r="D25" s="319" t="s">
        <v>130</v>
      </c>
      <c r="E25" s="297">
        <v>14</v>
      </c>
      <c r="F25" s="298">
        <v>69.91</v>
      </c>
      <c r="G25" s="299" cm="1">
        <f t="array" aca="1" ref="G25" ca="1">INDIRECT("'"&amp;$C25&amp;"'!"&amp;"$"&amp;$D25&amp;$E$1&amp;"")</f>
        <v>6.8</v>
      </c>
      <c r="H25" s="300">
        <v>0.99</v>
      </c>
      <c r="I25" s="298">
        <v>0.94</v>
      </c>
      <c r="J25" s="299" cm="1">
        <f t="array" aca="1" ref="J25" ca="1">INDIRECT("'"&amp;$C25&amp;"'!"&amp;"$"&amp;$D25&amp;$J$1&amp;"")</f>
        <v>6.8</v>
      </c>
      <c r="K25" s="300"/>
      <c r="L25" s="300">
        <v>0.99</v>
      </c>
      <c r="M25" s="298">
        <v>0.84</v>
      </c>
      <c r="N25" s="299" cm="1">
        <f t="array" aca="1" ref="N25" ca="1">INDIRECT("'"&amp;$C25&amp;"'!"&amp;"$"&amp;$D25&amp;$N$1&amp;"")</f>
        <v>6.8</v>
      </c>
      <c r="O25" s="300"/>
      <c r="P25" s="300">
        <v>0.99</v>
      </c>
      <c r="Q25" s="298">
        <v>0.96</v>
      </c>
      <c r="R25" s="299" cm="1">
        <f t="array" aca="1" ref="R25" ca="1">INDIRECT("'"&amp;$C25&amp;"'!"&amp;"$"&amp;$D25&amp;$R$1&amp;"")</f>
        <v>6.8</v>
      </c>
      <c r="S25" s="300"/>
      <c r="T25" s="300">
        <v>0.99</v>
      </c>
      <c r="U25" s="298">
        <v>1.01</v>
      </c>
      <c r="V25" s="299" t="str" cm="1">
        <f t="array" aca="1" ref="V25" ca="1">INDIRECT("'"&amp;$C25&amp;"'!"&amp;"$"&amp;$D25&amp;$V$1&amp;"")</f>
        <v>CMS</v>
      </c>
      <c r="W25" s="300" t="s">
        <v>1</v>
      </c>
      <c r="X25" s="300" t="s">
        <v>1</v>
      </c>
      <c r="Y25" s="301" t="s">
        <v>1</v>
      </c>
      <c r="Z25" s="297" cm="1">
        <f t="array" aca="1" ref="Z25" ca="1">INDIRECT("'"&amp;$C25&amp;"'!"&amp;"$"&amp;$D25&amp;$Z$1&amp;"")</f>
        <v>0</v>
      </c>
      <c r="AA25" s="300" t="s">
        <v>1</v>
      </c>
      <c r="AB25" s="300" t="s">
        <v>1</v>
      </c>
      <c r="AC25" s="298" t="s">
        <v>1</v>
      </c>
      <c r="AD25" s="299" cm="1">
        <f t="array" aca="1" ref="AD25" ca="1">INDIRECT("'"&amp;$C25&amp;"'!"&amp;"$"&amp;$D25&amp;$AD$1&amp;"")</f>
        <v>3.2</v>
      </c>
      <c r="AE25" s="300">
        <f>3.57*3.8</f>
        <v>13.565999999999999</v>
      </c>
      <c r="AF25" s="300">
        <v>0.95</v>
      </c>
      <c r="AG25" s="301">
        <v>1.1000000000000001</v>
      </c>
      <c r="AH25" s="297" t="str" cm="1">
        <f t="array" aca="1" ref="AH25" ca="1">INDIRECT("'"&amp;$C25&amp;"'!"&amp;"$"&amp;$D25&amp;$AH$1&amp;"")</f>
        <v>CMS</v>
      </c>
      <c r="AI25" s="300" t="s">
        <v>1</v>
      </c>
      <c r="AJ25" s="300" t="s">
        <v>1</v>
      </c>
      <c r="AK25" s="298" t="s">
        <v>1</v>
      </c>
      <c r="AL25" s="297">
        <v>11.7</v>
      </c>
      <c r="AM25" s="301">
        <v>69.2</v>
      </c>
      <c r="AN25" s="297" cm="1">
        <f t="array" aca="1" ref="AN25" ca="1">INDIRECT("'"&amp;$C25&amp;"'!"&amp;"$"&amp;$D25&amp;$AL$1&amp;"")</f>
        <v>4.2</v>
      </c>
      <c r="AO25" s="300">
        <v>0.89</v>
      </c>
      <c r="AP25" s="298">
        <v>1.98</v>
      </c>
      <c r="AQ25" s="299" t="str" cm="1">
        <f t="array" aca="1" ref="AQ25" ca="1">INDIRECT("'"&amp;$C25&amp;"'!"&amp;"$"&amp;$D25&amp;$AQ$1&amp;"")</f>
        <v>CMS</v>
      </c>
      <c r="AR25" s="300" t="s">
        <v>1</v>
      </c>
      <c r="AS25" s="298" t="s">
        <v>1</v>
      </c>
      <c r="AT25" s="302">
        <v>0</v>
      </c>
      <c r="AU25" s="301">
        <v>69.44</v>
      </c>
      <c r="AV25" s="297" t="str" cm="1">
        <f t="array" aca="1" ref="AV25" ca="1">INDIRECT("'"&amp;$C25&amp;"'!"&amp;"$"&amp;$D25&amp;31&amp;"")</f>
        <v>PMS</v>
      </c>
      <c r="AW25" s="300" t="s">
        <v>1</v>
      </c>
      <c r="AX25" s="298" t="s">
        <v>1</v>
      </c>
      <c r="AY25" s="303">
        <v>68.900000000000006</v>
      </c>
      <c r="AZ25" s="297" cm="1">
        <f t="array" aca="1" ref="AZ25" ca="1">INDIRECT("'"&amp;$C25&amp;"'!"&amp;"$"&amp;$D25&amp;58&amp;"")</f>
        <v>15.600000000000001</v>
      </c>
      <c r="BA25" s="299">
        <v>0.97</v>
      </c>
      <c r="BB25" s="298">
        <v>3.9</v>
      </c>
      <c r="BC25" s="302" cm="1">
        <f t="array" aca="1" ref="BC25" ca="1">INDIRECT("'"&amp;$C25&amp;"'!"&amp;"$"&amp;$D25&amp;63&amp;"")</f>
        <v>1.43</v>
      </c>
      <c r="BD25" s="300"/>
      <c r="BE25" s="300">
        <v>0.99</v>
      </c>
      <c r="BF25" s="298">
        <v>0.17</v>
      </c>
      <c r="BG25" s="303" cm="1">
        <f t="array" aca="1" ref="BG25" ca="1">INDIRECT("'"&amp;$C25&amp;"'!"&amp;"$"&amp;$D25&amp;78&amp;"")</f>
        <v>0.83</v>
      </c>
      <c r="BH25" s="300"/>
      <c r="BI25" s="300">
        <v>0.97</v>
      </c>
      <c r="BJ25" s="298">
        <v>0.19</v>
      </c>
      <c r="BK25" s="303" cm="1">
        <f t="array" aca="1" ref="BK25" ca="1">INDIRECT("'"&amp;$C25&amp;"'!"&amp;"$"&amp;$D25&amp;74&amp;"")</f>
        <v>4.8999999999999995</v>
      </c>
      <c r="BL25" s="300"/>
      <c r="BM25" s="300">
        <v>0.9</v>
      </c>
      <c r="BN25" s="298">
        <v>2.4</v>
      </c>
    </row>
    <row r="26" spans="1:66" ht="15" x14ac:dyDescent="0.2">
      <c r="A26" s="368">
        <v>45689</v>
      </c>
      <c r="B26" s="365">
        <v>0.875000000000001</v>
      </c>
      <c r="C26" s="318">
        <v>1</v>
      </c>
      <c r="D26" s="319" t="s">
        <v>131</v>
      </c>
      <c r="E26" s="290">
        <v>14.2</v>
      </c>
      <c r="F26" s="291">
        <v>70.75</v>
      </c>
      <c r="G26" s="292" cm="1">
        <f t="array" aca="1" ref="G26" ca="1">INDIRECT("'"&amp;$C26&amp;"'!"&amp;"$"&amp;$D26&amp;$E$1&amp;"")</f>
        <v>6.5</v>
      </c>
      <c r="H26" s="293">
        <v>0.99</v>
      </c>
      <c r="I26" s="291">
        <v>0.9</v>
      </c>
      <c r="J26" s="292" cm="1">
        <f t="array" aca="1" ref="J26" ca="1">INDIRECT("'"&amp;$C26&amp;"'!"&amp;"$"&amp;$D26&amp;$J$1&amp;"")</f>
        <v>6.5</v>
      </c>
      <c r="K26" s="293"/>
      <c r="L26" s="293">
        <v>0.99</v>
      </c>
      <c r="M26" s="291">
        <v>0.72</v>
      </c>
      <c r="N26" s="292" cm="1">
        <f t="array" aca="1" ref="N26" ca="1">INDIRECT("'"&amp;$C26&amp;"'!"&amp;"$"&amp;$D26&amp;$N$1&amp;"")</f>
        <v>6.6</v>
      </c>
      <c r="O26" s="293"/>
      <c r="P26" s="293">
        <v>0.99</v>
      </c>
      <c r="Q26" s="291">
        <v>0.95</v>
      </c>
      <c r="R26" s="292" cm="1">
        <f t="array" aca="1" ref="R26" ca="1">INDIRECT("'"&amp;$C26&amp;"'!"&amp;"$"&amp;$D26&amp;$R$1&amp;"")</f>
        <v>6.6</v>
      </c>
      <c r="S26" s="293"/>
      <c r="T26" s="293">
        <v>0.99</v>
      </c>
      <c r="U26" s="291">
        <v>0.97</v>
      </c>
      <c r="V26" s="292" t="str" cm="1">
        <f t="array" aca="1" ref="V26" ca="1">INDIRECT("'"&amp;$C26&amp;"'!"&amp;"$"&amp;$D26&amp;$V$1&amp;"")</f>
        <v>CMS</v>
      </c>
      <c r="W26" s="293" t="s">
        <v>1</v>
      </c>
      <c r="X26" s="293" t="s">
        <v>1</v>
      </c>
      <c r="Y26" s="294" t="s">
        <v>1</v>
      </c>
      <c r="Z26" s="290" cm="1">
        <f t="array" aca="1" ref="Z26" ca="1">INDIRECT("'"&amp;$C26&amp;"'!"&amp;"$"&amp;$D26&amp;$Z$1&amp;"")</f>
        <v>0</v>
      </c>
      <c r="AA26" s="293" t="s">
        <v>1</v>
      </c>
      <c r="AB26" s="293" t="s">
        <v>1</v>
      </c>
      <c r="AC26" s="291" t="s">
        <v>1</v>
      </c>
      <c r="AD26" s="292" cm="1">
        <f t="array" aca="1" ref="AD26" ca="1">INDIRECT("'"&amp;$C26&amp;"'!"&amp;"$"&amp;$D26&amp;$AD$1&amp;"")</f>
        <v>3.2</v>
      </c>
      <c r="AE26" s="293">
        <f>3.59*3.8</f>
        <v>13.641999999999999</v>
      </c>
      <c r="AF26" s="293">
        <v>0.97</v>
      </c>
      <c r="AG26" s="294">
        <v>0.86</v>
      </c>
      <c r="AH26" s="290" t="str" cm="1">
        <f t="array" aca="1" ref="AH26" ca="1">INDIRECT("'"&amp;$C26&amp;"'!"&amp;"$"&amp;$D26&amp;$AH$1&amp;"")</f>
        <v>CMS</v>
      </c>
      <c r="AI26" s="293" t="s">
        <v>1</v>
      </c>
      <c r="AJ26" s="293" t="s">
        <v>1</v>
      </c>
      <c r="AK26" s="291" t="s">
        <v>1</v>
      </c>
      <c r="AL26" s="290">
        <v>11.7</v>
      </c>
      <c r="AM26" s="294">
        <v>69.8</v>
      </c>
      <c r="AN26" s="290" cm="1">
        <f t="array" aca="1" ref="AN26" ca="1">INDIRECT("'"&amp;$C26&amp;"'!"&amp;"$"&amp;$D26&amp;$AL$1&amp;"")</f>
        <v>4.0999999999999996</v>
      </c>
      <c r="AO26" s="293">
        <v>0.93</v>
      </c>
      <c r="AP26" s="291">
        <v>1.62</v>
      </c>
      <c r="AQ26" s="292" t="str" cm="1">
        <f t="array" aca="1" ref="AQ26" ca="1">INDIRECT("'"&amp;$C26&amp;"'!"&amp;"$"&amp;$D26&amp;$AQ$1&amp;"")</f>
        <v>CMS</v>
      </c>
      <c r="AR26" s="293" t="s">
        <v>1</v>
      </c>
      <c r="AS26" s="291" t="s">
        <v>1</v>
      </c>
      <c r="AT26" s="295">
        <v>0</v>
      </c>
      <c r="AU26" s="294">
        <v>68.98</v>
      </c>
      <c r="AV26" s="290" t="str" cm="1">
        <f t="array" aca="1" ref="AV26" ca="1">INDIRECT("'"&amp;$C26&amp;"'!"&amp;"$"&amp;$D26&amp;31&amp;"")</f>
        <v>PMS</v>
      </c>
      <c r="AW26" s="293" t="s">
        <v>1</v>
      </c>
      <c r="AX26" s="291" t="s">
        <v>1</v>
      </c>
      <c r="AY26" s="296">
        <v>69.5</v>
      </c>
      <c r="AZ26" s="290" cm="1">
        <f t="array" aca="1" ref="AZ26" ca="1">INDIRECT("'"&amp;$C26&amp;"'!"&amp;"$"&amp;$D26&amp;58&amp;"")</f>
        <v>15.300000000000004</v>
      </c>
      <c r="BA26" s="292">
        <v>0.97</v>
      </c>
      <c r="BB26" s="291">
        <v>3.8</v>
      </c>
      <c r="BC26" s="295" cm="1">
        <f t="array" aca="1" ref="BC26" ca="1">INDIRECT("'"&amp;$C26&amp;"'!"&amp;"$"&amp;$D26&amp;63&amp;"")</f>
        <v>1.37</v>
      </c>
      <c r="BD26" s="293"/>
      <c r="BE26" s="293">
        <v>0.99</v>
      </c>
      <c r="BF26" s="291">
        <v>0.15</v>
      </c>
      <c r="BG26" s="296" cm="1">
        <f t="array" aca="1" ref="BG26" ca="1">INDIRECT("'"&amp;$C26&amp;"'!"&amp;"$"&amp;$D26&amp;78&amp;"")</f>
        <v>0.81</v>
      </c>
      <c r="BH26" s="293"/>
      <c r="BI26" s="293">
        <v>0.97</v>
      </c>
      <c r="BJ26" s="291">
        <v>0.18</v>
      </c>
      <c r="BK26" s="296" cm="1">
        <f t="array" aca="1" ref="BK26" ca="1">INDIRECT("'"&amp;$C26&amp;"'!"&amp;"$"&amp;$D26&amp;74&amp;"")</f>
        <v>4.6000000000000005</v>
      </c>
      <c r="BL26" s="293"/>
      <c r="BM26" s="293">
        <v>0.9</v>
      </c>
      <c r="BN26" s="291">
        <v>2.2000000000000002</v>
      </c>
    </row>
    <row r="27" spans="1:66" ht="15" x14ac:dyDescent="0.2">
      <c r="A27" s="368">
        <v>45689</v>
      </c>
      <c r="B27" s="365">
        <v>0.91666666666666696</v>
      </c>
      <c r="C27" s="318">
        <v>1</v>
      </c>
      <c r="D27" s="319" t="s">
        <v>132</v>
      </c>
      <c r="E27" s="297">
        <v>14.3</v>
      </c>
      <c r="F27" s="298">
        <v>70.5</v>
      </c>
      <c r="G27" s="299" cm="1">
        <f t="array" aca="1" ref="G27" ca="1">INDIRECT("'"&amp;$C27&amp;"'!"&amp;"$"&amp;$D27&amp;$E$1&amp;"")</f>
        <v>6.6</v>
      </c>
      <c r="H27" s="300">
        <v>0.99</v>
      </c>
      <c r="I27" s="298">
        <v>0.92</v>
      </c>
      <c r="J27" s="299" cm="1">
        <f t="array" aca="1" ref="J27" ca="1">INDIRECT("'"&amp;$C27&amp;"'!"&amp;"$"&amp;$D27&amp;$J$1&amp;"")</f>
        <v>6.6</v>
      </c>
      <c r="K27" s="300"/>
      <c r="L27" s="300">
        <v>0.99</v>
      </c>
      <c r="M27" s="298">
        <v>0.72</v>
      </c>
      <c r="N27" s="299" cm="1">
        <f t="array" aca="1" ref="N27" ca="1">INDIRECT("'"&amp;$C27&amp;"'!"&amp;"$"&amp;$D27&amp;$N$1&amp;"")</f>
        <v>6.6</v>
      </c>
      <c r="O27" s="300"/>
      <c r="P27" s="300">
        <v>0.99</v>
      </c>
      <c r="Q27" s="298">
        <v>0.94</v>
      </c>
      <c r="R27" s="299" cm="1">
        <f t="array" aca="1" ref="R27" ca="1">INDIRECT("'"&amp;$C27&amp;"'!"&amp;"$"&amp;$D27&amp;$R$1&amp;"")</f>
        <v>6.6</v>
      </c>
      <c r="S27" s="300"/>
      <c r="T27" s="300">
        <v>0.99</v>
      </c>
      <c r="U27" s="298">
        <v>0.97</v>
      </c>
      <c r="V27" s="299" t="str" cm="1">
        <f t="array" aca="1" ref="V27" ca="1">INDIRECT("'"&amp;$C27&amp;"'!"&amp;"$"&amp;$D27&amp;$V$1&amp;"")</f>
        <v>CMS</v>
      </c>
      <c r="W27" s="300" t="s">
        <v>1</v>
      </c>
      <c r="X27" s="300" t="s">
        <v>1</v>
      </c>
      <c r="Y27" s="301" t="s">
        <v>1</v>
      </c>
      <c r="Z27" s="297" cm="1">
        <f t="array" aca="1" ref="Z27" ca="1">INDIRECT("'"&amp;$C27&amp;"'!"&amp;"$"&amp;$D27&amp;$Z$1&amp;"")</f>
        <v>0</v>
      </c>
      <c r="AA27" s="300" t="s">
        <v>1</v>
      </c>
      <c r="AB27" s="300" t="s">
        <v>1</v>
      </c>
      <c r="AC27" s="298" t="s">
        <v>1</v>
      </c>
      <c r="AD27" s="299" cm="1">
        <f t="array" aca="1" ref="AD27" ca="1">INDIRECT("'"&amp;$C27&amp;"'!"&amp;"$"&amp;$D27&amp;$AD$1&amp;"")</f>
        <v>3.2</v>
      </c>
      <c r="AE27" s="300">
        <f>3.8*3.64</f>
        <v>13.831999999999999</v>
      </c>
      <c r="AF27" s="300">
        <v>0.98</v>
      </c>
      <c r="AG27" s="301">
        <v>0.67</v>
      </c>
      <c r="AH27" s="297" t="str" cm="1">
        <f t="array" aca="1" ref="AH27" ca="1">INDIRECT("'"&amp;$C27&amp;"'!"&amp;"$"&amp;$D27&amp;$AH$1&amp;"")</f>
        <v>CMS</v>
      </c>
      <c r="AI27" s="300" t="s">
        <v>1</v>
      </c>
      <c r="AJ27" s="300" t="s">
        <v>1</v>
      </c>
      <c r="AK27" s="298" t="s">
        <v>1</v>
      </c>
      <c r="AL27" s="297">
        <v>11.8</v>
      </c>
      <c r="AM27" s="301">
        <v>70.7</v>
      </c>
      <c r="AN27" s="297" cm="1">
        <f t="array" aca="1" ref="AN27" ca="1">INDIRECT("'"&amp;$C27&amp;"'!"&amp;"$"&amp;$D27&amp;$AL$1&amp;"")</f>
        <v>4.0999999999999996</v>
      </c>
      <c r="AO27" s="300">
        <v>0.98</v>
      </c>
      <c r="AP27" s="298">
        <v>0.73</v>
      </c>
      <c r="AQ27" s="299" t="str" cm="1">
        <f t="array" aca="1" ref="AQ27" ca="1">INDIRECT("'"&amp;$C27&amp;"'!"&amp;"$"&amp;$D27&amp;$AQ$1&amp;"")</f>
        <v>CMS</v>
      </c>
      <c r="AR27" s="300" t="s">
        <v>1</v>
      </c>
      <c r="AS27" s="298" t="s">
        <v>1</v>
      </c>
      <c r="AT27" s="302">
        <v>0</v>
      </c>
      <c r="AU27" s="301">
        <v>69.849999999999994</v>
      </c>
      <c r="AV27" s="297" t="str" cm="1">
        <f t="array" aca="1" ref="AV27" ca="1">INDIRECT("'"&amp;$C27&amp;"'!"&amp;"$"&amp;$D27&amp;31&amp;"")</f>
        <v>PMS</v>
      </c>
      <c r="AW27" s="300" t="s">
        <v>1</v>
      </c>
      <c r="AX27" s="298" t="s">
        <v>1</v>
      </c>
      <c r="AY27" s="303">
        <v>70.400000000000006</v>
      </c>
      <c r="AZ27" s="297" cm="1">
        <f t="array" aca="1" ref="AZ27" ca="1">INDIRECT("'"&amp;$C27&amp;"'!"&amp;"$"&amp;$D27&amp;58&amp;"")</f>
        <v>12.1</v>
      </c>
      <c r="BA27" s="299">
        <v>0.98</v>
      </c>
      <c r="BB27" s="298">
        <v>2.4</v>
      </c>
      <c r="BC27" s="302" cm="1">
        <f t="array" aca="1" ref="BC27" ca="1">INDIRECT("'"&amp;$C27&amp;"'!"&amp;"$"&amp;$D27&amp;63&amp;"")</f>
        <v>1.22</v>
      </c>
      <c r="BD27" s="300"/>
      <c r="BE27" s="300">
        <v>0.99</v>
      </c>
      <c r="BF27" s="298">
        <v>0.15</v>
      </c>
      <c r="BG27" s="303" cm="1">
        <f t="array" aca="1" ref="BG27" ca="1">INDIRECT("'"&amp;$C27&amp;"'!"&amp;"$"&amp;$D27&amp;78&amp;"")</f>
        <v>0.84</v>
      </c>
      <c r="BH27" s="300"/>
      <c r="BI27" s="300">
        <v>0.97</v>
      </c>
      <c r="BJ27" s="298">
        <v>0.2</v>
      </c>
      <c r="BK27" s="303" cm="1">
        <f t="array" aca="1" ref="BK27" ca="1">INDIRECT("'"&amp;$C27&amp;"'!"&amp;"$"&amp;$D27&amp;74&amp;"")</f>
        <v>4.3</v>
      </c>
      <c r="BL27" s="300"/>
      <c r="BM27" s="300">
        <v>0.9</v>
      </c>
      <c r="BN27" s="298">
        <v>2</v>
      </c>
    </row>
    <row r="28" spans="1:66" ht="15.75" thickBot="1" x14ac:dyDescent="0.25">
      <c r="A28" s="369">
        <v>45689</v>
      </c>
      <c r="B28" s="366">
        <v>0.95833333333333404</v>
      </c>
      <c r="C28" s="320">
        <v>1</v>
      </c>
      <c r="D28" s="321" t="s">
        <v>133</v>
      </c>
      <c r="E28" s="305">
        <v>14.1</v>
      </c>
      <c r="F28" s="306">
        <v>70.900000000000006</v>
      </c>
      <c r="G28" s="307" cm="1">
        <f t="array" aca="1" ref="G28" ca="1">INDIRECT("'"&amp;$C28&amp;"'!"&amp;"$"&amp;$D28&amp;$E$1&amp;"")</f>
        <v>6.6</v>
      </c>
      <c r="H28" s="308">
        <v>0.99</v>
      </c>
      <c r="I28" s="306">
        <v>0.72</v>
      </c>
      <c r="J28" s="307" cm="1">
        <f t="array" aca="1" ref="J28" ca="1">INDIRECT("'"&amp;$C28&amp;"'!"&amp;"$"&amp;$D28&amp;$J$1&amp;"")</f>
        <v>6.6</v>
      </c>
      <c r="K28" s="308"/>
      <c r="L28" s="308">
        <v>0.99</v>
      </c>
      <c r="M28" s="306">
        <v>0.65</v>
      </c>
      <c r="N28" s="307" cm="1">
        <f t="array" aca="1" ref="N28" ca="1">INDIRECT("'"&amp;$C28&amp;"'!"&amp;"$"&amp;$D28&amp;$N$1&amp;"")</f>
        <v>6.6</v>
      </c>
      <c r="O28" s="308"/>
      <c r="P28" s="308">
        <v>0.99</v>
      </c>
      <c r="Q28" s="306">
        <v>0.65</v>
      </c>
      <c r="R28" s="307" cm="1">
        <f t="array" aca="1" ref="R28" ca="1">INDIRECT("'"&amp;$C28&amp;"'!"&amp;"$"&amp;$D28&amp;$R$1&amp;"")</f>
        <v>6.6</v>
      </c>
      <c r="S28" s="308"/>
      <c r="T28" s="308">
        <v>0.99</v>
      </c>
      <c r="U28" s="306">
        <v>0.94</v>
      </c>
      <c r="V28" s="307" t="str" cm="1">
        <f t="array" aca="1" ref="V28" ca="1">INDIRECT("'"&amp;$C28&amp;"'!"&amp;"$"&amp;$D28&amp;$V$1&amp;"")</f>
        <v>CMS</v>
      </c>
      <c r="W28" s="308" t="s">
        <v>1</v>
      </c>
      <c r="X28" s="308" t="s">
        <v>1</v>
      </c>
      <c r="Y28" s="309" t="s">
        <v>1</v>
      </c>
      <c r="Z28" s="305" cm="1">
        <f t="array" aca="1" ref="Z28" ca="1">INDIRECT("'"&amp;$C28&amp;"'!"&amp;"$"&amp;$D28&amp;$Z$1&amp;"")</f>
        <v>0</v>
      </c>
      <c r="AA28" s="308" t="s">
        <v>1</v>
      </c>
      <c r="AB28" s="308" t="s">
        <v>1</v>
      </c>
      <c r="AC28" s="306" t="s">
        <v>1</v>
      </c>
      <c r="AD28" s="307" cm="1">
        <f t="array" aca="1" ref="AD28" ca="1">INDIRECT("'"&amp;$C28&amp;"'!"&amp;"$"&amp;$D28&amp;$AD$1&amp;"")</f>
        <v>3.2</v>
      </c>
      <c r="AE28" s="308">
        <f>3.8*3.62</f>
        <v>13.756</v>
      </c>
      <c r="AF28" s="308">
        <v>0.99</v>
      </c>
      <c r="AG28" s="309">
        <v>0.42</v>
      </c>
      <c r="AH28" s="305" t="str" cm="1">
        <f t="array" aca="1" ref="AH28" ca="1">INDIRECT("'"&amp;$C28&amp;"'!"&amp;"$"&amp;$D28&amp;$AH$1&amp;"")</f>
        <v>CMS</v>
      </c>
      <c r="AI28" s="308" t="s">
        <v>1</v>
      </c>
      <c r="AJ28" s="308" t="s">
        <v>1</v>
      </c>
      <c r="AK28" s="306" t="s">
        <v>1</v>
      </c>
      <c r="AL28" s="305">
        <v>11.7</v>
      </c>
      <c r="AM28" s="309">
        <v>70.099999999999994</v>
      </c>
      <c r="AN28" s="305" cm="1">
        <f t="array" aca="1" ref="AN28" ca="1">INDIRECT("'"&amp;$C28&amp;"'!"&amp;"$"&amp;$D28&amp;$AL$1&amp;"")</f>
        <v>4.0999999999999996</v>
      </c>
      <c r="AO28" s="308">
        <v>0.99</v>
      </c>
      <c r="AP28" s="306">
        <v>0.57999999999999996</v>
      </c>
      <c r="AQ28" s="307" t="str" cm="1">
        <f t="array" aca="1" ref="AQ28" ca="1">INDIRECT("'"&amp;$C28&amp;"'!"&amp;"$"&amp;$D28&amp;$AQ$1&amp;"")</f>
        <v>CMS</v>
      </c>
      <c r="AR28" s="308" t="s">
        <v>1</v>
      </c>
      <c r="AS28" s="306" t="s">
        <v>1</v>
      </c>
      <c r="AT28" s="310">
        <v>0</v>
      </c>
      <c r="AU28" s="309">
        <v>69.33</v>
      </c>
      <c r="AV28" s="305" t="str" cm="1">
        <f t="array" aca="1" ref="AV28" ca="1">INDIRECT("'"&amp;$C28&amp;"'!"&amp;"$"&amp;$D28&amp;31&amp;"")</f>
        <v>PMS</v>
      </c>
      <c r="AW28" s="308" t="s">
        <v>1</v>
      </c>
      <c r="AX28" s="306" t="s">
        <v>1</v>
      </c>
      <c r="AY28" s="311">
        <v>69.7</v>
      </c>
      <c r="AZ28" s="305" cm="1">
        <f t="array" aca="1" ref="AZ28" ca="1">INDIRECT("'"&amp;$C28&amp;"'!"&amp;"$"&amp;$D28&amp;58&amp;"")</f>
        <v>7.1999999999999993</v>
      </c>
      <c r="BA28" s="307">
        <v>0.97</v>
      </c>
      <c r="BB28" s="306">
        <v>1.8</v>
      </c>
      <c r="BC28" s="310" cm="1">
        <f t="array" aca="1" ref="BC28" ca="1">INDIRECT("'"&amp;$C28&amp;"'!"&amp;"$"&amp;$D28&amp;63&amp;"")</f>
        <v>1.08</v>
      </c>
      <c r="BD28" s="308"/>
      <c r="BE28" s="308">
        <v>0.99</v>
      </c>
      <c r="BF28" s="306">
        <v>0.14000000000000001</v>
      </c>
      <c r="BG28" s="311" cm="1">
        <f t="array" aca="1" ref="BG28" ca="1">INDIRECT("'"&amp;$C28&amp;"'!"&amp;"$"&amp;$D28&amp;78&amp;"")</f>
        <v>0.85</v>
      </c>
      <c r="BH28" s="308"/>
      <c r="BI28" s="308">
        <v>0.96</v>
      </c>
      <c r="BJ28" s="306">
        <v>0.21</v>
      </c>
      <c r="BK28" s="311" cm="1">
        <f t="array" aca="1" ref="BK28" ca="1">INDIRECT("'"&amp;$C28&amp;"'!"&amp;"$"&amp;$D28&amp;74&amp;"")</f>
        <v>4.5</v>
      </c>
      <c r="BL28" s="308"/>
      <c r="BM28" s="308">
        <v>0.9</v>
      </c>
      <c r="BN28" s="306">
        <v>2.1</v>
      </c>
    </row>
    <row r="29" spans="1:66" ht="8.1" customHeight="1" thickBot="1" x14ac:dyDescent="0.25">
      <c r="AY29" s="314"/>
      <c r="AZ29" s="314"/>
    </row>
    <row r="30" spans="1:66" ht="15" x14ac:dyDescent="0.2">
      <c r="A30" s="367">
        <v>45690</v>
      </c>
      <c r="B30" s="364">
        <v>0</v>
      </c>
      <c r="C30" s="315">
        <v>2</v>
      </c>
      <c r="D30" s="316" t="s">
        <v>110</v>
      </c>
      <c r="E30" s="284">
        <v>14.2</v>
      </c>
      <c r="F30" s="285">
        <v>70.92</v>
      </c>
      <c r="G30" s="286" cm="1">
        <f t="array" aca="1" ref="G30" ca="1">INDIRECT("'"&amp;$C30&amp;"'!"&amp;"$"&amp;$D30&amp;$E$1&amp;"")</f>
        <v>6.4</v>
      </c>
      <c r="H30" s="287">
        <v>0.99</v>
      </c>
      <c r="I30" s="285">
        <v>0.75</v>
      </c>
      <c r="J30" s="286" cm="1">
        <f t="array" aca="1" ref="J30" ca="1">INDIRECT("'"&amp;$C30&amp;"'!"&amp;"$"&amp;$D30&amp;$J$1&amp;"")</f>
        <v>6.4</v>
      </c>
      <c r="K30" s="287"/>
      <c r="L30" s="287">
        <v>0.99</v>
      </c>
      <c r="M30" s="285">
        <v>0.65</v>
      </c>
      <c r="N30" s="286" cm="1">
        <f t="array" aca="1" ref="N30" ca="1">INDIRECT("'"&amp;$C30&amp;"'!"&amp;"$"&amp;$D30&amp;$N$1&amp;"")</f>
        <v>6.4</v>
      </c>
      <c r="O30" s="287"/>
      <c r="P30" s="287">
        <v>0.99</v>
      </c>
      <c r="Q30" s="285">
        <v>0.67</v>
      </c>
      <c r="R30" s="286" cm="1">
        <f t="array" aca="1" ref="R30" ca="1">INDIRECT("'"&amp;$C30&amp;"'!"&amp;"$"&amp;$D30&amp;$R$1&amp;"")</f>
        <v>6.4</v>
      </c>
      <c r="S30" s="287"/>
      <c r="T30" s="287">
        <v>0.98</v>
      </c>
      <c r="U30" s="285">
        <v>1.17</v>
      </c>
      <c r="V30" s="286" t="str" cm="1">
        <f t="array" aca="1" ref="V30" ca="1">INDIRECT("'"&amp;$C30&amp;"'!"&amp;"$"&amp;$D30&amp;$V$1&amp;"")</f>
        <v>CMS</v>
      </c>
      <c r="W30" s="287" t="s">
        <v>1</v>
      </c>
      <c r="X30" s="287" t="s">
        <v>1</v>
      </c>
      <c r="Y30" s="288" t="s">
        <v>1</v>
      </c>
      <c r="Z30" s="284" cm="1">
        <f t="array" aca="1" ref="Z30" ca="1">INDIRECT("'"&amp;$C30&amp;"'!"&amp;"$"&amp;$D30&amp;$Z$1&amp;"")</f>
        <v>0</v>
      </c>
      <c r="AA30" s="287" t="s">
        <v>1</v>
      </c>
      <c r="AB30" s="287" t="s">
        <v>1</v>
      </c>
      <c r="AC30" s="285" t="s">
        <v>1</v>
      </c>
      <c r="AD30" s="286" cm="1">
        <f t="array" aca="1" ref="AD30" ca="1">INDIRECT("'"&amp;$C30&amp;"'!"&amp;"$"&amp;$D30&amp;$AD$1&amp;"")</f>
        <v>3.2</v>
      </c>
      <c r="AE30" s="287">
        <f>3.8*3.63</f>
        <v>13.793999999999999</v>
      </c>
      <c r="AF30" s="287">
        <v>0.99</v>
      </c>
      <c r="AG30" s="285">
        <v>0.39</v>
      </c>
      <c r="AH30" s="284" t="str" cm="1">
        <f t="array" aca="1" ref="AH30" ca="1">INDIRECT("'"&amp;$C30&amp;"'!"&amp;"$"&amp;$D30&amp;$AH$1&amp;"")</f>
        <v>CMS</v>
      </c>
      <c r="AI30" s="287" t="s">
        <v>1</v>
      </c>
      <c r="AJ30" s="287" t="s">
        <v>1</v>
      </c>
      <c r="AK30" s="285" t="s">
        <v>1</v>
      </c>
      <c r="AL30" s="284">
        <v>11.7</v>
      </c>
      <c r="AM30" s="288">
        <v>70.2</v>
      </c>
      <c r="AN30" s="284" cm="1">
        <f t="array" aca="1" ref="AN30" ca="1">INDIRECT("'"&amp;$C30&amp;"'!"&amp;"$"&amp;$D30&amp;$AL$1&amp;"")</f>
        <v>3.8</v>
      </c>
      <c r="AO30" s="287">
        <v>0.99</v>
      </c>
      <c r="AP30" s="285">
        <v>0.24</v>
      </c>
      <c r="AQ30" s="286" t="str" cm="1">
        <f t="array" aca="1" ref="AQ30" ca="1">INDIRECT("'"&amp;$C30&amp;"'!"&amp;"$"&amp;$D30&amp;$AQ$1&amp;"")</f>
        <v>CMS</v>
      </c>
      <c r="AR30" s="287" t="s">
        <v>1</v>
      </c>
      <c r="AS30" s="285" t="s">
        <v>1</v>
      </c>
      <c r="AT30" s="289">
        <v>0</v>
      </c>
      <c r="AU30" s="288">
        <v>69.599999999999994</v>
      </c>
      <c r="AV30" s="284" t="str" cm="1">
        <f t="array" aca="1" ref="AV30" ca="1">INDIRECT("'"&amp;$C30&amp;"'!"&amp;"$"&amp;$D30&amp;31&amp;"")</f>
        <v>PMS</v>
      </c>
      <c r="AW30" s="287" t="s">
        <v>1</v>
      </c>
      <c r="AX30" s="285" t="s">
        <v>1</v>
      </c>
      <c r="AY30" s="317">
        <v>69.8</v>
      </c>
      <c r="AZ30" s="289" cm="1">
        <f t="array" aca="1" ref="AZ30" ca="1">INDIRECT("'"&amp;$C30&amp;"'!"&amp;"$"&amp;$D30&amp;58&amp;"")</f>
        <v>5.6999999999999993</v>
      </c>
      <c r="BA30" s="287">
        <v>0.97</v>
      </c>
      <c r="BB30" s="285">
        <v>1.4</v>
      </c>
      <c r="BC30" s="289" cm="1">
        <f t="array" aca="1" ref="BC30" ca="1">INDIRECT("'"&amp;$C30&amp;"'!"&amp;"$"&amp;$D30&amp;63&amp;"")</f>
        <v>0.94</v>
      </c>
      <c r="BD30" s="287"/>
      <c r="BE30" s="287">
        <v>0.99</v>
      </c>
      <c r="BF30" s="285">
        <v>0.13</v>
      </c>
      <c r="BG30" s="381" cm="1">
        <f t="array" aca="1" ref="BG30" ca="1">INDIRECT("'"&amp;$C30&amp;"'!"&amp;"$"&amp;$D30&amp;78&amp;"")</f>
        <v>0.82</v>
      </c>
      <c r="BH30" s="287"/>
      <c r="BI30" s="287">
        <v>0.97</v>
      </c>
      <c r="BJ30" s="285">
        <v>0.21</v>
      </c>
      <c r="BK30" s="381" cm="1">
        <f t="array" aca="1" ref="BK30" ca="1">INDIRECT("'"&amp;$C30&amp;"'!"&amp;"$"&amp;$D30&amp;74&amp;"")</f>
        <v>3.9</v>
      </c>
      <c r="BL30" s="287"/>
      <c r="BM30" s="287">
        <v>0.9</v>
      </c>
      <c r="BN30" s="285">
        <v>1.8</v>
      </c>
    </row>
    <row r="31" spans="1:66" ht="15" x14ac:dyDescent="0.2">
      <c r="A31" s="368">
        <v>45690</v>
      </c>
      <c r="B31" s="365">
        <v>4.1666666666666699E-2</v>
      </c>
      <c r="C31" s="318">
        <v>2</v>
      </c>
      <c r="D31" s="319" t="s">
        <v>111</v>
      </c>
      <c r="E31" s="290">
        <v>14.2</v>
      </c>
      <c r="F31" s="291">
        <v>70.8</v>
      </c>
      <c r="G31" s="292" cm="1">
        <f t="array" aca="1" ref="G31" ca="1">INDIRECT("'"&amp;$C31&amp;"'!"&amp;"$"&amp;$D31&amp;$E$1&amp;"")</f>
        <v>6.7</v>
      </c>
      <c r="H31" s="293">
        <v>0.99</v>
      </c>
      <c r="I31" s="291">
        <v>0.79</v>
      </c>
      <c r="J31" s="292" cm="1">
        <f t="array" aca="1" ref="J31" ca="1">INDIRECT("'"&amp;$C31&amp;"'!"&amp;"$"&amp;$D31&amp;$J$1&amp;"")</f>
        <v>6.7</v>
      </c>
      <c r="K31" s="293"/>
      <c r="L31" s="293">
        <v>0.99</v>
      </c>
      <c r="M31" s="291">
        <v>0.68</v>
      </c>
      <c r="N31" s="292" cm="1">
        <f t="array" aca="1" ref="N31" ca="1">INDIRECT("'"&amp;$C31&amp;"'!"&amp;"$"&amp;$D31&amp;$N$1&amp;"")</f>
        <v>6.7</v>
      </c>
      <c r="O31" s="293"/>
      <c r="P31" s="293">
        <v>0.99</v>
      </c>
      <c r="Q31" s="291">
        <v>0.68</v>
      </c>
      <c r="R31" s="292" cm="1">
        <f t="array" aca="1" ref="R31" ca="1">INDIRECT("'"&amp;$C31&amp;"'!"&amp;"$"&amp;$D31&amp;$R$1&amp;"")</f>
        <v>6.7</v>
      </c>
      <c r="S31" s="293"/>
      <c r="T31" s="293">
        <v>0.98</v>
      </c>
      <c r="U31" s="291">
        <v>1.46</v>
      </c>
      <c r="V31" s="292" t="str" cm="1">
        <f t="array" aca="1" ref="V31" ca="1">INDIRECT("'"&amp;$C31&amp;"'!"&amp;"$"&amp;$D31&amp;$V$1&amp;"")</f>
        <v>CMS</v>
      </c>
      <c r="W31" s="293" t="s">
        <v>1</v>
      </c>
      <c r="X31" s="293" t="s">
        <v>1</v>
      </c>
      <c r="Y31" s="294" t="s">
        <v>1</v>
      </c>
      <c r="Z31" s="290" cm="1">
        <f t="array" aca="1" ref="Z31" ca="1">INDIRECT("'"&amp;$C31&amp;"'!"&amp;"$"&amp;$D31&amp;$Z$1&amp;"")</f>
        <v>0</v>
      </c>
      <c r="AA31" s="293" t="s">
        <v>1</v>
      </c>
      <c r="AB31" s="293" t="s">
        <v>1</v>
      </c>
      <c r="AC31" s="291" t="s">
        <v>1</v>
      </c>
      <c r="AD31" s="292" cm="1">
        <f t="array" aca="1" ref="AD31" ca="1">INDIRECT("'"&amp;$C31&amp;"'!"&amp;"$"&amp;$D31&amp;$AD$1&amp;"")</f>
        <v>3</v>
      </c>
      <c r="AE31" s="293">
        <f>3.8*3.63</f>
        <v>13.793999999999999</v>
      </c>
      <c r="AF31" s="293">
        <v>0.99</v>
      </c>
      <c r="AG31" s="294">
        <v>0.35</v>
      </c>
      <c r="AH31" s="290" cm="1">
        <f t="array" aca="1" ref="AH31" ca="1">INDIRECT("'"&amp;$C31&amp;"'!"&amp;"$"&amp;$D31&amp;$AH$1&amp;"")</f>
        <v>0.5</v>
      </c>
      <c r="AI31" s="293">
        <v>13.64</v>
      </c>
      <c r="AJ31" s="293">
        <v>0.99</v>
      </c>
      <c r="AK31" s="291">
        <v>0.112</v>
      </c>
      <c r="AL31" s="290">
        <v>11.7</v>
      </c>
      <c r="AM31" s="294">
        <v>70.2</v>
      </c>
      <c r="AN31" s="290" cm="1">
        <f t="array" aca="1" ref="AN31" ca="1">INDIRECT("'"&amp;$C31&amp;"'!"&amp;"$"&amp;$D31&amp;$AL$1&amp;"")</f>
        <v>4</v>
      </c>
      <c r="AO31" s="293">
        <v>1</v>
      </c>
      <c r="AP31" s="291">
        <v>0.16</v>
      </c>
      <c r="AQ31" s="292" t="str" cm="1">
        <f t="array" aca="1" ref="AQ31" ca="1">INDIRECT("'"&amp;$C31&amp;"'!"&amp;"$"&amp;$D31&amp;$AQ$1&amp;"")</f>
        <v>CMS</v>
      </c>
      <c r="AR31" s="293" t="s">
        <v>1</v>
      </c>
      <c r="AS31" s="291" t="s">
        <v>1</v>
      </c>
      <c r="AT31" s="295">
        <v>0</v>
      </c>
      <c r="AU31" s="294">
        <v>69.81</v>
      </c>
      <c r="AV31" s="290" t="str" cm="1">
        <f t="array" aca="1" ref="AV31" ca="1">INDIRECT("'"&amp;$C31&amp;"'!"&amp;"$"&amp;$D31&amp;31&amp;"")</f>
        <v>PMS</v>
      </c>
      <c r="AW31" s="293" t="s">
        <v>1</v>
      </c>
      <c r="AX31" s="291" t="s">
        <v>1</v>
      </c>
      <c r="AY31" s="296">
        <v>69.599999999999994</v>
      </c>
      <c r="AZ31" s="295" cm="1">
        <f t="array" aca="1" ref="AZ31" ca="1">INDIRECT("'"&amp;$C31&amp;"'!"&amp;"$"&amp;$D31&amp;58&amp;"")</f>
        <v>0.8</v>
      </c>
      <c r="BA31" s="293">
        <v>0.97</v>
      </c>
      <c r="BB31" s="291">
        <v>0.24</v>
      </c>
      <c r="BC31" s="295" cm="1">
        <f t="array" aca="1" ref="BC31" ca="1">INDIRECT("'"&amp;$C31&amp;"'!"&amp;"$"&amp;$D31&amp;63&amp;"")</f>
        <v>0.8</v>
      </c>
      <c r="BD31" s="293"/>
      <c r="BE31" s="293">
        <v>0.99</v>
      </c>
      <c r="BF31" s="291">
        <v>0.1</v>
      </c>
      <c r="BG31" s="296" cm="1">
        <f t="array" aca="1" ref="BG31" ca="1">INDIRECT("'"&amp;$C31&amp;"'!"&amp;"$"&amp;$D31&amp;78&amp;"")</f>
        <v>0.79</v>
      </c>
      <c r="BH31" s="293"/>
      <c r="BI31" s="293">
        <v>0.96</v>
      </c>
      <c r="BJ31" s="291">
        <v>0.2</v>
      </c>
      <c r="BK31" s="296" cm="1">
        <f t="array" aca="1" ref="BK31" ca="1">INDIRECT("'"&amp;$C31&amp;"'!"&amp;"$"&amp;$D31&amp;74&amp;"")</f>
        <v>3.5</v>
      </c>
      <c r="BL31" s="293"/>
      <c r="BM31" s="293">
        <v>0.9</v>
      </c>
      <c r="BN31" s="291">
        <v>1.6</v>
      </c>
    </row>
    <row r="32" spans="1:66" ht="15" x14ac:dyDescent="0.2">
      <c r="A32" s="368">
        <v>45690</v>
      </c>
      <c r="B32" s="365">
        <v>8.3333333333333301E-2</v>
      </c>
      <c r="C32" s="318">
        <v>2</v>
      </c>
      <c r="D32" s="319" t="s">
        <v>112</v>
      </c>
      <c r="E32" s="297">
        <v>14.2</v>
      </c>
      <c r="F32" s="298">
        <v>70.900000000000006</v>
      </c>
      <c r="G32" s="299" cm="1">
        <f t="array" aca="1" ref="G32" ca="1">INDIRECT("'"&amp;$C32&amp;"'!"&amp;"$"&amp;$D32&amp;$E$1&amp;"")</f>
        <v>6.4</v>
      </c>
      <c r="H32" s="300">
        <v>0.99</v>
      </c>
      <c r="I32" s="298">
        <v>0.75</v>
      </c>
      <c r="J32" s="299" cm="1">
        <f t="array" aca="1" ref="J32" ca="1">INDIRECT("'"&amp;$C32&amp;"'!"&amp;"$"&amp;$D32&amp;$J$1&amp;"")</f>
        <v>6.4</v>
      </c>
      <c r="K32" s="300"/>
      <c r="L32" s="300">
        <v>0.99</v>
      </c>
      <c r="M32" s="298">
        <v>0.66</v>
      </c>
      <c r="N32" s="299" cm="1">
        <f t="array" aca="1" ref="N32" ca="1">INDIRECT("'"&amp;$C32&amp;"'!"&amp;"$"&amp;$D32&amp;$N$1&amp;"")</f>
        <v>6.4</v>
      </c>
      <c r="O32" s="300"/>
      <c r="P32" s="300">
        <v>0.99</v>
      </c>
      <c r="Q32" s="298">
        <v>0.65</v>
      </c>
      <c r="R32" s="299" cm="1">
        <f t="array" aca="1" ref="R32" ca="1">INDIRECT("'"&amp;$C32&amp;"'!"&amp;"$"&amp;$D32&amp;$R$1&amp;"")</f>
        <v>6.4</v>
      </c>
      <c r="S32" s="300"/>
      <c r="T32" s="300">
        <v>0.99</v>
      </c>
      <c r="U32" s="298">
        <v>1</v>
      </c>
      <c r="V32" s="299" t="str" cm="1">
        <f t="array" aca="1" ref="V32" ca="1">INDIRECT("'"&amp;$C32&amp;"'!"&amp;"$"&amp;$D32&amp;$V$1&amp;"")</f>
        <v>CMS</v>
      </c>
      <c r="W32" s="300" t="s">
        <v>1</v>
      </c>
      <c r="X32" s="300" t="s">
        <v>1</v>
      </c>
      <c r="Y32" s="301" t="s">
        <v>1</v>
      </c>
      <c r="Z32" s="297">
        <v>0</v>
      </c>
      <c r="AA32" s="300" t="s">
        <v>1</v>
      </c>
      <c r="AB32" s="300" t="s">
        <v>1</v>
      </c>
      <c r="AC32" s="298" t="s">
        <v>1</v>
      </c>
      <c r="AD32" s="299" cm="1">
        <f t="array" aca="1" ref="AD32" ca="1">INDIRECT("'"&amp;$C32&amp;"'!"&amp;"$"&amp;$D32&amp;$AD$1&amp;"")</f>
        <v>2.5</v>
      </c>
      <c r="AE32" s="300">
        <f>3.8*3.64</f>
        <v>13.831999999999999</v>
      </c>
      <c r="AF32" s="300">
        <v>0.99</v>
      </c>
      <c r="AG32" s="301">
        <v>0.28999999999999998</v>
      </c>
      <c r="AH32" s="297" cm="1">
        <f t="array" aca="1" ref="AH32" ca="1">INDIRECT("'"&amp;$C32&amp;"'!"&amp;"$"&amp;$D32&amp;$AH$1&amp;"")</f>
        <v>1.5</v>
      </c>
      <c r="AI32" s="300">
        <v>13.72</v>
      </c>
      <c r="AJ32" s="300">
        <v>0.99</v>
      </c>
      <c r="AK32" s="298">
        <v>0.127</v>
      </c>
      <c r="AL32" s="297">
        <v>11.7</v>
      </c>
      <c r="AM32" s="301">
        <v>70.3</v>
      </c>
      <c r="AN32" s="297" cm="1">
        <f t="array" aca="1" ref="AN32" ca="1">INDIRECT("'"&amp;$C32&amp;"'!"&amp;"$"&amp;$D32&amp;$AL$1&amp;"")</f>
        <v>3.5</v>
      </c>
      <c r="AO32" s="300">
        <v>1</v>
      </c>
      <c r="AP32" s="298">
        <v>0.03</v>
      </c>
      <c r="AQ32" s="299" t="str" cm="1">
        <f t="array" aca="1" ref="AQ32" ca="1">INDIRECT("'"&amp;$C32&amp;"'!"&amp;"$"&amp;$D32&amp;$AQ$1&amp;"")</f>
        <v>CMS</v>
      </c>
      <c r="AR32" s="300" t="s">
        <v>1</v>
      </c>
      <c r="AS32" s="298" t="s">
        <v>1</v>
      </c>
      <c r="AT32" s="302">
        <v>0</v>
      </c>
      <c r="AU32" s="301">
        <v>70.150000000000006</v>
      </c>
      <c r="AV32" s="297" t="str" cm="1">
        <f t="array" aca="1" ref="AV32" ca="1">INDIRECT("'"&amp;$C32&amp;"'!"&amp;"$"&amp;$D32&amp;31&amp;"")</f>
        <v>PMS</v>
      </c>
      <c r="AW32" s="300" t="s">
        <v>1</v>
      </c>
      <c r="AX32" s="298" t="s">
        <v>1</v>
      </c>
      <c r="AY32" s="303">
        <v>69.7</v>
      </c>
      <c r="AZ32" s="302" cm="1">
        <f t="array" aca="1" ref="AZ32" ca="1">INDIRECT("'"&amp;$C32&amp;"'!"&amp;"$"&amp;$D32&amp;58&amp;"")</f>
        <v>0</v>
      </c>
      <c r="BA32" s="300" t="s">
        <v>1</v>
      </c>
      <c r="BB32" s="298" t="s">
        <v>1</v>
      </c>
      <c r="BC32" s="302" cm="1">
        <f t="array" aca="1" ref="BC32" ca="1">INDIRECT("'"&amp;$C32&amp;"'!"&amp;"$"&amp;$D32&amp;63&amp;"")</f>
        <v>0.74</v>
      </c>
      <c r="BD32" s="300"/>
      <c r="BE32" s="300">
        <v>0.99</v>
      </c>
      <c r="BF32" s="298">
        <v>0.08</v>
      </c>
      <c r="BG32" s="303" cm="1">
        <f t="array" aca="1" ref="BG32" ca="1">INDIRECT("'"&amp;$C32&amp;"'!"&amp;"$"&amp;$D32&amp;78&amp;"")</f>
        <v>0.75</v>
      </c>
      <c r="BH32" s="300"/>
      <c r="BI32" s="300">
        <v>0.96</v>
      </c>
      <c r="BJ32" s="298">
        <v>0.2</v>
      </c>
      <c r="BK32" s="303" cm="1">
        <f t="array" aca="1" ref="BK32" ca="1">INDIRECT("'"&amp;$C32&amp;"'!"&amp;"$"&amp;$D32&amp;74&amp;"")</f>
        <v>3.5</v>
      </c>
      <c r="BL32" s="300"/>
      <c r="BM32" s="300">
        <v>0.9</v>
      </c>
      <c r="BN32" s="298">
        <v>1.6</v>
      </c>
    </row>
    <row r="33" spans="1:66" ht="15" x14ac:dyDescent="0.2">
      <c r="A33" s="368">
        <v>45690</v>
      </c>
      <c r="B33" s="365">
        <v>0.125</v>
      </c>
      <c r="C33" s="318">
        <v>2</v>
      </c>
      <c r="D33" s="319" t="s">
        <v>113</v>
      </c>
      <c r="E33" s="290">
        <v>14.1</v>
      </c>
      <c r="F33" s="291">
        <v>71.319999999999993</v>
      </c>
      <c r="G33" s="292" cm="1">
        <f t="array" aca="1" ref="G33" ca="1">INDIRECT("'"&amp;$C33&amp;"'!"&amp;"$"&amp;$D33&amp;$E$1&amp;"")</f>
        <v>6.7</v>
      </c>
      <c r="H33" s="293">
        <v>0.99</v>
      </c>
      <c r="I33" s="291">
        <v>0.81</v>
      </c>
      <c r="J33" s="292" cm="1">
        <f t="array" aca="1" ref="J33" ca="1">INDIRECT("'"&amp;$C33&amp;"'!"&amp;"$"&amp;$D33&amp;$J$1&amp;"")</f>
        <v>6.7</v>
      </c>
      <c r="K33" s="293"/>
      <c r="L33" s="293">
        <v>0.99</v>
      </c>
      <c r="M33" s="291">
        <v>0.69</v>
      </c>
      <c r="N33" s="292" cm="1">
        <f t="array" aca="1" ref="N33" ca="1">INDIRECT("'"&amp;$C33&amp;"'!"&amp;"$"&amp;$D33&amp;$N$1&amp;"")</f>
        <v>6.7</v>
      </c>
      <c r="O33" s="293"/>
      <c r="P33" s="293">
        <v>0.99</v>
      </c>
      <c r="Q33" s="291">
        <v>0.69</v>
      </c>
      <c r="R33" s="292" cm="1">
        <f t="array" aca="1" ref="R33" ca="1">INDIRECT("'"&amp;$C33&amp;"'!"&amp;"$"&amp;$D33&amp;$R$1&amp;"")</f>
        <v>6.7</v>
      </c>
      <c r="S33" s="293"/>
      <c r="T33" s="293">
        <v>0.99</v>
      </c>
      <c r="U33" s="291">
        <v>0.88</v>
      </c>
      <c r="V33" s="292" t="str" cm="1">
        <f t="array" aca="1" ref="V33" ca="1">INDIRECT("'"&amp;$C33&amp;"'!"&amp;"$"&amp;$D33&amp;$V$1&amp;"")</f>
        <v>CMS</v>
      </c>
      <c r="W33" s="293" t="s">
        <v>1</v>
      </c>
      <c r="X33" s="293" t="s">
        <v>1</v>
      </c>
      <c r="Y33" s="294" t="s">
        <v>1</v>
      </c>
      <c r="Z33" s="290" cm="1">
        <f t="array" aca="1" ref="Z33" ca="1">INDIRECT("'"&amp;$C33&amp;"'!"&amp;"$"&amp;$D33&amp;$Z$1&amp;"")</f>
        <v>0</v>
      </c>
      <c r="AA33" s="293" t="s">
        <v>1</v>
      </c>
      <c r="AB33" s="293" t="s">
        <v>1</v>
      </c>
      <c r="AC33" s="291" t="s">
        <v>1</v>
      </c>
      <c r="AD33" s="292" cm="1">
        <f t="array" aca="1" ref="AD33" ca="1">INDIRECT("'"&amp;$C33&amp;"'!"&amp;"$"&amp;$D33&amp;$AD$1&amp;"")</f>
        <v>3.2</v>
      </c>
      <c r="AE33" s="293">
        <f>3.62*3.8</f>
        <v>13.756</v>
      </c>
      <c r="AF33" s="293">
        <v>0.99</v>
      </c>
      <c r="AG33" s="294">
        <v>0.39</v>
      </c>
      <c r="AH33" s="290" t="str" cm="1">
        <f t="array" aca="1" ref="AH33" ca="1">INDIRECT("'"&amp;$C33&amp;"'!"&amp;"$"&amp;$D33&amp;$AH$1&amp;"")</f>
        <v>CMS</v>
      </c>
      <c r="AI33" s="293" t="s">
        <v>1</v>
      </c>
      <c r="AJ33" s="293" t="s">
        <v>1</v>
      </c>
      <c r="AK33" s="291" t="s">
        <v>1</v>
      </c>
      <c r="AL33" s="290">
        <v>11.7</v>
      </c>
      <c r="AM33" s="294">
        <v>70.3</v>
      </c>
      <c r="AN33" s="290" cm="1">
        <f t="array" aca="1" ref="AN33" ca="1">INDIRECT("'"&amp;$C33&amp;"'!"&amp;"$"&amp;$D33&amp;$AL$1&amp;"")</f>
        <v>2.5</v>
      </c>
      <c r="AO33" s="293">
        <v>1</v>
      </c>
      <c r="AP33" s="291">
        <v>0.1</v>
      </c>
      <c r="AQ33" s="292" t="str" cm="1">
        <f t="array" aca="1" ref="AQ33" ca="1">INDIRECT("'"&amp;$C33&amp;"'!"&amp;"$"&amp;$D33&amp;$AQ$1&amp;"")</f>
        <v>CMS</v>
      </c>
      <c r="AR33" s="293" t="s">
        <v>1</v>
      </c>
      <c r="AS33" s="291" t="s">
        <v>1</v>
      </c>
      <c r="AT33" s="295">
        <v>0</v>
      </c>
      <c r="AU33" s="294">
        <v>70.12</v>
      </c>
      <c r="AV33" s="290" t="str" cm="1">
        <f t="array" aca="1" ref="AV33" ca="1">INDIRECT("'"&amp;$C33&amp;"'!"&amp;"$"&amp;$D33&amp;31&amp;"")</f>
        <v>PMS</v>
      </c>
      <c r="AW33" s="293" t="s">
        <v>1</v>
      </c>
      <c r="AX33" s="291" t="s">
        <v>1</v>
      </c>
      <c r="AY33" s="296">
        <v>70.2</v>
      </c>
      <c r="AZ33" s="295" cm="1">
        <f t="array" aca="1" ref="AZ33" ca="1">INDIRECT("'"&amp;$C33&amp;"'!"&amp;"$"&amp;$D33&amp;58&amp;"")</f>
        <v>0</v>
      </c>
      <c r="BA33" s="293" t="s">
        <v>1</v>
      </c>
      <c r="BB33" s="291" t="s">
        <v>1</v>
      </c>
      <c r="BC33" s="295" cm="1">
        <f t="array" aca="1" ref="BC33" ca="1">INDIRECT("'"&amp;$C33&amp;"'!"&amp;"$"&amp;$D33&amp;63&amp;"")</f>
        <v>0.72</v>
      </c>
      <c r="BD33" s="293"/>
      <c r="BE33" s="293">
        <v>0.99</v>
      </c>
      <c r="BF33" s="291">
        <v>0.08</v>
      </c>
      <c r="BG33" s="296" cm="1">
        <f t="array" aca="1" ref="BG33" ca="1">INDIRECT("'"&amp;$C33&amp;"'!"&amp;"$"&amp;$D33&amp;78&amp;"")</f>
        <v>0.72</v>
      </c>
      <c r="BH33" s="293"/>
      <c r="BI33" s="293">
        <v>0.96</v>
      </c>
      <c r="BJ33" s="291">
        <v>0.19</v>
      </c>
      <c r="BK33" s="296" cm="1">
        <f t="array" aca="1" ref="BK33" ca="1">INDIRECT("'"&amp;$C33&amp;"'!"&amp;"$"&amp;$D33&amp;74&amp;"")</f>
        <v>3.3</v>
      </c>
      <c r="BL33" s="293"/>
      <c r="BM33" s="293">
        <v>0.9</v>
      </c>
      <c r="BN33" s="291">
        <v>1.5</v>
      </c>
    </row>
    <row r="34" spans="1:66" ht="15" x14ac:dyDescent="0.2">
      <c r="A34" s="368">
        <v>45690</v>
      </c>
      <c r="B34" s="365">
        <v>0.16666666666666699</v>
      </c>
      <c r="C34" s="318">
        <v>2</v>
      </c>
      <c r="D34" s="319" t="s">
        <v>114</v>
      </c>
      <c r="E34" s="297">
        <v>14.2</v>
      </c>
      <c r="F34" s="298">
        <v>71.17</v>
      </c>
      <c r="G34" s="299" cm="1">
        <f t="array" aca="1" ref="G34" ca="1">INDIRECT("'"&amp;$C34&amp;"'!"&amp;"$"&amp;$D34&amp;$E$1&amp;"")</f>
        <v>6.5</v>
      </c>
      <c r="H34" s="300">
        <v>0.99</v>
      </c>
      <c r="I34" s="298">
        <v>0.79</v>
      </c>
      <c r="J34" s="299" cm="1">
        <f t="array" aca="1" ref="J34" ca="1">INDIRECT("'"&amp;$C34&amp;"'!"&amp;"$"&amp;$D34&amp;$J$1&amp;"")</f>
        <v>6.5</v>
      </c>
      <c r="K34" s="300"/>
      <c r="L34" s="300">
        <v>0.99</v>
      </c>
      <c r="M34" s="298">
        <v>0.59</v>
      </c>
      <c r="N34" s="299" cm="1">
        <f t="array" aca="1" ref="N34" ca="1">INDIRECT("'"&amp;$C34&amp;"'!"&amp;"$"&amp;$D34&amp;$N$1&amp;"")</f>
        <v>6.5</v>
      </c>
      <c r="O34" s="300"/>
      <c r="P34" s="300">
        <v>0.99</v>
      </c>
      <c r="Q34" s="298">
        <v>0.59</v>
      </c>
      <c r="R34" s="299" cm="1">
        <f t="array" aca="1" ref="R34" ca="1">INDIRECT("'"&amp;$C34&amp;"'!"&amp;"$"&amp;$D34&amp;$R$1&amp;"")</f>
        <v>6.5</v>
      </c>
      <c r="S34" s="300"/>
      <c r="T34" s="300">
        <v>0.99</v>
      </c>
      <c r="U34" s="298">
        <v>1.03</v>
      </c>
      <c r="V34" s="299" t="str" cm="1">
        <f t="array" aca="1" ref="V34" ca="1">INDIRECT("'"&amp;$C34&amp;"'!"&amp;"$"&amp;$D34&amp;$V$1&amp;"")</f>
        <v>CMS</v>
      </c>
      <c r="W34" s="300" t="s">
        <v>1</v>
      </c>
      <c r="X34" s="300" t="s">
        <v>1</v>
      </c>
      <c r="Y34" s="301" t="s">
        <v>1</v>
      </c>
      <c r="Z34" s="297" cm="1">
        <f t="array" aca="1" ref="Z34" ca="1">INDIRECT("'"&amp;$C34&amp;"'!"&amp;"$"&amp;$D34&amp;$Z$1&amp;"")</f>
        <v>0</v>
      </c>
      <c r="AA34" s="300" t="s">
        <v>1</v>
      </c>
      <c r="AB34" s="300" t="s">
        <v>1</v>
      </c>
      <c r="AC34" s="298" t="s">
        <v>1</v>
      </c>
      <c r="AD34" s="299" cm="1">
        <f t="array" aca="1" ref="AD34" ca="1">INDIRECT("'"&amp;$C34&amp;"'!"&amp;"$"&amp;$D34&amp;$AD$1&amp;"")</f>
        <v>3.2</v>
      </c>
      <c r="AE34" s="300">
        <f>3.66*3.8</f>
        <v>13.907999999999999</v>
      </c>
      <c r="AF34" s="300">
        <v>0.99</v>
      </c>
      <c r="AG34" s="301">
        <v>0.38</v>
      </c>
      <c r="AH34" s="297" t="str" cm="1">
        <f t="array" aca="1" ref="AH34" ca="1">INDIRECT("'"&amp;$C34&amp;"'!"&amp;"$"&amp;$D34&amp;$AH$1&amp;"")</f>
        <v>CMS</v>
      </c>
      <c r="AI34" s="300" t="s">
        <v>1</v>
      </c>
      <c r="AJ34" s="300" t="s">
        <v>1</v>
      </c>
      <c r="AK34" s="298" t="s">
        <v>1</v>
      </c>
      <c r="AL34" s="297">
        <v>11.7</v>
      </c>
      <c r="AM34" s="301">
        <v>70.2</v>
      </c>
      <c r="AN34" s="297" cm="1">
        <f t="array" aca="1" ref="AN34" ca="1">INDIRECT("'"&amp;$C34&amp;"'!"&amp;"$"&amp;$D34&amp;$AL$1&amp;"")</f>
        <v>2.7</v>
      </c>
      <c r="AO34" s="300">
        <v>1</v>
      </c>
      <c r="AP34" s="298">
        <v>0.18</v>
      </c>
      <c r="AQ34" s="299" t="str" cm="1">
        <f t="array" aca="1" ref="AQ34" ca="1">INDIRECT("'"&amp;$C34&amp;"'!"&amp;"$"&amp;$D34&amp;$AQ$1&amp;"")</f>
        <v>CMS</v>
      </c>
      <c r="AR34" s="300" t="s">
        <v>1</v>
      </c>
      <c r="AS34" s="298" t="s">
        <v>1</v>
      </c>
      <c r="AT34" s="302">
        <v>0</v>
      </c>
      <c r="AU34" s="301">
        <v>70.17</v>
      </c>
      <c r="AV34" s="297" t="str" cm="1">
        <f t="array" aca="1" ref="AV34" ca="1">INDIRECT("'"&amp;$C34&amp;"'!"&amp;"$"&amp;$D34&amp;31&amp;"")</f>
        <v>PMS</v>
      </c>
      <c r="AW34" s="300" t="s">
        <v>1</v>
      </c>
      <c r="AX34" s="298" t="s">
        <v>1</v>
      </c>
      <c r="AY34" s="303">
        <v>70</v>
      </c>
      <c r="AZ34" s="302" cm="1">
        <f t="array" aca="1" ref="AZ34" ca="1">INDIRECT("'"&amp;$C34&amp;"'!"&amp;"$"&amp;$D34&amp;58&amp;"")</f>
        <v>0</v>
      </c>
      <c r="BA34" s="300" t="s">
        <v>1</v>
      </c>
      <c r="BB34" s="298" t="s">
        <v>1</v>
      </c>
      <c r="BC34" s="302" cm="1">
        <f t="array" aca="1" ref="BC34" ca="1">INDIRECT("'"&amp;$C34&amp;"'!"&amp;"$"&amp;$D34&amp;63&amp;"")</f>
        <v>0.7</v>
      </c>
      <c r="BD34" s="300"/>
      <c r="BE34" s="300">
        <v>0.99</v>
      </c>
      <c r="BF34" s="298">
        <v>0.08</v>
      </c>
      <c r="BG34" s="303" cm="1">
        <f t="array" aca="1" ref="BG34" ca="1">INDIRECT("'"&amp;$C34&amp;"'!"&amp;"$"&amp;$D34&amp;78&amp;"")</f>
        <v>0.69</v>
      </c>
      <c r="BH34" s="300"/>
      <c r="BI34" s="300">
        <v>0.96</v>
      </c>
      <c r="BJ34" s="298">
        <v>0.18</v>
      </c>
      <c r="BK34" s="303" cm="1">
        <f t="array" aca="1" ref="BK34" ca="1">INDIRECT("'"&amp;$C34&amp;"'!"&amp;"$"&amp;$D34&amp;74&amp;"")</f>
        <v>3.1</v>
      </c>
      <c r="BL34" s="300"/>
      <c r="BM34" s="300">
        <v>0.99</v>
      </c>
      <c r="BN34" s="298">
        <v>0.44</v>
      </c>
    </row>
    <row r="35" spans="1:66" ht="15" x14ac:dyDescent="0.2">
      <c r="A35" s="368">
        <v>45690</v>
      </c>
      <c r="B35" s="365">
        <v>0.20833333333333301</v>
      </c>
      <c r="C35" s="318">
        <v>2</v>
      </c>
      <c r="D35" s="319" t="s">
        <v>115</v>
      </c>
      <c r="E35" s="290">
        <v>14.2</v>
      </c>
      <c r="F35" s="291">
        <v>71.59</v>
      </c>
      <c r="G35" s="292" cm="1">
        <f t="array" aca="1" ref="G35" ca="1">INDIRECT("'"&amp;$C35&amp;"'!"&amp;"$"&amp;$D35&amp;$E$1&amp;"")</f>
        <v>0</v>
      </c>
      <c r="H35" s="293" t="s">
        <v>1</v>
      </c>
      <c r="I35" s="291" t="s">
        <v>1</v>
      </c>
      <c r="J35" s="292" cm="1">
        <f t="array" aca="1" ref="J35" ca="1">INDIRECT("'"&amp;$C35&amp;"'!"&amp;"$"&amp;$D35&amp;$J$1&amp;"")</f>
        <v>6.7</v>
      </c>
      <c r="K35" s="293"/>
      <c r="L35" s="293">
        <v>0.99</v>
      </c>
      <c r="M35" s="291">
        <v>0.6</v>
      </c>
      <c r="N35" s="292" cm="1">
        <f t="array" aca="1" ref="N35" ca="1">INDIRECT("'"&amp;$C35&amp;"'!"&amp;"$"&amp;$D35&amp;$N$1&amp;"")</f>
        <v>6.7</v>
      </c>
      <c r="O35" s="293"/>
      <c r="P35" s="293">
        <v>0.99</v>
      </c>
      <c r="Q35" s="291">
        <v>0.53</v>
      </c>
      <c r="R35" s="292" cm="1">
        <f t="array" aca="1" ref="R35" ca="1">INDIRECT("'"&amp;$C35&amp;"'!"&amp;"$"&amp;$D35&amp;$R$1&amp;"")</f>
        <v>6.7</v>
      </c>
      <c r="S35" s="293"/>
      <c r="T35" s="293">
        <v>0.99</v>
      </c>
      <c r="U35" s="291">
        <v>0.54</v>
      </c>
      <c r="V35" s="292" t="str" cm="1">
        <f t="array" aca="1" ref="V35" ca="1">INDIRECT("'"&amp;$C35&amp;"'!"&amp;"$"&amp;$D35&amp;$V$1&amp;"")</f>
        <v>CMS</v>
      </c>
      <c r="W35" s="293" t="s">
        <v>1</v>
      </c>
      <c r="X35" s="293" t="s">
        <v>1</v>
      </c>
      <c r="Y35" s="294" t="s">
        <v>1</v>
      </c>
      <c r="Z35" s="290" cm="1">
        <f t="array" aca="1" ref="Z35" ca="1">INDIRECT("'"&amp;$C35&amp;"'!"&amp;"$"&amp;$D35&amp;$Z$1&amp;"")</f>
        <v>0</v>
      </c>
      <c r="AA35" s="293" t="s">
        <v>1</v>
      </c>
      <c r="AB35" s="293" t="s">
        <v>1</v>
      </c>
      <c r="AC35" s="291" t="s">
        <v>1</v>
      </c>
      <c r="AD35" s="292" cm="1">
        <f t="array" aca="1" ref="AD35" ca="1">INDIRECT("'"&amp;$C35&amp;"'!"&amp;"$"&amp;$D35&amp;$AD$1&amp;"")</f>
        <v>3.2</v>
      </c>
      <c r="AE35" s="293">
        <f>3.8*3.69</f>
        <v>14.021999999999998</v>
      </c>
      <c r="AF35" s="293">
        <v>1</v>
      </c>
      <c r="AG35" s="294">
        <v>0.12</v>
      </c>
      <c r="AH35" s="290" t="str" cm="1">
        <f t="array" aca="1" ref="AH35" ca="1">INDIRECT("'"&amp;$C35&amp;"'!"&amp;"$"&amp;$D35&amp;$AH$1&amp;"")</f>
        <v>CMS</v>
      </c>
      <c r="AI35" s="293" t="s">
        <v>1</v>
      </c>
      <c r="AJ35" s="293" t="s">
        <v>1</v>
      </c>
      <c r="AK35" s="291" t="s">
        <v>1</v>
      </c>
      <c r="AL35" s="290">
        <v>11.8</v>
      </c>
      <c r="AM35" s="294">
        <v>70.7</v>
      </c>
      <c r="AN35" s="290" cm="1">
        <f t="array" aca="1" ref="AN35" ca="1">INDIRECT("'"&amp;$C35&amp;"'!"&amp;"$"&amp;$D35&amp;$AL$1&amp;"")</f>
        <v>4.0999999999999996</v>
      </c>
      <c r="AO35" s="293">
        <v>0.99</v>
      </c>
      <c r="AP35" s="291">
        <v>0.71</v>
      </c>
      <c r="AQ35" s="292" t="str" cm="1">
        <f t="array" aca="1" ref="AQ35" ca="1">INDIRECT("'"&amp;$C35&amp;"'!"&amp;"$"&amp;$D35&amp;$AQ$1&amp;"")</f>
        <v>CMS</v>
      </c>
      <c r="AR35" s="293" t="s">
        <v>1</v>
      </c>
      <c r="AS35" s="291" t="s">
        <v>1</v>
      </c>
      <c r="AT35" s="295">
        <v>0</v>
      </c>
      <c r="AU35" s="294">
        <v>70.2</v>
      </c>
      <c r="AV35" s="290" t="str" cm="1">
        <f t="array" aca="1" ref="AV35" ca="1">INDIRECT("'"&amp;$C35&amp;"'!"&amp;"$"&amp;$D35&amp;31&amp;"")</f>
        <v>PMS</v>
      </c>
      <c r="AW35" s="293" t="s">
        <v>1</v>
      </c>
      <c r="AX35" s="291" t="s">
        <v>1</v>
      </c>
      <c r="AY35" s="296">
        <v>70.599999999999994</v>
      </c>
      <c r="AZ35" s="295" cm="1">
        <f t="array" aca="1" ref="AZ35" ca="1">INDIRECT("'"&amp;$C35&amp;"'!"&amp;"$"&amp;$D35&amp;58&amp;"")</f>
        <v>4</v>
      </c>
      <c r="BA35" s="293">
        <v>0.98</v>
      </c>
      <c r="BB35" s="291">
        <v>0.81</v>
      </c>
      <c r="BC35" s="295" cm="1">
        <f t="array" aca="1" ref="BC35" ca="1">INDIRECT("'"&amp;$C35&amp;"'!"&amp;"$"&amp;$D35&amp;63&amp;"")</f>
        <v>0.7</v>
      </c>
      <c r="BD35" s="293"/>
      <c r="BE35" s="293">
        <v>0.99</v>
      </c>
      <c r="BF35" s="291">
        <v>0.06</v>
      </c>
      <c r="BG35" s="296" cm="1">
        <f t="array" aca="1" ref="BG35" ca="1">INDIRECT("'"&amp;$C35&amp;"'!"&amp;"$"&amp;$D35&amp;78&amp;"")</f>
        <v>0.71</v>
      </c>
      <c r="BH35" s="293"/>
      <c r="BI35" s="293">
        <v>0.96</v>
      </c>
      <c r="BJ35" s="291">
        <v>0.18</v>
      </c>
      <c r="BK35" s="296" cm="1">
        <f t="array" aca="1" ref="BK35" ca="1">INDIRECT("'"&amp;$C35&amp;"'!"&amp;"$"&amp;$D35&amp;74&amp;"")</f>
        <v>3.2</v>
      </c>
      <c r="BL35" s="293"/>
      <c r="BM35" s="293">
        <v>0.99</v>
      </c>
      <c r="BN35" s="291">
        <v>0.45</v>
      </c>
    </row>
    <row r="36" spans="1:66" ht="15" x14ac:dyDescent="0.2">
      <c r="A36" s="368">
        <v>45690</v>
      </c>
      <c r="B36" s="365">
        <v>0.25</v>
      </c>
      <c r="C36" s="318">
        <v>2</v>
      </c>
      <c r="D36" s="319" t="s">
        <v>116</v>
      </c>
      <c r="E36" s="297">
        <v>14.2</v>
      </c>
      <c r="F36" s="298">
        <v>71.430000000000007</v>
      </c>
      <c r="G36" s="299" cm="1">
        <f t="array" aca="1" ref="G36" ca="1">INDIRECT("'"&amp;$C36&amp;"'!"&amp;"$"&amp;$D36&amp;$E$1&amp;"")</f>
        <v>0</v>
      </c>
      <c r="H36" s="300" t="s">
        <v>1</v>
      </c>
      <c r="I36" s="298" t="s">
        <v>1</v>
      </c>
      <c r="J36" s="299" cm="1">
        <f t="array" aca="1" ref="J36" ca="1">INDIRECT("'"&amp;$C36&amp;"'!"&amp;"$"&amp;$D36&amp;$J$1&amp;"")</f>
        <v>6.7</v>
      </c>
      <c r="K36" s="300"/>
      <c r="L36" s="300">
        <v>0.99</v>
      </c>
      <c r="M36" s="298">
        <v>0.59</v>
      </c>
      <c r="N36" s="299" cm="1">
        <f t="array" aca="1" ref="N36" ca="1">INDIRECT("'"&amp;$C36&amp;"'!"&amp;"$"&amp;$D36&amp;$N$1&amp;"")</f>
        <v>6.7</v>
      </c>
      <c r="O36" s="300"/>
      <c r="P36" s="300">
        <v>0.99</v>
      </c>
      <c r="Q36" s="298">
        <v>0.54</v>
      </c>
      <c r="R36" s="299" cm="1">
        <f t="array" aca="1" ref="R36" ca="1">INDIRECT("'"&amp;$C36&amp;"'!"&amp;"$"&amp;$D36&amp;$R$1&amp;"")</f>
        <v>6.7</v>
      </c>
      <c r="S36" s="300"/>
      <c r="T36" s="300">
        <v>0.99</v>
      </c>
      <c r="U36" s="298">
        <v>0.53</v>
      </c>
      <c r="V36" s="299" t="str" cm="1">
        <f t="array" aca="1" ref="V36" ca="1">INDIRECT("'"&amp;$C36&amp;"'!"&amp;"$"&amp;$D36&amp;$V$1&amp;"")</f>
        <v>CMS</v>
      </c>
      <c r="W36" s="300" t="s">
        <v>1</v>
      </c>
      <c r="X36" s="300" t="s">
        <v>1</v>
      </c>
      <c r="Y36" s="301" t="s">
        <v>1</v>
      </c>
      <c r="Z36" s="297" cm="1">
        <f t="array" aca="1" ref="Z36" ca="1">INDIRECT("'"&amp;$C36&amp;"'!"&amp;"$"&amp;$D36&amp;$Z$1&amp;"")</f>
        <v>0</v>
      </c>
      <c r="AA36" s="300" t="s">
        <v>1</v>
      </c>
      <c r="AB36" s="300" t="s">
        <v>1</v>
      </c>
      <c r="AC36" s="298" t="s">
        <v>1</v>
      </c>
      <c r="AD36" s="299" cm="1">
        <f t="array" aca="1" ref="AD36" ca="1">INDIRECT("'"&amp;$C36&amp;"'!"&amp;"$"&amp;$D36&amp;$AD$1&amp;"")</f>
        <v>3.2</v>
      </c>
      <c r="AE36" s="300">
        <f>3.8*3.69</f>
        <v>14.021999999999998</v>
      </c>
      <c r="AF36" s="300">
        <v>1</v>
      </c>
      <c r="AG36" s="301">
        <v>0.11</v>
      </c>
      <c r="AH36" s="297" t="str" cm="1">
        <f t="array" aca="1" ref="AH36" ca="1">INDIRECT("'"&amp;$C36&amp;"'!"&amp;"$"&amp;$D36&amp;$AH$1&amp;"")</f>
        <v>CMS</v>
      </c>
      <c r="AI36" s="300" t="s">
        <v>1</v>
      </c>
      <c r="AJ36" s="300" t="s">
        <v>1</v>
      </c>
      <c r="AK36" s="298" t="s">
        <v>1</v>
      </c>
      <c r="AL36" s="297">
        <v>11.8</v>
      </c>
      <c r="AM36" s="301">
        <v>70.599999999999994</v>
      </c>
      <c r="AN36" s="297" cm="1">
        <f t="array" aca="1" ref="AN36" ca="1">INDIRECT("'"&amp;$C36&amp;"'!"&amp;"$"&amp;$D36&amp;$AL$1&amp;"")</f>
        <v>4.2</v>
      </c>
      <c r="AO36" s="300">
        <v>0.98</v>
      </c>
      <c r="AP36" s="298">
        <v>0.79</v>
      </c>
      <c r="AQ36" s="299" t="str" cm="1">
        <f t="array" aca="1" ref="AQ36" ca="1">INDIRECT("'"&amp;$C36&amp;"'!"&amp;"$"&amp;$D36&amp;$AQ$1&amp;"")</f>
        <v>CMS</v>
      </c>
      <c r="AR36" s="300" t="s">
        <v>1</v>
      </c>
      <c r="AS36" s="298" t="s">
        <v>1</v>
      </c>
      <c r="AT36" s="302">
        <v>0</v>
      </c>
      <c r="AU36" s="301">
        <v>70.290000000000006</v>
      </c>
      <c r="AV36" s="297" t="str" cm="1">
        <f t="array" aca="1" ref="AV36" ca="1">INDIRECT("'"&amp;$C36&amp;"'!"&amp;"$"&amp;$D36&amp;31&amp;"")</f>
        <v>PMS</v>
      </c>
      <c r="AW36" s="300" t="s">
        <v>1</v>
      </c>
      <c r="AX36" s="298" t="s">
        <v>1</v>
      </c>
      <c r="AY36" s="303">
        <v>70</v>
      </c>
      <c r="AZ36" s="302" cm="1">
        <f t="array" aca="1" ref="AZ36" ca="1">INDIRECT("'"&amp;$C36&amp;"'!"&amp;"$"&amp;$D36&amp;58&amp;"")</f>
        <v>4</v>
      </c>
      <c r="BA36" s="300">
        <v>0.98</v>
      </c>
      <c r="BB36" s="298">
        <v>0.81</v>
      </c>
      <c r="BC36" s="302" cm="1">
        <f t="array" aca="1" ref="BC36" ca="1">INDIRECT("'"&amp;$C36&amp;"'!"&amp;"$"&amp;$D36&amp;63&amp;"")</f>
        <v>0.77</v>
      </c>
      <c r="BD36" s="300"/>
      <c r="BE36" s="300">
        <v>1</v>
      </c>
      <c r="BF36" s="298">
        <v>7.0000000000000007E-2</v>
      </c>
      <c r="BG36" s="303" cm="1">
        <f t="array" aca="1" ref="BG36" ca="1">INDIRECT("'"&amp;$C36&amp;"'!"&amp;"$"&amp;$D36&amp;78&amp;"")</f>
        <v>0.7</v>
      </c>
      <c r="BH36" s="300"/>
      <c r="BI36" s="300">
        <v>0.96</v>
      </c>
      <c r="BJ36" s="298">
        <v>0.18</v>
      </c>
      <c r="BK36" s="303" cm="1">
        <f t="array" aca="1" ref="BK36" ca="1">INDIRECT("'"&amp;$C36&amp;"'!"&amp;"$"&amp;$D36&amp;74&amp;"")</f>
        <v>3.2</v>
      </c>
      <c r="BL36" s="300"/>
      <c r="BM36" s="300">
        <v>0.99</v>
      </c>
      <c r="BN36" s="298">
        <v>0.44</v>
      </c>
    </row>
    <row r="37" spans="1:66" ht="15" x14ac:dyDescent="0.2">
      <c r="A37" s="368">
        <v>45690</v>
      </c>
      <c r="B37" s="365">
        <v>0.29166666666666702</v>
      </c>
      <c r="C37" s="318">
        <v>2</v>
      </c>
      <c r="D37" s="319" t="s">
        <v>117</v>
      </c>
      <c r="E37" s="290">
        <v>14.1</v>
      </c>
      <c r="F37" s="291">
        <v>71.3</v>
      </c>
      <c r="G37" s="292" cm="1">
        <f t="array" aca="1" ref="G37" ca="1">INDIRECT("'"&amp;$C37&amp;"'!"&amp;"$"&amp;$D37&amp;$E$1&amp;"")</f>
        <v>0</v>
      </c>
      <c r="H37" s="293" t="s">
        <v>1</v>
      </c>
      <c r="I37" s="291" t="s">
        <v>1</v>
      </c>
      <c r="J37" s="292" cm="1">
        <f t="array" aca="1" ref="J37" ca="1">INDIRECT("'"&amp;$C37&amp;"'!"&amp;"$"&amp;$D37&amp;$J$1&amp;"")</f>
        <v>6.8</v>
      </c>
      <c r="K37" s="293"/>
      <c r="L37" s="293">
        <v>0.99</v>
      </c>
      <c r="M37" s="291">
        <v>0.63</v>
      </c>
      <c r="N37" s="292" cm="1">
        <f t="array" aca="1" ref="N37" ca="1">INDIRECT("'"&amp;$C37&amp;"'!"&amp;"$"&amp;$D37&amp;$N$1&amp;"")</f>
        <v>6.8</v>
      </c>
      <c r="O37" s="293"/>
      <c r="P37" s="293">
        <v>0.99</v>
      </c>
      <c r="Q37" s="291">
        <v>0.55000000000000004</v>
      </c>
      <c r="R37" s="292" cm="1">
        <f t="array" aca="1" ref="R37" ca="1">INDIRECT("'"&amp;$C37&amp;"'!"&amp;"$"&amp;$D37&amp;$R$1&amp;"")</f>
        <v>6.8</v>
      </c>
      <c r="S37" s="293"/>
      <c r="T37" s="293">
        <v>0.99</v>
      </c>
      <c r="U37" s="291">
        <v>0.56000000000000005</v>
      </c>
      <c r="V37" s="292" t="str" cm="1">
        <f t="array" aca="1" ref="V37" ca="1">INDIRECT("'"&amp;$C37&amp;"'!"&amp;"$"&amp;$D37&amp;$V$1&amp;"")</f>
        <v>CMS</v>
      </c>
      <c r="W37" s="293" t="s">
        <v>1</v>
      </c>
      <c r="X37" s="293" t="s">
        <v>1</v>
      </c>
      <c r="Y37" s="294" t="s">
        <v>1</v>
      </c>
      <c r="Z37" s="290" cm="1">
        <f t="array" aca="1" ref="Z37" ca="1">INDIRECT("'"&amp;$C37&amp;"'!"&amp;"$"&amp;$D37&amp;$Z$1&amp;"")</f>
        <v>0</v>
      </c>
      <c r="AA37" s="293" t="s">
        <v>1</v>
      </c>
      <c r="AB37" s="293" t="s">
        <v>1</v>
      </c>
      <c r="AC37" s="291" t="s">
        <v>1</v>
      </c>
      <c r="AD37" s="292" cm="1">
        <f t="array" aca="1" ref="AD37" ca="1">INDIRECT("'"&amp;$C37&amp;"'!"&amp;"$"&amp;$D37&amp;$AD$1&amp;"")</f>
        <v>3.2</v>
      </c>
      <c r="AE37" s="293">
        <f>3.8*3.65</f>
        <v>13.87</v>
      </c>
      <c r="AF37" s="293">
        <v>1</v>
      </c>
      <c r="AG37" s="294">
        <v>0.13</v>
      </c>
      <c r="AH37" s="290" t="str" cm="1">
        <f t="array" aca="1" ref="AH37" ca="1">INDIRECT("'"&amp;$C37&amp;"'!"&amp;"$"&amp;$D37&amp;$AH$1&amp;"")</f>
        <v>CMS</v>
      </c>
      <c r="AI37" s="293" t="s">
        <v>1</v>
      </c>
      <c r="AJ37" s="293" t="s">
        <v>1</v>
      </c>
      <c r="AK37" s="291" t="s">
        <v>1</v>
      </c>
      <c r="AL37" s="290">
        <v>11.7</v>
      </c>
      <c r="AM37" s="294">
        <v>70.3</v>
      </c>
      <c r="AN37" s="290" cm="1">
        <f t="array" aca="1" ref="AN37" ca="1">INDIRECT("'"&amp;$C37&amp;"'!"&amp;"$"&amp;$D37&amp;$AL$1&amp;"")</f>
        <v>4.0999999999999996</v>
      </c>
      <c r="AO37" s="293">
        <v>0.97</v>
      </c>
      <c r="AP37" s="291">
        <v>1.1299999999999999</v>
      </c>
      <c r="AQ37" s="292" t="str" cm="1">
        <f t="array" aca="1" ref="AQ37" ca="1">INDIRECT("'"&amp;$C37&amp;"'!"&amp;"$"&amp;$D37&amp;$AQ$1&amp;"")</f>
        <v>CMS</v>
      </c>
      <c r="AR37" s="293" t="s">
        <v>1</v>
      </c>
      <c r="AS37" s="291" t="s">
        <v>1</v>
      </c>
      <c r="AT37" s="295">
        <v>0</v>
      </c>
      <c r="AU37" s="294">
        <v>69.790000000000006</v>
      </c>
      <c r="AV37" s="290" t="str" cm="1">
        <f t="array" aca="1" ref="AV37" ca="1">INDIRECT("'"&amp;$C37&amp;"'!"&amp;"$"&amp;$D37&amp;31&amp;"")</f>
        <v>PMS</v>
      </c>
      <c r="AW37" s="293" t="s">
        <v>1</v>
      </c>
      <c r="AX37" s="291" t="s">
        <v>1</v>
      </c>
      <c r="AY37" s="296">
        <v>70.3</v>
      </c>
      <c r="AZ37" s="295" cm="1">
        <f t="array" aca="1" ref="AZ37" ca="1">INDIRECT("'"&amp;$C37&amp;"'!"&amp;"$"&amp;$D37&amp;58&amp;"")</f>
        <v>4.8</v>
      </c>
      <c r="BA37" s="293">
        <v>0.98</v>
      </c>
      <c r="BB37" s="291">
        <v>0.97</v>
      </c>
      <c r="BC37" s="295" cm="1">
        <f t="array" aca="1" ref="BC37" ca="1">INDIRECT("'"&amp;$C37&amp;"'!"&amp;"$"&amp;$D37&amp;63&amp;"")</f>
        <v>0.9</v>
      </c>
      <c r="BD37" s="293"/>
      <c r="BE37" s="293">
        <v>0.99</v>
      </c>
      <c r="BF37" s="291">
        <v>0.1</v>
      </c>
      <c r="BG37" s="296" cm="1">
        <f t="array" aca="1" ref="BG37" ca="1">INDIRECT("'"&amp;$C37&amp;"'!"&amp;"$"&amp;$D37&amp;78&amp;"")</f>
        <v>0.78</v>
      </c>
      <c r="BH37" s="293"/>
      <c r="BI37" s="293">
        <v>0.96</v>
      </c>
      <c r="BJ37" s="291">
        <v>0.19</v>
      </c>
      <c r="BK37" s="296" cm="1">
        <f t="array" aca="1" ref="BK37" ca="1">INDIRECT("'"&amp;$C37&amp;"'!"&amp;"$"&amp;$D37&amp;74&amp;"")</f>
        <v>3.24</v>
      </c>
      <c r="BL37" s="293"/>
      <c r="BM37" s="293">
        <v>0.99</v>
      </c>
      <c r="BN37" s="291">
        <v>0.48</v>
      </c>
    </row>
    <row r="38" spans="1:66" ht="15" x14ac:dyDescent="0.2">
      <c r="A38" s="368">
        <v>45690</v>
      </c>
      <c r="B38" s="365">
        <v>0.33333333333333398</v>
      </c>
      <c r="C38" s="318">
        <v>2</v>
      </c>
      <c r="D38" s="319" t="s">
        <v>118</v>
      </c>
      <c r="E38" s="297">
        <v>14.2</v>
      </c>
      <c r="F38" s="298">
        <v>70.5</v>
      </c>
      <c r="G38" s="299" cm="1">
        <f t="array" aca="1" ref="G38" ca="1">INDIRECT("'"&amp;$C38&amp;"'!"&amp;"$"&amp;$D38&amp;$E$1&amp;"")</f>
        <v>6.8</v>
      </c>
      <c r="H38" s="300">
        <v>0.99</v>
      </c>
      <c r="I38" s="298">
        <v>0.85</v>
      </c>
      <c r="J38" s="299" cm="1">
        <f t="array" aca="1" ref="J38" ca="1">INDIRECT("'"&amp;$C38&amp;"'!"&amp;"$"&amp;$D38&amp;$J$1&amp;"")</f>
        <v>6.8</v>
      </c>
      <c r="K38" s="300"/>
      <c r="L38" s="300">
        <v>0.99</v>
      </c>
      <c r="M38" s="298">
        <v>0.85</v>
      </c>
      <c r="N38" s="299" cm="1">
        <f t="array" aca="1" ref="N38" ca="1">INDIRECT("'"&amp;$C38&amp;"'!"&amp;"$"&amp;$D38&amp;$N$1&amp;"")</f>
        <v>6.8</v>
      </c>
      <c r="O38" s="300"/>
      <c r="P38" s="300">
        <v>0.99</v>
      </c>
      <c r="Q38" s="298">
        <v>0.85</v>
      </c>
      <c r="R38" s="299" cm="1">
        <f t="array" aca="1" ref="R38" ca="1">INDIRECT("'"&amp;$C38&amp;"'!"&amp;"$"&amp;$D38&amp;$R$1&amp;"")</f>
        <v>0</v>
      </c>
      <c r="S38" s="300"/>
      <c r="T38" s="300" t="s">
        <v>1</v>
      </c>
      <c r="U38" s="298" t="s">
        <v>1</v>
      </c>
      <c r="V38" s="299" t="str" cm="1">
        <f t="array" aca="1" ref="V38" ca="1">INDIRECT("'"&amp;$C38&amp;"'!"&amp;"$"&amp;$D38&amp;$V$1&amp;"")</f>
        <v>CMS</v>
      </c>
      <c r="W38" s="300" t="s">
        <v>1</v>
      </c>
      <c r="X38" s="300" t="s">
        <v>1</v>
      </c>
      <c r="Y38" s="301" t="s">
        <v>1</v>
      </c>
      <c r="Z38" s="297" cm="1">
        <f t="array" aca="1" ref="Z38" ca="1">INDIRECT("'"&amp;$C38&amp;"'!"&amp;"$"&amp;$D38&amp;$Z$1&amp;"")</f>
        <v>0</v>
      </c>
      <c r="AA38" s="300" t="s">
        <v>1</v>
      </c>
      <c r="AB38" s="300" t="s">
        <v>1</v>
      </c>
      <c r="AC38" s="298" t="s">
        <v>1</v>
      </c>
      <c r="AD38" s="299" cm="1">
        <f t="array" aca="1" ref="AD38" ca="1">INDIRECT("'"&amp;$C38&amp;"'!"&amp;"$"&amp;$D38&amp;$AD$1&amp;"")</f>
        <v>3.2</v>
      </c>
      <c r="AE38" s="300">
        <f>3.8*3.61</f>
        <v>13.717999999999998</v>
      </c>
      <c r="AF38" s="300">
        <v>0.97</v>
      </c>
      <c r="AG38" s="301">
        <v>0.88</v>
      </c>
      <c r="AH38" s="297" t="str" cm="1">
        <f t="array" aca="1" ref="AH38" ca="1">INDIRECT("'"&amp;$C38&amp;"'!"&amp;"$"&amp;$D38&amp;$AH$1&amp;"")</f>
        <v>CMS</v>
      </c>
      <c r="AI38" s="300" t="s">
        <v>1</v>
      </c>
      <c r="AJ38" s="300" t="s">
        <v>1</v>
      </c>
      <c r="AK38" s="298" t="s">
        <v>1</v>
      </c>
      <c r="AL38" s="297">
        <v>11.8</v>
      </c>
      <c r="AM38" s="301">
        <v>69.7</v>
      </c>
      <c r="AN38" s="297" cm="1">
        <f t="array" aca="1" ref="AN38" ca="1">INDIRECT("'"&amp;$C38&amp;"'!"&amp;"$"&amp;$D38&amp;$AL$1&amp;"")</f>
        <v>4</v>
      </c>
      <c r="AO38" s="300">
        <v>0.92</v>
      </c>
      <c r="AP38" s="298">
        <v>1.7</v>
      </c>
      <c r="AQ38" s="299" t="str" cm="1">
        <f t="array" aca="1" ref="AQ38" ca="1">INDIRECT("'"&amp;$C38&amp;"'!"&amp;"$"&amp;$D38&amp;$AQ$1&amp;"")</f>
        <v>CMS</v>
      </c>
      <c r="AR38" s="300" t="s">
        <v>1</v>
      </c>
      <c r="AS38" s="298" t="s">
        <v>1</v>
      </c>
      <c r="AT38" s="302">
        <v>0</v>
      </c>
      <c r="AU38" s="301">
        <v>68.97</v>
      </c>
      <c r="AV38" s="297" t="str" cm="1">
        <f t="array" aca="1" ref="AV38" ca="1">INDIRECT("'"&amp;$C38&amp;"'!"&amp;"$"&amp;$D38&amp;31&amp;"")</f>
        <v>PMS</v>
      </c>
      <c r="AW38" s="300" t="s">
        <v>1</v>
      </c>
      <c r="AX38" s="298" t="s">
        <v>1</v>
      </c>
      <c r="AY38" s="303">
        <v>69.599999999999994</v>
      </c>
      <c r="AZ38" s="302" cm="1">
        <f t="array" aca="1" ref="AZ38" ca="1">INDIRECT("'"&amp;$C38&amp;"'!"&amp;"$"&amp;$D38&amp;58&amp;"")</f>
        <v>6.2999999999999989</v>
      </c>
      <c r="BA38" s="300">
        <v>0.97</v>
      </c>
      <c r="BB38" s="298">
        <v>1.5</v>
      </c>
      <c r="BC38" s="302" cm="1">
        <f t="array" aca="1" ref="BC38" ca="1">INDIRECT("'"&amp;$C38&amp;"'!"&amp;"$"&amp;$D38&amp;63&amp;"")</f>
        <v>1.05</v>
      </c>
      <c r="BD38" s="300"/>
      <c r="BE38" s="300">
        <v>0.99</v>
      </c>
      <c r="BF38" s="298">
        <v>0.12</v>
      </c>
      <c r="BG38" s="303" cm="1">
        <f t="array" aca="1" ref="BG38" ca="1">INDIRECT("'"&amp;$C38&amp;"'!"&amp;"$"&amp;$D38&amp;78&amp;"")</f>
        <v>0.75</v>
      </c>
      <c r="BH38" s="300"/>
      <c r="BI38" s="300">
        <v>0.96</v>
      </c>
      <c r="BJ38" s="298">
        <v>0.21</v>
      </c>
      <c r="BK38" s="303" cm="1">
        <f t="array" aca="1" ref="BK38" ca="1">INDIRECT("'"&amp;$C38&amp;"'!"&amp;"$"&amp;$D38&amp;74&amp;"")</f>
        <v>3.5999999999999996</v>
      </c>
      <c r="BL38" s="300"/>
      <c r="BM38" s="300">
        <v>0.99</v>
      </c>
      <c r="BN38" s="298">
        <v>0.51</v>
      </c>
    </row>
    <row r="39" spans="1:66" ht="15" x14ac:dyDescent="0.2">
      <c r="A39" s="368">
        <v>45690</v>
      </c>
      <c r="B39" s="365">
        <v>0.375</v>
      </c>
      <c r="C39" s="318">
        <v>2</v>
      </c>
      <c r="D39" s="319" t="s">
        <v>119</v>
      </c>
      <c r="E39" s="290">
        <v>14.3</v>
      </c>
      <c r="F39" s="291">
        <v>70.400000000000006</v>
      </c>
      <c r="G39" s="292" cm="1">
        <f t="array" aca="1" ref="G39" ca="1">INDIRECT("'"&amp;$C39&amp;"'!"&amp;"$"&amp;$D39&amp;$E$1&amp;"")</f>
        <v>6.7</v>
      </c>
      <c r="H39" s="293">
        <v>0.98</v>
      </c>
      <c r="I39" s="291">
        <v>1.21</v>
      </c>
      <c r="J39" s="292" cm="1">
        <f t="array" aca="1" ref="J39" ca="1">INDIRECT("'"&amp;$C39&amp;"'!"&amp;"$"&amp;$D39&amp;$J$1&amp;"")</f>
        <v>6.7</v>
      </c>
      <c r="K39" s="293"/>
      <c r="L39" s="293">
        <v>0.98</v>
      </c>
      <c r="M39" s="291">
        <v>1.21</v>
      </c>
      <c r="N39" s="292" cm="1">
        <f t="array" aca="1" ref="N39" ca="1">INDIRECT("'"&amp;$C39&amp;"'!"&amp;"$"&amp;$D39&amp;$N$1&amp;"")</f>
        <v>6.7</v>
      </c>
      <c r="O39" s="293"/>
      <c r="P39" s="293">
        <v>0.98</v>
      </c>
      <c r="Q39" s="291">
        <v>1.21</v>
      </c>
      <c r="R39" s="292" cm="1">
        <f t="array" aca="1" ref="R39" ca="1">INDIRECT("'"&amp;$C39&amp;"'!"&amp;"$"&amp;$D39&amp;$R$1&amp;"")</f>
        <v>6.7</v>
      </c>
      <c r="S39" s="293"/>
      <c r="T39" s="293">
        <v>0.98</v>
      </c>
      <c r="U39" s="291">
        <v>1.21</v>
      </c>
      <c r="V39" s="292" t="str" cm="1">
        <f t="array" aca="1" ref="V39" ca="1">INDIRECT("'"&amp;$C39&amp;"'!"&amp;"$"&amp;$D39&amp;$V$1&amp;"")</f>
        <v>CMS</v>
      </c>
      <c r="W39" s="293" t="s">
        <v>1</v>
      </c>
      <c r="X39" s="293" t="s">
        <v>1</v>
      </c>
      <c r="Y39" s="294" t="s">
        <v>1</v>
      </c>
      <c r="Z39" s="290" cm="1">
        <f t="array" aca="1" ref="Z39" ca="1">INDIRECT("'"&amp;$C39&amp;"'!"&amp;"$"&amp;$D39&amp;$Z$1&amp;"")</f>
        <v>0</v>
      </c>
      <c r="AA39" s="293" t="s">
        <v>1</v>
      </c>
      <c r="AB39" s="293" t="s">
        <v>1</v>
      </c>
      <c r="AC39" s="291" t="s">
        <v>1</v>
      </c>
      <c r="AD39" s="292" cm="1">
        <f t="array" aca="1" ref="AD39" ca="1">INDIRECT("'"&amp;$C39&amp;"'!"&amp;"$"&amp;$D39&amp;$AD$1&amp;"")</f>
        <v>3.2</v>
      </c>
      <c r="AE39" s="293">
        <f>3.8*3.6</f>
        <v>13.68</v>
      </c>
      <c r="AF39" s="293">
        <v>0.96</v>
      </c>
      <c r="AG39" s="294">
        <v>0.91</v>
      </c>
      <c r="AH39" s="290" t="str" cm="1">
        <f t="array" aca="1" ref="AH39" ca="1">INDIRECT("'"&amp;$C39&amp;"'!"&amp;"$"&amp;$D39&amp;$AH$1&amp;"")</f>
        <v>CMS</v>
      </c>
      <c r="AI39" s="293" t="s">
        <v>1</v>
      </c>
      <c r="AJ39" s="293" t="s">
        <v>1</v>
      </c>
      <c r="AK39" s="291" t="s">
        <v>1</v>
      </c>
      <c r="AL39" s="290">
        <v>11.7</v>
      </c>
      <c r="AM39" s="294">
        <v>69.400000000000006</v>
      </c>
      <c r="AN39" s="290" cm="1">
        <f t="array" aca="1" ref="AN39" ca="1">INDIRECT("'"&amp;$C39&amp;"'!"&amp;"$"&amp;$D39&amp;$AL$1&amp;"")</f>
        <v>4</v>
      </c>
      <c r="AO39" s="293">
        <v>0.9</v>
      </c>
      <c r="AP39" s="291">
        <v>1.96</v>
      </c>
      <c r="AQ39" s="292" t="str" cm="1">
        <f t="array" aca="1" ref="AQ39" ca="1">INDIRECT("'"&amp;$C39&amp;"'!"&amp;"$"&amp;$D39&amp;$AQ$1&amp;"")</f>
        <v>CMS</v>
      </c>
      <c r="AR39" s="293" t="s">
        <v>1</v>
      </c>
      <c r="AS39" s="291" t="s">
        <v>1</v>
      </c>
      <c r="AT39" s="295">
        <v>0</v>
      </c>
      <c r="AU39" s="294">
        <v>68.97</v>
      </c>
      <c r="AV39" s="290" t="str" cm="1">
        <f t="array" aca="1" ref="AV39" ca="1">INDIRECT("'"&amp;$C39&amp;"'!"&amp;"$"&amp;$D39&amp;31&amp;"")</f>
        <v>PMS</v>
      </c>
      <c r="AW39" s="293" t="s">
        <v>1</v>
      </c>
      <c r="AX39" s="291" t="s">
        <v>1</v>
      </c>
      <c r="AY39" s="296">
        <v>69.099999999999994</v>
      </c>
      <c r="AZ39" s="295" cm="1">
        <f t="array" aca="1" ref="AZ39" ca="1">INDIRECT("'"&amp;$C39&amp;"'!"&amp;"$"&amp;$D39&amp;58&amp;"")</f>
        <v>4.7</v>
      </c>
      <c r="BA39" s="293">
        <v>0.96</v>
      </c>
      <c r="BB39" s="291">
        <v>1.3</v>
      </c>
      <c r="BC39" s="295" cm="1">
        <f t="array" aca="1" ref="BC39" ca="1">INDIRECT("'"&amp;$C39&amp;"'!"&amp;"$"&amp;$D39&amp;63&amp;"")</f>
        <v>1.04</v>
      </c>
      <c r="BD39" s="293"/>
      <c r="BE39" s="293">
        <v>0.99</v>
      </c>
      <c r="BF39" s="291">
        <v>0.14000000000000001</v>
      </c>
      <c r="BG39" s="296" cm="1">
        <f t="array" aca="1" ref="BG39" ca="1">INDIRECT("'"&amp;$C39&amp;"'!"&amp;"$"&amp;$D39&amp;78&amp;"")</f>
        <v>0.78</v>
      </c>
      <c r="BH39" s="293"/>
      <c r="BI39" s="293">
        <v>0.96</v>
      </c>
      <c r="BJ39" s="291">
        <v>0.22</v>
      </c>
      <c r="BK39" s="296" cm="1">
        <f t="array" aca="1" ref="BK39" ca="1">INDIRECT("'"&amp;$C39&amp;"'!"&amp;"$"&amp;$D39&amp;74&amp;"")</f>
        <v>3.63</v>
      </c>
      <c r="BL39" s="293"/>
      <c r="BM39" s="293">
        <v>0.99</v>
      </c>
      <c r="BN39" s="291">
        <v>0.51</v>
      </c>
    </row>
    <row r="40" spans="1:66" ht="15" x14ac:dyDescent="0.2">
      <c r="A40" s="368">
        <v>45690</v>
      </c>
      <c r="B40" s="365">
        <v>0.41666666666666702</v>
      </c>
      <c r="C40" s="318">
        <v>2</v>
      </c>
      <c r="D40" s="319" t="s">
        <v>120</v>
      </c>
      <c r="E40" s="297">
        <v>14.3</v>
      </c>
      <c r="F40" s="298">
        <v>70.459999999999994</v>
      </c>
      <c r="G40" s="299" cm="1">
        <f t="array" aca="1" ref="G40" ca="1">INDIRECT("'"&amp;$C40&amp;"'!"&amp;"$"&amp;$D40&amp;$E$1&amp;"")</f>
        <v>6.5</v>
      </c>
      <c r="H40" s="300">
        <v>0.97</v>
      </c>
      <c r="I40" s="298">
        <v>1.5</v>
      </c>
      <c r="J40" s="299" cm="1">
        <f t="array" aca="1" ref="J40" ca="1">INDIRECT("'"&amp;$C40&amp;"'!"&amp;"$"&amp;$D40&amp;$J$1&amp;"")</f>
        <v>6.5</v>
      </c>
      <c r="K40" s="300"/>
      <c r="L40" s="300">
        <v>0.97</v>
      </c>
      <c r="M40" s="298">
        <v>1.5</v>
      </c>
      <c r="N40" s="299" cm="1">
        <f t="array" aca="1" ref="N40" ca="1">INDIRECT("'"&amp;$C40&amp;"'!"&amp;"$"&amp;$D40&amp;$N$1&amp;"")</f>
        <v>6.5</v>
      </c>
      <c r="O40" s="300"/>
      <c r="P40" s="300">
        <v>0.97</v>
      </c>
      <c r="Q40" s="298">
        <v>1.5</v>
      </c>
      <c r="R40" s="299" cm="1">
        <f t="array" aca="1" ref="R40" ca="1">INDIRECT("'"&amp;$C40&amp;"'!"&amp;"$"&amp;$D40&amp;$R$1&amp;"")</f>
        <v>6.5</v>
      </c>
      <c r="S40" s="300"/>
      <c r="T40" s="300">
        <v>0.97</v>
      </c>
      <c r="U40" s="298">
        <v>1.5</v>
      </c>
      <c r="V40" s="299" t="str" cm="1">
        <f t="array" aca="1" ref="V40" ca="1">INDIRECT("'"&amp;$C40&amp;"'!"&amp;"$"&amp;$D40&amp;$V$1&amp;"")</f>
        <v>CMS</v>
      </c>
      <c r="W40" s="300" t="s">
        <v>1</v>
      </c>
      <c r="X40" s="300" t="s">
        <v>1</v>
      </c>
      <c r="Y40" s="301" t="s">
        <v>1</v>
      </c>
      <c r="Z40" s="297" cm="1">
        <f t="array" aca="1" ref="Z40" ca="1">INDIRECT("'"&amp;$C40&amp;"'!"&amp;"$"&amp;$D40&amp;$Z$1&amp;"")</f>
        <v>0</v>
      </c>
      <c r="AA40" s="300" t="s">
        <v>1</v>
      </c>
      <c r="AB40" s="300" t="s">
        <v>1</v>
      </c>
      <c r="AC40" s="298" t="s">
        <v>1</v>
      </c>
      <c r="AD40" s="299" cm="1">
        <f t="array" aca="1" ref="AD40" ca="1">INDIRECT("'"&amp;$C40&amp;"'!"&amp;"$"&amp;$D40&amp;$AD$1&amp;"")</f>
        <v>3.2</v>
      </c>
      <c r="AE40" s="300">
        <f>3.8*3.56</f>
        <v>13.527999999999999</v>
      </c>
      <c r="AF40" s="300">
        <v>0.95</v>
      </c>
      <c r="AG40" s="301">
        <v>1.1000000000000001</v>
      </c>
      <c r="AH40" s="297" t="str" cm="1">
        <f t="array" aca="1" ref="AH40" ca="1">INDIRECT("'"&amp;$C40&amp;"'!"&amp;"$"&amp;$D40&amp;$AH$1&amp;"")</f>
        <v>CMS</v>
      </c>
      <c r="AI40" s="300" t="s">
        <v>1</v>
      </c>
      <c r="AJ40" s="300" t="s">
        <v>1</v>
      </c>
      <c r="AK40" s="298" t="s">
        <v>1</v>
      </c>
      <c r="AL40" s="297">
        <v>11.7</v>
      </c>
      <c r="AM40" s="301">
        <v>69.400000000000006</v>
      </c>
      <c r="AN40" s="297" cm="1">
        <f t="array" aca="1" ref="AN40" ca="1">INDIRECT("'"&amp;$C40&amp;"'!"&amp;"$"&amp;$D40&amp;$AL$1&amp;"")</f>
        <v>3.9</v>
      </c>
      <c r="AO40" s="300">
        <v>0.88</v>
      </c>
      <c r="AP40" s="298">
        <v>1.97</v>
      </c>
      <c r="AQ40" s="299" t="str" cm="1">
        <f t="array" aca="1" ref="AQ40" ca="1">INDIRECT("'"&amp;$C40&amp;"'!"&amp;"$"&amp;$D40&amp;$AQ$1&amp;"")</f>
        <v>CMS</v>
      </c>
      <c r="AR40" s="300" t="s">
        <v>1</v>
      </c>
      <c r="AS40" s="298" t="s">
        <v>1</v>
      </c>
      <c r="AT40" s="302">
        <v>0</v>
      </c>
      <c r="AU40" s="301">
        <v>68.900000000000006</v>
      </c>
      <c r="AV40" s="297" t="str" cm="1">
        <f t="array" aca="1" ref="AV40" ca="1">INDIRECT("'"&amp;$C40&amp;"'!"&amp;"$"&amp;$D40&amp;31&amp;"")</f>
        <v>PMS</v>
      </c>
      <c r="AW40" s="300" t="s">
        <v>1</v>
      </c>
      <c r="AX40" s="298" t="s">
        <v>1</v>
      </c>
      <c r="AY40" s="303">
        <v>69.3</v>
      </c>
      <c r="AZ40" s="302" cm="1">
        <f t="array" aca="1" ref="AZ40" ca="1">INDIRECT("'"&amp;$C40&amp;"'!"&amp;"$"&amp;$D40&amp;58&amp;"")</f>
        <v>9.8999999999999986</v>
      </c>
      <c r="BA40" s="300">
        <v>0.96</v>
      </c>
      <c r="BB40" s="298">
        <v>2.8</v>
      </c>
      <c r="BC40" s="302" cm="1">
        <f t="array" aca="1" ref="BC40" ca="1">INDIRECT("'"&amp;$C40&amp;"'!"&amp;"$"&amp;$D40&amp;63&amp;"")</f>
        <v>1.04</v>
      </c>
      <c r="BD40" s="300"/>
      <c r="BE40" s="300">
        <v>0.99</v>
      </c>
      <c r="BF40" s="298">
        <v>0.14000000000000001</v>
      </c>
      <c r="BG40" s="303" cm="1">
        <f t="array" aca="1" ref="BG40" ca="1">INDIRECT("'"&amp;$C40&amp;"'!"&amp;"$"&amp;$D40&amp;78&amp;"")</f>
        <v>0.89</v>
      </c>
      <c r="BH40" s="300"/>
      <c r="BI40" s="300">
        <v>0.95</v>
      </c>
      <c r="BJ40" s="298">
        <v>0.24</v>
      </c>
      <c r="BK40" s="303" cm="1">
        <f t="array" aca="1" ref="BK40" ca="1">INDIRECT("'"&amp;$C40&amp;"'!"&amp;"$"&amp;$D40&amp;74&amp;"")</f>
        <v>3.85</v>
      </c>
      <c r="BL40" s="300"/>
      <c r="BM40" s="300">
        <v>0.99</v>
      </c>
      <c r="BN40" s="298">
        <v>0.54</v>
      </c>
    </row>
    <row r="41" spans="1:66" ht="15" x14ac:dyDescent="0.2">
      <c r="A41" s="368">
        <v>45690</v>
      </c>
      <c r="B41" s="365">
        <v>0.45833333333333398</v>
      </c>
      <c r="C41" s="318">
        <v>2</v>
      </c>
      <c r="D41" s="319" t="s">
        <v>121</v>
      </c>
      <c r="E41" s="290">
        <v>14.3</v>
      </c>
      <c r="F41" s="291">
        <v>70.599999999999994</v>
      </c>
      <c r="G41" s="292" cm="1">
        <f t="array" aca="1" ref="G41" ca="1">INDIRECT("'"&amp;$C41&amp;"'!"&amp;"$"&amp;$D41&amp;$E$1&amp;"")</f>
        <v>6.6</v>
      </c>
      <c r="H41" s="293">
        <v>0.97</v>
      </c>
      <c r="I41" s="291">
        <v>1.52</v>
      </c>
      <c r="J41" s="292" cm="1">
        <f t="array" aca="1" ref="J41" ca="1">INDIRECT("'"&amp;$C41&amp;"'!"&amp;"$"&amp;$D41&amp;$J$1&amp;"")</f>
        <v>6.6</v>
      </c>
      <c r="K41" s="293"/>
      <c r="L41" s="293">
        <v>0.97</v>
      </c>
      <c r="M41" s="291">
        <v>1.52</v>
      </c>
      <c r="N41" s="292" cm="1">
        <f t="array" aca="1" ref="N41" ca="1">INDIRECT("'"&amp;$C41&amp;"'!"&amp;"$"&amp;$D41&amp;$N$1&amp;"")</f>
        <v>6.6</v>
      </c>
      <c r="O41" s="293"/>
      <c r="P41" s="293">
        <v>0.97</v>
      </c>
      <c r="Q41" s="291">
        <v>1.52</v>
      </c>
      <c r="R41" s="292" cm="1">
        <f t="array" aca="1" ref="R41" ca="1">INDIRECT("'"&amp;$C41&amp;"'!"&amp;"$"&amp;$D41&amp;$R$1&amp;"")</f>
        <v>6.6</v>
      </c>
      <c r="S41" s="293"/>
      <c r="T41" s="293">
        <v>0.97</v>
      </c>
      <c r="U41" s="291">
        <v>1.52</v>
      </c>
      <c r="V41" s="292" t="str" cm="1">
        <f t="array" aca="1" ref="V41" ca="1">INDIRECT("'"&amp;$C41&amp;"'!"&amp;"$"&amp;$D41&amp;$V$1&amp;"")</f>
        <v>CMS</v>
      </c>
      <c r="W41" s="293" t="s">
        <v>1</v>
      </c>
      <c r="X41" s="293" t="s">
        <v>1</v>
      </c>
      <c r="Y41" s="294" t="s">
        <v>1</v>
      </c>
      <c r="Z41" s="290" cm="1">
        <f t="array" aca="1" ref="Z41" ca="1">INDIRECT("'"&amp;$C41&amp;"'!"&amp;"$"&amp;$D41&amp;$Z$1&amp;"")</f>
        <v>0</v>
      </c>
      <c r="AA41" s="293" t="s">
        <v>1</v>
      </c>
      <c r="AB41" s="293" t="s">
        <v>1</v>
      </c>
      <c r="AC41" s="291" t="s">
        <v>1</v>
      </c>
      <c r="AD41" s="292" cm="1">
        <f t="array" aca="1" ref="AD41" ca="1">INDIRECT("'"&amp;$C41&amp;"'!"&amp;"$"&amp;$D41&amp;$AD$1&amp;"")</f>
        <v>3.2</v>
      </c>
      <c r="AE41" s="293">
        <f>3.8*3.58</f>
        <v>13.603999999999999</v>
      </c>
      <c r="AF41" s="293">
        <v>0.94</v>
      </c>
      <c r="AG41" s="294">
        <v>1.91</v>
      </c>
      <c r="AH41" s="290" t="str" cm="1">
        <f t="array" aca="1" ref="AH41" ca="1">INDIRECT("'"&amp;$C41&amp;"'!"&amp;"$"&amp;$D41&amp;$AH$1&amp;"")</f>
        <v>CMS</v>
      </c>
      <c r="AI41" s="293" t="s">
        <v>1</v>
      </c>
      <c r="AJ41" s="293" t="s">
        <v>1</v>
      </c>
      <c r="AK41" s="291" t="s">
        <v>1</v>
      </c>
      <c r="AL41" s="290">
        <v>11.7</v>
      </c>
      <c r="AM41" s="294">
        <v>69.5</v>
      </c>
      <c r="AN41" s="290" cm="1">
        <f t="array" aca="1" ref="AN41" ca="1">INDIRECT("'"&amp;$C41&amp;"'!"&amp;"$"&amp;$D41&amp;$AL$1&amp;"")</f>
        <v>3.9</v>
      </c>
      <c r="AO41" s="293">
        <v>0.89</v>
      </c>
      <c r="AP41" s="291">
        <v>1.91</v>
      </c>
      <c r="AQ41" s="292" t="str" cm="1">
        <f t="array" aca="1" ref="AQ41" ca="1">INDIRECT("'"&amp;$C41&amp;"'!"&amp;"$"&amp;$D41&amp;$AQ$1&amp;"")</f>
        <v>CMS</v>
      </c>
      <c r="AR41" s="293" t="s">
        <v>1</v>
      </c>
      <c r="AS41" s="291" t="s">
        <v>1</v>
      </c>
      <c r="AT41" s="295">
        <v>0</v>
      </c>
      <c r="AU41" s="294">
        <v>68.97</v>
      </c>
      <c r="AV41" s="290" t="str" cm="1">
        <f t="array" aca="1" ref="AV41" ca="1">INDIRECT("'"&amp;$C41&amp;"'!"&amp;"$"&amp;$D41&amp;31&amp;"")</f>
        <v>PMS</v>
      </c>
      <c r="AW41" s="293" t="s">
        <v>1</v>
      </c>
      <c r="AX41" s="291" t="s">
        <v>1</v>
      </c>
      <c r="AY41" s="296">
        <v>69.400000000000006</v>
      </c>
      <c r="AZ41" s="295" cm="1">
        <f t="array" aca="1" ref="AZ41" ca="1">INDIRECT("'"&amp;$C41&amp;"'!"&amp;"$"&amp;$D41&amp;58&amp;"")</f>
        <v>9.7000000000000011</v>
      </c>
      <c r="BA41" s="293">
        <v>0.94</v>
      </c>
      <c r="BB41" s="291">
        <v>3.4</v>
      </c>
      <c r="BC41" s="295" cm="1">
        <f t="array" aca="1" ref="BC41" ca="1">INDIRECT("'"&amp;$C41&amp;"'!"&amp;"$"&amp;$D41&amp;63&amp;"")</f>
        <v>1.1000000000000001</v>
      </c>
      <c r="BD41" s="293"/>
      <c r="BE41" s="293">
        <v>0.99</v>
      </c>
      <c r="BF41" s="291">
        <v>0.15</v>
      </c>
      <c r="BG41" s="296" cm="1">
        <f t="array" aca="1" ref="BG41" ca="1">INDIRECT("'"&amp;$C41&amp;"'!"&amp;"$"&amp;$D41&amp;78&amp;"")</f>
        <v>0.84</v>
      </c>
      <c r="BH41" s="293"/>
      <c r="BI41" s="293">
        <v>0.96</v>
      </c>
      <c r="BJ41" s="291">
        <v>0.25</v>
      </c>
      <c r="BK41" s="296" cm="1">
        <f t="array" aca="1" ref="BK41" ca="1">INDIRECT("'"&amp;$C41&amp;"'!"&amp;"$"&amp;$D41&amp;74&amp;"")</f>
        <v>3.7199999999999998</v>
      </c>
      <c r="BL41" s="293"/>
      <c r="BM41" s="293">
        <v>0.99</v>
      </c>
      <c r="BN41" s="291">
        <v>0.53</v>
      </c>
    </row>
    <row r="42" spans="1:66" ht="15" x14ac:dyDescent="0.2">
      <c r="A42" s="368">
        <v>45690</v>
      </c>
      <c r="B42" s="365">
        <v>0.5</v>
      </c>
      <c r="C42" s="318">
        <v>2</v>
      </c>
      <c r="D42" s="319" t="s">
        <v>122</v>
      </c>
      <c r="E42" s="297">
        <v>14.2</v>
      </c>
      <c r="F42" s="298">
        <v>70.349999999999994</v>
      </c>
      <c r="G42" s="299" cm="1">
        <f t="array" aca="1" ref="G42" ca="1">INDIRECT("'"&amp;$C42&amp;"'!"&amp;"$"&amp;$D42&amp;$E$1&amp;"")</f>
        <v>6.6</v>
      </c>
      <c r="H42" s="300">
        <v>0.98</v>
      </c>
      <c r="I42" s="298">
        <v>1.36</v>
      </c>
      <c r="J42" s="299" cm="1">
        <f t="array" aca="1" ref="J42" ca="1">INDIRECT("'"&amp;$C42&amp;"'!"&amp;"$"&amp;$D42&amp;$J$1&amp;"")</f>
        <v>6.6</v>
      </c>
      <c r="K42" s="300"/>
      <c r="L42" s="300">
        <v>0.98</v>
      </c>
      <c r="M42" s="298">
        <v>1.36</v>
      </c>
      <c r="N42" s="299" cm="1">
        <f t="array" aca="1" ref="N42" ca="1">INDIRECT("'"&amp;$C42&amp;"'!"&amp;"$"&amp;$D42&amp;$N$1&amp;"")</f>
        <v>6.6</v>
      </c>
      <c r="O42" s="300"/>
      <c r="P42" s="300">
        <v>0.98</v>
      </c>
      <c r="Q42" s="298">
        <v>1.36</v>
      </c>
      <c r="R42" s="299" cm="1">
        <f t="array" aca="1" ref="R42" ca="1">INDIRECT("'"&amp;$C42&amp;"'!"&amp;"$"&amp;$D42&amp;$R$1&amp;"")</f>
        <v>6.6</v>
      </c>
      <c r="S42" s="300"/>
      <c r="T42" s="300">
        <v>0.98</v>
      </c>
      <c r="U42" s="298">
        <v>1.36</v>
      </c>
      <c r="V42" s="299" t="str" cm="1">
        <f t="array" aca="1" ref="V42" ca="1">INDIRECT("'"&amp;$C42&amp;"'!"&amp;"$"&amp;$D42&amp;$V$1&amp;"")</f>
        <v>CMS</v>
      </c>
      <c r="W42" s="300" t="s">
        <v>1</v>
      </c>
      <c r="X42" s="300" t="s">
        <v>1</v>
      </c>
      <c r="Y42" s="301" t="s">
        <v>1</v>
      </c>
      <c r="Z42" s="297" cm="1">
        <f t="array" aca="1" ref="Z42" ca="1">INDIRECT("'"&amp;$C42&amp;"'!"&amp;"$"&amp;$D42&amp;$Z$1&amp;"")</f>
        <v>0</v>
      </c>
      <c r="AA42" s="300" t="s">
        <v>1</v>
      </c>
      <c r="AB42" s="300" t="s">
        <v>1</v>
      </c>
      <c r="AC42" s="298" t="s">
        <v>1</v>
      </c>
      <c r="AD42" s="299" cm="1">
        <f t="array" aca="1" ref="AD42" ca="1">INDIRECT("'"&amp;$C42&amp;"'!"&amp;"$"&amp;$D42&amp;$AD$1&amp;"")</f>
        <v>3.2</v>
      </c>
      <c r="AE42" s="300">
        <f>3.8*3.58</f>
        <v>13.603999999999999</v>
      </c>
      <c r="AF42" s="300">
        <v>0.94</v>
      </c>
      <c r="AG42" s="301">
        <v>1.23</v>
      </c>
      <c r="AH42" s="297" t="str" cm="1">
        <f t="array" aca="1" ref="AH42" ca="1">INDIRECT("'"&amp;$C42&amp;"'!"&amp;"$"&amp;$D42&amp;$AH$1&amp;"")</f>
        <v>CMS</v>
      </c>
      <c r="AI42" s="300" t="s">
        <v>1</v>
      </c>
      <c r="AJ42" s="300" t="s">
        <v>1</v>
      </c>
      <c r="AK42" s="298" t="s">
        <v>1</v>
      </c>
      <c r="AL42" s="297">
        <v>11.7</v>
      </c>
      <c r="AM42" s="301">
        <v>69.400000000000006</v>
      </c>
      <c r="AN42" s="297" cm="1">
        <f t="array" aca="1" ref="AN42" ca="1">INDIRECT("'"&amp;$C42&amp;"'!"&amp;"$"&amp;$D42&amp;$AL$1&amp;"")</f>
        <v>3.8</v>
      </c>
      <c r="AO42" s="300">
        <v>0.89</v>
      </c>
      <c r="AP42" s="298">
        <v>2.02</v>
      </c>
      <c r="AQ42" s="299" t="str" cm="1">
        <f t="array" aca="1" ref="AQ42" ca="1">INDIRECT("'"&amp;$C42&amp;"'!"&amp;"$"&amp;$D42&amp;$AQ$1&amp;"")</f>
        <v>CMS</v>
      </c>
      <c r="AR42" s="300" t="s">
        <v>1</v>
      </c>
      <c r="AS42" s="298" t="s">
        <v>1</v>
      </c>
      <c r="AT42" s="302">
        <v>0</v>
      </c>
      <c r="AU42" s="301">
        <v>68.97</v>
      </c>
      <c r="AV42" s="297" t="str" cm="1">
        <f t="array" aca="1" ref="AV42" ca="1">INDIRECT("'"&amp;$C42&amp;"'!"&amp;"$"&amp;$D42&amp;31&amp;"")</f>
        <v>PMS</v>
      </c>
      <c r="AW42" s="300" t="s">
        <v>1</v>
      </c>
      <c r="AX42" s="298" t="s">
        <v>1</v>
      </c>
      <c r="AY42" s="303">
        <v>69.099999999999994</v>
      </c>
      <c r="AZ42" s="302" cm="1">
        <f t="array" aca="1" ref="AZ42" ca="1">INDIRECT("'"&amp;$C42&amp;"'!"&amp;"$"&amp;$D42&amp;58&amp;"")</f>
        <v>9.7000000000000011</v>
      </c>
      <c r="BA42" s="300">
        <v>0.94</v>
      </c>
      <c r="BB42" s="298">
        <v>3.4</v>
      </c>
      <c r="BC42" s="302" cm="1">
        <f t="array" aca="1" ref="BC42" ca="1">INDIRECT("'"&amp;$C42&amp;"'!"&amp;"$"&amp;$D42&amp;63&amp;"")</f>
        <v>1.01</v>
      </c>
      <c r="BD42" s="300"/>
      <c r="BE42" s="300">
        <v>0.99</v>
      </c>
      <c r="BF42" s="298">
        <v>0.15</v>
      </c>
      <c r="BG42" s="303" cm="1">
        <f t="array" aca="1" ref="BG42" ca="1">INDIRECT("'"&amp;$C42&amp;"'!"&amp;"$"&amp;$D42&amp;78&amp;"")</f>
        <v>0</v>
      </c>
      <c r="BH42" s="300"/>
      <c r="BI42" s="300" t="s">
        <v>1</v>
      </c>
      <c r="BJ42" s="298" t="s">
        <v>1</v>
      </c>
      <c r="BK42" s="303" cm="1">
        <f t="array" aca="1" ref="BK42" ca="1">INDIRECT("'"&amp;$C42&amp;"'!"&amp;"$"&amp;$D42&amp;74&amp;"")</f>
        <v>3.67</v>
      </c>
      <c r="BL42" s="300"/>
      <c r="BM42" s="300">
        <v>0.99</v>
      </c>
      <c r="BN42" s="298">
        <v>0.52</v>
      </c>
    </row>
    <row r="43" spans="1:66" ht="15" x14ac:dyDescent="0.2">
      <c r="A43" s="368">
        <v>45690</v>
      </c>
      <c r="B43" s="365">
        <v>0.54166666666666696</v>
      </c>
      <c r="C43" s="318">
        <v>2</v>
      </c>
      <c r="D43" s="319" t="s">
        <v>123</v>
      </c>
      <c r="E43" s="290">
        <v>14.3</v>
      </c>
      <c r="F43" s="291">
        <v>70.7</v>
      </c>
      <c r="G43" s="292" cm="1">
        <f t="array" aca="1" ref="G43" ca="1">INDIRECT("'"&amp;$C43&amp;"'!"&amp;"$"&amp;$D43&amp;$E$1&amp;"")</f>
        <v>6.4</v>
      </c>
      <c r="H43" s="293">
        <v>0.98</v>
      </c>
      <c r="I43" s="291">
        <v>1.44</v>
      </c>
      <c r="J43" s="292" cm="1">
        <f t="array" aca="1" ref="J43" ca="1">INDIRECT("'"&amp;$C43&amp;"'!"&amp;"$"&amp;$D43&amp;$J$1&amp;"")</f>
        <v>6.4</v>
      </c>
      <c r="K43" s="293"/>
      <c r="L43" s="293">
        <v>0.98</v>
      </c>
      <c r="M43" s="291">
        <v>1.44</v>
      </c>
      <c r="N43" s="292" cm="1">
        <f t="array" aca="1" ref="N43" ca="1">INDIRECT("'"&amp;$C43&amp;"'!"&amp;"$"&amp;$D43&amp;$N$1&amp;"")</f>
        <v>6.4</v>
      </c>
      <c r="O43" s="293"/>
      <c r="P43" s="293">
        <v>0.98</v>
      </c>
      <c r="Q43" s="291">
        <v>1.44</v>
      </c>
      <c r="R43" s="292" cm="1">
        <f t="array" aca="1" ref="R43" ca="1">INDIRECT("'"&amp;$C43&amp;"'!"&amp;"$"&amp;$D43&amp;$R$1&amp;"")</f>
        <v>6.4</v>
      </c>
      <c r="S43" s="293"/>
      <c r="T43" s="293">
        <v>0.98</v>
      </c>
      <c r="U43" s="291">
        <v>1.44</v>
      </c>
      <c r="V43" s="292" t="str" cm="1">
        <f t="array" aca="1" ref="V43" ca="1">INDIRECT("'"&amp;$C43&amp;"'!"&amp;"$"&amp;$D43&amp;$V$1&amp;"")</f>
        <v>CMS</v>
      </c>
      <c r="W43" s="293" t="s">
        <v>1</v>
      </c>
      <c r="X43" s="293" t="s">
        <v>1</v>
      </c>
      <c r="Y43" s="294" t="s">
        <v>1</v>
      </c>
      <c r="Z43" s="290" cm="1">
        <f t="array" aca="1" ref="Z43" ca="1">INDIRECT("'"&amp;$C43&amp;"'!"&amp;"$"&amp;$D43&amp;$Z$1&amp;"")</f>
        <v>0</v>
      </c>
      <c r="AA43" s="293" t="s">
        <v>1</v>
      </c>
      <c r="AB43" s="293" t="s">
        <v>1</v>
      </c>
      <c r="AC43" s="291" t="s">
        <v>1</v>
      </c>
      <c r="AD43" s="292" cm="1">
        <f t="array" aca="1" ref="AD43" ca="1">INDIRECT("'"&amp;$C43&amp;"'!"&amp;"$"&amp;$D43&amp;$AD$1&amp;"")</f>
        <v>3.2</v>
      </c>
      <c r="AE43" s="293">
        <f>3.8*3.58</f>
        <v>13.603999999999999</v>
      </c>
      <c r="AF43" s="293">
        <v>0.95</v>
      </c>
      <c r="AG43" s="294">
        <v>1.07</v>
      </c>
      <c r="AH43" s="290" t="str" cm="1">
        <f t="array" aca="1" ref="AH43" ca="1">INDIRECT("'"&amp;$C43&amp;"'!"&amp;"$"&amp;$D43&amp;$AH$1&amp;"")</f>
        <v>CMS</v>
      </c>
      <c r="AI43" s="293" t="s">
        <v>1</v>
      </c>
      <c r="AJ43" s="293" t="s">
        <v>1</v>
      </c>
      <c r="AK43" s="291" t="s">
        <v>1</v>
      </c>
      <c r="AL43" s="290">
        <v>11.7</v>
      </c>
      <c r="AM43" s="294">
        <v>69.8</v>
      </c>
      <c r="AN43" s="290" cm="1">
        <f t="array" aca="1" ref="AN43" ca="1">INDIRECT("'"&amp;$C43&amp;"'!"&amp;"$"&amp;$D43&amp;$AL$1&amp;"")</f>
        <v>3.7</v>
      </c>
      <c r="AO43" s="293">
        <v>0.91</v>
      </c>
      <c r="AP43" s="291">
        <v>1.74</v>
      </c>
      <c r="AQ43" s="292" t="str" cm="1">
        <f t="array" aca="1" ref="AQ43" ca="1">INDIRECT("'"&amp;$C43&amp;"'!"&amp;"$"&amp;$D43&amp;$AQ$1&amp;"")</f>
        <v>CMS</v>
      </c>
      <c r="AR43" s="293" t="s">
        <v>1</v>
      </c>
      <c r="AS43" s="291" t="s">
        <v>1</v>
      </c>
      <c r="AT43" s="295">
        <v>0</v>
      </c>
      <c r="AU43" s="294">
        <v>68.97</v>
      </c>
      <c r="AV43" s="290" t="str" cm="1">
        <f t="array" aca="1" ref="AV43" ca="1">INDIRECT("'"&amp;$C43&amp;"'!"&amp;"$"&amp;$D43&amp;31&amp;"")</f>
        <v>PMS</v>
      </c>
      <c r="AW43" s="293" t="s">
        <v>1</v>
      </c>
      <c r="AX43" s="291" t="s">
        <v>1</v>
      </c>
      <c r="AY43" s="296">
        <v>69.5</v>
      </c>
      <c r="AZ43" s="295" cm="1">
        <f t="array" aca="1" ref="AZ43" ca="1">INDIRECT("'"&amp;$C43&amp;"'!"&amp;"$"&amp;$D43&amp;58&amp;"")</f>
        <v>12.1</v>
      </c>
      <c r="BA43" s="293">
        <v>0.94</v>
      </c>
      <c r="BB43" s="291">
        <v>4.3</v>
      </c>
      <c r="BC43" s="295" cm="1">
        <f t="array" aca="1" ref="BC43" ca="1">INDIRECT("'"&amp;$C43&amp;"'!"&amp;"$"&amp;$D43&amp;63&amp;"")</f>
        <v>1.0900000000000001</v>
      </c>
      <c r="BD43" s="293"/>
      <c r="BE43" s="293">
        <v>0.99</v>
      </c>
      <c r="BF43" s="291">
        <v>0.15</v>
      </c>
      <c r="BG43" s="296" cm="1">
        <f t="array" aca="1" ref="BG43" ca="1">INDIRECT("'"&amp;$C43&amp;"'!"&amp;"$"&amp;$D43&amp;78&amp;"")</f>
        <v>0</v>
      </c>
      <c r="BH43" s="293"/>
      <c r="BI43" s="293" t="s">
        <v>1</v>
      </c>
      <c r="BJ43" s="291" t="s">
        <v>1</v>
      </c>
      <c r="BK43" s="296" cm="1">
        <f t="array" aca="1" ref="BK43" ca="1">INDIRECT("'"&amp;$C43&amp;"'!"&amp;"$"&amp;$D43&amp;74&amp;"")</f>
        <v>3.81</v>
      </c>
      <c r="BL43" s="293"/>
      <c r="BM43" s="293">
        <v>0.99</v>
      </c>
      <c r="BN43" s="291">
        <v>0.54</v>
      </c>
    </row>
    <row r="44" spans="1:66" ht="15" x14ac:dyDescent="0.2">
      <c r="A44" s="368">
        <v>45690</v>
      </c>
      <c r="B44" s="365">
        <v>0.58333333333333404</v>
      </c>
      <c r="C44" s="318">
        <v>2</v>
      </c>
      <c r="D44" s="319" t="s">
        <v>124</v>
      </c>
      <c r="E44" s="297">
        <v>14.2</v>
      </c>
      <c r="F44" s="298">
        <v>70.3</v>
      </c>
      <c r="G44" s="299" cm="1">
        <f t="array" aca="1" ref="G44" ca="1">INDIRECT("'"&amp;$C44&amp;"'!"&amp;"$"&amp;$D44&amp;$E$1&amp;"")</f>
        <v>6.6</v>
      </c>
      <c r="H44" s="300">
        <v>0.98</v>
      </c>
      <c r="I44" s="298">
        <v>1.43</v>
      </c>
      <c r="J44" s="299" cm="1">
        <f t="array" aca="1" ref="J44" ca="1">INDIRECT("'"&amp;$C44&amp;"'!"&amp;"$"&amp;$D44&amp;$J$1&amp;"")</f>
        <v>6.6</v>
      </c>
      <c r="K44" s="300"/>
      <c r="L44" s="300">
        <v>0.98</v>
      </c>
      <c r="M44" s="298">
        <v>1.43</v>
      </c>
      <c r="N44" s="299" cm="1">
        <f t="array" aca="1" ref="N44" ca="1">INDIRECT("'"&amp;$C44&amp;"'!"&amp;"$"&amp;$D44&amp;$N$1&amp;"")</f>
        <v>6.6</v>
      </c>
      <c r="O44" s="300"/>
      <c r="P44" s="300">
        <v>0.98</v>
      </c>
      <c r="Q44" s="298">
        <v>1.43</v>
      </c>
      <c r="R44" s="299" cm="1">
        <f t="array" aca="1" ref="R44" ca="1">INDIRECT("'"&amp;$C44&amp;"'!"&amp;"$"&amp;$D44&amp;$R$1&amp;"")</f>
        <v>6.6</v>
      </c>
      <c r="S44" s="300"/>
      <c r="T44" s="300">
        <v>0.98</v>
      </c>
      <c r="U44" s="298">
        <v>1.43</v>
      </c>
      <c r="V44" s="299" t="str" cm="1">
        <f t="array" aca="1" ref="V44" ca="1">INDIRECT("'"&amp;$C44&amp;"'!"&amp;"$"&amp;$D44&amp;$V$1&amp;"")</f>
        <v>CMS</v>
      </c>
      <c r="W44" s="300" t="s">
        <v>1</v>
      </c>
      <c r="X44" s="300" t="s">
        <v>1</v>
      </c>
      <c r="Y44" s="301" t="s">
        <v>1</v>
      </c>
      <c r="Z44" s="297" cm="1">
        <f t="array" aca="1" ref="Z44" ca="1">INDIRECT("'"&amp;$C44&amp;"'!"&amp;"$"&amp;$D44&amp;$Z$1&amp;"")</f>
        <v>0</v>
      </c>
      <c r="AA44" s="300" t="s">
        <v>1</v>
      </c>
      <c r="AB44" s="300" t="s">
        <v>1</v>
      </c>
      <c r="AC44" s="298" t="s">
        <v>1</v>
      </c>
      <c r="AD44" s="299" cm="1">
        <f t="array" aca="1" ref="AD44" ca="1">INDIRECT("'"&amp;$C44&amp;"'!"&amp;"$"&amp;$D44&amp;$AD$1&amp;"")</f>
        <v>3.2</v>
      </c>
      <c r="AE44" s="300">
        <f>3.8*3.55</f>
        <v>13.489999999999998</v>
      </c>
      <c r="AF44" s="300">
        <v>0.95</v>
      </c>
      <c r="AG44" s="301">
        <v>1.1100000000000001</v>
      </c>
      <c r="AH44" s="297" t="str" cm="1">
        <f t="array" aca="1" ref="AH44" ca="1">INDIRECT("'"&amp;$C44&amp;"'!"&amp;"$"&amp;$D44&amp;$AH$1&amp;"")</f>
        <v>CMS</v>
      </c>
      <c r="AI44" s="300" t="s">
        <v>1</v>
      </c>
      <c r="AJ44" s="300" t="s">
        <v>1</v>
      </c>
      <c r="AK44" s="298" t="s">
        <v>1</v>
      </c>
      <c r="AL44" s="297">
        <v>11.7</v>
      </c>
      <c r="AM44" s="301">
        <v>69.400000000000006</v>
      </c>
      <c r="AN44" s="297" cm="1">
        <f t="array" aca="1" ref="AN44" ca="1">INDIRECT("'"&amp;$C44&amp;"'!"&amp;"$"&amp;$D44&amp;$AL$1&amp;"")</f>
        <v>3.8</v>
      </c>
      <c r="AO44" s="300">
        <v>0.88</v>
      </c>
      <c r="AP44" s="298">
        <v>1.95</v>
      </c>
      <c r="AQ44" s="299" t="str" cm="1">
        <f t="array" aca="1" ref="AQ44" ca="1">INDIRECT("'"&amp;$C44&amp;"'!"&amp;"$"&amp;$D44&amp;$AQ$1&amp;"")</f>
        <v>CMS</v>
      </c>
      <c r="AR44" s="300" t="s">
        <v>1</v>
      </c>
      <c r="AS44" s="298" t="s">
        <v>1</v>
      </c>
      <c r="AT44" s="302">
        <v>0</v>
      </c>
      <c r="AU44" s="301">
        <v>68.97</v>
      </c>
      <c r="AV44" s="297" t="str" cm="1">
        <f t="array" aca="1" ref="AV44" ca="1">INDIRECT("'"&amp;$C44&amp;"'!"&amp;"$"&amp;$D44&amp;31&amp;"")</f>
        <v>PMS</v>
      </c>
      <c r="AW44" s="300" t="s">
        <v>1</v>
      </c>
      <c r="AX44" s="298" t="s">
        <v>1</v>
      </c>
      <c r="AY44" s="303">
        <v>69.099999999999994</v>
      </c>
      <c r="AZ44" s="302" cm="1">
        <f t="array" aca="1" ref="AZ44" ca="1">INDIRECT("'"&amp;$C44&amp;"'!"&amp;"$"&amp;$D44&amp;58&amp;"")</f>
        <v>11.1</v>
      </c>
      <c r="BA44" s="300">
        <v>0.94</v>
      </c>
      <c r="BB44" s="298">
        <v>4</v>
      </c>
      <c r="BC44" s="302" cm="1">
        <f t="array" aca="1" ref="BC44" ca="1">INDIRECT("'"&amp;$C44&amp;"'!"&amp;"$"&amp;$D44&amp;63&amp;"")</f>
        <v>1.1100000000000001</v>
      </c>
      <c r="BD44" s="300"/>
      <c r="BE44" s="300">
        <v>0.99</v>
      </c>
      <c r="BF44" s="298">
        <v>0.16</v>
      </c>
      <c r="BG44" s="303" cm="1">
        <f t="array" aca="1" ref="BG44" ca="1">INDIRECT("'"&amp;$C44&amp;"'!"&amp;"$"&amp;$D44&amp;78&amp;"")</f>
        <v>0</v>
      </c>
      <c r="BH44" s="300"/>
      <c r="BI44" s="300" t="s">
        <v>1</v>
      </c>
      <c r="BJ44" s="298" t="s">
        <v>1</v>
      </c>
      <c r="BK44" s="303" cm="1">
        <f t="array" aca="1" ref="BK44" ca="1">INDIRECT("'"&amp;$C44&amp;"'!"&amp;"$"&amp;$D44&amp;74&amp;"")</f>
        <v>3.6619999999999999</v>
      </c>
      <c r="BL44" s="300"/>
      <c r="BM44" s="300">
        <v>0.99</v>
      </c>
      <c r="BN44" s="298">
        <v>0.16</v>
      </c>
    </row>
    <row r="45" spans="1:66" ht="15" x14ac:dyDescent="0.2">
      <c r="A45" s="368">
        <v>45690</v>
      </c>
      <c r="B45" s="365">
        <v>0.625</v>
      </c>
      <c r="C45" s="318">
        <v>2</v>
      </c>
      <c r="D45" s="319" t="s">
        <v>125</v>
      </c>
      <c r="E45" s="290">
        <v>14.2</v>
      </c>
      <c r="F45" s="291">
        <v>69.900000000000006</v>
      </c>
      <c r="G45" s="292" cm="1">
        <f t="array" aca="1" ref="G45" ca="1">INDIRECT("'"&amp;$C45&amp;"'!"&amp;"$"&amp;$D45&amp;$E$1&amp;"")</f>
        <v>6.7</v>
      </c>
      <c r="H45" s="293">
        <v>0.98</v>
      </c>
      <c r="I45" s="291">
        <v>1.6</v>
      </c>
      <c r="J45" s="292" cm="1">
        <f t="array" aca="1" ref="J45" ca="1">INDIRECT("'"&amp;$C45&amp;"'!"&amp;"$"&amp;$D45&amp;$J$1&amp;"")</f>
        <v>6.7</v>
      </c>
      <c r="K45" s="293"/>
      <c r="L45" s="293">
        <v>0.98</v>
      </c>
      <c r="M45" s="291">
        <v>1.6</v>
      </c>
      <c r="N45" s="292" cm="1">
        <f t="array" aca="1" ref="N45" ca="1">INDIRECT("'"&amp;$C45&amp;"'!"&amp;"$"&amp;$D45&amp;$N$1&amp;"")</f>
        <v>6.7</v>
      </c>
      <c r="O45" s="293"/>
      <c r="P45" s="293">
        <v>0.98</v>
      </c>
      <c r="Q45" s="291">
        <v>1.6</v>
      </c>
      <c r="R45" s="292" cm="1">
        <f t="array" aca="1" ref="R45" ca="1">INDIRECT("'"&amp;$C45&amp;"'!"&amp;"$"&amp;$D45&amp;$R$1&amp;"")</f>
        <v>6.7</v>
      </c>
      <c r="S45" s="293"/>
      <c r="T45" s="293">
        <v>0.98</v>
      </c>
      <c r="U45" s="291">
        <v>1.6</v>
      </c>
      <c r="V45" s="292" t="str" cm="1">
        <f t="array" aca="1" ref="V45" ca="1">INDIRECT("'"&amp;$C45&amp;"'!"&amp;"$"&amp;$D45&amp;$V$1&amp;"")</f>
        <v>CMS</v>
      </c>
      <c r="W45" s="293" t="s">
        <v>1</v>
      </c>
      <c r="X45" s="293" t="s">
        <v>1</v>
      </c>
      <c r="Y45" s="294" t="s">
        <v>1</v>
      </c>
      <c r="Z45" s="290" cm="1">
        <f t="array" aca="1" ref="Z45" ca="1">INDIRECT("'"&amp;$C45&amp;"'!"&amp;"$"&amp;$D45&amp;$Z$1&amp;"")</f>
        <v>0</v>
      </c>
      <c r="AA45" s="293" t="s">
        <v>1</v>
      </c>
      <c r="AB45" s="293" t="s">
        <v>1</v>
      </c>
      <c r="AC45" s="291" t="s">
        <v>1</v>
      </c>
      <c r="AD45" s="292" cm="1">
        <f t="array" aca="1" ref="AD45" ca="1">INDIRECT("'"&amp;$C45&amp;"'!"&amp;"$"&amp;$D45&amp;$AD$1&amp;"")</f>
        <v>3.2</v>
      </c>
      <c r="AE45" s="293">
        <f>3.8*3.52</f>
        <v>13.375999999999999</v>
      </c>
      <c r="AF45" s="293">
        <v>0.94</v>
      </c>
      <c r="AG45" s="294">
        <v>1.2</v>
      </c>
      <c r="AH45" s="290" cm="1">
        <f t="array" aca="1" ref="AH45" ca="1">INDIRECT("'"&amp;$C45&amp;"'!"&amp;"$"&amp;$D45&amp;$AH$1&amp;"")</f>
        <v>3</v>
      </c>
      <c r="AI45" s="293">
        <v>13.68</v>
      </c>
      <c r="AJ45" s="293">
        <v>0.97</v>
      </c>
      <c r="AK45" s="291">
        <v>0.60799999999999998</v>
      </c>
      <c r="AL45" s="290">
        <v>11.7</v>
      </c>
      <c r="AM45" s="294">
        <v>69.599999999999994</v>
      </c>
      <c r="AN45" s="290" cm="1">
        <f t="array" aca="1" ref="AN45" ca="1">INDIRECT("'"&amp;$C45&amp;"'!"&amp;"$"&amp;$D45&amp;$AL$1&amp;"")</f>
        <v>4</v>
      </c>
      <c r="AO45" s="293">
        <v>0.91</v>
      </c>
      <c r="AP45" s="291">
        <v>1.83</v>
      </c>
      <c r="AQ45" s="292" t="str" cm="1">
        <f t="array" aca="1" ref="AQ45" ca="1">INDIRECT("'"&amp;$C45&amp;"'!"&amp;"$"&amp;$D45&amp;$AQ$1&amp;"")</f>
        <v>CMS</v>
      </c>
      <c r="AR45" s="293" t="s">
        <v>1</v>
      </c>
      <c r="AS45" s="291" t="s">
        <v>1</v>
      </c>
      <c r="AT45" s="295">
        <v>0</v>
      </c>
      <c r="AU45" s="294">
        <v>68.97</v>
      </c>
      <c r="AV45" s="290" t="str" cm="1">
        <f t="array" aca="1" ref="AV45" ca="1">INDIRECT("'"&amp;$C45&amp;"'!"&amp;"$"&amp;$D45&amp;31&amp;"")</f>
        <v>PMS</v>
      </c>
      <c r="AW45" s="293" t="s">
        <v>1</v>
      </c>
      <c r="AX45" s="291" t="s">
        <v>1</v>
      </c>
      <c r="AY45" s="296">
        <v>68.7</v>
      </c>
      <c r="AZ45" s="295" cm="1">
        <f t="array" aca="1" ref="AZ45" ca="1">INDIRECT("'"&amp;$C45&amp;"'!"&amp;"$"&amp;$D45&amp;58&amp;"")</f>
        <v>7.9</v>
      </c>
      <c r="BA45" s="293">
        <v>0.95</v>
      </c>
      <c r="BB45" s="291">
        <v>2.5</v>
      </c>
      <c r="BC45" s="295" cm="1">
        <f t="array" aca="1" ref="BC45" ca="1">INDIRECT("'"&amp;$C45&amp;"'!"&amp;"$"&amp;$D45&amp;63&amp;"")</f>
        <v>1.08</v>
      </c>
      <c r="BD45" s="293"/>
      <c r="BE45" s="293">
        <v>0.99</v>
      </c>
      <c r="BF45" s="291">
        <v>0.15</v>
      </c>
      <c r="BG45" s="296" cm="1">
        <f t="array" aca="1" ref="BG45" ca="1">INDIRECT("'"&amp;$C45&amp;"'!"&amp;"$"&amp;$D45&amp;78&amp;"")</f>
        <v>0.81</v>
      </c>
      <c r="BH45" s="293"/>
      <c r="BI45" s="293">
        <v>0.95</v>
      </c>
      <c r="BJ45" s="291">
        <v>0.25</v>
      </c>
      <c r="BK45" s="296" cm="1">
        <f t="array" aca="1" ref="BK45" ca="1">INDIRECT("'"&amp;$C45&amp;"'!"&amp;"$"&amp;$D45&amp;74&amp;"")</f>
        <v>3.75</v>
      </c>
      <c r="BL45" s="293"/>
      <c r="BM45" s="293">
        <v>0.99</v>
      </c>
      <c r="BN45" s="291">
        <v>0.53</v>
      </c>
    </row>
    <row r="46" spans="1:66" ht="15" x14ac:dyDescent="0.2">
      <c r="A46" s="368">
        <v>45690</v>
      </c>
      <c r="B46" s="365">
        <v>0.66666666666666696</v>
      </c>
      <c r="C46" s="318">
        <v>2</v>
      </c>
      <c r="D46" s="319" t="s">
        <v>126</v>
      </c>
      <c r="E46" s="297">
        <v>14.2</v>
      </c>
      <c r="F46" s="298">
        <v>70.400000000000006</v>
      </c>
      <c r="G46" s="299" cm="1">
        <f t="array" aca="1" ref="G46" ca="1">INDIRECT("'"&amp;$C46&amp;"'!"&amp;"$"&amp;$D46&amp;$E$1&amp;"")</f>
        <v>6.7</v>
      </c>
      <c r="H46" s="300">
        <v>0.98</v>
      </c>
      <c r="I46" s="298">
        <v>1.69</v>
      </c>
      <c r="J46" s="299" cm="1">
        <f t="array" aca="1" ref="J46" ca="1">INDIRECT("'"&amp;$C46&amp;"'!"&amp;"$"&amp;$D46&amp;$J$1&amp;"")</f>
        <v>6.7</v>
      </c>
      <c r="K46" s="300"/>
      <c r="L46" s="300">
        <v>0.98</v>
      </c>
      <c r="M46" s="298">
        <v>1.69</v>
      </c>
      <c r="N46" s="299" cm="1">
        <f t="array" aca="1" ref="N46" ca="1">INDIRECT("'"&amp;$C46&amp;"'!"&amp;"$"&amp;$D46&amp;$N$1&amp;"")</f>
        <v>6.7</v>
      </c>
      <c r="O46" s="300"/>
      <c r="P46" s="300">
        <v>0.98</v>
      </c>
      <c r="Q46" s="298">
        <v>1.69</v>
      </c>
      <c r="R46" s="299" cm="1">
        <f t="array" aca="1" ref="R46" ca="1">INDIRECT("'"&amp;$C46&amp;"'!"&amp;"$"&amp;$D46&amp;$R$1&amp;"")</f>
        <v>6.7</v>
      </c>
      <c r="S46" s="300"/>
      <c r="T46" s="300">
        <v>0.98</v>
      </c>
      <c r="U46" s="298">
        <v>1.69</v>
      </c>
      <c r="V46" s="299" t="str" cm="1">
        <f t="array" aca="1" ref="V46" ca="1">INDIRECT("'"&amp;$C46&amp;"'!"&amp;"$"&amp;$D46&amp;$V$1&amp;"")</f>
        <v>CMS</v>
      </c>
      <c r="W46" s="300" t="s">
        <v>1</v>
      </c>
      <c r="X46" s="300" t="s">
        <v>1</v>
      </c>
      <c r="Y46" s="301" t="s">
        <v>1</v>
      </c>
      <c r="Z46" s="297" cm="1">
        <f t="array" aca="1" ref="Z46" ca="1">INDIRECT("'"&amp;$C46&amp;"'!"&amp;"$"&amp;$D46&amp;$Z$1&amp;"")</f>
        <v>0</v>
      </c>
      <c r="AA46" s="300" t="s">
        <v>1</v>
      </c>
      <c r="AB46" s="300" t="s">
        <v>1</v>
      </c>
      <c r="AC46" s="298" t="s">
        <v>1</v>
      </c>
      <c r="AD46" s="299" cm="1">
        <f t="array" aca="1" ref="AD46" ca="1">INDIRECT("'"&amp;$C46&amp;"'!"&amp;"$"&amp;$D46&amp;$AD$1&amp;"")</f>
        <v>3.2</v>
      </c>
      <c r="AE46" s="300">
        <f>3.8*3.56</f>
        <v>13.527999999999999</v>
      </c>
      <c r="AF46" s="300">
        <v>0.95</v>
      </c>
      <c r="AG46" s="301">
        <v>1.1000000000000001</v>
      </c>
      <c r="AH46" s="297" t="str" cm="1">
        <f t="array" aca="1" ref="AH46" ca="1">INDIRECT("'"&amp;$C46&amp;"'!"&amp;"$"&amp;$D46&amp;$AH$1&amp;"")</f>
        <v>CMS</v>
      </c>
      <c r="AI46" s="300" t="s">
        <v>1</v>
      </c>
      <c r="AJ46" s="300" t="s">
        <v>1</v>
      </c>
      <c r="AK46" s="298" t="s">
        <v>1</v>
      </c>
      <c r="AL46" s="297">
        <v>11.7</v>
      </c>
      <c r="AM46" s="301">
        <v>69.599999999999994</v>
      </c>
      <c r="AN46" s="297" cm="1">
        <f t="array" aca="1" ref="AN46" ca="1">INDIRECT("'"&amp;$C46&amp;"'!"&amp;"$"&amp;$D46&amp;$AL$1&amp;"")</f>
        <v>4</v>
      </c>
      <c r="AO46" s="300">
        <v>0.91</v>
      </c>
      <c r="AP46" s="298">
        <v>1.88</v>
      </c>
      <c r="AQ46" s="299" t="str" cm="1">
        <f t="array" aca="1" ref="AQ46" ca="1">INDIRECT("'"&amp;$C46&amp;"'!"&amp;"$"&amp;$D46&amp;$AQ$1&amp;"")</f>
        <v>CMS</v>
      </c>
      <c r="AR46" s="300" t="s">
        <v>1</v>
      </c>
      <c r="AS46" s="298" t="s">
        <v>1</v>
      </c>
      <c r="AT46" s="302">
        <v>0</v>
      </c>
      <c r="AU46" s="301">
        <v>68.97</v>
      </c>
      <c r="AV46" s="297" t="str" cm="1">
        <f t="array" aca="1" ref="AV46" ca="1">INDIRECT("'"&amp;$C46&amp;"'!"&amp;"$"&amp;$D46&amp;31&amp;"")</f>
        <v>PMS</v>
      </c>
      <c r="AW46" s="300" t="s">
        <v>1</v>
      </c>
      <c r="AX46" s="298" t="s">
        <v>1</v>
      </c>
      <c r="AY46" s="303">
        <v>69.2</v>
      </c>
      <c r="AZ46" s="302" cm="1">
        <f t="array" aca="1" ref="AZ46" ca="1">INDIRECT("'"&amp;$C46&amp;"'!"&amp;"$"&amp;$D46&amp;58&amp;"")</f>
        <v>10.600000000000001</v>
      </c>
      <c r="BA46" s="300">
        <v>0.96</v>
      </c>
      <c r="BB46" s="298">
        <v>3.4</v>
      </c>
      <c r="BC46" s="302" cm="1">
        <f t="array" aca="1" ref="BC46" ca="1">INDIRECT("'"&amp;$C46&amp;"'!"&amp;"$"&amp;$D46&amp;63&amp;"")</f>
        <v>1.07</v>
      </c>
      <c r="BD46" s="300"/>
      <c r="BE46" s="300">
        <v>0.99</v>
      </c>
      <c r="BF46" s="298">
        <v>0.15</v>
      </c>
      <c r="BG46" s="303" cm="1">
        <f t="array" aca="1" ref="BG46" ca="1">INDIRECT("'"&amp;$C46&amp;"'!"&amp;"$"&amp;$D46&amp;78&amp;"")</f>
        <v>0.93</v>
      </c>
      <c r="BH46" s="300"/>
      <c r="BI46" s="300">
        <v>0.96</v>
      </c>
      <c r="BJ46" s="298">
        <v>0.27</v>
      </c>
      <c r="BK46" s="303" cm="1">
        <f t="array" aca="1" ref="BK46" ca="1">INDIRECT("'"&amp;$C46&amp;"'!"&amp;"$"&amp;$D46&amp;74&amp;"")</f>
        <v>3.7</v>
      </c>
      <c r="BL46" s="300"/>
      <c r="BM46" s="300">
        <v>0.99</v>
      </c>
      <c r="BN46" s="298">
        <v>0.52</v>
      </c>
    </row>
    <row r="47" spans="1:66" ht="15" x14ac:dyDescent="0.2">
      <c r="A47" s="368">
        <v>45690</v>
      </c>
      <c r="B47" s="365">
        <v>0.70833333333333404</v>
      </c>
      <c r="C47" s="318">
        <v>2</v>
      </c>
      <c r="D47" s="319" t="s">
        <v>127</v>
      </c>
      <c r="E47" s="290">
        <v>14.2</v>
      </c>
      <c r="F47" s="291">
        <v>70.7</v>
      </c>
      <c r="G47" s="292" cm="1">
        <f t="array" aca="1" ref="G47" ca="1">INDIRECT("'"&amp;$C47&amp;"'!"&amp;"$"&amp;$D47&amp;$E$1&amp;"")</f>
        <v>6.6</v>
      </c>
      <c r="H47" s="293">
        <v>0.98</v>
      </c>
      <c r="I47" s="291">
        <v>1.4</v>
      </c>
      <c r="J47" s="292" cm="1">
        <f t="array" aca="1" ref="J47" ca="1">INDIRECT("'"&amp;$C47&amp;"'!"&amp;"$"&amp;$D47&amp;$J$1&amp;"")</f>
        <v>6.6</v>
      </c>
      <c r="K47" s="293"/>
      <c r="L47" s="293">
        <v>0.98</v>
      </c>
      <c r="M47" s="291">
        <v>1.4</v>
      </c>
      <c r="N47" s="292" cm="1">
        <f t="array" aca="1" ref="N47" ca="1">INDIRECT("'"&amp;$C47&amp;"'!"&amp;"$"&amp;$D47&amp;$N$1&amp;"")</f>
        <v>6.6</v>
      </c>
      <c r="O47" s="293"/>
      <c r="P47" s="293">
        <v>0.98</v>
      </c>
      <c r="Q47" s="291">
        <v>1.4</v>
      </c>
      <c r="R47" s="292" cm="1">
        <f t="array" aca="1" ref="R47" ca="1">INDIRECT("'"&amp;$C47&amp;"'!"&amp;"$"&amp;$D47&amp;$R$1&amp;"")</f>
        <v>6.6</v>
      </c>
      <c r="S47" s="293"/>
      <c r="T47" s="293">
        <v>0.98</v>
      </c>
      <c r="U47" s="291">
        <v>1.4</v>
      </c>
      <c r="V47" s="292" t="str" cm="1">
        <f t="array" aca="1" ref="V47" ca="1">INDIRECT("'"&amp;$C47&amp;"'!"&amp;"$"&amp;$D47&amp;$V$1&amp;"")</f>
        <v>CMS</v>
      </c>
      <c r="W47" s="293" t="s">
        <v>1</v>
      </c>
      <c r="X47" s="293" t="s">
        <v>1</v>
      </c>
      <c r="Y47" s="294" t="s">
        <v>1</v>
      </c>
      <c r="Z47" s="290" cm="1">
        <f t="array" aca="1" ref="Z47" ca="1">INDIRECT("'"&amp;$C47&amp;"'!"&amp;"$"&amp;$D47&amp;$Z$1&amp;"")</f>
        <v>0</v>
      </c>
      <c r="AA47" s="293" t="s">
        <v>1</v>
      </c>
      <c r="AB47" s="293" t="s">
        <v>1</v>
      </c>
      <c r="AC47" s="291" t="s">
        <v>1</v>
      </c>
      <c r="AD47" s="292" cm="1">
        <f t="array" aca="1" ref="AD47" ca="1">INDIRECT("'"&amp;$C47&amp;"'!"&amp;"$"&amp;$D47&amp;$AD$1&amp;"")</f>
        <v>3.2</v>
      </c>
      <c r="AE47" s="293">
        <f>3.8*3.58</f>
        <v>13.603999999999999</v>
      </c>
      <c r="AF47" s="293">
        <v>0.95</v>
      </c>
      <c r="AG47" s="294">
        <v>1.1100000000000001</v>
      </c>
      <c r="AH47" s="290" t="str" cm="1">
        <f t="array" aca="1" ref="AH47" ca="1">INDIRECT("'"&amp;$C47&amp;"'!"&amp;"$"&amp;$D47&amp;$AH$1&amp;"")</f>
        <v>CMS</v>
      </c>
      <c r="AI47" s="293" t="s">
        <v>1</v>
      </c>
      <c r="AJ47" s="293" t="s">
        <v>1</v>
      </c>
      <c r="AK47" s="291" t="s">
        <v>1</v>
      </c>
      <c r="AL47" s="290">
        <v>11.8</v>
      </c>
      <c r="AM47" s="294">
        <v>69.900000000000006</v>
      </c>
      <c r="AN47" s="290" cm="1">
        <f t="array" aca="1" ref="AN47" ca="1">INDIRECT("'"&amp;$C47&amp;"'!"&amp;"$"&amp;$D47&amp;$AL$1&amp;"")</f>
        <v>3.9</v>
      </c>
      <c r="AO47" s="293">
        <v>0.91</v>
      </c>
      <c r="AP47" s="291">
        <v>1.63</v>
      </c>
      <c r="AQ47" s="292" t="str" cm="1">
        <f t="array" aca="1" ref="AQ47" ca="1">INDIRECT("'"&amp;$C47&amp;"'!"&amp;"$"&amp;$D47&amp;$AQ$1&amp;"")</f>
        <v>CMS</v>
      </c>
      <c r="AR47" s="293" t="s">
        <v>1</v>
      </c>
      <c r="AS47" s="291" t="s">
        <v>1</v>
      </c>
      <c r="AT47" s="295">
        <v>0</v>
      </c>
      <c r="AU47" s="294">
        <v>68.97</v>
      </c>
      <c r="AV47" s="290" t="str" cm="1">
        <f t="array" aca="1" ref="AV47" ca="1">INDIRECT("'"&amp;$C47&amp;"'!"&amp;"$"&amp;$D47&amp;31&amp;"")</f>
        <v>PMS</v>
      </c>
      <c r="AW47" s="293" t="s">
        <v>1</v>
      </c>
      <c r="AX47" s="291" t="s">
        <v>1</v>
      </c>
      <c r="AY47" s="296">
        <v>69.5</v>
      </c>
      <c r="AZ47" s="295" cm="1">
        <f t="array" aca="1" ref="AZ47" ca="1">INDIRECT("'"&amp;$C47&amp;"'!"&amp;"$"&amp;$D47&amp;58&amp;"")</f>
        <v>10.600000000000001</v>
      </c>
      <c r="BA47" s="293">
        <v>0.96</v>
      </c>
      <c r="BB47" s="291">
        <v>3.8</v>
      </c>
      <c r="BC47" s="295" cm="1">
        <f t="array" aca="1" ref="BC47" ca="1">INDIRECT("'"&amp;$C47&amp;"'!"&amp;"$"&amp;$D47&amp;63&amp;"")</f>
        <v>1.0900000000000001</v>
      </c>
      <c r="BD47" s="293"/>
      <c r="BE47" s="293">
        <v>0.99</v>
      </c>
      <c r="BF47" s="291">
        <v>0.15</v>
      </c>
      <c r="BG47" s="296" cm="1">
        <f t="array" aca="1" ref="BG47" ca="1">INDIRECT("'"&amp;$C47&amp;"'!"&amp;"$"&amp;$D47&amp;78&amp;"")</f>
        <v>0.93</v>
      </c>
      <c r="BH47" s="293"/>
      <c r="BI47" s="293">
        <v>0.96</v>
      </c>
      <c r="BJ47" s="291">
        <v>0.27</v>
      </c>
      <c r="BK47" s="296" cm="1">
        <f t="array" aca="1" ref="BK47" ca="1">INDIRECT("'"&amp;$C47&amp;"'!"&amp;"$"&amp;$D47&amp;74&amp;"")</f>
        <v>3.71</v>
      </c>
      <c r="BL47" s="293"/>
      <c r="BM47" s="293">
        <v>0.99</v>
      </c>
      <c r="BN47" s="291">
        <v>0.51</v>
      </c>
    </row>
    <row r="48" spans="1:66" ht="15" x14ac:dyDescent="0.2">
      <c r="A48" s="368">
        <v>45690</v>
      </c>
      <c r="B48" s="365">
        <v>0.750000000000001</v>
      </c>
      <c r="C48" s="318">
        <v>2</v>
      </c>
      <c r="D48" s="319" t="s">
        <v>128</v>
      </c>
      <c r="E48" s="297">
        <v>14.3</v>
      </c>
      <c r="F48" s="298">
        <v>70.84</v>
      </c>
      <c r="G48" s="299" cm="1">
        <f t="array" aca="1" ref="G48" ca="1">INDIRECT("'"&amp;$C48&amp;"'!"&amp;"$"&amp;$D48&amp;$E$1&amp;"")</f>
        <v>6.7</v>
      </c>
      <c r="H48" s="300">
        <v>0.98</v>
      </c>
      <c r="I48" s="298">
        <v>1.25</v>
      </c>
      <c r="J48" s="299" cm="1">
        <f t="array" aca="1" ref="J48" ca="1">INDIRECT("'"&amp;$C48&amp;"'!"&amp;"$"&amp;$D48&amp;$J$1&amp;"")</f>
        <v>6.7</v>
      </c>
      <c r="K48" s="300"/>
      <c r="L48" s="300">
        <v>0.98</v>
      </c>
      <c r="M48" s="298">
        <v>1.25</v>
      </c>
      <c r="N48" s="299" cm="1">
        <f t="array" aca="1" ref="N48" ca="1">INDIRECT("'"&amp;$C48&amp;"'!"&amp;"$"&amp;$D48&amp;$N$1&amp;"")</f>
        <v>6.7</v>
      </c>
      <c r="O48" s="300"/>
      <c r="P48" s="300">
        <v>0.98</v>
      </c>
      <c r="Q48" s="298">
        <v>1.25</v>
      </c>
      <c r="R48" s="299" cm="1">
        <f t="array" aca="1" ref="R48" ca="1">INDIRECT("'"&amp;$C48&amp;"'!"&amp;"$"&amp;$D48&amp;$R$1&amp;"")</f>
        <v>6.7</v>
      </c>
      <c r="S48" s="300"/>
      <c r="T48" s="300">
        <v>0.98</v>
      </c>
      <c r="U48" s="298">
        <v>1.25</v>
      </c>
      <c r="V48" s="299" t="str" cm="1">
        <f t="array" aca="1" ref="V48" ca="1">INDIRECT("'"&amp;$C48&amp;"'!"&amp;"$"&amp;$D48&amp;$V$1&amp;"")</f>
        <v>CMS</v>
      </c>
      <c r="W48" s="300" t="s">
        <v>1</v>
      </c>
      <c r="X48" s="300" t="s">
        <v>1</v>
      </c>
      <c r="Y48" s="301" t="s">
        <v>1</v>
      </c>
      <c r="Z48" s="297" cm="1">
        <f t="array" aca="1" ref="Z48" ca="1">INDIRECT("'"&amp;$C48&amp;"'!"&amp;"$"&amp;$D48&amp;$Z$1&amp;"")</f>
        <v>0</v>
      </c>
      <c r="AA48" s="300" t="s">
        <v>1</v>
      </c>
      <c r="AB48" s="300" t="s">
        <v>1</v>
      </c>
      <c r="AC48" s="298" t="s">
        <v>1</v>
      </c>
      <c r="AD48" s="299" cm="1">
        <f t="array" aca="1" ref="AD48" ca="1">INDIRECT("'"&amp;$C48&amp;"'!"&amp;"$"&amp;$D48&amp;$AD$1&amp;"")</f>
        <v>3.2</v>
      </c>
      <c r="AE48" s="300">
        <f t="shared" ref="AE48:AE52" si="0">3.8*3.58</f>
        <v>13.603999999999999</v>
      </c>
      <c r="AF48" s="300">
        <v>0.96</v>
      </c>
      <c r="AG48" s="301">
        <v>0.93</v>
      </c>
      <c r="AH48" s="297" t="str" cm="1">
        <f t="array" aca="1" ref="AH48" ca="1">INDIRECT("'"&amp;$C48&amp;"'!"&amp;"$"&amp;$D48&amp;$AH$1&amp;"")</f>
        <v>CMS</v>
      </c>
      <c r="AI48" s="300" t="s">
        <v>1</v>
      </c>
      <c r="AJ48" s="300" t="s">
        <v>1</v>
      </c>
      <c r="AK48" s="298" t="s">
        <v>1</v>
      </c>
      <c r="AL48" s="297">
        <v>11.8</v>
      </c>
      <c r="AM48" s="301">
        <v>69.900000000000006</v>
      </c>
      <c r="AN48" s="297" cm="1">
        <f t="array" aca="1" ref="AN48" ca="1">INDIRECT("'"&amp;$C48&amp;"'!"&amp;"$"&amp;$D48&amp;$AL$1&amp;"")</f>
        <v>4</v>
      </c>
      <c r="AO48" s="300">
        <v>0.91</v>
      </c>
      <c r="AP48" s="298">
        <v>1.68</v>
      </c>
      <c r="AQ48" s="299" t="str" cm="1">
        <f t="array" aca="1" ref="AQ48" ca="1">INDIRECT("'"&amp;$C48&amp;"'!"&amp;"$"&amp;$D48&amp;$AQ$1&amp;"")</f>
        <v>CMS</v>
      </c>
      <c r="AR48" s="300" t="s">
        <v>1</v>
      </c>
      <c r="AS48" s="298" t="s">
        <v>1</v>
      </c>
      <c r="AT48" s="302">
        <v>0</v>
      </c>
      <c r="AU48" s="301">
        <v>68.97</v>
      </c>
      <c r="AV48" s="297" t="str" cm="1">
        <f t="array" aca="1" ref="AV48" ca="1">INDIRECT("'"&amp;$C48&amp;"'!"&amp;"$"&amp;$D48&amp;31&amp;"")</f>
        <v>PMS</v>
      </c>
      <c r="AW48" s="300" t="s">
        <v>1</v>
      </c>
      <c r="AX48" s="298" t="s">
        <v>1</v>
      </c>
      <c r="AY48" s="303">
        <v>69.599999999999994</v>
      </c>
      <c r="AZ48" s="302" cm="1">
        <f t="array" aca="1" ref="AZ48" ca="1">INDIRECT("'"&amp;$C48&amp;"'!"&amp;"$"&amp;$D48&amp;58&amp;"")</f>
        <v>10.499999999999996</v>
      </c>
      <c r="BA48" s="300">
        <v>0.96</v>
      </c>
      <c r="BB48" s="298">
        <v>3</v>
      </c>
      <c r="BC48" s="302" cm="1">
        <f t="array" aca="1" ref="BC48" ca="1">INDIRECT("'"&amp;$C48&amp;"'!"&amp;"$"&amp;$D48&amp;63&amp;"")</f>
        <v>1.2</v>
      </c>
      <c r="BD48" s="300"/>
      <c r="BE48" s="300">
        <v>0.99</v>
      </c>
      <c r="BF48" s="298">
        <v>0.14000000000000001</v>
      </c>
      <c r="BG48" s="303" cm="1">
        <f t="array" aca="1" ref="BG48" ca="1">INDIRECT("'"&amp;$C48&amp;"'!"&amp;"$"&amp;$D48&amp;78&amp;"")</f>
        <v>0.94</v>
      </c>
      <c r="BH48" s="300"/>
      <c r="BI48" s="300">
        <v>0.96</v>
      </c>
      <c r="BJ48" s="298">
        <v>0.26</v>
      </c>
      <c r="BK48" s="303" cm="1">
        <f t="array" aca="1" ref="BK48" ca="1">INDIRECT("'"&amp;$C48&amp;"'!"&amp;"$"&amp;$D48&amp;74&amp;"")</f>
        <v>3.698</v>
      </c>
      <c r="BL48" s="300"/>
      <c r="BM48" s="300">
        <v>0.99</v>
      </c>
      <c r="BN48" s="298">
        <v>0.52</v>
      </c>
    </row>
    <row r="49" spans="1:66" ht="15" x14ac:dyDescent="0.2">
      <c r="A49" s="368">
        <v>45690</v>
      </c>
      <c r="B49" s="365">
        <v>0.79166666666666696</v>
      </c>
      <c r="C49" s="318">
        <v>2</v>
      </c>
      <c r="D49" s="319" t="s">
        <v>129</v>
      </c>
      <c r="E49" s="290">
        <v>14.3</v>
      </c>
      <c r="F49" s="291">
        <v>70.7</v>
      </c>
      <c r="G49" s="292" cm="1">
        <f t="array" aca="1" ref="G49" ca="1">INDIRECT("'"&amp;$C49&amp;"'!"&amp;"$"&amp;$D49&amp;$E$1&amp;"")</f>
        <v>6.6</v>
      </c>
      <c r="H49" s="293">
        <v>0.99</v>
      </c>
      <c r="I49" s="291">
        <v>1.0900000000000001</v>
      </c>
      <c r="J49" s="292" cm="1">
        <f t="array" aca="1" ref="J49" ca="1">INDIRECT("'"&amp;$C49&amp;"'!"&amp;"$"&amp;$D49&amp;$J$1&amp;"")</f>
        <v>6.6</v>
      </c>
      <c r="K49" s="304"/>
      <c r="L49" s="293">
        <v>0.99</v>
      </c>
      <c r="M49" s="291">
        <v>1.0900000000000001</v>
      </c>
      <c r="N49" s="292" cm="1">
        <f t="array" aca="1" ref="N49" ca="1">INDIRECT("'"&amp;$C49&amp;"'!"&amp;"$"&amp;$D49&amp;$N$1&amp;"")</f>
        <v>6.6</v>
      </c>
      <c r="O49" s="293"/>
      <c r="P49" s="293">
        <v>0.99</v>
      </c>
      <c r="Q49" s="291">
        <v>1.0900000000000001</v>
      </c>
      <c r="R49" s="292" cm="1">
        <f t="array" aca="1" ref="R49" ca="1">INDIRECT("'"&amp;$C49&amp;"'!"&amp;"$"&amp;$D49&amp;$R$1&amp;"")</f>
        <v>6.6</v>
      </c>
      <c r="S49" s="293"/>
      <c r="T49" s="293">
        <v>0.99</v>
      </c>
      <c r="U49" s="291">
        <v>1.0900000000000001</v>
      </c>
      <c r="V49" s="292" t="str" cm="1">
        <f t="array" aca="1" ref="V49" ca="1">INDIRECT("'"&amp;$C49&amp;"'!"&amp;"$"&amp;$D49&amp;$V$1&amp;"")</f>
        <v>CMS</v>
      </c>
      <c r="W49" s="293" t="s">
        <v>1</v>
      </c>
      <c r="X49" s="293" t="s">
        <v>1</v>
      </c>
      <c r="Y49" s="294" t="s">
        <v>1</v>
      </c>
      <c r="Z49" s="290" cm="1">
        <f t="array" aca="1" ref="Z49" ca="1">INDIRECT("'"&amp;$C49&amp;"'!"&amp;"$"&amp;$D49&amp;$Z$1&amp;"")</f>
        <v>0</v>
      </c>
      <c r="AA49" s="293" t="s">
        <v>1</v>
      </c>
      <c r="AB49" s="293" t="s">
        <v>1</v>
      </c>
      <c r="AC49" s="291" t="s">
        <v>1</v>
      </c>
      <c r="AD49" s="292" cm="1">
        <f t="array" aca="1" ref="AD49" ca="1">INDIRECT("'"&amp;$C49&amp;"'!"&amp;"$"&amp;$D49&amp;$AD$1&amp;"")</f>
        <v>3.2</v>
      </c>
      <c r="AE49" s="293">
        <f>3.58*3.8</f>
        <v>13.603999999999999</v>
      </c>
      <c r="AF49" s="293">
        <v>0.96</v>
      </c>
      <c r="AG49" s="294">
        <v>0.95</v>
      </c>
      <c r="AH49" s="290" t="str" cm="1">
        <f t="array" aca="1" ref="AH49" ca="1">INDIRECT("'"&amp;$C49&amp;"'!"&amp;"$"&amp;$D49&amp;$AH$1&amp;"")</f>
        <v>CMS</v>
      </c>
      <c r="AI49" s="293" t="s">
        <v>1</v>
      </c>
      <c r="AJ49" s="293" t="s">
        <v>1</v>
      </c>
      <c r="AK49" s="291" t="s">
        <v>1</v>
      </c>
      <c r="AL49" s="290">
        <v>11.8</v>
      </c>
      <c r="AM49" s="294">
        <v>70</v>
      </c>
      <c r="AN49" s="290" cm="1">
        <f t="array" aca="1" ref="AN49" ca="1">INDIRECT("'"&amp;$C49&amp;"'!"&amp;"$"&amp;$D49&amp;$AL$1&amp;"")</f>
        <v>4.0999999999999996</v>
      </c>
      <c r="AO49" s="293">
        <v>0.93</v>
      </c>
      <c r="AP49" s="291">
        <v>1.63</v>
      </c>
      <c r="AQ49" s="292" t="str" cm="1">
        <f t="array" aca="1" ref="AQ49" ca="1">INDIRECT("'"&amp;$C49&amp;"'!"&amp;"$"&amp;$D49&amp;$AQ$1&amp;"")</f>
        <v>CMS</v>
      </c>
      <c r="AR49" s="293" t="s">
        <v>1</v>
      </c>
      <c r="AS49" s="291" t="s">
        <v>1</v>
      </c>
      <c r="AT49" s="295">
        <v>0</v>
      </c>
      <c r="AU49" s="294">
        <v>68.97</v>
      </c>
      <c r="AV49" s="290" t="str" cm="1">
        <f t="array" aca="1" ref="AV49" ca="1">INDIRECT("'"&amp;$C49&amp;"'!"&amp;"$"&amp;$D49&amp;31&amp;"")</f>
        <v>PMS</v>
      </c>
      <c r="AW49" s="293" t="s">
        <v>1</v>
      </c>
      <c r="AX49" s="291" t="s">
        <v>1</v>
      </c>
      <c r="AY49" s="296">
        <v>69.599999999999994</v>
      </c>
      <c r="AZ49" s="295" cm="1">
        <f t="array" aca="1" ref="AZ49" ca="1">INDIRECT("'"&amp;$C49&amp;"'!"&amp;"$"&amp;$D49&amp;58&amp;"")</f>
        <v>14.699999999999996</v>
      </c>
      <c r="BA49" s="293">
        <v>0.97</v>
      </c>
      <c r="BB49" s="291">
        <v>3.6</v>
      </c>
      <c r="BC49" s="295" cm="1">
        <f t="array" aca="1" ref="BC49" ca="1">INDIRECT("'"&amp;$C49&amp;"'!"&amp;"$"&amp;$D49&amp;63&amp;"")</f>
        <v>1.47</v>
      </c>
      <c r="BD49" s="293"/>
      <c r="BE49" s="293">
        <v>0.99</v>
      </c>
      <c r="BF49" s="291">
        <v>0.15</v>
      </c>
      <c r="BG49" s="296" cm="1">
        <f t="array" aca="1" ref="BG49" ca="1">INDIRECT("'"&amp;$C49&amp;"'!"&amp;"$"&amp;$D49&amp;78&amp;"")</f>
        <v>1.04</v>
      </c>
      <c r="BH49" s="293"/>
      <c r="BI49" s="293">
        <v>0.96</v>
      </c>
      <c r="BJ49" s="291">
        <v>0.27</v>
      </c>
      <c r="BK49" s="296" cm="1">
        <f t="array" aca="1" ref="BK49" ca="1">INDIRECT("'"&amp;$C49&amp;"'!"&amp;"$"&amp;$D49&amp;74&amp;"")</f>
        <v>4.2699999999999996</v>
      </c>
      <c r="BL49" s="293"/>
      <c r="BM49" s="293">
        <v>0.99</v>
      </c>
      <c r="BN49" s="291">
        <v>0.6</v>
      </c>
    </row>
    <row r="50" spans="1:66" ht="15" x14ac:dyDescent="0.2">
      <c r="A50" s="368">
        <v>45690</v>
      </c>
      <c r="B50" s="365">
        <v>0.83333333333333337</v>
      </c>
      <c r="C50" s="318">
        <v>2</v>
      </c>
      <c r="D50" s="319" t="s">
        <v>130</v>
      </c>
      <c r="E50" s="297">
        <v>14.3</v>
      </c>
      <c r="F50" s="298">
        <v>70.72</v>
      </c>
      <c r="G50" s="299" cm="1">
        <f t="array" aca="1" ref="G50" ca="1">INDIRECT("'"&amp;$C50&amp;"'!"&amp;"$"&amp;$D50&amp;$E$1&amp;"")</f>
        <v>6.6</v>
      </c>
      <c r="H50" s="300">
        <v>0.99</v>
      </c>
      <c r="I50" s="298">
        <v>0.95</v>
      </c>
      <c r="J50" s="299" cm="1">
        <f t="array" aca="1" ref="J50" ca="1">INDIRECT("'"&amp;$C50&amp;"'!"&amp;"$"&amp;$D50&amp;$J$1&amp;"")</f>
        <v>6.6</v>
      </c>
      <c r="K50" s="300"/>
      <c r="L50" s="300">
        <v>0.99</v>
      </c>
      <c r="M50" s="298">
        <v>1.1499999999999999</v>
      </c>
      <c r="N50" s="299" cm="1">
        <f t="array" aca="1" ref="N50" ca="1">INDIRECT("'"&amp;$C50&amp;"'!"&amp;"$"&amp;$D50&amp;$N$1&amp;"")</f>
        <v>6.5</v>
      </c>
      <c r="O50" s="300"/>
      <c r="P50" s="300">
        <v>0.99</v>
      </c>
      <c r="Q50" s="298">
        <v>1.08</v>
      </c>
      <c r="R50" s="299" cm="1">
        <f t="array" aca="1" ref="R50" ca="1">INDIRECT("'"&amp;$C50&amp;"'!"&amp;"$"&amp;$D50&amp;$R$1&amp;"")</f>
        <v>6.5</v>
      </c>
      <c r="S50" s="300"/>
      <c r="T50" s="300">
        <v>0.99</v>
      </c>
      <c r="U50" s="298">
        <v>1.03</v>
      </c>
      <c r="V50" s="299" t="str" cm="1">
        <f t="array" aca="1" ref="V50" ca="1">INDIRECT("'"&amp;$C50&amp;"'!"&amp;"$"&amp;$D50&amp;$V$1&amp;"")</f>
        <v>CMS</v>
      </c>
      <c r="W50" s="300" t="s">
        <v>1</v>
      </c>
      <c r="X50" s="300" t="s">
        <v>1</v>
      </c>
      <c r="Y50" s="301" t="s">
        <v>1</v>
      </c>
      <c r="Z50" s="297" cm="1">
        <f t="array" aca="1" ref="Z50" ca="1">INDIRECT("'"&amp;$C50&amp;"'!"&amp;"$"&amp;$D50&amp;$Z$1&amp;"")</f>
        <v>0</v>
      </c>
      <c r="AA50" s="300" t="s">
        <v>1</v>
      </c>
      <c r="AB50" s="300" t="s">
        <v>1</v>
      </c>
      <c r="AC50" s="298" t="s">
        <v>1</v>
      </c>
      <c r="AD50" s="299" cm="1">
        <f t="array" aca="1" ref="AD50" ca="1">INDIRECT("'"&amp;$C50&amp;"'!"&amp;"$"&amp;$D50&amp;$AD$1&amp;"")</f>
        <v>3.2</v>
      </c>
      <c r="AE50" s="300">
        <f t="shared" si="0"/>
        <v>13.603999999999999</v>
      </c>
      <c r="AF50" s="300">
        <v>0.98</v>
      </c>
      <c r="AG50" s="301">
        <v>0.63</v>
      </c>
      <c r="AH50" s="297" t="str" cm="1">
        <f t="array" aca="1" ref="AH50" ca="1">INDIRECT("'"&amp;$C50&amp;"'!"&amp;"$"&amp;$D50&amp;$AH$1&amp;"")</f>
        <v>CMS</v>
      </c>
      <c r="AI50" s="300" t="s">
        <v>1</v>
      </c>
      <c r="AJ50" s="300" t="s">
        <v>1</v>
      </c>
      <c r="AK50" s="298" t="s">
        <v>1</v>
      </c>
      <c r="AL50" s="297">
        <v>11.7</v>
      </c>
      <c r="AM50" s="301">
        <v>69.8</v>
      </c>
      <c r="AN50" s="297" cm="1">
        <f t="array" aca="1" ref="AN50" ca="1">INDIRECT("'"&amp;$C50&amp;"'!"&amp;"$"&amp;$D50&amp;$AL$1&amp;"")</f>
        <v>4.0999999999999996</v>
      </c>
      <c r="AO50" s="300">
        <v>0.92</v>
      </c>
      <c r="AP50" s="298">
        <v>1.06</v>
      </c>
      <c r="AQ50" s="299" t="str" cm="1">
        <f t="array" aca="1" ref="AQ50" ca="1">INDIRECT("'"&amp;$C50&amp;"'!"&amp;"$"&amp;$D50&amp;$AQ$1&amp;"")</f>
        <v>CMS</v>
      </c>
      <c r="AR50" s="300" t="s">
        <v>1</v>
      </c>
      <c r="AS50" s="298" t="s">
        <v>1</v>
      </c>
      <c r="AT50" s="302">
        <v>0</v>
      </c>
      <c r="AU50" s="301">
        <v>68.97</v>
      </c>
      <c r="AV50" s="297" t="str" cm="1">
        <f t="array" aca="1" ref="AV50" ca="1">INDIRECT("'"&amp;$C50&amp;"'!"&amp;"$"&amp;$D50&amp;31&amp;"")</f>
        <v>PMS</v>
      </c>
      <c r="AW50" s="300" t="s">
        <v>1</v>
      </c>
      <c r="AX50" s="298" t="s">
        <v>1</v>
      </c>
      <c r="AY50" s="303">
        <v>69.5</v>
      </c>
      <c r="AZ50" s="302" cm="1">
        <f t="array" aca="1" ref="AZ50" ca="1">INDIRECT("'"&amp;$C50&amp;"'!"&amp;"$"&amp;$D50&amp;58&amp;"")</f>
        <v>14.699999999999996</v>
      </c>
      <c r="BA50" s="300">
        <v>0.97</v>
      </c>
      <c r="BB50" s="298">
        <v>3.5</v>
      </c>
      <c r="BC50" s="302" cm="1">
        <f t="array" aca="1" ref="BC50" ca="1">INDIRECT("'"&amp;$C50&amp;"'!"&amp;"$"&amp;$D50&amp;63&amp;"")</f>
        <v>1.49</v>
      </c>
      <c r="BD50" s="300"/>
      <c r="BE50" s="300">
        <v>0.99</v>
      </c>
      <c r="BF50" s="298">
        <v>0.16</v>
      </c>
      <c r="BG50" s="303" cm="1">
        <f t="array" aca="1" ref="BG50" ca="1">INDIRECT("'"&amp;$C50&amp;"'!"&amp;"$"&amp;$D50&amp;78&amp;"")</f>
        <v>1.05</v>
      </c>
      <c r="BH50" s="300"/>
      <c r="BI50" s="300">
        <v>0.96</v>
      </c>
      <c r="BJ50" s="298">
        <v>0.27</v>
      </c>
      <c r="BK50" s="303" cm="1">
        <f t="array" aca="1" ref="BK50" ca="1">INDIRECT("'"&amp;$C50&amp;"'!"&amp;"$"&amp;$D50&amp;74&amp;"")</f>
        <v>3.9000000000000004</v>
      </c>
      <c r="BL50" s="300"/>
      <c r="BM50" s="300">
        <v>0.99</v>
      </c>
      <c r="BN50" s="298">
        <v>0.56999999999999995</v>
      </c>
    </row>
    <row r="51" spans="1:66" ht="15" x14ac:dyDescent="0.2">
      <c r="A51" s="368">
        <v>45690</v>
      </c>
      <c r="B51" s="365">
        <v>0.875000000000001</v>
      </c>
      <c r="C51" s="318">
        <v>2</v>
      </c>
      <c r="D51" s="319" t="s">
        <v>131</v>
      </c>
      <c r="E51" s="290">
        <v>14.3</v>
      </c>
      <c r="F51" s="291">
        <v>70.73</v>
      </c>
      <c r="G51" s="292" cm="1">
        <f t="array" aca="1" ref="G51" ca="1">INDIRECT("'"&amp;$C51&amp;"'!"&amp;"$"&amp;$D51&amp;$E$1&amp;"")</f>
        <v>6.6</v>
      </c>
      <c r="H51" s="293">
        <v>0.99</v>
      </c>
      <c r="I51" s="291">
        <v>0.94</v>
      </c>
      <c r="J51" s="292" cm="1">
        <f t="array" aca="1" ref="J51" ca="1">INDIRECT("'"&amp;$C51&amp;"'!"&amp;"$"&amp;$D51&amp;$J$1&amp;"")</f>
        <v>6.6</v>
      </c>
      <c r="K51" s="293"/>
      <c r="L51" s="293">
        <v>0.99</v>
      </c>
      <c r="M51" s="291">
        <v>0.95</v>
      </c>
      <c r="N51" s="292" cm="1">
        <f t="array" aca="1" ref="N51" ca="1">INDIRECT("'"&amp;$C51&amp;"'!"&amp;"$"&amp;$D51&amp;$N$1&amp;"")</f>
        <v>6.6</v>
      </c>
      <c r="O51" s="293"/>
      <c r="P51" s="293">
        <v>0.99</v>
      </c>
      <c r="Q51" s="291">
        <v>0.95</v>
      </c>
      <c r="R51" s="292" cm="1">
        <f t="array" aca="1" ref="R51" ca="1">INDIRECT("'"&amp;$C51&amp;"'!"&amp;"$"&amp;$D51&amp;$R$1&amp;"")</f>
        <v>6.6</v>
      </c>
      <c r="S51" s="293"/>
      <c r="T51" s="293">
        <v>0.99</v>
      </c>
      <c r="U51" s="291">
        <v>0.96</v>
      </c>
      <c r="V51" s="292" t="str" cm="1">
        <f t="array" aca="1" ref="V51" ca="1">INDIRECT("'"&amp;$C51&amp;"'!"&amp;"$"&amp;$D51&amp;$V$1&amp;"")</f>
        <v>CMS</v>
      </c>
      <c r="W51" s="293" t="s">
        <v>1</v>
      </c>
      <c r="X51" s="293" t="s">
        <v>1</v>
      </c>
      <c r="Y51" s="294" t="s">
        <v>1</v>
      </c>
      <c r="Z51" s="290" cm="1">
        <f t="array" aca="1" ref="Z51" ca="1">INDIRECT("'"&amp;$C51&amp;"'!"&amp;"$"&amp;$D51&amp;$Z$1&amp;"")</f>
        <v>0</v>
      </c>
      <c r="AA51" s="293" t="s">
        <v>1</v>
      </c>
      <c r="AB51" s="293" t="s">
        <v>1</v>
      </c>
      <c r="AC51" s="291" t="s">
        <v>1</v>
      </c>
      <c r="AD51" s="292" cm="1">
        <f t="array" aca="1" ref="AD51" ca="1">INDIRECT("'"&amp;$C51&amp;"'!"&amp;"$"&amp;$D51&amp;$AD$1&amp;"")</f>
        <v>3.2</v>
      </c>
      <c r="AE51" s="293">
        <f>3.59*3.8</f>
        <v>13.641999999999999</v>
      </c>
      <c r="AF51" s="293">
        <v>0.98</v>
      </c>
      <c r="AG51" s="294">
        <v>0.61</v>
      </c>
      <c r="AH51" s="290" t="str" cm="1">
        <f t="array" aca="1" ref="AH51" ca="1">INDIRECT("'"&amp;$C51&amp;"'!"&amp;"$"&amp;$D51&amp;$AH$1&amp;"")</f>
        <v>CMS</v>
      </c>
      <c r="AI51" s="293" t="s">
        <v>1</v>
      </c>
      <c r="AJ51" s="293" t="s">
        <v>1</v>
      </c>
      <c r="AK51" s="291" t="s">
        <v>1</v>
      </c>
      <c r="AL51" s="290">
        <v>11.8</v>
      </c>
      <c r="AM51" s="294">
        <v>70.099999999999994</v>
      </c>
      <c r="AN51" s="290" cm="1">
        <f t="array" aca="1" ref="AN51" ca="1">INDIRECT("'"&amp;$C51&amp;"'!"&amp;"$"&amp;$D51&amp;$AL$1&amp;"")</f>
        <v>2.2000000000000002</v>
      </c>
      <c r="AO51" s="293">
        <v>0.93</v>
      </c>
      <c r="AP51" s="291">
        <v>0.91</v>
      </c>
      <c r="AQ51" s="292" cm="1">
        <f t="array" aca="1" ref="AQ51" ca="1">INDIRECT("'"&amp;$C51&amp;"'!"&amp;"$"&amp;$D51&amp;$AQ$1&amp;"")</f>
        <v>3.5</v>
      </c>
      <c r="AR51" s="293">
        <v>0.93</v>
      </c>
      <c r="AS51" s="291">
        <v>0.5</v>
      </c>
      <c r="AT51" s="295">
        <v>0</v>
      </c>
      <c r="AU51" s="294">
        <v>68.97</v>
      </c>
      <c r="AV51" s="290" t="str" cm="1">
        <f t="array" aca="1" ref="AV51" ca="1">INDIRECT("'"&amp;$C51&amp;"'!"&amp;"$"&amp;$D51&amp;31&amp;"")</f>
        <v>PMS</v>
      </c>
      <c r="AW51" s="293" t="s">
        <v>1</v>
      </c>
      <c r="AX51" s="291" t="s">
        <v>1</v>
      </c>
      <c r="AY51" s="296">
        <v>69.900000000000006</v>
      </c>
      <c r="AZ51" s="295" cm="1">
        <f t="array" aca="1" ref="AZ51" ca="1">INDIRECT("'"&amp;$C51&amp;"'!"&amp;"$"&amp;$D51&amp;58&amp;"")</f>
        <v>12.099999999999998</v>
      </c>
      <c r="BA51" s="293">
        <v>0.97</v>
      </c>
      <c r="BB51" s="291">
        <v>3</v>
      </c>
      <c r="BC51" s="295" cm="1">
        <f t="array" aca="1" ref="BC51" ca="1">INDIRECT("'"&amp;$C51&amp;"'!"&amp;"$"&amp;$D51&amp;63&amp;"")</f>
        <v>1.36</v>
      </c>
      <c r="BD51" s="293"/>
      <c r="BE51" s="293">
        <v>0.99</v>
      </c>
      <c r="BF51" s="291">
        <v>0.14000000000000001</v>
      </c>
      <c r="BG51" s="296" cm="1">
        <f t="array" aca="1" ref="BG51" ca="1">INDIRECT("'"&amp;$C51&amp;"'!"&amp;"$"&amp;$D51&amp;78&amp;"")</f>
        <v>0.96</v>
      </c>
      <c r="BH51" s="293"/>
      <c r="BI51" s="293">
        <v>0.96</v>
      </c>
      <c r="BJ51" s="291">
        <v>0.26</v>
      </c>
      <c r="BK51" s="296" cm="1">
        <f t="array" aca="1" ref="BK51" ca="1">INDIRECT("'"&amp;$C51&amp;"'!"&amp;"$"&amp;$D51&amp;74&amp;"")</f>
        <v>4</v>
      </c>
      <c r="BL51" s="293"/>
      <c r="BM51" s="293">
        <v>0.99</v>
      </c>
      <c r="BN51" s="291">
        <v>0.97</v>
      </c>
    </row>
    <row r="52" spans="1:66" ht="15" x14ac:dyDescent="0.2">
      <c r="A52" s="368">
        <v>45690</v>
      </c>
      <c r="B52" s="365">
        <v>0.91666666666666696</v>
      </c>
      <c r="C52" s="318">
        <v>2</v>
      </c>
      <c r="D52" s="319" t="s">
        <v>132</v>
      </c>
      <c r="E52" s="297">
        <v>14.3</v>
      </c>
      <c r="F52" s="298">
        <v>70.95</v>
      </c>
      <c r="G52" s="299" cm="1">
        <f t="array" aca="1" ref="G52" ca="1">INDIRECT("'"&amp;$C52&amp;"'!"&amp;"$"&amp;$D52&amp;$E$1&amp;"")</f>
        <v>6.6</v>
      </c>
      <c r="H52" s="300">
        <v>0.99</v>
      </c>
      <c r="I52" s="298">
        <v>0.91</v>
      </c>
      <c r="J52" s="299" cm="1">
        <f t="array" aca="1" ref="J52" ca="1">INDIRECT("'"&amp;$C52&amp;"'!"&amp;"$"&amp;$D52&amp;$J$1&amp;"")</f>
        <v>6.6</v>
      </c>
      <c r="K52" s="300"/>
      <c r="L52" s="300">
        <v>0.99</v>
      </c>
      <c r="M52" s="298">
        <v>0.91</v>
      </c>
      <c r="N52" s="299" cm="1">
        <f t="array" aca="1" ref="N52" ca="1">INDIRECT("'"&amp;$C52&amp;"'!"&amp;"$"&amp;$D52&amp;$N$1&amp;"")</f>
        <v>6.6</v>
      </c>
      <c r="O52" s="300"/>
      <c r="P52" s="300">
        <v>0.99</v>
      </c>
      <c r="Q52" s="298">
        <v>0.9</v>
      </c>
      <c r="R52" s="299" cm="1">
        <f t="array" aca="1" ref="R52" ca="1">INDIRECT("'"&amp;$C52&amp;"'!"&amp;"$"&amp;$D52&amp;$R$1&amp;"")</f>
        <v>6.6</v>
      </c>
      <c r="S52" s="300"/>
      <c r="T52" s="300">
        <v>0.99</v>
      </c>
      <c r="U52" s="298">
        <v>0.93</v>
      </c>
      <c r="V52" s="299" t="str" cm="1">
        <f t="array" aca="1" ref="V52" ca="1">INDIRECT("'"&amp;$C52&amp;"'!"&amp;"$"&amp;$D52&amp;$V$1&amp;"")</f>
        <v>CMS</v>
      </c>
      <c r="W52" s="300" t="s">
        <v>1</v>
      </c>
      <c r="X52" s="300" t="s">
        <v>1</v>
      </c>
      <c r="Y52" s="301" t="s">
        <v>1</v>
      </c>
      <c r="Z52" s="297" cm="1">
        <f t="array" aca="1" ref="Z52" ca="1">INDIRECT("'"&amp;$C52&amp;"'!"&amp;"$"&amp;$D52&amp;$Z$1&amp;"")</f>
        <v>0</v>
      </c>
      <c r="AA52" s="300" t="s">
        <v>1</v>
      </c>
      <c r="AB52" s="300" t="s">
        <v>1</v>
      </c>
      <c r="AC52" s="298" t="s">
        <v>1</v>
      </c>
      <c r="AD52" s="299" cm="1">
        <f t="array" aca="1" ref="AD52" ca="1">INDIRECT("'"&amp;$C52&amp;"'!"&amp;"$"&amp;$D52&amp;$AD$1&amp;"")</f>
        <v>3.2</v>
      </c>
      <c r="AE52" s="300">
        <f t="shared" si="0"/>
        <v>13.603999999999999</v>
      </c>
      <c r="AF52" s="300">
        <v>0.99</v>
      </c>
      <c r="AG52" s="301">
        <v>0.31</v>
      </c>
      <c r="AH52" s="297" t="str" cm="1">
        <f t="array" aca="1" ref="AH52" ca="1">INDIRECT("'"&amp;$C52&amp;"'!"&amp;"$"&amp;$D52&amp;$AH$1&amp;"")</f>
        <v>CMS</v>
      </c>
      <c r="AI52" s="300" t="s">
        <v>1</v>
      </c>
      <c r="AJ52" s="300" t="s">
        <v>1</v>
      </c>
      <c r="AK52" s="298" t="s">
        <v>1</v>
      </c>
      <c r="AL52" s="297">
        <v>11.8</v>
      </c>
      <c r="AM52" s="301">
        <v>70.2</v>
      </c>
      <c r="AN52" s="297" cm="1">
        <f t="array" aca="1" ref="AN52" ca="1">INDIRECT("'"&amp;$C52&amp;"'!"&amp;"$"&amp;$D52&amp;$AL$1&amp;"")</f>
        <v>3.6</v>
      </c>
      <c r="AO52" s="300">
        <v>0.99</v>
      </c>
      <c r="AP52" s="298">
        <v>0.47</v>
      </c>
      <c r="AQ52" s="299" cm="1">
        <f t="array" aca="1" ref="AQ52" ca="1">INDIRECT("'"&amp;$C52&amp;"'!"&amp;"$"&amp;$D52&amp;$AQ$1&amp;"")</f>
        <v>3.6</v>
      </c>
      <c r="AR52" s="300">
        <v>0.99</v>
      </c>
      <c r="AS52" s="298">
        <v>0.4</v>
      </c>
      <c r="AT52" s="302">
        <v>0</v>
      </c>
      <c r="AU52" s="301">
        <v>68.97</v>
      </c>
      <c r="AV52" s="297" t="str" cm="1">
        <f t="array" aca="1" ref="AV52" ca="1">INDIRECT("'"&amp;$C52&amp;"'!"&amp;"$"&amp;$D52&amp;31&amp;"")</f>
        <v>PMS</v>
      </c>
      <c r="AW52" s="300" t="s">
        <v>1</v>
      </c>
      <c r="AX52" s="298" t="s">
        <v>1</v>
      </c>
      <c r="AY52" s="303">
        <v>69.8</v>
      </c>
      <c r="AZ52" s="302" cm="1">
        <f t="array" aca="1" ref="AZ52" ca="1">INDIRECT("'"&amp;$C52&amp;"'!"&amp;"$"&amp;$D52&amp;58&amp;"")</f>
        <v>6.4999999999999991</v>
      </c>
      <c r="BA52" s="300">
        <v>0.97</v>
      </c>
      <c r="BB52" s="298">
        <v>1.5</v>
      </c>
      <c r="BC52" s="302" cm="1">
        <f t="array" aca="1" ref="BC52" ca="1">INDIRECT("'"&amp;$C52&amp;"'!"&amp;"$"&amp;$D52&amp;63&amp;"")</f>
        <v>1.2</v>
      </c>
      <c r="BD52" s="300"/>
      <c r="BE52" s="300">
        <v>0.99</v>
      </c>
      <c r="BF52" s="298">
        <v>0.13</v>
      </c>
      <c r="BG52" s="303" cm="1">
        <f t="array" aca="1" ref="BG52" ca="1">INDIRECT("'"&amp;$C52&amp;"'!"&amp;"$"&amp;$D52&amp;78&amp;"")</f>
        <v>0.96</v>
      </c>
      <c r="BH52" s="300"/>
      <c r="BI52" s="300">
        <v>0.96</v>
      </c>
      <c r="BJ52" s="298">
        <v>0.25</v>
      </c>
      <c r="BK52" s="303" cm="1">
        <f t="array" aca="1" ref="BK52" ca="1">INDIRECT("'"&amp;$C52&amp;"'!"&amp;"$"&amp;$D52&amp;74&amp;"")</f>
        <v>3.6000000000000005</v>
      </c>
      <c r="BL52" s="300"/>
      <c r="BM52" s="300">
        <v>0.99</v>
      </c>
      <c r="BN52" s="298">
        <v>0.52</v>
      </c>
    </row>
    <row r="53" spans="1:66" ht="15.75" thickBot="1" x14ac:dyDescent="0.25">
      <c r="A53" s="369">
        <v>45690</v>
      </c>
      <c r="B53" s="366">
        <v>0.95833333333333404</v>
      </c>
      <c r="C53" s="320">
        <v>2</v>
      </c>
      <c r="D53" s="321" t="s">
        <v>133</v>
      </c>
      <c r="E53" s="305">
        <v>14.3</v>
      </c>
      <c r="F53" s="306">
        <v>70.989999999999995</v>
      </c>
      <c r="G53" s="307" cm="1">
        <f t="array" aca="1" ref="G53" ca="1">INDIRECT("'"&amp;$C53&amp;"'!"&amp;"$"&amp;$D53&amp;$E$1&amp;"")</f>
        <v>6.3</v>
      </c>
      <c r="H53" s="308">
        <v>0.99</v>
      </c>
      <c r="I53" s="306">
        <v>0.85</v>
      </c>
      <c r="J53" s="307" cm="1">
        <f t="array" aca="1" ref="J53" ca="1">INDIRECT("'"&amp;$C53&amp;"'!"&amp;"$"&amp;$D53&amp;$J$1&amp;"")</f>
        <v>6.3</v>
      </c>
      <c r="K53" s="308"/>
      <c r="L53" s="308">
        <v>0.99</v>
      </c>
      <c r="M53" s="306">
        <v>0.85</v>
      </c>
      <c r="N53" s="307" cm="1">
        <f t="array" aca="1" ref="N53" ca="1">INDIRECT("'"&amp;$C53&amp;"'!"&amp;"$"&amp;$D53&amp;$N$1&amp;"")</f>
        <v>6.3</v>
      </c>
      <c r="O53" s="308"/>
      <c r="P53" s="308">
        <v>0.99</v>
      </c>
      <c r="Q53" s="306">
        <v>0.86</v>
      </c>
      <c r="R53" s="307" cm="1">
        <f t="array" aca="1" ref="R53" ca="1">INDIRECT("'"&amp;$C53&amp;"'!"&amp;"$"&amp;$D53&amp;$R$1&amp;"")</f>
        <v>6.3</v>
      </c>
      <c r="S53" s="308"/>
      <c r="T53" s="308">
        <v>0.99</v>
      </c>
      <c r="U53" s="306">
        <v>0.85</v>
      </c>
      <c r="V53" s="307" t="str" cm="1">
        <f t="array" aca="1" ref="V53" ca="1">INDIRECT("'"&amp;$C53&amp;"'!"&amp;"$"&amp;$D53&amp;$V$1&amp;"")</f>
        <v>CMS</v>
      </c>
      <c r="W53" s="308" t="s">
        <v>1</v>
      </c>
      <c r="X53" s="308" t="s">
        <v>1</v>
      </c>
      <c r="Y53" s="309" t="s">
        <v>1</v>
      </c>
      <c r="Z53" s="305" cm="1">
        <f t="array" aca="1" ref="Z53" ca="1">INDIRECT("'"&amp;$C53&amp;"'!"&amp;"$"&amp;$D53&amp;$Z$1&amp;"")</f>
        <v>0</v>
      </c>
      <c r="AA53" s="308" t="s">
        <v>1</v>
      </c>
      <c r="AB53" s="308" t="s">
        <v>1</v>
      </c>
      <c r="AC53" s="306" t="s">
        <v>1</v>
      </c>
      <c r="AD53" s="307" cm="1">
        <f t="array" aca="1" ref="AD53" ca="1">INDIRECT("'"&amp;$C53&amp;"'!"&amp;"$"&amp;$D53&amp;$AD$1&amp;"")</f>
        <v>3.2</v>
      </c>
      <c r="AE53" s="308">
        <f>3.8*3.61</f>
        <v>13.717999999999998</v>
      </c>
      <c r="AF53" s="308">
        <v>0.99</v>
      </c>
      <c r="AG53" s="309">
        <v>0.35</v>
      </c>
      <c r="AH53" s="305" t="str" cm="1">
        <f t="array" aca="1" ref="AH53" ca="1">INDIRECT("'"&amp;$C53&amp;"'!"&amp;"$"&amp;$D53&amp;$AH$1&amp;"")</f>
        <v>CMS</v>
      </c>
      <c r="AI53" s="308" t="s">
        <v>1</v>
      </c>
      <c r="AJ53" s="308" t="s">
        <v>1</v>
      </c>
      <c r="AK53" s="306" t="s">
        <v>1</v>
      </c>
      <c r="AL53" s="305">
        <v>11.8</v>
      </c>
      <c r="AM53" s="309">
        <v>70.400000000000006</v>
      </c>
      <c r="AN53" s="305" cm="1">
        <f t="array" aca="1" ref="AN53" ca="1">INDIRECT("'"&amp;$C53&amp;"'!"&amp;"$"&amp;$D53&amp;$AL$1&amp;"")</f>
        <v>3.6</v>
      </c>
      <c r="AO53" s="308">
        <v>0.99</v>
      </c>
      <c r="AP53" s="306">
        <v>0.35</v>
      </c>
      <c r="AQ53" s="307" cm="1">
        <f t="array" aca="1" ref="AQ53" ca="1">INDIRECT("'"&amp;$C53&amp;"'!"&amp;"$"&amp;$D53&amp;$AQ$1&amp;"")</f>
        <v>3.6</v>
      </c>
      <c r="AR53" s="308">
        <v>0.99</v>
      </c>
      <c r="AS53" s="306">
        <v>0.22</v>
      </c>
      <c r="AT53" s="310">
        <v>0</v>
      </c>
      <c r="AU53" s="309">
        <v>68.97</v>
      </c>
      <c r="AV53" s="305" t="str" cm="1">
        <f t="array" aca="1" ref="AV53" ca="1">INDIRECT("'"&amp;$C53&amp;"'!"&amp;"$"&amp;$D53&amp;31&amp;"")</f>
        <v>PMS</v>
      </c>
      <c r="AW53" s="308" t="s">
        <v>1</v>
      </c>
      <c r="AX53" s="306" t="s">
        <v>1</v>
      </c>
      <c r="AY53" s="311">
        <v>69.989999999999995</v>
      </c>
      <c r="AZ53" s="310" cm="1">
        <f t="array" aca="1" ref="AZ53" ca="1">INDIRECT("'"&amp;$C53&amp;"'!"&amp;"$"&amp;$D53&amp;58&amp;"")</f>
        <v>3.2</v>
      </c>
      <c r="BA53" s="308">
        <v>0.97</v>
      </c>
      <c r="BB53" s="306">
        <v>0.79</v>
      </c>
      <c r="BC53" s="310" cm="1">
        <f t="array" aca="1" ref="BC53" ca="1">INDIRECT("'"&amp;$C53&amp;"'!"&amp;"$"&amp;$D53&amp;63&amp;"")</f>
        <v>1</v>
      </c>
      <c r="BD53" s="308"/>
      <c r="BE53" s="308">
        <v>0.99</v>
      </c>
      <c r="BF53" s="306">
        <v>0.12</v>
      </c>
      <c r="BG53" s="311" cm="1">
        <f t="array" aca="1" ref="BG53" ca="1">INDIRECT("'"&amp;$C53&amp;"'!"&amp;"$"&amp;$D53&amp;78&amp;"")</f>
        <v>0.93</v>
      </c>
      <c r="BH53" s="308"/>
      <c r="BI53" s="308">
        <v>0.97</v>
      </c>
      <c r="BJ53" s="306">
        <v>0.25</v>
      </c>
      <c r="BK53" s="311" cm="1">
        <f t="array" aca="1" ref="BK53" ca="1">INDIRECT("'"&amp;$C53&amp;"'!"&amp;"$"&amp;$D53&amp;74&amp;"")</f>
        <v>3.2</v>
      </c>
      <c r="BL53" s="308"/>
      <c r="BM53" s="308">
        <v>0.99</v>
      </c>
      <c r="BN53" s="306">
        <v>0.43</v>
      </c>
    </row>
    <row r="54" spans="1:66" ht="8.1" customHeight="1" thickBot="1" x14ac:dyDescent="0.25">
      <c r="AY54" s="314"/>
      <c r="AZ54" s="314"/>
    </row>
    <row r="55" spans="1:66" ht="15.75" thickBot="1" x14ac:dyDescent="0.25">
      <c r="A55" s="367">
        <v>45691</v>
      </c>
      <c r="B55" s="364">
        <v>0</v>
      </c>
      <c r="C55" s="315">
        <v>3</v>
      </c>
      <c r="D55" s="316" t="s">
        <v>110</v>
      </c>
      <c r="E55" s="284">
        <v>14.2</v>
      </c>
      <c r="F55" s="285">
        <v>70.400000000000006</v>
      </c>
      <c r="G55" s="286" cm="1">
        <f t="array" aca="1" ref="G55" ca="1">INDIRECT("'"&amp;$C55&amp;"'!"&amp;"$"&amp;$D55&amp;$E$1&amp;"")</f>
        <v>6.7</v>
      </c>
      <c r="H55" s="287">
        <v>0.99</v>
      </c>
      <c r="I55" s="285">
        <v>0.89</v>
      </c>
      <c r="J55" s="286" cm="1">
        <f t="array" aca="1" ref="J55" ca="1">INDIRECT("'"&amp;$C55&amp;"'!"&amp;"$"&amp;$D55&amp;$J$1&amp;"")</f>
        <v>6.7</v>
      </c>
      <c r="K55" s="287"/>
      <c r="L55" s="287">
        <v>0.99</v>
      </c>
      <c r="M55" s="285">
        <v>0.88</v>
      </c>
      <c r="N55" s="286" cm="1">
        <f t="array" aca="1" ref="N55" ca="1">INDIRECT("'"&amp;$C55&amp;"'!"&amp;"$"&amp;$D55&amp;$N$1&amp;"")</f>
        <v>6.6</v>
      </c>
      <c r="O55" s="287"/>
      <c r="P55" s="287">
        <v>0.99</v>
      </c>
      <c r="Q55" s="285">
        <v>0.9</v>
      </c>
      <c r="R55" s="286" cm="1">
        <f t="array" aca="1" ref="R55" ca="1">INDIRECT("'"&amp;$C55&amp;"'!"&amp;"$"&amp;$D55&amp;$R$1&amp;"")</f>
        <v>6.6</v>
      </c>
      <c r="S55" s="287"/>
      <c r="T55" s="287">
        <v>0.99</v>
      </c>
      <c r="U55" s="285">
        <v>0.86</v>
      </c>
      <c r="V55" s="286" t="str" cm="1">
        <f t="array" aca="1" ref="V55" ca="1">INDIRECT("'"&amp;$C55&amp;"'!"&amp;"$"&amp;$D55&amp;$V$1&amp;"")</f>
        <v>CMS</v>
      </c>
      <c r="W55" s="287" t="s">
        <v>1</v>
      </c>
      <c r="X55" s="287" t="s">
        <v>1</v>
      </c>
      <c r="Y55" s="288" t="s">
        <v>1</v>
      </c>
      <c r="Z55" s="284" cm="1">
        <f t="array" aca="1" ref="Z55" ca="1">INDIRECT("'"&amp;$C55&amp;"'!"&amp;"$"&amp;$D55&amp;$Z$1&amp;"")</f>
        <v>0</v>
      </c>
      <c r="AA55" s="287" t="s">
        <v>1</v>
      </c>
      <c r="AB55" s="287" t="s">
        <v>1</v>
      </c>
      <c r="AC55" s="285" t="s">
        <v>1</v>
      </c>
      <c r="AD55" s="286" cm="1">
        <f t="array" aca="1" ref="AD55" ca="1">INDIRECT("'"&amp;$C55&amp;"'!"&amp;"$"&amp;$D55&amp;$AD$1&amp;"")</f>
        <v>3.2</v>
      </c>
      <c r="AE55" s="287">
        <f>3.8*3.61</f>
        <v>13.717999999999998</v>
      </c>
      <c r="AF55" s="287">
        <v>0.99</v>
      </c>
      <c r="AG55" s="285">
        <v>0.34</v>
      </c>
      <c r="AH55" s="284" t="str" cm="1">
        <f t="array" aca="1" ref="AH55" ca="1">INDIRECT("'"&amp;$C55&amp;"'!"&amp;"$"&amp;$D55&amp;$AH$1&amp;"")</f>
        <v>CMS</v>
      </c>
      <c r="AI55" s="287" t="s">
        <v>1</v>
      </c>
      <c r="AJ55" s="287" t="s">
        <v>1</v>
      </c>
      <c r="AK55" s="285" t="s">
        <v>1</v>
      </c>
      <c r="AL55" s="284">
        <v>11.8</v>
      </c>
      <c r="AM55" s="288">
        <v>70.099999999999994</v>
      </c>
      <c r="AN55" s="284" cm="1">
        <f t="array" aca="1" ref="AN55" ca="1">INDIRECT("'"&amp;$C55&amp;"'!"&amp;"$"&amp;$D55&amp;$AL$1&amp;"")</f>
        <v>3</v>
      </c>
      <c r="AO55" s="287">
        <v>0.99</v>
      </c>
      <c r="AP55" s="285">
        <v>0.51</v>
      </c>
      <c r="AQ55" s="286" cm="1">
        <f t="array" aca="1" ref="AQ55" ca="1">INDIRECT("'"&amp;$C55&amp;"'!"&amp;"$"&amp;$D55&amp;$AQ$1&amp;"")</f>
        <v>3</v>
      </c>
      <c r="AR55" s="287">
        <v>0.99</v>
      </c>
      <c r="AS55" s="285">
        <v>0.43</v>
      </c>
      <c r="AT55" s="289">
        <v>0</v>
      </c>
      <c r="AU55" s="288">
        <v>69.5</v>
      </c>
      <c r="AV55" s="284" t="str" cm="1">
        <f t="array" aca="1" ref="AV55" ca="1">INDIRECT("'"&amp;$C55&amp;"'!"&amp;"$"&amp;$D55&amp;31&amp;"")</f>
        <v>PMS</v>
      </c>
      <c r="AW55" s="287" t="s">
        <v>1</v>
      </c>
      <c r="AX55" s="285" t="s">
        <v>1</v>
      </c>
      <c r="AY55" s="317">
        <v>68.97</v>
      </c>
      <c r="AZ55" s="289" cm="1">
        <f t="array" aca="1" ref="AZ55" ca="1">INDIRECT("'"&amp;$C55&amp;"'!"&amp;"$"&amp;$D55&amp;58&amp;"")</f>
        <v>0</v>
      </c>
      <c r="BA55" s="287" t="s">
        <v>1</v>
      </c>
      <c r="BB55" s="285" t="s">
        <v>1</v>
      </c>
      <c r="BC55" s="289" cm="1">
        <f t="array" aca="1" ref="BC55" ca="1">INDIRECT("'"&amp;$C55&amp;"'!"&amp;"$"&amp;$D55&amp;63&amp;"")</f>
        <v>0.91</v>
      </c>
      <c r="BD55" s="287"/>
      <c r="BE55" s="287">
        <v>0.99</v>
      </c>
      <c r="BF55" s="285">
        <v>0.12</v>
      </c>
      <c r="BG55" s="381" cm="1">
        <f t="array" aca="1" ref="BG55" ca="1">INDIRECT("'"&amp;$C55&amp;"'!"&amp;"$"&amp;$D55&amp;78&amp;"")</f>
        <v>0.83</v>
      </c>
      <c r="BH55" s="287"/>
      <c r="BI55" s="287">
        <v>0.96</v>
      </c>
      <c r="BJ55" s="285">
        <v>0.22</v>
      </c>
      <c r="BK55" s="381" cm="1">
        <f t="array" aca="1" ref="BK55" ca="1">INDIRECT("'"&amp;$C55&amp;"'!"&amp;"$"&amp;$D55&amp;74&amp;"")</f>
        <v>3</v>
      </c>
      <c r="BL55" s="287"/>
      <c r="BM55" s="287">
        <v>0.99</v>
      </c>
      <c r="BN55" s="285">
        <v>0.42</v>
      </c>
    </row>
    <row r="56" spans="1:66" ht="15.75" thickBot="1" x14ac:dyDescent="0.25">
      <c r="A56" s="368">
        <v>45691</v>
      </c>
      <c r="B56" s="365">
        <v>4.1666666666666699E-2</v>
      </c>
      <c r="C56" s="315">
        <v>3</v>
      </c>
      <c r="D56" s="319" t="s">
        <v>111</v>
      </c>
      <c r="E56" s="290">
        <v>14.2</v>
      </c>
      <c r="F56" s="291">
        <v>70.87</v>
      </c>
      <c r="G56" s="292" cm="1">
        <f t="array" aca="1" ref="G56" ca="1">INDIRECT("'"&amp;$C56&amp;"'!"&amp;"$"&amp;$D56&amp;$E$1&amp;"")</f>
        <v>6.6</v>
      </c>
      <c r="H56" s="293">
        <v>1</v>
      </c>
      <c r="I56" s="291">
        <v>0</v>
      </c>
      <c r="J56" s="292" cm="1">
        <f t="array" aca="1" ref="J56" ca="1">INDIRECT("'"&amp;$C56&amp;"'!"&amp;"$"&amp;$D56&amp;$J$1&amp;"")</f>
        <v>0</v>
      </c>
      <c r="K56" s="293"/>
      <c r="L56" s="293" t="s">
        <v>1</v>
      </c>
      <c r="M56" s="291" t="s">
        <v>1</v>
      </c>
      <c r="N56" s="292" cm="1">
        <f t="array" aca="1" ref="N56" ca="1">INDIRECT("'"&amp;$C56&amp;"'!"&amp;"$"&amp;$D56&amp;$N$1&amp;"")</f>
        <v>6.6</v>
      </c>
      <c r="O56" s="293"/>
      <c r="P56" s="293">
        <v>1</v>
      </c>
      <c r="Q56" s="291">
        <v>0</v>
      </c>
      <c r="R56" s="292" cm="1">
        <f t="array" aca="1" ref="R56" ca="1">INDIRECT("'"&amp;$C56&amp;"'!"&amp;"$"&amp;$D56&amp;$R$1&amp;"")</f>
        <v>6.6</v>
      </c>
      <c r="S56" s="293"/>
      <c r="T56" s="293">
        <v>1</v>
      </c>
      <c r="U56" s="291">
        <v>0</v>
      </c>
      <c r="V56" s="292" t="str" cm="1">
        <f t="array" aca="1" ref="V56" ca="1">INDIRECT("'"&amp;$C56&amp;"'!"&amp;"$"&amp;$D56&amp;$V$1&amp;"")</f>
        <v>CMS</v>
      </c>
      <c r="W56" s="293" t="s">
        <v>1</v>
      </c>
      <c r="X56" s="293" t="s">
        <v>1</v>
      </c>
      <c r="Y56" s="294" t="s">
        <v>1</v>
      </c>
      <c r="Z56" s="290" cm="1">
        <f t="array" aca="1" ref="Z56" ca="1">INDIRECT("'"&amp;$C56&amp;"'!"&amp;"$"&amp;$D56&amp;$Z$1&amp;"")</f>
        <v>0</v>
      </c>
      <c r="AA56" s="293" t="s">
        <v>1</v>
      </c>
      <c r="AB56" s="293" t="s">
        <v>1</v>
      </c>
      <c r="AC56" s="291" t="s">
        <v>1</v>
      </c>
      <c r="AD56" s="292" cm="1">
        <f t="array" aca="1" ref="AD56" ca="1">INDIRECT("'"&amp;$C56&amp;"'!"&amp;"$"&amp;$D56&amp;$AD$1&amp;"")</f>
        <v>3.2</v>
      </c>
      <c r="AE56" s="293">
        <f>3.8*3.64</f>
        <v>13.831999999999999</v>
      </c>
      <c r="AF56" s="293">
        <v>1</v>
      </c>
      <c r="AG56" s="294">
        <v>0.14000000000000001</v>
      </c>
      <c r="AH56" s="290" t="str" cm="1">
        <f t="array" aca="1" ref="AH56" ca="1">INDIRECT("'"&amp;$C56&amp;"'!"&amp;"$"&amp;$D56&amp;$AH$1&amp;"")</f>
        <v>CMS</v>
      </c>
      <c r="AI56" s="293" t="s">
        <v>1</v>
      </c>
      <c r="AJ56" s="293" t="s">
        <v>1</v>
      </c>
      <c r="AK56" s="291" t="s">
        <v>1</v>
      </c>
      <c r="AL56" s="290">
        <v>11.8</v>
      </c>
      <c r="AM56" s="294">
        <v>70.5</v>
      </c>
      <c r="AN56" s="290" cm="1">
        <f t="array" aca="1" ref="AN56" ca="1">INDIRECT("'"&amp;$C56&amp;"'!"&amp;"$"&amp;$D56&amp;$AL$1&amp;"")</f>
        <v>4</v>
      </c>
      <c r="AO56" s="293">
        <v>1</v>
      </c>
      <c r="AP56" s="291">
        <v>0</v>
      </c>
      <c r="AQ56" s="292" cm="1">
        <f t="array" aca="1" ref="AQ56" ca="1">INDIRECT("'"&amp;$C56&amp;"'!"&amp;"$"&amp;$D56&amp;$AQ$1&amp;"")</f>
        <v>4</v>
      </c>
      <c r="AR56" s="293">
        <v>1</v>
      </c>
      <c r="AS56" s="291">
        <v>0</v>
      </c>
      <c r="AT56" s="295">
        <v>0</v>
      </c>
      <c r="AU56" s="294">
        <v>70.040000000000006</v>
      </c>
      <c r="AV56" s="290" t="str" cm="1">
        <f t="array" aca="1" ref="AV56" ca="1">INDIRECT("'"&amp;$C56&amp;"'!"&amp;"$"&amp;$D56&amp;31&amp;"")</f>
        <v>PMS</v>
      </c>
      <c r="AW56" s="293" t="s">
        <v>1</v>
      </c>
      <c r="AX56" s="291" t="s">
        <v>1</v>
      </c>
      <c r="AY56" s="296">
        <v>69.900000000000006</v>
      </c>
      <c r="AZ56" s="295" cm="1">
        <f t="array" aca="1" ref="AZ56" ca="1">INDIRECT("'"&amp;$C56&amp;"'!"&amp;"$"&amp;$D56&amp;58&amp;"")</f>
        <v>2.2999999999999998</v>
      </c>
      <c r="BA56" s="293">
        <v>0.97</v>
      </c>
      <c r="BB56" s="291">
        <v>0.36</v>
      </c>
      <c r="BC56" s="295" cm="1">
        <f t="array" aca="1" ref="BC56" ca="1">INDIRECT("'"&amp;$C56&amp;"'!"&amp;"$"&amp;$D56&amp;63&amp;"")</f>
        <v>0.8</v>
      </c>
      <c r="BD56" s="293"/>
      <c r="BE56" s="293">
        <v>0.99</v>
      </c>
      <c r="BF56" s="291">
        <v>0.11</v>
      </c>
      <c r="BG56" s="296" cm="1">
        <f t="array" aca="1" ref="BG56" ca="1">INDIRECT("'"&amp;$C56&amp;"'!"&amp;"$"&amp;$D56&amp;78&amp;"")</f>
        <v>0.79</v>
      </c>
      <c r="BH56" s="293"/>
      <c r="BI56" s="293">
        <v>0.96</v>
      </c>
      <c r="BJ56" s="291">
        <v>0.21</v>
      </c>
      <c r="BK56" s="296" cm="1">
        <f t="array" aca="1" ref="BK56" ca="1">INDIRECT("'"&amp;$C56&amp;"'!"&amp;"$"&amp;$D56&amp;74&amp;"")</f>
        <v>2.8</v>
      </c>
      <c r="BL56" s="293"/>
      <c r="BM56" s="293">
        <v>0.99</v>
      </c>
      <c r="BN56" s="291">
        <v>0.4</v>
      </c>
    </row>
    <row r="57" spans="1:66" ht="15.75" thickBot="1" x14ac:dyDescent="0.25">
      <c r="A57" s="368">
        <v>45691</v>
      </c>
      <c r="B57" s="365">
        <v>8.3333333333333301E-2</v>
      </c>
      <c r="C57" s="315">
        <v>3</v>
      </c>
      <c r="D57" s="319" t="s">
        <v>112</v>
      </c>
      <c r="E57" s="297">
        <v>14.1</v>
      </c>
      <c r="F57" s="298">
        <v>70.59</v>
      </c>
      <c r="G57" s="299" cm="1">
        <f t="array" aca="1" ref="G57" ca="1">INDIRECT("'"&amp;$C57&amp;"'!"&amp;"$"&amp;$D57&amp;$E$1&amp;"")</f>
        <v>6.6</v>
      </c>
      <c r="H57" s="300">
        <v>1</v>
      </c>
      <c r="I57" s="298">
        <v>0</v>
      </c>
      <c r="J57" s="299" cm="1">
        <f t="array" aca="1" ref="J57" ca="1">INDIRECT("'"&amp;$C57&amp;"'!"&amp;"$"&amp;$D57&amp;$J$1&amp;"")</f>
        <v>6.6</v>
      </c>
      <c r="K57" s="300"/>
      <c r="L57" s="300">
        <v>1</v>
      </c>
      <c r="M57" s="298">
        <v>0</v>
      </c>
      <c r="N57" s="299" cm="1">
        <f t="array" aca="1" ref="N57" ca="1">INDIRECT("'"&amp;$C57&amp;"'!"&amp;"$"&amp;$D57&amp;$N$1&amp;"")</f>
        <v>0</v>
      </c>
      <c r="O57" s="300"/>
      <c r="P57" s="300" t="s">
        <v>1</v>
      </c>
      <c r="Q57" s="298" t="s">
        <v>1</v>
      </c>
      <c r="R57" s="299" cm="1">
        <f t="array" aca="1" ref="R57" ca="1">INDIRECT("'"&amp;$C57&amp;"'!"&amp;"$"&amp;$D57&amp;$R$1&amp;"")</f>
        <v>6.6</v>
      </c>
      <c r="S57" s="300"/>
      <c r="T57" s="300">
        <v>1</v>
      </c>
      <c r="U57" s="298">
        <v>0</v>
      </c>
      <c r="V57" s="299" t="str" cm="1">
        <f t="array" aca="1" ref="V57" ca="1">INDIRECT("'"&amp;$C57&amp;"'!"&amp;"$"&amp;$D57&amp;$V$1&amp;"")</f>
        <v>CMS</v>
      </c>
      <c r="W57" s="300" t="s">
        <v>1</v>
      </c>
      <c r="X57" s="300" t="s">
        <v>1</v>
      </c>
      <c r="Y57" s="301" t="s">
        <v>1</v>
      </c>
      <c r="Z57" s="297">
        <v>0</v>
      </c>
      <c r="AA57" s="300" t="s">
        <v>1</v>
      </c>
      <c r="AB57" s="300" t="s">
        <v>1</v>
      </c>
      <c r="AC57" s="298" t="s">
        <v>1</v>
      </c>
      <c r="AD57" s="299" cm="1">
        <f t="array" aca="1" ref="AD57" ca="1">INDIRECT("'"&amp;$C57&amp;"'!"&amp;"$"&amp;$D57&amp;$AD$1&amp;"")</f>
        <v>3.2</v>
      </c>
      <c r="AE57" s="300">
        <f>3.8*3.64</f>
        <v>13.831999999999999</v>
      </c>
      <c r="AF57" s="300">
        <v>1</v>
      </c>
      <c r="AG57" s="301">
        <v>0.12</v>
      </c>
      <c r="AH57" s="297" t="str" cm="1">
        <f t="array" aca="1" ref="AH57" ca="1">INDIRECT("'"&amp;$C57&amp;"'!"&amp;"$"&amp;$D57&amp;$AH$1&amp;"")</f>
        <v>CMS</v>
      </c>
      <c r="AI57" s="300" t="s">
        <v>1</v>
      </c>
      <c r="AJ57" s="300" t="s">
        <v>1</v>
      </c>
      <c r="AK57" s="298" t="s">
        <v>1</v>
      </c>
      <c r="AL57" s="297">
        <v>11.8</v>
      </c>
      <c r="AM57" s="301">
        <v>70.3</v>
      </c>
      <c r="AN57" s="297" cm="1">
        <f t="array" aca="1" ref="AN57" ca="1">INDIRECT("'"&amp;$C57&amp;"'!"&amp;"$"&amp;$D57&amp;$AL$1&amp;"")</f>
        <v>4</v>
      </c>
      <c r="AO57" s="300">
        <v>0.99</v>
      </c>
      <c r="AP57" s="298">
        <v>0.33900000000000002</v>
      </c>
      <c r="AQ57" s="299" cm="1">
        <f t="array" aca="1" ref="AQ57" ca="1">INDIRECT("'"&amp;$C57&amp;"'!"&amp;"$"&amp;$D57&amp;$AQ$1&amp;"")</f>
        <v>4</v>
      </c>
      <c r="AR57" s="300">
        <v>0.99</v>
      </c>
      <c r="AS57" s="298">
        <v>0.30099999999999999</v>
      </c>
      <c r="AT57" s="302">
        <v>0</v>
      </c>
      <c r="AU57" s="301">
        <v>70</v>
      </c>
      <c r="AV57" s="297" t="str" cm="1">
        <f t="array" aca="1" ref="AV57" ca="1">INDIRECT("'"&amp;$C57&amp;"'!"&amp;"$"&amp;$D57&amp;31&amp;"")</f>
        <v>PMS</v>
      </c>
      <c r="AW57" s="300" t="s">
        <v>1</v>
      </c>
      <c r="AX57" s="298" t="s">
        <v>1</v>
      </c>
      <c r="AY57" s="303">
        <v>69.599999999999994</v>
      </c>
      <c r="AZ57" s="302" cm="1">
        <f t="array" aca="1" ref="AZ57" ca="1">INDIRECT("'"&amp;$C57&amp;"'!"&amp;"$"&amp;$D57&amp;58&amp;"")</f>
        <v>0.8</v>
      </c>
      <c r="BA57" s="300">
        <v>0.97</v>
      </c>
      <c r="BB57" s="298">
        <v>0.22</v>
      </c>
      <c r="BC57" s="302" cm="1">
        <f t="array" aca="1" ref="BC57" ca="1">INDIRECT("'"&amp;$C57&amp;"'!"&amp;"$"&amp;$D57&amp;63&amp;"")</f>
        <v>0.77</v>
      </c>
      <c r="BD57" s="300"/>
      <c r="BE57" s="300">
        <v>0.99</v>
      </c>
      <c r="BF57" s="298">
        <v>0.09</v>
      </c>
      <c r="BG57" s="303" cm="1">
        <f t="array" aca="1" ref="BG57" ca="1">INDIRECT("'"&amp;$C57&amp;"'!"&amp;"$"&amp;$D57&amp;78&amp;"")</f>
        <v>0.76</v>
      </c>
      <c r="BH57" s="300"/>
      <c r="BI57" s="300">
        <v>0.96</v>
      </c>
      <c r="BJ57" s="298">
        <v>0.2</v>
      </c>
      <c r="BK57" s="303" cm="1">
        <f t="array" aca="1" ref="BK57" ca="1">INDIRECT("'"&amp;$C57&amp;"'!"&amp;"$"&amp;$D57&amp;74&amp;"")</f>
        <v>2.6</v>
      </c>
      <c r="BL57" s="300"/>
      <c r="BM57" s="300">
        <v>0.99</v>
      </c>
      <c r="BN57" s="298">
        <v>0.37</v>
      </c>
    </row>
    <row r="58" spans="1:66" ht="15.75" thickBot="1" x14ac:dyDescent="0.25">
      <c r="A58" s="368">
        <v>45691</v>
      </c>
      <c r="B58" s="365">
        <v>0.125</v>
      </c>
      <c r="C58" s="315">
        <v>3</v>
      </c>
      <c r="D58" s="319" t="s">
        <v>113</v>
      </c>
      <c r="E58" s="290">
        <v>14.2</v>
      </c>
      <c r="F58" s="291">
        <v>70.67</v>
      </c>
      <c r="G58" s="292" cm="1">
        <f t="array" aca="1" ref="G58" ca="1">INDIRECT("'"&amp;$C58&amp;"'!"&amp;"$"&amp;$D58&amp;$E$1&amp;"")</f>
        <v>6.7</v>
      </c>
      <c r="H58" s="293">
        <v>1</v>
      </c>
      <c r="I58" s="291">
        <v>0</v>
      </c>
      <c r="J58" s="292" cm="1">
        <f t="array" aca="1" ref="J58" ca="1">INDIRECT("'"&amp;$C58&amp;"'!"&amp;"$"&amp;$D58&amp;$J$1&amp;"")</f>
        <v>6.7</v>
      </c>
      <c r="K58" s="293"/>
      <c r="L58" s="293">
        <v>1</v>
      </c>
      <c r="M58" s="291">
        <v>0</v>
      </c>
      <c r="N58" s="292" cm="1">
        <f t="array" aca="1" ref="N58" ca="1">INDIRECT("'"&amp;$C58&amp;"'!"&amp;"$"&amp;$D58&amp;$N$1&amp;"")</f>
        <v>0</v>
      </c>
      <c r="O58" s="293"/>
      <c r="P58" s="293" t="s">
        <v>1</v>
      </c>
      <c r="Q58" s="291" t="s">
        <v>1</v>
      </c>
      <c r="R58" s="292" cm="1">
        <f t="array" aca="1" ref="R58" ca="1">INDIRECT("'"&amp;$C58&amp;"'!"&amp;"$"&amp;$D58&amp;$R$1&amp;"")</f>
        <v>6.7</v>
      </c>
      <c r="S58" s="293"/>
      <c r="T58" s="293">
        <v>1</v>
      </c>
      <c r="U58" s="291">
        <v>0</v>
      </c>
      <c r="V58" s="292" t="str" cm="1">
        <f t="array" aca="1" ref="V58" ca="1">INDIRECT("'"&amp;$C58&amp;"'!"&amp;"$"&amp;$D58&amp;$V$1&amp;"")</f>
        <v>CMS</v>
      </c>
      <c r="W58" s="293" t="s">
        <v>1</v>
      </c>
      <c r="X58" s="293" t="s">
        <v>1</v>
      </c>
      <c r="Y58" s="294" t="s">
        <v>1</v>
      </c>
      <c r="Z58" s="290" cm="1">
        <f t="array" aca="1" ref="Z58" ca="1">INDIRECT("'"&amp;$C58&amp;"'!"&amp;"$"&amp;$D58&amp;$Z$1&amp;"")</f>
        <v>0</v>
      </c>
      <c r="AA58" s="293" t="s">
        <v>1</v>
      </c>
      <c r="AB58" s="293" t="s">
        <v>1</v>
      </c>
      <c r="AC58" s="291" t="s">
        <v>1</v>
      </c>
      <c r="AD58" s="292" cm="1">
        <f t="array" aca="1" ref="AD58" ca="1">INDIRECT("'"&amp;$C58&amp;"'!"&amp;"$"&amp;$D58&amp;$AD$1&amp;"")</f>
        <v>3.2</v>
      </c>
      <c r="AE58" s="293">
        <f>3.8*3.63</f>
        <v>13.793999999999999</v>
      </c>
      <c r="AF58" s="293">
        <v>1</v>
      </c>
      <c r="AG58" s="294">
        <v>0.11</v>
      </c>
      <c r="AH58" s="290" t="str" cm="1">
        <f t="array" aca="1" ref="AH58" ca="1">INDIRECT("'"&amp;$C58&amp;"'!"&amp;"$"&amp;$D58&amp;$AH$1&amp;"")</f>
        <v>CMS</v>
      </c>
      <c r="AI58" s="293" t="s">
        <v>1</v>
      </c>
      <c r="AJ58" s="293" t="s">
        <v>1</v>
      </c>
      <c r="AK58" s="291" t="s">
        <v>1</v>
      </c>
      <c r="AL58" s="290">
        <v>11.8</v>
      </c>
      <c r="AM58" s="294">
        <v>70.400000000000006</v>
      </c>
      <c r="AN58" s="290" cm="1">
        <f t="array" aca="1" ref="AN58" ca="1">INDIRECT("'"&amp;$C58&amp;"'!"&amp;"$"&amp;$D58&amp;$AL$1&amp;"")</f>
        <v>3.8</v>
      </c>
      <c r="AO58" s="293">
        <v>0.99</v>
      </c>
      <c r="AP58" s="291">
        <v>0.3</v>
      </c>
      <c r="AQ58" s="292" cm="1">
        <f t="array" aca="1" ref="AQ58" ca="1">INDIRECT("'"&amp;$C58&amp;"'!"&amp;"$"&amp;$D58&amp;$AQ$1&amp;"")</f>
        <v>3.8</v>
      </c>
      <c r="AR58" s="293">
        <v>0.99</v>
      </c>
      <c r="AS58" s="291">
        <v>0.15</v>
      </c>
      <c r="AT58" s="295">
        <v>0</v>
      </c>
      <c r="AU58" s="294">
        <v>70</v>
      </c>
      <c r="AV58" s="290" t="str" cm="1">
        <f t="array" aca="1" ref="AV58" ca="1">INDIRECT("'"&amp;$C58&amp;"'!"&amp;"$"&amp;$D58&amp;31&amp;"")</f>
        <v>PMS</v>
      </c>
      <c r="AW58" s="293" t="s">
        <v>1</v>
      </c>
      <c r="AX58" s="291" t="s">
        <v>1</v>
      </c>
      <c r="AY58" s="296">
        <v>69.7</v>
      </c>
      <c r="AZ58" s="295" cm="1">
        <f t="array" aca="1" ref="AZ58" ca="1">INDIRECT("'"&amp;$C58&amp;"'!"&amp;"$"&amp;$D58&amp;58&amp;"")</f>
        <v>0</v>
      </c>
      <c r="BA58" s="293" t="s">
        <v>1</v>
      </c>
      <c r="BB58" s="291" t="s">
        <v>1</v>
      </c>
      <c r="BC58" s="295" cm="1">
        <f t="array" aca="1" ref="BC58" ca="1">INDIRECT("'"&amp;$C58&amp;"'!"&amp;"$"&amp;$D58&amp;63&amp;"")</f>
        <v>0.76</v>
      </c>
      <c r="BD58" s="293"/>
      <c r="BE58" s="293">
        <v>0.99</v>
      </c>
      <c r="BF58" s="291">
        <v>0.09</v>
      </c>
      <c r="BG58" s="296" cm="1">
        <f t="array" aca="1" ref="BG58" ca="1">INDIRECT("'"&amp;$C58&amp;"'!"&amp;"$"&amp;$D58&amp;78&amp;"")</f>
        <v>0.73</v>
      </c>
      <c r="BH58" s="293"/>
      <c r="BI58" s="293">
        <v>0.96</v>
      </c>
      <c r="BJ58" s="291">
        <v>0.2</v>
      </c>
      <c r="BK58" s="296" cm="1">
        <f t="array" aca="1" ref="BK58" ca="1">INDIRECT("'"&amp;$C58&amp;"'!"&amp;"$"&amp;$D58&amp;74&amp;"")</f>
        <v>2.5</v>
      </c>
      <c r="BL58" s="293"/>
      <c r="BM58" s="293">
        <v>0.99</v>
      </c>
      <c r="BN58" s="291">
        <v>0.36</v>
      </c>
    </row>
    <row r="59" spans="1:66" ht="15.75" thickBot="1" x14ac:dyDescent="0.25">
      <c r="A59" s="368">
        <v>45691</v>
      </c>
      <c r="B59" s="365">
        <v>0.16666666666666699</v>
      </c>
      <c r="C59" s="315">
        <v>3</v>
      </c>
      <c r="D59" s="319" t="s">
        <v>114</v>
      </c>
      <c r="E59" s="297">
        <v>14.2</v>
      </c>
      <c r="F59" s="298">
        <v>70.900000000000006</v>
      </c>
      <c r="G59" s="299" cm="1">
        <f t="array" aca="1" ref="G59" ca="1">INDIRECT("'"&amp;$C59&amp;"'!"&amp;"$"&amp;$D59&amp;$E$1&amp;"")</f>
        <v>6.6</v>
      </c>
      <c r="H59" s="300">
        <v>1</v>
      </c>
      <c r="I59" s="298">
        <v>0</v>
      </c>
      <c r="J59" s="299" cm="1">
        <f t="array" aca="1" ref="J59" ca="1">INDIRECT("'"&amp;$C59&amp;"'!"&amp;"$"&amp;$D59&amp;$J$1&amp;"")</f>
        <v>6.6</v>
      </c>
      <c r="K59" s="300"/>
      <c r="L59" s="300">
        <v>1</v>
      </c>
      <c r="M59" s="298">
        <v>0</v>
      </c>
      <c r="N59" s="299" cm="1">
        <f t="array" aca="1" ref="N59" ca="1">INDIRECT("'"&amp;$C59&amp;"'!"&amp;"$"&amp;$D59&amp;$N$1&amp;"")</f>
        <v>6.6</v>
      </c>
      <c r="O59" s="300"/>
      <c r="P59" s="300">
        <v>1</v>
      </c>
      <c r="Q59" s="298">
        <v>0</v>
      </c>
      <c r="R59" s="299" cm="1">
        <f t="array" aca="1" ref="R59" ca="1">INDIRECT("'"&amp;$C59&amp;"'!"&amp;"$"&amp;$D59&amp;$R$1&amp;"")</f>
        <v>0</v>
      </c>
      <c r="S59" s="300"/>
      <c r="T59" s="300" t="s">
        <v>1</v>
      </c>
      <c r="U59" s="298" t="s">
        <v>1</v>
      </c>
      <c r="V59" s="299" t="str" cm="1">
        <f t="array" aca="1" ref="V59" ca="1">INDIRECT("'"&amp;$C59&amp;"'!"&amp;"$"&amp;$D59&amp;$V$1&amp;"")</f>
        <v>CMS</v>
      </c>
      <c r="W59" s="300" t="s">
        <v>1</v>
      </c>
      <c r="X59" s="300" t="s">
        <v>1</v>
      </c>
      <c r="Y59" s="301" t="s">
        <v>1</v>
      </c>
      <c r="Z59" s="297" cm="1">
        <f t="array" aca="1" ref="Z59" ca="1">INDIRECT("'"&amp;$C59&amp;"'!"&amp;"$"&amp;$D59&amp;$Z$1&amp;"")</f>
        <v>0</v>
      </c>
      <c r="AA59" s="300" t="s">
        <v>1</v>
      </c>
      <c r="AB59" s="300" t="s">
        <v>1</v>
      </c>
      <c r="AC59" s="298" t="s">
        <v>1</v>
      </c>
      <c r="AD59" s="299" cm="1">
        <f t="array" aca="1" ref="AD59" ca="1">INDIRECT("'"&amp;$C59&amp;"'!"&amp;"$"&amp;$D59&amp;$AD$1&amp;"")</f>
        <v>3.3</v>
      </c>
      <c r="AE59" s="300">
        <f>3.8*3.63</f>
        <v>13.793999999999999</v>
      </c>
      <c r="AF59" s="300">
        <v>1</v>
      </c>
      <c r="AG59" s="301">
        <v>0.06</v>
      </c>
      <c r="AH59" s="297" t="str" cm="1">
        <f t="array" aca="1" ref="AH59" ca="1">INDIRECT("'"&amp;$C59&amp;"'!"&amp;"$"&amp;$D59&amp;$AH$1&amp;"")</f>
        <v>CMS</v>
      </c>
      <c r="AI59" s="300" t="s">
        <v>1</v>
      </c>
      <c r="AJ59" s="300" t="s">
        <v>1</v>
      </c>
      <c r="AK59" s="298" t="s">
        <v>1</v>
      </c>
      <c r="AL59" s="297">
        <v>11.8</v>
      </c>
      <c r="AM59" s="301">
        <v>70.599999999999994</v>
      </c>
      <c r="AN59" s="297" cm="1">
        <f t="array" aca="1" ref="AN59" ca="1">INDIRECT("'"&amp;$C59&amp;"'!"&amp;"$"&amp;$D59&amp;$AL$1&amp;"")</f>
        <v>3.8</v>
      </c>
      <c r="AO59" s="300">
        <v>0.99</v>
      </c>
      <c r="AP59" s="298">
        <v>0.15</v>
      </c>
      <c r="AQ59" s="299" cm="1">
        <f t="array" aca="1" ref="AQ59" ca="1">INDIRECT("'"&amp;$C59&amp;"'!"&amp;"$"&amp;$D59&amp;$AQ$1&amp;"")</f>
        <v>3.8</v>
      </c>
      <c r="AR59" s="300">
        <v>0.99</v>
      </c>
      <c r="AS59" s="298">
        <v>0.15</v>
      </c>
      <c r="AT59" s="302">
        <v>0</v>
      </c>
      <c r="AU59" s="301">
        <v>70</v>
      </c>
      <c r="AV59" s="297" t="str" cm="1">
        <f t="array" aca="1" ref="AV59" ca="1">INDIRECT("'"&amp;$C59&amp;"'!"&amp;"$"&amp;$D59&amp;31&amp;"")</f>
        <v>PMS</v>
      </c>
      <c r="AW59" s="300" t="s">
        <v>1</v>
      </c>
      <c r="AX59" s="298" t="s">
        <v>1</v>
      </c>
      <c r="AY59" s="303">
        <v>70</v>
      </c>
      <c r="AZ59" s="302" cm="1">
        <f t="array" aca="1" ref="AZ59" ca="1">INDIRECT("'"&amp;$C59&amp;"'!"&amp;"$"&amp;$D59&amp;58&amp;"")</f>
        <v>0</v>
      </c>
      <c r="BA59" s="300" t="s">
        <v>1</v>
      </c>
      <c r="BB59" s="298" t="s">
        <v>1</v>
      </c>
      <c r="BC59" s="302" cm="1">
        <f t="array" aca="1" ref="BC59" ca="1">INDIRECT("'"&amp;$C59&amp;"'!"&amp;"$"&amp;$D59&amp;63&amp;"")</f>
        <v>0.75</v>
      </c>
      <c r="BD59" s="300"/>
      <c r="BE59" s="300">
        <v>0.99</v>
      </c>
      <c r="BF59" s="298">
        <v>0.09</v>
      </c>
      <c r="BG59" s="303" cm="1">
        <f t="array" aca="1" ref="BG59" ca="1">INDIRECT("'"&amp;$C59&amp;"'!"&amp;"$"&amp;$D59&amp;78&amp;"")</f>
        <v>0.74</v>
      </c>
      <c r="BH59" s="300"/>
      <c r="BI59" s="300">
        <v>0.96</v>
      </c>
      <c r="BJ59" s="298">
        <v>0.2</v>
      </c>
      <c r="BK59" s="303" cm="1">
        <f t="array" aca="1" ref="BK59" ca="1">INDIRECT("'"&amp;$C59&amp;"'!"&amp;"$"&amp;$D59&amp;74&amp;"")</f>
        <v>2.5</v>
      </c>
      <c r="BL59" s="300"/>
      <c r="BM59" s="300">
        <v>0.99</v>
      </c>
      <c r="BN59" s="298">
        <v>0.35</v>
      </c>
    </row>
    <row r="60" spans="1:66" ht="15.75" thickBot="1" x14ac:dyDescent="0.25">
      <c r="A60" s="368">
        <v>45691</v>
      </c>
      <c r="B60" s="365">
        <v>0.20833333333333301</v>
      </c>
      <c r="C60" s="315">
        <v>3</v>
      </c>
      <c r="D60" s="319" t="s">
        <v>115</v>
      </c>
      <c r="E60" s="290">
        <v>14.2</v>
      </c>
      <c r="F60" s="291">
        <v>70.2</v>
      </c>
      <c r="G60" s="292" cm="1">
        <f t="array" aca="1" ref="G60" ca="1">INDIRECT("'"&amp;$C60&amp;"'!"&amp;"$"&amp;$D60&amp;$E$1&amp;"")</f>
        <v>6.8</v>
      </c>
      <c r="H60" s="293">
        <v>1</v>
      </c>
      <c r="I60" s="291">
        <v>0</v>
      </c>
      <c r="J60" s="292" cm="1">
        <f t="array" aca="1" ref="J60" ca="1">INDIRECT("'"&amp;$C60&amp;"'!"&amp;"$"&amp;$D60&amp;$J$1&amp;"")</f>
        <v>6.8</v>
      </c>
      <c r="K60" s="293"/>
      <c r="L60" s="293">
        <v>1</v>
      </c>
      <c r="M60" s="291">
        <v>0</v>
      </c>
      <c r="N60" s="292" cm="1">
        <f t="array" aca="1" ref="N60" ca="1">INDIRECT("'"&amp;$C60&amp;"'!"&amp;"$"&amp;$D60&amp;$N$1&amp;"")</f>
        <v>6.9</v>
      </c>
      <c r="O60" s="293"/>
      <c r="P60" s="293">
        <v>1</v>
      </c>
      <c r="Q60" s="291">
        <v>0</v>
      </c>
      <c r="R60" s="292" cm="1">
        <f t="array" aca="1" ref="R60" ca="1">INDIRECT("'"&amp;$C60&amp;"'!"&amp;"$"&amp;$D60&amp;$R$1&amp;"")</f>
        <v>0</v>
      </c>
      <c r="S60" s="293"/>
      <c r="T60" s="293" t="s">
        <v>1</v>
      </c>
      <c r="U60" s="291" t="s">
        <v>1</v>
      </c>
      <c r="V60" s="292" t="str" cm="1">
        <f t="array" aca="1" ref="V60" ca="1">INDIRECT("'"&amp;$C60&amp;"'!"&amp;"$"&amp;$D60&amp;$V$1&amp;"")</f>
        <v>CMS</v>
      </c>
      <c r="W60" s="293" t="s">
        <v>1</v>
      </c>
      <c r="X60" s="293" t="s">
        <v>1</v>
      </c>
      <c r="Y60" s="294" t="s">
        <v>1</v>
      </c>
      <c r="Z60" s="290" cm="1">
        <f t="array" aca="1" ref="Z60" ca="1">INDIRECT("'"&amp;$C60&amp;"'!"&amp;"$"&amp;$D60&amp;$Z$1&amp;"")</f>
        <v>0</v>
      </c>
      <c r="AA60" s="293" t="s">
        <v>1</v>
      </c>
      <c r="AB60" s="293" t="s">
        <v>1</v>
      </c>
      <c r="AC60" s="291" t="s">
        <v>1</v>
      </c>
      <c r="AD60" s="292" cm="1">
        <f t="array" aca="1" ref="AD60" ca="1">INDIRECT("'"&amp;$C60&amp;"'!"&amp;"$"&amp;$D60&amp;$AD$1&amp;"")</f>
        <v>3.3</v>
      </c>
      <c r="AE60" s="293">
        <f>3.63*3.8</f>
        <v>13.793999999999999</v>
      </c>
      <c r="AF60" s="293">
        <v>1</v>
      </c>
      <c r="AG60" s="294">
        <v>0.08</v>
      </c>
      <c r="AH60" s="290" t="str" cm="1">
        <f t="array" aca="1" ref="AH60" ca="1">INDIRECT("'"&amp;$C60&amp;"'!"&amp;"$"&amp;$D60&amp;$AH$1&amp;"")</f>
        <v>CMS</v>
      </c>
      <c r="AI60" s="293" t="s">
        <v>1</v>
      </c>
      <c r="AJ60" s="293" t="s">
        <v>1</v>
      </c>
      <c r="AK60" s="291" t="s">
        <v>1</v>
      </c>
      <c r="AL60" s="290">
        <v>11.8</v>
      </c>
      <c r="AM60" s="294">
        <v>70.5</v>
      </c>
      <c r="AN60" s="290" cm="1">
        <f t="array" aca="1" ref="AN60" ca="1">INDIRECT("'"&amp;$C60&amp;"'!"&amp;"$"&amp;$D60&amp;$AL$1&amp;"")</f>
        <v>4</v>
      </c>
      <c r="AO60" s="293">
        <v>0.99</v>
      </c>
      <c r="AP60" s="291">
        <v>0.26</v>
      </c>
      <c r="AQ60" s="292" cm="1">
        <f t="array" aca="1" ref="AQ60" ca="1">INDIRECT("'"&amp;$C60&amp;"'!"&amp;"$"&amp;$D60&amp;$AQ$1&amp;"")</f>
        <v>4</v>
      </c>
      <c r="AR60" s="293">
        <v>0.99</v>
      </c>
      <c r="AS60" s="291">
        <v>0.15</v>
      </c>
      <c r="AT60" s="295">
        <v>0</v>
      </c>
      <c r="AU60" s="294">
        <v>70.5</v>
      </c>
      <c r="AV60" s="290" t="str" cm="1">
        <f t="array" aca="1" ref="AV60" ca="1">INDIRECT("'"&amp;$C60&amp;"'!"&amp;"$"&amp;$D60&amp;31&amp;"")</f>
        <v>PMS</v>
      </c>
      <c r="AW60" s="293" t="s">
        <v>1</v>
      </c>
      <c r="AX60" s="291" t="s">
        <v>1</v>
      </c>
      <c r="AY60" s="296">
        <v>69.8</v>
      </c>
      <c r="AZ60" s="295" cm="1">
        <f t="array" aca="1" ref="AZ60" ca="1">INDIRECT("'"&amp;$C60&amp;"'!"&amp;"$"&amp;$D60&amp;58&amp;"")</f>
        <v>0.8</v>
      </c>
      <c r="BA60" s="293">
        <v>0.98</v>
      </c>
      <c r="BB60" s="291">
        <v>0.16</v>
      </c>
      <c r="BC60" s="295" cm="1">
        <f t="array" aca="1" ref="BC60" ca="1">INDIRECT("'"&amp;$C60&amp;"'!"&amp;"$"&amp;$D60&amp;63&amp;"")</f>
        <v>0.81</v>
      </c>
      <c r="BD60" s="293"/>
      <c r="BE60" s="293">
        <v>0.99</v>
      </c>
      <c r="BF60" s="291">
        <v>0.08</v>
      </c>
      <c r="BG60" s="296" cm="1">
        <f t="array" aca="1" ref="BG60" ca="1">INDIRECT("'"&amp;$C60&amp;"'!"&amp;"$"&amp;$D60&amp;78&amp;"")</f>
        <v>0.75</v>
      </c>
      <c r="BH60" s="293"/>
      <c r="BI60" s="293">
        <v>0.96</v>
      </c>
      <c r="BJ60" s="291">
        <v>0.21</v>
      </c>
      <c r="BK60" s="296" cm="1">
        <f t="array" aca="1" ref="BK60" ca="1">INDIRECT("'"&amp;$C60&amp;"'!"&amp;"$"&amp;$D60&amp;74&amp;"")</f>
        <v>2.7</v>
      </c>
      <c r="BL60" s="293"/>
      <c r="BM60" s="293">
        <v>0.99</v>
      </c>
      <c r="BN60" s="291">
        <v>0.39</v>
      </c>
    </row>
    <row r="61" spans="1:66" ht="15.75" thickBot="1" x14ac:dyDescent="0.25">
      <c r="A61" s="368">
        <v>45691</v>
      </c>
      <c r="B61" s="365">
        <v>0.25</v>
      </c>
      <c r="C61" s="315">
        <v>3</v>
      </c>
      <c r="D61" s="319" t="s">
        <v>116</v>
      </c>
      <c r="E61" s="297">
        <v>14.3</v>
      </c>
      <c r="F61" s="298">
        <v>71.599999999999994</v>
      </c>
      <c r="G61" s="299" cm="1">
        <f t="array" aca="1" ref="G61" ca="1">INDIRECT("'"&amp;$C61&amp;"'!"&amp;"$"&amp;$D61&amp;$E$1&amp;"")</f>
        <v>6.7</v>
      </c>
      <c r="H61" s="300">
        <v>1</v>
      </c>
      <c r="I61" s="298">
        <v>0</v>
      </c>
      <c r="J61" s="299" cm="1">
        <f t="array" aca="1" ref="J61" ca="1">INDIRECT("'"&amp;$C61&amp;"'!"&amp;"$"&amp;$D61&amp;$J$1&amp;"")</f>
        <v>6.7</v>
      </c>
      <c r="K61" s="300"/>
      <c r="L61" s="300">
        <v>1</v>
      </c>
      <c r="M61" s="298">
        <v>0</v>
      </c>
      <c r="N61" s="299" cm="1">
        <f t="array" aca="1" ref="N61" ca="1">INDIRECT("'"&amp;$C61&amp;"'!"&amp;"$"&amp;$D61&amp;$N$1&amp;"")</f>
        <v>6.7</v>
      </c>
      <c r="O61" s="300"/>
      <c r="P61" s="300">
        <v>1</v>
      </c>
      <c r="Q61" s="298">
        <v>0</v>
      </c>
      <c r="R61" s="299" cm="1">
        <f t="array" aca="1" ref="R61" ca="1">INDIRECT("'"&amp;$C61&amp;"'!"&amp;"$"&amp;$D61&amp;$R$1&amp;"")</f>
        <v>0</v>
      </c>
      <c r="S61" s="300"/>
      <c r="T61" s="300" t="s">
        <v>1</v>
      </c>
      <c r="U61" s="298" t="s">
        <v>1</v>
      </c>
      <c r="V61" s="299" t="str" cm="1">
        <f t="array" aca="1" ref="V61" ca="1">INDIRECT("'"&amp;$C61&amp;"'!"&amp;"$"&amp;$D61&amp;$V$1&amp;"")</f>
        <v>CMS</v>
      </c>
      <c r="W61" s="300" t="s">
        <v>1</v>
      </c>
      <c r="X61" s="300" t="s">
        <v>1</v>
      </c>
      <c r="Y61" s="301" t="s">
        <v>1</v>
      </c>
      <c r="Z61" s="297" cm="1">
        <f t="array" aca="1" ref="Z61" ca="1">INDIRECT("'"&amp;$C61&amp;"'!"&amp;"$"&amp;$D61&amp;$Z$1&amp;"")</f>
        <v>0</v>
      </c>
      <c r="AA61" s="300" t="s">
        <v>1</v>
      </c>
      <c r="AB61" s="300" t="s">
        <v>1</v>
      </c>
      <c r="AC61" s="298" t="s">
        <v>1</v>
      </c>
      <c r="AD61" s="299" cm="1">
        <f t="array" aca="1" ref="AD61" ca="1">INDIRECT("'"&amp;$C61&amp;"'!"&amp;"$"&amp;$D61&amp;$AD$1&amp;"")</f>
        <v>3.2</v>
      </c>
      <c r="AE61" s="300">
        <f>3.8*3.63</f>
        <v>13.793999999999999</v>
      </c>
      <c r="AF61" s="300">
        <v>1</v>
      </c>
      <c r="AG61" s="301">
        <v>0.09</v>
      </c>
      <c r="AH61" s="297" t="str" cm="1">
        <f t="array" aca="1" ref="AH61" ca="1">INDIRECT("'"&amp;$C61&amp;"'!"&amp;"$"&amp;$D61&amp;$AH$1&amp;"")</f>
        <v>CMS</v>
      </c>
      <c r="AI61" s="300" t="s">
        <v>1</v>
      </c>
      <c r="AJ61" s="300" t="s">
        <v>1</v>
      </c>
      <c r="AK61" s="298" t="s">
        <v>1</v>
      </c>
      <c r="AL61" s="297">
        <v>11.8</v>
      </c>
      <c r="AM61" s="301">
        <v>70.5</v>
      </c>
      <c r="AN61" s="297" cm="1">
        <f t="array" aca="1" ref="AN61" ca="1">INDIRECT("'"&amp;$C61&amp;"'!"&amp;"$"&amp;$D61&amp;$AL$1&amp;"")</f>
        <v>4.2</v>
      </c>
      <c r="AO61" s="300">
        <v>1</v>
      </c>
      <c r="AP61" s="298">
        <v>0.17</v>
      </c>
      <c r="AQ61" s="299" cm="1">
        <f t="array" aca="1" ref="AQ61" ca="1">INDIRECT("'"&amp;$C61&amp;"'!"&amp;"$"&amp;$D61&amp;$AQ$1&amp;"")</f>
        <v>4.2</v>
      </c>
      <c r="AR61" s="300">
        <v>1</v>
      </c>
      <c r="AS61" s="298">
        <v>0.1</v>
      </c>
      <c r="AT61" s="302">
        <v>0</v>
      </c>
      <c r="AU61" s="301">
        <v>70</v>
      </c>
      <c r="AV61" s="297" t="str" cm="1">
        <f t="array" aca="1" ref="AV61" ca="1">INDIRECT("'"&amp;$C61&amp;"'!"&amp;"$"&amp;$D61&amp;31&amp;"")</f>
        <v>PMS</v>
      </c>
      <c r="AW61" s="300" t="s">
        <v>1</v>
      </c>
      <c r="AX61" s="298" t="s">
        <v>1</v>
      </c>
      <c r="AY61" s="303">
        <v>70.3</v>
      </c>
      <c r="AZ61" s="302" cm="1">
        <f t="array" aca="1" ref="AZ61" ca="1">INDIRECT("'"&amp;$C61&amp;"'!"&amp;"$"&amp;$D61&amp;58&amp;"")</f>
        <v>4.8</v>
      </c>
      <c r="BA61" s="300">
        <v>0.98</v>
      </c>
      <c r="BB61" s="298">
        <v>0.98</v>
      </c>
      <c r="BC61" s="302" cm="1">
        <f t="array" aca="1" ref="BC61" ca="1">INDIRECT("'"&amp;$C61&amp;"'!"&amp;"$"&amp;$D61&amp;63&amp;"")</f>
        <v>1</v>
      </c>
      <c r="BD61" s="300"/>
      <c r="BE61" s="300">
        <v>0.99</v>
      </c>
      <c r="BF61" s="298">
        <v>0.08</v>
      </c>
      <c r="BG61" s="303" cm="1">
        <f t="array" aca="1" ref="BG61" ca="1">INDIRECT("'"&amp;$C61&amp;"'!"&amp;"$"&amp;$D61&amp;78&amp;"")</f>
        <v>0.84</v>
      </c>
      <c r="BH61" s="300"/>
      <c r="BI61" s="300">
        <v>0.97</v>
      </c>
      <c r="BJ61" s="298">
        <v>0.21</v>
      </c>
      <c r="BK61" s="303" cm="1">
        <f t="array" aca="1" ref="BK61" ca="1">INDIRECT("'"&amp;$C61&amp;"'!"&amp;"$"&amp;$D61&amp;74&amp;"")</f>
        <v>3.1</v>
      </c>
      <c r="BL61" s="300"/>
      <c r="BM61" s="300">
        <v>0.99</v>
      </c>
      <c r="BN61" s="298">
        <v>0.45</v>
      </c>
    </row>
    <row r="62" spans="1:66" ht="15.75" thickBot="1" x14ac:dyDescent="0.25">
      <c r="A62" s="368">
        <v>45691</v>
      </c>
      <c r="B62" s="365">
        <v>0.29166666666666702</v>
      </c>
      <c r="C62" s="315">
        <v>3</v>
      </c>
      <c r="D62" s="319" t="s">
        <v>117</v>
      </c>
      <c r="E62" s="290">
        <v>14.2</v>
      </c>
      <c r="F62" s="291">
        <v>70.7</v>
      </c>
      <c r="G62" s="292" cm="1">
        <f t="array" aca="1" ref="G62" ca="1">INDIRECT("'"&amp;$C62&amp;"'!"&amp;"$"&amp;$D62&amp;$E$1&amp;"")</f>
        <v>6.4</v>
      </c>
      <c r="H62" s="293">
        <v>1</v>
      </c>
      <c r="I62" s="291">
        <v>0</v>
      </c>
      <c r="J62" s="292" cm="1">
        <f t="array" aca="1" ref="J62" ca="1">INDIRECT("'"&amp;$C62&amp;"'!"&amp;"$"&amp;$D62&amp;$J$1&amp;"")</f>
        <v>6.4</v>
      </c>
      <c r="K62" s="293"/>
      <c r="L62" s="293">
        <v>1</v>
      </c>
      <c r="M62" s="291">
        <v>0</v>
      </c>
      <c r="N62" s="292" cm="1">
        <f t="array" aca="1" ref="N62" ca="1">INDIRECT("'"&amp;$C62&amp;"'!"&amp;"$"&amp;$D62&amp;$N$1&amp;"")</f>
        <v>6.4</v>
      </c>
      <c r="O62" s="293"/>
      <c r="P62" s="293">
        <v>1</v>
      </c>
      <c r="Q62" s="291">
        <v>0</v>
      </c>
      <c r="R62" s="292" cm="1">
        <f t="array" aca="1" ref="R62" ca="1">INDIRECT("'"&amp;$C62&amp;"'!"&amp;"$"&amp;$D62&amp;$R$1&amp;"")</f>
        <v>0</v>
      </c>
      <c r="S62" s="293"/>
      <c r="T62" s="293" t="s">
        <v>1</v>
      </c>
      <c r="U62" s="291" t="s">
        <v>1</v>
      </c>
      <c r="V62" s="292" t="str" cm="1">
        <f t="array" aca="1" ref="V62" ca="1">INDIRECT("'"&amp;$C62&amp;"'!"&amp;"$"&amp;$D62&amp;$V$1&amp;"")</f>
        <v>CMS</v>
      </c>
      <c r="W62" s="293" t="s">
        <v>1</v>
      </c>
      <c r="X62" s="293" t="s">
        <v>1</v>
      </c>
      <c r="Y62" s="294" t="s">
        <v>1</v>
      </c>
      <c r="Z62" s="290" cm="1">
        <f t="array" aca="1" ref="Z62" ca="1">INDIRECT("'"&amp;$C62&amp;"'!"&amp;"$"&amp;$D62&amp;$Z$1&amp;"")</f>
        <v>0</v>
      </c>
      <c r="AA62" s="293" t="s">
        <v>1</v>
      </c>
      <c r="AB62" s="293" t="s">
        <v>1</v>
      </c>
      <c r="AC62" s="291" t="s">
        <v>1</v>
      </c>
      <c r="AD62" s="292" cm="1">
        <f t="array" aca="1" ref="AD62" ca="1">INDIRECT("'"&amp;$C62&amp;"'!"&amp;"$"&amp;$D62&amp;$AD$1&amp;"")</f>
        <v>3.2</v>
      </c>
      <c r="AE62" s="293">
        <f>3.63*3.8</f>
        <v>13.793999999999999</v>
      </c>
      <c r="AF62" s="293">
        <v>0.99</v>
      </c>
      <c r="AG62" s="294">
        <v>0.314</v>
      </c>
      <c r="AH62" s="290" t="str" cm="1">
        <f t="array" aca="1" ref="AH62" ca="1">INDIRECT("'"&amp;$C62&amp;"'!"&amp;"$"&amp;$D62&amp;$AH$1&amp;"")</f>
        <v>CMS</v>
      </c>
      <c r="AI62" s="293" t="s">
        <v>1</v>
      </c>
      <c r="AJ62" s="293" t="s">
        <v>1</v>
      </c>
      <c r="AK62" s="291" t="s">
        <v>1</v>
      </c>
      <c r="AL62" s="290">
        <v>11.8</v>
      </c>
      <c r="AM62" s="294">
        <v>70.3</v>
      </c>
      <c r="AN62" s="290" cm="1">
        <f t="array" aca="1" ref="AN62" ca="1">INDIRECT("'"&amp;$C62&amp;"'!"&amp;"$"&amp;$D62&amp;$AL$1&amp;"")</f>
        <v>3.9</v>
      </c>
      <c r="AO62" s="293">
        <v>1</v>
      </c>
      <c r="AP62" s="291">
        <v>0.31</v>
      </c>
      <c r="AQ62" s="292" cm="1">
        <f t="array" aca="1" ref="AQ62" ca="1">INDIRECT("'"&amp;$C62&amp;"'!"&amp;"$"&amp;$D62&amp;$AQ$1&amp;"")</f>
        <v>3.9</v>
      </c>
      <c r="AR62" s="293">
        <v>1</v>
      </c>
      <c r="AS62" s="291">
        <v>0.1</v>
      </c>
      <c r="AT62" s="295">
        <v>0</v>
      </c>
      <c r="AU62" s="294">
        <v>70.3</v>
      </c>
      <c r="AV62" s="290" t="str" cm="1">
        <f t="array" aca="1" ref="AV62" ca="1">INDIRECT("'"&amp;$C62&amp;"'!"&amp;"$"&amp;$D62&amp;31&amp;"")</f>
        <v>PMS</v>
      </c>
      <c r="AW62" s="293" t="s">
        <v>1</v>
      </c>
      <c r="AX62" s="291" t="s">
        <v>1</v>
      </c>
      <c r="AY62" s="296">
        <v>69.900000000000006</v>
      </c>
      <c r="AZ62" s="295" cm="1">
        <f t="array" aca="1" ref="AZ62" ca="1">INDIRECT("'"&amp;$C62&amp;"'!"&amp;"$"&amp;$D62&amp;58&amp;"")</f>
        <v>4</v>
      </c>
      <c r="BA62" s="293">
        <v>0.97</v>
      </c>
      <c r="BB62" s="291">
        <v>1</v>
      </c>
      <c r="BC62" s="295" cm="1">
        <f t="array" aca="1" ref="BC62" ca="1">INDIRECT("'"&amp;$C62&amp;"'!"&amp;"$"&amp;$D62&amp;63&amp;"")</f>
        <v>1.05</v>
      </c>
      <c r="BD62" s="293"/>
      <c r="BE62" s="293">
        <v>0.99</v>
      </c>
      <c r="BF62" s="291">
        <v>1</v>
      </c>
      <c r="BG62" s="296" cm="1">
        <f t="array" aca="1" ref="BG62" ca="1">INDIRECT("'"&amp;$C62&amp;"'!"&amp;"$"&amp;$D62&amp;78&amp;"")</f>
        <v>0.8</v>
      </c>
      <c r="BH62" s="293"/>
      <c r="BI62" s="293">
        <v>0.96</v>
      </c>
      <c r="BJ62" s="291">
        <v>0.21</v>
      </c>
      <c r="BK62" s="296" cm="1">
        <f t="array" aca="1" ref="BK62" ca="1">INDIRECT("'"&amp;$C62&amp;"'!"&amp;"$"&amp;$D62&amp;74&amp;"")</f>
        <v>2.9</v>
      </c>
      <c r="BL62" s="293"/>
      <c r="BM62" s="293">
        <v>0.99</v>
      </c>
      <c r="BN62" s="291">
        <v>0.43</v>
      </c>
    </row>
    <row r="63" spans="1:66" ht="15.75" thickBot="1" x14ac:dyDescent="0.25">
      <c r="A63" s="368">
        <v>45691</v>
      </c>
      <c r="B63" s="365">
        <v>0.33333333333333398</v>
      </c>
      <c r="C63" s="315">
        <v>3</v>
      </c>
      <c r="D63" s="319" t="s">
        <v>118</v>
      </c>
      <c r="E63" s="297">
        <v>14.2</v>
      </c>
      <c r="F63" s="298">
        <v>70.099999999999994</v>
      </c>
      <c r="G63" s="299" cm="1">
        <f t="array" aca="1" ref="G63" ca="1">INDIRECT("'"&amp;$C63&amp;"'!"&amp;"$"&amp;$D63&amp;$E$1&amp;"")</f>
        <v>6.6</v>
      </c>
      <c r="H63" s="300">
        <v>0.99</v>
      </c>
      <c r="I63" s="298">
        <v>0.86</v>
      </c>
      <c r="J63" s="299" cm="1">
        <f t="array" aca="1" ref="J63" ca="1">INDIRECT("'"&amp;$C63&amp;"'!"&amp;"$"&amp;$D63&amp;$J$1&amp;"")</f>
        <v>6.6</v>
      </c>
      <c r="K63" s="300"/>
      <c r="L63" s="300">
        <v>0.99</v>
      </c>
      <c r="M63" s="298">
        <v>0.86</v>
      </c>
      <c r="N63" s="299" cm="1">
        <f t="array" aca="1" ref="N63" ca="1">INDIRECT("'"&amp;$C63&amp;"'!"&amp;"$"&amp;$D63&amp;$N$1&amp;"")</f>
        <v>6.6</v>
      </c>
      <c r="O63" s="300"/>
      <c r="P63" s="300">
        <v>0.99</v>
      </c>
      <c r="Q63" s="298">
        <v>0.86</v>
      </c>
      <c r="R63" s="299" cm="1">
        <f t="array" aca="1" ref="R63" ca="1">INDIRECT("'"&amp;$C63&amp;"'!"&amp;"$"&amp;$D63&amp;$R$1&amp;"")</f>
        <v>1.5</v>
      </c>
      <c r="S63" s="300"/>
      <c r="T63" s="300">
        <v>0.96</v>
      </c>
      <c r="U63" s="298">
        <v>0.93</v>
      </c>
      <c r="V63" s="299" t="str" cm="1">
        <f t="array" aca="1" ref="V63" ca="1">INDIRECT("'"&amp;$C63&amp;"'!"&amp;"$"&amp;$D63&amp;$V$1&amp;"")</f>
        <v>CMS</v>
      </c>
      <c r="W63" s="300" t="s">
        <v>1</v>
      </c>
      <c r="X63" s="300" t="s">
        <v>1</v>
      </c>
      <c r="Y63" s="301" t="s">
        <v>1</v>
      </c>
      <c r="Z63" s="297" cm="1">
        <f t="array" aca="1" ref="Z63" ca="1">INDIRECT("'"&amp;$C63&amp;"'!"&amp;"$"&amp;$D63&amp;$Z$1&amp;"")</f>
        <v>0</v>
      </c>
      <c r="AA63" s="300" t="s">
        <v>1</v>
      </c>
      <c r="AB63" s="300" t="s">
        <v>1</v>
      </c>
      <c r="AC63" s="298" t="s">
        <v>1</v>
      </c>
      <c r="AD63" s="299" cm="1">
        <f t="array" aca="1" ref="AD63" ca="1">INDIRECT("'"&amp;$C63&amp;"'!"&amp;"$"&amp;$D63&amp;$AD$1&amp;"")</f>
        <v>3.2</v>
      </c>
      <c r="AE63" s="300">
        <f>3.8*3.59</f>
        <v>13.641999999999999</v>
      </c>
      <c r="AF63" s="300">
        <v>0.97</v>
      </c>
      <c r="AG63" s="301">
        <v>0.84</v>
      </c>
      <c r="AH63" s="297" t="str" cm="1">
        <f t="array" aca="1" ref="AH63" ca="1">INDIRECT("'"&amp;$C63&amp;"'!"&amp;"$"&amp;$D63&amp;$AH$1&amp;"")</f>
        <v>CMS</v>
      </c>
      <c r="AI63" s="300" t="s">
        <v>1</v>
      </c>
      <c r="AJ63" s="300" t="s">
        <v>1</v>
      </c>
      <c r="AK63" s="298" t="s">
        <v>1</v>
      </c>
      <c r="AL63" s="297">
        <v>11.8</v>
      </c>
      <c r="AM63" s="301">
        <v>70</v>
      </c>
      <c r="AN63" s="297" cm="1">
        <f t="array" aca="1" ref="AN63" ca="1">INDIRECT("'"&amp;$C63&amp;"'!"&amp;"$"&amp;$D63&amp;$AL$1&amp;"")</f>
        <v>3.9</v>
      </c>
      <c r="AO63" s="300">
        <v>0.99</v>
      </c>
      <c r="AP63" s="298">
        <v>0.69</v>
      </c>
      <c r="AQ63" s="299" cm="1">
        <f t="array" aca="1" ref="AQ63" ca="1">INDIRECT("'"&amp;$C63&amp;"'!"&amp;"$"&amp;$D63&amp;$AQ$1&amp;"")</f>
        <v>3.9</v>
      </c>
      <c r="AR63" s="300">
        <v>0.9</v>
      </c>
      <c r="AS63" s="298">
        <v>0.6</v>
      </c>
      <c r="AT63" s="302">
        <v>0</v>
      </c>
      <c r="AU63" s="301">
        <v>69.400000000000006</v>
      </c>
      <c r="AV63" s="297" t="str" cm="1">
        <f t="array" aca="1" ref="AV63" ca="1">INDIRECT("'"&amp;$C63&amp;"'!"&amp;"$"&amp;$D63&amp;31&amp;"")</f>
        <v>PMS</v>
      </c>
      <c r="AW63" s="300" t="s">
        <v>1</v>
      </c>
      <c r="AX63" s="298" t="s">
        <v>1</v>
      </c>
      <c r="AY63" s="303">
        <v>69.099999999999994</v>
      </c>
      <c r="AZ63" s="302" cm="1">
        <f t="array" aca="1" ref="AZ63" ca="1">INDIRECT("'"&amp;$C63&amp;"'!"&amp;"$"&amp;$D63&amp;58&amp;"")</f>
        <v>4.8</v>
      </c>
      <c r="BA63" s="300">
        <v>0.96</v>
      </c>
      <c r="BB63" s="298">
        <v>1.4</v>
      </c>
      <c r="BC63" s="302" cm="1">
        <f t="array" aca="1" ref="BC63" ca="1">INDIRECT("'"&amp;$C63&amp;"'!"&amp;"$"&amp;$D63&amp;63&amp;"")</f>
        <v>0.95</v>
      </c>
      <c r="BD63" s="300"/>
      <c r="BE63" s="300">
        <v>1</v>
      </c>
      <c r="BF63" s="298">
        <v>0.15</v>
      </c>
      <c r="BG63" s="303" cm="1">
        <f t="array" aca="1" ref="BG63" ca="1">INDIRECT("'"&amp;$C63&amp;"'!"&amp;"$"&amp;$D63&amp;78&amp;"")</f>
        <v>0.71</v>
      </c>
      <c r="BH63" s="300"/>
      <c r="BI63" s="300">
        <v>0.96</v>
      </c>
      <c r="BJ63" s="298">
        <v>0.22</v>
      </c>
      <c r="BK63" s="303" cm="1">
        <f t="array" aca="1" ref="BK63" ca="1">INDIRECT("'"&amp;$C63&amp;"'!"&amp;"$"&amp;$D63&amp;74&amp;"")</f>
        <v>0</v>
      </c>
      <c r="BL63" s="300"/>
      <c r="BM63" s="300" t="s">
        <v>1</v>
      </c>
      <c r="BN63" s="298" t="s">
        <v>1</v>
      </c>
    </row>
    <row r="64" spans="1:66" ht="15.75" thickBot="1" x14ac:dyDescent="0.25">
      <c r="A64" s="368">
        <v>45691</v>
      </c>
      <c r="B64" s="365">
        <v>0.375</v>
      </c>
      <c r="C64" s="315">
        <v>3</v>
      </c>
      <c r="D64" s="319" t="s">
        <v>119</v>
      </c>
      <c r="E64" s="290">
        <v>14.2</v>
      </c>
      <c r="F64" s="291">
        <v>69.849999999999994</v>
      </c>
      <c r="G64" s="292" cm="1">
        <f t="array" aca="1" ref="G64" ca="1">INDIRECT("'"&amp;$C64&amp;"'!"&amp;"$"&amp;$D64&amp;$E$1&amp;"")</f>
        <v>6.6</v>
      </c>
      <c r="H64" s="293">
        <v>0.97</v>
      </c>
      <c r="I64" s="291">
        <v>1.5</v>
      </c>
      <c r="J64" s="292" cm="1">
        <f t="array" aca="1" ref="J64" ca="1">INDIRECT("'"&amp;$C64&amp;"'!"&amp;"$"&amp;$D64&amp;$J$1&amp;"")</f>
        <v>6.6</v>
      </c>
      <c r="K64" s="293"/>
      <c r="L64" s="293">
        <v>0.97</v>
      </c>
      <c r="M64" s="291">
        <v>1.5</v>
      </c>
      <c r="N64" s="292" cm="1">
        <f t="array" aca="1" ref="N64" ca="1">INDIRECT("'"&amp;$C64&amp;"'!"&amp;"$"&amp;$D64&amp;$N$1&amp;"")</f>
        <v>6.6</v>
      </c>
      <c r="O64" s="293"/>
      <c r="P64" s="293">
        <v>0.97</v>
      </c>
      <c r="Q64" s="291">
        <v>1.5</v>
      </c>
      <c r="R64" s="292" cm="1">
        <f t="array" aca="1" ref="R64" ca="1">INDIRECT("'"&amp;$C64&amp;"'!"&amp;"$"&amp;$D64&amp;$R$1&amp;"")</f>
        <v>6.6</v>
      </c>
      <c r="S64" s="293"/>
      <c r="T64" s="293">
        <v>0.97</v>
      </c>
      <c r="U64" s="291">
        <v>1.5</v>
      </c>
      <c r="V64" s="292" t="str" cm="1">
        <f t="array" aca="1" ref="V64" ca="1">INDIRECT("'"&amp;$C64&amp;"'!"&amp;"$"&amp;$D64&amp;$V$1&amp;"")</f>
        <v>CMS</v>
      </c>
      <c r="W64" s="293" t="s">
        <v>1</v>
      </c>
      <c r="X64" s="293" t="s">
        <v>1</v>
      </c>
      <c r="Y64" s="294" t="s">
        <v>1</v>
      </c>
      <c r="Z64" s="290" cm="1">
        <f t="array" aca="1" ref="Z64" ca="1">INDIRECT("'"&amp;$C64&amp;"'!"&amp;"$"&amp;$D64&amp;$Z$1&amp;"")</f>
        <v>0</v>
      </c>
      <c r="AA64" s="293" t="s">
        <v>1</v>
      </c>
      <c r="AB64" s="293" t="s">
        <v>1</v>
      </c>
      <c r="AC64" s="291" t="s">
        <v>1</v>
      </c>
      <c r="AD64" s="292" cm="1">
        <f t="array" aca="1" ref="AD64" ca="1">INDIRECT("'"&amp;$C64&amp;"'!"&amp;"$"&amp;$D64&amp;$AD$1&amp;"")</f>
        <v>3.2</v>
      </c>
      <c r="AE64" s="293">
        <f>3.52*3.8</f>
        <v>13.375999999999999</v>
      </c>
      <c r="AF64" s="293">
        <v>0.95</v>
      </c>
      <c r="AG64" s="294">
        <v>1.07</v>
      </c>
      <c r="AH64" s="290" t="str" cm="1">
        <f t="array" aca="1" ref="AH64" ca="1">INDIRECT("'"&amp;$C64&amp;"'!"&amp;"$"&amp;$D64&amp;$AH$1&amp;"")</f>
        <v>CMS</v>
      </c>
      <c r="AI64" s="293" t="s">
        <v>1</v>
      </c>
      <c r="AJ64" s="293" t="s">
        <v>1</v>
      </c>
      <c r="AK64" s="291" t="s">
        <v>1</v>
      </c>
      <c r="AL64" s="290">
        <v>11.7</v>
      </c>
      <c r="AM64" s="294">
        <v>69.099999999999994</v>
      </c>
      <c r="AN64" s="290" cm="1">
        <f t="array" aca="1" ref="AN64" ca="1">INDIRECT("'"&amp;$C64&amp;"'!"&amp;"$"&amp;$D64&amp;$AL$1&amp;"")</f>
        <v>3.9</v>
      </c>
      <c r="AO64" s="293">
        <v>0.94</v>
      </c>
      <c r="AP64" s="291">
        <v>1.31</v>
      </c>
      <c r="AQ64" s="292" cm="1">
        <f t="array" aca="1" ref="AQ64" ca="1">INDIRECT("'"&amp;$C64&amp;"'!"&amp;"$"&amp;$D64&amp;$AQ$1&amp;"")</f>
        <v>3.9</v>
      </c>
      <c r="AR64" s="293">
        <v>0.94</v>
      </c>
      <c r="AS64" s="291">
        <v>1.23</v>
      </c>
      <c r="AT64" s="295">
        <v>0</v>
      </c>
      <c r="AU64" s="294">
        <v>67.900000000000006</v>
      </c>
      <c r="AV64" s="290" t="str" cm="1">
        <f t="array" aca="1" ref="AV64" ca="1">INDIRECT("'"&amp;$C64&amp;"'!"&amp;"$"&amp;$D64&amp;31&amp;"")</f>
        <v>PMS</v>
      </c>
      <c r="AW64" s="293" t="s">
        <v>1</v>
      </c>
      <c r="AX64" s="291" t="s">
        <v>1</v>
      </c>
      <c r="AY64" s="296">
        <v>68.400000000000006</v>
      </c>
      <c r="AZ64" s="295" cm="1">
        <f t="array" aca="1" ref="AZ64" ca="1">INDIRECT("'"&amp;$C64&amp;"'!"&amp;"$"&amp;$D64&amp;58&amp;"")</f>
        <v>9.7000000000000011</v>
      </c>
      <c r="BA64" s="293">
        <v>0.95</v>
      </c>
      <c r="BB64" s="291">
        <v>3.1</v>
      </c>
      <c r="BC64" s="295" cm="1">
        <f t="array" aca="1" ref="BC64" ca="1">INDIRECT("'"&amp;$C64&amp;"'!"&amp;"$"&amp;$D64&amp;63&amp;"")</f>
        <v>1.18</v>
      </c>
      <c r="BD64" s="293"/>
      <c r="BE64" s="293">
        <v>1</v>
      </c>
      <c r="BF64" s="291">
        <v>0.16</v>
      </c>
      <c r="BG64" s="296" cm="1">
        <f t="array" aca="1" ref="BG64" ca="1">INDIRECT("'"&amp;$C64&amp;"'!"&amp;"$"&amp;$D64&amp;78&amp;"")</f>
        <v>0.78</v>
      </c>
      <c r="BH64" s="293"/>
      <c r="BI64" s="293">
        <v>0.96</v>
      </c>
      <c r="BJ64" s="291">
        <v>0.23</v>
      </c>
      <c r="BK64" s="296" cm="1">
        <f t="array" aca="1" ref="BK64" ca="1">INDIRECT("'"&amp;$C64&amp;"'!"&amp;"$"&amp;$D64&amp;74&amp;"")</f>
        <v>2.5</v>
      </c>
      <c r="BL64" s="293"/>
      <c r="BM64" s="293">
        <v>0.9</v>
      </c>
      <c r="BN64" s="291">
        <v>1.2</v>
      </c>
    </row>
    <row r="65" spans="1:66" ht="15.75" thickBot="1" x14ac:dyDescent="0.25">
      <c r="A65" s="368">
        <v>45691</v>
      </c>
      <c r="B65" s="365">
        <v>0.41666666666666702</v>
      </c>
      <c r="C65" s="315">
        <v>3</v>
      </c>
      <c r="D65" s="319" t="s">
        <v>120</v>
      </c>
      <c r="E65" s="297">
        <v>14.3</v>
      </c>
      <c r="F65" s="298">
        <v>69.67</v>
      </c>
      <c r="G65" s="299" cm="1">
        <f t="array" aca="1" ref="G65" ca="1">INDIRECT("'"&amp;$C65&amp;"'!"&amp;"$"&amp;$D65&amp;$E$1&amp;"")</f>
        <v>6.6</v>
      </c>
      <c r="H65" s="300">
        <v>0.95</v>
      </c>
      <c r="I65" s="298">
        <v>2.1</v>
      </c>
      <c r="J65" s="299" cm="1">
        <f t="array" aca="1" ref="J65" ca="1">INDIRECT("'"&amp;$C65&amp;"'!"&amp;"$"&amp;$D65&amp;$J$1&amp;"")</f>
        <v>6.6</v>
      </c>
      <c r="K65" s="300"/>
      <c r="L65" s="300">
        <v>0.95</v>
      </c>
      <c r="M65" s="298">
        <v>2.1</v>
      </c>
      <c r="N65" s="299" cm="1">
        <f t="array" aca="1" ref="N65" ca="1">INDIRECT("'"&amp;$C65&amp;"'!"&amp;"$"&amp;$D65&amp;$N$1&amp;"")</f>
        <v>6.6</v>
      </c>
      <c r="O65" s="300"/>
      <c r="P65" s="300">
        <v>0.95</v>
      </c>
      <c r="Q65" s="298">
        <v>2.1</v>
      </c>
      <c r="R65" s="299" cm="1">
        <f t="array" aca="1" ref="R65" ca="1">INDIRECT("'"&amp;$C65&amp;"'!"&amp;"$"&amp;$D65&amp;$R$1&amp;"")</f>
        <v>6.6</v>
      </c>
      <c r="S65" s="300"/>
      <c r="T65" s="300">
        <v>0.95</v>
      </c>
      <c r="U65" s="298">
        <v>2.1</v>
      </c>
      <c r="V65" s="299" t="str" cm="1">
        <f t="array" aca="1" ref="V65" ca="1">INDIRECT("'"&amp;$C65&amp;"'!"&amp;"$"&amp;$D65&amp;$V$1&amp;"")</f>
        <v>CMS</v>
      </c>
      <c r="W65" s="300" t="s">
        <v>1</v>
      </c>
      <c r="X65" s="300" t="s">
        <v>1</v>
      </c>
      <c r="Y65" s="301" t="s">
        <v>1</v>
      </c>
      <c r="Z65" s="297" cm="1">
        <f t="array" aca="1" ref="Z65" ca="1">INDIRECT("'"&amp;$C65&amp;"'!"&amp;"$"&amp;$D65&amp;$Z$1&amp;"")</f>
        <v>0</v>
      </c>
      <c r="AA65" s="300" t="s">
        <v>1</v>
      </c>
      <c r="AB65" s="300" t="s">
        <v>1</v>
      </c>
      <c r="AC65" s="298" t="s">
        <v>1</v>
      </c>
      <c r="AD65" s="299" cm="1">
        <f t="array" aca="1" ref="AD65" ca="1">INDIRECT("'"&amp;$C65&amp;"'!"&amp;"$"&amp;$D65&amp;$AD$1&amp;"")</f>
        <v>3.2</v>
      </c>
      <c r="AE65" s="300">
        <f>3.8*3.52</f>
        <v>13.375999999999999</v>
      </c>
      <c r="AF65" s="300">
        <v>0.95</v>
      </c>
      <c r="AG65" s="301">
        <v>1.1000000000000001</v>
      </c>
      <c r="AH65" s="297" t="str" cm="1">
        <f t="array" aca="1" ref="AH65" ca="1">INDIRECT("'"&amp;$C65&amp;"'!"&amp;"$"&amp;$D65&amp;$AH$1&amp;"")</f>
        <v>CMS</v>
      </c>
      <c r="AI65" s="300" t="s">
        <v>1</v>
      </c>
      <c r="AJ65" s="300" t="s">
        <v>1</v>
      </c>
      <c r="AK65" s="298" t="s">
        <v>1</v>
      </c>
      <c r="AL65" s="297">
        <v>11.7</v>
      </c>
      <c r="AM65" s="301">
        <v>68.7</v>
      </c>
      <c r="AN65" s="297" cm="1">
        <f t="array" aca="1" ref="AN65" ca="1">INDIRECT("'"&amp;$C65&amp;"'!"&amp;"$"&amp;$D65&amp;$AL$1&amp;"")</f>
        <v>4.3</v>
      </c>
      <c r="AO65" s="300">
        <v>0.95</v>
      </c>
      <c r="AP65" s="298">
        <v>1.44</v>
      </c>
      <c r="AQ65" s="299" cm="1">
        <f t="array" aca="1" ref="AQ65" ca="1">INDIRECT("'"&amp;$C65&amp;"'!"&amp;"$"&amp;$D65&amp;$AQ$1&amp;"")</f>
        <v>4.3</v>
      </c>
      <c r="AR65" s="300">
        <v>0.95</v>
      </c>
      <c r="AS65" s="298">
        <v>1.34</v>
      </c>
      <c r="AT65" s="302">
        <v>0</v>
      </c>
      <c r="AU65" s="301">
        <v>67.09</v>
      </c>
      <c r="AV65" s="297" t="str" cm="1">
        <f t="array" aca="1" ref="AV65" ca="1">INDIRECT("'"&amp;$C65&amp;"'!"&amp;"$"&amp;$D65&amp;31&amp;"")</f>
        <v>PMS</v>
      </c>
      <c r="AW65" s="300" t="s">
        <v>1</v>
      </c>
      <c r="AX65" s="298" t="s">
        <v>1</v>
      </c>
      <c r="AY65" s="303">
        <v>68.5</v>
      </c>
      <c r="AZ65" s="302" cm="1">
        <f t="array" aca="1" ref="AZ65" ca="1">INDIRECT("'"&amp;$C65&amp;"'!"&amp;"$"&amp;$D65&amp;58&amp;"")</f>
        <v>14.800000000000004</v>
      </c>
      <c r="BA65" s="300">
        <v>0.95</v>
      </c>
      <c r="BB65" s="298">
        <v>4.9000000000000004</v>
      </c>
      <c r="BC65" s="302" cm="1">
        <f t="array" aca="1" ref="BC65" ca="1">INDIRECT("'"&amp;$C65&amp;"'!"&amp;"$"&amp;$D65&amp;63&amp;"")</f>
        <v>1.24</v>
      </c>
      <c r="BD65" s="300"/>
      <c r="BE65" s="300">
        <v>1</v>
      </c>
      <c r="BF65" s="298">
        <v>0.15</v>
      </c>
      <c r="BG65" s="303" cm="1">
        <f t="array" aca="1" ref="BG65" ca="1">INDIRECT("'"&amp;$C65&amp;"'!"&amp;"$"&amp;$D65&amp;78&amp;"")</f>
        <v>0.84</v>
      </c>
      <c r="BH65" s="300"/>
      <c r="BI65" s="300">
        <v>0.96</v>
      </c>
      <c r="BJ65" s="298">
        <v>0.24</v>
      </c>
      <c r="BK65" s="303" cm="1">
        <f t="array" aca="1" ref="BK65" ca="1">INDIRECT("'"&amp;$C65&amp;"'!"&amp;"$"&amp;$D65&amp;74&amp;"")</f>
        <v>3.3</v>
      </c>
      <c r="BL65" s="300"/>
      <c r="BM65" s="300">
        <v>0.98</v>
      </c>
      <c r="BN65" s="298">
        <v>0.67</v>
      </c>
    </row>
    <row r="66" spans="1:66" ht="15.75" thickBot="1" x14ac:dyDescent="0.25">
      <c r="A66" s="368">
        <v>45691</v>
      </c>
      <c r="B66" s="365">
        <v>0.45833333333333398</v>
      </c>
      <c r="C66" s="315">
        <v>3</v>
      </c>
      <c r="D66" s="319" t="s">
        <v>121</v>
      </c>
      <c r="E66" s="290">
        <v>14.3</v>
      </c>
      <c r="F66" s="291">
        <v>70.040000000000006</v>
      </c>
      <c r="G66" s="292" cm="1">
        <f t="array" aca="1" ref="G66" ca="1">INDIRECT("'"&amp;$C66&amp;"'!"&amp;"$"&amp;$D66&amp;$E$1&amp;"")</f>
        <v>6.7</v>
      </c>
      <c r="H66" s="293">
        <v>0.95</v>
      </c>
      <c r="I66" s="291">
        <v>2.2000000000000002</v>
      </c>
      <c r="J66" s="292" cm="1">
        <f t="array" aca="1" ref="J66" ca="1">INDIRECT("'"&amp;$C66&amp;"'!"&amp;"$"&amp;$D66&amp;$J$1&amp;"")</f>
        <v>6.7</v>
      </c>
      <c r="K66" s="293"/>
      <c r="L66" s="293">
        <v>0.95</v>
      </c>
      <c r="M66" s="291">
        <v>2.2000000000000002</v>
      </c>
      <c r="N66" s="292" cm="1">
        <f t="array" aca="1" ref="N66" ca="1">INDIRECT("'"&amp;$C66&amp;"'!"&amp;"$"&amp;$D66&amp;$N$1&amp;"")</f>
        <v>6.7</v>
      </c>
      <c r="O66" s="293"/>
      <c r="P66" s="293">
        <v>0.95</v>
      </c>
      <c r="Q66" s="291">
        <v>2.2000000000000002</v>
      </c>
      <c r="R66" s="292" cm="1">
        <f t="array" aca="1" ref="R66" ca="1">INDIRECT("'"&amp;$C66&amp;"'!"&amp;"$"&amp;$D66&amp;$R$1&amp;"")</f>
        <v>6.7</v>
      </c>
      <c r="S66" s="293"/>
      <c r="T66" s="293">
        <v>0.95</v>
      </c>
      <c r="U66" s="291">
        <v>2.2000000000000002</v>
      </c>
      <c r="V66" s="292" t="str" cm="1">
        <f t="array" aca="1" ref="V66" ca="1">INDIRECT("'"&amp;$C66&amp;"'!"&amp;"$"&amp;$D66&amp;$V$1&amp;"")</f>
        <v>CMS</v>
      </c>
      <c r="W66" s="293" t="s">
        <v>1</v>
      </c>
      <c r="X66" s="293" t="s">
        <v>1</v>
      </c>
      <c r="Y66" s="294" t="s">
        <v>1</v>
      </c>
      <c r="Z66" s="290" cm="1">
        <f t="array" aca="1" ref="Z66" ca="1">INDIRECT("'"&amp;$C66&amp;"'!"&amp;"$"&amp;$D66&amp;$Z$1&amp;"")</f>
        <v>0</v>
      </c>
      <c r="AA66" s="293" t="s">
        <v>1</v>
      </c>
      <c r="AB66" s="293" t="s">
        <v>1</v>
      </c>
      <c r="AC66" s="291" t="s">
        <v>1</v>
      </c>
      <c r="AD66" s="292" cm="1">
        <f t="array" aca="1" ref="AD66" ca="1">INDIRECT("'"&amp;$C66&amp;"'!"&amp;"$"&amp;$D66&amp;$AD$1&amp;"")</f>
        <v>3.2</v>
      </c>
      <c r="AE66" s="293">
        <v>13.337999999999999</v>
      </c>
      <c r="AF66" s="293">
        <v>0.94</v>
      </c>
      <c r="AG66" s="294">
        <v>1.22</v>
      </c>
      <c r="AH66" s="290" t="str" cm="1">
        <f t="array" aca="1" ref="AH66" ca="1">INDIRECT("'"&amp;$C66&amp;"'!"&amp;"$"&amp;$D66&amp;$AH$1&amp;"")</f>
        <v>CMS</v>
      </c>
      <c r="AI66" s="293" t="s">
        <v>1</v>
      </c>
      <c r="AJ66" s="293" t="s">
        <v>1</v>
      </c>
      <c r="AK66" s="291" t="s">
        <v>1</v>
      </c>
      <c r="AL66" s="290">
        <v>11.7</v>
      </c>
      <c r="AM66" s="294">
        <v>68.8</v>
      </c>
      <c r="AN66" s="290" cm="1">
        <f t="array" aca="1" ref="AN66" ca="1">INDIRECT("'"&amp;$C66&amp;"'!"&amp;"$"&amp;$D66&amp;$AL$1&amp;"")</f>
        <v>4.3</v>
      </c>
      <c r="AO66" s="293">
        <v>0.95</v>
      </c>
      <c r="AP66" s="291">
        <v>1.46</v>
      </c>
      <c r="AQ66" s="292" cm="1">
        <f t="array" aca="1" ref="AQ66" ca="1">INDIRECT("'"&amp;$C66&amp;"'!"&amp;"$"&amp;$D66&amp;$AQ$1&amp;"")</f>
        <v>4.3</v>
      </c>
      <c r="AR66" s="293">
        <v>0.95</v>
      </c>
      <c r="AS66" s="291">
        <v>1.35</v>
      </c>
      <c r="AT66" s="295">
        <v>0</v>
      </c>
      <c r="AU66" s="294">
        <v>67.2</v>
      </c>
      <c r="AV66" s="290" t="str" cm="1">
        <f t="array" aca="1" ref="AV66" ca="1">INDIRECT("'"&amp;$C66&amp;"'!"&amp;"$"&amp;$D66&amp;31&amp;"")</f>
        <v>PMS</v>
      </c>
      <c r="AW66" s="293" t="s">
        <v>1</v>
      </c>
      <c r="AX66" s="291" t="s">
        <v>1</v>
      </c>
      <c r="AY66" s="296">
        <v>68.7</v>
      </c>
      <c r="AZ66" s="295" cm="1">
        <f t="array" aca="1" ref="AZ66" ca="1">INDIRECT("'"&amp;$C66&amp;"'!"&amp;"$"&amp;$D66&amp;58&amp;"")</f>
        <v>13.900000000000004</v>
      </c>
      <c r="BA66" s="293">
        <v>0.95</v>
      </c>
      <c r="BB66" s="291">
        <v>4.5999999999999996</v>
      </c>
      <c r="BC66" s="295" cm="1">
        <f t="array" aca="1" ref="BC66" ca="1">INDIRECT("'"&amp;$C66&amp;"'!"&amp;"$"&amp;$D66&amp;63&amp;"")</f>
        <v>1.29</v>
      </c>
      <c r="BD66" s="293"/>
      <c r="BE66" s="293">
        <v>1</v>
      </c>
      <c r="BF66" s="291">
        <v>0.17</v>
      </c>
      <c r="BG66" s="296" cm="1">
        <f t="array" aca="1" ref="BG66" ca="1">INDIRECT("'"&amp;$C66&amp;"'!"&amp;"$"&amp;$D66&amp;78&amp;"")</f>
        <v>0.89</v>
      </c>
      <c r="BH66" s="293"/>
      <c r="BI66" s="293">
        <v>0.96</v>
      </c>
      <c r="BJ66" s="291">
        <v>0.25</v>
      </c>
      <c r="BK66" s="296" cm="1">
        <f t="array" aca="1" ref="BK66" ca="1">INDIRECT("'"&amp;$C66&amp;"'!"&amp;"$"&amp;$D66&amp;74&amp;"")</f>
        <v>3.3</v>
      </c>
      <c r="BL66" s="293"/>
      <c r="BM66" s="293">
        <v>0.98</v>
      </c>
      <c r="BN66" s="291">
        <v>0.66</v>
      </c>
    </row>
    <row r="67" spans="1:66" ht="15.75" thickBot="1" x14ac:dyDescent="0.25">
      <c r="A67" s="368">
        <v>45691</v>
      </c>
      <c r="B67" s="365">
        <v>0.5</v>
      </c>
      <c r="C67" s="315">
        <v>3</v>
      </c>
      <c r="D67" s="319" t="s">
        <v>122</v>
      </c>
      <c r="E67" s="297">
        <v>14.3</v>
      </c>
      <c r="F67" s="298">
        <v>70.48</v>
      </c>
      <c r="G67" s="299" cm="1">
        <f t="array" aca="1" ref="G67" ca="1">INDIRECT("'"&amp;$C67&amp;"'!"&amp;"$"&amp;$D67&amp;$E$1&amp;"")</f>
        <v>6.6</v>
      </c>
      <c r="H67" s="300">
        <v>0.95</v>
      </c>
      <c r="I67" s="298">
        <v>2.12</v>
      </c>
      <c r="J67" s="299" cm="1">
        <f t="array" aca="1" ref="J67" ca="1">INDIRECT("'"&amp;$C67&amp;"'!"&amp;"$"&amp;$D67&amp;$J$1&amp;"")</f>
        <v>6.6</v>
      </c>
      <c r="K67" s="300"/>
      <c r="L67" s="300">
        <v>0.95</v>
      </c>
      <c r="M67" s="298">
        <v>2.12</v>
      </c>
      <c r="N67" s="299" cm="1">
        <f t="array" aca="1" ref="N67" ca="1">INDIRECT("'"&amp;$C67&amp;"'!"&amp;"$"&amp;$D67&amp;$N$1&amp;"")</f>
        <v>6.6</v>
      </c>
      <c r="O67" s="300"/>
      <c r="P67" s="300">
        <v>0.95</v>
      </c>
      <c r="Q67" s="298">
        <v>2.12</v>
      </c>
      <c r="R67" s="299" cm="1">
        <f t="array" aca="1" ref="R67" ca="1">INDIRECT("'"&amp;$C67&amp;"'!"&amp;"$"&amp;$D67&amp;$R$1&amp;"")</f>
        <v>6.6</v>
      </c>
      <c r="S67" s="300"/>
      <c r="T67" s="300">
        <v>0.95</v>
      </c>
      <c r="U67" s="298">
        <v>2.12</v>
      </c>
      <c r="V67" s="299" t="str" cm="1">
        <f t="array" aca="1" ref="V67" ca="1">INDIRECT("'"&amp;$C67&amp;"'!"&amp;"$"&amp;$D67&amp;$V$1&amp;"")</f>
        <v>CMS</v>
      </c>
      <c r="W67" s="300" t="s">
        <v>1</v>
      </c>
      <c r="X67" s="300" t="s">
        <v>1</v>
      </c>
      <c r="Y67" s="301" t="s">
        <v>1</v>
      </c>
      <c r="Z67" s="297" cm="1">
        <f t="array" aca="1" ref="Z67" ca="1">INDIRECT("'"&amp;$C67&amp;"'!"&amp;"$"&amp;$D67&amp;$Z$1&amp;"")</f>
        <v>0</v>
      </c>
      <c r="AA67" s="300" t="s">
        <v>1</v>
      </c>
      <c r="AB67" s="300" t="s">
        <v>1</v>
      </c>
      <c r="AC67" s="298" t="s">
        <v>1</v>
      </c>
      <c r="AD67" s="299" cm="1">
        <f t="array" aca="1" ref="AD67" ca="1">INDIRECT("'"&amp;$C67&amp;"'!"&amp;"$"&amp;$D67&amp;$AD$1&amp;"")</f>
        <v>3.2</v>
      </c>
      <c r="AE67" s="300">
        <f>3.8*3.52</f>
        <v>13.375999999999999</v>
      </c>
      <c r="AF67" s="300">
        <v>0.94</v>
      </c>
      <c r="AG67" s="301">
        <v>1.2</v>
      </c>
      <c r="AH67" s="297" t="str" cm="1">
        <f t="array" aca="1" ref="AH67" ca="1">INDIRECT("'"&amp;$C67&amp;"'!"&amp;"$"&amp;$D67&amp;$AH$1&amp;"")</f>
        <v>CMS</v>
      </c>
      <c r="AI67" s="300" t="s">
        <v>1</v>
      </c>
      <c r="AJ67" s="300" t="s">
        <v>1</v>
      </c>
      <c r="AK67" s="298" t="s">
        <v>1</v>
      </c>
      <c r="AL67" s="297">
        <v>11.7</v>
      </c>
      <c r="AM67" s="301">
        <v>69.099999999999994</v>
      </c>
      <c r="AN67" s="297" cm="1">
        <f t="array" aca="1" ref="AN67" ca="1">INDIRECT("'"&amp;$C67&amp;"'!"&amp;"$"&amp;$D67&amp;$AL$1&amp;"")</f>
        <v>4</v>
      </c>
      <c r="AO67" s="300">
        <v>0.95</v>
      </c>
      <c r="AP67" s="298">
        <v>1.24</v>
      </c>
      <c r="AQ67" s="299" cm="1">
        <f t="array" aca="1" ref="AQ67" ca="1">INDIRECT("'"&amp;$C67&amp;"'!"&amp;"$"&amp;$D67&amp;$AQ$1&amp;"")</f>
        <v>4</v>
      </c>
      <c r="AR67" s="300">
        <v>0.95</v>
      </c>
      <c r="AS67" s="298">
        <v>1.1299999999999999</v>
      </c>
      <c r="AT67" s="302">
        <v>0</v>
      </c>
      <c r="AU67" s="301">
        <v>67.3</v>
      </c>
      <c r="AV67" s="297" t="str" cm="1">
        <f t="array" aca="1" ref="AV67" ca="1">INDIRECT("'"&amp;$C67&amp;"'!"&amp;"$"&amp;$D67&amp;31&amp;"")</f>
        <v>PMS</v>
      </c>
      <c r="AW67" s="300" t="s">
        <v>1</v>
      </c>
      <c r="AX67" s="298" t="s">
        <v>1</v>
      </c>
      <c r="AY67" s="303">
        <v>68.8</v>
      </c>
      <c r="AZ67" s="302" cm="1">
        <f t="array" aca="1" ref="AZ67" ca="1">INDIRECT("'"&amp;$C67&amp;"'!"&amp;"$"&amp;$D67&amp;58&amp;"")</f>
        <v>15.199999999999989</v>
      </c>
      <c r="BA67" s="300">
        <v>0.95</v>
      </c>
      <c r="BB67" s="298">
        <v>4.9000000000000004</v>
      </c>
      <c r="BC67" s="302" cm="1">
        <f t="array" aca="1" ref="BC67" ca="1">INDIRECT("'"&amp;$C67&amp;"'!"&amp;"$"&amp;$D67&amp;63&amp;"")</f>
        <v>1.29</v>
      </c>
      <c r="BD67" s="300"/>
      <c r="BE67" s="300">
        <v>0.99</v>
      </c>
      <c r="BF67" s="298">
        <v>0.16</v>
      </c>
      <c r="BG67" s="303" cm="1">
        <f t="array" aca="1" ref="BG67" ca="1">INDIRECT("'"&amp;$C67&amp;"'!"&amp;"$"&amp;$D67&amp;78&amp;"")</f>
        <v>0.89</v>
      </c>
      <c r="BH67" s="300"/>
      <c r="BI67" s="300">
        <v>0.96</v>
      </c>
      <c r="BJ67" s="298">
        <v>0.24</v>
      </c>
      <c r="BK67" s="303" cm="1">
        <f t="array" aca="1" ref="BK67" ca="1">INDIRECT("'"&amp;$C67&amp;"'!"&amp;"$"&amp;$D67&amp;74&amp;"")</f>
        <v>3.3</v>
      </c>
      <c r="BL67" s="300"/>
      <c r="BM67" s="300">
        <v>0.98</v>
      </c>
      <c r="BN67" s="298">
        <v>0.67</v>
      </c>
    </row>
    <row r="68" spans="1:66" ht="15.75" thickBot="1" x14ac:dyDescent="0.25">
      <c r="A68" s="368">
        <v>45691</v>
      </c>
      <c r="B68" s="365">
        <v>0.54166666666666696</v>
      </c>
      <c r="C68" s="315">
        <v>3</v>
      </c>
      <c r="D68" s="319" t="s">
        <v>123</v>
      </c>
      <c r="E68" s="290">
        <v>14.3</v>
      </c>
      <c r="F68" s="291">
        <v>70.040000000000006</v>
      </c>
      <c r="G68" s="292" cm="1">
        <f t="array" aca="1" ref="G68" ca="1">INDIRECT("'"&amp;$C68&amp;"'!"&amp;"$"&amp;$D68&amp;$E$1&amp;"")</f>
        <v>6.6</v>
      </c>
      <c r="H68" s="293">
        <v>0.95</v>
      </c>
      <c r="I68" s="291">
        <v>2.13</v>
      </c>
      <c r="J68" s="292" cm="1">
        <f t="array" aca="1" ref="J68" ca="1">INDIRECT("'"&amp;$C68&amp;"'!"&amp;"$"&amp;$D68&amp;$J$1&amp;"")</f>
        <v>6.6</v>
      </c>
      <c r="K68" s="293"/>
      <c r="L68" s="293">
        <v>0.95</v>
      </c>
      <c r="M68" s="291">
        <v>2.13</v>
      </c>
      <c r="N68" s="292" cm="1">
        <f t="array" aca="1" ref="N68" ca="1">INDIRECT("'"&amp;$C68&amp;"'!"&amp;"$"&amp;$D68&amp;$N$1&amp;"")</f>
        <v>6.6</v>
      </c>
      <c r="O68" s="293"/>
      <c r="P68" s="293">
        <v>0.95</v>
      </c>
      <c r="Q68" s="291">
        <v>2.13</v>
      </c>
      <c r="R68" s="292" cm="1">
        <f t="array" aca="1" ref="R68" ca="1">INDIRECT("'"&amp;$C68&amp;"'!"&amp;"$"&amp;$D68&amp;$R$1&amp;"")</f>
        <v>6.6</v>
      </c>
      <c r="S68" s="293"/>
      <c r="T68" s="293">
        <v>0.95</v>
      </c>
      <c r="U68" s="291">
        <v>2.13</v>
      </c>
      <c r="V68" s="292" t="str" cm="1">
        <f t="array" aca="1" ref="V68" ca="1">INDIRECT("'"&amp;$C68&amp;"'!"&amp;"$"&amp;$D68&amp;$V$1&amp;"")</f>
        <v>CMS</v>
      </c>
      <c r="W68" s="293" t="s">
        <v>1</v>
      </c>
      <c r="X68" s="293" t="s">
        <v>1</v>
      </c>
      <c r="Y68" s="294" t="s">
        <v>1</v>
      </c>
      <c r="Z68" s="290" cm="1">
        <f t="array" aca="1" ref="Z68" ca="1">INDIRECT("'"&amp;$C68&amp;"'!"&amp;"$"&amp;$D68&amp;$Z$1&amp;"")</f>
        <v>0</v>
      </c>
      <c r="AA68" s="293" t="s">
        <v>1</v>
      </c>
      <c r="AB68" s="293" t="s">
        <v>1</v>
      </c>
      <c r="AC68" s="291" t="s">
        <v>1</v>
      </c>
      <c r="AD68" s="292" cm="1">
        <f t="array" aca="1" ref="AD68" ca="1">INDIRECT("'"&amp;$C68&amp;"'!"&amp;"$"&amp;$D68&amp;$AD$1&amp;"")</f>
        <v>3.2</v>
      </c>
      <c r="AE68" s="293">
        <f>3.8*3.49</f>
        <v>13.262</v>
      </c>
      <c r="AF68" s="293">
        <v>0.94</v>
      </c>
      <c r="AG68" s="294">
        <v>1.23</v>
      </c>
      <c r="AH68" s="290" t="str" cm="1">
        <f t="array" aca="1" ref="AH68" ca="1">INDIRECT("'"&amp;$C68&amp;"'!"&amp;"$"&amp;$D68&amp;$AH$1&amp;"")</f>
        <v>CMS</v>
      </c>
      <c r="AI68" s="293" t="s">
        <v>1</v>
      </c>
      <c r="AJ68" s="293" t="s">
        <v>1</v>
      </c>
      <c r="AK68" s="291" t="s">
        <v>1</v>
      </c>
      <c r="AL68" s="290">
        <v>11.7</v>
      </c>
      <c r="AM68" s="294">
        <v>68.900000000000006</v>
      </c>
      <c r="AN68" s="290" cm="1">
        <f t="array" aca="1" ref="AN68" ca="1">INDIRECT("'"&amp;$C68&amp;"'!"&amp;"$"&amp;$D68&amp;$AL$1&amp;"")</f>
        <v>4.0999999999999996</v>
      </c>
      <c r="AO68" s="293">
        <v>0.95</v>
      </c>
      <c r="AP68" s="291">
        <v>1.41</v>
      </c>
      <c r="AQ68" s="292" cm="1">
        <f t="array" aca="1" ref="AQ68" ca="1">INDIRECT("'"&amp;$C68&amp;"'!"&amp;"$"&amp;$D68&amp;$AQ$1&amp;"")</f>
        <v>4.0999999999999996</v>
      </c>
      <c r="AR68" s="293">
        <v>0.95</v>
      </c>
      <c r="AS68" s="291">
        <v>1.3</v>
      </c>
      <c r="AT68" s="295">
        <v>0</v>
      </c>
      <c r="AU68" s="294">
        <v>67.5</v>
      </c>
      <c r="AV68" s="290" t="str" cm="1">
        <f t="array" aca="1" ref="AV68" ca="1">INDIRECT("'"&amp;$C68&amp;"'!"&amp;"$"&amp;$D68&amp;31&amp;"")</f>
        <v>PMS</v>
      </c>
      <c r="AW68" s="293" t="s">
        <v>1</v>
      </c>
      <c r="AX68" s="291" t="s">
        <v>1</v>
      </c>
      <c r="AY68" s="296">
        <v>68.599999999999994</v>
      </c>
      <c r="AZ68" s="295" cm="1">
        <f t="array" aca="1" ref="AZ68" ca="1">INDIRECT("'"&amp;$C68&amp;"'!"&amp;"$"&amp;$D68&amp;58&amp;"")</f>
        <v>15.200000000000005</v>
      </c>
      <c r="BA68" s="293">
        <v>0.96</v>
      </c>
      <c r="BB68" s="291">
        <v>4.4000000000000004</v>
      </c>
      <c r="BC68" s="295" cm="1">
        <f t="array" aca="1" ref="BC68" ca="1">INDIRECT("'"&amp;$C68&amp;"'!"&amp;"$"&amp;$D68&amp;63&amp;"")</f>
        <v>1.33</v>
      </c>
      <c r="BD68" s="293"/>
      <c r="BE68" s="293">
        <v>0.99</v>
      </c>
      <c r="BF68" s="291">
        <v>0.16</v>
      </c>
      <c r="BG68" s="296" cm="1">
        <f t="array" aca="1" ref="BG68" ca="1">INDIRECT("'"&amp;$C68&amp;"'!"&amp;"$"&amp;$D68&amp;78&amp;"")</f>
        <v>0.94</v>
      </c>
      <c r="BH68" s="293"/>
      <c r="BI68" s="293">
        <v>0.96</v>
      </c>
      <c r="BJ68" s="291">
        <v>0.26</v>
      </c>
      <c r="BK68" s="296" cm="1">
        <f t="array" aca="1" ref="BK68" ca="1">INDIRECT("'"&amp;$C68&amp;"'!"&amp;"$"&amp;$D68&amp;74&amp;"")</f>
        <v>3.3</v>
      </c>
      <c r="BL68" s="293"/>
      <c r="BM68" s="293">
        <v>0.99</v>
      </c>
      <c r="BN68" s="291">
        <v>0.47</v>
      </c>
    </row>
    <row r="69" spans="1:66" ht="15.75" thickBot="1" x14ac:dyDescent="0.25">
      <c r="A69" s="368">
        <v>45691</v>
      </c>
      <c r="B69" s="365">
        <v>0.58333333333333404</v>
      </c>
      <c r="C69" s="315">
        <v>3</v>
      </c>
      <c r="D69" s="319" t="s">
        <v>124</v>
      </c>
      <c r="E69" s="297">
        <v>14.4</v>
      </c>
      <c r="F69" s="298">
        <v>70.58</v>
      </c>
      <c r="G69" s="299" cm="1">
        <f t="array" aca="1" ref="G69" ca="1">INDIRECT("'"&amp;$C69&amp;"'!"&amp;"$"&amp;$D69&amp;$E$1&amp;"")</f>
        <v>6.7</v>
      </c>
      <c r="H69" s="300">
        <v>0.94</v>
      </c>
      <c r="I69" s="298">
        <v>2.4</v>
      </c>
      <c r="J69" s="299" cm="1">
        <f t="array" aca="1" ref="J69" ca="1">INDIRECT("'"&amp;$C69&amp;"'!"&amp;"$"&amp;$D69&amp;$J$1&amp;"")</f>
        <v>6.7</v>
      </c>
      <c r="K69" s="300"/>
      <c r="L69" s="300">
        <v>0.94</v>
      </c>
      <c r="M69" s="298">
        <v>2.4</v>
      </c>
      <c r="N69" s="299" cm="1">
        <f t="array" aca="1" ref="N69" ca="1">INDIRECT("'"&amp;$C69&amp;"'!"&amp;"$"&amp;$D69&amp;$N$1&amp;"")</f>
        <v>6.7</v>
      </c>
      <c r="O69" s="300"/>
      <c r="P69" s="300">
        <v>0.94</v>
      </c>
      <c r="Q69" s="298">
        <v>2.4</v>
      </c>
      <c r="R69" s="299" cm="1">
        <f t="array" aca="1" ref="R69" ca="1">INDIRECT("'"&amp;$C69&amp;"'!"&amp;"$"&amp;$D69&amp;$R$1&amp;"")</f>
        <v>6.7</v>
      </c>
      <c r="S69" s="300"/>
      <c r="T69" s="300">
        <v>0.94</v>
      </c>
      <c r="U69" s="298">
        <v>2.4</v>
      </c>
      <c r="V69" s="299" t="str" cm="1">
        <f t="array" aca="1" ref="V69" ca="1">INDIRECT("'"&amp;$C69&amp;"'!"&amp;"$"&amp;$D69&amp;$V$1&amp;"")</f>
        <v>CMS</v>
      </c>
      <c r="W69" s="300" t="s">
        <v>1</v>
      </c>
      <c r="X69" s="300" t="s">
        <v>1</v>
      </c>
      <c r="Y69" s="301" t="s">
        <v>1</v>
      </c>
      <c r="Z69" s="297" cm="1">
        <f t="array" aca="1" ref="Z69" ca="1">INDIRECT("'"&amp;$C69&amp;"'!"&amp;"$"&amp;$D69&amp;$Z$1&amp;"")</f>
        <v>0</v>
      </c>
      <c r="AA69" s="300" t="s">
        <v>1</v>
      </c>
      <c r="AB69" s="300" t="s">
        <v>1</v>
      </c>
      <c r="AC69" s="298" t="s">
        <v>1</v>
      </c>
      <c r="AD69" s="299" cm="1">
        <f t="array" aca="1" ref="AD69" ca="1">INDIRECT("'"&amp;$C69&amp;"'!"&amp;"$"&amp;$D69&amp;$AD$1&amp;"")</f>
        <v>3.2</v>
      </c>
      <c r="AE69" s="300">
        <f t="shared" ref="AE69" si="1">3.8*3.52</f>
        <v>13.375999999999999</v>
      </c>
      <c r="AF69" s="300">
        <v>0.94</v>
      </c>
      <c r="AG69" s="301">
        <v>1.21</v>
      </c>
      <c r="AH69" s="297" t="str" cm="1">
        <f t="array" aca="1" ref="AH69" ca="1">INDIRECT("'"&amp;$C69&amp;"'!"&amp;"$"&amp;$D69&amp;$AH$1&amp;"")</f>
        <v>CMS</v>
      </c>
      <c r="AI69" s="300" t="s">
        <v>1</v>
      </c>
      <c r="AJ69" s="300" t="s">
        <v>1</v>
      </c>
      <c r="AK69" s="298" t="s">
        <v>1</v>
      </c>
      <c r="AL69" s="297">
        <v>11.8</v>
      </c>
      <c r="AM69" s="301">
        <v>69.7</v>
      </c>
      <c r="AN69" s="297" cm="1">
        <f t="array" aca="1" ref="AN69" ca="1">INDIRECT("'"&amp;$C69&amp;"'!"&amp;"$"&amp;$D69&amp;$AL$1&amp;"")</f>
        <v>4.3</v>
      </c>
      <c r="AO69" s="300">
        <v>0.97</v>
      </c>
      <c r="AP69" s="298">
        <v>1.93</v>
      </c>
      <c r="AQ69" s="299" cm="1">
        <f t="array" aca="1" ref="AQ69" ca="1">INDIRECT("'"&amp;$C69&amp;"'!"&amp;"$"&amp;$D69&amp;$AQ$1&amp;"")</f>
        <v>4.3</v>
      </c>
      <c r="AR69" s="300">
        <v>0.97</v>
      </c>
      <c r="AS69" s="298">
        <v>1.84</v>
      </c>
      <c r="AT69" s="302">
        <v>0</v>
      </c>
      <c r="AU69" s="301">
        <v>68.599999999999994</v>
      </c>
      <c r="AV69" s="297" t="str" cm="1">
        <f t="array" aca="1" ref="AV69" ca="1">INDIRECT("'"&amp;$C69&amp;"'!"&amp;"$"&amp;$D69&amp;31&amp;"")</f>
        <v>PMS</v>
      </c>
      <c r="AW69" s="300" t="s">
        <v>1</v>
      </c>
      <c r="AX69" s="298" t="s">
        <v>1</v>
      </c>
      <c r="AY69" s="303">
        <v>69.099999999999994</v>
      </c>
      <c r="AZ69" s="302" cm="1">
        <f t="array" aca="1" ref="AZ69" ca="1">INDIRECT("'"&amp;$C69&amp;"'!"&amp;"$"&amp;$D69&amp;58&amp;"")</f>
        <v>14.899999999999997</v>
      </c>
      <c r="BA69" s="300">
        <v>0.95</v>
      </c>
      <c r="BB69" s="298">
        <v>4.8</v>
      </c>
      <c r="BC69" s="302" cm="1">
        <f t="array" aca="1" ref="BC69" ca="1">INDIRECT("'"&amp;$C69&amp;"'!"&amp;"$"&amp;$D69&amp;63&amp;"")</f>
        <v>1.33</v>
      </c>
      <c r="BD69" s="300"/>
      <c r="BE69" s="300">
        <v>0.99</v>
      </c>
      <c r="BF69" s="298">
        <v>0.18</v>
      </c>
      <c r="BG69" s="303" cm="1">
        <f t="array" aca="1" ref="BG69" ca="1">INDIRECT("'"&amp;$C69&amp;"'!"&amp;"$"&amp;$D69&amp;78&amp;"")</f>
        <v>0.93</v>
      </c>
      <c r="BH69" s="300"/>
      <c r="BI69" s="300">
        <v>0.96</v>
      </c>
      <c r="BJ69" s="298">
        <v>0.25</v>
      </c>
      <c r="BK69" s="303" cm="1">
        <f t="array" aca="1" ref="BK69" ca="1">INDIRECT("'"&amp;$C69&amp;"'!"&amp;"$"&amp;$D69&amp;74&amp;"")</f>
        <v>3.3</v>
      </c>
      <c r="BL69" s="300"/>
      <c r="BM69" s="300">
        <v>0.99</v>
      </c>
      <c r="BN69" s="298">
        <v>0.46</v>
      </c>
    </row>
    <row r="70" spans="1:66" ht="15.75" thickBot="1" x14ac:dyDescent="0.25">
      <c r="A70" s="368">
        <v>45691</v>
      </c>
      <c r="B70" s="365">
        <v>0.625</v>
      </c>
      <c r="C70" s="315">
        <v>3</v>
      </c>
      <c r="D70" s="319" t="s">
        <v>125</v>
      </c>
      <c r="E70" s="290">
        <v>14.3</v>
      </c>
      <c r="F70" s="291">
        <v>70.13</v>
      </c>
      <c r="G70" s="292" cm="1">
        <f t="array" aca="1" ref="G70" ca="1">INDIRECT("'"&amp;$C70&amp;"'!"&amp;"$"&amp;$D70&amp;$E$1&amp;"")</f>
        <v>6.6</v>
      </c>
      <c r="H70" s="293">
        <v>0.96</v>
      </c>
      <c r="I70" s="291">
        <v>2</v>
      </c>
      <c r="J70" s="292" cm="1">
        <f t="array" aca="1" ref="J70" ca="1">INDIRECT("'"&amp;$C70&amp;"'!"&amp;"$"&amp;$D70&amp;$J$1&amp;"")</f>
        <v>6.6</v>
      </c>
      <c r="K70" s="293"/>
      <c r="L70" s="293">
        <v>0.96</v>
      </c>
      <c r="M70" s="291">
        <v>2</v>
      </c>
      <c r="N70" s="292" cm="1">
        <f t="array" aca="1" ref="N70" ca="1">INDIRECT("'"&amp;$C70&amp;"'!"&amp;"$"&amp;$D70&amp;$N$1&amp;"")</f>
        <v>6.6</v>
      </c>
      <c r="O70" s="293"/>
      <c r="P70" s="293">
        <v>0.96</v>
      </c>
      <c r="Q70" s="291">
        <v>2</v>
      </c>
      <c r="R70" s="292" cm="1">
        <f t="array" aca="1" ref="R70" ca="1">INDIRECT("'"&amp;$C70&amp;"'!"&amp;"$"&amp;$D70&amp;$R$1&amp;"")</f>
        <v>6.6</v>
      </c>
      <c r="S70" s="293"/>
      <c r="T70" s="293">
        <v>0.96</v>
      </c>
      <c r="U70" s="291">
        <v>2</v>
      </c>
      <c r="V70" s="292" t="str" cm="1">
        <f t="array" aca="1" ref="V70" ca="1">INDIRECT("'"&amp;$C70&amp;"'!"&amp;"$"&amp;$D70&amp;$V$1&amp;"")</f>
        <v>CMS</v>
      </c>
      <c r="W70" s="293" t="s">
        <v>1</v>
      </c>
      <c r="X70" s="293" t="s">
        <v>1</v>
      </c>
      <c r="Y70" s="294" t="s">
        <v>1</v>
      </c>
      <c r="Z70" s="290" cm="1">
        <f t="array" aca="1" ref="Z70" ca="1">INDIRECT("'"&amp;$C70&amp;"'!"&amp;"$"&amp;$D70&amp;$Z$1&amp;"")</f>
        <v>0</v>
      </c>
      <c r="AA70" s="293" t="s">
        <v>1</v>
      </c>
      <c r="AB70" s="293" t="s">
        <v>1</v>
      </c>
      <c r="AC70" s="291" t="s">
        <v>1</v>
      </c>
      <c r="AD70" s="292" cm="1">
        <f t="array" aca="1" ref="AD70" ca="1">INDIRECT("'"&amp;$C70&amp;"'!"&amp;"$"&amp;$D70&amp;$AD$1&amp;"")</f>
        <v>3.2</v>
      </c>
      <c r="AE70" s="293">
        <f t="shared" ref="AE70" si="2">3.8*3.49</f>
        <v>13.262</v>
      </c>
      <c r="AF70" s="293">
        <v>0.95</v>
      </c>
      <c r="AG70" s="294">
        <v>1.1000000000000001</v>
      </c>
      <c r="AH70" s="290" t="str" cm="1">
        <f t="array" aca="1" ref="AH70" ca="1">INDIRECT("'"&amp;$C70&amp;"'!"&amp;"$"&amp;$D70&amp;$AH$1&amp;"")</f>
        <v>CMS</v>
      </c>
      <c r="AI70" s="293" t="s">
        <v>1</v>
      </c>
      <c r="AJ70" s="293" t="s">
        <v>1</v>
      </c>
      <c r="AK70" s="291" t="s">
        <v>1</v>
      </c>
      <c r="AL70" s="290">
        <v>11.8</v>
      </c>
      <c r="AM70" s="294">
        <v>69.8</v>
      </c>
      <c r="AN70" s="290" cm="1">
        <f t="array" aca="1" ref="AN70" ca="1">INDIRECT("'"&amp;$C70&amp;"'!"&amp;"$"&amp;$D70&amp;$AL$1&amp;"")</f>
        <v>4.2</v>
      </c>
      <c r="AO70" s="293">
        <v>0.96</v>
      </c>
      <c r="AP70" s="291">
        <v>1.18</v>
      </c>
      <c r="AQ70" s="292" cm="1">
        <f t="array" aca="1" ref="AQ70" ca="1">INDIRECT("'"&amp;$C70&amp;"'!"&amp;"$"&amp;$D70&amp;$AQ$1&amp;"")</f>
        <v>4.2</v>
      </c>
      <c r="AR70" s="293">
        <v>0.96</v>
      </c>
      <c r="AS70" s="291">
        <v>1.18</v>
      </c>
      <c r="AT70" s="295">
        <v>0</v>
      </c>
      <c r="AU70" s="294">
        <v>68.8</v>
      </c>
      <c r="AV70" s="290" t="str" cm="1">
        <f t="array" aca="1" ref="AV70" ca="1">INDIRECT("'"&amp;$C70&amp;"'!"&amp;"$"&amp;$D70&amp;31&amp;"")</f>
        <v>PMS</v>
      </c>
      <c r="AW70" s="293" t="s">
        <v>1</v>
      </c>
      <c r="AX70" s="291" t="s">
        <v>1</v>
      </c>
      <c r="AY70" s="296">
        <v>68.900000000000006</v>
      </c>
      <c r="AZ70" s="295" cm="1">
        <f t="array" aca="1" ref="AZ70" ca="1">INDIRECT("'"&amp;$C70&amp;"'!"&amp;"$"&amp;$D70&amp;58&amp;"")</f>
        <v>14.101111111111107</v>
      </c>
      <c r="BA70" s="293">
        <v>0.96</v>
      </c>
      <c r="BB70" s="291">
        <v>4.0999999999999996</v>
      </c>
      <c r="BC70" s="295" cm="1">
        <f t="array" aca="1" ref="BC70" ca="1">INDIRECT("'"&amp;$C70&amp;"'!"&amp;"$"&amp;$D70&amp;63&amp;"")</f>
        <v>1.18</v>
      </c>
      <c r="BD70" s="293"/>
      <c r="BE70" s="293">
        <v>0.99</v>
      </c>
      <c r="BF70" s="291">
        <v>0.16</v>
      </c>
      <c r="BG70" s="296" cm="1">
        <f t="array" aca="1" ref="BG70" ca="1">INDIRECT("'"&amp;$C70&amp;"'!"&amp;"$"&amp;$D70&amp;78&amp;"")</f>
        <v>0.91</v>
      </c>
      <c r="BH70" s="293"/>
      <c r="BI70" s="293">
        <v>0.96</v>
      </c>
      <c r="BJ70" s="291">
        <v>0.26</v>
      </c>
      <c r="BK70" s="296" cm="1">
        <f t="array" aca="1" ref="BK70" ca="1">INDIRECT("'"&amp;$C70&amp;"'!"&amp;"$"&amp;$D70&amp;74&amp;"")</f>
        <v>3.3</v>
      </c>
      <c r="BL70" s="293"/>
      <c r="BM70" s="293">
        <v>0.99</v>
      </c>
      <c r="BN70" s="291">
        <v>0.47</v>
      </c>
    </row>
    <row r="71" spans="1:66" ht="15.75" thickBot="1" x14ac:dyDescent="0.25">
      <c r="A71" s="368">
        <v>45691</v>
      </c>
      <c r="B71" s="365">
        <v>0.66666666666666696</v>
      </c>
      <c r="C71" s="315">
        <v>3</v>
      </c>
      <c r="D71" s="319" t="s">
        <v>126</v>
      </c>
      <c r="E71" s="297">
        <v>14.3</v>
      </c>
      <c r="F71" s="298">
        <v>70.400000000000006</v>
      </c>
      <c r="G71" s="299" cm="1">
        <f t="array" aca="1" ref="G71" ca="1">INDIRECT("'"&amp;$C71&amp;"'!"&amp;"$"&amp;$D71&amp;$E$1&amp;"")</f>
        <v>6.8</v>
      </c>
      <c r="H71" s="300">
        <v>0.96</v>
      </c>
      <c r="I71" s="298">
        <v>2.08</v>
      </c>
      <c r="J71" s="299" cm="1">
        <f t="array" aca="1" ref="J71" ca="1">INDIRECT("'"&amp;$C71&amp;"'!"&amp;"$"&amp;$D71&amp;$J$1&amp;"")</f>
        <v>6.8</v>
      </c>
      <c r="K71" s="300"/>
      <c r="L71" s="300">
        <v>0.96</v>
      </c>
      <c r="M71" s="298">
        <v>2.08</v>
      </c>
      <c r="N71" s="299" cm="1">
        <f t="array" aca="1" ref="N71" ca="1">INDIRECT("'"&amp;$C71&amp;"'!"&amp;"$"&amp;$D71&amp;$N$1&amp;"")</f>
        <v>6.8</v>
      </c>
      <c r="O71" s="300"/>
      <c r="P71" s="300">
        <v>0.96</v>
      </c>
      <c r="Q71" s="298">
        <v>2.08</v>
      </c>
      <c r="R71" s="299" cm="1">
        <f t="array" aca="1" ref="R71" ca="1">INDIRECT("'"&amp;$C71&amp;"'!"&amp;"$"&amp;$D71&amp;$R$1&amp;"")</f>
        <v>6.8</v>
      </c>
      <c r="S71" s="300"/>
      <c r="T71" s="300">
        <v>0.96</v>
      </c>
      <c r="U71" s="298">
        <v>2.08</v>
      </c>
      <c r="V71" s="299" t="str" cm="1">
        <f t="array" aca="1" ref="V71" ca="1">INDIRECT("'"&amp;$C71&amp;"'!"&amp;"$"&amp;$D71&amp;$V$1&amp;"")</f>
        <v>CMS</v>
      </c>
      <c r="W71" s="300" t="s">
        <v>1</v>
      </c>
      <c r="X71" s="300" t="s">
        <v>1</v>
      </c>
      <c r="Y71" s="301" t="s">
        <v>1</v>
      </c>
      <c r="Z71" s="297" cm="1">
        <f t="array" aca="1" ref="Z71" ca="1">INDIRECT("'"&amp;$C71&amp;"'!"&amp;"$"&amp;$D71&amp;$Z$1&amp;"")</f>
        <v>0</v>
      </c>
      <c r="AA71" s="300" t="s">
        <v>1</v>
      </c>
      <c r="AB71" s="300" t="s">
        <v>1</v>
      </c>
      <c r="AC71" s="298" t="s">
        <v>1</v>
      </c>
      <c r="AD71" s="299" cm="1">
        <f t="array" aca="1" ref="AD71" ca="1">INDIRECT("'"&amp;$C71&amp;"'!"&amp;"$"&amp;$D71&amp;$AD$1&amp;"")</f>
        <v>3.2</v>
      </c>
      <c r="AE71" s="300">
        <f>3.8*3.53</f>
        <v>13.413999999999998</v>
      </c>
      <c r="AF71" s="300">
        <v>0.94</v>
      </c>
      <c r="AG71" s="301">
        <v>1.21</v>
      </c>
      <c r="AH71" s="297" t="str" cm="1">
        <f t="array" aca="1" ref="AH71" ca="1">INDIRECT("'"&amp;$C71&amp;"'!"&amp;"$"&amp;$D71&amp;$AH$1&amp;"")</f>
        <v>CMS</v>
      </c>
      <c r="AI71" s="300" t="s">
        <v>1</v>
      </c>
      <c r="AJ71" s="300" t="s">
        <v>1</v>
      </c>
      <c r="AK71" s="298" t="s">
        <v>1</v>
      </c>
      <c r="AL71" s="297">
        <v>11.8</v>
      </c>
      <c r="AM71" s="301">
        <v>69.8</v>
      </c>
      <c r="AN71" s="297" cm="1">
        <f t="array" aca="1" ref="AN71" ca="1">INDIRECT("'"&amp;$C71&amp;"'!"&amp;"$"&amp;$D71&amp;$AL$1&amp;"")</f>
        <v>4.2</v>
      </c>
      <c r="AO71" s="300">
        <v>0.95</v>
      </c>
      <c r="AP71" s="298">
        <v>1.25</v>
      </c>
      <c r="AQ71" s="299" cm="1">
        <f t="array" aca="1" ref="AQ71" ca="1">INDIRECT("'"&amp;$C71&amp;"'!"&amp;"$"&amp;$D71&amp;$AQ$1&amp;"")</f>
        <v>4.2</v>
      </c>
      <c r="AR71" s="300">
        <v>0.95</v>
      </c>
      <c r="AS71" s="298">
        <v>1.17</v>
      </c>
      <c r="AT71" s="302">
        <v>0</v>
      </c>
      <c r="AU71" s="301">
        <v>69.8</v>
      </c>
      <c r="AV71" s="297" t="str" cm="1">
        <f t="array" aca="1" ref="AV71" ca="1">INDIRECT("'"&amp;$C71&amp;"'!"&amp;"$"&amp;$D71&amp;31&amp;"")</f>
        <v>PMS</v>
      </c>
      <c r="AW71" s="300" t="s">
        <v>1</v>
      </c>
      <c r="AX71" s="298" t="s">
        <v>1</v>
      </c>
      <c r="AY71" s="303">
        <v>69.2</v>
      </c>
      <c r="AZ71" s="302" cm="1">
        <f t="array" aca="1" ref="AZ71" ca="1">INDIRECT("'"&amp;$C71&amp;"'!"&amp;"$"&amp;$D71&amp;58&amp;"")</f>
        <v>14.902222222222219</v>
      </c>
      <c r="BA71" s="300">
        <v>0.95</v>
      </c>
      <c r="BB71" s="298">
        <v>4.8</v>
      </c>
      <c r="BC71" s="302" cm="1">
        <f t="array" aca="1" ref="BC71" ca="1">INDIRECT("'"&amp;$C71&amp;"'!"&amp;"$"&amp;$D71&amp;63&amp;"")</f>
        <v>1.335</v>
      </c>
      <c r="BD71" s="300"/>
      <c r="BE71" s="300">
        <v>0.99</v>
      </c>
      <c r="BF71" s="298">
        <v>0.19</v>
      </c>
      <c r="BG71" s="303" cm="1">
        <f t="array" aca="1" ref="BG71" ca="1">INDIRECT("'"&amp;$C71&amp;"'!"&amp;"$"&amp;$D71&amp;78&amp;"")</f>
        <v>0.9</v>
      </c>
      <c r="BH71" s="300"/>
      <c r="BI71" s="300">
        <v>0.96</v>
      </c>
      <c r="BJ71" s="298">
        <v>0.26</v>
      </c>
      <c r="BK71" s="303" cm="1">
        <f t="array" aca="1" ref="BK71" ca="1">INDIRECT("'"&amp;$C71&amp;"'!"&amp;"$"&amp;$D71&amp;74&amp;"")</f>
        <v>3.5</v>
      </c>
      <c r="BL71" s="300"/>
      <c r="BM71" s="300">
        <v>0.99</v>
      </c>
      <c r="BN71" s="298">
        <v>0.49</v>
      </c>
    </row>
    <row r="72" spans="1:66" ht="15.75" thickBot="1" x14ac:dyDescent="0.25">
      <c r="A72" s="368">
        <v>45691</v>
      </c>
      <c r="B72" s="365">
        <v>0.70833333333333404</v>
      </c>
      <c r="C72" s="315">
        <v>3</v>
      </c>
      <c r="D72" s="319" t="s">
        <v>127</v>
      </c>
      <c r="E72" s="290">
        <v>14.3</v>
      </c>
      <c r="F72" s="291">
        <v>71</v>
      </c>
      <c r="G72" s="292" cm="1">
        <f t="array" aca="1" ref="G72" ca="1">INDIRECT("'"&amp;$C72&amp;"'!"&amp;"$"&amp;$D72&amp;$E$1&amp;"")</f>
        <v>6.6</v>
      </c>
      <c r="H72" s="293">
        <v>0.96</v>
      </c>
      <c r="I72" s="291">
        <v>1.9</v>
      </c>
      <c r="J72" s="292" cm="1">
        <f t="array" aca="1" ref="J72" ca="1">INDIRECT("'"&amp;$C72&amp;"'!"&amp;"$"&amp;$D72&amp;$J$1&amp;"")</f>
        <v>6.6</v>
      </c>
      <c r="K72" s="293"/>
      <c r="L72" s="293">
        <v>0.96</v>
      </c>
      <c r="M72" s="291">
        <v>1.9</v>
      </c>
      <c r="N72" s="292" cm="1">
        <f t="array" aca="1" ref="N72" ca="1">INDIRECT("'"&amp;$C72&amp;"'!"&amp;"$"&amp;$D72&amp;$N$1&amp;"")</f>
        <v>6.6</v>
      </c>
      <c r="O72" s="293"/>
      <c r="P72" s="293">
        <v>0.96</v>
      </c>
      <c r="Q72" s="291">
        <v>1.9</v>
      </c>
      <c r="R72" s="292" cm="1">
        <f t="array" aca="1" ref="R72" ca="1">INDIRECT("'"&amp;$C72&amp;"'!"&amp;"$"&amp;$D72&amp;$R$1&amp;"")</f>
        <v>6.6</v>
      </c>
      <c r="S72" s="293"/>
      <c r="T72" s="293">
        <v>0.96</v>
      </c>
      <c r="U72" s="291">
        <v>1.9</v>
      </c>
      <c r="V72" s="292" t="str" cm="1">
        <f t="array" aca="1" ref="V72" ca="1">INDIRECT("'"&amp;$C72&amp;"'!"&amp;"$"&amp;$D72&amp;$V$1&amp;"")</f>
        <v>CMS</v>
      </c>
      <c r="W72" s="293" t="s">
        <v>1</v>
      </c>
      <c r="X72" s="293" t="s">
        <v>1</v>
      </c>
      <c r="Y72" s="294" t="s">
        <v>1</v>
      </c>
      <c r="Z72" s="290" cm="1">
        <f t="array" aca="1" ref="Z72" ca="1">INDIRECT("'"&amp;$C72&amp;"'!"&amp;"$"&amp;$D72&amp;$Z$1&amp;"")</f>
        <v>0</v>
      </c>
      <c r="AA72" s="293" t="s">
        <v>1</v>
      </c>
      <c r="AB72" s="293" t="s">
        <v>1</v>
      </c>
      <c r="AC72" s="291" t="s">
        <v>1</v>
      </c>
      <c r="AD72" s="292" cm="1">
        <f t="array" aca="1" ref="AD72" ca="1">INDIRECT("'"&amp;$C72&amp;"'!"&amp;"$"&amp;$D72&amp;$AD$1&amp;"")</f>
        <v>3.2</v>
      </c>
      <c r="AE72" s="293">
        <f>3.8*3.56</f>
        <v>13.527999999999999</v>
      </c>
      <c r="AF72" s="293">
        <v>0.94</v>
      </c>
      <c r="AG72" s="294">
        <v>1.23</v>
      </c>
      <c r="AH72" s="290" t="str" cm="1">
        <f t="array" aca="1" ref="AH72" ca="1">INDIRECT("'"&amp;$C72&amp;"'!"&amp;"$"&amp;$D72&amp;$AH$1&amp;"")</f>
        <v>CMS</v>
      </c>
      <c r="AI72" s="293" t="s">
        <v>1</v>
      </c>
      <c r="AJ72" s="293" t="s">
        <v>1</v>
      </c>
      <c r="AK72" s="291" t="s">
        <v>1</v>
      </c>
      <c r="AL72" s="290">
        <v>11.8</v>
      </c>
      <c r="AM72" s="294">
        <v>70</v>
      </c>
      <c r="AN72" s="290" cm="1">
        <f t="array" aca="1" ref="AN72" ca="1">INDIRECT("'"&amp;$C72&amp;"'!"&amp;"$"&amp;$D72&amp;$AL$1&amp;"")</f>
        <v>4.2</v>
      </c>
      <c r="AO72" s="293">
        <v>0.97</v>
      </c>
      <c r="AP72" s="291">
        <v>0.94</v>
      </c>
      <c r="AQ72" s="292" cm="1">
        <f t="array" aca="1" ref="AQ72" ca="1">INDIRECT("'"&amp;$C72&amp;"'!"&amp;"$"&amp;$D72&amp;$AQ$1&amp;"")</f>
        <v>4.2</v>
      </c>
      <c r="AR72" s="293">
        <v>0.97</v>
      </c>
      <c r="AS72" s="291">
        <v>0.94</v>
      </c>
      <c r="AT72" s="295">
        <v>0</v>
      </c>
      <c r="AU72" s="294">
        <v>69.2</v>
      </c>
      <c r="AV72" s="290" t="str" cm="1">
        <f t="array" aca="1" ref="AV72" ca="1">INDIRECT("'"&amp;$C72&amp;"'!"&amp;"$"&amp;$D72&amp;31&amp;"")</f>
        <v>PMS</v>
      </c>
      <c r="AW72" s="293" t="s">
        <v>1</v>
      </c>
      <c r="AX72" s="291" t="s">
        <v>1</v>
      </c>
      <c r="AY72" s="296">
        <v>69.7</v>
      </c>
      <c r="AZ72" s="295" cm="1">
        <f t="array" aca="1" ref="AZ72" ca="1">INDIRECT("'"&amp;$C72&amp;"'!"&amp;"$"&amp;$D72&amp;58&amp;"")</f>
        <v>12.403333333333332</v>
      </c>
      <c r="BA72" s="293">
        <v>0.96</v>
      </c>
      <c r="BB72" s="291">
        <v>3.6</v>
      </c>
      <c r="BC72" s="295" cm="1">
        <f t="array" aca="1" ref="BC72" ca="1">INDIRECT("'"&amp;$C72&amp;"'!"&amp;"$"&amp;$D72&amp;63&amp;"")</f>
        <v>1.32</v>
      </c>
      <c r="BD72" s="293"/>
      <c r="BE72" s="293">
        <v>0.99</v>
      </c>
      <c r="BF72" s="291">
        <v>0.17</v>
      </c>
      <c r="BG72" s="296" cm="1">
        <f t="array" aca="1" ref="BG72" ca="1">INDIRECT("'"&amp;$C72&amp;"'!"&amp;"$"&amp;$D72&amp;78&amp;"")</f>
        <v>0.88</v>
      </c>
      <c r="BH72" s="293"/>
      <c r="BI72" s="293">
        <v>0.96</v>
      </c>
      <c r="BJ72" s="291">
        <v>0.25</v>
      </c>
      <c r="BK72" s="296" cm="1">
        <f t="array" aca="1" ref="BK72" ca="1">INDIRECT("'"&amp;$C72&amp;"'!"&amp;"$"&amp;$D72&amp;74&amp;"")</f>
        <v>4</v>
      </c>
      <c r="BL72" s="293"/>
      <c r="BM72" s="293">
        <v>0.99</v>
      </c>
      <c r="BN72" s="291">
        <v>0.56000000000000005</v>
      </c>
    </row>
    <row r="73" spans="1:66" ht="15.75" thickBot="1" x14ac:dyDescent="0.25">
      <c r="A73" s="368">
        <v>45691</v>
      </c>
      <c r="B73" s="365">
        <v>0.750000000000001</v>
      </c>
      <c r="C73" s="315">
        <v>3</v>
      </c>
      <c r="D73" s="319" t="s">
        <v>128</v>
      </c>
      <c r="E73" s="297">
        <v>14.2</v>
      </c>
      <c r="F73" s="298">
        <v>70.3</v>
      </c>
      <c r="G73" s="299" cm="1">
        <f t="array" aca="1" ref="G73" ca="1">INDIRECT("'"&amp;$C73&amp;"'!"&amp;"$"&amp;$D73&amp;$E$1&amp;"")</f>
        <v>6.7</v>
      </c>
      <c r="H73" s="300">
        <v>0.98</v>
      </c>
      <c r="I73" s="298">
        <v>1.48</v>
      </c>
      <c r="J73" s="299" cm="1">
        <f t="array" aca="1" ref="J73" ca="1">INDIRECT("'"&amp;$C73&amp;"'!"&amp;"$"&amp;$D73&amp;$J$1&amp;"")</f>
        <v>6.7</v>
      </c>
      <c r="K73" s="300"/>
      <c r="L73" s="300">
        <v>0.98</v>
      </c>
      <c r="M73" s="298">
        <v>1.48</v>
      </c>
      <c r="N73" s="299" cm="1">
        <f t="array" aca="1" ref="N73" ca="1">INDIRECT("'"&amp;$C73&amp;"'!"&amp;"$"&amp;$D73&amp;$N$1&amp;"")</f>
        <v>6.7</v>
      </c>
      <c r="O73" s="300"/>
      <c r="P73" s="300">
        <v>0.98</v>
      </c>
      <c r="Q73" s="298">
        <v>1.48</v>
      </c>
      <c r="R73" s="299" cm="1">
        <f t="array" aca="1" ref="R73" ca="1">INDIRECT("'"&amp;$C73&amp;"'!"&amp;"$"&amp;$D73&amp;$R$1&amp;"")</f>
        <v>6.7</v>
      </c>
      <c r="S73" s="300"/>
      <c r="T73" s="300">
        <v>0.98</v>
      </c>
      <c r="U73" s="298">
        <v>1.48</v>
      </c>
      <c r="V73" s="299" t="str" cm="1">
        <f t="array" aca="1" ref="V73" ca="1">INDIRECT("'"&amp;$C73&amp;"'!"&amp;"$"&amp;$D73&amp;$V$1&amp;"")</f>
        <v>CMS</v>
      </c>
      <c r="W73" s="300" t="s">
        <v>1</v>
      </c>
      <c r="X73" s="300" t="s">
        <v>1</v>
      </c>
      <c r="Y73" s="301" t="s">
        <v>1</v>
      </c>
      <c r="Z73" s="297" cm="1">
        <f t="array" aca="1" ref="Z73" ca="1">INDIRECT("'"&amp;$C73&amp;"'!"&amp;"$"&amp;$D73&amp;$Z$1&amp;"")</f>
        <v>0</v>
      </c>
      <c r="AA73" s="300" t="s">
        <v>1</v>
      </c>
      <c r="AB73" s="300" t="s">
        <v>1</v>
      </c>
      <c r="AC73" s="298" t="s">
        <v>1</v>
      </c>
      <c r="AD73" s="299" cm="1">
        <f t="array" aca="1" ref="AD73" ca="1">INDIRECT("'"&amp;$C73&amp;"'!"&amp;"$"&amp;$D73&amp;$AD$1&amp;"")</f>
        <v>3.2</v>
      </c>
      <c r="AE73" s="300">
        <f>3.8*3.57</f>
        <v>13.565999999999999</v>
      </c>
      <c r="AF73" s="300">
        <v>0.95</v>
      </c>
      <c r="AG73" s="301">
        <v>1.07</v>
      </c>
      <c r="AH73" s="297" t="str" cm="1">
        <f t="array" aca="1" ref="AH73" ca="1">INDIRECT("'"&amp;$C73&amp;"'!"&amp;"$"&amp;$D73&amp;$AH$1&amp;"")</f>
        <v>CMS</v>
      </c>
      <c r="AI73" s="300" t="s">
        <v>1</v>
      </c>
      <c r="AJ73" s="300" t="s">
        <v>1</v>
      </c>
      <c r="AK73" s="298" t="s">
        <v>1</v>
      </c>
      <c r="AL73" s="297">
        <v>11.8</v>
      </c>
      <c r="AM73" s="301">
        <v>69.900000000000006</v>
      </c>
      <c r="AN73" s="297" cm="1">
        <f t="array" aca="1" ref="AN73" ca="1">INDIRECT("'"&amp;$C73&amp;"'!"&amp;"$"&amp;$D73&amp;$AL$1&amp;"")</f>
        <v>3.9</v>
      </c>
      <c r="AO73" s="300">
        <v>0.96</v>
      </c>
      <c r="AP73" s="298">
        <v>1.1299999999999999</v>
      </c>
      <c r="AQ73" s="299" cm="1">
        <f t="array" aca="1" ref="AQ73" ca="1">INDIRECT("'"&amp;$C73&amp;"'!"&amp;"$"&amp;$D73&amp;$AQ$1&amp;"")</f>
        <v>3.9</v>
      </c>
      <c r="AR73" s="300">
        <v>0.96</v>
      </c>
      <c r="AS73" s="298">
        <v>1.1200000000000001</v>
      </c>
      <c r="AT73" s="302">
        <v>0</v>
      </c>
      <c r="AU73" s="301">
        <v>69.900000000000006</v>
      </c>
      <c r="AV73" s="297" t="str" cm="1">
        <f t="array" aca="1" ref="AV73" ca="1">INDIRECT("'"&amp;$C73&amp;"'!"&amp;"$"&amp;$D73&amp;31&amp;"")</f>
        <v>PMS</v>
      </c>
      <c r="AW73" s="300" t="s">
        <v>1</v>
      </c>
      <c r="AX73" s="298" t="s">
        <v>1</v>
      </c>
      <c r="AY73" s="303">
        <v>69.8</v>
      </c>
      <c r="AZ73" s="302" cm="1">
        <f t="array" aca="1" ref="AZ73" ca="1">INDIRECT("'"&amp;$C73&amp;"'!"&amp;"$"&amp;$D73&amp;58&amp;"")</f>
        <v>11.703333333333335</v>
      </c>
      <c r="BA73" s="300">
        <v>0.97</v>
      </c>
      <c r="BB73" s="298">
        <v>2.9</v>
      </c>
      <c r="BC73" s="302" cm="1">
        <f t="array" aca="1" ref="BC73" ca="1">INDIRECT("'"&amp;$C73&amp;"'!"&amp;"$"&amp;$D73&amp;63&amp;"")</f>
        <v>1.36</v>
      </c>
      <c r="BD73" s="300"/>
      <c r="BE73" s="300">
        <v>0.99</v>
      </c>
      <c r="BF73" s="298">
        <v>0.16</v>
      </c>
      <c r="BG73" s="303" cm="1">
        <f t="array" aca="1" ref="BG73" ca="1">INDIRECT("'"&amp;$C73&amp;"'!"&amp;"$"&amp;$D73&amp;78&amp;"")</f>
        <v>0.91</v>
      </c>
      <c r="BH73" s="300"/>
      <c r="BI73" s="300">
        <v>0.96</v>
      </c>
      <c r="BJ73" s="298">
        <v>0.24</v>
      </c>
      <c r="BK73" s="303" cm="1">
        <f t="array" aca="1" ref="BK73" ca="1">INDIRECT("'"&amp;$C73&amp;"'!"&amp;"$"&amp;$D73&amp;74&amp;"")</f>
        <v>3.5999999999999996</v>
      </c>
      <c r="BL73" s="300"/>
      <c r="BM73" s="300">
        <v>0.99</v>
      </c>
      <c r="BN73" s="298">
        <v>0.51</v>
      </c>
    </row>
    <row r="74" spans="1:66" ht="15.75" thickBot="1" x14ac:dyDescent="0.25">
      <c r="A74" s="368">
        <v>45691</v>
      </c>
      <c r="B74" s="365">
        <v>0.79166666666666696</v>
      </c>
      <c r="C74" s="315">
        <v>3</v>
      </c>
      <c r="D74" s="319" t="s">
        <v>129</v>
      </c>
      <c r="E74" s="290">
        <v>14.3</v>
      </c>
      <c r="F74" s="291">
        <v>70.7</v>
      </c>
      <c r="G74" s="292" cm="1">
        <f t="array" aca="1" ref="G74" ca="1">INDIRECT("'"&amp;$C74&amp;"'!"&amp;"$"&amp;$D74&amp;$E$1&amp;"")</f>
        <v>6.6</v>
      </c>
      <c r="H74" s="293">
        <v>0.98</v>
      </c>
      <c r="I74" s="291">
        <v>1.43</v>
      </c>
      <c r="J74" s="292" cm="1">
        <f t="array" aca="1" ref="J74" ca="1">INDIRECT("'"&amp;$C74&amp;"'!"&amp;"$"&amp;$D74&amp;$J$1&amp;"")</f>
        <v>6.6</v>
      </c>
      <c r="K74" s="304"/>
      <c r="L74" s="293">
        <v>0.98</v>
      </c>
      <c r="M74" s="291">
        <v>1.43</v>
      </c>
      <c r="N74" s="292" cm="1">
        <f t="array" aca="1" ref="N74" ca="1">INDIRECT("'"&amp;$C74&amp;"'!"&amp;"$"&amp;$D74&amp;$N$1&amp;"")</f>
        <v>6.6</v>
      </c>
      <c r="O74" s="293"/>
      <c r="P74" s="293">
        <v>0.98</v>
      </c>
      <c r="Q74" s="291">
        <v>1.43</v>
      </c>
      <c r="R74" s="292" cm="1">
        <f t="array" aca="1" ref="R74" ca="1">INDIRECT("'"&amp;$C74&amp;"'!"&amp;"$"&amp;$D74&amp;$R$1&amp;"")</f>
        <v>6.6</v>
      </c>
      <c r="S74" s="293"/>
      <c r="T74" s="293">
        <v>0.98</v>
      </c>
      <c r="U74" s="291">
        <v>1.43</v>
      </c>
      <c r="V74" s="292" t="str" cm="1">
        <f t="array" aca="1" ref="V74" ca="1">INDIRECT("'"&amp;$C74&amp;"'!"&amp;"$"&amp;$D74&amp;$V$1&amp;"")</f>
        <v>CMS</v>
      </c>
      <c r="W74" s="293" t="s">
        <v>1</v>
      </c>
      <c r="X74" s="293" t="s">
        <v>1</v>
      </c>
      <c r="Y74" s="294" t="s">
        <v>1</v>
      </c>
      <c r="Z74" s="290" cm="1">
        <f t="array" aca="1" ref="Z74" ca="1">INDIRECT("'"&amp;$C74&amp;"'!"&amp;"$"&amp;$D74&amp;$Z$1&amp;"")</f>
        <v>0</v>
      </c>
      <c r="AA74" s="293" t="s">
        <v>1</v>
      </c>
      <c r="AB74" s="293" t="s">
        <v>1</v>
      </c>
      <c r="AC74" s="291" t="s">
        <v>1</v>
      </c>
      <c r="AD74" s="292" cm="1">
        <f t="array" aca="1" ref="AD74" ca="1">INDIRECT("'"&amp;$C74&amp;"'!"&amp;"$"&amp;$D74&amp;$AD$1&amp;"")</f>
        <v>3.2</v>
      </c>
      <c r="AE74" s="293">
        <f>3.57*3.8</f>
        <v>13.565999999999999</v>
      </c>
      <c r="AF74" s="293">
        <v>0.98</v>
      </c>
      <c r="AG74" s="294">
        <v>0.63</v>
      </c>
      <c r="AH74" s="290" t="str" cm="1">
        <f t="array" aca="1" ref="AH74" ca="1">INDIRECT("'"&amp;$C74&amp;"'!"&amp;"$"&amp;$D74&amp;$AH$1&amp;"")</f>
        <v>CMS</v>
      </c>
      <c r="AI74" s="293" t="s">
        <v>1</v>
      </c>
      <c r="AJ74" s="293" t="s">
        <v>1</v>
      </c>
      <c r="AK74" s="291" t="s">
        <v>1</v>
      </c>
      <c r="AL74" s="290">
        <v>11.8</v>
      </c>
      <c r="AM74" s="294">
        <v>69.900000000000006</v>
      </c>
      <c r="AN74" s="290" cm="1">
        <f t="array" aca="1" ref="AN74" ca="1">INDIRECT("'"&amp;$C74&amp;"'!"&amp;"$"&amp;$D74&amp;$AL$1&amp;"")</f>
        <v>4</v>
      </c>
      <c r="AO74" s="293">
        <v>0.96</v>
      </c>
      <c r="AP74" s="291">
        <v>1</v>
      </c>
      <c r="AQ74" s="292" cm="1">
        <f t="array" aca="1" ref="AQ74" ca="1">INDIRECT("'"&amp;$C74&amp;"'!"&amp;"$"&amp;$D74&amp;$AQ$1&amp;"")</f>
        <v>4</v>
      </c>
      <c r="AR74" s="293">
        <v>0.96</v>
      </c>
      <c r="AS74" s="291">
        <v>1</v>
      </c>
      <c r="AT74" s="295">
        <v>0</v>
      </c>
      <c r="AU74" s="294">
        <v>65.900000000000006</v>
      </c>
      <c r="AV74" s="290" t="str" cm="1">
        <f t="array" aca="1" ref="AV74" ca="1">INDIRECT("'"&amp;$C74&amp;"'!"&amp;"$"&amp;$D74&amp;31&amp;"")</f>
        <v>PMS</v>
      </c>
      <c r="AW74" s="293" t="s">
        <v>1</v>
      </c>
      <c r="AX74" s="291" t="s">
        <v>1</v>
      </c>
      <c r="AY74" s="296">
        <v>69.8</v>
      </c>
      <c r="AZ74" s="295" cm="1">
        <f t="array" aca="1" ref="AZ74" ca="1">INDIRECT("'"&amp;$C74&amp;"'!"&amp;"$"&amp;$D74&amp;58&amp;"")</f>
        <v>14.895555555555561</v>
      </c>
      <c r="BA74" s="293">
        <v>0.98</v>
      </c>
      <c r="BB74" s="291">
        <v>3</v>
      </c>
      <c r="BC74" s="295" cm="1">
        <f t="array" aca="1" ref="BC74" ca="1">INDIRECT("'"&amp;$C74&amp;"'!"&amp;"$"&amp;$D74&amp;63&amp;"")</f>
        <v>1.54</v>
      </c>
      <c r="BD74" s="293"/>
      <c r="BE74" s="293">
        <v>0.99</v>
      </c>
      <c r="BF74" s="291">
        <v>0.19</v>
      </c>
      <c r="BG74" s="296" cm="1">
        <f t="array" aca="1" ref="BG74" ca="1">INDIRECT("'"&amp;$C74&amp;"'!"&amp;"$"&amp;$D74&amp;78&amp;"")</f>
        <v>1.02</v>
      </c>
      <c r="BH74" s="293"/>
      <c r="BI74" s="293">
        <v>0.96</v>
      </c>
      <c r="BJ74" s="291">
        <v>0.25</v>
      </c>
      <c r="BK74" s="296" cm="1">
        <f t="array" aca="1" ref="BK74" ca="1">INDIRECT("'"&amp;$C74&amp;"'!"&amp;"$"&amp;$D74&amp;74&amp;"")</f>
        <v>4.2</v>
      </c>
      <c r="BL74" s="293"/>
      <c r="BM74" s="293">
        <v>0.99</v>
      </c>
      <c r="BN74" s="291">
        <v>0.53</v>
      </c>
    </row>
    <row r="75" spans="1:66" ht="15.75" thickBot="1" x14ac:dyDescent="0.25">
      <c r="A75" s="368">
        <v>45691</v>
      </c>
      <c r="B75" s="365">
        <v>0.83333333333333337</v>
      </c>
      <c r="C75" s="315">
        <v>3</v>
      </c>
      <c r="D75" s="319" t="s">
        <v>130</v>
      </c>
      <c r="E75" s="297">
        <v>14.4</v>
      </c>
      <c r="F75" s="298">
        <v>70.849999999999994</v>
      </c>
      <c r="G75" s="299" cm="1">
        <f t="array" aca="1" ref="G75" ca="1">INDIRECT("'"&amp;$C75&amp;"'!"&amp;"$"&amp;$D75&amp;$E$1&amp;"")</f>
        <v>6.6</v>
      </c>
      <c r="H75" s="300">
        <v>0.98</v>
      </c>
      <c r="I75" s="298">
        <v>1.35</v>
      </c>
      <c r="J75" s="299" cm="1">
        <f t="array" aca="1" ref="J75" ca="1">INDIRECT("'"&amp;$C75&amp;"'!"&amp;"$"&amp;$D75&amp;$J$1&amp;"")</f>
        <v>6.6</v>
      </c>
      <c r="K75" s="300"/>
      <c r="L75" s="300">
        <v>0.98</v>
      </c>
      <c r="M75" s="298">
        <v>1.27</v>
      </c>
      <c r="N75" s="299" cm="1">
        <f t="array" aca="1" ref="N75" ca="1">INDIRECT("'"&amp;$C75&amp;"'!"&amp;"$"&amp;$D75&amp;$N$1&amp;"")</f>
        <v>6.7</v>
      </c>
      <c r="O75" s="300"/>
      <c r="P75" s="300">
        <v>0.98</v>
      </c>
      <c r="Q75" s="298">
        <v>1.41</v>
      </c>
      <c r="R75" s="299" cm="1">
        <f t="array" aca="1" ref="R75" ca="1">INDIRECT("'"&amp;$C75&amp;"'!"&amp;"$"&amp;$D75&amp;$R$1&amp;"")</f>
        <v>6.7</v>
      </c>
      <c r="S75" s="300"/>
      <c r="T75" s="300">
        <v>0.98</v>
      </c>
      <c r="U75" s="298">
        <v>1.27</v>
      </c>
      <c r="V75" s="299" t="str" cm="1">
        <f t="array" aca="1" ref="V75" ca="1">INDIRECT("'"&amp;$C75&amp;"'!"&amp;"$"&amp;$D75&amp;$V$1&amp;"")</f>
        <v>CMS</v>
      </c>
      <c r="W75" s="300" t="s">
        <v>1</v>
      </c>
      <c r="X75" s="300" t="s">
        <v>1</v>
      </c>
      <c r="Y75" s="301" t="s">
        <v>1</v>
      </c>
      <c r="Z75" s="297" cm="1">
        <f t="array" aca="1" ref="Z75" ca="1">INDIRECT("'"&amp;$C75&amp;"'!"&amp;"$"&amp;$D75&amp;$Z$1&amp;"")</f>
        <v>0</v>
      </c>
      <c r="AA75" s="300" t="s">
        <v>1</v>
      </c>
      <c r="AB75" s="300" t="s">
        <v>1</v>
      </c>
      <c r="AC75" s="298" t="s">
        <v>1</v>
      </c>
      <c r="AD75" s="299" cm="1">
        <f t="array" aca="1" ref="AD75" ca="1">INDIRECT("'"&amp;$C75&amp;"'!"&amp;"$"&amp;$D75&amp;$AD$1&amp;"")</f>
        <v>3.2</v>
      </c>
      <c r="AE75" s="300">
        <f>3.8*3.59</f>
        <v>13.641999999999999</v>
      </c>
      <c r="AF75" s="300">
        <v>0.98</v>
      </c>
      <c r="AG75" s="301">
        <v>0.61</v>
      </c>
      <c r="AH75" s="297" t="str" cm="1">
        <f t="array" aca="1" ref="AH75" ca="1">INDIRECT("'"&amp;$C75&amp;"'!"&amp;"$"&amp;$D75&amp;$AH$1&amp;"")</f>
        <v>CMS</v>
      </c>
      <c r="AI75" s="300" t="s">
        <v>1</v>
      </c>
      <c r="AJ75" s="300" t="s">
        <v>1</v>
      </c>
      <c r="AK75" s="298" t="s">
        <v>1</v>
      </c>
      <c r="AL75" s="297">
        <v>11.8</v>
      </c>
      <c r="AM75" s="301">
        <v>70.099999999999994</v>
      </c>
      <c r="AN75" s="297" cm="1">
        <f t="array" aca="1" ref="AN75" ca="1">INDIRECT("'"&amp;$C75&amp;"'!"&amp;"$"&amp;$D75&amp;$AL$1&amp;"")</f>
        <v>3.9</v>
      </c>
      <c r="AO75" s="300">
        <v>0.96</v>
      </c>
      <c r="AP75" s="298">
        <v>0.64</v>
      </c>
      <c r="AQ75" s="299" cm="1">
        <f t="array" aca="1" ref="AQ75" ca="1">INDIRECT("'"&amp;$C75&amp;"'!"&amp;"$"&amp;$D75&amp;$AQ$1&amp;"")</f>
        <v>3.9</v>
      </c>
      <c r="AR75" s="300">
        <v>0.96</v>
      </c>
      <c r="AS75" s="298">
        <v>0.98</v>
      </c>
      <c r="AT75" s="302">
        <v>0</v>
      </c>
      <c r="AU75" s="301">
        <v>68.900000000000006</v>
      </c>
      <c r="AV75" s="297" t="str" cm="1">
        <f t="array" aca="1" ref="AV75" ca="1">INDIRECT("'"&amp;$C75&amp;"'!"&amp;"$"&amp;$D75&amp;31&amp;"")</f>
        <v>PMS</v>
      </c>
      <c r="AW75" s="300" t="s">
        <v>1</v>
      </c>
      <c r="AX75" s="298" t="s">
        <v>1</v>
      </c>
      <c r="AY75" s="303">
        <v>69.7</v>
      </c>
      <c r="AZ75" s="302" cm="1">
        <f t="array" aca="1" ref="AZ75" ca="1">INDIRECT("'"&amp;$C75&amp;"'!"&amp;"$"&amp;$D75&amp;58&amp;"")</f>
        <v>14.097777777777781</v>
      </c>
      <c r="BA75" s="300">
        <v>0.98</v>
      </c>
      <c r="BB75" s="298">
        <v>2.8</v>
      </c>
      <c r="BC75" s="302" cm="1">
        <f t="array" aca="1" ref="BC75" ca="1">INDIRECT("'"&amp;$C75&amp;"'!"&amp;"$"&amp;$D75&amp;63&amp;"")</f>
        <v>1.51</v>
      </c>
      <c r="BD75" s="300"/>
      <c r="BE75" s="300">
        <v>0.99</v>
      </c>
      <c r="BF75" s="298">
        <v>0.17</v>
      </c>
      <c r="BG75" s="303" cm="1">
        <f t="array" aca="1" ref="BG75" ca="1">INDIRECT("'"&amp;$C75&amp;"'!"&amp;"$"&amp;$D75&amp;78&amp;"")</f>
        <v>1.02</v>
      </c>
      <c r="BH75" s="300"/>
      <c r="BI75" s="300">
        <v>0.96</v>
      </c>
      <c r="BJ75" s="298">
        <v>0.25</v>
      </c>
      <c r="BK75" s="303" cm="1">
        <f t="array" aca="1" ref="BK75" ca="1">INDIRECT("'"&amp;$C75&amp;"'!"&amp;"$"&amp;$D75&amp;74&amp;"")</f>
        <v>4.2</v>
      </c>
      <c r="BL75" s="300"/>
      <c r="BM75" s="300">
        <v>0.99</v>
      </c>
      <c r="BN75" s="298">
        <v>0.57999999999999996</v>
      </c>
    </row>
    <row r="76" spans="1:66" ht="15.75" thickBot="1" x14ac:dyDescent="0.25">
      <c r="A76" s="368">
        <v>45691</v>
      </c>
      <c r="B76" s="365">
        <v>0.875000000000001</v>
      </c>
      <c r="C76" s="315">
        <v>3</v>
      </c>
      <c r="D76" s="319" t="s">
        <v>131</v>
      </c>
      <c r="E76" s="290">
        <v>14.2</v>
      </c>
      <c r="F76" s="291">
        <v>70.349999999999994</v>
      </c>
      <c r="G76" s="292" cm="1">
        <f t="array" aca="1" ref="G76" ca="1">INDIRECT("'"&amp;$C76&amp;"'!"&amp;"$"&amp;$D76&amp;$E$1&amp;"")</f>
        <v>6.6</v>
      </c>
      <c r="H76" s="293">
        <v>0.99</v>
      </c>
      <c r="I76" s="291">
        <v>1.05</v>
      </c>
      <c r="J76" s="292" cm="1">
        <f t="array" aca="1" ref="J76" ca="1">INDIRECT("'"&amp;$C76&amp;"'!"&amp;"$"&amp;$D76&amp;$J$1&amp;"")</f>
        <v>6.6</v>
      </c>
      <c r="K76" s="293"/>
      <c r="L76" s="293">
        <v>0.99</v>
      </c>
      <c r="M76" s="291">
        <v>1.04</v>
      </c>
      <c r="N76" s="292" cm="1">
        <f t="array" aca="1" ref="N76" ca="1">INDIRECT("'"&amp;$C76&amp;"'!"&amp;"$"&amp;$D76&amp;$N$1&amp;"")</f>
        <v>6.6</v>
      </c>
      <c r="O76" s="293"/>
      <c r="P76" s="293">
        <v>0.99</v>
      </c>
      <c r="Q76" s="291">
        <v>0.99</v>
      </c>
      <c r="R76" s="292" cm="1">
        <f t="array" aca="1" ref="R76" ca="1">INDIRECT("'"&amp;$C76&amp;"'!"&amp;"$"&amp;$D76&amp;$R$1&amp;"")</f>
        <v>6.6</v>
      </c>
      <c r="S76" s="293"/>
      <c r="T76" s="293">
        <v>0.99</v>
      </c>
      <c r="U76" s="291">
        <v>1.03</v>
      </c>
      <c r="V76" s="292" t="str" cm="1">
        <f t="array" aca="1" ref="V76" ca="1">INDIRECT("'"&amp;$C76&amp;"'!"&amp;"$"&amp;$D76&amp;$V$1&amp;"")</f>
        <v>CMS</v>
      </c>
      <c r="W76" s="293" t="s">
        <v>1</v>
      </c>
      <c r="X76" s="293" t="s">
        <v>1</v>
      </c>
      <c r="Y76" s="294" t="s">
        <v>1</v>
      </c>
      <c r="Z76" s="290" cm="1">
        <f t="array" aca="1" ref="Z76" ca="1">INDIRECT("'"&amp;$C76&amp;"'!"&amp;"$"&amp;$D76&amp;$Z$1&amp;"")</f>
        <v>0</v>
      </c>
      <c r="AA76" s="293" t="s">
        <v>1</v>
      </c>
      <c r="AB76" s="293" t="s">
        <v>1</v>
      </c>
      <c r="AC76" s="291" t="s">
        <v>1</v>
      </c>
      <c r="AD76" s="292" cm="1">
        <f t="array" aca="1" ref="AD76" ca="1">INDIRECT("'"&amp;$C76&amp;"'!"&amp;"$"&amp;$D76&amp;$AD$1&amp;"")</f>
        <v>3.2</v>
      </c>
      <c r="AE76" s="293">
        <f>3.8*3.58</f>
        <v>13.603999999999999</v>
      </c>
      <c r="AF76" s="293">
        <v>0.98</v>
      </c>
      <c r="AG76" s="294">
        <v>0.62</v>
      </c>
      <c r="AH76" s="290" t="str" cm="1">
        <f t="array" aca="1" ref="AH76" ca="1">INDIRECT("'"&amp;$C76&amp;"'!"&amp;"$"&amp;$D76&amp;$AH$1&amp;"")</f>
        <v>CMS</v>
      </c>
      <c r="AI76" s="293" t="s">
        <v>1</v>
      </c>
      <c r="AJ76" s="293" t="s">
        <v>1</v>
      </c>
      <c r="AK76" s="291" t="s">
        <v>1</v>
      </c>
      <c r="AL76" s="290">
        <v>11.8</v>
      </c>
      <c r="AM76" s="294">
        <v>70</v>
      </c>
      <c r="AN76" s="290" cm="1">
        <f t="array" aca="1" ref="AN76" ca="1">INDIRECT("'"&amp;$C76&amp;"'!"&amp;"$"&amp;$D76&amp;$AL$1&amp;"")</f>
        <v>3.6</v>
      </c>
      <c r="AO76" s="293">
        <v>0.97</v>
      </c>
      <c r="AP76" s="291">
        <v>0.75</v>
      </c>
      <c r="AQ76" s="292" cm="1">
        <f t="array" aca="1" ref="AQ76" ca="1">INDIRECT("'"&amp;$C76&amp;"'!"&amp;"$"&amp;$D76&amp;$AQ$1&amp;"")</f>
        <v>3.6</v>
      </c>
      <c r="AR76" s="293">
        <v>0.97</v>
      </c>
      <c r="AS76" s="291">
        <v>0.75</v>
      </c>
      <c r="AT76" s="295">
        <v>0</v>
      </c>
      <c r="AU76" s="294">
        <v>68.900000000000006</v>
      </c>
      <c r="AV76" s="290" t="str" cm="1">
        <f t="array" aca="1" ref="AV76" ca="1">INDIRECT("'"&amp;$C76&amp;"'!"&amp;"$"&amp;$D76&amp;31&amp;"")</f>
        <v>PMS</v>
      </c>
      <c r="AW76" s="293" t="s">
        <v>1</v>
      </c>
      <c r="AX76" s="291" t="s">
        <v>1</v>
      </c>
      <c r="AY76" s="296">
        <v>69.3</v>
      </c>
      <c r="AZ76" s="295" cm="1">
        <f t="array" aca="1" ref="AZ76" ca="1">INDIRECT("'"&amp;$C76&amp;"'!"&amp;"$"&amp;$D76&amp;58&amp;"")</f>
        <v>10.999999999999998</v>
      </c>
      <c r="BA76" s="293">
        <v>0.98</v>
      </c>
      <c r="BB76" s="291">
        <v>2.2000000000000002</v>
      </c>
      <c r="BC76" s="295" cm="1">
        <f t="array" aca="1" ref="BC76" ca="1">INDIRECT("'"&amp;$C76&amp;"'!"&amp;"$"&amp;$D76&amp;63&amp;"")</f>
        <v>1.43</v>
      </c>
      <c r="BD76" s="293"/>
      <c r="BE76" s="293">
        <v>0.99</v>
      </c>
      <c r="BF76" s="291">
        <v>0.15</v>
      </c>
      <c r="BG76" s="296" cm="1">
        <f t="array" aca="1" ref="BG76" ca="1">INDIRECT("'"&amp;$C76&amp;"'!"&amp;"$"&amp;$D76&amp;78&amp;"")</f>
        <v>0.98</v>
      </c>
      <c r="BH76" s="293"/>
      <c r="BI76" s="293">
        <v>0.97</v>
      </c>
      <c r="BJ76" s="291">
        <v>0.24</v>
      </c>
      <c r="BK76" s="296" cm="1">
        <f t="array" aca="1" ref="BK76" ca="1">INDIRECT("'"&amp;$C76&amp;"'!"&amp;"$"&amp;$D76&amp;74&amp;"")</f>
        <v>3.8</v>
      </c>
      <c r="BL76" s="293"/>
      <c r="BM76" s="293">
        <v>0.99</v>
      </c>
      <c r="BN76" s="291">
        <v>0.54</v>
      </c>
    </row>
    <row r="77" spans="1:66" ht="15.75" thickBot="1" x14ac:dyDescent="0.25">
      <c r="A77" s="368">
        <v>45691</v>
      </c>
      <c r="B77" s="365">
        <v>0.91666666666666696</v>
      </c>
      <c r="C77" s="315">
        <v>3</v>
      </c>
      <c r="D77" s="319" t="s">
        <v>132</v>
      </c>
      <c r="E77" s="297">
        <v>14.2</v>
      </c>
      <c r="F77" s="298">
        <v>70.77</v>
      </c>
      <c r="G77" s="299" cm="1">
        <f t="array" aca="1" ref="G77" ca="1">INDIRECT("'"&amp;$C77&amp;"'!"&amp;"$"&amp;$D77&amp;$E$1&amp;"")</f>
        <v>6.5</v>
      </c>
      <c r="H77" s="300">
        <v>0.99</v>
      </c>
      <c r="I77" s="298">
        <v>1.1000000000000001</v>
      </c>
      <c r="J77" s="299" cm="1">
        <f t="array" aca="1" ref="J77" ca="1">INDIRECT("'"&amp;$C77&amp;"'!"&amp;"$"&amp;$D77&amp;$J$1&amp;"")</f>
        <v>6.5</v>
      </c>
      <c r="K77" s="300"/>
      <c r="L77" s="300">
        <v>0.99</v>
      </c>
      <c r="M77" s="298">
        <v>1.1100000000000001</v>
      </c>
      <c r="N77" s="299" cm="1">
        <f t="array" aca="1" ref="N77" ca="1">INDIRECT("'"&amp;$C77&amp;"'!"&amp;"$"&amp;$D77&amp;$N$1&amp;"")</f>
        <v>6.5</v>
      </c>
      <c r="O77" s="300"/>
      <c r="P77" s="300">
        <v>0.99</v>
      </c>
      <c r="Q77" s="298">
        <v>1.0900000000000001</v>
      </c>
      <c r="R77" s="299" cm="1">
        <f t="array" aca="1" ref="R77" ca="1">INDIRECT("'"&amp;$C77&amp;"'!"&amp;"$"&amp;$D77&amp;$R$1&amp;"")</f>
        <v>6.5</v>
      </c>
      <c r="S77" s="300"/>
      <c r="T77" s="300">
        <v>0.99</v>
      </c>
      <c r="U77" s="298">
        <v>1.1000000000000001</v>
      </c>
      <c r="V77" s="299" t="str" cm="1">
        <f t="array" aca="1" ref="V77" ca="1">INDIRECT("'"&amp;$C77&amp;"'!"&amp;"$"&amp;$D77&amp;$V$1&amp;"")</f>
        <v>CMS</v>
      </c>
      <c r="W77" s="300" t="s">
        <v>1</v>
      </c>
      <c r="X77" s="300" t="s">
        <v>1</v>
      </c>
      <c r="Y77" s="301" t="s">
        <v>1</v>
      </c>
      <c r="Z77" s="297" cm="1">
        <f t="array" aca="1" ref="Z77" ca="1">INDIRECT("'"&amp;$C77&amp;"'!"&amp;"$"&amp;$D77&amp;$Z$1&amp;"")</f>
        <v>0</v>
      </c>
      <c r="AA77" s="300" t="s">
        <v>1</v>
      </c>
      <c r="AB77" s="300" t="s">
        <v>1</v>
      </c>
      <c r="AC77" s="298" t="s">
        <v>1</v>
      </c>
      <c r="AD77" s="299" cm="1">
        <f t="array" aca="1" ref="AD77" ca="1">INDIRECT("'"&amp;$C77&amp;"'!"&amp;"$"&amp;$D77&amp;$AD$1&amp;"")</f>
        <v>3.2</v>
      </c>
      <c r="AE77" s="300">
        <f>3.59*3.8</f>
        <v>13.641999999999999</v>
      </c>
      <c r="AF77" s="300">
        <v>0.98</v>
      </c>
      <c r="AG77" s="301">
        <v>0.63</v>
      </c>
      <c r="AH77" s="297" t="str" cm="1">
        <f t="array" aca="1" ref="AH77" ca="1">INDIRECT("'"&amp;$C77&amp;"'!"&amp;"$"&amp;$D77&amp;$AH$1&amp;"")</f>
        <v>CMS</v>
      </c>
      <c r="AI77" s="300" t="s">
        <v>1</v>
      </c>
      <c r="AJ77" s="300" t="s">
        <v>1</v>
      </c>
      <c r="AK77" s="298" t="s">
        <v>1</v>
      </c>
      <c r="AL77" s="297">
        <v>11.8</v>
      </c>
      <c r="AM77" s="301">
        <v>70.099999999999994</v>
      </c>
      <c r="AN77" s="297" cm="1">
        <f t="array" aca="1" ref="AN77" ca="1">INDIRECT("'"&amp;$C77&amp;"'!"&amp;"$"&amp;$D77&amp;$AL$1&amp;"")</f>
        <v>3.6</v>
      </c>
      <c r="AO77" s="300">
        <v>0.98</v>
      </c>
      <c r="AP77" s="298">
        <v>0.78</v>
      </c>
      <c r="AQ77" s="299" cm="1">
        <f t="array" aca="1" ref="AQ77" ca="1">INDIRECT("'"&amp;$C77&amp;"'!"&amp;"$"&amp;$D77&amp;$AQ$1&amp;"")</f>
        <v>3.6</v>
      </c>
      <c r="AR77" s="300">
        <v>0.98</v>
      </c>
      <c r="AS77" s="298">
        <v>0.78</v>
      </c>
      <c r="AT77" s="302">
        <v>0</v>
      </c>
      <c r="AU77" s="301">
        <v>69</v>
      </c>
      <c r="AV77" s="297" t="str" cm="1">
        <f t="array" aca="1" ref="AV77" ca="1">INDIRECT("'"&amp;$C77&amp;"'!"&amp;"$"&amp;$D77&amp;31&amp;"")</f>
        <v>PMS</v>
      </c>
      <c r="AW77" s="300" t="s">
        <v>1</v>
      </c>
      <c r="AX77" s="298" t="s">
        <v>1</v>
      </c>
      <c r="AY77" s="303">
        <v>69</v>
      </c>
      <c r="AZ77" s="302" cm="1">
        <f t="array" aca="1" ref="AZ77" ca="1">INDIRECT("'"&amp;$C77&amp;"'!"&amp;"$"&amp;$D77&amp;58&amp;"")</f>
        <v>6.3999999999999995</v>
      </c>
      <c r="BA77" s="300">
        <v>0.98</v>
      </c>
      <c r="BB77" s="298">
        <v>0.78</v>
      </c>
      <c r="BC77" s="302" cm="1">
        <f t="array" aca="1" ref="BC77" ca="1">INDIRECT("'"&amp;$C77&amp;"'!"&amp;"$"&amp;$D77&amp;63&amp;"")</f>
        <v>1.32</v>
      </c>
      <c r="BD77" s="300"/>
      <c r="BE77" s="300">
        <v>0.99</v>
      </c>
      <c r="BF77" s="298">
        <v>0.16</v>
      </c>
      <c r="BG77" s="303" cm="1">
        <f t="array" aca="1" ref="BG77" ca="1">INDIRECT("'"&amp;$C77&amp;"'!"&amp;"$"&amp;$D77&amp;78&amp;"")</f>
        <v>0.91</v>
      </c>
      <c r="BH77" s="300"/>
      <c r="BI77" s="300">
        <v>0.97</v>
      </c>
      <c r="BJ77" s="298">
        <v>0.23</v>
      </c>
      <c r="BK77" s="303" cm="1">
        <f t="array" aca="1" ref="BK77" ca="1">INDIRECT("'"&amp;$C77&amp;"'!"&amp;"$"&amp;$D77&amp;74&amp;"")</f>
        <v>3.55</v>
      </c>
      <c r="BL77" s="300"/>
      <c r="BM77" s="300">
        <v>0.99</v>
      </c>
      <c r="BN77" s="298">
        <v>0.5</v>
      </c>
    </row>
    <row r="78" spans="1:66" ht="15.75" thickBot="1" x14ac:dyDescent="0.25">
      <c r="A78" s="369">
        <v>45691</v>
      </c>
      <c r="B78" s="366">
        <v>0.95833333333333404</v>
      </c>
      <c r="C78" s="315">
        <v>3</v>
      </c>
      <c r="D78" s="321" t="s">
        <v>133</v>
      </c>
      <c r="E78" s="305">
        <v>14.3</v>
      </c>
      <c r="F78" s="306">
        <v>70.680000000000007</v>
      </c>
      <c r="G78" s="307" cm="1">
        <f t="array" aca="1" ref="G78" ca="1">INDIRECT("'"&amp;$C78&amp;"'!"&amp;"$"&amp;$D78&amp;$E$1&amp;"")</f>
        <v>6.3</v>
      </c>
      <c r="H78" s="308">
        <v>0.99</v>
      </c>
      <c r="I78" s="306">
        <v>0.97</v>
      </c>
      <c r="J78" s="307" cm="1">
        <f t="array" aca="1" ref="J78" ca="1">INDIRECT("'"&amp;$C78&amp;"'!"&amp;"$"&amp;$D78&amp;$J$1&amp;"")</f>
        <v>6.3</v>
      </c>
      <c r="K78" s="308"/>
      <c r="L78" s="308">
        <v>0.99</v>
      </c>
      <c r="M78" s="306">
        <v>0.94</v>
      </c>
      <c r="N78" s="307" cm="1">
        <f t="array" aca="1" ref="N78" ca="1">INDIRECT("'"&amp;$C78&amp;"'!"&amp;"$"&amp;$D78&amp;$N$1&amp;"")</f>
        <v>6.3</v>
      </c>
      <c r="O78" s="308"/>
      <c r="P78" s="308">
        <v>0.99</v>
      </c>
      <c r="Q78" s="306">
        <v>0.93</v>
      </c>
      <c r="R78" s="307" cm="1">
        <f t="array" aca="1" ref="R78" ca="1">INDIRECT("'"&amp;$C78&amp;"'!"&amp;"$"&amp;$D78&amp;$R$1&amp;"")</f>
        <v>6.3</v>
      </c>
      <c r="S78" s="308"/>
      <c r="T78" s="308">
        <v>0.99</v>
      </c>
      <c r="U78" s="306">
        <v>0.92</v>
      </c>
      <c r="V78" s="307" t="str" cm="1">
        <f t="array" aca="1" ref="V78" ca="1">INDIRECT("'"&amp;$C78&amp;"'!"&amp;"$"&amp;$D78&amp;$V$1&amp;"")</f>
        <v>CMS</v>
      </c>
      <c r="W78" s="308" t="s">
        <v>1</v>
      </c>
      <c r="X78" s="308" t="s">
        <v>1</v>
      </c>
      <c r="Y78" s="309" t="s">
        <v>1</v>
      </c>
      <c r="Z78" s="305" cm="1">
        <f t="array" aca="1" ref="Z78" ca="1">INDIRECT("'"&amp;$C78&amp;"'!"&amp;"$"&amp;$D78&amp;$Z$1&amp;"")</f>
        <v>0</v>
      </c>
      <c r="AA78" s="308" t="s">
        <v>1</v>
      </c>
      <c r="AB78" s="308" t="s">
        <v>1</v>
      </c>
      <c r="AC78" s="306" t="s">
        <v>1</v>
      </c>
      <c r="AD78" s="307" cm="1">
        <f t="array" aca="1" ref="AD78" ca="1">INDIRECT("'"&amp;$C78&amp;"'!"&amp;"$"&amp;$D78&amp;$AD$1&amp;"")</f>
        <v>3.2</v>
      </c>
      <c r="AE78" s="308">
        <f>3.61*3.8</f>
        <v>13.717999999999998</v>
      </c>
      <c r="AF78" s="308">
        <v>0.98</v>
      </c>
      <c r="AG78" s="309">
        <v>0.61</v>
      </c>
      <c r="AH78" s="305" t="str" cm="1">
        <f t="array" aca="1" ref="AH78" ca="1">INDIRECT("'"&amp;$C78&amp;"'!"&amp;"$"&amp;$D78&amp;$AH$1&amp;"")</f>
        <v>CMS</v>
      </c>
      <c r="AI78" s="308" t="s">
        <v>1</v>
      </c>
      <c r="AJ78" s="308" t="s">
        <v>1</v>
      </c>
      <c r="AK78" s="306" t="s">
        <v>1</v>
      </c>
      <c r="AL78" s="305">
        <v>11.8</v>
      </c>
      <c r="AM78" s="309">
        <v>70.3</v>
      </c>
      <c r="AN78" s="305" cm="1">
        <f t="array" aca="1" ref="AN78" ca="1">INDIRECT("'"&amp;$C78&amp;"'!"&amp;"$"&amp;$D78&amp;$AL$1&amp;"")</f>
        <v>2.9</v>
      </c>
      <c r="AO78" s="308">
        <v>0.99</v>
      </c>
      <c r="AP78" s="306">
        <v>0.35</v>
      </c>
      <c r="AQ78" s="307" cm="1">
        <f t="array" aca="1" ref="AQ78" ca="1">INDIRECT("'"&amp;$C78&amp;"'!"&amp;"$"&amp;$D78&amp;$AQ$1&amp;"")</f>
        <v>2.9</v>
      </c>
      <c r="AR78" s="308">
        <v>0.99</v>
      </c>
      <c r="AS78" s="306">
        <v>0.35</v>
      </c>
      <c r="AT78" s="310">
        <v>0</v>
      </c>
      <c r="AU78" s="309">
        <v>69.5</v>
      </c>
      <c r="AV78" s="305" t="str" cm="1">
        <f t="array" aca="1" ref="AV78" ca="1">INDIRECT("'"&amp;$C78&amp;"'!"&amp;"$"&amp;$D78&amp;31&amp;"")</f>
        <v>PMS</v>
      </c>
      <c r="AW78" s="308" t="s">
        <v>1</v>
      </c>
      <c r="AX78" s="306" t="s">
        <v>1</v>
      </c>
      <c r="AY78" s="311">
        <v>69.5</v>
      </c>
      <c r="AZ78" s="310" cm="1">
        <f t="array" aca="1" ref="AZ78" ca="1">INDIRECT("'"&amp;$C78&amp;"'!"&amp;"$"&amp;$D78&amp;58&amp;"")</f>
        <v>3.1924999999999999</v>
      </c>
      <c r="BA78" s="308">
        <v>0.98</v>
      </c>
      <c r="BB78" s="306">
        <v>0.64</v>
      </c>
      <c r="BC78" s="310" cm="1">
        <f t="array" aca="1" ref="BC78" ca="1">INDIRECT("'"&amp;$C78&amp;"'!"&amp;"$"&amp;$D78&amp;63&amp;"")</f>
        <v>1.1399999999999999</v>
      </c>
      <c r="BD78" s="308"/>
      <c r="BE78" s="308">
        <v>0.99</v>
      </c>
      <c r="BF78" s="306">
        <v>0.14000000000000001</v>
      </c>
      <c r="BG78" s="311" cm="1">
        <f t="array" aca="1" ref="BG78" ca="1">INDIRECT("'"&amp;$C78&amp;"'!"&amp;"$"&amp;$D78&amp;78&amp;"")</f>
        <v>0.84</v>
      </c>
      <c r="BH78" s="308"/>
      <c r="BI78" s="308">
        <v>0.97</v>
      </c>
      <c r="BJ78" s="306">
        <v>0.21</v>
      </c>
      <c r="BK78" s="311" cm="1">
        <f t="array" aca="1" ref="BK78" ca="1">INDIRECT("'"&amp;$C78&amp;"'!"&amp;"$"&amp;$D78&amp;74&amp;"")</f>
        <v>3.5</v>
      </c>
      <c r="BL78" s="308"/>
      <c r="BM78" s="308">
        <v>0.99</v>
      </c>
      <c r="BN78" s="306">
        <v>0.49</v>
      </c>
    </row>
    <row r="79" spans="1:66" ht="8.1" customHeight="1" thickBot="1" x14ac:dyDescent="0.25">
      <c r="AY79" s="314"/>
      <c r="AZ79" s="314"/>
    </row>
    <row r="80" spans="1:66" ht="15.75" thickBot="1" x14ac:dyDescent="0.25">
      <c r="A80" s="367">
        <v>45692</v>
      </c>
      <c r="B80" s="364">
        <v>0</v>
      </c>
      <c r="C80" s="315">
        <v>4</v>
      </c>
      <c r="D80" s="316" t="s">
        <v>110</v>
      </c>
      <c r="E80" s="284">
        <v>14.3</v>
      </c>
      <c r="F80" s="285">
        <v>70.92</v>
      </c>
      <c r="G80" s="286" cm="1">
        <f t="array" aca="1" ref="G80" ca="1">INDIRECT("'"&amp;$C80&amp;"'!"&amp;"$"&amp;$D80&amp;$E$1&amp;"")</f>
        <v>6.2</v>
      </c>
      <c r="H80" s="287">
        <v>0.99</v>
      </c>
      <c r="I80" s="285">
        <v>0.95</v>
      </c>
      <c r="J80" s="286" cm="1">
        <f t="array" aca="1" ref="J80" ca="1">INDIRECT("'"&amp;$C80&amp;"'!"&amp;"$"&amp;$D80&amp;$J$1&amp;"")</f>
        <v>6.1</v>
      </c>
      <c r="K80" s="287"/>
      <c r="L80" s="287">
        <v>0.99</v>
      </c>
      <c r="M80" s="285">
        <v>1.02</v>
      </c>
      <c r="N80" s="286" cm="1">
        <f t="array" aca="1" ref="N80" ca="1">INDIRECT("'"&amp;$C80&amp;"'!"&amp;"$"&amp;$D80&amp;$N$1&amp;"")</f>
        <v>6.1</v>
      </c>
      <c r="O80" s="287"/>
      <c r="P80" s="287">
        <v>0.99</v>
      </c>
      <c r="Q80" s="285">
        <v>1.03</v>
      </c>
      <c r="R80" s="286" cm="1">
        <f t="array" aca="1" ref="R80" ca="1">INDIRECT("'"&amp;$C80&amp;"'!"&amp;"$"&amp;$D80&amp;$R$1&amp;"")</f>
        <v>6.1</v>
      </c>
      <c r="S80" s="287"/>
      <c r="T80" s="287">
        <v>0.99</v>
      </c>
      <c r="U80" s="285">
        <v>1.02</v>
      </c>
      <c r="V80" s="286" t="str" cm="1">
        <f t="array" aca="1" ref="V80" ca="1">INDIRECT("'"&amp;$C80&amp;"'!"&amp;"$"&amp;$D80&amp;$V$1&amp;"")</f>
        <v>CMS</v>
      </c>
      <c r="W80" s="287" t="s">
        <v>1</v>
      </c>
      <c r="X80" s="287" t="s">
        <v>1</v>
      </c>
      <c r="Y80" s="288" t="s">
        <v>1</v>
      </c>
      <c r="Z80" s="284" cm="1">
        <f t="array" aca="1" ref="Z80" ca="1">INDIRECT("'"&amp;$C80&amp;"'!"&amp;"$"&amp;$D80&amp;$Z$1&amp;"")</f>
        <v>0</v>
      </c>
      <c r="AA80" s="287" t="s">
        <v>1</v>
      </c>
      <c r="AB80" s="287" t="s">
        <v>1</v>
      </c>
      <c r="AC80" s="285" t="s">
        <v>1</v>
      </c>
      <c r="AD80" s="286" cm="1">
        <f t="array" aca="1" ref="AD80" ca="1">INDIRECT("'"&amp;$C80&amp;"'!"&amp;"$"&amp;$D80&amp;$AD$1&amp;"")</f>
        <v>3.2</v>
      </c>
      <c r="AE80" s="287">
        <f>3.64*3.8</f>
        <v>13.831999999999999</v>
      </c>
      <c r="AF80" s="287">
        <v>0.99</v>
      </c>
      <c r="AG80" s="285">
        <v>0.39</v>
      </c>
      <c r="AH80" s="284" t="str" cm="1">
        <f t="array" aca="1" ref="AH80" ca="1">INDIRECT("'"&amp;$C80&amp;"'!"&amp;"$"&amp;$D80&amp;$AH$1&amp;"")</f>
        <v>CMS</v>
      </c>
      <c r="AI80" s="287" t="s">
        <v>1</v>
      </c>
      <c r="AJ80" s="287" t="s">
        <v>1</v>
      </c>
      <c r="AK80" s="285" t="s">
        <v>1</v>
      </c>
      <c r="AL80" s="284">
        <v>11.8</v>
      </c>
      <c r="AM80" s="288">
        <v>70.5</v>
      </c>
      <c r="AN80" s="284" cm="1">
        <f t="array" aca="1" ref="AN80" ca="1">INDIRECT("'"&amp;$C80&amp;"'!"&amp;"$"&amp;$D80&amp;$AL$1&amp;"")</f>
        <v>2</v>
      </c>
      <c r="AO80" s="287">
        <v>0.99</v>
      </c>
      <c r="AP80" s="285">
        <v>0.2</v>
      </c>
      <c r="AQ80" s="286" cm="1">
        <f t="array" aca="1" ref="AQ80" ca="1">INDIRECT("'"&amp;$C80&amp;"'!"&amp;"$"&amp;$D80&amp;$AQ$1&amp;"")</f>
        <v>2</v>
      </c>
      <c r="AR80" s="287">
        <v>0.99</v>
      </c>
      <c r="AS80" s="285">
        <v>0.2</v>
      </c>
      <c r="AT80" s="289">
        <v>0</v>
      </c>
      <c r="AU80" s="288">
        <v>0</v>
      </c>
      <c r="AV80" s="284" t="str" cm="1">
        <f t="array" aca="1" ref="AV80" ca="1">INDIRECT("'"&amp;$C80&amp;"'!"&amp;"$"&amp;$D80&amp;31&amp;"")</f>
        <v>PMS</v>
      </c>
      <c r="AW80" s="287" t="s">
        <v>1</v>
      </c>
      <c r="AX80" s="285" t="s">
        <v>1</v>
      </c>
      <c r="AY80" s="317">
        <v>69.8</v>
      </c>
      <c r="AZ80" s="289" cm="1">
        <f t="array" aca="1" ref="AZ80" ca="1">INDIRECT("'"&amp;$C80&amp;"'!"&amp;"$"&amp;$D80&amp;58&amp;"")</f>
        <v>0</v>
      </c>
      <c r="BA80" s="287" t="s">
        <v>1</v>
      </c>
      <c r="BB80" s="285" t="s">
        <v>1</v>
      </c>
      <c r="BC80" s="289" cm="1">
        <f t="array" aca="1" ref="BC80" ca="1">INDIRECT("'"&amp;$C80&amp;"'!"&amp;"$"&amp;$D80&amp;63&amp;"")</f>
        <v>1</v>
      </c>
      <c r="BD80" s="287"/>
      <c r="BE80" s="287">
        <v>0.99</v>
      </c>
      <c r="BF80" s="285">
        <v>0.13</v>
      </c>
      <c r="BG80" s="381" cm="1">
        <f t="array" aca="1" ref="BG80" ca="1">INDIRECT("'"&amp;$C80&amp;"'!"&amp;"$"&amp;$D80&amp;78&amp;"")</f>
        <v>0.8</v>
      </c>
      <c r="BH80" s="287"/>
      <c r="BI80" s="287">
        <v>0.96</v>
      </c>
      <c r="BJ80" s="285">
        <v>0.21</v>
      </c>
      <c r="BK80" s="381" cm="1">
        <f t="array" aca="1" ref="BK80" ca="1">INDIRECT("'"&amp;$C80&amp;"'!"&amp;"$"&amp;$D80&amp;74&amp;"")</f>
        <v>3.32</v>
      </c>
      <c r="BL80" s="287"/>
      <c r="BM80" s="287">
        <v>0.99</v>
      </c>
      <c r="BN80" s="285">
        <v>0.47</v>
      </c>
    </row>
    <row r="81" spans="1:66" ht="15.75" thickBot="1" x14ac:dyDescent="0.25">
      <c r="A81" s="368">
        <v>45692</v>
      </c>
      <c r="B81" s="365">
        <v>4.1666666666666699E-2</v>
      </c>
      <c r="C81" s="315">
        <v>4</v>
      </c>
      <c r="D81" s="319" t="s">
        <v>111</v>
      </c>
      <c r="E81" s="290">
        <v>14.3</v>
      </c>
      <c r="F81" s="291">
        <v>70.959999999999994</v>
      </c>
      <c r="G81" s="292" cm="1">
        <f t="array" aca="1" ref="G81" ca="1">INDIRECT("'"&amp;$C81&amp;"'!"&amp;"$"&amp;$D81&amp;$E$1&amp;"")</f>
        <v>5.0999999999999996</v>
      </c>
      <c r="H81" s="293">
        <v>0.99</v>
      </c>
      <c r="I81" s="291">
        <v>0.76</v>
      </c>
      <c r="J81" s="292" cm="1">
        <f t="array" aca="1" ref="J81" ca="1">INDIRECT("'"&amp;$C81&amp;"'!"&amp;"$"&amp;$D81&amp;$J$1&amp;"")</f>
        <v>5</v>
      </c>
      <c r="K81" s="293"/>
      <c r="L81" s="293">
        <v>0.99</v>
      </c>
      <c r="M81" s="291">
        <v>0.59</v>
      </c>
      <c r="N81" s="292" cm="1">
        <f t="array" aca="1" ref="N81" ca="1">INDIRECT("'"&amp;$C81&amp;"'!"&amp;"$"&amp;$D81&amp;$N$1&amp;"")</f>
        <v>7</v>
      </c>
      <c r="O81" s="293"/>
      <c r="P81" s="293">
        <v>0.96</v>
      </c>
      <c r="Q81" s="291">
        <v>0.99</v>
      </c>
      <c r="R81" s="292" cm="1">
        <f t="array" aca="1" ref="R81" ca="1">INDIRECT("'"&amp;$C81&amp;"'!"&amp;"$"&amp;$D81&amp;$R$1&amp;"")</f>
        <v>5</v>
      </c>
      <c r="S81" s="293"/>
      <c r="T81" s="293">
        <v>0.99</v>
      </c>
      <c r="U81" s="291">
        <v>0.46</v>
      </c>
      <c r="V81" s="292" t="str" cm="1">
        <f t="array" aca="1" ref="V81" ca="1">INDIRECT("'"&amp;$C81&amp;"'!"&amp;"$"&amp;$D81&amp;$V$1&amp;"")</f>
        <v>CMS</v>
      </c>
      <c r="W81" s="293" t="s">
        <v>1</v>
      </c>
      <c r="X81" s="293" t="s">
        <v>1</v>
      </c>
      <c r="Y81" s="294" t="s">
        <v>1</v>
      </c>
      <c r="Z81" s="290" cm="1">
        <f t="array" aca="1" ref="Z81" ca="1">INDIRECT("'"&amp;$C81&amp;"'!"&amp;"$"&amp;$D81&amp;$Z$1&amp;"")</f>
        <v>0</v>
      </c>
      <c r="AA81" s="293" t="s">
        <v>1</v>
      </c>
      <c r="AB81" s="293" t="s">
        <v>1</v>
      </c>
      <c r="AC81" s="291" t="s">
        <v>1</v>
      </c>
      <c r="AD81" s="292" cm="1">
        <f t="array" aca="1" ref="AD81" ca="1">INDIRECT("'"&amp;$C81&amp;"'!"&amp;"$"&amp;$D81&amp;$AD$1&amp;"")</f>
        <v>3.2</v>
      </c>
      <c r="AE81" s="293">
        <f>3.8*3.65</f>
        <v>13.87</v>
      </c>
      <c r="AF81" s="293">
        <v>0.99</v>
      </c>
      <c r="AG81" s="294">
        <v>0.37</v>
      </c>
      <c r="AH81" s="290" t="str" cm="1">
        <f t="array" aca="1" ref="AH81" ca="1">INDIRECT("'"&amp;$C81&amp;"'!"&amp;"$"&amp;$D81&amp;$AH$1&amp;"")</f>
        <v>CMS</v>
      </c>
      <c r="AI81" s="293" t="s">
        <v>1</v>
      </c>
      <c r="AJ81" s="293" t="s">
        <v>1</v>
      </c>
      <c r="AK81" s="291" t="s">
        <v>1</v>
      </c>
      <c r="AL81" s="290">
        <v>11.8</v>
      </c>
      <c r="AM81" s="294">
        <v>70.400000000000006</v>
      </c>
      <c r="AN81" s="290" cm="1">
        <f t="array" aca="1" ref="AN81" ca="1">INDIRECT("'"&amp;$C81&amp;"'!"&amp;"$"&amp;$D81&amp;$AL$1&amp;"")</f>
        <v>3.9</v>
      </c>
      <c r="AO81" s="293">
        <v>0.99</v>
      </c>
      <c r="AP81" s="291">
        <v>7.8E-2</v>
      </c>
      <c r="AQ81" s="292" cm="1">
        <f t="array" aca="1" ref="AQ81" ca="1">INDIRECT("'"&amp;$C81&amp;"'!"&amp;"$"&amp;$D81&amp;$AQ$1&amp;"")</f>
        <v>3.9</v>
      </c>
      <c r="AR81" s="293">
        <v>0.99</v>
      </c>
      <c r="AS81" s="291">
        <v>7.8E-2</v>
      </c>
      <c r="AT81" s="295">
        <v>0</v>
      </c>
      <c r="AU81" s="294">
        <v>0</v>
      </c>
      <c r="AV81" s="290" t="str" cm="1">
        <f t="array" aca="1" ref="AV81" ca="1">INDIRECT("'"&amp;$C81&amp;"'!"&amp;"$"&amp;$D81&amp;31&amp;"")</f>
        <v>PMS</v>
      </c>
      <c r="AW81" s="293" t="s">
        <v>1</v>
      </c>
      <c r="AX81" s="291" t="s">
        <v>1</v>
      </c>
      <c r="AY81" s="296">
        <v>69.8</v>
      </c>
      <c r="AZ81" s="295" cm="1">
        <f t="array" aca="1" ref="AZ81" ca="1">INDIRECT("'"&amp;$C81&amp;"'!"&amp;"$"&amp;$D81&amp;58&amp;"")</f>
        <v>0</v>
      </c>
      <c r="BA81" s="293" t="s">
        <v>1</v>
      </c>
      <c r="BB81" s="291" t="s">
        <v>1</v>
      </c>
      <c r="BC81" s="295" cm="1">
        <f t="array" aca="1" ref="BC81" ca="1">INDIRECT("'"&amp;$C81&amp;"'!"&amp;"$"&amp;$D81&amp;63&amp;"")</f>
        <v>0.95</v>
      </c>
      <c r="BD81" s="293"/>
      <c r="BE81" s="293">
        <v>0.99</v>
      </c>
      <c r="BF81" s="291">
        <v>0.13</v>
      </c>
      <c r="BG81" s="296" cm="1">
        <f t="array" aca="1" ref="BG81" ca="1">INDIRECT("'"&amp;$C81&amp;"'!"&amp;"$"&amp;$D81&amp;78&amp;"")</f>
        <v>0.78</v>
      </c>
      <c r="BH81" s="293"/>
      <c r="BI81" s="293">
        <v>0.96</v>
      </c>
      <c r="BJ81" s="291">
        <v>0.2</v>
      </c>
      <c r="BK81" s="296" cm="1">
        <f t="array" aca="1" ref="BK81" ca="1">INDIRECT("'"&amp;$C81&amp;"'!"&amp;"$"&amp;$D81&amp;74&amp;"")</f>
        <v>3.18</v>
      </c>
      <c r="BL81" s="293"/>
      <c r="BM81" s="293">
        <v>0.99</v>
      </c>
      <c r="BN81" s="291">
        <v>0.45</v>
      </c>
    </row>
    <row r="82" spans="1:66" ht="15.75" thickBot="1" x14ac:dyDescent="0.25">
      <c r="A82" s="368">
        <v>45692</v>
      </c>
      <c r="B82" s="365">
        <v>8.3333333333333301E-2</v>
      </c>
      <c r="C82" s="315">
        <v>4</v>
      </c>
      <c r="D82" s="319" t="s">
        <v>112</v>
      </c>
      <c r="E82" s="297">
        <v>14.2</v>
      </c>
      <c r="F82" s="298">
        <v>70.8</v>
      </c>
      <c r="G82" s="299" cm="1">
        <f t="array" aca="1" ref="G82" ca="1">INDIRECT("'"&amp;$C82&amp;"'!"&amp;"$"&amp;$D82&amp;$E$1&amp;"")</f>
        <v>7</v>
      </c>
      <c r="H82" s="300">
        <v>1</v>
      </c>
      <c r="I82" s="298">
        <v>0</v>
      </c>
      <c r="J82" s="299" cm="1">
        <f t="array" aca="1" ref="J82" ca="1">INDIRECT("'"&amp;$C82&amp;"'!"&amp;"$"&amp;$D82&amp;$J$1&amp;"")</f>
        <v>6.6</v>
      </c>
      <c r="K82" s="300"/>
      <c r="L82" s="300">
        <v>1</v>
      </c>
      <c r="M82" s="298">
        <v>0</v>
      </c>
      <c r="N82" s="299" cm="1">
        <f t="array" aca="1" ref="N82" ca="1">INDIRECT("'"&amp;$C82&amp;"'!"&amp;"$"&amp;$D82&amp;$N$1&amp;"")</f>
        <v>0</v>
      </c>
      <c r="O82" s="300"/>
      <c r="P82" s="300" t="s">
        <v>1</v>
      </c>
      <c r="Q82" s="298" t="s">
        <v>1</v>
      </c>
      <c r="R82" s="299" cm="1">
        <f t="array" aca="1" ref="R82" ca="1">INDIRECT("'"&amp;$C82&amp;"'!"&amp;"$"&amp;$D82&amp;$R$1&amp;"")</f>
        <v>6.6</v>
      </c>
      <c r="S82" s="300"/>
      <c r="T82" s="300">
        <v>1</v>
      </c>
      <c r="U82" s="298">
        <v>0</v>
      </c>
      <c r="V82" s="299" t="str" cm="1">
        <f t="array" aca="1" ref="V82" ca="1">INDIRECT("'"&amp;$C82&amp;"'!"&amp;"$"&amp;$D82&amp;$V$1&amp;"")</f>
        <v>CMS</v>
      </c>
      <c r="W82" s="300" t="s">
        <v>1</v>
      </c>
      <c r="X82" s="300" t="s">
        <v>1</v>
      </c>
      <c r="Y82" s="301" t="s">
        <v>1</v>
      </c>
      <c r="Z82" s="297">
        <v>0</v>
      </c>
      <c r="AA82" s="300" t="s">
        <v>1</v>
      </c>
      <c r="AB82" s="300" t="s">
        <v>1</v>
      </c>
      <c r="AC82" s="298" t="s">
        <v>1</v>
      </c>
      <c r="AD82" s="299" cm="1">
        <f t="array" aca="1" ref="AD82" ca="1">INDIRECT("'"&amp;$C82&amp;"'!"&amp;"$"&amp;$D82&amp;$AD$1&amp;"")</f>
        <v>3.2</v>
      </c>
      <c r="AE82" s="300">
        <f>3.65*3.8</f>
        <v>13.87</v>
      </c>
      <c r="AF82" s="300">
        <v>0.99</v>
      </c>
      <c r="AG82" s="301">
        <v>0.37</v>
      </c>
      <c r="AH82" s="297" t="str" cm="1">
        <f t="array" aca="1" ref="AH82" ca="1">INDIRECT("'"&amp;$C82&amp;"'!"&amp;"$"&amp;$D82&amp;$AH$1&amp;"")</f>
        <v>CMS</v>
      </c>
      <c r="AI82" s="300" t="s">
        <v>1</v>
      </c>
      <c r="AJ82" s="300" t="s">
        <v>1</v>
      </c>
      <c r="AK82" s="298" t="s">
        <v>1</v>
      </c>
      <c r="AL82" s="297">
        <v>11.8</v>
      </c>
      <c r="AM82" s="301">
        <v>70.5</v>
      </c>
      <c r="AN82" s="297" cm="1">
        <f t="array" aca="1" ref="AN82" ca="1">INDIRECT("'"&amp;$C82&amp;"'!"&amp;"$"&amp;$D82&amp;$AL$1&amp;"")</f>
        <v>3.8</v>
      </c>
      <c r="AO82" s="300">
        <v>1</v>
      </c>
      <c r="AP82" s="298">
        <v>0.12</v>
      </c>
      <c r="AQ82" s="299" cm="1">
        <f t="array" aca="1" ref="AQ82" ca="1">INDIRECT("'"&amp;$C82&amp;"'!"&amp;"$"&amp;$D82&amp;$AQ$1&amp;"")</f>
        <v>3.8</v>
      </c>
      <c r="AR82" s="300">
        <v>1</v>
      </c>
      <c r="AS82" s="298">
        <v>0.12</v>
      </c>
      <c r="AT82" s="302">
        <v>0</v>
      </c>
      <c r="AU82" s="301">
        <v>0</v>
      </c>
      <c r="AV82" s="297" t="str" cm="1">
        <f t="array" aca="1" ref="AV82" ca="1">INDIRECT("'"&amp;$C82&amp;"'!"&amp;"$"&amp;$D82&amp;31&amp;"")</f>
        <v>PMS</v>
      </c>
      <c r="AW82" s="300" t="s">
        <v>1</v>
      </c>
      <c r="AX82" s="298" t="s">
        <v>1</v>
      </c>
      <c r="AY82" s="303">
        <v>69.8</v>
      </c>
      <c r="AZ82" s="302" cm="1">
        <f t="array" aca="1" ref="AZ82" ca="1">INDIRECT("'"&amp;$C82&amp;"'!"&amp;"$"&amp;$D82&amp;58&amp;"")</f>
        <v>0</v>
      </c>
      <c r="BA82" s="300" t="s">
        <v>1</v>
      </c>
      <c r="BB82" s="298" t="s">
        <v>1</v>
      </c>
      <c r="BC82" s="302" cm="1">
        <f t="array" aca="1" ref="BC82" ca="1">INDIRECT("'"&amp;$C82&amp;"'!"&amp;"$"&amp;$D82&amp;63&amp;"")</f>
        <v>0.93</v>
      </c>
      <c r="BD82" s="300"/>
      <c r="BE82" s="300">
        <v>0.99</v>
      </c>
      <c r="BF82" s="298">
        <v>0.13</v>
      </c>
      <c r="BG82" s="303" cm="1">
        <f t="array" aca="1" ref="BG82" ca="1">INDIRECT("'"&amp;$C82&amp;"'!"&amp;"$"&amp;$D82&amp;78&amp;"")</f>
        <v>0.74</v>
      </c>
      <c r="BH82" s="300"/>
      <c r="BI82" s="300">
        <v>0.96</v>
      </c>
      <c r="BJ82" s="298">
        <v>0.2</v>
      </c>
      <c r="BK82" s="303" cm="1">
        <f t="array" aca="1" ref="BK82" ca="1">INDIRECT("'"&amp;$C82&amp;"'!"&amp;"$"&amp;$D82&amp;74&amp;"")</f>
        <v>3</v>
      </c>
      <c r="BL82" s="300"/>
      <c r="BM82" s="300">
        <v>0.99</v>
      </c>
      <c r="BN82" s="298">
        <v>0.42</v>
      </c>
    </row>
    <row r="83" spans="1:66" ht="15.75" thickBot="1" x14ac:dyDescent="0.25">
      <c r="A83" s="368">
        <v>45692</v>
      </c>
      <c r="B83" s="365">
        <v>0.125</v>
      </c>
      <c r="C83" s="315">
        <v>4</v>
      </c>
      <c r="D83" s="319" t="s">
        <v>113</v>
      </c>
      <c r="E83" s="290">
        <v>14.3</v>
      </c>
      <c r="F83" s="291">
        <v>70.760000000000005</v>
      </c>
      <c r="G83" s="292" cm="1">
        <f t="array" aca="1" ref="G83" ca="1">INDIRECT("'"&amp;$C83&amp;"'!"&amp;"$"&amp;$D83&amp;$E$1&amp;"")</f>
        <v>6.6</v>
      </c>
      <c r="H83" s="293">
        <v>1</v>
      </c>
      <c r="I83" s="291">
        <v>0.59</v>
      </c>
      <c r="J83" s="292" cm="1">
        <f t="array" aca="1" ref="J83" ca="1">INDIRECT("'"&amp;$C83&amp;"'!"&amp;"$"&amp;$D83&amp;$J$1&amp;"")</f>
        <v>6.6</v>
      </c>
      <c r="K83" s="293"/>
      <c r="L83" s="293">
        <v>1</v>
      </c>
      <c r="M83" s="291">
        <v>0.6</v>
      </c>
      <c r="N83" s="292" cm="1">
        <f t="array" aca="1" ref="N83" ca="1">INDIRECT("'"&amp;$C83&amp;"'!"&amp;"$"&amp;$D83&amp;$N$1&amp;"")</f>
        <v>0</v>
      </c>
      <c r="O83" s="293"/>
      <c r="P83" s="293" t="s">
        <v>1</v>
      </c>
      <c r="Q83" s="291" t="s">
        <v>1</v>
      </c>
      <c r="R83" s="292" cm="1">
        <f t="array" aca="1" ref="R83" ca="1">INDIRECT("'"&amp;$C83&amp;"'!"&amp;"$"&amp;$D83&amp;$R$1&amp;"")</f>
        <v>7</v>
      </c>
      <c r="S83" s="293"/>
      <c r="T83" s="293">
        <v>1</v>
      </c>
      <c r="U83" s="291">
        <v>0.62</v>
      </c>
      <c r="V83" s="292" t="str" cm="1">
        <f t="array" aca="1" ref="V83" ca="1">INDIRECT("'"&amp;$C83&amp;"'!"&amp;"$"&amp;$D83&amp;$V$1&amp;"")</f>
        <v>CMS</v>
      </c>
      <c r="W83" s="293" t="s">
        <v>1</v>
      </c>
      <c r="X83" s="293" t="s">
        <v>1</v>
      </c>
      <c r="Y83" s="294" t="s">
        <v>1</v>
      </c>
      <c r="Z83" s="290" cm="1">
        <f t="array" aca="1" ref="Z83" ca="1">INDIRECT("'"&amp;$C83&amp;"'!"&amp;"$"&amp;$D83&amp;$Z$1&amp;"")</f>
        <v>0</v>
      </c>
      <c r="AA83" s="293" t="s">
        <v>1</v>
      </c>
      <c r="AB83" s="293" t="s">
        <v>1</v>
      </c>
      <c r="AC83" s="291" t="s">
        <v>1</v>
      </c>
      <c r="AD83" s="292" cm="1">
        <f t="array" aca="1" ref="AD83" ca="1">INDIRECT("'"&amp;$C83&amp;"'!"&amp;"$"&amp;$D83&amp;$AD$1&amp;"")</f>
        <v>3.2</v>
      </c>
      <c r="AE83" s="293">
        <f>3.8*3.66</f>
        <v>13.907999999999999</v>
      </c>
      <c r="AF83" s="293">
        <v>0.99</v>
      </c>
      <c r="AG83" s="294">
        <v>0.37</v>
      </c>
      <c r="AH83" s="290" t="str" cm="1">
        <f t="array" aca="1" ref="AH83" ca="1">INDIRECT("'"&amp;$C83&amp;"'!"&amp;"$"&amp;$D83&amp;$AH$1&amp;"")</f>
        <v>CMS</v>
      </c>
      <c r="AI83" s="293" t="s">
        <v>1</v>
      </c>
      <c r="AJ83" s="293" t="s">
        <v>1</v>
      </c>
      <c r="AK83" s="291" t="s">
        <v>1</v>
      </c>
      <c r="AL83" s="290">
        <v>11.8</v>
      </c>
      <c r="AM83" s="294">
        <v>70.5</v>
      </c>
      <c r="AN83" s="290" cm="1">
        <f t="array" aca="1" ref="AN83" ca="1">INDIRECT("'"&amp;$C83&amp;"'!"&amp;"$"&amp;$D83&amp;$AL$1&amp;"")</f>
        <v>3.7</v>
      </c>
      <c r="AO83" s="293">
        <v>1</v>
      </c>
      <c r="AP83" s="291">
        <v>0.13</v>
      </c>
      <c r="AQ83" s="292" cm="1">
        <f t="array" aca="1" ref="AQ83" ca="1">INDIRECT("'"&amp;$C83&amp;"'!"&amp;"$"&amp;$D83&amp;$AQ$1&amp;"")</f>
        <v>3.7</v>
      </c>
      <c r="AR83" s="293">
        <v>1</v>
      </c>
      <c r="AS83" s="291">
        <v>0.13</v>
      </c>
      <c r="AT83" s="295">
        <v>0</v>
      </c>
      <c r="AU83" s="294">
        <v>0</v>
      </c>
      <c r="AV83" s="290" t="str" cm="1">
        <f t="array" aca="1" ref="AV83" ca="1">INDIRECT("'"&amp;$C83&amp;"'!"&amp;"$"&amp;$D83&amp;31&amp;"")</f>
        <v>PMS</v>
      </c>
      <c r="AW83" s="293" t="s">
        <v>1</v>
      </c>
      <c r="AX83" s="291" t="s">
        <v>1</v>
      </c>
      <c r="AY83" s="296">
        <v>69.8</v>
      </c>
      <c r="AZ83" s="295" cm="1">
        <f t="array" aca="1" ref="AZ83" ca="1">INDIRECT("'"&amp;$C83&amp;"'!"&amp;"$"&amp;$D83&amp;58&amp;"")</f>
        <v>0</v>
      </c>
      <c r="BA83" s="293" t="s">
        <v>1</v>
      </c>
      <c r="BB83" s="291" t="s">
        <v>1</v>
      </c>
      <c r="BC83" s="295" cm="1">
        <f t="array" aca="1" ref="BC83" ca="1">INDIRECT("'"&amp;$C83&amp;"'!"&amp;"$"&amp;$D83&amp;63&amp;"")</f>
        <v>0.87</v>
      </c>
      <c r="BD83" s="293"/>
      <c r="BE83" s="293">
        <v>0.99</v>
      </c>
      <c r="BF83" s="291">
        <v>0.1</v>
      </c>
      <c r="BG83" s="296" cm="1">
        <f t="array" aca="1" ref="BG83" ca="1">INDIRECT("'"&amp;$C83&amp;"'!"&amp;"$"&amp;$D83&amp;78&amp;"")</f>
        <v>0.73</v>
      </c>
      <c r="BH83" s="293"/>
      <c r="BI83" s="293">
        <v>0.96</v>
      </c>
      <c r="BJ83" s="291">
        <v>0.2</v>
      </c>
      <c r="BK83" s="296" cm="1">
        <f t="array" aca="1" ref="BK83" ca="1">INDIRECT("'"&amp;$C83&amp;"'!"&amp;"$"&amp;$D83&amp;74&amp;"")</f>
        <v>2.9</v>
      </c>
      <c r="BL83" s="293"/>
      <c r="BM83" s="293">
        <v>0.99</v>
      </c>
      <c r="BN83" s="291">
        <v>0.41</v>
      </c>
    </row>
    <row r="84" spans="1:66" ht="15.75" thickBot="1" x14ac:dyDescent="0.25">
      <c r="A84" s="368">
        <v>45692</v>
      </c>
      <c r="B84" s="365">
        <v>0.16666666666666699</v>
      </c>
      <c r="C84" s="315">
        <v>4</v>
      </c>
      <c r="D84" s="319" t="s">
        <v>114</v>
      </c>
      <c r="E84" s="297">
        <v>14.2</v>
      </c>
      <c r="F84" s="298">
        <v>70.69</v>
      </c>
      <c r="G84" s="299" cm="1">
        <f t="array" aca="1" ref="G84" ca="1">INDIRECT("'"&amp;$C84&amp;"'!"&amp;"$"&amp;$D84&amp;$E$1&amp;"")</f>
        <v>6.7</v>
      </c>
      <c r="H84" s="300">
        <v>1</v>
      </c>
      <c r="I84" s="298">
        <v>0</v>
      </c>
      <c r="J84" s="299" cm="1">
        <f t="array" aca="1" ref="J84" ca="1">INDIRECT("'"&amp;$C84&amp;"'!"&amp;"$"&amp;$D84&amp;$J$1&amp;"")</f>
        <v>6.7</v>
      </c>
      <c r="K84" s="300"/>
      <c r="L84" s="300">
        <v>1</v>
      </c>
      <c r="M84" s="298">
        <v>0</v>
      </c>
      <c r="N84" s="299" cm="1">
        <f t="array" aca="1" ref="N84" ca="1">INDIRECT("'"&amp;$C84&amp;"'!"&amp;"$"&amp;$D84&amp;$N$1&amp;"")</f>
        <v>0</v>
      </c>
      <c r="O84" s="300"/>
      <c r="P84" s="300" t="s">
        <v>1</v>
      </c>
      <c r="Q84" s="298" t="s">
        <v>1</v>
      </c>
      <c r="R84" s="299" cm="1">
        <f t="array" aca="1" ref="R84" ca="1">INDIRECT("'"&amp;$C84&amp;"'!"&amp;"$"&amp;$D84&amp;$R$1&amp;"")</f>
        <v>6.7</v>
      </c>
      <c r="S84" s="300"/>
      <c r="T84" s="300">
        <v>1</v>
      </c>
      <c r="U84" s="298">
        <v>0</v>
      </c>
      <c r="V84" s="299" t="str" cm="1">
        <f t="array" aca="1" ref="V84" ca="1">INDIRECT("'"&amp;$C84&amp;"'!"&amp;"$"&amp;$D84&amp;$V$1&amp;"")</f>
        <v>CMS</v>
      </c>
      <c r="W84" s="300" t="s">
        <v>1</v>
      </c>
      <c r="X84" s="300" t="s">
        <v>1</v>
      </c>
      <c r="Y84" s="301" t="s">
        <v>1</v>
      </c>
      <c r="Z84" s="297" cm="1">
        <f t="array" aca="1" ref="Z84" ca="1">INDIRECT("'"&amp;$C84&amp;"'!"&amp;"$"&amp;$D84&amp;$Z$1&amp;"")</f>
        <v>0</v>
      </c>
      <c r="AA84" s="300" t="s">
        <v>1</v>
      </c>
      <c r="AB84" s="300" t="s">
        <v>1</v>
      </c>
      <c r="AC84" s="298" t="s">
        <v>1</v>
      </c>
      <c r="AD84" s="299" cm="1">
        <f t="array" aca="1" ref="AD84" ca="1">INDIRECT("'"&amp;$C84&amp;"'!"&amp;"$"&amp;$D84&amp;$AD$1&amp;"")</f>
        <v>3.2</v>
      </c>
      <c r="AE84" s="300">
        <f>3.8*3.65</f>
        <v>13.87</v>
      </c>
      <c r="AF84" s="300">
        <v>0.99</v>
      </c>
      <c r="AG84" s="301">
        <v>0.35</v>
      </c>
      <c r="AH84" s="297" t="str" cm="1">
        <f t="array" aca="1" ref="AH84" ca="1">INDIRECT("'"&amp;$C84&amp;"'!"&amp;"$"&amp;$D84&amp;$AH$1&amp;"")</f>
        <v>CMS</v>
      </c>
      <c r="AI84" s="300" t="s">
        <v>1</v>
      </c>
      <c r="AJ84" s="300" t="s">
        <v>1</v>
      </c>
      <c r="AK84" s="298" t="s">
        <v>1</v>
      </c>
      <c r="AL84" s="297">
        <v>11.8</v>
      </c>
      <c r="AM84" s="301">
        <v>70.5</v>
      </c>
      <c r="AN84" s="297" cm="1">
        <f t="array" aca="1" ref="AN84" ca="1">INDIRECT("'"&amp;$C84&amp;"'!"&amp;"$"&amp;$D84&amp;$AL$1&amp;"")</f>
        <v>3.7</v>
      </c>
      <c r="AO84" s="300">
        <v>1</v>
      </c>
      <c r="AP84" s="298">
        <v>0.13</v>
      </c>
      <c r="AQ84" s="299" cm="1">
        <f t="array" aca="1" ref="AQ84" ca="1">INDIRECT("'"&amp;$C84&amp;"'!"&amp;"$"&amp;$D84&amp;$AQ$1&amp;"")</f>
        <v>3.7</v>
      </c>
      <c r="AR84" s="300">
        <v>1</v>
      </c>
      <c r="AS84" s="298">
        <v>0.13</v>
      </c>
      <c r="AT84" s="302">
        <v>0</v>
      </c>
      <c r="AU84" s="301">
        <v>0</v>
      </c>
      <c r="AV84" s="297" t="str" cm="1">
        <f t="array" aca="1" ref="AV84" ca="1">INDIRECT("'"&amp;$C84&amp;"'!"&amp;"$"&amp;$D84&amp;31&amp;"")</f>
        <v>PMS</v>
      </c>
      <c r="AW84" s="300" t="s">
        <v>1</v>
      </c>
      <c r="AX84" s="298" t="s">
        <v>1</v>
      </c>
      <c r="AY84" s="303">
        <v>69.8</v>
      </c>
      <c r="AZ84" s="302" cm="1">
        <f t="array" aca="1" ref="AZ84" ca="1">INDIRECT("'"&amp;$C84&amp;"'!"&amp;"$"&amp;$D84&amp;58&amp;"")</f>
        <v>0</v>
      </c>
      <c r="BA84" s="300" t="s">
        <v>1</v>
      </c>
      <c r="BB84" s="298" t="s">
        <v>1</v>
      </c>
      <c r="BC84" s="302" cm="1">
        <f t="array" aca="1" ref="BC84" ca="1">INDIRECT("'"&amp;$C84&amp;"'!"&amp;"$"&amp;$D84&amp;63&amp;"")</f>
        <v>0.8</v>
      </c>
      <c r="BD84" s="300"/>
      <c r="BE84" s="300">
        <v>0.99</v>
      </c>
      <c r="BF84" s="298">
        <v>0.1</v>
      </c>
      <c r="BG84" s="303" cm="1">
        <f t="array" aca="1" ref="BG84" ca="1">INDIRECT("'"&amp;$C84&amp;"'!"&amp;"$"&amp;$D84&amp;78&amp;"")</f>
        <v>0.72</v>
      </c>
      <c r="BH84" s="300"/>
      <c r="BI84" s="300">
        <v>0.96</v>
      </c>
      <c r="BJ84" s="298">
        <v>0.19</v>
      </c>
      <c r="BK84" s="303" cm="1">
        <f t="array" aca="1" ref="BK84" ca="1">INDIRECT("'"&amp;$C84&amp;"'!"&amp;"$"&amp;$D84&amp;74&amp;"")</f>
        <v>3</v>
      </c>
      <c r="BL84" s="300"/>
      <c r="BM84" s="300">
        <v>0.99</v>
      </c>
      <c r="BN84" s="298">
        <v>0.32</v>
      </c>
    </row>
    <row r="85" spans="1:66" ht="15.75" thickBot="1" x14ac:dyDescent="0.25">
      <c r="A85" s="368">
        <v>45692</v>
      </c>
      <c r="B85" s="365">
        <v>0.20833333333333301</v>
      </c>
      <c r="C85" s="315">
        <v>4</v>
      </c>
      <c r="D85" s="319" t="s">
        <v>115</v>
      </c>
      <c r="E85" s="290">
        <v>14.3</v>
      </c>
      <c r="F85" s="291">
        <v>71.59</v>
      </c>
      <c r="G85" s="292" cm="1">
        <f t="array" aca="1" ref="G85" ca="1">INDIRECT("'"&amp;$C85&amp;"'!"&amp;"$"&amp;$D85&amp;$E$1&amp;"")</f>
        <v>6.9</v>
      </c>
      <c r="H85" s="293">
        <v>1</v>
      </c>
      <c r="I85" s="291">
        <v>0</v>
      </c>
      <c r="J85" s="292" cm="1">
        <f t="array" aca="1" ref="J85" ca="1">INDIRECT("'"&amp;$C85&amp;"'!"&amp;"$"&amp;$D85&amp;$J$1&amp;"")</f>
        <v>0</v>
      </c>
      <c r="K85" s="293"/>
      <c r="L85" s="293" t="s">
        <v>1</v>
      </c>
      <c r="M85" s="291" t="s">
        <v>1</v>
      </c>
      <c r="N85" s="292" cm="1">
        <f t="array" aca="1" ref="N85" ca="1">INDIRECT("'"&amp;$C85&amp;"'!"&amp;"$"&amp;$D85&amp;$N$1&amp;"")</f>
        <v>6.9</v>
      </c>
      <c r="O85" s="293"/>
      <c r="P85" s="293">
        <v>1</v>
      </c>
      <c r="Q85" s="291">
        <v>0</v>
      </c>
      <c r="R85" s="292" cm="1">
        <f t="array" aca="1" ref="R85" ca="1">INDIRECT("'"&amp;$C85&amp;"'!"&amp;"$"&amp;$D85&amp;$R$1&amp;"")</f>
        <v>6.9</v>
      </c>
      <c r="S85" s="293"/>
      <c r="T85" s="293">
        <v>1</v>
      </c>
      <c r="U85" s="291">
        <v>0</v>
      </c>
      <c r="V85" s="292" t="str" cm="1">
        <f t="array" aca="1" ref="V85" ca="1">INDIRECT("'"&amp;$C85&amp;"'!"&amp;"$"&amp;$D85&amp;$V$1&amp;"")</f>
        <v>CMS</v>
      </c>
      <c r="W85" s="293" t="s">
        <v>1</v>
      </c>
      <c r="X85" s="293" t="s">
        <v>1</v>
      </c>
      <c r="Y85" s="294" t="s">
        <v>1</v>
      </c>
      <c r="Z85" s="290" cm="1">
        <f t="array" aca="1" ref="Z85" ca="1">INDIRECT("'"&amp;$C85&amp;"'!"&amp;"$"&amp;$D85&amp;$Z$1&amp;"")</f>
        <v>0</v>
      </c>
      <c r="AA85" s="293" t="s">
        <v>1</v>
      </c>
      <c r="AB85" s="293" t="s">
        <v>1</v>
      </c>
      <c r="AC85" s="291" t="s">
        <v>1</v>
      </c>
      <c r="AD85" s="292" cm="1">
        <f t="array" aca="1" ref="AD85" ca="1">INDIRECT("'"&amp;$C85&amp;"'!"&amp;"$"&amp;$D85&amp;$AD$1&amp;"")</f>
        <v>3.2</v>
      </c>
      <c r="AE85" s="293">
        <f>3.8*3.67</f>
        <v>13.946</v>
      </c>
      <c r="AF85" s="293">
        <v>0.99</v>
      </c>
      <c r="AG85" s="294">
        <v>0.36</v>
      </c>
      <c r="AH85" s="290" t="str" cm="1">
        <f t="array" aca="1" ref="AH85" ca="1">INDIRECT("'"&amp;$C85&amp;"'!"&amp;"$"&amp;$D85&amp;$AH$1&amp;"")</f>
        <v>CMS</v>
      </c>
      <c r="AI85" s="293" t="s">
        <v>1</v>
      </c>
      <c r="AJ85" s="293" t="s">
        <v>1</v>
      </c>
      <c r="AK85" s="291" t="s">
        <v>1</v>
      </c>
      <c r="AL85" s="290">
        <v>11.8</v>
      </c>
      <c r="AM85" s="294">
        <v>70.8</v>
      </c>
      <c r="AN85" s="290" cm="1">
        <f t="array" aca="1" ref="AN85" ca="1">INDIRECT("'"&amp;$C85&amp;"'!"&amp;"$"&amp;$D85&amp;$AL$1&amp;"")</f>
        <v>3.6</v>
      </c>
      <c r="AO85" s="293">
        <v>1</v>
      </c>
      <c r="AP85" s="291">
        <v>0.14000000000000001</v>
      </c>
      <c r="AQ85" s="292" cm="1">
        <f t="array" aca="1" ref="AQ85" ca="1">INDIRECT("'"&amp;$C85&amp;"'!"&amp;"$"&amp;$D85&amp;$AQ$1&amp;"")</f>
        <v>3.6</v>
      </c>
      <c r="AR85" s="293">
        <v>1</v>
      </c>
      <c r="AS85" s="291">
        <v>0.14000000000000001</v>
      </c>
      <c r="AT85" s="295">
        <v>0</v>
      </c>
      <c r="AU85" s="294">
        <v>0</v>
      </c>
      <c r="AV85" s="290" t="str" cm="1">
        <f t="array" aca="1" ref="AV85" ca="1">INDIRECT("'"&amp;$C85&amp;"'!"&amp;"$"&amp;$D85&amp;31&amp;"")</f>
        <v>PMS</v>
      </c>
      <c r="AW85" s="293" t="s">
        <v>1</v>
      </c>
      <c r="AX85" s="291" t="s">
        <v>1</v>
      </c>
      <c r="AY85" s="296">
        <v>70.3</v>
      </c>
      <c r="AZ85" s="295" cm="1">
        <f t="array" aca="1" ref="AZ85" ca="1">INDIRECT("'"&amp;$C85&amp;"'!"&amp;"$"&amp;$D85&amp;58&amp;"")</f>
        <v>0.8</v>
      </c>
      <c r="BA85" s="293">
        <v>0.99</v>
      </c>
      <c r="BB85" s="291">
        <v>0.11</v>
      </c>
      <c r="BC85" s="295" cm="1">
        <f t="array" aca="1" ref="BC85" ca="1">INDIRECT("'"&amp;$C85&amp;"'!"&amp;"$"&amp;$D85&amp;63&amp;"")</f>
        <v>0.85</v>
      </c>
      <c r="BD85" s="293"/>
      <c r="BE85" s="293">
        <v>0.99</v>
      </c>
      <c r="BF85" s="291">
        <v>0.09</v>
      </c>
      <c r="BG85" s="296" cm="1">
        <f t="array" aca="1" ref="BG85" ca="1">INDIRECT("'"&amp;$C85&amp;"'!"&amp;"$"&amp;$D85&amp;78&amp;"")</f>
        <v>0.79</v>
      </c>
      <c r="BH85" s="293"/>
      <c r="BI85" s="293">
        <v>0.96</v>
      </c>
      <c r="BJ85" s="291">
        <v>0.2</v>
      </c>
      <c r="BK85" s="296" cm="1">
        <f t="array" aca="1" ref="BK85" ca="1">INDIRECT("'"&amp;$C85&amp;"'!"&amp;"$"&amp;$D85&amp;74&amp;"")</f>
        <v>3.13</v>
      </c>
      <c r="BL85" s="293"/>
      <c r="BM85" s="293">
        <v>0.99</v>
      </c>
      <c r="BN85" s="291">
        <v>0.44</v>
      </c>
    </row>
    <row r="86" spans="1:66" ht="15.75" thickBot="1" x14ac:dyDescent="0.25">
      <c r="A86" s="368">
        <v>45692</v>
      </c>
      <c r="B86" s="365">
        <v>0.25</v>
      </c>
      <c r="C86" s="315">
        <v>4</v>
      </c>
      <c r="D86" s="319" t="s">
        <v>116</v>
      </c>
      <c r="E86" s="297">
        <v>14.3</v>
      </c>
      <c r="F86" s="298">
        <v>71.41</v>
      </c>
      <c r="G86" s="299" cm="1">
        <f t="array" aca="1" ref="G86" ca="1">INDIRECT("'"&amp;$C86&amp;"'!"&amp;"$"&amp;$D86&amp;$E$1&amp;"")</f>
        <v>6.6</v>
      </c>
      <c r="H86" s="300">
        <v>1</v>
      </c>
      <c r="I86" s="298">
        <v>0</v>
      </c>
      <c r="J86" s="299" cm="1">
        <f t="array" aca="1" ref="J86" ca="1">INDIRECT("'"&amp;$C86&amp;"'!"&amp;"$"&amp;$D86&amp;$J$1&amp;"")</f>
        <v>0</v>
      </c>
      <c r="K86" s="300"/>
      <c r="L86" s="300" t="s">
        <v>1</v>
      </c>
      <c r="M86" s="298" t="s">
        <v>1</v>
      </c>
      <c r="N86" s="299" cm="1">
        <f t="array" aca="1" ref="N86" ca="1">INDIRECT("'"&amp;$C86&amp;"'!"&amp;"$"&amp;$D86&amp;$N$1&amp;"")</f>
        <v>6.6</v>
      </c>
      <c r="O86" s="300"/>
      <c r="P86" s="300">
        <v>1</v>
      </c>
      <c r="Q86" s="298">
        <v>0</v>
      </c>
      <c r="R86" s="299" cm="1">
        <f t="array" aca="1" ref="R86" ca="1">INDIRECT("'"&amp;$C86&amp;"'!"&amp;"$"&amp;$D86&amp;$R$1&amp;"")</f>
        <v>6.6</v>
      </c>
      <c r="S86" s="300"/>
      <c r="T86" s="300">
        <v>1</v>
      </c>
      <c r="U86" s="298">
        <v>0</v>
      </c>
      <c r="V86" s="299" t="str" cm="1">
        <f t="array" aca="1" ref="V86" ca="1">INDIRECT("'"&amp;$C86&amp;"'!"&amp;"$"&amp;$D86&amp;$V$1&amp;"")</f>
        <v>CMS</v>
      </c>
      <c r="W86" s="300" t="s">
        <v>1</v>
      </c>
      <c r="X86" s="300" t="s">
        <v>1</v>
      </c>
      <c r="Y86" s="301" t="s">
        <v>1</v>
      </c>
      <c r="Z86" s="297" cm="1">
        <f t="array" aca="1" ref="Z86" ca="1">INDIRECT("'"&amp;$C86&amp;"'!"&amp;"$"&amp;$D86&amp;$Z$1&amp;"")</f>
        <v>0</v>
      </c>
      <c r="AA86" s="300" t="s">
        <v>1</v>
      </c>
      <c r="AB86" s="300" t="s">
        <v>1</v>
      </c>
      <c r="AC86" s="298" t="s">
        <v>1</v>
      </c>
      <c r="AD86" s="299" cm="1">
        <f t="array" aca="1" ref="AD86" ca="1">INDIRECT("'"&amp;$C86&amp;"'!"&amp;"$"&amp;$D86&amp;$AD$1&amp;"")</f>
        <v>3.2</v>
      </c>
      <c r="AE86" s="300">
        <f>3.8*3.67</f>
        <v>13.946</v>
      </c>
      <c r="AF86" s="300">
        <v>0.99</v>
      </c>
      <c r="AG86" s="301">
        <v>0.38</v>
      </c>
      <c r="AH86" s="297" t="str" cm="1">
        <f t="array" aca="1" ref="AH86" ca="1">INDIRECT("'"&amp;$C86&amp;"'!"&amp;"$"&amp;$D86&amp;$AH$1&amp;"")</f>
        <v>CMS</v>
      </c>
      <c r="AI86" s="300" t="s">
        <v>1</v>
      </c>
      <c r="AJ86" s="300" t="s">
        <v>1</v>
      </c>
      <c r="AK86" s="298" t="s">
        <v>1</v>
      </c>
      <c r="AL86" s="297">
        <v>11.8</v>
      </c>
      <c r="AM86" s="301">
        <v>70.8</v>
      </c>
      <c r="AN86" s="297" cm="1">
        <f t="array" aca="1" ref="AN86" ca="1">INDIRECT("'"&amp;$C86&amp;"'!"&amp;"$"&amp;$D86&amp;$AL$1&amp;"")</f>
        <v>4</v>
      </c>
      <c r="AO86" s="300">
        <v>1</v>
      </c>
      <c r="AP86" s="298">
        <v>0.105</v>
      </c>
      <c r="AQ86" s="299" cm="1">
        <f t="array" aca="1" ref="AQ86" ca="1">INDIRECT("'"&amp;$C86&amp;"'!"&amp;"$"&amp;$D86&amp;$AQ$1&amp;"")</f>
        <v>4</v>
      </c>
      <c r="AR86" s="300">
        <v>1</v>
      </c>
      <c r="AS86" s="298">
        <v>0.105</v>
      </c>
      <c r="AT86" s="302">
        <v>0</v>
      </c>
      <c r="AU86" s="301">
        <v>0</v>
      </c>
      <c r="AV86" s="297" t="str" cm="1">
        <f t="array" aca="1" ref="AV86" ca="1">INDIRECT("'"&amp;$C86&amp;"'!"&amp;"$"&amp;$D86&amp;31&amp;"")</f>
        <v>PMS</v>
      </c>
      <c r="AW86" s="300" t="s">
        <v>1</v>
      </c>
      <c r="AX86" s="298" t="s">
        <v>1</v>
      </c>
      <c r="AY86" s="303">
        <v>70.400000000000006</v>
      </c>
      <c r="AZ86" s="302" cm="1">
        <f t="array" aca="1" ref="AZ86" ca="1">INDIRECT("'"&amp;$C86&amp;"'!"&amp;"$"&amp;$D86&amp;58&amp;"")</f>
        <v>4</v>
      </c>
      <c r="BA86" s="300">
        <v>0.99</v>
      </c>
      <c r="BB86" s="298">
        <v>0.56000000000000005</v>
      </c>
      <c r="BC86" s="302" cm="1">
        <f t="array" aca="1" ref="BC86" ca="1">INDIRECT("'"&amp;$C86&amp;"'!"&amp;"$"&amp;$D86&amp;63&amp;"")</f>
        <v>1.01</v>
      </c>
      <c r="BD86" s="300"/>
      <c r="BE86" s="300">
        <v>0.99</v>
      </c>
      <c r="BF86" s="298">
        <v>0.11</v>
      </c>
      <c r="BG86" s="303" cm="1">
        <f t="array" aca="1" ref="BG86" ca="1">INDIRECT("'"&amp;$C86&amp;"'!"&amp;"$"&amp;$D86&amp;78&amp;"")</f>
        <v>0.81</v>
      </c>
      <c r="BH86" s="300"/>
      <c r="BI86" s="300">
        <v>0.97</v>
      </c>
      <c r="BJ86" s="298">
        <v>0.2</v>
      </c>
      <c r="BK86" s="303" cm="1">
        <f t="array" aca="1" ref="BK86" ca="1">INDIRECT("'"&amp;$C86&amp;"'!"&amp;"$"&amp;$D86&amp;74&amp;"")</f>
        <v>3.46</v>
      </c>
      <c r="BL86" s="300"/>
      <c r="BM86" s="300">
        <v>0.99</v>
      </c>
      <c r="BN86" s="298">
        <v>0.49</v>
      </c>
    </row>
    <row r="87" spans="1:66" ht="15.75" thickBot="1" x14ac:dyDescent="0.25">
      <c r="A87" s="368">
        <v>45692</v>
      </c>
      <c r="B87" s="365">
        <v>0.29166666666666702</v>
      </c>
      <c r="C87" s="315">
        <v>4</v>
      </c>
      <c r="D87" s="319" t="s">
        <v>117</v>
      </c>
      <c r="E87" s="290">
        <v>14.3</v>
      </c>
      <c r="F87" s="291">
        <v>71.010000000000005</v>
      </c>
      <c r="G87" s="292" cm="1">
        <f t="array" aca="1" ref="G87" ca="1">INDIRECT("'"&amp;$C87&amp;"'!"&amp;"$"&amp;$D87&amp;$E$1&amp;"")</f>
        <v>6.9</v>
      </c>
      <c r="H87" s="293">
        <v>1</v>
      </c>
      <c r="I87" s="291">
        <v>0</v>
      </c>
      <c r="J87" s="292" cm="1">
        <f t="array" aca="1" ref="J87" ca="1">INDIRECT("'"&amp;$C87&amp;"'!"&amp;"$"&amp;$D87&amp;$J$1&amp;"")</f>
        <v>0</v>
      </c>
      <c r="K87" s="293"/>
      <c r="L87" s="293" t="s">
        <v>1</v>
      </c>
      <c r="M87" s="291" t="s">
        <v>1</v>
      </c>
      <c r="N87" s="292" cm="1">
        <f t="array" aca="1" ref="N87" ca="1">INDIRECT("'"&amp;$C87&amp;"'!"&amp;"$"&amp;$D87&amp;$N$1&amp;"")</f>
        <v>6.9</v>
      </c>
      <c r="O87" s="293"/>
      <c r="P87" s="293">
        <v>1</v>
      </c>
      <c r="Q87" s="291">
        <v>0</v>
      </c>
      <c r="R87" s="292" cm="1">
        <f t="array" aca="1" ref="R87" ca="1">INDIRECT("'"&amp;$C87&amp;"'!"&amp;"$"&amp;$D87&amp;$R$1&amp;"")</f>
        <v>6.9</v>
      </c>
      <c r="S87" s="293"/>
      <c r="T87" s="293">
        <v>1</v>
      </c>
      <c r="U87" s="291">
        <v>0</v>
      </c>
      <c r="V87" s="292" t="str" cm="1">
        <f t="array" aca="1" ref="V87" ca="1">INDIRECT("'"&amp;$C87&amp;"'!"&amp;"$"&amp;$D87&amp;$V$1&amp;"")</f>
        <v>CMS</v>
      </c>
      <c r="W87" s="293" t="s">
        <v>1</v>
      </c>
      <c r="X87" s="293" t="s">
        <v>1</v>
      </c>
      <c r="Y87" s="294" t="s">
        <v>1</v>
      </c>
      <c r="Z87" s="290" cm="1">
        <f t="array" aca="1" ref="Z87" ca="1">INDIRECT("'"&amp;$C87&amp;"'!"&amp;"$"&amp;$D87&amp;$Z$1&amp;"")</f>
        <v>0</v>
      </c>
      <c r="AA87" s="293" t="s">
        <v>1</v>
      </c>
      <c r="AB87" s="293" t="s">
        <v>1</v>
      </c>
      <c r="AC87" s="291" t="s">
        <v>1</v>
      </c>
      <c r="AD87" s="292" cm="1">
        <f t="array" aca="1" ref="AD87" ca="1">INDIRECT("'"&amp;$C87&amp;"'!"&amp;"$"&amp;$D87&amp;$AD$1&amp;"")</f>
        <v>3.2</v>
      </c>
      <c r="AE87" s="293">
        <f>3.8*3.64</f>
        <v>13.831999999999999</v>
      </c>
      <c r="AF87" s="293">
        <v>0.99</v>
      </c>
      <c r="AG87" s="294">
        <v>0.39</v>
      </c>
      <c r="AH87" s="290" t="str" cm="1">
        <f t="array" aca="1" ref="AH87" ca="1">INDIRECT("'"&amp;$C87&amp;"'!"&amp;"$"&amp;$D87&amp;$AH$1&amp;"")</f>
        <v>CMS</v>
      </c>
      <c r="AI87" s="293" t="s">
        <v>1</v>
      </c>
      <c r="AJ87" s="293" t="s">
        <v>1</v>
      </c>
      <c r="AK87" s="291" t="s">
        <v>1</v>
      </c>
      <c r="AL87" s="290">
        <v>11.8</v>
      </c>
      <c r="AM87" s="294">
        <v>70.599999999999994</v>
      </c>
      <c r="AN87" s="290" cm="1">
        <f t="array" aca="1" ref="AN87" ca="1">INDIRECT("'"&amp;$C87&amp;"'!"&amp;"$"&amp;$D87&amp;$AL$1&amp;"")</f>
        <v>4.0999999999999996</v>
      </c>
      <c r="AO87" s="293">
        <v>0.99</v>
      </c>
      <c r="AP87" s="291">
        <v>0.3</v>
      </c>
      <c r="AQ87" s="292" cm="1">
        <f t="array" aca="1" ref="AQ87" ca="1">INDIRECT("'"&amp;$C87&amp;"'!"&amp;"$"&amp;$D87&amp;$AQ$1&amp;"")</f>
        <v>4.0999999999999996</v>
      </c>
      <c r="AR87" s="293">
        <v>0.99</v>
      </c>
      <c r="AS87" s="291">
        <v>0.3</v>
      </c>
      <c r="AT87" s="295">
        <v>0</v>
      </c>
      <c r="AU87" s="294">
        <v>0</v>
      </c>
      <c r="AV87" s="290" t="str" cm="1">
        <f t="array" aca="1" ref="AV87" ca="1">INDIRECT("'"&amp;$C87&amp;"'!"&amp;"$"&amp;$D87&amp;31&amp;"")</f>
        <v>PMS</v>
      </c>
      <c r="AW87" s="293" t="s">
        <v>1</v>
      </c>
      <c r="AX87" s="291" t="s">
        <v>1</v>
      </c>
      <c r="AY87" s="296">
        <v>70.099999999999994</v>
      </c>
      <c r="AZ87" s="295" cm="1">
        <f t="array" aca="1" ref="AZ87" ca="1">INDIRECT("'"&amp;$C87&amp;"'!"&amp;"$"&amp;$D87&amp;58&amp;"")</f>
        <v>3.27</v>
      </c>
      <c r="BA87" s="293">
        <v>0.99</v>
      </c>
      <c r="BB87" s="291">
        <v>1.5</v>
      </c>
      <c r="BC87" s="295" cm="1">
        <f t="array" aca="1" ref="BC87" ca="1">INDIRECT("'"&amp;$C87&amp;"'!"&amp;"$"&amp;$D87&amp;63&amp;"")</f>
        <v>1.1100000000000001</v>
      </c>
      <c r="BD87" s="293"/>
      <c r="BE87" s="293">
        <v>0.99</v>
      </c>
      <c r="BF87" s="291">
        <v>0.13</v>
      </c>
      <c r="BG87" s="296" cm="1">
        <f t="array" aca="1" ref="BG87" ca="1">INDIRECT("'"&amp;$C87&amp;"'!"&amp;"$"&amp;$D87&amp;78&amp;"")</f>
        <v>0.79</v>
      </c>
      <c r="BH87" s="293"/>
      <c r="BI87" s="293">
        <v>0.96</v>
      </c>
      <c r="BJ87" s="291">
        <v>0.22</v>
      </c>
      <c r="BK87" s="296" cm="1">
        <f t="array" aca="1" ref="BK87" ca="1">INDIRECT("'"&amp;$C87&amp;"'!"&amp;"$"&amp;$D87&amp;74&amp;"")</f>
        <v>3.58</v>
      </c>
      <c r="BL87" s="293"/>
      <c r="BM87" s="293">
        <v>0.99</v>
      </c>
      <c r="BN87" s="291">
        <v>1.7</v>
      </c>
    </row>
    <row r="88" spans="1:66" ht="15.75" thickBot="1" x14ac:dyDescent="0.25">
      <c r="A88" s="368">
        <v>45692</v>
      </c>
      <c r="B88" s="365">
        <v>0.33333333333333398</v>
      </c>
      <c r="C88" s="315">
        <v>4</v>
      </c>
      <c r="D88" s="319" t="s">
        <v>118</v>
      </c>
      <c r="E88" s="297">
        <v>14.2</v>
      </c>
      <c r="F88" s="298">
        <v>70.400000000000006</v>
      </c>
      <c r="G88" s="299" cm="1">
        <f t="array" aca="1" ref="G88" ca="1">INDIRECT("'"&amp;$C88&amp;"'!"&amp;"$"&amp;$D88&amp;$E$1&amp;"")</f>
        <v>6.8</v>
      </c>
      <c r="H88" s="300">
        <v>0.99</v>
      </c>
      <c r="I88" s="298">
        <v>1.03</v>
      </c>
      <c r="J88" s="299" cm="1">
        <f t="array" aca="1" ref="J88" ca="1">INDIRECT("'"&amp;$C88&amp;"'!"&amp;"$"&amp;$D88&amp;$J$1&amp;"")</f>
        <v>0</v>
      </c>
      <c r="K88" s="300"/>
      <c r="L88" s="300" t="s">
        <v>1</v>
      </c>
      <c r="M88" s="298" t="s">
        <v>1</v>
      </c>
      <c r="N88" s="299" cm="1">
        <f t="array" aca="1" ref="N88" ca="1">INDIRECT("'"&amp;$C88&amp;"'!"&amp;"$"&amp;$D88&amp;$N$1&amp;"")</f>
        <v>6.8</v>
      </c>
      <c r="O88" s="300"/>
      <c r="P88" s="300">
        <v>0.99</v>
      </c>
      <c r="Q88" s="298">
        <v>1.03</v>
      </c>
      <c r="R88" s="299" cm="1">
        <f t="array" aca="1" ref="R88" ca="1">INDIRECT("'"&amp;$C88&amp;"'!"&amp;"$"&amp;$D88&amp;$R$1&amp;"")</f>
        <v>6.6</v>
      </c>
      <c r="S88" s="300"/>
      <c r="T88" s="300">
        <v>0.97</v>
      </c>
      <c r="U88" s="298">
        <v>1.7</v>
      </c>
      <c r="V88" s="299" t="str" cm="1">
        <f t="array" aca="1" ref="V88" ca="1">INDIRECT("'"&amp;$C88&amp;"'!"&amp;"$"&amp;$D88&amp;$V$1&amp;"")</f>
        <v>CMS</v>
      </c>
      <c r="W88" s="300" t="s">
        <v>1</v>
      </c>
      <c r="X88" s="300" t="s">
        <v>1</v>
      </c>
      <c r="Y88" s="301" t="s">
        <v>1</v>
      </c>
      <c r="Z88" s="297" cm="1">
        <f t="array" aca="1" ref="Z88" ca="1">INDIRECT("'"&amp;$C88&amp;"'!"&amp;"$"&amp;$D88&amp;$Z$1&amp;"")</f>
        <v>0</v>
      </c>
      <c r="AA88" s="300" t="s">
        <v>1</v>
      </c>
      <c r="AB88" s="300" t="s">
        <v>1</v>
      </c>
      <c r="AC88" s="298" t="s">
        <v>1</v>
      </c>
      <c r="AD88" s="299" cm="1">
        <f t="array" aca="1" ref="AD88" ca="1">INDIRECT("'"&amp;$C88&amp;"'!"&amp;"$"&amp;$D88&amp;$AD$1&amp;"")</f>
        <v>3.2</v>
      </c>
      <c r="AE88" s="300">
        <f>3.8*3.59</f>
        <v>13.641999999999999</v>
      </c>
      <c r="AF88" s="300">
        <v>0.96</v>
      </c>
      <c r="AG88" s="301">
        <v>0.98</v>
      </c>
      <c r="AH88" s="297" cm="1">
        <f t="array" aca="1" ref="AH88" ca="1">INDIRECT("'"&amp;$C88&amp;"'!"&amp;"$"&amp;$D88&amp;$AH$1&amp;"")</f>
        <v>0.5</v>
      </c>
      <c r="AI88" s="300">
        <v>13.84</v>
      </c>
      <c r="AJ88" s="300">
        <v>0.93</v>
      </c>
      <c r="AK88" s="298">
        <v>0.35</v>
      </c>
      <c r="AL88" s="297">
        <v>11.8</v>
      </c>
      <c r="AM88" s="301">
        <v>70.5</v>
      </c>
      <c r="AN88" s="297" cm="1">
        <f t="array" aca="1" ref="AN88" ca="1">INDIRECT("'"&amp;$C88&amp;"'!"&amp;"$"&amp;$D88&amp;$AL$1&amp;"")</f>
        <v>4.2</v>
      </c>
      <c r="AO88" s="300">
        <v>0.99</v>
      </c>
      <c r="AP88" s="298">
        <v>0.48</v>
      </c>
      <c r="AQ88" s="299" cm="1">
        <f t="array" aca="1" ref="AQ88" ca="1">INDIRECT("'"&amp;$C88&amp;"'!"&amp;"$"&amp;$D88&amp;$AQ$1&amp;"")</f>
        <v>4.2</v>
      </c>
      <c r="AR88" s="300">
        <v>0.99</v>
      </c>
      <c r="AS88" s="298">
        <v>0.48</v>
      </c>
      <c r="AT88" s="302">
        <v>0</v>
      </c>
      <c r="AU88" s="301">
        <v>69.7</v>
      </c>
      <c r="AV88" s="297" t="str" cm="1">
        <f t="array" aca="1" ref="AV88" ca="1">INDIRECT("'"&amp;$C88&amp;"'!"&amp;"$"&amp;$D88&amp;31&amp;"")</f>
        <v>PMS</v>
      </c>
      <c r="AW88" s="300" t="s">
        <v>1</v>
      </c>
      <c r="AX88" s="298" t="s">
        <v>1</v>
      </c>
      <c r="AY88" s="303">
        <v>69.7</v>
      </c>
      <c r="AZ88" s="302" cm="1">
        <f t="array" aca="1" ref="AZ88" ca="1">INDIRECT("'"&amp;$C88&amp;"'!"&amp;"$"&amp;$D88&amp;58&amp;"")</f>
        <v>4.9000000000000004</v>
      </c>
      <c r="BA88" s="300">
        <v>0.97</v>
      </c>
      <c r="BB88" s="298">
        <v>1.2</v>
      </c>
      <c r="BC88" s="302" cm="1">
        <f t="array" aca="1" ref="BC88" ca="1">INDIRECT("'"&amp;$C88&amp;"'!"&amp;"$"&amp;$D88&amp;63&amp;"")</f>
        <v>0.99</v>
      </c>
      <c r="BD88" s="300"/>
      <c r="BE88" s="300">
        <v>0.99</v>
      </c>
      <c r="BF88" s="298">
        <v>0.14000000000000001</v>
      </c>
      <c r="BG88" s="303" cm="1">
        <f t="array" aca="1" ref="BG88" ca="1">INDIRECT("'"&amp;$C88&amp;"'!"&amp;"$"&amp;$D88&amp;78&amp;"")</f>
        <v>0.74</v>
      </c>
      <c r="BH88" s="300"/>
      <c r="BI88" s="300">
        <v>0.96</v>
      </c>
      <c r="BJ88" s="298">
        <v>0.23</v>
      </c>
      <c r="BK88" s="303" cm="1">
        <f t="array" aca="1" ref="BK88" ca="1">INDIRECT("'"&amp;$C88&amp;"'!"&amp;"$"&amp;$D88&amp;74&amp;"")</f>
        <v>3.6399999999999997</v>
      </c>
      <c r="BL88" s="300"/>
      <c r="BM88" s="300">
        <v>0.9</v>
      </c>
      <c r="BN88" s="298">
        <v>0.97</v>
      </c>
    </row>
    <row r="89" spans="1:66" ht="15.75" thickBot="1" x14ac:dyDescent="0.25">
      <c r="A89" s="368">
        <v>45692</v>
      </c>
      <c r="B89" s="365">
        <v>0.375</v>
      </c>
      <c r="C89" s="315">
        <v>4</v>
      </c>
      <c r="D89" s="319" t="s">
        <v>119</v>
      </c>
      <c r="E89" s="290">
        <v>14.2</v>
      </c>
      <c r="F89" s="291">
        <v>70.08</v>
      </c>
      <c r="G89" s="292" cm="1">
        <f t="array" aca="1" ref="G89" ca="1">INDIRECT("'"&amp;$C89&amp;"'!"&amp;"$"&amp;$D89&amp;$E$1&amp;"")</f>
        <v>6.6</v>
      </c>
      <c r="H89" s="293">
        <v>0.96</v>
      </c>
      <c r="I89" s="291">
        <v>1.99</v>
      </c>
      <c r="J89" s="292" cm="1">
        <f t="array" aca="1" ref="J89" ca="1">INDIRECT("'"&amp;$C89&amp;"'!"&amp;"$"&amp;$D89&amp;$J$1&amp;"")</f>
        <v>6.6</v>
      </c>
      <c r="K89" s="293"/>
      <c r="L89" s="293">
        <v>0.96</v>
      </c>
      <c r="M89" s="291">
        <v>1.99</v>
      </c>
      <c r="N89" s="292" cm="1">
        <f t="array" aca="1" ref="N89" ca="1">INDIRECT("'"&amp;$C89&amp;"'!"&amp;"$"&amp;$D89&amp;$N$1&amp;"")</f>
        <v>6.6</v>
      </c>
      <c r="O89" s="293"/>
      <c r="P89" s="293">
        <v>0.96</v>
      </c>
      <c r="Q89" s="291">
        <v>1.99</v>
      </c>
      <c r="R89" s="292" cm="1">
        <f t="array" aca="1" ref="R89" ca="1">INDIRECT("'"&amp;$C89&amp;"'!"&amp;"$"&amp;$D89&amp;$R$1&amp;"")</f>
        <v>6.9</v>
      </c>
      <c r="S89" s="293"/>
      <c r="T89" s="293">
        <v>0.96</v>
      </c>
      <c r="U89" s="291">
        <v>1.99</v>
      </c>
      <c r="V89" s="292" t="str" cm="1">
        <f t="array" aca="1" ref="V89" ca="1">INDIRECT("'"&amp;$C89&amp;"'!"&amp;"$"&amp;$D89&amp;$V$1&amp;"")</f>
        <v>CMS</v>
      </c>
      <c r="W89" s="293" t="s">
        <v>1</v>
      </c>
      <c r="X89" s="293" t="s">
        <v>1</v>
      </c>
      <c r="Y89" s="294" t="s">
        <v>1</v>
      </c>
      <c r="Z89" s="290" cm="1">
        <f t="array" aca="1" ref="Z89" ca="1">INDIRECT("'"&amp;$C89&amp;"'!"&amp;"$"&amp;$D89&amp;$Z$1&amp;"")</f>
        <v>0</v>
      </c>
      <c r="AA89" s="293" t="s">
        <v>1</v>
      </c>
      <c r="AB89" s="293" t="s">
        <v>1</v>
      </c>
      <c r="AC89" s="291" t="s">
        <v>1</v>
      </c>
      <c r="AD89" s="292" cm="1">
        <f t="array" aca="1" ref="AD89" ca="1">INDIRECT("'"&amp;$C89&amp;"'!"&amp;"$"&amp;$D89&amp;$AD$1&amp;"")</f>
        <v>3.2</v>
      </c>
      <c r="AE89" s="293">
        <f>3.8*3.53</f>
        <v>13.413999999999998</v>
      </c>
      <c r="AF89" s="293">
        <v>0.96</v>
      </c>
      <c r="AG89" s="294">
        <v>0.94</v>
      </c>
      <c r="AH89" s="290" cm="1">
        <f t="array" aca="1" ref="AH89" ca="1">INDIRECT("'"&amp;$C89&amp;"'!"&amp;"$"&amp;$D89&amp;$AH$1&amp;"")</f>
        <v>2.6</v>
      </c>
      <c r="AI89" s="293">
        <v>13.76</v>
      </c>
      <c r="AJ89" s="293">
        <v>0.93</v>
      </c>
      <c r="AK89" s="291">
        <v>1.06</v>
      </c>
      <c r="AL89" s="290">
        <v>11.8</v>
      </c>
      <c r="AM89" s="294">
        <v>69.900000000000006</v>
      </c>
      <c r="AN89" s="290" cm="1">
        <f t="array" aca="1" ref="AN89" ca="1">INDIRECT("'"&amp;$C89&amp;"'!"&amp;"$"&amp;$D89&amp;$AL$1&amp;"")</f>
        <v>3.8</v>
      </c>
      <c r="AO89" s="293">
        <v>0.98</v>
      </c>
      <c r="AP89" s="291">
        <v>0.71</v>
      </c>
      <c r="AQ89" s="292" cm="1">
        <f t="array" aca="1" ref="AQ89" ca="1">INDIRECT("'"&amp;$C89&amp;"'!"&amp;"$"&amp;$D89&amp;$AQ$1&amp;"")</f>
        <v>3.8</v>
      </c>
      <c r="AR89" s="293">
        <v>0.98</v>
      </c>
      <c r="AS89" s="291">
        <v>0.82</v>
      </c>
      <c r="AT89" s="295">
        <v>0</v>
      </c>
      <c r="AU89" s="294">
        <v>69.5</v>
      </c>
      <c r="AV89" s="290" t="str" cm="1">
        <f t="array" aca="1" ref="AV89" ca="1">INDIRECT("'"&amp;$C89&amp;"'!"&amp;"$"&amp;$D89&amp;31&amp;"")</f>
        <v>PMS</v>
      </c>
      <c r="AW89" s="293" t="s">
        <v>1</v>
      </c>
      <c r="AX89" s="291" t="s">
        <v>1</v>
      </c>
      <c r="AY89" s="296">
        <v>68.8</v>
      </c>
      <c r="AZ89" s="295" cm="1">
        <f t="array" aca="1" ref="AZ89" ca="1">INDIRECT("'"&amp;$C89&amp;"'!"&amp;"$"&amp;$D89&amp;58&amp;"")</f>
        <v>6.1</v>
      </c>
      <c r="BA89" s="293">
        <v>0.95</v>
      </c>
      <c r="BB89" s="291">
        <v>2</v>
      </c>
      <c r="BC89" s="295" cm="1">
        <f t="array" aca="1" ref="BC89" ca="1">INDIRECT("'"&amp;$C89&amp;"'!"&amp;"$"&amp;$D89&amp;63&amp;"")</f>
        <v>1.22</v>
      </c>
      <c r="BD89" s="293"/>
      <c r="BE89" s="293">
        <v>0.99</v>
      </c>
      <c r="BF89" s="291">
        <v>0.16</v>
      </c>
      <c r="BG89" s="296" cm="1">
        <f t="array" aca="1" ref="BG89" ca="1">INDIRECT("'"&amp;$C89&amp;"'!"&amp;"$"&amp;$D89&amp;78&amp;"")</f>
        <v>0.76</v>
      </c>
      <c r="BH89" s="293"/>
      <c r="BI89" s="293">
        <v>0.96</v>
      </c>
      <c r="BJ89" s="291">
        <v>0.24</v>
      </c>
      <c r="BK89" s="296" cm="1">
        <f t="array" aca="1" ref="BK89" ca="1">INDIRECT("'"&amp;$C89&amp;"'!"&amp;"$"&amp;$D89&amp;74&amp;"")</f>
        <v>4.82</v>
      </c>
      <c r="BL89" s="293"/>
      <c r="BM89" s="293">
        <v>0.9</v>
      </c>
      <c r="BN89" s="291">
        <v>2.2999999999999998</v>
      </c>
    </row>
    <row r="90" spans="1:66" ht="15.75" thickBot="1" x14ac:dyDescent="0.25">
      <c r="A90" s="368">
        <v>45692</v>
      </c>
      <c r="B90" s="365">
        <v>0.41666666666666702</v>
      </c>
      <c r="C90" s="315">
        <v>4</v>
      </c>
      <c r="D90" s="319" t="s">
        <v>120</v>
      </c>
      <c r="E90" s="297">
        <v>14.3</v>
      </c>
      <c r="F90" s="298">
        <v>70.099999999999994</v>
      </c>
      <c r="G90" s="299" cm="1">
        <f t="array" aca="1" ref="G90" ca="1">INDIRECT("'"&amp;$C90&amp;"'!"&amp;"$"&amp;$D90&amp;$E$1&amp;"")</f>
        <v>6.6</v>
      </c>
      <c r="H90" s="300">
        <v>0.96</v>
      </c>
      <c r="I90" s="298">
        <v>1.8</v>
      </c>
      <c r="J90" s="299" cm="1">
        <f t="array" aca="1" ref="J90" ca="1">INDIRECT("'"&amp;$C90&amp;"'!"&amp;"$"&amp;$D90&amp;$J$1&amp;"")</f>
        <v>6.6</v>
      </c>
      <c r="K90" s="300"/>
      <c r="L90" s="300">
        <v>0.96</v>
      </c>
      <c r="M90" s="298">
        <v>1.8</v>
      </c>
      <c r="N90" s="299" cm="1">
        <f t="array" aca="1" ref="N90" ca="1">INDIRECT("'"&amp;$C90&amp;"'!"&amp;"$"&amp;$D90&amp;$N$1&amp;"")</f>
        <v>6.6</v>
      </c>
      <c r="O90" s="300"/>
      <c r="P90" s="300">
        <v>0.96</v>
      </c>
      <c r="Q90" s="298">
        <v>1.8</v>
      </c>
      <c r="R90" s="299" cm="1">
        <f t="array" aca="1" ref="R90" ca="1">INDIRECT("'"&amp;$C90&amp;"'!"&amp;"$"&amp;$D90&amp;$R$1&amp;"")</f>
        <v>6.6</v>
      </c>
      <c r="S90" s="300"/>
      <c r="T90" s="300">
        <v>0.96</v>
      </c>
      <c r="U90" s="298">
        <v>1.8</v>
      </c>
      <c r="V90" s="299" t="str" cm="1">
        <f t="array" aca="1" ref="V90" ca="1">INDIRECT("'"&amp;$C90&amp;"'!"&amp;"$"&amp;$D90&amp;$V$1&amp;"")</f>
        <v>CMS</v>
      </c>
      <c r="W90" s="300" t="s">
        <v>1</v>
      </c>
      <c r="X90" s="300" t="s">
        <v>1</v>
      </c>
      <c r="Y90" s="301" t="s">
        <v>1</v>
      </c>
      <c r="Z90" s="297" cm="1">
        <f t="array" aca="1" ref="Z90" ca="1">INDIRECT("'"&amp;$C90&amp;"'!"&amp;"$"&amp;$D90&amp;$Z$1&amp;"")</f>
        <v>0</v>
      </c>
      <c r="AA90" s="300" t="s">
        <v>1</v>
      </c>
      <c r="AB90" s="300" t="s">
        <v>1</v>
      </c>
      <c r="AC90" s="298" t="s">
        <v>1</v>
      </c>
      <c r="AD90" s="299" cm="1">
        <f t="array" aca="1" ref="AD90" ca="1">INDIRECT("'"&amp;$C90&amp;"'!"&amp;"$"&amp;$D90&amp;$AD$1&amp;"")</f>
        <v>3.2</v>
      </c>
      <c r="AE90" s="300">
        <f>3.8*3.53</f>
        <v>13.413999999999998</v>
      </c>
      <c r="AF90" s="300">
        <v>0.95</v>
      </c>
      <c r="AG90" s="301">
        <v>1.07</v>
      </c>
      <c r="AH90" s="297" cm="1">
        <f t="array" aca="1" ref="AH90" ca="1">INDIRECT("'"&amp;$C90&amp;"'!"&amp;"$"&amp;$D90&amp;$AH$1&amp;"")</f>
        <v>3.8</v>
      </c>
      <c r="AI90" s="300">
        <v>13.72</v>
      </c>
      <c r="AJ90" s="300">
        <v>0.93</v>
      </c>
      <c r="AK90" s="298">
        <v>1.28</v>
      </c>
      <c r="AL90" s="297">
        <v>11.8</v>
      </c>
      <c r="AM90" s="301">
        <v>69.7</v>
      </c>
      <c r="AN90" s="297" cm="1">
        <f t="array" aca="1" ref="AN90" ca="1">INDIRECT("'"&amp;$C90&amp;"'!"&amp;"$"&amp;$D90&amp;$AL$1&amp;"")</f>
        <v>3</v>
      </c>
      <c r="AO90" s="300">
        <v>0.94</v>
      </c>
      <c r="AP90" s="298">
        <v>1.06</v>
      </c>
      <c r="AQ90" s="299" cm="1">
        <f t="array" aca="1" ref="AQ90" ca="1">INDIRECT("'"&amp;$C90&amp;"'!"&amp;"$"&amp;$D90&amp;$AQ$1&amp;"")</f>
        <v>4</v>
      </c>
      <c r="AR90" s="300">
        <v>0.94</v>
      </c>
      <c r="AS90" s="298">
        <v>1.18</v>
      </c>
      <c r="AT90" s="302">
        <v>0</v>
      </c>
      <c r="AU90" s="301">
        <v>69.099999999999994</v>
      </c>
      <c r="AV90" s="297" t="str" cm="1">
        <f t="array" aca="1" ref="AV90" ca="1">INDIRECT("'"&amp;$C90&amp;"'!"&amp;"$"&amp;$D90&amp;31&amp;"")</f>
        <v>PMS</v>
      </c>
      <c r="AW90" s="300" t="s">
        <v>1</v>
      </c>
      <c r="AX90" s="298" t="s">
        <v>1</v>
      </c>
      <c r="AY90" s="303">
        <v>68.8</v>
      </c>
      <c r="AZ90" s="302" cm="1">
        <f t="array" aca="1" ref="AZ90" ca="1">INDIRECT("'"&amp;$C90&amp;"'!"&amp;"$"&amp;$D90&amp;58&amp;"")</f>
        <v>11</v>
      </c>
      <c r="BA90" s="300">
        <v>0.95</v>
      </c>
      <c r="BB90" s="298">
        <v>3.6</v>
      </c>
      <c r="BC90" s="302" cm="1">
        <f t="array" aca="1" ref="BC90" ca="1">INDIRECT("'"&amp;$C90&amp;"'!"&amp;"$"&amp;$D90&amp;63&amp;"")</f>
        <v>1.29</v>
      </c>
      <c r="BD90" s="300"/>
      <c r="BE90" s="300">
        <v>0.99</v>
      </c>
      <c r="BF90" s="298">
        <v>0.18</v>
      </c>
      <c r="BG90" s="303" cm="1">
        <f t="array" aca="1" ref="BG90" ca="1">INDIRECT("'"&amp;$C90&amp;"'!"&amp;"$"&amp;$D90&amp;78&amp;"")</f>
        <v>0.84</v>
      </c>
      <c r="BH90" s="300"/>
      <c r="BI90" s="300">
        <v>0.96</v>
      </c>
      <c r="BJ90" s="298">
        <v>0.25</v>
      </c>
      <c r="BK90" s="303" cm="1">
        <f t="array" aca="1" ref="BK90" ca="1">INDIRECT("'"&amp;$C90&amp;"'!"&amp;"$"&amp;$D90&amp;74&amp;"")</f>
        <v>4.8499999999999996</v>
      </c>
      <c r="BL90" s="300"/>
      <c r="BM90" s="300">
        <v>0.93</v>
      </c>
      <c r="BN90" s="298">
        <v>2.2999999999999998</v>
      </c>
    </row>
    <row r="91" spans="1:66" ht="15.75" thickBot="1" x14ac:dyDescent="0.25">
      <c r="A91" s="368">
        <v>45692</v>
      </c>
      <c r="B91" s="365">
        <v>0.45833333333333398</v>
      </c>
      <c r="C91" s="315">
        <v>4</v>
      </c>
      <c r="D91" s="319" t="s">
        <v>121</v>
      </c>
      <c r="E91" s="290">
        <v>14.3</v>
      </c>
      <c r="F91" s="291">
        <v>69.91</v>
      </c>
      <c r="G91" s="292" cm="1">
        <f t="array" aca="1" ref="G91" ca="1">INDIRECT("'"&amp;$C91&amp;"'!"&amp;"$"&amp;$D91&amp;$E$1&amp;"")</f>
        <v>6.6</v>
      </c>
      <c r="H91" s="293">
        <v>0.96</v>
      </c>
      <c r="I91" s="291">
        <v>1.82</v>
      </c>
      <c r="J91" s="292" cm="1">
        <f t="array" aca="1" ref="J91" ca="1">INDIRECT("'"&amp;$C91&amp;"'!"&amp;"$"&amp;$D91&amp;$J$1&amp;"")</f>
        <v>6.6</v>
      </c>
      <c r="K91" s="293"/>
      <c r="L91" s="293">
        <v>0.96</v>
      </c>
      <c r="M91" s="291">
        <v>1.82</v>
      </c>
      <c r="N91" s="292" cm="1">
        <f t="array" aca="1" ref="N91" ca="1">INDIRECT("'"&amp;$C91&amp;"'!"&amp;"$"&amp;$D91&amp;$N$1&amp;"")</f>
        <v>6.6</v>
      </c>
      <c r="O91" s="293"/>
      <c r="P91" s="293">
        <v>0.96</v>
      </c>
      <c r="Q91" s="291">
        <v>1.82</v>
      </c>
      <c r="R91" s="292" cm="1">
        <f t="array" aca="1" ref="R91" ca="1">INDIRECT("'"&amp;$C91&amp;"'!"&amp;"$"&amp;$D91&amp;$R$1&amp;"")</f>
        <v>6.6</v>
      </c>
      <c r="S91" s="293"/>
      <c r="T91" s="293">
        <v>0.96</v>
      </c>
      <c r="U91" s="291">
        <v>1.82</v>
      </c>
      <c r="V91" s="292" t="str" cm="1">
        <f t="array" aca="1" ref="V91" ca="1">INDIRECT("'"&amp;$C91&amp;"'!"&amp;"$"&amp;$D91&amp;$V$1&amp;"")</f>
        <v>CMS</v>
      </c>
      <c r="W91" s="293" t="s">
        <v>1</v>
      </c>
      <c r="X91" s="293" t="s">
        <v>1</v>
      </c>
      <c r="Y91" s="294" t="s">
        <v>1</v>
      </c>
      <c r="Z91" s="290" cm="1">
        <f t="array" aca="1" ref="Z91" ca="1">INDIRECT("'"&amp;$C91&amp;"'!"&amp;"$"&amp;$D91&amp;$Z$1&amp;"")</f>
        <v>0</v>
      </c>
      <c r="AA91" s="293" t="s">
        <v>1</v>
      </c>
      <c r="AB91" s="293" t="s">
        <v>1</v>
      </c>
      <c r="AC91" s="291" t="s">
        <v>1</v>
      </c>
      <c r="AD91" s="292" cm="1">
        <f t="array" aca="1" ref="AD91" ca="1">INDIRECT("'"&amp;$C91&amp;"'!"&amp;"$"&amp;$D91&amp;$AD$1&amp;"")</f>
        <v>3.2</v>
      </c>
      <c r="AE91" s="293">
        <f>3.8*3.51</f>
        <v>13.337999999999999</v>
      </c>
      <c r="AF91" s="293">
        <v>0.95</v>
      </c>
      <c r="AG91" s="294">
        <v>1.1000000000000001</v>
      </c>
      <c r="AH91" s="290" cm="1">
        <f t="array" aca="1" ref="AH91" ca="1">INDIRECT("'"&amp;$C91&amp;"'!"&amp;"$"&amp;$D91&amp;$AH$1&amp;"")</f>
        <v>3.8</v>
      </c>
      <c r="AI91" s="293">
        <v>13.68</v>
      </c>
      <c r="AJ91" s="293">
        <v>0.91</v>
      </c>
      <c r="AK91" s="291">
        <v>1.41</v>
      </c>
      <c r="AL91" s="290">
        <v>11.8</v>
      </c>
      <c r="AM91" s="294">
        <v>69.7</v>
      </c>
      <c r="AN91" s="290" cm="1">
        <f t="array" aca="1" ref="AN91" ca="1">INDIRECT("'"&amp;$C91&amp;"'!"&amp;"$"&amp;$D91&amp;$AL$1&amp;"")</f>
        <v>4</v>
      </c>
      <c r="AO91" s="293">
        <v>0.96</v>
      </c>
      <c r="AP91" s="291">
        <v>1.17</v>
      </c>
      <c r="AQ91" s="292" cm="1">
        <f t="array" aca="1" ref="AQ91" ca="1">INDIRECT("'"&amp;$C91&amp;"'!"&amp;"$"&amp;$D91&amp;$AQ$1&amp;"")</f>
        <v>4</v>
      </c>
      <c r="AR91" s="293">
        <v>0.96</v>
      </c>
      <c r="AS91" s="291">
        <v>1.3</v>
      </c>
      <c r="AT91" s="295">
        <v>0</v>
      </c>
      <c r="AU91" s="294">
        <v>68.900000000000006</v>
      </c>
      <c r="AV91" s="290" t="str" cm="1">
        <f t="array" aca="1" ref="AV91" ca="1">INDIRECT("'"&amp;$C91&amp;"'!"&amp;"$"&amp;$D91&amp;31&amp;"")</f>
        <v>PMS</v>
      </c>
      <c r="AW91" s="293" t="s">
        <v>1</v>
      </c>
      <c r="AX91" s="291" t="s">
        <v>1</v>
      </c>
      <c r="AY91" s="296">
        <v>68.7</v>
      </c>
      <c r="AZ91" s="295" cm="1">
        <f t="array" aca="1" ref="AZ91" ca="1">INDIRECT("'"&amp;$C91&amp;"'!"&amp;"$"&amp;$D91&amp;58&amp;"")</f>
        <v>9.3000000000000007</v>
      </c>
      <c r="BA91" s="293">
        <v>0.94</v>
      </c>
      <c r="BB91" s="291">
        <v>3.3</v>
      </c>
      <c r="BC91" s="295" cm="1">
        <f t="array" aca="1" ref="BC91" ca="1">INDIRECT("'"&amp;$C91&amp;"'!"&amp;"$"&amp;$D91&amp;63&amp;"")</f>
        <v>1.3</v>
      </c>
      <c r="BD91" s="293"/>
      <c r="BE91" s="293">
        <v>0.99</v>
      </c>
      <c r="BF91" s="291">
        <v>0.16</v>
      </c>
      <c r="BG91" s="296" cm="1">
        <f t="array" aca="1" ref="BG91" ca="1">INDIRECT("'"&amp;$C91&amp;"'!"&amp;"$"&amp;$D91&amp;78&amp;"")</f>
        <v>0.86</v>
      </c>
      <c r="BH91" s="293"/>
      <c r="BI91" s="293">
        <v>0.96</v>
      </c>
      <c r="BJ91" s="291">
        <v>0.24</v>
      </c>
      <c r="BK91" s="296" cm="1">
        <f t="array" aca="1" ref="BK91" ca="1">INDIRECT("'"&amp;$C91&amp;"'!"&amp;"$"&amp;$D91&amp;74&amp;"")</f>
        <v>4.83</v>
      </c>
      <c r="BL91" s="293"/>
      <c r="BM91" s="293">
        <v>0.9</v>
      </c>
      <c r="BN91" s="291">
        <v>2.2999999999999998</v>
      </c>
    </row>
    <row r="92" spans="1:66" ht="15.75" thickBot="1" x14ac:dyDescent="0.25">
      <c r="A92" s="368">
        <v>45692</v>
      </c>
      <c r="B92" s="365">
        <v>0.5</v>
      </c>
      <c r="C92" s="315">
        <v>4</v>
      </c>
      <c r="D92" s="319" t="s">
        <v>122</v>
      </c>
      <c r="E92" s="297">
        <v>14.3</v>
      </c>
      <c r="F92" s="298">
        <v>70.400000000000006</v>
      </c>
      <c r="G92" s="299" cm="1">
        <f t="array" aca="1" ref="G92" ca="1">INDIRECT("'"&amp;$C92&amp;"'!"&amp;"$"&amp;$D92&amp;$E$1&amp;"")</f>
        <v>6.5</v>
      </c>
      <c r="H92" s="300">
        <v>0.96</v>
      </c>
      <c r="I92" s="298">
        <v>1.78</v>
      </c>
      <c r="J92" s="299" cm="1">
        <f t="array" aca="1" ref="J92" ca="1">INDIRECT("'"&amp;$C92&amp;"'!"&amp;"$"&amp;$D92&amp;$J$1&amp;"")</f>
        <v>6.5</v>
      </c>
      <c r="K92" s="300"/>
      <c r="L92" s="300">
        <v>0.96</v>
      </c>
      <c r="M92" s="298">
        <v>1.78</v>
      </c>
      <c r="N92" s="299" cm="1">
        <f t="array" aca="1" ref="N92" ca="1">INDIRECT("'"&amp;$C92&amp;"'!"&amp;"$"&amp;$D92&amp;$N$1&amp;"")</f>
        <v>6.5</v>
      </c>
      <c r="O92" s="300"/>
      <c r="P92" s="300">
        <v>0.96</v>
      </c>
      <c r="Q92" s="298">
        <v>1.78</v>
      </c>
      <c r="R92" s="299" cm="1">
        <f t="array" aca="1" ref="R92" ca="1">INDIRECT("'"&amp;$C92&amp;"'!"&amp;"$"&amp;$D92&amp;$R$1&amp;"")</f>
        <v>6.5</v>
      </c>
      <c r="S92" s="300"/>
      <c r="T92" s="300">
        <v>0.96</v>
      </c>
      <c r="U92" s="298">
        <v>1.78</v>
      </c>
      <c r="V92" s="299" t="str" cm="1">
        <f t="array" aca="1" ref="V92" ca="1">INDIRECT("'"&amp;$C92&amp;"'!"&amp;"$"&amp;$D92&amp;$V$1&amp;"")</f>
        <v>CMS</v>
      </c>
      <c r="W92" s="300" t="s">
        <v>1</v>
      </c>
      <c r="X92" s="300" t="s">
        <v>1</v>
      </c>
      <c r="Y92" s="301" t="s">
        <v>1</v>
      </c>
      <c r="Z92" s="297" cm="1">
        <f t="array" aca="1" ref="Z92" ca="1">INDIRECT("'"&amp;$C92&amp;"'!"&amp;"$"&amp;$D92&amp;$Z$1&amp;"")</f>
        <v>0</v>
      </c>
      <c r="AA92" s="300" t="s">
        <v>1</v>
      </c>
      <c r="AB92" s="300" t="s">
        <v>1</v>
      </c>
      <c r="AC92" s="298" t="s">
        <v>1</v>
      </c>
      <c r="AD92" s="299" cm="1">
        <f t="array" aca="1" ref="AD92" ca="1">INDIRECT("'"&amp;$C92&amp;"'!"&amp;"$"&amp;$D92&amp;$AD$1&amp;"")</f>
        <v>3.2</v>
      </c>
      <c r="AE92" s="300">
        <f>3.8*3.55</f>
        <v>13.489999999999998</v>
      </c>
      <c r="AF92" s="300">
        <v>0.95</v>
      </c>
      <c r="AG92" s="301">
        <v>1.1100000000000001</v>
      </c>
      <c r="AH92" s="297" cm="1">
        <f t="array" aca="1" ref="AH92" ca="1">INDIRECT("'"&amp;$C92&amp;"'!"&amp;"$"&amp;$D92&amp;$AH$1&amp;"")</f>
        <v>3.8</v>
      </c>
      <c r="AI92" s="300">
        <v>13.75</v>
      </c>
      <c r="AJ92" s="300">
        <v>0.91</v>
      </c>
      <c r="AK92" s="298">
        <v>1.23</v>
      </c>
      <c r="AL92" s="297">
        <v>11.8</v>
      </c>
      <c r="AM92" s="301">
        <v>69.900000000000006</v>
      </c>
      <c r="AN92" s="297" cm="1">
        <f t="array" aca="1" ref="AN92" ca="1">INDIRECT("'"&amp;$C92&amp;"'!"&amp;"$"&amp;$D92&amp;$AL$1&amp;"")</f>
        <v>4</v>
      </c>
      <c r="AO92" s="300">
        <v>0.96</v>
      </c>
      <c r="AP92" s="298">
        <v>0.89</v>
      </c>
      <c r="AQ92" s="299" cm="1">
        <f t="array" aca="1" ref="AQ92" ca="1">INDIRECT("'"&amp;$C92&amp;"'!"&amp;"$"&amp;$D92&amp;$AQ$1&amp;"")</f>
        <v>4</v>
      </c>
      <c r="AR92" s="300">
        <v>0.96</v>
      </c>
      <c r="AS92" s="298">
        <v>0.96</v>
      </c>
      <c r="AT92" s="302">
        <v>0</v>
      </c>
      <c r="AU92" s="301">
        <v>68.3</v>
      </c>
      <c r="AV92" s="297" t="str" cm="1">
        <f t="array" aca="1" ref="AV92" ca="1">INDIRECT("'"&amp;$C92&amp;"'!"&amp;"$"&amp;$D92&amp;31&amp;"")</f>
        <v>PMS</v>
      </c>
      <c r="AW92" s="300" t="s">
        <v>1</v>
      </c>
      <c r="AX92" s="298" t="s">
        <v>1</v>
      </c>
      <c r="AY92" s="303">
        <v>69.099999999999994</v>
      </c>
      <c r="AZ92" s="302" cm="1">
        <f t="array" aca="1" ref="AZ92" ca="1">INDIRECT("'"&amp;$C92&amp;"'!"&amp;"$"&amp;$D92&amp;58&amp;"")</f>
        <v>9.3000000000000043</v>
      </c>
      <c r="BA92" s="300">
        <v>0.94</v>
      </c>
      <c r="BB92" s="298">
        <v>3.2</v>
      </c>
      <c r="BC92" s="302" cm="1">
        <f t="array" aca="1" ref="BC92" ca="1">INDIRECT("'"&amp;$C92&amp;"'!"&amp;"$"&amp;$D92&amp;63&amp;"")</f>
        <v>1.36</v>
      </c>
      <c r="BD92" s="300"/>
      <c r="BE92" s="300">
        <v>0.99</v>
      </c>
      <c r="BF92" s="298">
        <v>0.18</v>
      </c>
      <c r="BG92" s="303" cm="1">
        <f t="array" aca="1" ref="BG92" ca="1">INDIRECT("'"&amp;$C92&amp;"'!"&amp;"$"&amp;$D92&amp;78&amp;"")</f>
        <v>0.88</v>
      </c>
      <c r="BH92" s="300"/>
      <c r="BI92" s="300">
        <v>0.96</v>
      </c>
      <c r="BJ92" s="298">
        <v>0.25</v>
      </c>
      <c r="BK92" s="303" cm="1">
        <f t="array" aca="1" ref="BK92" ca="1">INDIRECT("'"&amp;$C92&amp;"'!"&amp;"$"&amp;$D92&amp;74&amp;"")</f>
        <v>4.5</v>
      </c>
      <c r="BL92" s="300"/>
      <c r="BM92" s="300">
        <v>0.9</v>
      </c>
      <c r="BN92" s="298">
        <v>2.1</v>
      </c>
    </row>
    <row r="93" spans="1:66" ht="15.75" thickBot="1" x14ac:dyDescent="0.25">
      <c r="A93" s="368">
        <v>45692</v>
      </c>
      <c r="B93" s="365">
        <v>0.54166666666666696</v>
      </c>
      <c r="C93" s="315">
        <v>4</v>
      </c>
      <c r="D93" s="319" t="s">
        <v>123</v>
      </c>
      <c r="E93" s="290">
        <v>14.2</v>
      </c>
      <c r="F93" s="291">
        <v>70.03</v>
      </c>
      <c r="G93" s="292" cm="1">
        <f t="array" aca="1" ref="G93" ca="1">INDIRECT("'"&amp;$C93&amp;"'!"&amp;"$"&amp;$D93&amp;$E$1&amp;"")</f>
        <v>6.7</v>
      </c>
      <c r="H93" s="293">
        <v>0.96</v>
      </c>
      <c r="I93" s="291">
        <v>1.99</v>
      </c>
      <c r="J93" s="292" cm="1">
        <f t="array" aca="1" ref="J93" ca="1">INDIRECT("'"&amp;$C93&amp;"'!"&amp;"$"&amp;$D93&amp;$J$1&amp;"")</f>
        <v>6.7</v>
      </c>
      <c r="K93" s="293"/>
      <c r="L93" s="293">
        <v>0.96</v>
      </c>
      <c r="M93" s="291">
        <v>1.99</v>
      </c>
      <c r="N93" s="292" cm="1">
        <f t="array" aca="1" ref="N93" ca="1">INDIRECT("'"&amp;$C93&amp;"'!"&amp;"$"&amp;$D93&amp;$N$1&amp;"")</f>
        <v>6.7</v>
      </c>
      <c r="O93" s="293"/>
      <c r="P93" s="293">
        <v>0.96</v>
      </c>
      <c r="Q93" s="291">
        <v>1.99</v>
      </c>
      <c r="R93" s="292" cm="1">
        <f t="array" aca="1" ref="R93" ca="1">INDIRECT("'"&amp;$C93&amp;"'!"&amp;"$"&amp;$D93&amp;$R$1&amp;"")</f>
        <v>6.7</v>
      </c>
      <c r="S93" s="293"/>
      <c r="T93" s="293">
        <v>0.96</v>
      </c>
      <c r="U93" s="291">
        <v>1.99</v>
      </c>
      <c r="V93" s="292" t="str" cm="1">
        <f t="array" aca="1" ref="V93" ca="1">INDIRECT("'"&amp;$C93&amp;"'!"&amp;"$"&amp;$D93&amp;$V$1&amp;"")</f>
        <v>CMS</v>
      </c>
      <c r="W93" s="293" t="s">
        <v>1</v>
      </c>
      <c r="X93" s="293" t="s">
        <v>1</v>
      </c>
      <c r="Y93" s="294" t="s">
        <v>1</v>
      </c>
      <c r="Z93" s="290" cm="1">
        <f t="array" aca="1" ref="Z93" ca="1">INDIRECT("'"&amp;$C93&amp;"'!"&amp;"$"&amp;$D93&amp;$Z$1&amp;"")</f>
        <v>0</v>
      </c>
      <c r="AA93" s="293" t="s">
        <v>1</v>
      </c>
      <c r="AB93" s="293" t="s">
        <v>1</v>
      </c>
      <c r="AC93" s="291" t="s">
        <v>1</v>
      </c>
      <c r="AD93" s="292" cm="1">
        <f t="array" aca="1" ref="AD93" ca="1">INDIRECT("'"&amp;$C93&amp;"'!"&amp;"$"&amp;$D93&amp;$AD$1&amp;"")</f>
        <v>3.2</v>
      </c>
      <c r="AE93" s="293">
        <f>3.8*3.52</f>
        <v>13.375999999999999</v>
      </c>
      <c r="AF93" s="293">
        <v>0.95</v>
      </c>
      <c r="AG93" s="294">
        <v>1.1299999999999999</v>
      </c>
      <c r="AH93" s="290" cm="1">
        <f t="array" aca="1" ref="AH93" ca="1">INDIRECT("'"&amp;$C93&amp;"'!"&amp;"$"&amp;$D93&amp;$AH$1&amp;"")</f>
        <v>3.8</v>
      </c>
      <c r="AI93" s="293">
        <v>13.76</v>
      </c>
      <c r="AJ93" s="293">
        <v>0.92</v>
      </c>
      <c r="AK93" s="291">
        <v>1.4</v>
      </c>
      <c r="AL93" s="290">
        <v>11.8</v>
      </c>
      <c r="AM93" s="294">
        <v>69.7</v>
      </c>
      <c r="AN93" s="290" cm="1">
        <f t="array" aca="1" ref="AN93" ca="1">INDIRECT("'"&amp;$C93&amp;"'!"&amp;"$"&amp;$D93&amp;$AL$1&amp;"")</f>
        <v>3.8</v>
      </c>
      <c r="AO93" s="293">
        <v>0.96</v>
      </c>
      <c r="AP93" s="291">
        <v>1.04</v>
      </c>
      <c r="AQ93" s="292" cm="1">
        <f t="array" aca="1" ref="AQ93" ca="1">INDIRECT("'"&amp;$C93&amp;"'!"&amp;"$"&amp;$D93&amp;$AQ$1&amp;"")</f>
        <v>3.8</v>
      </c>
      <c r="AR93" s="293">
        <v>0.96</v>
      </c>
      <c r="AS93" s="291">
        <v>1.1200000000000001</v>
      </c>
      <c r="AT93" s="295">
        <v>0</v>
      </c>
      <c r="AU93" s="294">
        <v>69.2</v>
      </c>
      <c r="AV93" s="290" t="str" cm="1">
        <f t="array" aca="1" ref="AV93" ca="1">INDIRECT("'"&amp;$C93&amp;"'!"&amp;"$"&amp;$D93&amp;31&amp;"")</f>
        <v>PMS</v>
      </c>
      <c r="AW93" s="293" t="s">
        <v>1</v>
      </c>
      <c r="AX93" s="291" t="s">
        <v>1</v>
      </c>
      <c r="AY93" s="296">
        <v>68.8</v>
      </c>
      <c r="AZ93" s="295" cm="1">
        <f t="array" aca="1" ref="AZ93" ca="1">INDIRECT("'"&amp;$C93&amp;"'!"&amp;"$"&amp;$D93&amp;58&amp;"")</f>
        <v>8.9</v>
      </c>
      <c r="BA93" s="293">
        <v>0.94</v>
      </c>
      <c r="BB93" s="291">
        <v>3.2</v>
      </c>
      <c r="BC93" s="295" cm="1">
        <f t="array" aca="1" ref="BC93" ca="1">INDIRECT("'"&amp;$C93&amp;"'!"&amp;"$"&amp;$D93&amp;63&amp;"")</f>
        <v>1.31</v>
      </c>
      <c r="BD93" s="293"/>
      <c r="BE93" s="293">
        <v>0.99</v>
      </c>
      <c r="BF93" s="291">
        <v>0.16</v>
      </c>
      <c r="BG93" s="296" cm="1">
        <f t="array" aca="1" ref="BG93" ca="1">INDIRECT("'"&amp;$C93&amp;"'!"&amp;"$"&amp;$D93&amp;78&amp;"")</f>
        <v>0.9</v>
      </c>
      <c r="BH93" s="293"/>
      <c r="BI93" s="293">
        <v>0.96</v>
      </c>
      <c r="BJ93" s="291">
        <v>0.25</v>
      </c>
      <c r="BK93" s="296" cm="1">
        <f t="array" aca="1" ref="BK93" ca="1">INDIRECT("'"&amp;$C93&amp;"'!"&amp;"$"&amp;$D93&amp;74&amp;"")</f>
        <v>4.37</v>
      </c>
      <c r="BL93" s="293"/>
      <c r="BM93" s="293">
        <v>0.9</v>
      </c>
      <c r="BN93" s="291">
        <v>2.1</v>
      </c>
    </row>
    <row r="94" spans="1:66" ht="15.75" thickBot="1" x14ac:dyDescent="0.25">
      <c r="A94" s="368">
        <v>45692</v>
      </c>
      <c r="B94" s="365">
        <v>0.58333333333333404</v>
      </c>
      <c r="C94" s="315">
        <v>4</v>
      </c>
      <c r="D94" s="319" t="s">
        <v>124</v>
      </c>
      <c r="E94" s="297">
        <v>14.2</v>
      </c>
      <c r="F94" s="298">
        <v>69.87</v>
      </c>
      <c r="G94" s="299" cm="1">
        <f t="array" aca="1" ref="G94" ca="1">INDIRECT("'"&amp;$C94&amp;"'!"&amp;"$"&amp;$D94&amp;$E$1&amp;"")</f>
        <v>6.6</v>
      </c>
      <c r="H94" s="300">
        <v>0.96</v>
      </c>
      <c r="I94" s="298">
        <v>1.7</v>
      </c>
      <c r="J94" s="299" cm="1">
        <f t="array" aca="1" ref="J94" ca="1">INDIRECT("'"&amp;$C94&amp;"'!"&amp;"$"&amp;$D94&amp;$J$1&amp;"")</f>
        <v>6.6</v>
      </c>
      <c r="K94" s="300"/>
      <c r="L94" s="300">
        <v>0.96</v>
      </c>
      <c r="M94" s="298">
        <v>1.7</v>
      </c>
      <c r="N94" s="299" cm="1">
        <f t="array" aca="1" ref="N94" ca="1">INDIRECT("'"&amp;$C94&amp;"'!"&amp;"$"&amp;$D94&amp;$N$1&amp;"")</f>
        <v>6.6</v>
      </c>
      <c r="O94" s="300"/>
      <c r="P94" s="300">
        <v>0.96</v>
      </c>
      <c r="Q94" s="298">
        <v>1.7</v>
      </c>
      <c r="R94" s="299" cm="1">
        <f t="array" aca="1" ref="R94" ca="1">INDIRECT("'"&amp;$C94&amp;"'!"&amp;"$"&amp;$D94&amp;$R$1&amp;"")</f>
        <v>6.6</v>
      </c>
      <c r="S94" s="300"/>
      <c r="T94" s="300">
        <v>0.96</v>
      </c>
      <c r="U94" s="298">
        <v>1.7</v>
      </c>
      <c r="V94" s="299" t="str" cm="1">
        <f t="array" aca="1" ref="V94" ca="1">INDIRECT("'"&amp;$C94&amp;"'!"&amp;"$"&amp;$D94&amp;$V$1&amp;"")</f>
        <v>CMS</v>
      </c>
      <c r="W94" s="300" t="s">
        <v>1</v>
      </c>
      <c r="X94" s="300" t="s">
        <v>1</v>
      </c>
      <c r="Y94" s="301" t="s">
        <v>1</v>
      </c>
      <c r="Z94" s="297" cm="1">
        <f t="array" aca="1" ref="Z94" ca="1">INDIRECT("'"&amp;$C94&amp;"'!"&amp;"$"&amp;$D94&amp;$Z$1&amp;"")</f>
        <v>0</v>
      </c>
      <c r="AA94" s="300" t="s">
        <v>1</v>
      </c>
      <c r="AB94" s="300" t="s">
        <v>1</v>
      </c>
      <c r="AC94" s="298" t="s">
        <v>1</v>
      </c>
      <c r="AD94" s="299" cm="1">
        <f t="array" aca="1" ref="AD94" ca="1">INDIRECT("'"&amp;$C94&amp;"'!"&amp;"$"&amp;$D94&amp;$AD$1&amp;"")</f>
        <v>3.2</v>
      </c>
      <c r="AE94" s="300">
        <f>3.8*3.51</f>
        <v>13.337999999999999</v>
      </c>
      <c r="AF94" s="300">
        <v>0.94</v>
      </c>
      <c r="AG94" s="301">
        <v>1.22</v>
      </c>
      <c r="AH94" s="297" cm="1">
        <f t="array" aca="1" ref="AH94" ca="1">INDIRECT("'"&amp;$C94&amp;"'!"&amp;"$"&amp;$D94&amp;$AH$1&amp;"")</f>
        <v>3.8</v>
      </c>
      <c r="AI94" s="300">
        <v>13.72</v>
      </c>
      <c r="AJ94" s="300">
        <v>0.92</v>
      </c>
      <c r="AK94" s="298">
        <v>1.52</v>
      </c>
      <c r="AL94" s="297">
        <v>11.8</v>
      </c>
      <c r="AM94" s="301">
        <v>69.8</v>
      </c>
      <c r="AN94" s="297" cm="1">
        <f t="array" aca="1" ref="AN94" ca="1">INDIRECT("'"&amp;$C94&amp;"'!"&amp;"$"&amp;$D94&amp;$AL$1&amp;"")</f>
        <v>4</v>
      </c>
      <c r="AO94" s="300">
        <v>0.96</v>
      </c>
      <c r="AP94" s="298">
        <v>1.05</v>
      </c>
      <c r="AQ94" s="299" cm="1">
        <f t="array" aca="1" ref="AQ94" ca="1">INDIRECT("'"&amp;$C94&amp;"'!"&amp;"$"&amp;$D94&amp;$AQ$1&amp;"")</f>
        <v>4</v>
      </c>
      <c r="AR94" s="300">
        <v>0.96</v>
      </c>
      <c r="AS94" s="298">
        <v>1.2</v>
      </c>
      <c r="AT94" s="302">
        <v>0</v>
      </c>
      <c r="AU94" s="301">
        <v>69.099999999999994</v>
      </c>
      <c r="AV94" s="297" t="str" cm="1">
        <f t="array" aca="1" ref="AV94" ca="1">INDIRECT("'"&amp;$C94&amp;"'!"&amp;"$"&amp;$D94&amp;31&amp;"")</f>
        <v>PMS</v>
      </c>
      <c r="AW94" s="300" t="s">
        <v>1</v>
      </c>
      <c r="AX94" s="298" t="s">
        <v>1</v>
      </c>
      <c r="AY94" s="303">
        <v>68.7</v>
      </c>
      <c r="AZ94" s="302" cm="1">
        <f t="array" aca="1" ref="AZ94" ca="1">INDIRECT("'"&amp;$C94&amp;"'!"&amp;"$"&amp;$D94&amp;58&amp;"")</f>
        <v>11.373863636363637</v>
      </c>
      <c r="BA94" s="300">
        <v>0.94</v>
      </c>
      <c r="BB94" s="298">
        <v>4.0999999999999996</v>
      </c>
      <c r="BC94" s="302" cm="1">
        <f t="array" aca="1" ref="BC94" ca="1">INDIRECT("'"&amp;$C94&amp;"'!"&amp;"$"&amp;$D94&amp;63&amp;"")</f>
        <v>1.35</v>
      </c>
      <c r="BD94" s="300"/>
      <c r="BE94" s="300">
        <v>0.99</v>
      </c>
      <c r="BF94" s="298">
        <v>0.18</v>
      </c>
      <c r="BG94" s="303" cm="1">
        <f t="array" aca="1" ref="BG94" ca="1">INDIRECT("'"&amp;$C94&amp;"'!"&amp;"$"&amp;$D94&amp;78&amp;"")</f>
        <v>0.91</v>
      </c>
      <c r="BH94" s="300"/>
      <c r="BI94" s="300">
        <v>0.96</v>
      </c>
      <c r="BJ94" s="298">
        <v>0.26</v>
      </c>
      <c r="BK94" s="303" cm="1">
        <f t="array" aca="1" ref="BK94" ca="1">INDIRECT("'"&amp;$C94&amp;"'!"&amp;"$"&amp;$D94&amp;74&amp;"")</f>
        <v>4.42</v>
      </c>
      <c r="BL94" s="300"/>
      <c r="BM94" s="300">
        <v>0.9</v>
      </c>
      <c r="BN94" s="298">
        <v>2.1</v>
      </c>
    </row>
    <row r="95" spans="1:66" ht="15.75" thickBot="1" x14ac:dyDescent="0.25">
      <c r="A95" s="368">
        <v>45692</v>
      </c>
      <c r="B95" s="365">
        <v>0.625</v>
      </c>
      <c r="C95" s="315">
        <v>4</v>
      </c>
      <c r="D95" s="319" t="s">
        <v>125</v>
      </c>
      <c r="E95" s="290">
        <v>14.2</v>
      </c>
      <c r="F95" s="291">
        <v>69.78</v>
      </c>
      <c r="G95" s="292" cm="1">
        <f t="array" aca="1" ref="G95" ca="1">INDIRECT("'"&amp;$C95&amp;"'!"&amp;"$"&amp;$D95&amp;$E$1&amp;"")</f>
        <v>6.8</v>
      </c>
      <c r="H95" s="293">
        <v>0.96</v>
      </c>
      <c r="I95" s="291">
        <v>2</v>
      </c>
      <c r="J95" s="292" cm="1">
        <f t="array" aca="1" ref="J95" ca="1">INDIRECT("'"&amp;$C95&amp;"'!"&amp;"$"&amp;$D95&amp;$J$1&amp;"")</f>
        <v>6.8</v>
      </c>
      <c r="K95" s="293"/>
      <c r="L95" s="293">
        <v>0.96</v>
      </c>
      <c r="M95" s="291">
        <v>2</v>
      </c>
      <c r="N95" s="292" cm="1">
        <f t="array" aca="1" ref="N95" ca="1">INDIRECT("'"&amp;$C95&amp;"'!"&amp;"$"&amp;$D95&amp;$N$1&amp;"")</f>
        <v>6.8</v>
      </c>
      <c r="O95" s="293"/>
      <c r="P95" s="293">
        <v>0.96</v>
      </c>
      <c r="Q95" s="291">
        <v>2</v>
      </c>
      <c r="R95" s="292" cm="1">
        <f t="array" aca="1" ref="R95" ca="1">INDIRECT("'"&amp;$C95&amp;"'!"&amp;"$"&amp;$D95&amp;$R$1&amp;"")</f>
        <v>6.8</v>
      </c>
      <c r="S95" s="293"/>
      <c r="T95" s="293">
        <v>0.96</v>
      </c>
      <c r="U95" s="291">
        <v>2</v>
      </c>
      <c r="V95" s="292" t="str" cm="1">
        <f t="array" aca="1" ref="V95" ca="1">INDIRECT("'"&amp;$C95&amp;"'!"&amp;"$"&amp;$D95&amp;$V$1&amp;"")</f>
        <v>CMS</v>
      </c>
      <c r="W95" s="293" t="s">
        <v>1</v>
      </c>
      <c r="X95" s="293" t="s">
        <v>1</v>
      </c>
      <c r="Y95" s="294" t="s">
        <v>1</v>
      </c>
      <c r="Z95" s="290" cm="1">
        <f t="array" aca="1" ref="Z95" ca="1">INDIRECT("'"&amp;$C95&amp;"'!"&amp;"$"&amp;$D95&amp;$Z$1&amp;"")</f>
        <v>0</v>
      </c>
      <c r="AA95" s="293" t="s">
        <v>1</v>
      </c>
      <c r="AB95" s="293" t="s">
        <v>1</v>
      </c>
      <c r="AC95" s="291" t="s">
        <v>1</v>
      </c>
      <c r="AD95" s="292" t="str" cm="1">
        <f t="array" aca="1" ref="AD95" ca="1">INDIRECT("'"&amp;$C95&amp;"'!"&amp;"$"&amp;$D95&amp;$AD$1&amp;"")</f>
        <v>CMS</v>
      </c>
      <c r="AE95" s="293" t="s">
        <v>1</v>
      </c>
      <c r="AF95" s="293" t="s">
        <v>1</v>
      </c>
      <c r="AG95" s="291" t="s">
        <v>1</v>
      </c>
      <c r="AH95" s="290" cm="1">
        <f t="array" aca="1" ref="AH95" ca="1">INDIRECT("'"&amp;$C95&amp;"'!"&amp;"$"&amp;$D95&amp;$AH$1&amp;"")</f>
        <v>3.8</v>
      </c>
      <c r="AI95" s="293">
        <v>13.72</v>
      </c>
      <c r="AJ95" s="293">
        <v>0.91</v>
      </c>
      <c r="AK95" s="291">
        <v>1.52</v>
      </c>
      <c r="AL95" s="290">
        <v>11.9</v>
      </c>
      <c r="AM95" s="294">
        <v>69.599999999999994</v>
      </c>
      <c r="AN95" s="290" cm="1">
        <f t="array" aca="1" ref="AN95" ca="1">INDIRECT("'"&amp;$C95&amp;"'!"&amp;"$"&amp;$D95&amp;$AL$1&amp;"")</f>
        <v>4.0999999999999996</v>
      </c>
      <c r="AO95" s="293">
        <v>0.94</v>
      </c>
      <c r="AP95" s="291">
        <v>1.43</v>
      </c>
      <c r="AQ95" s="292" cm="1">
        <f t="array" aca="1" ref="AQ95" ca="1">INDIRECT("'"&amp;$C95&amp;"'!"&amp;"$"&amp;$D95&amp;$AQ$1&amp;"")</f>
        <v>4.0999999999999996</v>
      </c>
      <c r="AR95" s="293">
        <v>0.94</v>
      </c>
      <c r="AS95" s="291">
        <v>1.51</v>
      </c>
      <c r="AT95" s="295">
        <v>0</v>
      </c>
      <c r="AU95" s="294">
        <v>68.900000000000006</v>
      </c>
      <c r="AV95" s="290" t="str" cm="1">
        <f t="array" aca="1" ref="AV95" ca="1">INDIRECT("'"&amp;$C95&amp;"'!"&amp;"$"&amp;$D95&amp;31&amp;"")</f>
        <v>PMS</v>
      </c>
      <c r="AW95" s="293" t="s">
        <v>1</v>
      </c>
      <c r="AX95" s="291" t="s">
        <v>1</v>
      </c>
      <c r="AY95" s="296">
        <v>68.3</v>
      </c>
      <c r="AZ95" s="295" cm="1">
        <f t="array" aca="1" ref="AZ95" ca="1">INDIRECT("'"&amp;$C95&amp;"'!"&amp;"$"&amp;$D95&amp;58&amp;"")</f>
        <v>13.198181818181819</v>
      </c>
      <c r="BA95" s="293">
        <v>0.94</v>
      </c>
      <c r="BB95" s="291">
        <v>4.7</v>
      </c>
      <c r="BC95" s="295" cm="1">
        <f t="array" aca="1" ref="BC95" ca="1">INDIRECT("'"&amp;$C95&amp;"'!"&amp;"$"&amp;$D95&amp;63&amp;"")</f>
        <v>1.3</v>
      </c>
      <c r="BD95" s="293"/>
      <c r="BE95" s="293">
        <v>0.99</v>
      </c>
      <c r="BF95" s="291">
        <v>0.17</v>
      </c>
      <c r="BG95" s="296" cm="1">
        <f t="array" aca="1" ref="BG95" ca="1">INDIRECT("'"&amp;$C95&amp;"'!"&amp;"$"&amp;$D95&amp;78&amp;"")</f>
        <v>0.92</v>
      </c>
      <c r="BH95" s="293"/>
      <c r="BI95" s="293">
        <v>0.96</v>
      </c>
      <c r="BJ95" s="291">
        <v>0.26</v>
      </c>
      <c r="BK95" s="296" cm="1">
        <f t="array" aca="1" ref="BK95" ca="1">INDIRECT("'"&amp;$C95&amp;"'!"&amp;"$"&amp;$D95&amp;74&amp;"")</f>
        <v>4.7</v>
      </c>
      <c r="BL95" s="293"/>
      <c r="BM95" s="293">
        <v>0.9</v>
      </c>
      <c r="BN95" s="291">
        <v>2.2000000000000002</v>
      </c>
    </row>
    <row r="96" spans="1:66" ht="15.75" thickBot="1" x14ac:dyDescent="0.25">
      <c r="A96" s="368">
        <v>45692</v>
      </c>
      <c r="B96" s="365">
        <v>0.66666666666666696</v>
      </c>
      <c r="C96" s="315">
        <v>4</v>
      </c>
      <c r="D96" s="319" t="s">
        <v>126</v>
      </c>
      <c r="E96" s="297">
        <v>14.3</v>
      </c>
      <c r="F96" s="298">
        <v>70.489999999999995</v>
      </c>
      <c r="G96" s="299" cm="1">
        <f t="array" aca="1" ref="G96" ca="1">INDIRECT("'"&amp;$C96&amp;"'!"&amp;"$"&amp;$D96&amp;$E$1&amp;"")</f>
        <v>6.7</v>
      </c>
      <c r="H96" s="300">
        <v>0.95</v>
      </c>
      <c r="I96" s="298">
        <v>2.1</v>
      </c>
      <c r="J96" s="299" cm="1">
        <f t="array" aca="1" ref="J96" ca="1">INDIRECT("'"&amp;$C96&amp;"'!"&amp;"$"&amp;$D96&amp;$J$1&amp;"")</f>
        <v>6.7</v>
      </c>
      <c r="K96" s="300"/>
      <c r="L96" s="300">
        <v>0.95</v>
      </c>
      <c r="M96" s="298">
        <v>2.1</v>
      </c>
      <c r="N96" s="299" cm="1">
        <f t="array" aca="1" ref="N96" ca="1">INDIRECT("'"&amp;$C96&amp;"'!"&amp;"$"&amp;$D96&amp;$N$1&amp;"")</f>
        <v>6.7</v>
      </c>
      <c r="O96" s="300"/>
      <c r="P96" s="300">
        <v>0.95</v>
      </c>
      <c r="Q96" s="298">
        <v>2.1</v>
      </c>
      <c r="R96" s="299" cm="1">
        <f t="array" aca="1" ref="R96" ca="1">INDIRECT("'"&amp;$C96&amp;"'!"&amp;"$"&amp;$D96&amp;$R$1&amp;"")</f>
        <v>6.7</v>
      </c>
      <c r="S96" s="300"/>
      <c r="T96" s="300">
        <v>0.95</v>
      </c>
      <c r="U96" s="298">
        <v>2.1</v>
      </c>
      <c r="V96" s="299" t="str" cm="1">
        <f t="array" aca="1" ref="V96" ca="1">INDIRECT("'"&amp;$C96&amp;"'!"&amp;"$"&amp;$D96&amp;$V$1&amp;"")</f>
        <v>CMS</v>
      </c>
      <c r="W96" s="300" t="s">
        <v>1</v>
      </c>
      <c r="X96" s="300" t="s">
        <v>1</v>
      </c>
      <c r="Y96" s="301" t="s">
        <v>1</v>
      </c>
      <c r="Z96" s="297" cm="1">
        <f t="array" aca="1" ref="Z96" ca="1">INDIRECT("'"&amp;$C96&amp;"'!"&amp;"$"&amp;$D96&amp;$Z$1&amp;"")</f>
        <v>0</v>
      </c>
      <c r="AA96" s="300" t="s">
        <v>1</v>
      </c>
      <c r="AB96" s="300" t="s">
        <v>1</v>
      </c>
      <c r="AC96" s="298" t="s">
        <v>1</v>
      </c>
      <c r="AD96" s="299" t="str" cm="1">
        <f t="array" aca="1" ref="AD96" ca="1">INDIRECT("'"&amp;$C96&amp;"'!"&amp;"$"&amp;$D96&amp;$AD$1&amp;"")</f>
        <v>CMS</v>
      </c>
      <c r="AE96" s="300" t="s">
        <v>1</v>
      </c>
      <c r="AF96" s="300" t="s">
        <v>1</v>
      </c>
      <c r="AG96" s="298" t="s">
        <v>1</v>
      </c>
      <c r="AH96" s="297" cm="1">
        <f t="array" aca="1" ref="AH96" ca="1">INDIRECT("'"&amp;$C96&amp;"'!"&amp;"$"&amp;$D96&amp;$AH$1&amp;"")</f>
        <v>3.8</v>
      </c>
      <c r="AI96" s="300">
        <v>13.8</v>
      </c>
      <c r="AJ96" s="300">
        <v>0.96</v>
      </c>
      <c r="AK96" s="298">
        <v>0.82299999999999995</v>
      </c>
      <c r="AL96" s="297">
        <v>11.9</v>
      </c>
      <c r="AM96" s="301">
        <v>70.2</v>
      </c>
      <c r="AN96" s="297" cm="1">
        <f t="array" aca="1" ref="AN96" ca="1">INDIRECT("'"&amp;$C96&amp;"'!"&amp;"$"&amp;$D96&amp;$AL$1&amp;"")</f>
        <v>4</v>
      </c>
      <c r="AO96" s="300">
        <v>0.95</v>
      </c>
      <c r="AP96" s="298">
        <v>1.1299999999999999</v>
      </c>
      <c r="AQ96" s="299" cm="1">
        <f t="array" aca="1" ref="AQ96" ca="1">INDIRECT("'"&amp;$C96&amp;"'!"&amp;"$"&amp;$D96&amp;$AQ$1&amp;"")</f>
        <v>4</v>
      </c>
      <c r="AR96" s="300">
        <v>0.95</v>
      </c>
      <c r="AS96" s="298">
        <v>1.1599999999999999</v>
      </c>
      <c r="AT96" s="302">
        <v>0</v>
      </c>
      <c r="AU96" s="301">
        <v>69.7</v>
      </c>
      <c r="AV96" s="297" t="str" cm="1">
        <f t="array" aca="1" ref="AV96" ca="1">INDIRECT("'"&amp;$C96&amp;"'!"&amp;"$"&amp;$D96&amp;31&amp;"")</f>
        <v>PMS</v>
      </c>
      <c r="AW96" s="300" t="s">
        <v>1</v>
      </c>
      <c r="AX96" s="298" t="s">
        <v>1</v>
      </c>
      <c r="AY96" s="303">
        <v>69.099999999999994</v>
      </c>
      <c r="AZ96" s="302" cm="1">
        <f t="array" aca="1" ref="AZ96" ca="1">INDIRECT("'"&amp;$C96&amp;"'!"&amp;"$"&amp;$D96&amp;58&amp;"")</f>
        <v>13.499999999999996</v>
      </c>
      <c r="BA96" s="300">
        <v>0.94</v>
      </c>
      <c r="BB96" s="298">
        <v>4.8</v>
      </c>
      <c r="BC96" s="302" cm="1">
        <f t="array" aca="1" ref="BC96" ca="1">INDIRECT("'"&amp;$C96&amp;"'!"&amp;"$"&amp;$D96&amp;63&amp;"")</f>
        <v>1.26</v>
      </c>
      <c r="BD96" s="300"/>
      <c r="BE96" s="300">
        <v>0.99</v>
      </c>
      <c r="BF96" s="298">
        <v>0.17</v>
      </c>
      <c r="BG96" s="303" cm="1">
        <f t="array" aca="1" ref="BG96" ca="1">INDIRECT("'"&amp;$C96&amp;"'!"&amp;"$"&amp;$D96&amp;78&amp;"")</f>
        <v>0.9</v>
      </c>
      <c r="BH96" s="300"/>
      <c r="BI96" s="300">
        <v>0.96</v>
      </c>
      <c r="BJ96" s="298">
        <v>0.26</v>
      </c>
      <c r="BK96" s="303" cm="1">
        <f t="array" aca="1" ref="BK96" ca="1">INDIRECT("'"&amp;$C96&amp;"'!"&amp;"$"&amp;$D96&amp;74&amp;"")</f>
        <v>4.8800000000000008</v>
      </c>
      <c r="BL96" s="300"/>
      <c r="BM96" s="300">
        <v>0.9</v>
      </c>
      <c r="BN96" s="298">
        <v>2.2999999999999998</v>
      </c>
    </row>
    <row r="97" spans="1:66" ht="15.75" thickBot="1" x14ac:dyDescent="0.25">
      <c r="A97" s="368">
        <v>45692</v>
      </c>
      <c r="B97" s="365">
        <v>0.70833333333333404</v>
      </c>
      <c r="C97" s="315">
        <v>4</v>
      </c>
      <c r="D97" s="319" t="s">
        <v>127</v>
      </c>
      <c r="E97" s="290">
        <v>14.3</v>
      </c>
      <c r="F97" s="291">
        <v>70.599999999999994</v>
      </c>
      <c r="G97" s="292" cm="1">
        <f t="array" aca="1" ref="G97" ca="1">INDIRECT("'"&amp;$C97&amp;"'!"&amp;"$"&amp;$D97&amp;$E$1&amp;"")</f>
        <v>6.5</v>
      </c>
      <c r="H97" s="293">
        <v>0.95</v>
      </c>
      <c r="I97" s="291">
        <v>2.11</v>
      </c>
      <c r="J97" s="292" cm="1">
        <f t="array" aca="1" ref="J97" ca="1">INDIRECT("'"&amp;$C97&amp;"'!"&amp;"$"&amp;$D97&amp;$J$1&amp;"")</f>
        <v>6.5</v>
      </c>
      <c r="K97" s="293"/>
      <c r="L97" s="293">
        <v>0.95</v>
      </c>
      <c r="M97" s="291">
        <v>2.11</v>
      </c>
      <c r="N97" s="292" cm="1">
        <f t="array" aca="1" ref="N97" ca="1">INDIRECT("'"&amp;$C97&amp;"'!"&amp;"$"&amp;$D97&amp;$N$1&amp;"")</f>
        <v>6.5</v>
      </c>
      <c r="O97" s="293"/>
      <c r="P97" s="293">
        <v>0.95</v>
      </c>
      <c r="Q97" s="291">
        <v>2.11</v>
      </c>
      <c r="R97" s="292" cm="1">
        <f t="array" aca="1" ref="R97" ca="1">INDIRECT("'"&amp;$C97&amp;"'!"&amp;"$"&amp;$D97&amp;$R$1&amp;"")</f>
        <v>6.5</v>
      </c>
      <c r="S97" s="293"/>
      <c r="T97" s="293">
        <v>0.95</v>
      </c>
      <c r="U97" s="291">
        <v>2.11</v>
      </c>
      <c r="V97" s="292" t="str" cm="1">
        <f t="array" aca="1" ref="V97" ca="1">INDIRECT("'"&amp;$C97&amp;"'!"&amp;"$"&amp;$D97&amp;$V$1&amp;"")</f>
        <v>CMS</v>
      </c>
      <c r="W97" s="293" t="s">
        <v>1</v>
      </c>
      <c r="X97" s="293" t="s">
        <v>1</v>
      </c>
      <c r="Y97" s="294" t="s">
        <v>1</v>
      </c>
      <c r="Z97" s="290" cm="1">
        <f t="array" aca="1" ref="Z97" ca="1">INDIRECT("'"&amp;$C97&amp;"'!"&amp;"$"&amp;$D97&amp;$Z$1&amp;"")</f>
        <v>0</v>
      </c>
      <c r="AA97" s="293" t="s">
        <v>1</v>
      </c>
      <c r="AB97" s="293" t="s">
        <v>1</v>
      </c>
      <c r="AC97" s="291" t="s">
        <v>1</v>
      </c>
      <c r="AD97" s="292" t="str" cm="1">
        <f t="array" aca="1" ref="AD97" ca="1">INDIRECT("'"&amp;$C97&amp;"'!"&amp;"$"&amp;$D97&amp;$AD$1&amp;"")</f>
        <v>CMS</v>
      </c>
      <c r="AE97" s="293" t="s">
        <v>1</v>
      </c>
      <c r="AF97" s="293" t="s">
        <v>1</v>
      </c>
      <c r="AG97" s="291" t="s">
        <v>1</v>
      </c>
      <c r="AH97" s="290" cm="1">
        <f t="array" aca="1" ref="AH97" ca="1">INDIRECT("'"&amp;$C97&amp;"'!"&amp;"$"&amp;$D97&amp;$AH$1&amp;"")</f>
        <v>3.8</v>
      </c>
      <c r="AI97" s="293">
        <v>13.8</v>
      </c>
      <c r="AJ97" s="293">
        <v>0.97</v>
      </c>
      <c r="AK97" s="291">
        <v>0.71899999999999997</v>
      </c>
      <c r="AL97" s="290">
        <v>11.9</v>
      </c>
      <c r="AM97" s="294">
        <v>70.3</v>
      </c>
      <c r="AN97" s="290" cm="1">
        <f t="array" aca="1" ref="AN97" ca="1">INDIRECT("'"&amp;$C97&amp;"'!"&amp;"$"&amp;$D97&amp;$AL$1&amp;"")</f>
        <v>4.0999999999999996</v>
      </c>
      <c r="AO97" s="293">
        <v>0.97</v>
      </c>
      <c r="AP97" s="291">
        <v>0.97</v>
      </c>
      <c r="AQ97" s="292" cm="1">
        <f t="array" aca="1" ref="AQ97" ca="1">INDIRECT("'"&amp;$C97&amp;"'!"&amp;"$"&amp;$D97&amp;$AQ$1&amp;"")</f>
        <v>4.0999999999999996</v>
      </c>
      <c r="AR97" s="293">
        <v>0.97</v>
      </c>
      <c r="AS97" s="291">
        <v>1.04</v>
      </c>
      <c r="AT97" s="295">
        <v>0</v>
      </c>
      <c r="AU97" s="294">
        <v>69.8</v>
      </c>
      <c r="AV97" s="290" t="str" cm="1">
        <f t="array" aca="1" ref="AV97" ca="1">INDIRECT("'"&amp;$C97&amp;"'!"&amp;"$"&amp;$D97&amp;31&amp;"")</f>
        <v>PMS</v>
      </c>
      <c r="AW97" s="293" t="s">
        <v>1</v>
      </c>
      <c r="AX97" s="291" t="s">
        <v>1</v>
      </c>
      <c r="AY97" s="296">
        <v>69.099999999999994</v>
      </c>
      <c r="AZ97" s="295" cm="1">
        <f t="array" aca="1" ref="AZ97" ca="1">INDIRECT("'"&amp;$C97&amp;"'!"&amp;"$"&amp;$D97&amp;58&amp;"")</f>
        <v>12.199999999999998</v>
      </c>
      <c r="BA97" s="293">
        <v>0.95</v>
      </c>
      <c r="BB97" s="291">
        <v>0.4</v>
      </c>
      <c r="BC97" s="295" cm="1">
        <f t="array" aca="1" ref="BC97" ca="1">INDIRECT("'"&amp;$C97&amp;"'!"&amp;"$"&amp;$D97&amp;63&amp;"")</f>
        <v>1.25</v>
      </c>
      <c r="BD97" s="293"/>
      <c r="BE97" s="293">
        <v>0.99</v>
      </c>
      <c r="BF97" s="291">
        <v>0.15</v>
      </c>
      <c r="BG97" s="296" cm="1">
        <f t="array" aca="1" ref="BG97" ca="1">INDIRECT("'"&amp;$C97&amp;"'!"&amp;"$"&amp;$D97&amp;78&amp;"")</f>
        <v>0.88</v>
      </c>
      <c r="BH97" s="293"/>
      <c r="BI97" s="293">
        <v>0.96</v>
      </c>
      <c r="BJ97" s="291">
        <v>0.25</v>
      </c>
      <c r="BK97" s="296" cm="1">
        <f t="array" aca="1" ref="BK97" ca="1">INDIRECT("'"&amp;$C97&amp;"'!"&amp;"$"&amp;$D97&amp;74&amp;"")</f>
        <v>4.51</v>
      </c>
      <c r="BL97" s="293"/>
      <c r="BM97" s="293">
        <v>0.9</v>
      </c>
      <c r="BN97" s="291">
        <v>2.1</v>
      </c>
    </row>
    <row r="98" spans="1:66" ht="15.75" thickBot="1" x14ac:dyDescent="0.25">
      <c r="A98" s="368">
        <v>45692</v>
      </c>
      <c r="B98" s="365">
        <v>0.750000000000001</v>
      </c>
      <c r="C98" s="315">
        <v>4</v>
      </c>
      <c r="D98" s="319" t="s">
        <v>128</v>
      </c>
      <c r="E98" s="297">
        <v>14.3</v>
      </c>
      <c r="F98" s="298">
        <v>70.349999999999994</v>
      </c>
      <c r="G98" s="299" cm="1">
        <f t="array" aca="1" ref="G98" ca="1">INDIRECT("'"&amp;$C98&amp;"'!"&amp;"$"&amp;$D98&amp;$E$1&amp;"")</f>
        <v>6.6</v>
      </c>
      <c r="H98" s="300">
        <v>0.96</v>
      </c>
      <c r="I98" s="298">
        <v>2</v>
      </c>
      <c r="J98" s="299" cm="1">
        <f t="array" aca="1" ref="J98" ca="1">INDIRECT("'"&amp;$C98&amp;"'!"&amp;"$"&amp;$D98&amp;$J$1&amp;"")</f>
        <v>6.6</v>
      </c>
      <c r="K98" s="300"/>
      <c r="L98" s="300">
        <v>0.96</v>
      </c>
      <c r="M98" s="298">
        <v>2</v>
      </c>
      <c r="N98" s="299" cm="1">
        <f t="array" aca="1" ref="N98" ca="1">INDIRECT("'"&amp;$C98&amp;"'!"&amp;"$"&amp;$D98&amp;$N$1&amp;"")</f>
        <v>6.6</v>
      </c>
      <c r="O98" s="300"/>
      <c r="P98" s="300">
        <v>0.96</v>
      </c>
      <c r="Q98" s="298">
        <v>2</v>
      </c>
      <c r="R98" s="299" cm="1">
        <f t="array" aca="1" ref="R98" ca="1">INDIRECT("'"&amp;$C98&amp;"'!"&amp;"$"&amp;$D98&amp;$R$1&amp;"")</f>
        <v>6.6</v>
      </c>
      <c r="S98" s="300"/>
      <c r="T98" s="300">
        <v>0.96</v>
      </c>
      <c r="U98" s="298">
        <v>2</v>
      </c>
      <c r="V98" s="299" t="str" cm="1">
        <f t="array" aca="1" ref="V98" ca="1">INDIRECT("'"&amp;$C98&amp;"'!"&amp;"$"&amp;$D98&amp;$V$1&amp;"")</f>
        <v>CMS</v>
      </c>
      <c r="W98" s="300" t="s">
        <v>1</v>
      </c>
      <c r="X98" s="300" t="s">
        <v>1</v>
      </c>
      <c r="Y98" s="301" t="s">
        <v>1</v>
      </c>
      <c r="Z98" s="297" cm="1">
        <f t="array" aca="1" ref="Z98" ca="1">INDIRECT("'"&amp;$C98&amp;"'!"&amp;"$"&amp;$D98&amp;$Z$1&amp;"")</f>
        <v>0</v>
      </c>
      <c r="AA98" s="300" t="s">
        <v>1</v>
      </c>
      <c r="AB98" s="300" t="s">
        <v>1</v>
      </c>
      <c r="AC98" s="298" t="s">
        <v>1</v>
      </c>
      <c r="AD98" s="299" t="str" cm="1">
        <f t="array" aca="1" ref="AD98" ca="1">INDIRECT("'"&amp;$C98&amp;"'!"&amp;"$"&amp;$D98&amp;$AD$1&amp;"")</f>
        <v>CMS</v>
      </c>
      <c r="AE98" s="300" t="s">
        <v>1</v>
      </c>
      <c r="AF98" s="300" t="s">
        <v>1</v>
      </c>
      <c r="AG98" s="298" t="s">
        <v>1</v>
      </c>
      <c r="AH98" s="297" cm="1">
        <f t="array" aca="1" ref="AH98" ca="1">INDIRECT("'"&amp;$C98&amp;"'!"&amp;"$"&amp;$D98&amp;$AH$1&amp;"")</f>
        <v>3.8</v>
      </c>
      <c r="AI98" s="300">
        <v>13.84</v>
      </c>
      <c r="AJ98" s="300">
        <v>0.97</v>
      </c>
      <c r="AK98" s="298">
        <v>0.63400000000000001</v>
      </c>
      <c r="AL98" s="297">
        <v>11.9</v>
      </c>
      <c r="AM98" s="301">
        <v>70.3</v>
      </c>
      <c r="AN98" s="297" cm="1">
        <f t="array" aca="1" ref="AN98" ca="1">INDIRECT("'"&amp;$C98&amp;"'!"&amp;"$"&amp;$D98&amp;$AL$1&amp;"")</f>
        <v>4.0999999999999996</v>
      </c>
      <c r="AO98" s="300">
        <v>0.96</v>
      </c>
      <c r="AP98" s="298">
        <v>0.93</v>
      </c>
      <c r="AQ98" s="299" cm="1">
        <f t="array" aca="1" ref="AQ98" ca="1">INDIRECT("'"&amp;$C98&amp;"'!"&amp;"$"&amp;$D98&amp;$AQ$1&amp;"")</f>
        <v>4.0999999999999996</v>
      </c>
      <c r="AR98" s="300">
        <v>0.96</v>
      </c>
      <c r="AS98" s="298">
        <v>1.02</v>
      </c>
      <c r="AT98" s="302">
        <v>0</v>
      </c>
      <c r="AU98" s="301">
        <v>69</v>
      </c>
      <c r="AV98" s="297" t="str" cm="1">
        <f t="array" aca="1" ref="AV98" ca="1">INDIRECT("'"&amp;$C98&amp;"'!"&amp;"$"&amp;$D98&amp;31&amp;"")</f>
        <v>PMS</v>
      </c>
      <c r="AW98" s="300" t="s">
        <v>1</v>
      </c>
      <c r="AX98" s="298" t="s">
        <v>1</v>
      </c>
      <c r="AY98" s="303">
        <v>69</v>
      </c>
      <c r="AZ98" s="302" cm="1">
        <f t="array" aca="1" ref="AZ98" ca="1">INDIRECT("'"&amp;$C98&amp;"'!"&amp;"$"&amp;$D98&amp;58&amp;"")</f>
        <v>9.0999999999999979</v>
      </c>
      <c r="BA98" s="300">
        <v>0.96</v>
      </c>
      <c r="BB98" s="298">
        <v>2.6</v>
      </c>
      <c r="BC98" s="302" cm="1">
        <f t="array" aca="1" ref="BC98" ca="1">INDIRECT("'"&amp;$C98&amp;"'!"&amp;"$"&amp;$D98&amp;63&amp;"")</f>
        <v>1.26</v>
      </c>
      <c r="BD98" s="300"/>
      <c r="BE98" s="300">
        <v>0.99</v>
      </c>
      <c r="BF98" s="298">
        <v>0.14000000000000001</v>
      </c>
      <c r="BG98" s="303" cm="1">
        <f t="array" aca="1" ref="BG98" ca="1">INDIRECT("'"&amp;$C98&amp;"'!"&amp;"$"&amp;$D98&amp;78&amp;"")</f>
        <v>0.92</v>
      </c>
      <c r="BH98" s="300"/>
      <c r="BI98" s="300">
        <v>0.96</v>
      </c>
      <c r="BJ98" s="298">
        <v>0.25</v>
      </c>
      <c r="BK98" s="303" cm="1">
        <f t="array" aca="1" ref="BK98" ca="1">INDIRECT("'"&amp;$C98&amp;"'!"&amp;"$"&amp;$D98&amp;74&amp;"")</f>
        <v>4.3600000000000003</v>
      </c>
      <c r="BL98" s="300"/>
      <c r="BM98" s="300">
        <v>0.9</v>
      </c>
      <c r="BN98" s="298">
        <v>2.1</v>
      </c>
    </row>
    <row r="99" spans="1:66" ht="15.75" thickBot="1" x14ac:dyDescent="0.25">
      <c r="A99" s="368">
        <v>45692</v>
      </c>
      <c r="B99" s="365">
        <v>0.79166666666666696</v>
      </c>
      <c r="C99" s="315">
        <v>4</v>
      </c>
      <c r="D99" s="319" t="s">
        <v>129</v>
      </c>
      <c r="E99" s="290">
        <v>14.3</v>
      </c>
      <c r="F99" s="291">
        <v>70.569999999999993</v>
      </c>
      <c r="G99" s="292" cm="1">
        <f t="array" aca="1" ref="G99" ca="1">INDIRECT("'"&amp;$C99&amp;"'!"&amp;"$"&amp;$D99&amp;$E$1&amp;"")</f>
        <v>6.5</v>
      </c>
      <c r="H99" s="293">
        <v>0.97</v>
      </c>
      <c r="I99" s="291">
        <v>1.7</v>
      </c>
      <c r="J99" s="292" cm="1">
        <f t="array" aca="1" ref="J99" ca="1">INDIRECT("'"&amp;$C99&amp;"'!"&amp;"$"&amp;$D99&amp;$J$1&amp;"")</f>
        <v>6.5</v>
      </c>
      <c r="K99" s="304"/>
      <c r="L99" s="293">
        <v>0.97</v>
      </c>
      <c r="M99" s="291">
        <v>1.7</v>
      </c>
      <c r="N99" s="292" cm="1">
        <f t="array" aca="1" ref="N99" ca="1">INDIRECT("'"&amp;$C99&amp;"'!"&amp;"$"&amp;$D99&amp;$N$1&amp;"")</f>
        <v>6.5</v>
      </c>
      <c r="O99" s="293"/>
      <c r="P99" s="293">
        <v>0.97</v>
      </c>
      <c r="Q99" s="291">
        <v>1.7</v>
      </c>
      <c r="R99" s="292" cm="1">
        <f t="array" aca="1" ref="R99" ca="1">INDIRECT("'"&amp;$C99&amp;"'!"&amp;"$"&amp;$D99&amp;$R$1&amp;"")</f>
        <v>6.5</v>
      </c>
      <c r="S99" s="293"/>
      <c r="T99" s="293">
        <v>0.97</v>
      </c>
      <c r="U99" s="291">
        <v>1.7</v>
      </c>
      <c r="V99" s="292" t="str" cm="1">
        <f t="array" aca="1" ref="V99" ca="1">INDIRECT("'"&amp;$C99&amp;"'!"&amp;"$"&amp;$D99&amp;$V$1&amp;"")</f>
        <v>CMS</v>
      </c>
      <c r="W99" s="293" t="s">
        <v>1</v>
      </c>
      <c r="X99" s="293" t="s">
        <v>1</v>
      </c>
      <c r="Y99" s="294" t="s">
        <v>1</v>
      </c>
      <c r="Z99" s="290" cm="1">
        <f t="array" aca="1" ref="Z99" ca="1">INDIRECT("'"&amp;$C99&amp;"'!"&amp;"$"&amp;$D99&amp;$Z$1&amp;"")</f>
        <v>0</v>
      </c>
      <c r="AA99" s="293" t="s">
        <v>1</v>
      </c>
      <c r="AB99" s="293" t="s">
        <v>1</v>
      </c>
      <c r="AC99" s="291" t="s">
        <v>1</v>
      </c>
      <c r="AD99" s="292" t="str" cm="1">
        <f t="array" aca="1" ref="AD99" ca="1">INDIRECT("'"&amp;$C99&amp;"'!"&amp;"$"&amp;$D99&amp;$AD$1&amp;"")</f>
        <v>CMS</v>
      </c>
      <c r="AE99" s="293" t="s">
        <v>1</v>
      </c>
      <c r="AF99" s="293" t="s">
        <v>1</v>
      </c>
      <c r="AG99" s="294" t="s">
        <v>1</v>
      </c>
      <c r="AH99" s="290" cm="1">
        <f t="array" aca="1" ref="AH99" ca="1">INDIRECT("'"&amp;$C99&amp;"'!"&amp;"$"&amp;$D99&amp;$AH$1&amp;"")</f>
        <v>3.8</v>
      </c>
      <c r="AI99" s="293">
        <f>13.8</f>
        <v>13.8</v>
      </c>
      <c r="AJ99" s="293">
        <v>0.97</v>
      </c>
      <c r="AK99" s="291">
        <v>0.71199999999999997</v>
      </c>
      <c r="AL99" s="290">
        <v>11.9</v>
      </c>
      <c r="AM99" s="294">
        <v>70.3</v>
      </c>
      <c r="AN99" s="290" cm="1">
        <f t="array" aca="1" ref="AN99" ca="1">INDIRECT("'"&amp;$C99&amp;"'!"&amp;"$"&amp;$D99&amp;$AL$1&amp;"")</f>
        <v>4</v>
      </c>
      <c r="AO99" s="293">
        <v>0.96</v>
      </c>
      <c r="AP99" s="291">
        <v>1</v>
      </c>
      <c r="AQ99" s="292" cm="1">
        <f t="array" aca="1" ref="AQ99" ca="1">INDIRECT("'"&amp;$C99&amp;"'!"&amp;"$"&amp;$D99&amp;$AQ$1&amp;"")</f>
        <v>4</v>
      </c>
      <c r="AR99" s="293">
        <v>0.96</v>
      </c>
      <c r="AS99" s="291">
        <v>1</v>
      </c>
      <c r="AT99" s="295">
        <v>0</v>
      </c>
      <c r="AU99" s="294">
        <v>69.599999999999994</v>
      </c>
      <c r="AV99" s="290" t="str" cm="1">
        <f t="array" aca="1" ref="AV99" ca="1">INDIRECT("'"&amp;$C99&amp;"'!"&amp;"$"&amp;$D99&amp;31&amp;"")</f>
        <v>PMS</v>
      </c>
      <c r="AW99" s="293" t="s">
        <v>1</v>
      </c>
      <c r="AX99" s="291" t="s">
        <v>1</v>
      </c>
      <c r="AY99" s="296">
        <v>69.400000000000006</v>
      </c>
      <c r="AZ99" s="295" cm="1">
        <f t="array" aca="1" ref="AZ99" ca="1">INDIRECT("'"&amp;$C99&amp;"'!"&amp;"$"&amp;$D99&amp;58&amp;"")</f>
        <v>14.200000000000005</v>
      </c>
      <c r="BA99" s="293">
        <v>0.97</v>
      </c>
      <c r="BB99" s="291">
        <v>3.5</v>
      </c>
      <c r="BC99" s="295" cm="1">
        <f t="array" aca="1" ref="BC99" ca="1">INDIRECT("'"&amp;$C99&amp;"'!"&amp;"$"&amp;$D99&amp;63&amp;"")</f>
        <v>1.5</v>
      </c>
      <c r="BD99" s="293"/>
      <c r="BE99" s="293">
        <v>0.99</v>
      </c>
      <c r="BF99" s="291">
        <v>0.15</v>
      </c>
      <c r="BG99" s="296" cm="1">
        <f t="array" aca="1" ref="BG99" ca="1">INDIRECT("'"&amp;$C99&amp;"'!"&amp;"$"&amp;$D99&amp;78&amp;"")</f>
        <v>0</v>
      </c>
      <c r="BH99" s="293"/>
      <c r="BI99" s="293" t="s">
        <v>1</v>
      </c>
      <c r="BJ99" s="291" t="s">
        <v>1</v>
      </c>
      <c r="BK99" s="296" cm="1">
        <f t="array" aca="1" ref="BK99" ca="1">INDIRECT("'"&amp;$C99&amp;"'!"&amp;"$"&amp;$D99&amp;74&amp;"")</f>
        <v>4.79</v>
      </c>
      <c r="BL99" s="293"/>
      <c r="BM99" s="293">
        <v>0.9</v>
      </c>
      <c r="BN99" s="291">
        <v>2.2999999999999998</v>
      </c>
    </row>
    <row r="100" spans="1:66" ht="15.75" thickBot="1" x14ac:dyDescent="0.25">
      <c r="A100" s="368">
        <v>45692</v>
      </c>
      <c r="B100" s="365">
        <v>0.83333333333333337</v>
      </c>
      <c r="C100" s="315">
        <v>4</v>
      </c>
      <c r="D100" s="319" t="s">
        <v>130</v>
      </c>
      <c r="E100" s="297">
        <v>14.3</v>
      </c>
      <c r="F100" s="298">
        <v>70.400000000000006</v>
      </c>
      <c r="G100" s="299" cm="1">
        <f t="array" aca="1" ref="G100" ca="1">INDIRECT("'"&amp;$C100&amp;"'!"&amp;"$"&amp;$D100&amp;$E$1&amp;"")</f>
        <v>6.5</v>
      </c>
      <c r="H100" s="300">
        <v>0.98</v>
      </c>
      <c r="I100" s="298">
        <v>1.35</v>
      </c>
      <c r="J100" s="299" cm="1">
        <f t="array" aca="1" ref="J100" ca="1">INDIRECT("'"&amp;$C100&amp;"'!"&amp;"$"&amp;$D100&amp;$J$1&amp;"")</f>
        <v>6.6</v>
      </c>
      <c r="K100" s="300"/>
      <c r="L100" s="300">
        <v>0.97</v>
      </c>
      <c r="M100" s="298">
        <v>1.39</v>
      </c>
      <c r="N100" s="299" cm="1">
        <f t="array" aca="1" ref="N100" ca="1">INDIRECT("'"&amp;$C100&amp;"'!"&amp;"$"&amp;$D100&amp;$N$1&amp;"")</f>
        <v>6.6</v>
      </c>
      <c r="O100" s="300"/>
      <c r="P100" s="300">
        <v>0.97</v>
      </c>
      <c r="Q100" s="298">
        <v>1.52</v>
      </c>
      <c r="R100" s="299" cm="1">
        <f t="array" aca="1" ref="R100" ca="1">INDIRECT("'"&amp;$C100&amp;"'!"&amp;"$"&amp;$D100&amp;$R$1&amp;"")</f>
        <v>6.6</v>
      </c>
      <c r="S100" s="300"/>
      <c r="T100" s="300">
        <v>0.97</v>
      </c>
      <c r="U100" s="298">
        <v>1.64</v>
      </c>
      <c r="V100" s="299" t="str" cm="1">
        <f t="array" aca="1" ref="V100" ca="1">INDIRECT("'"&amp;$C100&amp;"'!"&amp;"$"&amp;$D100&amp;$V$1&amp;"")</f>
        <v>CMS</v>
      </c>
      <c r="W100" s="300" t="s">
        <v>1</v>
      </c>
      <c r="X100" s="300" t="s">
        <v>1</v>
      </c>
      <c r="Y100" s="301" t="s">
        <v>1</v>
      </c>
      <c r="Z100" s="297" cm="1">
        <f t="array" aca="1" ref="Z100" ca="1">INDIRECT("'"&amp;$C100&amp;"'!"&amp;"$"&amp;$D100&amp;$Z$1&amp;"")</f>
        <v>0</v>
      </c>
      <c r="AA100" s="300" t="s">
        <v>1</v>
      </c>
      <c r="AB100" s="300" t="s">
        <v>1</v>
      </c>
      <c r="AC100" s="301" t="s">
        <v>1</v>
      </c>
      <c r="AD100" s="299" t="str" cm="1">
        <f t="array" aca="1" ref="AD100" ca="1">INDIRECT("'"&amp;$C100&amp;"'!"&amp;"$"&amp;$D100&amp;$AD$1&amp;"")</f>
        <v>CMS</v>
      </c>
      <c r="AE100" s="300" t="s">
        <v>1</v>
      </c>
      <c r="AF100" s="300" t="s">
        <v>1</v>
      </c>
      <c r="AG100" s="301" t="s">
        <v>1</v>
      </c>
      <c r="AH100" s="297" cm="1">
        <f t="array" aca="1" ref="AH100" ca="1">INDIRECT("'"&amp;$C100&amp;"'!"&amp;"$"&amp;$D100&amp;$AH$1&amp;"")</f>
        <v>3.8</v>
      </c>
      <c r="AI100" s="300">
        <v>13.95</v>
      </c>
      <c r="AJ100" s="300">
        <v>0.98</v>
      </c>
      <c r="AK100" s="298">
        <v>0.54900000000000004</v>
      </c>
      <c r="AL100" s="297">
        <v>11.9</v>
      </c>
      <c r="AM100" s="301">
        <v>70.099999999999994</v>
      </c>
      <c r="AN100" s="297" cm="1">
        <f t="array" aca="1" ref="AN100" ca="1">INDIRECT("'"&amp;$C100&amp;"'!"&amp;"$"&amp;$D100&amp;$AL$1&amp;"")</f>
        <v>4</v>
      </c>
      <c r="AO100" s="300">
        <v>0.97</v>
      </c>
      <c r="AP100" s="298">
        <v>0.98</v>
      </c>
      <c r="AQ100" s="299" cm="1">
        <f t="array" aca="1" ref="AQ100" ca="1">INDIRECT("'"&amp;$C100&amp;"'!"&amp;"$"&amp;$D100&amp;$AQ$1&amp;"")</f>
        <v>4</v>
      </c>
      <c r="AR100" s="300">
        <v>0.97</v>
      </c>
      <c r="AS100" s="298">
        <v>0.95</v>
      </c>
      <c r="AT100" s="302">
        <v>0</v>
      </c>
      <c r="AU100" s="301">
        <v>69.900000000000006</v>
      </c>
      <c r="AV100" s="297" t="str" cm="1">
        <f t="array" aca="1" ref="AV100" ca="1">INDIRECT("'"&amp;$C100&amp;"'!"&amp;"$"&amp;$D100&amp;31&amp;"")</f>
        <v>PMS</v>
      </c>
      <c r="AW100" s="300" t="s">
        <v>1</v>
      </c>
      <c r="AX100" s="298" t="s">
        <v>1</v>
      </c>
      <c r="AY100" s="303">
        <v>69.2</v>
      </c>
      <c r="AZ100" s="302" cm="1">
        <f t="array" aca="1" ref="AZ100" ca="1">INDIRECT("'"&amp;$C100&amp;"'!"&amp;"$"&amp;$D100&amp;58&amp;"")</f>
        <v>11.799999999999999</v>
      </c>
      <c r="BA100" s="300">
        <v>0.97</v>
      </c>
      <c r="BB100" s="298">
        <v>2.9</v>
      </c>
      <c r="BC100" s="302" cm="1">
        <f t="array" aca="1" ref="BC100" ca="1">INDIRECT("'"&amp;$C100&amp;"'!"&amp;"$"&amp;$D100&amp;63&amp;"")</f>
        <v>1.43</v>
      </c>
      <c r="BD100" s="300"/>
      <c r="BE100" s="300">
        <v>0.99</v>
      </c>
      <c r="BF100" s="298">
        <v>0.14000000000000001</v>
      </c>
      <c r="BG100" s="303" cm="1">
        <f t="array" aca="1" ref="BG100" ca="1">INDIRECT("'"&amp;$C100&amp;"'!"&amp;"$"&amp;$D100&amp;78&amp;"")</f>
        <v>1</v>
      </c>
      <c r="BH100" s="300"/>
      <c r="BI100" s="300">
        <v>0.97</v>
      </c>
      <c r="BJ100" s="298">
        <v>0.25</v>
      </c>
      <c r="BK100" s="303" cm="1">
        <f t="array" aca="1" ref="BK100" ca="1">INDIRECT("'"&amp;$C100&amp;"'!"&amp;"$"&amp;$D100&amp;74&amp;"")</f>
        <v>4.8516666666666666</v>
      </c>
      <c r="BL100" s="300"/>
      <c r="BM100" s="300">
        <v>0.9</v>
      </c>
      <c r="BN100" s="298">
        <v>2.2999999999999998</v>
      </c>
    </row>
    <row r="101" spans="1:66" ht="15.75" thickBot="1" x14ac:dyDescent="0.25">
      <c r="A101" s="368">
        <v>45692</v>
      </c>
      <c r="B101" s="365">
        <v>0.875000000000001</v>
      </c>
      <c r="C101" s="315">
        <v>4</v>
      </c>
      <c r="D101" s="319" t="s">
        <v>131</v>
      </c>
      <c r="E101" s="290">
        <v>14.3</v>
      </c>
      <c r="F101" s="291">
        <v>70.680000000000007</v>
      </c>
      <c r="G101" s="292" cm="1">
        <f t="array" aca="1" ref="G101" ca="1">INDIRECT("'"&amp;$C101&amp;"'!"&amp;"$"&amp;$D101&amp;$E$1&amp;"")</f>
        <v>6.6</v>
      </c>
      <c r="H101" s="293">
        <v>0.98</v>
      </c>
      <c r="I101" s="291">
        <v>1.34</v>
      </c>
      <c r="J101" s="292" cm="1">
        <f t="array" aca="1" ref="J101" ca="1">INDIRECT("'"&amp;$C101&amp;"'!"&amp;"$"&amp;$D101&amp;$J$1&amp;"")</f>
        <v>6.6</v>
      </c>
      <c r="K101" s="293"/>
      <c r="L101" s="293">
        <v>0.98</v>
      </c>
      <c r="M101" s="291">
        <v>1.34</v>
      </c>
      <c r="N101" s="292" cm="1">
        <f t="array" aca="1" ref="N101" ca="1">INDIRECT("'"&amp;$C101&amp;"'!"&amp;"$"&amp;$D101&amp;$N$1&amp;"")</f>
        <v>6.6</v>
      </c>
      <c r="O101" s="293"/>
      <c r="P101" s="293">
        <v>0.98</v>
      </c>
      <c r="Q101" s="291">
        <v>1.34</v>
      </c>
      <c r="R101" s="292" cm="1">
        <f t="array" aca="1" ref="R101" ca="1">INDIRECT("'"&amp;$C101&amp;"'!"&amp;"$"&amp;$D101&amp;$R$1&amp;"")</f>
        <v>6.6</v>
      </c>
      <c r="S101" s="293"/>
      <c r="T101" s="293">
        <v>0.98</v>
      </c>
      <c r="U101" s="291">
        <v>1.37</v>
      </c>
      <c r="V101" s="292" t="str" cm="1">
        <f t="array" aca="1" ref="V101" ca="1">INDIRECT("'"&amp;$C101&amp;"'!"&amp;"$"&amp;$D101&amp;$V$1&amp;"")</f>
        <v>CMS</v>
      </c>
      <c r="W101" s="293" t="s">
        <v>1</v>
      </c>
      <c r="X101" s="293" t="s">
        <v>1</v>
      </c>
      <c r="Y101" s="294" t="s">
        <v>1</v>
      </c>
      <c r="Z101" s="290" cm="1">
        <f t="array" aca="1" ref="Z101" ca="1">INDIRECT("'"&amp;$C101&amp;"'!"&amp;"$"&amp;$D101&amp;$Z$1&amp;"")</f>
        <v>0</v>
      </c>
      <c r="AA101" s="293" t="s">
        <v>1</v>
      </c>
      <c r="AB101" s="293" t="s">
        <v>1</v>
      </c>
      <c r="AC101" s="291" t="s">
        <v>1</v>
      </c>
      <c r="AD101" s="292" t="str" cm="1">
        <f t="array" aca="1" ref="AD101" ca="1">INDIRECT("'"&amp;$C101&amp;"'!"&amp;"$"&amp;$D101&amp;$AD$1&amp;"")</f>
        <v>CMS</v>
      </c>
      <c r="AE101" s="293" t="s">
        <v>1</v>
      </c>
      <c r="AF101" s="293" t="s">
        <v>1</v>
      </c>
      <c r="AG101" s="294" t="s">
        <v>1</v>
      </c>
      <c r="AH101" s="290" cm="1">
        <f t="array" aca="1" ref="AH101" ca="1">INDIRECT("'"&amp;$C101&amp;"'!"&amp;"$"&amp;$D101&amp;$AH$1&amp;"")</f>
        <v>3.8</v>
      </c>
      <c r="AI101" s="293">
        <v>13.84</v>
      </c>
      <c r="AJ101" s="293">
        <v>0.98</v>
      </c>
      <c r="AK101" s="291">
        <v>0.53600000000000003</v>
      </c>
      <c r="AL101" s="290">
        <v>11.9</v>
      </c>
      <c r="AM101" s="294">
        <v>70.3</v>
      </c>
      <c r="AN101" s="290" cm="1">
        <f t="array" aca="1" ref="AN101" ca="1">INDIRECT("'"&amp;$C101&amp;"'!"&amp;"$"&amp;$D101&amp;$AL$1&amp;"")</f>
        <v>4.0999999999999996</v>
      </c>
      <c r="AO101" s="293">
        <v>0.97</v>
      </c>
      <c r="AP101" s="291">
        <v>0.97</v>
      </c>
      <c r="AQ101" s="292" cm="1">
        <f t="array" aca="1" ref="AQ101" ca="1">INDIRECT("'"&amp;$C101&amp;"'!"&amp;"$"&amp;$D101&amp;$AQ$1&amp;"")</f>
        <v>4.0999999999999996</v>
      </c>
      <c r="AR101" s="293">
        <v>0.97</v>
      </c>
      <c r="AS101" s="291">
        <v>0.97</v>
      </c>
      <c r="AT101" s="295">
        <v>0</v>
      </c>
      <c r="AU101" s="294">
        <v>69.5</v>
      </c>
      <c r="AV101" s="290" t="str" cm="1">
        <f t="array" aca="1" ref="AV101" ca="1">INDIRECT("'"&amp;$C101&amp;"'!"&amp;"$"&amp;$D101&amp;31&amp;"")</f>
        <v>PMS</v>
      </c>
      <c r="AW101" s="293" t="s">
        <v>1</v>
      </c>
      <c r="AX101" s="291" t="s">
        <v>1</v>
      </c>
      <c r="AY101" s="296">
        <v>69.5</v>
      </c>
      <c r="AZ101" s="295" cm="1">
        <f t="array" aca="1" ref="AZ101" ca="1">INDIRECT("'"&amp;$C101&amp;"'!"&amp;"$"&amp;$D101&amp;58&amp;"")</f>
        <v>9.35</v>
      </c>
      <c r="BA101" s="293">
        <v>0.98</v>
      </c>
      <c r="BB101" s="291">
        <v>1.8</v>
      </c>
      <c r="BC101" s="295" cm="1">
        <f t="array" aca="1" ref="BC101" ca="1">INDIRECT("'"&amp;$C101&amp;"'!"&amp;"$"&amp;$D101&amp;63&amp;"")</f>
        <v>1.37</v>
      </c>
      <c r="BD101" s="293"/>
      <c r="BE101" s="293">
        <v>0.99</v>
      </c>
      <c r="BF101" s="291">
        <v>0.14000000000000001</v>
      </c>
      <c r="BG101" s="296" cm="1">
        <f t="array" aca="1" ref="BG101" ca="1">INDIRECT("'"&amp;$C101&amp;"'!"&amp;"$"&amp;$D101&amp;78&amp;"")</f>
        <v>0.96</v>
      </c>
      <c r="BH101" s="293"/>
      <c r="BI101" s="293">
        <v>0.97</v>
      </c>
      <c r="BJ101" s="291">
        <v>0.25</v>
      </c>
      <c r="BK101" s="296" cm="1">
        <f t="array" aca="1" ref="BK101" ca="1">INDIRECT("'"&amp;$C101&amp;"'!"&amp;"$"&amp;$D101&amp;74&amp;"")</f>
        <v>4.8016666666666667</v>
      </c>
      <c r="BL101" s="293"/>
      <c r="BM101" s="293">
        <v>0.9</v>
      </c>
      <c r="BN101" s="291">
        <v>2.2999999999999998</v>
      </c>
    </row>
    <row r="102" spans="1:66" ht="15.75" thickBot="1" x14ac:dyDescent="0.25">
      <c r="A102" s="368">
        <v>45692</v>
      </c>
      <c r="B102" s="365">
        <v>0.91666666666666696</v>
      </c>
      <c r="C102" s="315">
        <v>4</v>
      </c>
      <c r="D102" s="319" t="s">
        <v>132</v>
      </c>
      <c r="E102" s="297">
        <v>14.3</v>
      </c>
      <c r="F102" s="298">
        <v>70.53</v>
      </c>
      <c r="G102" s="299" cm="1">
        <f t="array" aca="1" ref="G102" ca="1">INDIRECT("'"&amp;$C102&amp;"'!"&amp;"$"&amp;$D102&amp;$E$1&amp;"")</f>
        <v>6.7</v>
      </c>
      <c r="H102" s="300">
        <v>0.98</v>
      </c>
      <c r="I102" s="298">
        <v>1.38</v>
      </c>
      <c r="J102" s="299" cm="1">
        <f t="array" aca="1" ref="J102" ca="1">INDIRECT("'"&amp;$C102&amp;"'!"&amp;"$"&amp;$D102&amp;$J$1&amp;"")</f>
        <v>6.7</v>
      </c>
      <c r="K102" s="300"/>
      <c r="L102" s="300">
        <v>0.98</v>
      </c>
      <c r="M102" s="298">
        <v>1.36</v>
      </c>
      <c r="N102" s="299" cm="1">
        <f t="array" aca="1" ref="N102" ca="1">INDIRECT("'"&amp;$C102&amp;"'!"&amp;"$"&amp;$D102&amp;$N$1&amp;"")</f>
        <v>6.7</v>
      </c>
      <c r="O102" s="300"/>
      <c r="P102" s="300">
        <v>0.98</v>
      </c>
      <c r="Q102" s="298">
        <v>1.29</v>
      </c>
      <c r="R102" s="299" cm="1">
        <f t="array" aca="1" ref="R102" ca="1">INDIRECT("'"&amp;$C102&amp;"'!"&amp;"$"&amp;$D102&amp;$R$1&amp;"")</f>
        <v>6.7</v>
      </c>
      <c r="S102" s="300"/>
      <c r="T102" s="300">
        <v>0.98</v>
      </c>
      <c r="U102" s="298">
        <v>1.34</v>
      </c>
      <c r="V102" s="299" t="str" cm="1">
        <f t="array" aca="1" ref="V102" ca="1">INDIRECT("'"&amp;$C102&amp;"'!"&amp;"$"&amp;$D102&amp;$V$1&amp;"")</f>
        <v>CMS</v>
      </c>
      <c r="W102" s="300" t="s">
        <v>1</v>
      </c>
      <c r="X102" s="300" t="s">
        <v>1</v>
      </c>
      <c r="Y102" s="301" t="s">
        <v>1</v>
      </c>
      <c r="Z102" s="297" cm="1">
        <f t="array" aca="1" ref="Z102" ca="1">INDIRECT("'"&amp;$C102&amp;"'!"&amp;"$"&amp;$D102&amp;$Z$1&amp;"")</f>
        <v>0</v>
      </c>
      <c r="AA102" s="300" t="s">
        <v>1</v>
      </c>
      <c r="AB102" s="300" t="s">
        <v>1</v>
      </c>
      <c r="AC102" s="298" t="s">
        <v>1</v>
      </c>
      <c r="AD102" s="299" t="str" cm="1">
        <f t="array" aca="1" ref="AD102" ca="1">INDIRECT("'"&amp;$C102&amp;"'!"&amp;"$"&amp;$D102&amp;$AD$1&amp;"")</f>
        <v>CMS</v>
      </c>
      <c r="AE102" s="300" t="s">
        <v>1</v>
      </c>
      <c r="AF102" s="300" t="s">
        <v>1</v>
      </c>
      <c r="AG102" s="301" t="s">
        <v>1</v>
      </c>
      <c r="AH102" s="297" cm="1">
        <f t="array" aca="1" ref="AH102" ca="1">INDIRECT("'"&amp;$C102&amp;"'!"&amp;"$"&amp;$D102&amp;$AH$1&amp;"")</f>
        <v>3.8</v>
      </c>
      <c r="AI102" s="300">
        <v>13.84</v>
      </c>
      <c r="AJ102" s="300">
        <v>0.98</v>
      </c>
      <c r="AK102" s="298">
        <v>0.47399999999999998</v>
      </c>
      <c r="AL102" s="297">
        <v>11.9</v>
      </c>
      <c r="AM102" s="301">
        <v>70.3</v>
      </c>
      <c r="AN102" s="297" cm="1">
        <f t="array" aca="1" ref="AN102" ca="1">INDIRECT("'"&amp;$C102&amp;"'!"&amp;"$"&amp;$D102&amp;$AL$1&amp;"")</f>
        <v>3.7</v>
      </c>
      <c r="AO102" s="300">
        <v>0.97</v>
      </c>
      <c r="AP102" s="298">
        <v>0.79</v>
      </c>
      <c r="AQ102" s="299" cm="1">
        <f t="array" aca="1" ref="AQ102" ca="1">INDIRECT("'"&amp;$C102&amp;"'!"&amp;"$"&amp;$D102&amp;$AQ$1&amp;"")</f>
        <v>3.7</v>
      </c>
      <c r="AR102" s="300">
        <v>0.97</v>
      </c>
      <c r="AS102" s="298">
        <v>0.79</v>
      </c>
      <c r="AT102" s="302">
        <v>0</v>
      </c>
      <c r="AU102" s="301">
        <v>69.900000000000006</v>
      </c>
      <c r="AV102" s="297" t="str" cm="1">
        <f t="array" aca="1" ref="AV102" ca="1">INDIRECT("'"&amp;$C102&amp;"'!"&amp;"$"&amp;$D102&amp;31&amp;"")</f>
        <v>PMS</v>
      </c>
      <c r="AW102" s="300" t="s">
        <v>1</v>
      </c>
      <c r="AX102" s="298" t="s">
        <v>1</v>
      </c>
      <c r="AY102" s="303">
        <v>69.3</v>
      </c>
      <c r="AZ102" s="302" cm="1">
        <f t="array" aca="1" ref="AZ102" ca="1">INDIRECT("'"&amp;$C102&amp;"'!"&amp;"$"&amp;$D102&amp;58&amp;"")</f>
        <v>5.2</v>
      </c>
      <c r="BA102" s="300">
        <v>0.98</v>
      </c>
      <c r="BB102" s="298">
        <v>1</v>
      </c>
      <c r="BC102" s="302" cm="1">
        <f t="array" aca="1" ref="BC102" ca="1">INDIRECT("'"&amp;$C102&amp;"'!"&amp;"$"&amp;$D102&amp;63&amp;"")</f>
        <v>1.23</v>
      </c>
      <c r="BD102" s="300"/>
      <c r="BE102" s="300">
        <v>0.99</v>
      </c>
      <c r="BF102" s="298">
        <v>0.14000000000000001</v>
      </c>
      <c r="BG102" s="303" cm="1">
        <f t="array" aca="1" ref="BG102" ca="1">INDIRECT("'"&amp;$C102&amp;"'!"&amp;"$"&amp;$D102&amp;78&amp;"")</f>
        <v>0.91</v>
      </c>
      <c r="BH102" s="300"/>
      <c r="BI102" s="300">
        <v>0.97</v>
      </c>
      <c r="BJ102" s="298">
        <v>0.23</v>
      </c>
      <c r="BK102" s="303" cm="1">
        <f t="array" aca="1" ref="BK102" ca="1">INDIRECT("'"&amp;$C102&amp;"'!"&amp;"$"&amp;$D102&amp;74&amp;"")</f>
        <v>4.496666666666667</v>
      </c>
      <c r="BL102" s="300"/>
      <c r="BM102" s="300">
        <v>0.9</v>
      </c>
      <c r="BN102" s="298">
        <v>2.1</v>
      </c>
    </row>
    <row r="103" spans="1:66" ht="15.75" thickBot="1" x14ac:dyDescent="0.25">
      <c r="A103" s="369">
        <v>45692</v>
      </c>
      <c r="B103" s="366">
        <v>0.95833333333333404</v>
      </c>
      <c r="C103" s="315">
        <v>4</v>
      </c>
      <c r="D103" s="321" t="s">
        <v>133</v>
      </c>
      <c r="E103" s="305">
        <v>14.3</v>
      </c>
      <c r="F103" s="306">
        <v>70.59</v>
      </c>
      <c r="G103" s="307" cm="1">
        <f t="array" aca="1" ref="G103" ca="1">INDIRECT("'"&amp;$C103&amp;"'!"&amp;"$"&amp;$D103&amp;$E$1&amp;"")</f>
        <v>6.5</v>
      </c>
      <c r="H103" s="308">
        <v>0.98</v>
      </c>
      <c r="I103" s="306">
        <v>1.38</v>
      </c>
      <c r="J103" s="307" cm="1">
        <f t="array" aca="1" ref="J103" ca="1">INDIRECT("'"&amp;$C103&amp;"'!"&amp;"$"&amp;$D103&amp;$J$1&amp;"")</f>
        <v>6.5</v>
      </c>
      <c r="K103" s="308"/>
      <c r="L103" s="308">
        <v>0.98</v>
      </c>
      <c r="M103" s="306">
        <v>1.31</v>
      </c>
      <c r="N103" s="307" cm="1">
        <f t="array" aca="1" ref="N103" ca="1">INDIRECT("'"&amp;$C103&amp;"'!"&amp;"$"&amp;$D103&amp;$N$1&amp;"")</f>
        <v>6.5</v>
      </c>
      <c r="O103" s="308"/>
      <c r="P103" s="308">
        <v>0.98</v>
      </c>
      <c r="Q103" s="306">
        <v>1.31</v>
      </c>
      <c r="R103" s="307" cm="1">
        <f t="array" aca="1" ref="R103" ca="1">INDIRECT("'"&amp;$C103&amp;"'!"&amp;"$"&amp;$D103&amp;$R$1&amp;"")</f>
        <v>6.5</v>
      </c>
      <c r="S103" s="308"/>
      <c r="T103" s="308">
        <v>0.98</v>
      </c>
      <c r="U103" s="306">
        <v>1.31</v>
      </c>
      <c r="V103" s="307" t="str" cm="1">
        <f t="array" aca="1" ref="V103" ca="1">INDIRECT("'"&amp;$C103&amp;"'!"&amp;"$"&amp;$D103&amp;$V$1&amp;"")</f>
        <v>CMS</v>
      </c>
      <c r="W103" s="308" t="s">
        <v>1</v>
      </c>
      <c r="X103" s="308" t="s">
        <v>1</v>
      </c>
      <c r="Y103" s="309" t="s">
        <v>1</v>
      </c>
      <c r="Z103" s="305" cm="1">
        <f t="array" aca="1" ref="Z103" ca="1">INDIRECT("'"&amp;$C103&amp;"'!"&amp;"$"&amp;$D103&amp;$Z$1&amp;"")</f>
        <v>0</v>
      </c>
      <c r="AA103" s="308" t="s">
        <v>1</v>
      </c>
      <c r="AB103" s="308" t="s">
        <v>1</v>
      </c>
      <c r="AC103" s="306" t="s">
        <v>1</v>
      </c>
      <c r="AD103" s="307" t="str" cm="1">
        <f t="array" aca="1" ref="AD103" ca="1">INDIRECT("'"&amp;$C103&amp;"'!"&amp;"$"&amp;$D103&amp;$AD$1&amp;"")</f>
        <v>CMS</v>
      </c>
      <c r="AE103" s="308" t="s">
        <v>1</v>
      </c>
      <c r="AF103" s="308" t="s">
        <v>1</v>
      </c>
      <c r="AG103" s="309" t="s">
        <v>1</v>
      </c>
      <c r="AH103" s="305" cm="1">
        <f t="array" aca="1" ref="AH103" ca="1">INDIRECT("'"&amp;$C103&amp;"'!"&amp;"$"&amp;$D103&amp;$AH$1&amp;"")</f>
        <v>3.8</v>
      </c>
      <c r="AI103" s="308">
        <v>13.84</v>
      </c>
      <c r="AJ103" s="308">
        <v>0.99</v>
      </c>
      <c r="AK103" s="306">
        <v>0.35599999999999998</v>
      </c>
      <c r="AL103" s="305">
        <v>11.9</v>
      </c>
      <c r="AM103" s="309">
        <v>70.599999999999994</v>
      </c>
      <c r="AN103" s="305" cm="1">
        <f t="array" aca="1" ref="AN103" ca="1">INDIRECT("'"&amp;$C103&amp;"'!"&amp;"$"&amp;$D103&amp;$AL$1&amp;"")</f>
        <v>3.8</v>
      </c>
      <c r="AO103" s="308">
        <v>0.97</v>
      </c>
      <c r="AP103" s="306">
        <v>0.6</v>
      </c>
      <c r="AQ103" s="307" cm="1">
        <f t="array" aca="1" ref="AQ103" ca="1">INDIRECT("'"&amp;$C103&amp;"'!"&amp;"$"&amp;$D103&amp;$AQ$1&amp;"")</f>
        <v>3.8</v>
      </c>
      <c r="AR103" s="308">
        <v>0.97</v>
      </c>
      <c r="AS103" s="306">
        <v>0.7</v>
      </c>
      <c r="AT103" s="310">
        <v>0</v>
      </c>
      <c r="AU103" s="309">
        <v>69.900000000000006</v>
      </c>
      <c r="AV103" s="305" t="str" cm="1">
        <f t="array" aca="1" ref="AV103" ca="1">INDIRECT("'"&amp;$C103&amp;"'!"&amp;"$"&amp;$D103&amp;31&amp;"")</f>
        <v>PMS</v>
      </c>
      <c r="AW103" s="308" t="s">
        <v>1</v>
      </c>
      <c r="AX103" s="306" t="s">
        <v>1</v>
      </c>
      <c r="AY103" s="311">
        <v>69.400000000000006</v>
      </c>
      <c r="AZ103" s="310" cm="1">
        <f t="array" aca="1" ref="AZ103" ca="1">INDIRECT("'"&amp;$C103&amp;"'!"&amp;"$"&amp;$D103&amp;58&amp;"")</f>
        <v>1.8</v>
      </c>
      <c r="BA103" s="308">
        <v>0.98</v>
      </c>
      <c r="BB103" s="306">
        <v>0.36</v>
      </c>
      <c r="BC103" s="310" cm="1">
        <f t="array" aca="1" ref="BC103" ca="1">INDIRECT("'"&amp;$C103&amp;"'!"&amp;"$"&amp;$D103&amp;63&amp;"")</f>
        <v>1</v>
      </c>
      <c r="BD103" s="308"/>
      <c r="BE103" s="308">
        <v>0.99</v>
      </c>
      <c r="BF103" s="306">
        <v>0.14000000000000001</v>
      </c>
      <c r="BG103" s="311" cm="1">
        <f t="array" aca="1" ref="BG103" ca="1">INDIRECT("'"&amp;$C103&amp;"'!"&amp;"$"&amp;$D103&amp;78&amp;"")</f>
        <v>0.86</v>
      </c>
      <c r="BH103" s="308"/>
      <c r="BI103" s="308">
        <v>0.97</v>
      </c>
      <c r="BJ103" s="306">
        <v>0.22</v>
      </c>
      <c r="BK103" s="311" cm="1">
        <f t="array" aca="1" ref="BK103" ca="1">INDIRECT("'"&amp;$C103&amp;"'!"&amp;"$"&amp;$D103&amp;74&amp;"")</f>
        <v>4.2</v>
      </c>
      <c r="BL103" s="308"/>
      <c r="BM103" s="308">
        <v>0.9</v>
      </c>
      <c r="BN103" s="306">
        <v>2</v>
      </c>
    </row>
    <row r="104" spans="1:66" ht="8.1" customHeight="1" thickBot="1" x14ac:dyDescent="0.25">
      <c r="AY104" s="314"/>
      <c r="AZ104" s="314"/>
    </row>
    <row r="105" spans="1:66" ht="15.75" thickBot="1" x14ac:dyDescent="0.25">
      <c r="A105" s="367">
        <v>45693</v>
      </c>
      <c r="B105" s="364">
        <v>0</v>
      </c>
      <c r="C105" s="315">
        <v>5</v>
      </c>
      <c r="D105" s="316" t="s">
        <v>110</v>
      </c>
      <c r="E105" s="284">
        <v>14.3</v>
      </c>
      <c r="F105" s="285">
        <v>70.97</v>
      </c>
      <c r="G105" s="286" cm="1">
        <f t="array" aca="1" ref="G105" ca="1">INDIRECT("'"&amp;$C105&amp;"'!"&amp;"$"&amp;$D105&amp;$E$1&amp;"")</f>
        <v>6.4</v>
      </c>
      <c r="H105" s="287">
        <v>0.99</v>
      </c>
      <c r="I105" s="285">
        <v>0.72</v>
      </c>
      <c r="J105" s="286" cm="1">
        <f t="array" aca="1" ref="J105" ca="1">INDIRECT("'"&amp;$C105&amp;"'!"&amp;"$"&amp;$D105&amp;$J$1&amp;"")</f>
        <v>6.4</v>
      </c>
      <c r="K105" s="287"/>
      <c r="L105" s="287">
        <v>0.99</v>
      </c>
      <c r="M105" s="285">
        <v>0.73</v>
      </c>
      <c r="N105" s="286" cm="1">
        <f t="array" aca="1" ref="N105" ca="1">INDIRECT("'"&amp;$C105&amp;"'!"&amp;"$"&amp;$D105&amp;$N$1&amp;"")</f>
        <v>6.4</v>
      </c>
      <c r="O105" s="287"/>
      <c r="P105" s="287">
        <v>0.99</v>
      </c>
      <c r="Q105" s="285">
        <v>0.72</v>
      </c>
      <c r="R105" s="286" cm="1">
        <f t="array" aca="1" ref="R105" ca="1">INDIRECT("'"&amp;$C105&amp;"'!"&amp;"$"&amp;$D105&amp;$R$1&amp;"")</f>
        <v>6.4</v>
      </c>
      <c r="S105" s="287"/>
      <c r="T105" s="287">
        <v>0.99</v>
      </c>
      <c r="U105" s="285">
        <v>0.72</v>
      </c>
      <c r="V105" s="286" t="str" cm="1">
        <f t="array" aca="1" ref="V105" ca="1">INDIRECT("'"&amp;$C105&amp;"'!"&amp;"$"&amp;$D105&amp;$V$1&amp;"")</f>
        <v>CMS</v>
      </c>
      <c r="W105" s="287" t="s">
        <v>1</v>
      </c>
      <c r="X105" s="287" t="s">
        <v>1</v>
      </c>
      <c r="Y105" s="288" t="s">
        <v>1</v>
      </c>
      <c r="Z105" s="284" cm="1">
        <f t="array" aca="1" ref="Z105" ca="1">INDIRECT("'"&amp;$C105&amp;"'!"&amp;"$"&amp;$D105&amp;$Z$1&amp;"")</f>
        <v>0</v>
      </c>
      <c r="AA105" s="287" t="s">
        <v>1</v>
      </c>
      <c r="AB105" s="287" t="s">
        <v>1</v>
      </c>
      <c r="AC105" s="285" t="s">
        <v>1</v>
      </c>
      <c r="AD105" s="286" t="str" cm="1">
        <f t="array" aca="1" ref="AD105" ca="1">INDIRECT("'"&amp;$C105&amp;"'!"&amp;"$"&amp;$D105&amp;$AD$1&amp;"")</f>
        <v>CMS</v>
      </c>
      <c r="AE105" s="287" t="s">
        <v>1</v>
      </c>
      <c r="AF105" s="287" t="s">
        <v>1</v>
      </c>
      <c r="AG105" s="285" t="s">
        <v>1</v>
      </c>
      <c r="AH105" s="284" cm="1">
        <f t="array" aca="1" ref="AH105" ca="1">INDIRECT("'"&amp;$C105&amp;"'!"&amp;"$"&amp;$D105&amp;$AH$1&amp;"")</f>
        <v>3.8</v>
      </c>
      <c r="AI105" s="287">
        <v>13.96</v>
      </c>
      <c r="AJ105" s="287">
        <v>0.99</v>
      </c>
      <c r="AK105" s="285">
        <v>0.438</v>
      </c>
      <c r="AL105" s="284">
        <v>11.9</v>
      </c>
      <c r="AM105" s="288">
        <v>7.8</v>
      </c>
      <c r="AN105" s="284" cm="1">
        <f t="array" aca="1" ref="AN105" ca="1">INDIRECT("'"&amp;$C105&amp;"'!"&amp;"$"&amp;$D105&amp;$AL$1&amp;"")</f>
        <v>3</v>
      </c>
      <c r="AO105" s="287">
        <v>0.98</v>
      </c>
      <c r="AP105" s="285">
        <v>0.35</v>
      </c>
      <c r="AQ105" s="286" cm="1">
        <f t="array" aca="1" ref="AQ105" ca="1">INDIRECT("'"&amp;$C105&amp;"'!"&amp;"$"&amp;$D105&amp;$AQ$1&amp;"")</f>
        <v>3</v>
      </c>
      <c r="AR105" s="287">
        <v>0.98</v>
      </c>
      <c r="AS105" s="285">
        <v>0.45</v>
      </c>
      <c r="AT105" s="289">
        <v>0</v>
      </c>
      <c r="AU105" s="288">
        <v>69.900000000000006</v>
      </c>
      <c r="AV105" s="284" t="str" cm="1">
        <f t="array" aca="1" ref="AV105" ca="1">INDIRECT("'"&amp;$C105&amp;"'!"&amp;"$"&amp;$D105&amp;$AT$1&amp;"")</f>
        <v>PMS</v>
      </c>
      <c r="AW105" s="287" t="s">
        <v>1</v>
      </c>
      <c r="AX105" s="285" t="s">
        <v>1</v>
      </c>
      <c r="AY105" s="317">
        <v>69.8</v>
      </c>
      <c r="AZ105" s="289" cm="1">
        <f t="array" aca="1" ref="AZ105" ca="1">INDIRECT("'"&amp;$C105&amp;"'!"&amp;"$"&amp;$D105&amp;$AY$1&amp;"")</f>
        <v>0</v>
      </c>
      <c r="BA105" s="287" t="s">
        <v>1</v>
      </c>
      <c r="BB105" s="285" t="s">
        <v>1</v>
      </c>
      <c r="BC105" s="286" cm="1">
        <f t="array" aca="1" ref="BC105" ca="1">INDIRECT("'"&amp;$C105&amp;"'!"&amp;"$"&amp;$D105&amp;$BC$1&amp;"")</f>
        <v>0.95</v>
      </c>
      <c r="BD105" s="287"/>
      <c r="BE105" s="287">
        <v>0.99</v>
      </c>
      <c r="BF105" s="285">
        <v>0.14000000000000001</v>
      </c>
      <c r="BG105" s="286" cm="1">
        <f t="array" aca="1" ref="BG105" ca="1">INDIRECT("'"&amp;$C105&amp;"'!"&amp;"$"&amp;$D105&amp;$BG$1&amp;"")</f>
        <v>0.81</v>
      </c>
      <c r="BH105" s="287"/>
      <c r="BI105" s="287">
        <v>0.96</v>
      </c>
      <c r="BJ105" s="285">
        <v>0.21</v>
      </c>
      <c r="BK105" s="286" cm="1">
        <f t="array" aca="1" ref="BK105" ca="1">INDIRECT("'"&amp;$C105&amp;"'!"&amp;"$"&amp;$D105&amp;$BK$1&amp;"")</f>
        <v>3.7</v>
      </c>
      <c r="BL105" s="287"/>
      <c r="BM105" s="287">
        <v>0.9</v>
      </c>
      <c r="BN105" s="285">
        <v>1.8</v>
      </c>
    </row>
    <row r="106" spans="1:66" ht="15.75" thickBot="1" x14ac:dyDescent="0.25">
      <c r="A106" s="368">
        <v>45693</v>
      </c>
      <c r="B106" s="365">
        <v>4.1666666666666699E-2</v>
      </c>
      <c r="C106" s="315">
        <v>5</v>
      </c>
      <c r="D106" s="319" t="s">
        <v>111</v>
      </c>
      <c r="E106" s="290">
        <v>14.3</v>
      </c>
      <c r="F106" s="291">
        <v>70.95</v>
      </c>
      <c r="G106" s="292" cm="1">
        <f t="array" aca="1" ref="G106" ca="1">INDIRECT("'"&amp;$C106&amp;"'!"&amp;"$"&amp;$D106&amp;$E$1&amp;"")</f>
        <v>6.3</v>
      </c>
      <c r="H106" s="293">
        <v>0.99</v>
      </c>
      <c r="I106" s="291">
        <v>0.95</v>
      </c>
      <c r="J106" s="292" cm="1">
        <f t="array" aca="1" ref="J106" ca="1">INDIRECT("'"&amp;$C106&amp;"'!"&amp;"$"&amp;$D106&amp;$J$1&amp;"")</f>
        <v>6.3</v>
      </c>
      <c r="K106" s="293"/>
      <c r="L106" s="293">
        <v>0.99</v>
      </c>
      <c r="M106" s="291">
        <v>0.93</v>
      </c>
      <c r="N106" s="292" cm="1">
        <f t="array" aca="1" ref="N106" ca="1">INDIRECT("'"&amp;$C106&amp;"'!"&amp;"$"&amp;$D106&amp;$N$1&amp;"")</f>
        <v>6.3</v>
      </c>
      <c r="O106" s="293"/>
      <c r="P106" s="293">
        <v>0.99</v>
      </c>
      <c r="Q106" s="291">
        <v>0.93</v>
      </c>
      <c r="R106" s="292" cm="1">
        <f t="array" aca="1" ref="R106" ca="1">INDIRECT("'"&amp;$C106&amp;"'!"&amp;"$"&amp;$D106&amp;$R$1&amp;"")</f>
        <v>6.3</v>
      </c>
      <c r="S106" s="293"/>
      <c r="T106" s="293">
        <v>0.99</v>
      </c>
      <c r="U106" s="291">
        <v>0.97</v>
      </c>
      <c r="V106" s="292" t="str" cm="1">
        <f t="array" aca="1" ref="V106" ca="1">INDIRECT("'"&amp;$C106&amp;"'!"&amp;"$"&amp;$D106&amp;$V$1&amp;"")</f>
        <v>CMS</v>
      </c>
      <c r="W106" s="293" t="s">
        <v>1</v>
      </c>
      <c r="X106" s="293" t="s">
        <v>1</v>
      </c>
      <c r="Y106" s="294" t="s">
        <v>1</v>
      </c>
      <c r="Z106" s="290" cm="1">
        <f t="array" aca="1" ref="Z106" ca="1">INDIRECT("'"&amp;$C106&amp;"'!"&amp;"$"&amp;$D106&amp;$Z$1&amp;"")</f>
        <v>0</v>
      </c>
      <c r="AA106" s="293" t="s">
        <v>1</v>
      </c>
      <c r="AB106" s="293" t="s">
        <v>1</v>
      </c>
      <c r="AC106" s="291" t="s">
        <v>1</v>
      </c>
      <c r="AD106" s="292" t="str" cm="1">
        <f t="array" aca="1" ref="AD106" ca="1">INDIRECT("'"&amp;$C106&amp;"'!"&amp;"$"&amp;$D106&amp;$AD$1&amp;"")</f>
        <v>CMS</v>
      </c>
      <c r="AE106" s="293" t="s">
        <v>1</v>
      </c>
      <c r="AF106" s="293" t="s">
        <v>1</v>
      </c>
      <c r="AG106" s="294" t="s">
        <v>1</v>
      </c>
      <c r="AH106" s="290" cm="1">
        <f t="array" aca="1" ref="AH106" ca="1">INDIRECT("'"&amp;$C106&amp;"'!"&amp;"$"&amp;$D106&amp;$AH$1&amp;"")</f>
        <v>3.8</v>
      </c>
      <c r="AI106" s="293">
        <v>13.96</v>
      </c>
      <c r="AJ106" s="293">
        <v>0.99</v>
      </c>
      <c r="AK106" s="291">
        <v>0.372</v>
      </c>
      <c r="AL106" s="290">
        <v>11.9</v>
      </c>
      <c r="AM106" s="294">
        <v>70.7</v>
      </c>
      <c r="AN106" s="290" cm="1">
        <f t="array" aca="1" ref="AN106" ca="1">INDIRECT("'"&amp;$C106&amp;"'!"&amp;"$"&amp;$D106&amp;$AL$1&amp;"")</f>
        <v>2</v>
      </c>
      <c r="AO106" s="293">
        <v>0.98</v>
      </c>
      <c r="AP106" s="291">
        <v>0.52</v>
      </c>
      <c r="AQ106" s="292" cm="1">
        <f t="array" aca="1" ref="AQ106" ca="1">INDIRECT("'"&amp;$C106&amp;"'!"&amp;"$"&amp;$D106&amp;$AQ$1&amp;"")</f>
        <v>2</v>
      </c>
      <c r="AR106" s="293">
        <v>0.98</v>
      </c>
      <c r="AS106" s="291">
        <v>0.52</v>
      </c>
      <c r="AT106" s="295">
        <v>0</v>
      </c>
      <c r="AU106" s="294">
        <v>69.900000000000006</v>
      </c>
      <c r="AV106" s="290" t="str" cm="1">
        <f t="array" aca="1" ref="AV106" ca="1">INDIRECT("'"&amp;$C106&amp;"'!"&amp;"$"&amp;$D106&amp;$AT$1&amp;"")</f>
        <v>PMS</v>
      </c>
      <c r="AW106" s="293" t="s">
        <v>1</v>
      </c>
      <c r="AX106" s="291" t="s">
        <v>1</v>
      </c>
      <c r="AY106" s="296">
        <v>70.099999999999994</v>
      </c>
      <c r="AZ106" s="295" cm="1">
        <f t="array" aca="1" ref="AZ106" ca="1">INDIRECT("'"&amp;$C106&amp;"'!"&amp;"$"&amp;$D106&amp;$AY$1&amp;"")</f>
        <v>0</v>
      </c>
      <c r="BA106" s="293" t="s">
        <v>1</v>
      </c>
      <c r="BB106" s="291" t="s">
        <v>1</v>
      </c>
      <c r="BC106" s="292" cm="1">
        <f t="array" aca="1" ref="BC106" ca="1">INDIRECT("'"&amp;$C106&amp;"'!"&amp;"$"&amp;$D106&amp;$BC$1&amp;"")</f>
        <v>0.85</v>
      </c>
      <c r="BD106" s="293"/>
      <c r="BE106" s="293">
        <v>0.99</v>
      </c>
      <c r="BF106" s="291">
        <v>0.11</v>
      </c>
      <c r="BG106" s="292" cm="1">
        <f t="array" aca="1" ref="BG106" ca="1">INDIRECT("'"&amp;$C106&amp;"'!"&amp;"$"&amp;$D106&amp;$BG$1&amp;"")</f>
        <v>0.78</v>
      </c>
      <c r="BH106" s="293"/>
      <c r="BI106" s="293">
        <v>0.96</v>
      </c>
      <c r="BJ106" s="291">
        <v>0.21</v>
      </c>
      <c r="BK106" s="292" cm="1">
        <f t="array" aca="1" ref="BK106" ca="1">INDIRECT("'"&amp;$C106&amp;"'!"&amp;"$"&amp;$D106&amp;$BK$1&amp;"")</f>
        <v>3.3</v>
      </c>
      <c r="BL106" s="293"/>
      <c r="BM106" s="293">
        <v>0.9</v>
      </c>
      <c r="BN106" s="291">
        <v>1.5</v>
      </c>
    </row>
    <row r="107" spans="1:66" ht="15.75" thickBot="1" x14ac:dyDescent="0.25">
      <c r="A107" s="368">
        <v>45693</v>
      </c>
      <c r="B107" s="365">
        <v>8.3333333333333301E-2</v>
      </c>
      <c r="C107" s="315">
        <v>5</v>
      </c>
      <c r="D107" s="319" t="s">
        <v>112</v>
      </c>
      <c r="E107" s="297">
        <v>14</v>
      </c>
      <c r="F107" s="298">
        <v>69.88</v>
      </c>
      <c r="G107" s="299" cm="1">
        <f t="array" aca="1" ref="G107" ca="1">INDIRECT("'"&amp;$C107&amp;"'!"&amp;"$"&amp;$D107&amp;$E$1&amp;"")</f>
        <v>6.8</v>
      </c>
      <c r="H107" s="300">
        <v>1</v>
      </c>
      <c r="I107" s="298">
        <v>0</v>
      </c>
      <c r="J107" s="299" cm="1">
        <f t="array" aca="1" ref="J107" ca="1">INDIRECT("'"&amp;$C107&amp;"'!"&amp;"$"&amp;$D107&amp;$J$1&amp;"")</f>
        <v>6.8</v>
      </c>
      <c r="K107" s="300"/>
      <c r="L107" s="300">
        <v>1</v>
      </c>
      <c r="M107" s="298">
        <v>0</v>
      </c>
      <c r="N107" s="299" cm="1">
        <f t="array" aca="1" ref="N107" ca="1">INDIRECT("'"&amp;$C107&amp;"'!"&amp;"$"&amp;$D107&amp;$N$1&amp;"")</f>
        <v>2.1</v>
      </c>
      <c r="O107" s="300"/>
      <c r="P107" s="300">
        <v>1</v>
      </c>
      <c r="Q107" s="298">
        <v>0</v>
      </c>
      <c r="R107" s="299" cm="1">
        <f t="array" aca="1" ref="R107" ca="1">INDIRECT("'"&amp;$C107&amp;"'!"&amp;"$"&amp;$D107&amp;$R$1&amp;"")</f>
        <v>6.8</v>
      </c>
      <c r="S107" s="300"/>
      <c r="T107" s="300">
        <v>1</v>
      </c>
      <c r="U107" s="298">
        <v>0</v>
      </c>
      <c r="V107" s="299" t="str" cm="1">
        <f t="array" aca="1" ref="V107" ca="1">INDIRECT("'"&amp;$C107&amp;"'!"&amp;"$"&amp;$D107&amp;$V$1&amp;"")</f>
        <v>CMS</v>
      </c>
      <c r="W107" s="300" t="s">
        <v>1</v>
      </c>
      <c r="X107" s="300" t="s">
        <v>1</v>
      </c>
      <c r="Y107" s="301" t="s">
        <v>1</v>
      </c>
      <c r="Z107" s="297">
        <v>0</v>
      </c>
      <c r="AA107" s="300" t="s">
        <v>1</v>
      </c>
      <c r="AB107" s="300" t="s">
        <v>1</v>
      </c>
      <c r="AC107" s="298" t="s">
        <v>1</v>
      </c>
      <c r="AD107" s="299" t="str" cm="1">
        <f t="array" aca="1" ref="AD107" ca="1">INDIRECT("'"&amp;$C107&amp;"'!"&amp;"$"&amp;$D107&amp;$AD$1&amp;"")</f>
        <v>CMS</v>
      </c>
      <c r="AE107" s="300" t="s">
        <v>1</v>
      </c>
      <c r="AF107" s="300" t="s">
        <v>1</v>
      </c>
      <c r="AG107" s="301" t="s">
        <v>1</v>
      </c>
      <c r="AH107" s="297" cm="1">
        <f t="array" aca="1" ref="AH107" ca="1">INDIRECT("'"&amp;$C107&amp;"'!"&amp;"$"&amp;$D107&amp;$AH$1&amp;"")</f>
        <v>3.5</v>
      </c>
      <c r="AI107" s="300">
        <v>13.92</v>
      </c>
      <c r="AJ107" s="300">
        <v>0.98</v>
      </c>
      <c r="AK107" s="298">
        <v>0.53600000000000003</v>
      </c>
      <c r="AL107" s="297">
        <v>11.9</v>
      </c>
      <c r="AM107" s="301">
        <v>70.3</v>
      </c>
      <c r="AN107" s="297" cm="1">
        <f t="array" aca="1" ref="AN107" ca="1">INDIRECT("'"&amp;$C107&amp;"'!"&amp;"$"&amp;$D107&amp;$AL$1&amp;"")</f>
        <v>3.6</v>
      </c>
      <c r="AO107" s="300">
        <v>1</v>
      </c>
      <c r="AP107" s="298">
        <v>0.26</v>
      </c>
      <c r="AQ107" s="299" cm="1">
        <f t="array" aca="1" ref="AQ107" ca="1">INDIRECT("'"&amp;$C107&amp;"'!"&amp;"$"&amp;$D107&amp;$AQ$1&amp;"")</f>
        <v>3.6</v>
      </c>
      <c r="AR107" s="300">
        <v>1</v>
      </c>
      <c r="AS107" s="298">
        <v>0.26</v>
      </c>
      <c r="AT107" s="302">
        <v>0</v>
      </c>
      <c r="AU107" s="301">
        <v>69.900000000000006</v>
      </c>
      <c r="AV107" s="297" t="str" cm="1">
        <f t="array" aca="1" ref="AV107" ca="1">INDIRECT("'"&amp;$C107&amp;"'!"&amp;"$"&amp;$D107&amp;$AT$1&amp;"")</f>
        <v>PMS</v>
      </c>
      <c r="AW107" s="300" t="s">
        <v>1</v>
      </c>
      <c r="AX107" s="298" t="s">
        <v>1</v>
      </c>
      <c r="AY107" s="303">
        <v>69.5</v>
      </c>
      <c r="AZ107" s="302" cm="1">
        <f t="array" aca="1" ref="AZ107" ca="1">INDIRECT("'"&amp;$C107&amp;"'!"&amp;"$"&amp;$D107&amp;$AY$1&amp;"")</f>
        <v>0</v>
      </c>
      <c r="BA107" s="300" t="s">
        <v>1</v>
      </c>
      <c r="BB107" s="298" t="s">
        <v>1</v>
      </c>
      <c r="BC107" s="299" cm="1">
        <f t="array" aca="1" ref="BC107" ca="1">INDIRECT("'"&amp;$C107&amp;"'!"&amp;"$"&amp;$D107&amp;$BC$1&amp;"")</f>
        <v>0.82</v>
      </c>
      <c r="BD107" s="300"/>
      <c r="BE107" s="300">
        <v>0.99</v>
      </c>
      <c r="BF107" s="298">
        <v>0.1</v>
      </c>
      <c r="BG107" s="299" cm="1">
        <f t="array" aca="1" ref="BG107" ca="1">INDIRECT("'"&amp;$C107&amp;"'!"&amp;"$"&amp;$D107&amp;$BG$1&amp;"")</f>
        <v>0.74</v>
      </c>
      <c r="BH107" s="300"/>
      <c r="BI107" s="300">
        <v>0.96</v>
      </c>
      <c r="BJ107" s="298">
        <v>0.2</v>
      </c>
      <c r="BK107" s="299" cm="1">
        <f t="array" aca="1" ref="BK107" ca="1">INDIRECT("'"&amp;$C107&amp;"'!"&amp;"$"&amp;$D107&amp;$BK$1&amp;"")</f>
        <v>3.2</v>
      </c>
      <c r="BL107" s="300"/>
      <c r="BM107" s="300">
        <v>0.9</v>
      </c>
      <c r="BN107" s="298">
        <v>1.5</v>
      </c>
    </row>
    <row r="108" spans="1:66" ht="15.75" thickBot="1" x14ac:dyDescent="0.25">
      <c r="A108" s="368">
        <v>45693</v>
      </c>
      <c r="B108" s="365">
        <v>0.125</v>
      </c>
      <c r="C108" s="315">
        <v>5</v>
      </c>
      <c r="D108" s="319" t="s">
        <v>113</v>
      </c>
      <c r="E108" s="290">
        <v>14</v>
      </c>
      <c r="F108" s="291">
        <v>70.22</v>
      </c>
      <c r="G108" s="292" cm="1">
        <f t="array" aca="1" ref="G108" ca="1">INDIRECT("'"&amp;$C108&amp;"'!"&amp;"$"&amp;$D108&amp;$E$1&amp;"")</f>
        <v>6.7</v>
      </c>
      <c r="H108" s="293">
        <v>1</v>
      </c>
      <c r="I108" s="291">
        <v>0</v>
      </c>
      <c r="J108" s="292" cm="1">
        <f t="array" aca="1" ref="J108" ca="1">INDIRECT("'"&amp;$C108&amp;"'!"&amp;"$"&amp;$D108&amp;$J$1&amp;"")</f>
        <v>6.7</v>
      </c>
      <c r="K108" s="293"/>
      <c r="L108" s="293">
        <v>1</v>
      </c>
      <c r="M108" s="291">
        <v>0</v>
      </c>
      <c r="N108" s="292" cm="1">
        <f t="array" aca="1" ref="N108" ca="1">INDIRECT("'"&amp;$C108&amp;"'!"&amp;"$"&amp;$D108&amp;$N$1&amp;"")</f>
        <v>0</v>
      </c>
      <c r="O108" s="293"/>
      <c r="P108" s="293" t="s">
        <v>1</v>
      </c>
      <c r="Q108" s="291" t="s">
        <v>1</v>
      </c>
      <c r="R108" s="292" cm="1">
        <f t="array" aca="1" ref="R108" ca="1">INDIRECT("'"&amp;$C108&amp;"'!"&amp;"$"&amp;$D108&amp;$R$1&amp;"")</f>
        <v>6.7</v>
      </c>
      <c r="S108" s="293"/>
      <c r="T108" s="293">
        <v>1</v>
      </c>
      <c r="U108" s="291">
        <v>0</v>
      </c>
      <c r="V108" s="292" t="str" cm="1">
        <f t="array" aca="1" ref="V108" ca="1">INDIRECT("'"&amp;$C108&amp;"'!"&amp;"$"&amp;$D108&amp;$V$1&amp;"")</f>
        <v>CMS</v>
      </c>
      <c r="W108" s="293" t="s">
        <v>1</v>
      </c>
      <c r="X108" s="293" t="s">
        <v>1</v>
      </c>
      <c r="Y108" s="294" t="s">
        <v>1</v>
      </c>
      <c r="Z108" s="290" cm="1">
        <f t="array" aca="1" ref="Z108" ca="1">INDIRECT("'"&amp;$C108&amp;"'!"&amp;"$"&amp;$D108&amp;$Z$1&amp;"")</f>
        <v>0</v>
      </c>
      <c r="AA108" s="293" t="s">
        <v>1</v>
      </c>
      <c r="AB108" s="293" t="s">
        <v>1</v>
      </c>
      <c r="AC108" s="291" t="s">
        <v>1</v>
      </c>
      <c r="AD108" s="292" t="str" cm="1">
        <f t="array" aca="1" ref="AD108" ca="1">INDIRECT("'"&amp;$C108&amp;"'!"&amp;"$"&amp;$D108&amp;$AD$1&amp;"")</f>
        <v>CMS</v>
      </c>
      <c r="AE108" s="293" t="s">
        <v>1</v>
      </c>
      <c r="AF108" s="293" t="s">
        <v>1</v>
      </c>
      <c r="AG108" s="294" t="s">
        <v>1</v>
      </c>
      <c r="AH108" s="290" cm="1">
        <f t="array" aca="1" ref="AH108" ca="1">INDIRECT("'"&amp;$C108&amp;"'!"&amp;"$"&amp;$D108&amp;$AH$1&amp;"")</f>
        <v>3.5</v>
      </c>
      <c r="AI108" s="293">
        <v>13.96</v>
      </c>
      <c r="AJ108" s="293">
        <v>0.99</v>
      </c>
      <c r="AK108" s="291">
        <v>0.51</v>
      </c>
      <c r="AL108" s="290">
        <v>11.8</v>
      </c>
      <c r="AM108" s="294">
        <v>70.3</v>
      </c>
      <c r="AN108" s="290" cm="1">
        <f t="array" aca="1" ref="AN108" ca="1">INDIRECT("'"&amp;$C108&amp;"'!"&amp;"$"&amp;$D108&amp;$AL$1&amp;"")</f>
        <v>3</v>
      </c>
      <c r="AO108" s="293">
        <v>0.99</v>
      </c>
      <c r="AP108" s="291">
        <v>0.24</v>
      </c>
      <c r="AQ108" s="292" cm="1">
        <f t="array" aca="1" ref="AQ108" ca="1">INDIRECT("'"&amp;$C108&amp;"'!"&amp;"$"&amp;$D108&amp;$AQ$1&amp;"")</f>
        <v>3</v>
      </c>
      <c r="AR108" s="293">
        <v>0.99</v>
      </c>
      <c r="AS108" s="291">
        <v>0.26</v>
      </c>
      <c r="AT108" s="295">
        <v>0</v>
      </c>
      <c r="AU108" s="294">
        <v>69.3</v>
      </c>
      <c r="AV108" s="290" t="str" cm="1">
        <f t="array" aca="1" ref="AV108" ca="1">INDIRECT("'"&amp;$C108&amp;"'!"&amp;"$"&amp;$D108&amp;$AT$1&amp;"")</f>
        <v>PMS</v>
      </c>
      <c r="AW108" s="293" t="s">
        <v>1</v>
      </c>
      <c r="AX108" s="291" t="s">
        <v>1</v>
      </c>
      <c r="AY108" s="296">
        <v>69.900000000000006</v>
      </c>
      <c r="AZ108" s="295" cm="1">
        <f t="array" aca="1" ref="AZ108" ca="1">INDIRECT("'"&amp;$C108&amp;"'!"&amp;"$"&amp;$D108&amp;$AY$1&amp;"")</f>
        <v>0</v>
      </c>
      <c r="BA108" s="293" t="s">
        <v>1</v>
      </c>
      <c r="BB108" s="291" t="s">
        <v>1</v>
      </c>
      <c r="BC108" s="292" cm="1">
        <f t="array" aca="1" ref="BC108" ca="1">INDIRECT("'"&amp;$C108&amp;"'!"&amp;"$"&amp;$D108&amp;$BC$1&amp;"")</f>
        <v>0.77</v>
      </c>
      <c r="BD108" s="293"/>
      <c r="BE108" s="293">
        <v>0.99</v>
      </c>
      <c r="BF108" s="291">
        <v>0.19</v>
      </c>
      <c r="BG108" s="292" cm="1">
        <f t="array" aca="1" ref="BG108" ca="1">INDIRECT("'"&amp;$C108&amp;"'!"&amp;"$"&amp;$D108&amp;$BG$1&amp;"")</f>
        <v>0.72</v>
      </c>
      <c r="BH108" s="293"/>
      <c r="BI108" s="293">
        <v>0.96</v>
      </c>
      <c r="BJ108" s="291">
        <v>0.2</v>
      </c>
      <c r="BK108" s="292" cm="1">
        <f t="array" aca="1" ref="BK108" ca="1">INDIRECT("'"&amp;$C108&amp;"'!"&amp;"$"&amp;$D108&amp;$BK$1&amp;"")</f>
        <v>3.1</v>
      </c>
      <c r="BL108" s="293"/>
      <c r="BM108" s="293">
        <v>0.9</v>
      </c>
      <c r="BN108" s="291">
        <v>1.5</v>
      </c>
    </row>
    <row r="109" spans="1:66" ht="15.75" thickBot="1" x14ac:dyDescent="0.25">
      <c r="A109" s="368">
        <v>45693</v>
      </c>
      <c r="B109" s="365">
        <v>0.16666666666666699</v>
      </c>
      <c r="C109" s="315">
        <v>5</v>
      </c>
      <c r="D109" s="319" t="s">
        <v>114</v>
      </c>
      <c r="E109" s="297">
        <v>14.1</v>
      </c>
      <c r="F109" s="298">
        <v>70.34</v>
      </c>
      <c r="G109" s="299" cm="1">
        <f t="array" aca="1" ref="G109" ca="1">INDIRECT("'"&amp;$C109&amp;"'!"&amp;"$"&amp;$D109&amp;$E$1&amp;"")</f>
        <v>0</v>
      </c>
      <c r="H109" s="300" t="s">
        <v>1</v>
      </c>
      <c r="I109" s="298" t="s">
        <v>1</v>
      </c>
      <c r="J109" s="299" cm="1">
        <f t="array" aca="1" ref="J109" ca="1">INDIRECT("'"&amp;$C109&amp;"'!"&amp;"$"&amp;$D109&amp;$J$1&amp;"")</f>
        <v>6.7</v>
      </c>
      <c r="K109" s="300"/>
      <c r="L109" s="300">
        <v>1</v>
      </c>
      <c r="M109" s="298">
        <v>0</v>
      </c>
      <c r="N109" s="299" cm="1">
        <f t="array" aca="1" ref="N109" ca="1">INDIRECT("'"&amp;$C109&amp;"'!"&amp;"$"&amp;$D109&amp;$N$1&amp;"")</f>
        <v>6.5</v>
      </c>
      <c r="O109" s="300"/>
      <c r="P109" s="300">
        <v>1</v>
      </c>
      <c r="Q109" s="298">
        <v>0</v>
      </c>
      <c r="R109" s="299" cm="1">
        <f t="array" aca="1" ref="R109" ca="1">INDIRECT("'"&amp;$C109&amp;"'!"&amp;"$"&amp;$D109&amp;$R$1&amp;"")</f>
        <v>6.7</v>
      </c>
      <c r="S109" s="300"/>
      <c r="T109" s="300">
        <v>1</v>
      </c>
      <c r="U109" s="298">
        <v>0</v>
      </c>
      <c r="V109" s="299" t="str" cm="1">
        <f t="array" aca="1" ref="V109" ca="1">INDIRECT("'"&amp;$C109&amp;"'!"&amp;"$"&amp;$D109&amp;$V$1&amp;"")</f>
        <v>CMS</v>
      </c>
      <c r="W109" s="300" t="s">
        <v>1</v>
      </c>
      <c r="X109" s="300" t="s">
        <v>1</v>
      </c>
      <c r="Y109" s="301" t="s">
        <v>1</v>
      </c>
      <c r="Z109" s="297" cm="1">
        <f t="array" aca="1" ref="Z109" ca="1">INDIRECT("'"&amp;$C109&amp;"'!"&amp;"$"&amp;$D109&amp;$Z$1&amp;"")</f>
        <v>0</v>
      </c>
      <c r="AA109" s="300" t="s">
        <v>1</v>
      </c>
      <c r="AB109" s="300" t="s">
        <v>1</v>
      </c>
      <c r="AC109" s="298" t="s">
        <v>1</v>
      </c>
      <c r="AD109" s="299" t="str" cm="1">
        <f t="array" aca="1" ref="AD109" ca="1">INDIRECT("'"&amp;$C109&amp;"'!"&amp;"$"&amp;$D109&amp;$AD$1&amp;"")</f>
        <v>CMS</v>
      </c>
      <c r="AE109" s="300" t="s">
        <v>1</v>
      </c>
      <c r="AF109" s="300" t="s">
        <v>1</v>
      </c>
      <c r="AG109" s="301" t="s">
        <v>1</v>
      </c>
      <c r="AH109" s="297" cm="1">
        <f t="array" aca="1" ref="AH109" ca="1">INDIRECT("'"&amp;$C109&amp;"'!"&amp;"$"&amp;$D109&amp;$AH$1&amp;"")</f>
        <v>3.8</v>
      </c>
      <c r="AI109" s="300">
        <v>13.96</v>
      </c>
      <c r="AJ109" s="300">
        <v>0.99</v>
      </c>
      <c r="AK109" s="298">
        <v>0.49299999999999999</v>
      </c>
      <c r="AL109" s="297">
        <v>11.9</v>
      </c>
      <c r="AM109" s="301">
        <v>70.599999999999994</v>
      </c>
      <c r="AN109" s="297" cm="1">
        <f t="array" aca="1" ref="AN109" ca="1">INDIRECT("'"&amp;$C109&amp;"'!"&amp;"$"&amp;$D109&amp;$AL$1&amp;"")</f>
        <v>3</v>
      </c>
      <c r="AO109" s="300">
        <v>1</v>
      </c>
      <c r="AP109" s="298">
        <v>0.2</v>
      </c>
      <c r="AQ109" s="299" cm="1">
        <f t="array" aca="1" ref="AQ109" ca="1">INDIRECT("'"&amp;$C109&amp;"'!"&amp;"$"&amp;$D109&amp;$AQ$1&amp;"")</f>
        <v>3</v>
      </c>
      <c r="AR109" s="300">
        <v>1</v>
      </c>
      <c r="AS109" s="298">
        <v>0.2</v>
      </c>
      <c r="AT109" s="302">
        <v>0</v>
      </c>
      <c r="AU109" s="301">
        <v>69.400000000000006</v>
      </c>
      <c r="AV109" s="297" t="str" cm="1">
        <f t="array" aca="1" ref="AV109" ca="1">INDIRECT("'"&amp;$C109&amp;"'!"&amp;"$"&amp;$D109&amp;$AT$1&amp;"")</f>
        <v>PMS</v>
      </c>
      <c r="AW109" s="300" t="s">
        <v>1</v>
      </c>
      <c r="AX109" s="298" t="s">
        <v>1</v>
      </c>
      <c r="AY109" s="303">
        <v>69.900000000000006</v>
      </c>
      <c r="AZ109" s="302" cm="1">
        <f t="array" aca="1" ref="AZ109" ca="1">INDIRECT("'"&amp;$C109&amp;"'!"&amp;"$"&amp;$D109&amp;$AY$1&amp;"")</f>
        <v>0</v>
      </c>
      <c r="BA109" s="300" t="s">
        <v>1</v>
      </c>
      <c r="BB109" s="298" t="s">
        <v>1</v>
      </c>
      <c r="BC109" s="299" cm="1">
        <f t="array" aca="1" ref="BC109" ca="1">INDIRECT("'"&amp;$C109&amp;"'!"&amp;"$"&amp;$D109&amp;$BC$1&amp;"")</f>
        <v>0.75</v>
      </c>
      <c r="BD109" s="300"/>
      <c r="BE109" s="300">
        <v>0.99</v>
      </c>
      <c r="BF109" s="298">
        <v>0.08</v>
      </c>
      <c r="BG109" s="299" cm="1">
        <f t="array" aca="1" ref="BG109" ca="1">INDIRECT("'"&amp;$C109&amp;"'!"&amp;"$"&amp;$D109&amp;$BG$1&amp;"")</f>
        <v>0.7</v>
      </c>
      <c r="BH109" s="300"/>
      <c r="BI109" s="300">
        <v>0.96</v>
      </c>
      <c r="BJ109" s="298">
        <v>0.19</v>
      </c>
      <c r="BK109" s="299" cm="1">
        <f t="array" aca="1" ref="BK109" ca="1">INDIRECT("'"&amp;$C109&amp;"'!"&amp;"$"&amp;$D109&amp;$BK$1&amp;"")</f>
        <v>3.1</v>
      </c>
      <c r="BL109" s="300"/>
      <c r="BM109" s="300">
        <v>0.9</v>
      </c>
      <c r="BN109" s="298">
        <v>1.5</v>
      </c>
    </row>
    <row r="110" spans="1:66" ht="15.75" thickBot="1" x14ac:dyDescent="0.25">
      <c r="A110" s="368">
        <v>45693</v>
      </c>
      <c r="B110" s="365">
        <v>0.20833333333333301</v>
      </c>
      <c r="C110" s="315">
        <v>5</v>
      </c>
      <c r="D110" s="319" t="s">
        <v>115</v>
      </c>
      <c r="E110" s="290">
        <v>14.1</v>
      </c>
      <c r="F110" s="291">
        <v>70.38</v>
      </c>
      <c r="G110" s="292" cm="1">
        <f t="array" aca="1" ref="G110" ca="1">INDIRECT("'"&amp;$C110&amp;"'!"&amp;"$"&amp;$D110&amp;$E$1&amp;"")</f>
        <v>0</v>
      </c>
      <c r="H110" s="293" t="s">
        <v>1</v>
      </c>
      <c r="I110" s="291" t="s">
        <v>1</v>
      </c>
      <c r="J110" s="292" cm="1">
        <f t="array" aca="1" ref="J110" ca="1">INDIRECT("'"&amp;$C110&amp;"'!"&amp;"$"&amp;$D110&amp;$J$1&amp;"")</f>
        <v>6.7</v>
      </c>
      <c r="K110" s="293"/>
      <c r="L110" s="293">
        <v>1</v>
      </c>
      <c r="M110" s="291">
        <v>0</v>
      </c>
      <c r="N110" s="292" cm="1">
        <f t="array" aca="1" ref="N110" ca="1">INDIRECT("'"&amp;$C110&amp;"'!"&amp;"$"&amp;$D110&amp;$N$1&amp;"")</f>
        <v>6.6</v>
      </c>
      <c r="O110" s="293"/>
      <c r="P110" s="293">
        <v>1</v>
      </c>
      <c r="Q110" s="291">
        <v>0</v>
      </c>
      <c r="R110" s="292" cm="1">
        <f t="array" aca="1" ref="R110" ca="1">INDIRECT("'"&amp;$C110&amp;"'!"&amp;"$"&amp;$D110&amp;$R$1&amp;"")</f>
        <v>6.7</v>
      </c>
      <c r="S110" s="293"/>
      <c r="T110" s="293">
        <v>1</v>
      </c>
      <c r="U110" s="291">
        <v>0</v>
      </c>
      <c r="V110" s="292" t="str" cm="1">
        <f t="array" aca="1" ref="V110" ca="1">INDIRECT("'"&amp;$C110&amp;"'!"&amp;"$"&amp;$D110&amp;$V$1&amp;"")</f>
        <v>CMS</v>
      </c>
      <c r="W110" s="293" t="s">
        <v>1</v>
      </c>
      <c r="X110" s="293" t="s">
        <v>1</v>
      </c>
      <c r="Y110" s="294" t="s">
        <v>1</v>
      </c>
      <c r="Z110" s="290" cm="1">
        <f t="array" aca="1" ref="Z110" ca="1">INDIRECT("'"&amp;$C110&amp;"'!"&amp;"$"&amp;$D110&amp;$Z$1&amp;"")</f>
        <v>0</v>
      </c>
      <c r="AA110" s="293" t="s">
        <v>1</v>
      </c>
      <c r="AB110" s="293" t="s">
        <v>1</v>
      </c>
      <c r="AC110" s="291" t="s">
        <v>1</v>
      </c>
      <c r="AD110" s="292" t="str" cm="1">
        <f t="array" aca="1" ref="AD110" ca="1">INDIRECT("'"&amp;$C110&amp;"'!"&amp;"$"&amp;$D110&amp;$AD$1&amp;"")</f>
        <v>CMS</v>
      </c>
      <c r="AE110" s="293" t="s">
        <v>1</v>
      </c>
      <c r="AF110" s="293" t="s">
        <v>1</v>
      </c>
      <c r="AG110" s="294" t="s">
        <v>1</v>
      </c>
      <c r="AH110" s="290" cm="1">
        <f t="array" aca="1" ref="AH110" ca="1">INDIRECT("'"&amp;$C110&amp;"'!"&amp;"$"&amp;$D110&amp;$AH$1&amp;"")</f>
        <v>3.8</v>
      </c>
      <c r="AI110" s="293">
        <v>13.92</v>
      </c>
      <c r="AJ110" s="293">
        <v>0.99</v>
      </c>
      <c r="AK110" s="291">
        <v>0.53600000000000003</v>
      </c>
      <c r="AL110" s="290">
        <v>11.9</v>
      </c>
      <c r="AM110" s="294">
        <v>70.599999999999994</v>
      </c>
      <c r="AN110" s="290" cm="1">
        <f t="array" aca="1" ref="AN110" ca="1">INDIRECT("'"&amp;$C110&amp;"'!"&amp;"$"&amp;$D110&amp;$AL$1&amp;"")</f>
        <v>3.5</v>
      </c>
      <c r="AO110" s="293">
        <v>1</v>
      </c>
      <c r="AP110" s="291">
        <v>0.2</v>
      </c>
      <c r="AQ110" s="292" cm="1">
        <f t="array" aca="1" ref="AQ110" ca="1">INDIRECT("'"&amp;$C110&amp;"'!"&amp;"$"&amp;$D110&amp;$AQ$1&amp;"")</f>
        <v>3.5</v>
      </c>
      <c r="AR110" s="293">
        <v>1</v>
      </c>
      <c r="AS110" s="291">
        <v>0.2</v>
      </c>
      <c r="AT110" s="295">
        <v>0</v>
      </c>
      <c r="AU110" s="294">
        <v>69.900000000000006</v>
      </c>
      <c r="AV110" s="290" t="str" cm="1">
        <f t="array" aca="1" ref="AV110" ca="1">INDIRECT("'"&amp;$C110&amp;"'!"&amp;"$"&amp;$D110&amp;$AT$1&amp;"")</f>
        <v>PMS</v>
      </c>
      <c r="AW110" s="293" t="s">
        <v>1</v>
      </c>
      <c r="AX110" s="291" t="s">
        <v>1</v>
      </c>
      <c r="AY110" s="296">
        <v>69.099999999999994</v>
      </c>
      <c r="AZ110" s="295" cm="1">
        <f t="array" aca="1" ref="AZ110" ca="1">INDIRECT("'"&amp;$C110&amp;"'!"&amp;"$"&amp;$D110&amp;$AY$1&amp;"")</f>
        <v>0</v>
      </c>
      <c r="BA110" s="293" t="s">
        <v>1</v>
      </c>
      <c r="BB110" s="291" t="s">
        <v>1</v>
      </c>
      <c r="BC110" s="292" cm="1">
        <f t="array" aca="1" ref="BC110" ca="1">INDIRECT("'"&amp;$C110&amp;"'!"&amp;"$"&amp;$D110&amp;$BC$1&amp;"")</f>
        <v>0.82</v>
      </c>
      <c r="BD110" s="293"/>
      <c r="BE110" s="293">
        <v>0.99</v>
      </c>
      <c r="BF110" s="291">
        <v>0.08</v>
      </c>
      <c r="BG110" s="292" cm="1">
        <f t="array" aca="1" ref="BG110" ca="1">INDIRECT("'"&amp;$C110&amp;"'!"&amp;"$"&amp;$D110&amp;$BG$1&amp;"")</f>
        <v>0.73</v>
      </c>
      <c r="BH110" s="293"/>
      <c r="BI110" s="293">
        <v>0.96</v>
      </c>
      <c r="BJ110" s="291">
        <v>0.19</v>
      </c>
      <c r="BK110" s="292" cm="1">
        <f t="array" aca="1" ref="BK110" ca="1">INDIRECT("'"&amp;$C110&amp;"'!"&amp;"$"&amp;$D110&amp;$BK$1&amp;"")</f>
        <v>3.1</v>
      </c>
      <c r="BL110" s="293"/>
      <c r="BM110" s="293">
        <v>0.9</v>
      </c>
      <c r="BN110" s="291">
        <v>1.5</v>
      </c>
    </row>
    <row r="111" spans="1:66" ht="15.75" thickBot="1" x14ac:dyDescent="0.25">
      <c r="A111" s="368">
        <v>45693</v>
      </c>
      <c r="B111" s="365">
        <v>0.25</v>
      </c>
      <c r="C111" s="315">
        <v>5</v>
      </c>
      <c r="D111" s="319" t="s">
        <v>116</v>
      </c>
      <c r="E111" s="297">
        <v>14.2</v>
      </c>
      <c r="F111" s="298">
        <v>70.36</v>
      </c>
      <c r="G111" s="299" cm="1">
        <f t="array" aca="1" ref="G111" ca="1">INDIRECT("'"&amp;$C111&amp;"'!"&amp;"$"&amp;$D111&amp;$E$1&amp;"")</f>
        <v>6.7</v>
      </c>
      <c r="H111" s="300">
        <v>0.99</v>
      </c>
      <c r="I111" s="298">
        <v>0.98</v>
      </c>
      <c r="J111" s="299" cm="1">
        <f t="array" aca="1" ref="J111" ca="1">INDIRECT("'"&amp;$C111&amp;"'!"&amp;"$"&amp;$D111&amp;$J$1&amp;"")</f>
        <v>6.7</v>
      </c>
      <c r="K111" s="300"/>
      <c r="L111" s="300">
        <v>0.99</v>
      </c>
      <c r="M111" s="298">
        <v>0.97</v>
      </c>
      <c r="N111" s="299" cm="1">
        <f t="array" aca="1" ref="N111" ca="1">INDIRECT("'"&amp;$C111&amp;"'!"&amp;"$"&amp;$D111&amp;$N$1&amp;"")</f>
        <v>6.7</v>
      </c>
      <c r="O111" s="300"/>
      <c r="P111" s="300">
        <v>0.99</v>
      </c>
      <c r="Q111" s="298">
        <v>1</v>
      </c>
      <c r="R111" s="299" cm="1">
        <f t="array" aca="1" ref="R111" ca="1">INDIRECT("'"&amp;$C111&amp;"'!"&amp;"$"&amp;$D111&amp;$R$1&amp;"")</f>
        <v>0</v>
      </c>
      <c r="S111" s="300"/>
      <c r="T111" s="300" t="s">
        <v>1</v>
      </c>
      <c r="U111" s="298" t="s">
        <v>1</v>
      </c>
      <c r="V111" s="299" t="str" cm="1">
        <f t="array" aca="1" ref="V111" ca="1">INDIRECT("'"&amp;$C111&amp;"'!"&amp;"$"&amp;$D111&amp;$V$1&amp;"")</f>
        <v>CMS</v>
      </c>
      <c r="W111" s="300" t="s">
        <v>1</v>
      </c>
      <c r="X111" s="300" t="s">
        <v>1</v>
      </c>
      <c r="Y111" s="301" t="s">
        <v>1</v>
      </c>
      <c r="Z111" s="297" cm="1">
        <f t="array" aca="1" ref="Z111" ca="1">INDIRECT("'"&amp;$C111&amp;"'!"&amp;"$"&amp;$D111&amp;$Z$1&amp;"")</f>
        <v>0</v>
      </c>
      <c r="AA111" s="300" t="s">
        <v>1</v>
      </c>
      <c r="AB111" s="300" t="s">
        <v>1</v>
      </c>
      <c r="AC111" s="298" t="s">
        <v>1</v>
      </c>
      <c r="AD111" s="299" t="str" cm="1">
        <f t="array" aca="1" ref="AD111" ca="1">INDIRECT("'"&amp;$C111&amp;"'!"&amp;"$"&amp;$D111&amp;$AD$1&amp;"")</f>
        <v>CMS</v>
      </c>
      <c r="AE111" s="300" t="s">
        <v>1</v>
      </c>
      <c r="AF111" s="300" t="s">
        <v>1</v>
      </c>
      <c r="AG111" s="301" t="s">
        <v>1</v>
      </c>
      <c r="AH111" s="297" cm="1">
        <f t="array" aca="1" ref="AH111" ca="1">INDIRECT("'"&amp;$C111&amp;"'!"&amp;"$"&amp;$D111&amp;$AH$1&amp;"")</f>
        <v>3.8</v>
      </c>
      <c r="AI111" s="300">
        <v>13.96</v>
      </c>
      <c r="AJ111" s="300">
        <v>0.99</v>
      </c>
      <c r="AK111" s="298">
        <v>0.45100000000000001</v>
      </c>
      <c r="AL111" s="297">
        <v>11.8</v>
      </c>
      <c r="AM111" s="301">
        <v>70.7</v>
      </c>
      <c r="AN111" s="297" cm="1">
        <f t="array" aca="1" ref="AN111" ca="1">INDIRECT("'"&amp;$C111&amp;"'!"&amp;"$"&amp;$D111&amp;$AL$1&amp;"")</f>
        <v>3.8</v>
      </c>
      <c r="AO111" s="300">
        <v>1</v>
      </c>
      <c r="AP111" s="298">
        <v>7.0000000000000007E-2</v>
      </c>
      <c r="AQ111" s="299" cm="1">
        <f t="array" aca="1" ref="AQ111" ca="1">INDIRECT("'"&amp;$C111&amp;"'!"&amp;"$"&amp;$D111&amp;$AQ$1&amp;"")</f>
        <v>3.8</v>
      </c>
      <c r="AR111" s="300">
        <v>1</v>
      </c>
      <c r="AS111" s="298">
        <v>7.0000000000000007E-2</v>
      </c>
      <c r="AT111" s="302">
        <v>0</v>
      </c>
      <c r="AU111" s="301">
        <v>69.900000000000006</v>
      </c>
      <c r="AV111" s="297" t="str" cm="1">
        <f t="array" aca="1" ref="AV111" ca="1">INDIRECT("'"&amp;$C111&amp;"'!"&amp;"$"&amp;$D111&amp;$AT$1&amp;"")</f>
        <v>PMS</v>
      </c>
      <c r="AW111" s="300" t="s">
        <v>1</v>
      </c>
      <c r="AX111" s="298" t="s">
        <v>1</v>
      </c>
      <c r="AY111" s="303">
        <v>69.599999999999994</v>
      </c>
      <c r="AZ111" s="302" cm="1">
        <f t="array" aca="1" ref="AZ111" ca="1">INDIRECT("'"&amp;$C111&amp;"'!"&amp;"$"&amp;$D111&amp;$AY$1&amp;"")</f>
        <v>2.5</v>
      </c>
      <c r="BA111" s="300">
        <v>0.98</v>
      </c>
      <c r="BB111" s="298">
        <v>0.5</v>
      </c>
      <c r="BC111" s="299" cm="1">
        <f t="array" aca="1" ref="BC111" ca="1">INDIRECT("'"&amp;$C111&amp;"'!"&amp;"$"&amp;$D111&amp;$BC$1&amp;"")</f>
        <v>0.8</v>
      </c>
      <c r="BD111" s="300"/>
      <c r="BE111" s="300">
        <v>0.99</v>
      </c>
      <c r="BF111" s="298">
        <v>0.09</v>
      </c>
      <c r="BG111" s="299" cm="1">
        <f t="array" aca="1" ref="BG111" ca="1">INDIRECT("'"&amp;$C111&amp;"'!"&amp;"$"&amp;$D111&amp;$BG$1&amp;"")</f>
        <v>0.73</v>
      </c>
      <c r="BH111" s="300"/>
      <c r="BI111" s="300">
        <v>0.97</v>
      </c>
      <c r="BJ111" s="298">
        <v>0.2</v>
      </c>
      <c r="BK111" s="299" cm="1">
        <f t="array" aca="1" ref="BK111" ca="1">INDIRECT("'"&amp;$C111&amp;"'!"&amp;"$"&amp;$D111&amp;$BK$1&amp;"")</f>
        <v>5.7250000000000005</v>
      </c>
      <c r="BL111" s="300"/>
      <c r="BM111" s="300">
        <v>0.9</v>
      </c>
      <c r="BN111" s="298">
        <v>1.6</v>
      </c>
    </row>
    <row r="112" spans="1:66" ht="15.75" thickBot="1" x14ac:dyDescent="0.25">
      <c r="A112" s="368">
        <v>45693</v>
      </c>
      <c r="B112" s="365">
        <v>0.29166666666666702</v>
      </c>
      <c r="C112" s="315">
        <v>5</v>
      </c>
      <c r="D112" s="319" t="s">
        <v>117</v>
      </c>
      <c r="E112" s="290">
        <v>14.1</v>
      </c>
      <c r="F112" s="291">
        <v>69.900000000000006</v>
      </c>
      <c r="G112" s="292" cm="1">
        <f t="array" aca="1" ref="G112" ca="1">INDIRECT("'"&amp;$C112&amp;"'!"&amp;"$"&amp;$D112&amp;$E$1&amp;"")</f>
        <v>6.5</v>
      </c>
      <c r="H112" s="293">
        <v>0.99</v>
      </c>
      <c r="I112" s="291">
        <v>0.94</v>
      </c>
      <c r="J112" s="292" cm="1">
        <f t="array" aca="1" ref="J112" ca="1">INDIRECT("'"&amp;$C112&amp;"'!"&amp;"$"&amp;$D112&amp;$J$1&amp;"")</f>
        <v>6.5</v>
      </c>
      <c r="K112" s="293"/>
      <c r="L112" s="293">
        <v>0.99</v>
      </c>
      <c r="M112" s="291">
        <v>0.93</v>
      </c>
      <c r="N112" s="292" cm="1">
        <f t="array" aca="1" ref="N112" ca="1">INDIRECT("'"&amp;$C112&amp;"'!"&amp;"$"&amp;$D112&amp;$N$1&amp;"")</f>
        <v>6.5</v>
      </c>
      <c r="O112" s="293"/>
      <c r="P112" s="293">
        <v>0.99</v>
      </c>
      <c r="Q112" s="291">
        <v>0.97</v>
      </c>
      <c r="R112" s="292" cm="1">
        <f t="array" aca="1" ref="R112" ca="1">INDIRECT("'"&amp;$C112&amp;"'!"&amp;"$"&amp;$D112&amp;$R$1&amp;"")</f>
        <v>0</v>
      </c>
      <c r="S112" s="293"/>
      <c r="T112" s="293" t="s">
        <v>1</v>
      </c>
      <c r="U112" s="291" t="s">
        <v>1</v>
      </c>
      <c r="V112" s="292" t="str" cm="1">
        <f t="array" aca="1" ref="V112" ca="1">INDIRECT("'"&amp;$C112&amp;"'!"&amp;"$"&amp;$D112&amp;$V$1&amp;"")</f>
        <v>CMS</v>
      </c>
      <c r="W112" s="293" t="s">
        <v>1</v>
      </c>
      <c r="X112" s="293" t="s">
        <v>1</v>
      </c>
      <c r="Y112" s="294" t="s">
        <v>1</v>
      </c>
      <c r="Z112" s="290" cm="1">
        <f t="array" aca="1" ref="Z112" ca="1">INDIRECT("'"&amp;$C112&amp;"'!"&amp;"$"&amp;$D112&amp;$Z$1&amp;"")</f>
        <v>0</v>
      </c>
      <c r="AA112" s="293" t="s">
        <v>1</v>
      </c>
      <c r="AB112" s="293" t="s">
        <v>1</v>
      </c>
      <c r="AC112" s="291" t="s">
        <v>1</v>
      </c>
      <c r="AD112" s="292" t="str" cm="1">
        <f t="array" aca="1" ref="AD112" ca="1">INDIRECT("'"&amp;$C112&amp;"'!"&amp;"$"&amp;$D112&amp;$AD$1&amp;"")</f>
        <v>CMS</v>
      </c>
      <c r="AE112" s="293" t="s">
        <v>1</v>
      </c>
      <c r="AF112" s="293" t="s">
        <v>1</v>
      </c>
      <c r="AG112" s="294" t="s">
        <v>1</v>
      </c>
      <c r="AH112" s="290" cm="1">
        <f t="array" aca="1" ref="AH112" ca="1">INDIRECT("'"&amp;$C112&amp;"'!"&amp;"$"&amp;$D112&amp;$AH$1&amp;"")</f>
        <v>3.5</v>
      </c>
      <c r="AI112" s="293">
        <v>13.92</v>
      </c>
      <c r="AJ112" s="293">
        <v>0.98</v>
      </c>
      <c r="AK112" s="291">
        <v>0.59799999999999998</v>
      </c>
      <c r="AL112" s="290">
        <v>11.8</v>
      </c>
      <c r="AM112" s="294">
        <v>70.3</v>
      </c>
      <c r="AN112" s="290" cm="1">
        <f t="array" aca="1" ref="AN112" ca="1">INDIRECT("'"&amp;$C112&amp;"'!"&amp;"$"&amp;$D112&amp;$AL$1&amp;"")</f>
        <v>3.3</v>
      </c>
      <c r="AO112" s="293">
        <v>1</v>
      </c>
      <c r="AP112" s="291">
        <v>0.37</v>
      </c>
      <c r="AQ112" s="292" cm="1">
        <f t="array" aca="1" ref="AQ112" ca="1">INDIRECT("'"&amp;$C112&amp;"'!"&amp;"$"&amp;$D112&amp;$AQ$1&amp;"")</f>
        <v>3.3</v>
      </c>
      <c r="AR112" s="293">
        <v>1</v>
      </c>
      <c r="AS112" s="291">
        <v>0.37</v>
      </c>
      <c r="AT112" s="295">
        <v>0</v>
      </c>
      <c r="AU112" s="294">
        <v>69.900000000000006</v>
      </c>
      <c r="AV112" s="290" t="str" cm="1">
        <f t="array" aca="1" ref="AV112" ca="1">INDIRECT("'"&amp;$C112&amp;"'!"&amp;"$"&amp;$D112&amp;$AT$1&amp;"")</f>
        <v>PMS</v>
      </c>
      <c r="AW112" s="293" t="s">
        <v>1</v>
      </c>
      <c r="AX112" s="291" t="s">
        <v>1</v>
      </c>
      <c r="AY112" s="296">
        <v>68.900000000000006</v>
      </c>
      <c r="AZ112" s="295" cm="1">
        <f t="array" aca="1" ref="AZ112" ca="1">INDIRECT("'"&amp;$C112&amp;"'!"&amp;"$"&amp;$D112&amp;$AY$1&amp;"")</f>
        <v>3.8</v>
      </c>
      <c r="BA112" s="293">
        <v>0.98</v>
      </c>
      <c r="BB112" s="291">
        <v>0.76</v>
      </c>
      <c r="BC112" s="292" cm="1">
        <f t="array" aca="1" ref="BC112" ca="1">INDIRECT("'"&amp;$C112&amp;"'!"&amp;"$"&amp;$D112&amp;$BC$1&amp;"")</f>
        <v>1</v>
      </c>
      <c r="BD112" s="293"/>
      <c r="BE112" s="293">
        <v>0.99</v>
      </c>
      <c r="BF112" s="291">
        <v>0.12</v>
      </c>
      <c r="BG112" s="292" cm="1">
        <f t="array" aca="1" ref="BG112" ca="1">INDIRECT("'"&amp;$C112&amp;"'!"&amp;"$"&amp;$D112&amp;$BG$1&amp;"")</f>
        <v>0.78</v>
      </c>
      <c r="BH112" s="293"/>
      <c r="BI112" s="293">
        <v>0.96</v>
      </c>
      <c r="BJ112" s="291">
        <v>0.21</v>
      </c>
      <c r="BK112" s="292" cm="1">
        <f t="array" aca="1" ref="BK112" ca="1">INDIRECT("'"&amp;$C112&amp;"'!"&amp;"$"&amp;$D112&amp;$BK$1&amp;"")</f>
        <v>3.5999999999999996</v>
      </c>
      <c r="BL112" s="293"/>
      <c r="BM112" s="293">
        <v>0.9</v>
      </c>
      <c r="BN112" s="291">
        <v>1.71</v>
      </c>
    </row>
    <row r="113" spans="1:66" ht="15.75" thickBot="1" x14ac:dyDescent="0.25">
      <c r="A113" s="368">
        <v>45693</v>
      </c>
      <c r="B113" s="365">
        <v>0.33333333333333398</v>
      </c>
      <c r="C113" s="315">
        <v>5</v>
      </c>
      <c r="D113" s="319" t="s">
        <v>118</v>
      </c>
      <c r="E113" s="297">
        <v>14</v>
      </c>
      <c r="F113" s="298">
        <v>70.05</v>
      </c>
      <c r="G113" s="299" cm="1">
        <f t="array" aca="1" ref="G113" ca="1">INDIRECT("'"&amp;$C113&amp;"'!"&amp;"$"&amp;$D113&amp;$E$1&amp;"")</f>
        <v>6.8</v>
      </c>
      <c r="H113" s="300">
        <v>0.98</v>
      </c>
      <c r="I113" s="298">
        <v>1.3</v>
      </c>
      <c r="J113" s="299" cm="1">
        <f t="array" aca="1" ref="J113" ca="1">INDIRECT("'"&amp;$C113&amp;"'!"&amp;"$"&amp;$D113&amp;$J$1&amp;"")</f>
        <v>6.8</v>
      </c>
      <c r="K113" s="300"/>
      <c r="L113" s="300">
        <v>0.98</v>
      </c>
      <c r="M113" s="298">
        <v>1.34</v>
      </c>
      <c r="N113" s="299" cm="1">
        <f t="array" aca="1" ref="N113" ca="1">INDIRECT("'"&amp;$C113&amp;"'!"&amp;"$"&amp;$D113&amp;$N$1&amp;"")</f>
        <v>6.9</v>
      </c>
      <c r="O113" s="300"/>
      <c r="P113" s="300">
        <v>0.98</v>
      </c>
      <c r="Q113" s="298">
        <v>1.46</v>
      </c>
      <c r="R113" s="299" cm="1">
        <f t="array" aca="1" ref="R113" ca="1">INDIRECT("'"&amp;$C113&amp;"'!"&amp;"$"&amp;$D113&amp;$R$1&amp;"")</f>
        <v>0</v>
      </c>
      <c r="S113" s="300"/>
      <c r="T113" s="300" t="s">
        <v>1</v>
      </c>
      <c r="U113" s="298" t="s">
        <v>1</v>
      </c>
      <c r="V113" s="299" t="str" cm="1">
        <f t="array" aca="1" ref="V113" ca="1">INDIRECT("'"&amp;$C113&amp;"'!"&amp;"$"&amp;$D113&amp;$V$1&amp;"")</f>
        <v>CMS</v>
      </c>
      <c r="W113" s="300" t="s">
        <v>1</v>
      </c>
      <c r="X113" s="300" t="s">
        <v>1</v>
      </c>
      <c r="Y113" s="301" t="s">
        <v>1</v>
      </c>
      <c r="Z113" s="297" cm="1">
        <f t="array" aca="1" ref="Z113" ca="1">INDIRECT("'"&amp;$C113&amp;"'!"&amp;"$"&amp;$D113&amp;$Z$1&amp;"")</f>
        <v>0</v>
      </c>
      <c r="AA113" s="300" t="s">
        <v>1</v>
      </c>
      <c r="AB113" s="300" t="s">
        <v>1</v>
      </c>
      <c r="AC113" s="298" t="s">
        <v>1</v>
      </c>
      <c r="AD113" s="299" t="str" cm="1">
        <f t="array" aca="1" ref="AD113" ca="1">INDIRECT("'"&amp;$C113&amp;"'!"&amp;"$"&amp;$D113&amp;$AD$1&amp;"")</f>
        <v>CMS</v>
      </c>
      <c r="AE113" s="300" t="s">
        <v>1</v>
      </c>
      <c r="AF113" s="300" t="s">
        <v>1</v>
      </c>
      <c r="AG113" s="301" t="s">
        <v>1</v>
      </c>
      <c r="AH113" s="297" cm="1">
        <f t="array" aca="1" ref="AH113" ca="1">INDIRECT("'"&amp;$C113&amp;"'!"&amp;"$"&amp;$D113&amp;$AH$1&amp;"")</f>
        <v>3.8</v>
      </c>
      <c r="AI113" s="300">
        <v>13.92</v>
      </c>
      <c r="AJ113" s="300">
        <v>0.96</v>
      </c>
      <c r="AK113" s="298">
        <v>0.94599999999999995</v>
      </c>
      <c r="AL113" s="297">
        <v>11.8</v>
      </c>
      <c r="AM113" s="301">
        <v>70</v>
      </c>
      <c r="AN113" s="297" cm="1">
        <f t="array" aca="1" ref="AN113" ca="1">INDIRECT("'"&amp;$C113&amp;"'!"&amp;"$"&amp;$D113&amp;$AL$1&amp;"")</f>
        <v>3.8</v>
      </c>
      <c r="AO113" s="300">
        <v>0.99</v>
      </c>
      <c r="AP113" s="298">
        <v>0.46</v>
      </c>
      <c r="AQ113" s="299" cm="1">
        <f t="array" aca="1" ref="AQ113" ca="1">INDIRECT("'"&amp;$C113&amp;"'!"&amp;"$"&amp;$D113&amp;$AQ$1&amp;"")</f>
        <v>3.8</v>
      </c>
      <c r="AR113" s="300">
        <v>0.99</v>
      </c>
      <c r="AS113" s="298">
        <v>0.46</v>
      </c>
      <c r="AT113" s="302">
        <v>0</v>
      </c>
      <c r="AU113" s="301">
        <v>69.900000000000006</v>
      </c>
      <c r="AV113" s="297" t="str" cm="1">
        <f t="array" aca="1" ref="AV113" ca="1">INDIRECT("'"&amp;$C113&amp;"'!"&amp;"$"&amp;$D113&amp;$AT$1&amp;"")</f>
        <v>PMS</v>
      </c>
      <c r="AW113" s="300" t="s">
        <v>1</v>
      </c>
      <c r="AX113" s="298" t="s">
        <v>1</v>
      </c>
      <c r="AY113" s="303">
        <v>68.5</v>
      </c>
      <c r="AZ113" s="302" cm="1">
        <f t="array" aca="1" ref="AZ113" ca="1">INDIRECT("'"&amp;$C113&amp;"'!"&amp;"$"&amp;$D113&amp;$AY$1&amp;"")</f>
        <v>4.55</v>
      </c>
      <c r="BA113" s="300">
        <v>0.98</v>
      </c>
      <c r="BB113" s="298">
        <v>0.92</v>
      </c>
      <c r="BC113" s="299" cm="1">
        <f t="array" aca="1" ref="BC113" ca="1">INDIRECT("'"&amp;$C113&amp;"'!"&amp;"$"&amp;$D113&amp;$BC$1&amp;"")</f>
        <v>0.99</v>
      </c>
      <c r="BD113" s="300"/>
      <c r="BE113" s="300">
        <v>0.99</v>
      </c>
      <c r="BF113" s="298">
        <v>0.14000000000000001</v>
      </c>
      <c r="BG113" s="299" cm="1">
        <f t="array" aca="1" ref="BG113" ca="1">INDIRECT("'"&amp;$C113&amp;"'!"&amp;"$"&amp;$D113&amp;$BG$1&amp;"")</f>
        <v>0.69</v>
      </c>
      <c r="BH113" s="300"/>
      <c r="BI113" s="300">
        <v>0.96</v>
      </c>
      <c r="BJ113" s="298">
        <v>0.2</v>
      </c>
      <c r="BK113" s="299" cm="1">
        <f t="array" aca="1" ref="BK113" ca="1">INDIRECT("'"&amp;$C113&amp;"'!"&amp;"$"&amp;$D113&amp;$BK$1&amp;"")</f>
        <v>3.8</v>
      </c>
      <c r="BL113" s="300"/>
      <c r="BM113" s="300">
        <v>0.9</v>
      </c>
      <c r="BN113" s="300">
        <v>1.8</v>
      </c>
    </row>
    <row r="114" spans="1:66" ht="15.75" thickBot="1" x14ac:dyDescent="0.25">
      <c r="A114" s="368">
        <v>45693</v>
      </c>
      <c r="B114" s="365">
        <v>0.375</v>
      </c>
      <c r="C114" s="315">
        <v>5</v>
      </c>
      <c r="D114" s="319" t="s">
        <v>119</v>
      </c>
      <c r="E114" s="290">
        <v>14.2</v>
      </c>
      <c r="F114" s="291">
        <v>68.28</v>
      </c>
      <c r="G114" s="292" cm="1">
        <f t="array" aca="1" ref="G114" ca="1">INDIRECT("'"&amp;$C114&amp;"'!"&amp;"$"&amp;$D114&amp;$E$1&amp;"")</f>
        <v>6.7</v>
      </c>
      <c r="H114" s="293">
        <v>0.97</v>
      </c>
      <c r="I114" s="291">
        <v>0.72</v>
      </c>
      <c r="J114" s="292" cm="1">
        <f t="array" aca="1" ref="J114" ca="1">INDIRECT("'"&amp;$C114&amp;"'!"&amp;"$"&amp;$D114&amp;$J$1&amp;"")</f>
        <v>6.7</v>
      </c>
      <c r="K114" s="293"/>
      <c r="L114" s="293">
        <v>0.97</v>
      </c>
      <c r="M114" s="291">
        <v>0.74</v>
      </c>
      <c r="N114" s="292" cm="1">
        <f t="array" aca="1" ref="N114" ca="1">INDIRECT("'"&amp;$C114&amp;"'!"&amp;"$"&amp;$D114&amp;$N$1&amp;"")</f>
        <v>6.7</v>
      </c>
      <c r="O114" s="293"/>
      <c r="P114" s="293">
        <v>0.97</v>
      </c>
      <c r="Q114" s="291">
        <v>0.78</v>
      </c>
      <c r="R114" s="292" cm="1">
        <f t="array" aca="1" ref="R114" ca="1">INDIRECT("'"&amp;$C114&amp;"'!"&amp;"$"&amp;$D114&amp;$R$1&amp;"")</f>
        <v>6.8</v>
      </c>
      <c r="S114" s="293"/>
      <c r="T114" s="293">
        <v>0.96</v>
      </c>
      <c r="U114" s="291">
        <v>2.1</v>
      </c>
      <c r="V114" s="292" t="str" cm="1">
        <f t="array" aca="1" ref="V114" ca="1">INDIRECT("'"&amp;$C114&amp;"'!"&amp;"$"&amp;$D114&amp;$V$1&amp;"")</f>
        <v>CMS</v>
      </c>
      <c r="W114" s="293" t="s">
        <v>1</v>
      </c>
      <c r="X114" s="293" t="s">
        <v>1</v>
      </c>
      <c r="Y114" s="294" t="s">
        <v>1</v>
      </c>
      <c r="Z114" s="290" cm="1">
        <f t="array" aca="1" ref="Z114" ca="1">INDIRECT("'"&amp;$C114&amp;"'!"&amp;"$"&amp;$D114&amp;$Z$1&amp;"")</f>
        <v>0</v>
      </c>
      <c r="AA114" s="293" t="s">
        <v>1</v>
      </c>
      <c r="AB114" s="293" t="s">
        <v>1</v>
      </c>
      <c r="AC114" s="291" t="s">
        <v>1</v>
      </c>
      <c r="AD114" s="292" t="str" cm="1">
        <f t="array" aca="1" ref="AD114" ca="1">INDIRECT("'"&amp;$C114&amp;"'!"&amp;"$"&amp;$D114&amp;$AD$1&amp;"")</f>
        <v>CMS</v>
      </c>
      <c r="AE114" s="293" t="s">
        <v>1</v>
      </c>
      <c r="AF114" s="293" t="s">
        <v>1</v>
      </c>
      <c r="AG114" s="294" t="s">
        <v>1</v>
      </c>
      <c r="AH114" s="290" cm="1">
        <f t="array" aca="1" ref="AH114" ca="1">INDIRECT("'"&amp;$C114&amp;"'!"&amp;"$"&amp;$D114&amp;$AH$1&amp;"")</f>
        <v>3.8</v>
      </c>
      <c r="AI114" s="293">
        <v>13.8</v>
      </c>
      <c r="AJ114" s="293">
        <v>0.91</v>
      </c>
      <c r="AK114" s="291">
        <v>1.68</v>
      </c>
      <c r="AL114" s="290">
        <v>11.79</v>
      </c>
      <c r="AM114" s="294">
        <v>69.900000000000006</v>
      </c>
      <c r="AN114" s="290" cm="1">
        <f t="array" aca="1" ref="AN114" ca="1">INDIRECT("'"&amp;$C114&amp;"'!"&amp;"$"&amp;$D114&amp;$AL$1&amp;"")</f>
        <v>4.3</v>
      </c>
      <c r="AO114" s="293">
        <v>0.96</v>
      </c>
      <c r="AP114" s="291">
        <v>1.1299999999999999</v>
      </c>
      <c r="AQ114" s="292" cm="1">
        <f t="array" aca="1" ref="AQ114" ca="1">INDIRECT("'"&amp;$C114&amp;"'!"&amp;"$"&amp;$D114&amp;$AQ$1&amp;"")</f>
        <v>4.3</v>
      </c>
      <c r="AR114" s="293">
        <v>0.96</v>
      </c>
      <c r="AS114" s="291">
        <v>1.23</v>
      </c>
      <c r="AT114" s="295">
        <v>0</v>
      </c>
      <c r="AU114" s="294">
        <v>69.2</v>
      </c>
      <c r="AV114" s="290" t="str" cm="1">
        <f t="array" aca="1" ref="AV114" ca="1">INDIRECT("'"&amp;$C114&amp;"'!"&amp;"$"&amp;$D114&amp;$AT$1&amp;"")</f>
        <v>PMS</v>
      </c>
      <c r="AW114" s="293" t="s">
        <v>1</v>
      </c>
      <c r="AX114" s="291" t="s">
        <v>1</v>
      </c>
      <c r="AY114" s="296">
        <v>68.099999999999994</v>
      </c>
      <c r="AZ114" s="295" cm="1">
        <f t="array" aca="1" ref="AZ114" ca="1">INDIRECT("'"&amp;$C114&amp;"'!"&amp;"$"&amp;$D114&amp;$AY$1&amp;"")</f>
        <v>5.3</v>
      </c>
      <c r="BA114" s="293">
        <v>0.95</v>
      </c>
      <c r="BB114" s="291">
        <v>1.7</v>
      </c>
      <c r="BC114" s="292" cm="1">
        <f t="array" aca="1" ref="BC114" ca="1">INDIRECT("'"&amp;$C114&amp;"'!"&amp;"$"&amp;$D114&amp;$BC$1&amp;"")</f>
        <v>1.1499999999999999</v>
      </c>
      <c r="BD114" s="293"/>
      <c r="BE114" s="293">
        <v>0.99</v>
      </c>
      <c r="BF114" s="291">
        <v>0.16</v>
      </c>
      <c r="BG114" s="292" cm="1">
        <f t="array" aca="1" ref="BG114" ca="1">INDIRECT("'"&amp;$C114&amp;"'!"&amp;"$"&amp;$D114&amp;$BG$1&amp;"")</f>
        <v>0.72</v>
      </c>
      <c r="BH114" s="293"/>
      <c r="BI114" s="293">
        <v>0.96</v>
      </c>
      <c r="BJ114" s="291">
        <v>0.21</v>
      </c>
      <c r="BK114" s="292" cm="1">
        <f t="array" aca="1" ref="BK114" ca="1">INDIRECT("'"&amp;$C114&amp;"'!"&amp;"$"&amp;$D114&amp;$BK$1&amp;"")</f>
        <v>4.0999999999999996</v>
      </c>
      <c r="BL114" s="293"/>
      <c r="BM114" s="293">
        <v>0.9</v>
      </c>
      <c r="BN114" s="291">
        <v>1.9</v>
      </c>
    </row>
    <row r="115" spans="1:66" ht="15.75" thickBot="1" x14ac:dyDescent="0.25">
      <c r="A115" s="368">
        <v>45693</v>
      </c>
      <c r="B115" s="365">
        <v>0.41666666666666702</v>
      </c>
      <c r="C115" s="315">
        <v>5</v>
      </c>
      <c r="D115" s="319" t="s">
        <v>120</v>
      </c>
      <c r="E115" s="297">
        <v>14</v>
      </c>
      <c r="F115" s="298">
        <v>69.03</v>
      </c>
      <c r="G115" s="299" cm="1">
        <f t="array" aca="1" ref="G115" ca="1">INDIRECT("'"&amp;$C115&amp;"'!"&amp;"$"&amp;$D115&amp;$E$1&amp;"")</f>
        <v>6.9</v>
      </c>
      <c r="H115" s="300">
        <v>0.97</v>
      </c>
      <c r="I115" s="298">
        <v>1.61</v>
      </c>
      <c r="J115" s="299" cm="1">
        <f t="array" aca="1" ref="J115" ca="1">INDIRECT("'"&amp;$C115&amp;"'!"&amp;"$"&amp;$D115&amp;$J$1&amp;"")</f>
        <v>6.9</v>
      </c>
      <c r="K115" s="300"/>
      <c r="L115" s="300">
        <v>0.97</v>
      </c>
      <c r="M115" s="298">
        <v>1.62</v>
      </c>
      <c r="N115" s="299" cm="1">
        <f t="array" aca="1" ref="N115" ca="1">INDIRECT("'"&amp;$C115&amp;"'!"&amp;"$"&amp;$D115&amp;$N$1&amp;"")</f>
        <v>6.8</v>
      </c>
      <c r="O115" s="300"/>
      <c r="P115" s="300">
        <v>0.97</v>
      </c>
      <c r="Q115" s="298">
        <v>1.68</v>
      </c>
      <c r="R115" s="299" cm="1">
        <f t="array" aca="1" ref="R115" ca="1">INDIRECT("'"&amp;$C115&amp;"'!"&amp;"$"&amp;$D115&amp;$R$1&amp;"")</f>
        <v>6.9</v>
      </c>
      <c r="S115" s="300"/>
      <c r="T115" s="300">
        <v>0.92</v>
      </c>
      <c r="U115" s="298">
        <v>2.72</v>
      </c>
      <c r="V115" s="299" t="str" cm="1">
        <f t="array" aca="1" ref="V115" ca="1">INDIRECT("'"&amp;$C115&amp;"'!"&amp;"$"&amp;$D115&amp;$V$1&amp;"")</f>
        <v>CMS</v>
      </c>
      <c r="W115" s="300" t="s">
        <v>1</v>
      </c>
      <c r="X115" s="300" t="s">
        <v>1</v>
      </c>
      <c r="Y115" s="301" t="s">
        <v>1</v>
      </c>
      <c r="Z115" s="297" cm="1">
        <f t="array" aca="1" ref="Z115" ca="1">INDIRECT("'"&amp;$C115&amp;"'!"&amp;"$"&amp;$D115&amp;$Z$1&amp;"")</f>
        <v>0</v>
      </c>
      <c r="AA115" s="300" t="s">
        <v>1</v>
      </c>
      <c r="AB115" s="300" t="s">
        <v>1</v>
      </c>
      <c r="AC115" s="298" t="s">
        <v>1</v>
      </c>
      <c r="AD115" s="299" t="str" cm="1">
        <f t="array" aca="1" ref="AD115" ca="1">INDIRECT("'"&amp;$C115&amp;"'!"&amp;"$"&amp;$D115&amp;$AD$1&amp;"")</f>
        <v>CMS</v>
      </c>
      <c r="AE115" s="300" t="s">
        <v>1</v>
      </c>
      <c r="AF115" s="300" t="s">
        <v>1</v>
      </c>
      <c r="AG115" s="301" t="s">
        <v>1</v>
      </c>
      <c r="AH115" s="297" cm="1">
        <f t="array" aca="1" ref="AH115" ca="1">INDIRECT("'"&amp;$C115&amp;"'!"&amp;"$"&amp;$D115&amp;$AH$1&amp;"")</f>
        <v>3.8</v>
      </c>
      <c r="AI115" s="300">
        <v>13.72</v>
      </c>
      <c r="AJ115" s="300">
        <v>0.91</v>
      </c>
      <c r="AK115" s="298">
        <v>1.91</v>
      </c>
      <c r="AL115" s="297">
        <v>11.8</v>
      </c>
      <c r="AM115" s="301">
        <v>69.900000000000006</v>
      </c>
      <c r="AN115" s="297" cm="1">
        <f t="array" aca="1" ref="AN115" ca="1">INDIRECT("'"&amp;$C115&amp;"'!"&amp;"$"&amp;$D115&amp;$AL$1&amp;"")</f>
        <v>4</v>
      </c>
      <c r="AO115" s="300">
        <v>0.95</v>
      </c>
      <c r="AP115" s="298">
        <v>1.41</v>
      </c>
      <c r="AQ115" s="299" cm="1">
        <f t="array" aca="1" ref="AQ115" ca="1">INDIRECT("'"&amp;$C115&amp;"'!"&amp;"$"&amp;$D115&amp;$AQ$1&amp;"")</f>
        <v>4</v>
      </c>
      <c r="AR115" s="300">
        <v>0.95</v>
      </c>
      <c r="AS115" s="298">
        <v>1.62</v>
      </c>
      <c r="AT115" s="302">
        <v>0</v>
      </c>
      <c r="AU115" s="301">
        <v>68.599999999999994</v>
      </c>
      <c r="AV115" s="297" t="str" cm="1">
        <f t="array" aca="1" ref="AV115" ca="1">INDIRECT("'"&amp;$C115&amp;"'!"&amp;"$"&amp;$D115&amp;$AT$1&amp;"")</f>
        <v>PMS</v>
      </c>
      <c r="AW115" s="300" t="s">
        <v>1</v>
      </c>
      <c r="AX115" s="298" t="s">
        <v>1</v>
      </c>
      <c r="AY115" s="303">
        <v>67.7</v>
      </c>
      <c r="AZ115" s="302" cm="1">
        <f t="array" aca="1" ref="AZ115" ca="1">INDIRECT("'"&amp;$C115&amp;"'!"&amp;"$"&amp;$D115&amp;$AY$1&amp;"")</f>
        <v>11.100000000000001</v>
      </c>
      <c r="BA115" s="300">
        <v>0.95</v>
      </c>
      <c r="BB115" s="298">
        <v>3.6</v>
      </c>
      <c r="BC115" s="299" cm="1">
        <f t="array" aca="1" ref="BC115" ca="1">INDIRECT("'"&amp;$C115&amp;"'!"&amp;"$"&amp;$D115&amp;$BC$1&amp;"")</f>
        <v>1.2</v>
      </c>
      <c r="BD115" s="300"/>
      <c r="BE115" s="300">
        <v>0.99</v>
      </c>
      <c r="BF115" s="298">
        <v>0.17</v>
      </c>
      <c r="BG115" s="299" cm="1">
        <f t="array" aca="1" ref="BG115" ca="1">INDIRECT("'"&amp;$C115&amp;"'!"&amp;"$"&amp;$D115&amp;$BG$1&amp;"")</f>
        <v>0.79</v>
      </c>
      <c r="BH115" s="300"/>
      <c r="BI115" s="300">
        <v>0.96</v>
      </c>
      <c r="BJ115" s="298">
        <v>0.23</v>
      </c>
      <c r="BK115" s="299" cm="1">
        <f t="array" aca="1" ref="BK115" ca="1">INDIRECT("'"&amp;$C115&amp;"'!"&amp;"$"&amp;$D115&amp;$BK$1&amp;"")</f>
        <v>4.7</v>
      </c>
      <c r="BL115" s="300"/>
      <c r="BM115" s="300">
        <v>0.9</v>
      </c>
      <c r="BN115" s="298">
        <v>2.2000000000000002</v>
      </c>
    </row>
    <row r="116" spans="1:66" ht="15.75" thickBot="1" x14ac:dyDescent="0.25">
      <c r="A116" s="368">
        <v>45693</v>
      </c>
      <c r="B116" s="365">
        <v>0.45833333333333398</v>
      </c>
      <c r="C116" s="315">
        <v>5</v>
      </c>
      <c r="D116" s="319" t="s">
        <v>121</v>
      </c>
      <c r="E116" s="290">
        <v>14.3</v>
      </c>
      <c r="F116" s="291">
        <v>69.930000000000007</v>
      </c>
      <c r="G116" s="292" cm="1">
        <f t="array" aca="1" ref="G116" ca="1">INDIRECT("'"&amp;$C116&amp;"'!"&amp;"$"&amp;$D116&amp;$E$1&amp;"")</f>
        <v>6.7</v>
      </c>
      <c r="H116" s="293">
        <v>0.96</v>
      </c>
      <c r="I116" s="291">
        <v>1.84</v>
      </c>
      <c r="J116" s="292" cm="1">
        <f t="array" aca="1" ref="J116" ca="1">INDIRECT("'"&amp;$C116&amp;"'!"&amp;"$"&amp;$D116&amp;$J$1&amp;"")</f>
        <v>6.7</v>
      </c>
      <c r="K116" s="293"/>
      <c r="L116" s="293">
        <v>0.96</v>
      </c>
      <c r="M116" s="291">
        <v>1.86</v>
      </c>
      <c r="N116" s="292" cm="1">
        <f t="array" aca="1" ref="N116" ca="1">INDIRECT("'"&amp;$C116&amp;"'!"&amp;"$"&amp;$D116&amp;$N$1&amp;"")</f>
        <v>6.7</v>
      </c>
      <c r="O116" s="293"/>
      <c r="P116" s="293">
        <v>0.96</v>
      </c>
      <c r="Q116" s="291">
        <v>1.81</v>
      </c>
      <c r="R116" s="292" cm="1">
        <f t="array" aca="1" ref="R116" ca="1">INDIRECT("'"&amp;$C116&amp;"'!"&amp;"$"&amp;$D116&amp;$R$1&amp;"")</f>
        <v>6.7</v>
      </c>
      <c r="S116" s="293"/>
      <c r="T116" s="293">
        <v>0.96</v>
      </c>
      <c r="U116" s="291">
        <v>1.84</v>
      </c>
      <c r="V116" s="292" t="str" cm="1">
        <f t="array" aca="1" ref="V116" ca="1">INDIRECT("'"&amp;$C116&amp;"'!"&amp;"$"&amp;$D116&amp;$V$1&amp;"")</f>
        <v>CMS</v>
      </c>
      <c r="W116" s="293" t="s">
        <v>1</v>
      </c>
      <c r="X116" s="293" t="s">
        <v>1</v>
      </c>
      <c r="Y116" s="294" t="s">
        <v>1</v>
      </c>
      <c r="Z116" s="290" cm="1">
        <f t="array" aca="1" ref="Z116" ca="1">INDIRECT("'"&amp;$C116&amp;"'!"&amp;"$"&amp;$D116&amp;$Z$1&amp;"")</f>
        <v>0</v>
      </c>
      <c r="AA116" s="293" t="s">
        <v>1</v>
      </c>
      <c r="AB116" s="293" t="s">
        <v>1</v>
      </c>
      <c r="AC116" s="291" t="s">
        <v>1</v>
      </c>
      <c r="AD116" s="292" t="str" cm="1">
        <f t="array" aca="1" ref="AD116" ca="1">INDIRECT("'"&amp;$C116&amp;"'!"&amp;"$"&amp;$D116&amp;$AD$1&amp;"")</f>
        <v>CMS</v>
      </c>
      <c r="AE116" s="293" t="s">
        <v>1</v>
      </c>
      <c r="AF116" s="293" t="s">
        <v>1</v>
      </c>
      <c r="AG116" s="294" t="s">
        <v>1</v>
      </c>
      <c r="AH116" s="290" cm="1">
        <f t="array" aca="1" ref="AH116" ca="1">INDIRECT("'"&amp;$C116&amp;"'!"&amp;"$"&amp;$D116&amp;$AH$1&amp;"")</f>
        <v>3.8</v>
      </c>
      <c r="AI116" s="293">
        <v>13.72</v>
      </c>
      <c r="AJ116" s="293">
        <v>0.9</v>
      </c>
      <c r="AK116" s="291">
        <v>1.92</v>
      </c>
      <c r="AL116" s="290">
        <v>11.8</v>
      </c>
      <c r="AM116" s="294">
        <v>69.900000000000006</v>
      </c>
      <c r="AN116" s="290" cm="1">
        <f t="array" aca="1" ref="AN116" ca="1">INDIRECT("'"&amp;$C116&amp;"'!"&amp;"$"&amp;$D116&amp;$AL$1&amp;"")</f>
        <v>4.2</v>
      </c>
      <c r="AO116" s="293">
        <v>0.95</v>
      </c>
      <c r="AP116" s="291">
        <v>1.49</v>
      </c>
      <c r="AQ116" s="292" cm="1">
        <f t="array" aca="1" ref="AQ116" ca="1">INDIRECT("'"&amp;$C116&amp;"'!"&amp;"$"&amp;$D116&amp;$AQ$1&amp;"")</f>
        <v>4.2</v>
      </c>
      <c r="AR116" s="293">
        <v>0.95</v>
      </c>
      <c r="AS116" s="291">
        <v>1.45</v>
      </c>
      <c r="AT116" s="295">
        <v>0</v>
      </c>
      <c r="AU116" s="294">
        <v>69.2</v>
      </c>
      <c r="AV116" s="290" t="str" cm="1">
        <f t="array" aca="1" ref="AV116" ca="1">INDIRECT("'"&amp;$C116&amp;"'!"&amp;"$"&amp;$D116&amp;$AT$1&amp;"")</f>
        <v>PMS</v>
      </c>
      <c r="AW116" s="293" t="s">
        <v>1</v>
      </c>
      <c r="AX116" s="291" t="s">
        <v>1</v>
      </c>
      <c r="AY116" s="296">
        <v>68.7</v>
      </c>
      <c r="AZ116" s="295" cm="1">
        <f t="array" aca="1" ref="AZ116" ca="1">INDIRECT("'"&amp;$C116&amp;"'!"&amp;"$"&amp;$D116&amp;$AY$1&amp;"")</f>
        <v>13.399999999999999</v>
      </c>
      <c r="BA116" s="293">
        <v>0.95</v>
      </c>
      <c r="BB116" s="291">
        <v>4.4000000000000004</v>
      </c>
      <c r="BC116" s="292" cm="1">
        <f t="array" aca="1" ref="BC116" ca="1">INDIRECT("'"&amp;$C116&amp;"'!"&amp;"$"&amp;$D116&amp;$BC$1&amp;"")</f>
        <v>1.27</v>
      </c>
      <c r="BD116" s="293"/>
      <c r="BE116" s="293">
        <v>0.99</v>
      </c>
      <c r="BF116" s="291">
        <v>0.18</v>
      </c>
      <c r="BG116" s="292" cm="1">
        <f t="array" aca="1" ref="BG116" ca="1">INDIRECT("'"&amp;$C116&amp;"'!"&amp;"$"&amp;$D116&amp;$BG$1&amp;"")</f>
        <v>0.82</v>
      </c>
      <c r="BH116" s="293"/>
      <c r="BI116" s="293">
        <v>0.96</v>
      </c>
      <c r="BJ116" s="291">
        <v>0.23</v>
      </c>
      <c r="BK116" s="292" cm="1">
        <f t="array" aca="1" ref="BK116" ca="1">INDIRECT("'"&amp;$C116&amp;"'!"&amp;"$"&amp;$D116&amp;$BK$1&amp;"")</f>
        <v>5</v>
      </c>
      <c r="BL116" s="293"/>
      <c r="BM116" s="293">
        <v>0.99</v>
      </c>
      <c r="BN116" s="291">
        <v>0.71</v>
      </c>
    </row>
    <row r="117" spans="1:66" ht="15.75" thickBot="1" x14ac:dyDescent="0.25">
      <c r="A117" s="368">
        <v>45693</v>
      </c>
      <c r="B117" s="365">
        <v>0.5</v>
      </c>
      <c r="C117" s="315">
        <v>5</v>
      </c>
      <c r="D117" s="319" t="s">
        <v>122</v>
      </c>
      <c r="E117" s="297">
        <v>14.3</v>
      </c>
      <c r="F117" s="298">
        <v>70.17</v>
      </c>
      <c r="G117" s="299" cm="1">
        <f t="array" aca="1" ref="G117" ca="1">INDIRECT("'"&amp;$C117&amp;"'!"&amp;"$"&amp;$D117&amp;$E$1&amp;"")</f>
        <v>6.6</v>
      </c>
      <c r="H117" s="300">
        <v>0.97</v>
      </c>
      <c r="I117" s="298">
        <v>1.68</v>
      </c>
      <c r="J117" s="299" cm="1">
        <f t="array" aca="1" ref="J117" ca="1">INDIRECT("'"&amp;$C117&amp;"'!"&amp;"$"&amp;$D117&amp;$J$1&amp;"")</f>
        <v>6.6</v>
      </c>
      <c r="K117" s="300"/>
      <c r="L117" s="300">
        <v>0.97</v>
      </c>
      <c r="M117" s="298">
        <v>1.65</v>
      </c>
      <c r="N117" s="299" cm="1">
        <f t="array" aca="1" ref="N117" ca="1">INDIRECT("'"&amp;$C117&amp;"'!"&amp;"$"&amp;$D117&amp;$N$1&amp;"")</f>
        <v>6.6</v>
      </c>
      <c r="O117" s="300"/>
      <c r="P117" s="300">
        <v>0.97</v>
      </c>
      <c r="Q117" s="298">
        <v>1.65</v>
      </c>
      <c r="R117" s="299" cm="1">
        <f t="array" aca="1" ref="R117" ca="1">INDIRECT("'"&amp;$C117&amp;"'!"&amp;"$"&amp;$D117&amp;$R$1&amp;"")</f>
        <v>6.6</v>
      </c>
      <c r="S117" s="300"/>
      <c r="T117" s="300">
        <v>0.97</v>
      </c>
      <c r="U117" s="298">
        <v>1.65</v>
      </c>
      <c r="V117" s="299" t="str" cm="1">
        <f t="array" aca="1" ref="V117" ca="1">INDIRECT("'"&amp;$C117&amp;"'!"&amp;"$"&amp;$D117&amp;$V$1&amp;"")</f>
        <v>CMS</v>
      </c>
      <c r="W117" s="300" t="s">
        <v>1</v>
      </c>
      <c r="X117" s="300" t="s">
        <v>1</v>
      </c>
      <c r="Y117" s="301" t="s">
        <v>1</v>
      </c>
      <c r="Z117" s="297" cm="1">
        <f t="array" aca="1" ref="Z117" ca="1">INDIRECT("'"&amp;$C117&amp;"'!"&amp;"$"&amp;$D117&amp;$Z$1&amp;"")</f>
        <v>0</v>
      </c>
      <c r="AA117" s="300" t="s">
        <v>1</v>
      </c>
      <c r="AB117" s="300" t="s">
        <v>1</v>
      </c>
      <c r="AC117" s="298" t="s">
        <v>1</v>
      </c>
      <c r="AD117" s="299" t="str" cm="1">
        <f t="array" aca="1" ref="AD117" ca="1">INDIRECT("'"&amp;$C117&amp;"'!"&amp;"$"&amp;$D117&amp;$AD$1&amp;"")</f>
        <v>CMS</v>
      </c>
      <c r="AE117" s="300" t="s">
        <v>1</v>
      </c>
      <c r="AF117" s="300" t="s">
        <v>1</v>
      </c>
      <c r="AG117" s="301" t="s">
        <v>1</v>
      </c>
      <c r="AH117" s="297" cm="1">
        <f t="array" aca="1" ref="AH117" ca="1">INDIRECT("'"&amp;$C117&amp;"'!"&amp;"$"&amp;$D117&amp;$AH$1&amp;"")</f>
        <v>3.8</v>
      </c>
      <c r="AI117" s="300">
        <v>13.8</v>
      </c>
      <c r="AJ117" s="300">
        <v>0.91</v>
      </c>
      <c r="AK117" s="298">
        <v>1.87</v>
      </c>
      <c r="AL117" s="297">
        <v>11.9</v>
      </c>
      <c r="AM117" s="301">
        <v>70</v>
      </c>
      <c r="AN117" s="297" cm="1">
        <f t="array" aca="1" ref="AN117" ca="1">INDIRECT("'"&amp;$C117&amp;"'!"&amp;"$"&amp;$D117&amp;$AL$1&amp;"")</f>
        <v>4.0999999999999996</v>
      </c>
      <c r="AO117" s="300">
        <v>0.95</v>
      </c>
      <c r="AP117" s="298">
        <v>1.43</v>
      </c>
      <c r="AQ117" s="299" cm="1">
        <f t="array" aca="1" ref="AQ117" ca="1">INDIRECT("'"&amp;$C117&amp;"'!"&amp;"$"&amp;$D117&amp;$AQ$1&amp;"")</f>
        <v>4.0999999999999996</v>
      </c>
      <c r="AR117" s="300">
        <v>0.95</v>
      </c>
      <c r="AS117" s="298">
        <v>1.43</v>
      </c>
      <c r="AT117" s="302">
        <v>0</v>
      </c>
      <c r="AU117" s="301">
        <v>69.400000000000006</v>
      </c>
      <c r="AV117" s="297" t="str" cm="1">
        <f t="array" aca="1" ref="AV117" ca="1">INDIRECT("'"&amp;$C117&amp;"'!"&amp;"$"&amp;$D117&amp;$AT$1&amp;"")</f>
        <v>PMS</v>
      </c>
      <c r="AW117" s="300" t="s">
        <v>1</v>
      </c>
      <c r="AX117" s="298" t="s">
        <v>1</v>
      </c>
      <c r="AY117" s="303">
        <v>69.099999999999994</v>
      </c>
      <c r="AZ117" s="302" cm="1">
        <f t="array" aca="1" ref="AZ117" ca="1">INDIRECT("'"&amp;$C117&amp;"'!"&amp;"$"&amp;$D117&amp;$AY$1&amp;"")</f>
        <v>13.399999999999999</v>
      </c>
      <c r="BA117" s="300">
        <v>0.95</v>
      </c>
      <c r="BB117" s="298">
        <v>4.3</v>
      </c>
      <c r="BC117" s="299" cm="1">
        <f t="array" aca="1" ref="BC117" ca="1">INDIRECT("'"&amp;$C117&amp;"'!"&amp;"$"&amp;$D117&amp;$BC$1&amp;"")</f>
        <v>1.3</v>
      </c>
      <c r="BD117" s="300"/>
      <c r="BE117" s="300">
        <v>0.99</v>
      </c>
      <c r="BF117" s="298">
        <v>0.17</v>
      </c>
      <c r="BG117" s="299" cm="1">
        <f t="array" aca="1" ref="BG117" ca="1">INDIRECT("'"&amp;$C117&amp;"'!"&amp;"$"&amp;$D117&amp;$BG$1&amp;"")</f>
        <v>0.86</v>
      </c>
      <c r="BH117" s="300"/>
      <c r="BI117" s="300">
        <v>0.96</v>
      </c>
      <c r="BJ117" s="298">
        <v>0.25</v>
      </c>
      <c r="BK117" s="299" cm="1">
        <f t="array" aca="1" ref="BK117" ca="1">INDIRECT("'"&amp;$C117&amp;"'!"&amp;"$"&amp;$D117&amp;$BK$1&amp;"")</f>
        <v>4.3</v>
      </c>
      <c r="BL117" s="300"/>
      <c r="BM117" s="300">
        <v>0.99</v>
      </c>
      <c r="BN117" s="298">
        <v>0.61</v>
      </c>
    </row>
    <row r="118" spans="1:66" ht="15.75" thickBot="1" x14ac:dyDescent="0.25">
      <c r="A118" s="368">
        <v>45693</v>
      </c>
      <c r="B118" s="365">
        <v>0.54166666666666696</v>
      </c>
      <c r="C118" s="315">
        <v>5</v>
      </c>
      <c r="D118" s="319" t="s">
        <v>123</v>
      </c>
      <c r="E118" s="290">
        <v>14.3</v>
      </c>
      <c r="F118" s="291">
        <v>70.17</v>
      </c>
      <c r="G118" s="292" cm="1">
        <f t="array" aca="1" ref="G118" ca="1">INDIRECT("'"&amp;$C118&amp;"'!"&amp;"$"&amp;$D118&amp;$E$1&amp;"")</f>
        <v>6.6</v>
      </c>
      <c r="H118" s="293">
        <v>0.97</v>
      </c>
      <c r="I118" s="291">
        <v>1.68</v>
      </c>
      <c r="J118" s="292" cm="1">
        <f t="array" aca="1" ref="J118" ca="1">INDIRECT("'"&amp;$C118&amp;"'!"&amp;"$"&amp;$D118&amp;$J$1&amp;"")</f>
        <v>6.6</v>
      </c>
      <c r="K118" s="293"/>
      <c r="L118" s="293">
        <v>0.97</v>
      </c>
      <c r="M118" s="291">
        <v>1.68</v>
      </c>
      <c r="N118" s="292" cm="1">
        <f t="array" aca="1" ref="N118" ca="1">INDIRECT("'"&amp;$C118&amp;"'!"&amp;"$"&amp;$D118&amp;$N$1&amp;"")</f>
        <v>6.7</v>
      </c>
      <c r="O118" s="293"/>
      <c r="P118" s="293">
        <v>0.97</v>
      </c>
      <c r="Q118" s="291">
        <v>1.65</v>
      </c>
      <c r="R118" s="292" cm="1">
        <f t="array" aca="1" ref="R118" ca="1">INDIRECT("'"&amp;$C118&amp;"'!"&amp;"$"&amp;$D118&amp;$R$1&amp;"")</f>
        <v>6.6</v>
      </c>
      <c r="S118" s="293"/>
      <c r="T118" s="293">
        <v>0.97</v>
      </c>
      <c r="U118" s="291">
        <v>1.65</v>
      </c>
      <c r="V118" s="292" t="str" cm="1">
        <f t="array" aca="1" ref="V118" ca="1">INDIRECT("'"&amp;$C118&amp;"'!"&amp;"$"&amp;$D118&amp;$V$1&amp;"")</f>
        <v>CMS</v>
      </c>
      <c r="W118" s="293" t="s">
        <v>1</v>
      </c>
      <c r="X118" s="293" t="s">
        <v>1</v>
      </c>
      <c r="Y118" s="294" t="s">
        <v>1</v>
      </c>
      <c r="Z118" s="290" cm="1">
        <f t="array" aca="1" ref="Z118" ca="1">INDIRECT("'"&amp;$C118&amp;"'!"&amp;"$"&amp;$D118&amp;$Z$1&amp;"")</f>
        <v>0</v>
      </c>
      <c r="AA118" s="293" t="s">
        <v>1</v>
      </c>
      <c r="AB118" s="293" t="s">
        <v>1</v>
      </c>
      <c r="AC118" s="291" t="s">
        <v>1</v>
      </c>
      <c r="AD118" s="292" t="str" cm="1">
        <f t="array" aca="1" ref="AD118" ca="1">INDIRECT("'"&amp;$C118&amp;"'!"&amp;"$"&amp;$D118&amp;$AD$1&amp;"")</f>
        <v>CMS</v>
      </c>
      <c r="AE118" s="293" t="s">
        <v>1</v>
      </c>
      <c r="AF118" s="293" t="s">
        <v>1</v>
      </c>
      <c r="AG118" s="294" t="s">
        <v>1</v>
      </c>
      <c r="AH118" s="290" cm="1">
        <f t="array" aca="1" ref="AH118" ca="1">INDIRECT("'"&amp;$C118&amp;"'!"&amp;"$"&amp;$D118&amp;$AH$1&amp;"")</f>
        <v>3.8</v>
      </c>
      <c r="AI118" s="293">
        <v>13.8</v>
      </c>
      <c r="AJ118" s="293">
        <v>0.91</v>
      </c>
      <c r="AK118" s="291">
        <v>1.87</v>
      </c>
      <c r="AL118" s="290">
        <v>11.9</v>
      </c>
      <c r="AM118" s="294">
        <v>70</v>
      </c>
      <c r="AN118" s="290" cm="1">
        <f t="array" aca="1" ref="AN118" ca="1">INDIRECT("'"&amp;$C118&amp;"'!"&amp;"$"&amp;$D118&amp;$AL$1&amp;"")</f>
        <v>4</v>
      </c>
      <c r="AO118" s="293">
        <v>0.95</v>
      </c>
      <c r="AP118" s="291">
        <v>1.43</v>
      </c>
      <c r="AQ118" s="292" cm="1">
        <f t="array" aca="1" ref="AQ118" ca="1">INDIRECT("'"&amp;$C118&amp;"'!"&amp;"$"&amp;$D118&amp;$AQ$1&amp;"")</f>
        <v>4</v>
      </c>
      <c r="AR118" s="293">
        <v>0.95</v>
      </c>
      <c r="AS118" s="291">
        <v>1.43</v>
      </c>
      <c r="AT118" s="295">
        <v>0</v>
      </c>
      <c r="AU118" s="294">
        <v>69.400000000000006</v>
      </c>
      <c r="AV118" s="290" t="str" cm="1">
        <f t="array" aca="1" ref="AV118" ca="1">INDIRECT("'"&amp;$C118&amp;"'!"&amp;"$"&amp;$D118&amp;$AT$1&amp;"")</f>
        <v>PMS</v>
      </c>
      <c r="AW118" s="293" t="s">
        <v>1</v>
      </c>
      <c r="AX118" s="291" t="s">
        <v>1</v>
      </c>
      <c r="AY118" s="296">
        <v>69.099999999999994</v>
      </c>
      <c r="AZ118" s="295" cm="1">
        <f t="array" aca="1" ref="AZ118" ca="1">INDIRECT("'"&amp;$C118&amp;"'!"&amp;"$"&amp;$D118&amp;$AY$1&amp;"")</f>
        <v>14.100000000000005</v>
      </c>
      <c r="BA118" s="293">
        <v>0.95</v>
      </c>
      <c r="BB118" s="291">
        <v>4.3</v>
      </c>
      <c r="BC118" s="292" cm="1">
        <f t="array" aca="1" ref="BC118" ca="1">INDIRECT("'"&amp;$C118&amp;"'!"&amp;"$"&amp;$D118&amp;$BC$1&amp;"")</f>
        <v>1.29</v>
      </c>
      <c r="BD118" s="293"/>
      <c r="BE118" s="293">
        <v>0.99</v>
      </c>
      <c r="BF118" s="291">
        <v>0.17</v>
      </c>
      <c r="BG118" s="292" cm="1">
        <f t="array" aca="1" ref="BG118" ca="1">INDIRECT("'"&amp;$C118&amp;"'!"&amp;"$"&amp;$D118&amp;$BG$1&amp;"")</f>
        <v>0.91</v>
      </c>
      <c r="BH118" s="293"/>
      <c r="BI118" s="293">
        <v>0.96</v>
      </c>
      <c r="BJ118" s="291">
        <v>0.25</v>
      </c>
      <c r="BK118" s="292" cm="1">
        <f t="array" aca="1" ref="BK118" ca="1">INDIRECT("'"&amp;$C118&amp;"'!"&amp;"$"&amp;$D118&amp;$BK$1&amp;"")</f>
        <v>4.9000000000000004</v>
      </c>
      <c r="BL118" s="293"/>
      <c r="BM118" s="293">
        <v>0.99</v>
      </c>
      <c r="BN118" s="291">
        <v>0.61</v>
      </c>
    </row>
    <row r="119" spans="1:66" ht="15.75" thickBot="1" x14ac:dyDescent="0.25">
      <c r="A119" s="368">
        <v>45693</v>
      </c>
      <c r="B119" s="365">
        <v>0.58333333333333404</v>
      </c>
      <c r="C119" s="315">
        <v>5</v>
      </c>
      <c r="D119" s="319" t="s">
        <v>124</v>
      </c>
      <c r="E119" s="297">
        <v>14.2</v>
      </c>
      <c r="F119" s="298">
        <v>70.13</v>
      </c>
      <c r="G119" s="299" cm="1">
        <f t="array" aca="1" ref="G119" ca="1">INDIRECT("'"&amp;$C119&amp;"'!"&amp;"$"&amp;$D119&amp;$E$1&amp;"")</f>
        <v>6.7</v>
      </c>
      <c r="H119" s="300">
        <v>0.97</v>
      </c>
      <c r="I119" s="298">
        <v>1.64</v>
      </c>
      <c r="J119" s="299" cm="1">
        <f t="array" aca="1" ref="J119" ca="1">INDIRECT("'"&amp;$C119&amp;"'!"&amp;"$"&amp;$D119&amp;$J$1&amp;"")</f>
        <v>6.8</v>
      </c>
      <c r="K119" s="300"/>
      <c r="L119" s="300">
        <v>0.97</v>
      </c>
      <c r="M119" s="298">
        <v>1.61</v>
      </c>
      <c r="N119" s="299" cm="1">
        <f t="array" aca="1" ref="N119" ca="1">INDIRECT("'"&amp;$C119&amp;"'!"&amp;"$"&amp;$D119&amp;$N$1&amp;"")</f>
        <v>6.8</v>
      </c>
      <c r="O119" s="300"/>
      <c r="P119" s="300">
        <v>0.97</v>
      </c>
      <c r="Q119" s="298">
        <v>1.65</v>
      </c>
      <c r="R119" s="299" cm="1">
        <f t="array" aca="1" ref="R119" ca="1">INDIRECT("'"&amp;$C119&amp;"'!"&amp;"$"&amp;$D119&amp;$R$1&amp;"")</f>
        <v>6.8</v>
      </c>
      <c r="S119" s="300"/>
      <c r="T119" s="300">
        <v>0.97</v>
      </c>
      <c r="U119" s="298">
        <v>1.65</v>
      </c>
      <c r="V119" s="299" t="str" cm="1">
        <f t="array" aca="1" ref="V119" ca="1">INDIRECT("'"&amp;$C119&amp;"'!"&amp;"$"&amp;$D119&amp;$V$1&amp;"")</f>
        <v>CMS</v>
      </c>
      <c r="W119" s="300" t="s">
        <v>1</v>
      </c>
      <c r="X119" s="300" t="s">
        <v>1</v>
      </c>
      <c r="Y119" s="301" t="s">
        <v>1</v>
      </c>
      <c r="Z119" s="297" cm="1">
        <f t="array" aca="1" ref="Z119" ca="1">INDIRECT("'"&amp;$C119&amp;"'!"&amp;"$"&amp;$D119&amp;$Z$1&amp;"")</f>
        <v>0</v>
      </c>
      <c r="AA119" s="300" t="s">
        <v>1</v>
      </c>
      <c r="AB119" s="300" t="s">
        <v>1</v>
      </c>
      <c r="AC119" s="298" t="s">
        <v>1</v>
      </c>
      <c r="AD119" s="299" t="str" cm="1">
        <f t="array" aca="1" ref="AD119" ca="1">INDIRECT("'"&amp;$C119&amp;"'!"&amp;"$"&amp;$D119&amp;$AD$1&amp;"")</f>
        <v>CMS</v>
      </c>
      <c r="AE119" s="300" t="s">
        <v>1</v>
      </c>
      <c r="AF119" s="300" t="s">
        <v>1</v>
      </c>
      <c r="AG119" s="301" t="s">
        <v>1</v>
      </c>
      <c r="AH119" s="297" cm="1">
        <f t="array" aca="1" ref="AH119" ca="1">INDIRECT("'"&amp;$C119&amp;"'!"&amp;"$"&amp;$D119&amp;$AH$1&amp;"")</f>
        <v>3.8</v>
      </c>
      <c r="AI119" s="300">
        <v>13.88</v>
      </c>
      <c r="AJ119" s="300">
        <v>0.92</v>
      </c>
      <c r="AK119" s="298">
        <v>1.62</v>
      </c>
      <c r="AL119" s="297">
        <v>11.9</v>
      </c>
      <c r="AM119" s="301">
        <v>70.099999999999994</v>
      </c>
      <c r="AN119" s="297" cm="1">
        <f t="array" aca="1" ref="AN119" ca="1">INDIRECT("'"&amp;$C119&amp;"'!"&amp;"$"&amp;$D119&amp;$AL$1&amp;"")</f>
        <v>4</v>
      </c>
      <c r="AO119" s="300">
        <v>0.94</v>
      </c>
      <c r="AP119" s="298">
        <v>1.38</v>
      </c>
      <c r="AQ119" s="299" cm="1">
        <f t="array" aca="1" ref="AQ119" ca="1">INDIRECT("'"&amp;$C119&amp;"'!"&amp;"$"&amp;$D119&amp;$AQ$1&amp;"")</f>
        <v>4</v>
      </c>
      <c r="AR119" s="300">
        <v>0.94</v>
      </c>
      <c r="AS119" s="298">
        <v>1.43</v>
      </c>
      <c r="AT119" s="302">
        <v>0</v>
      </c>
      <c r="AU119" s="301">
        <v>69.400000000000006</v>
      </c>
      <c r="AV119" s="297" t="str" cm="1">
        <f t="array" aca="1" ref="AV119" ca="1">INDIRECT("'"&amp;$C119&amp;"'!"&amp;"$"&amp;$D119&amp;$AT$1&amp;"")</f>
        <v>PMS</v>
      </c>
      <c r="AW119" s="300" t="s">
        <v>1</v>
      </c>
      <c r="AX119" s="298" t="s">
        <v>1</v>
      </c>
      <c r="AY119" s="303">
        <v>68.900000000000006</v>
      </c>
      <c r="AZ119" s="302" cm="1">
        <f t="array" aca="1" ref="AZ119" ca="1">INDIRECT("'"&amp;$C119&amp;"'!"&amp;"$"&amp;$D119&amp;$AY$1&amp;"")</f>
        <v>14.200000000000005</v>
      </c>
      <c r="BA119" s="300">
        <v>0.95</v>
      </c>
      <c r="BB119" s="298">
        <v>4.5999999999999996</v>
      </c>
      <c r="BC119" s="299" cm="1">
        <f t="array" aca="1" ref="BC119" ca="1">INDIRECT("'"&amp;$C119&amp;"'!"&amp;"$"&amp;$D119&amp;$BC$1&amp;"")</f>
        <v>1.33</v>
      </c>
      <c r="BD119" s="300"/>
      <c r="BE119" s="300">
        <v>0.99</v>
      </c>
      <c r="BF119" s="298">
        <v>0.17</v>
      </c>
      <c r="BG119" s="299" cm="1">
        <f t="array" aca="1" ref="BG119" ca="1">INDIRECT("'"&amp;$C119&amp;"'!"&amp;"$"&amp;$D119&amp;$BG$1&amp;"")</f>
        <v>0.9</v>
      </c>
      <c r="BH119" s="300"/>
      <c r="BI119" s="300">
        <v>0.96</v>
      </c>
      <c r="BJ119" s="298">
        <v>0.25</v>
      </c>
      <c r="BK119" s="299" cm="1">
        <f t="array" aca="1" ref="BK119" ca="1">INDIRECT("'"&amp;$C119&amp;"'!"&amp;"$"&amp;$D119&amp;$BK$1&amp;"")</f>
        <v>3.8</v>
      </c>
      <c r="BL119" s="300"/>
      <c r="BM119" s="300">
        <v>0.99</v>
      </c>
      <c r="BN119" s="298">
        <v>0.54</v>
      </c>
    </row>
    <row r="120" spans="1:66" ht="15.75" thickBot="1" x14ac:dyDescent="0.25">
      <c r="A120" s="368">
        <v>45693</v>
      </c>
      <c r="B120" s="365">
        <v>0.625</v>
      </c>
      <c r="C120" s="315">
        <v>5</v>
      </c>
      <c r="D120" s="319" t="s">
        <v>125</v>
      </c>
      <c r="E120" s="290">
        <v>14.3</v>
      </c>
      <c r="F120" s="291">
        <v>70.180000000000007</v>
      </c>
      <c r="G120" s="292" cm="1">
        <f t="array" aca="1" ref="G120" ca="1">INDIRECT("'"&amp;$C120&amp;"'!"&amp;"$"&amp;$D120&amp;$E$1&amp;"")</f>
        <v>6.6</v>
      </c>
      <c r="H120" s="293">
        <v>0.97</v>
      </c>
      <c r="I120" s="291">
        <v>1.68</v>
      </c>
      <c r="J120" s="292" cm="1">
        <f t="array" aca="1" ref="J120" ca="1">INDIRECT("'"&amp;$C120&amp;"'!"&amp;"$"&amp;$D120&amp;$J$1&amp;"")</f>
        <v>6.6</v>
      </c>
      <c r="K120" s="293"/>
      <c r="L120" s="293">
        <v>0.97</v>
      </c>
      <c r="M120" s="291">
        <v>1.68</v>
      </c>
      <c r="N120" s="292" cm="1">
        <f t="array" aca="1" ref="N120" ca="1">INDIRECT("'"&amp;$C120&amp;"'!"&amp;"$"&amp;$D120&amp;$N$1&amp;"")</f>
        <v>6.6</v>
      </c>
      <c r="O120" s="293"/>
      <c r="P120" s="293">
        <v>0.97</v>
      </c>
      <c r="Q120" s="291">
        <v>1.68</v>
      </c>
      <c r="R120" s="292" cm="1">
        <f t="array" aca="1" ref="R120" ca="1">INDIRECT("'"&amp;$C120&amp;"'!"&amp;"$"&amp;$D120&amp;$R$1&amp;"")</f>
        <v>6.7</v>
      </c>
      <c r="S120" s="293"/>
      <c r="T120" s="293">
        <v>0.97</v>
      </c>
      <c r="U120" s="291">
        <v>1.63</v>
      </c>
      <c r="V120" s="292" t="str" cm="1">
        <f t="array" aca="1" ref="V120" ca="1">INDIRECT("'"&amp;$C120&amp;"'!"&amp;"$"&amp;$D120&amp;$V$1&amp;"")</f>
        <v>CMS</v>
      </c>
      <c r="W120" s="293" t="s">
        <v>1</v>
      </c>
      <c r="X120" s="293" t="s">
        <v>1</v>
      </c>
      <c r="Y120" s="294" t="s">
        <v>1</v>
      </c>
      <c r="Z120" s="290" cm="1">
        <f t="array" aca="1" ref="Z120" ca="1">INDIRECT("'"&amp;$C120&amp;"'!"&amp;"$"&amp;$D120&amp;$Z$1&amp;"")</f>
        <v>0</v>
      </c>
      <c r="AA120" s="293" t="s">
        <v>1</v>
      </c>
      <c r="AB120" s="293" t="s">
        <v>1</v>
      </c>
      <c r="AC120" s="291" t="s">
        <v>1</v>
      </c>
      <c r="AD120" s="292" t="str" cm="1">
        <f t="array" aca="1" ref="AD120" ca="1">INDIRECT("'"&amp;$C120&amp;"'!"&amp;"$"&amp;$D120&amp;$AD$1&amp;"")</f>
        <v>CMS</v>
      </c>
      <c r="AE120" s="293" t="s">
        <v>1</v>
      </c>
      <c r="AF120" s="293" t="s">
        <v>1</v>
      </c>
      <c r="AG120" s="291" t="s">
        <v>1</v>
      </c>
      <c r="AH120" s="290" cm="1">
        <f t="array" aca="1" ref="AH120" ca="1">INDIRECT("'"&amp;$C120&amp;"'!"&amp;"$"&amp;$D120&amp;$AH$1&amp;"")</f>
        <v>3.8</v>
      </c>
      <c r="AI120" s="293">
        <v>13.88</v>
      </c>
      <c r="AJ120" s="293">
        <v>0.92</v>
      </c>
      <c r="AK120" s="291">
        <v>1.67</v>
      </c>
      <c r="AL120" s="290">
        <v>11.9</v>
      </c>
      <c r="AM120" s="294">
        <v>70.2</v>
      </c>
      <c r="AN120" s="290" cm="1">
        <f t="array" aca="1" ref="AN120" ca="1">INDIRECT("'"&amp;$C120&amp;"'!"&amp;"$"&amp;$D120&amp;$AL$1&amp;"")</f>
        <v>4</v>
      </c>
      <c r="AO120" s="293">
        <v>0.95</v>
      </c>
      <c r="AP120" s="291">
        <v>1.17</v>
      </c>
      <c r="AQ120" s="292" cm="1">
        <f t="array" aca="1" ref="AQ120" ca="1">INDIRECT("'"&amp;$C120&amp;"'!"&amp;"$"&amp;$D120&amp;$AQ$1&amp;"")</f>
        <v>4</v>
      </c>
      <c r="AR120" s="293">
        <v>0.95</v>
      </c>
      <c r="AS120" s="291">
        <v>1.21</v>
      </c>
      <c r="AT120" s="295">
        <v>0</v>
      </c>
      <c r="AU120" s="294">
        <v>69.8</v>
      </c>
      <c r="AV120" s="290" t="str" cm="1">
        <f t="array" aca="1" ref="AV120" ca="1">INDIRECT("'"&amp;$C120&amp;"'!"&amp;"$"&amp;$D120&amp;$AT$1&amp;"")</f>
        <v>PMS</v>
      </c>
      <c r="AW120" s="293" t="s">
        <v>1</v>
      </c>
      <c r="AX120" s="291" t="s">
        <v>1</v>
      </c>
      <c r="AY120" s="296">
        <v>68.900000000000006</v>
      </c>
      <c r="AZ120" s="295" cm="1">
        <f t="array" aca="1" ref="AZ120" ca="1">INDIRECT("'"&amp;$C120&amp;"'!"&amp;"$"&amp;$D120&amp;$AY$1&amp;"")</f>
        <v>13.700000000000005</v>
      </c>
      <c r="BA120" s="293">
        <v>0.95</v>
      </c>
      <c r="BB120" s="291">
        <v>4.5</v>
      </c>
      <c r="BC120" s="292" cm="1">
        <f t="array" aca="1" ref="BC120" ca="1">INDIRECT("'"&amp;$C120&amp;"'!"&amp;"$"&amp;$D120&amp;$BC$1&amp;"")</f>
        <v>1.33</v>
      </c>
      <c r="BD120" s="293"/>
      <c r="BE120" s="293">
        <v>0.99</v>
      </c>
      <c r="BF120" s="291">
        <v>0.18</v>
      </c>
      <c r="BG120" s="292" cm="1">
        <f t="array" aca="1" ref="BG120" ca="1">INDIRECT("'"&amp;$C120&amp;"'!"&amp;"$"&amp;$D120&amp;$BG$1&amp;"")</f>
        <v>0.93</v>
      </c>
      <c r="BH120" s="293"/>
      <c r="BI120" s="293">
        <v>0.96</v>
      </c>
      <c r="BJ120" s="291">
        <v>0.24</v>
      </c>
      <c r="BK120" s="292" cm="1">
        <f t="array" aca="1" ref="BK120" ca="1">INDIRECT("'"&amp;$C120&amp;"'!"&amp;"$"&amp;$D120&amp;$BK$1&amp;"")</f>
        <v>5.2000000000000011</v>
      </c>
      <c r="BL120" s="293"/>
      <c r="BM120" s="293">
        <v>0.99</v>
      </c>
      <c r="BN120" s="291">
        <v>0.74</v>
      </c>
    </row>
    <row r="121" spans="1:66" ht="15.75" thickBot="1" x14ac:dyDescent="0.25">
      <c r="A121" s="368">
        <v>45693</v>
      </c>
      <c r="B121" s="365">
        <v>0.66666666666666696</v>
      </c>
      <c r="C121" s="315">
        <v>5</v>
      </c>
      <c r="D121" s="319" t="s">
        <v>126</v>
      </c>
      <c r="E121" s="297">
        <v>14.2</v>
      </c>
      <c r="F121" s="298">
        <v>70.069999999999993</v>
      </c>
      <c r="G121" s="299" cm="1">
        <f t="array" aca="1" ref="G121" ca="1">INDIRECT("'"&amp;$C121&amp;"'!"&amp;"$"&amp;$D121&amp;$E$1&amp;"")</f>
        <v>6.8</v>
      </c>
      <c r="H121" s="300">
        <v>0.97</v>
      </c>
      <c r="I121" s="298">
        <v>1.66</v>
      </c>
      <c r="J121" s="299" cm="1">
        <f t="array" aca="1" ref="J121" ca="1">INDIRECT("'"&amp;$C121&amp;"'!"&amp;"$"&amp;$D121&amp;$J$1&amp;"")</f>
        <v>6.8</v>
      </c>
      <c r="K121" s="300"/>
      <c r="L121" s="300">
        <v>0.97</v>
      </c>
      <c r="M121" s="298">
        <v>1.68</v>
      </c>
      <c r="N121" s="299" cm="1">
        <f t="array" aca="1" ref="N121" ca="1">INDIRECT("'"&amp;$C121&amp;"'!"&amp;"$"&amp;$D121&amp;$N$1&amp;"")</f>
        <v>6.8</v>
      </c>
      <c r="O121" s="300"/>
      <c r="P121" s="300">
        <v>0.97</v>
      </c>
      <c r="Q121" s="298">
        <v>1.65</v>
      </c>
      <c r="R121" s="299" cm="1">
        <f t="array" aca="1" ref="R121" ca="1">INDIRECT("'"&amp;$C121&amp;"'!"&amp;"$"&amp;$D121&amp;$R$1&amp;"")</f>
        <v>6.8</v>
      </c>
      <c r="S121" s="300"/>
      <c r="T121" s="300">
        <v>0.95</v>
      </c>
      <c r="U121" s="298">
        <v>2.31</v>
      </c>
      <c r="V121" s="299" t="str" cm="1">
        <f t="array" aca="1" ref="V121" ca="1">INDIRECT("'"&amp;$C121&amp;"'!"&amp;"$"&amp;$D121&amp;$V$1&amp;"")</f>
        <v>CMS</v>
      </c>
      <c r="W121" s="300" t="s">
        <v>1</v>
      </c>
      <c r="X121" s="300" t="s">
        <v>1</v>
      </c>
      <c r="Y121" s="301" t="s">
        <v>1</v>
      </c>
      <c r="Z121" s="297" cm="1">
        <f t="array" aca="1" ref="Z121" ca="1">INDIRECT("'"&amp;$C121&amp;"'!"&amp;"$"&amp;$D121&amp;$Z$1&amp;"")</f>
        <v>0</v>
      </c>
      <c r="AA121" s="300" t="s">
        <v>1</v>
      </c>
      <c r="AB121" s="300" t="s">
        <v>1</v>
      </c>
      <c r="AC121" s="298" t="s">
        <v>1</v>
      </c>
      <c r="AD121" s="299" t="str" cm="1">
        <f t="array" aca="1" ref="AD121" ca="1">INDIRECT("'"&amp;$C121&amp;"'!"&amp;"$"&amp;$D121&amp;$AD$1&amp;"")</f>
        <v>CMS</v>
      </c>
      <c r="AE121" s="300" t="s">
        <v>1</v>
      </c>
      <c r="AF121" s="300" t="s">
        <v>1</v>
      </c>
      <c r="AG121" s="298" t="s">
        <v>1</v>
      </c>
      <c r="AH121" s="297" cm="1">
        <f t="array" aca="1" ref="AH121" ca="1">INDIRECT("'"&amp;$C121&amp;"'!"&amp;"$"&amp;$D121&amp;$AH$1&amp;"")</f>
        <v>3.8</v>
      </c>
      <c r="AI121" s="300">
        <v>13.96</v>
      </c>
      <c r="AJ121" s="300">
        <v>0.93</v>
      </c>
      <c r="AK121" s="298">
        <v>1.2</v>
      </c>
      <c r="AL121" s="297">
        <v>11.9</v>
      </c>
      <c r="AM121" s="301">
        <v>70.2</v>
      </c>
      <c r="AN121" s="297" cm="1">
        <f t="array" aca="1" ref="AN121" ca="1">INDIRECT("'"&amp;$C121&amp;"'!"&amp;"$"&amp;$D121&amp;$AL$1&amp;"")</f>
        <v>4</v>
      </c>
      <c r="AO121" s="300">
        <v>0.95</v>
      </c>
      <c r="AP121" s="298">
        <v>1.1599999999999999</v>
      </c>
      <c r="AQ121" s="299" cm="1">
        <f t="array" aca="1" ref="AQ121" ca="1">INDIRECT("'"&amp;$C121&amp;"'!"&amp;"$"&amp;$D121&amp;$AQ$1&amp;"")</f>
        <v>4</v>
      </c>
      <c r="AR121" s="300">
        <v>0.95</v>
      </c>
      <c r="AS121" s="298">
        <v>1.21</v>
      </c>
      <c r="AT121" s="302">
        <v>0</v>
      </c>
      <c r="AU121" s="301">
        <v>70</v>
      </c>
      <c r="AV121" s="297" t="str" cm="1">
        <f t="array" aca="1" ref="AV121" ca="1">INDIRECT("'"&amp;$C121&amp;"'!"&amp;"$"&amp;$D121&amp;$AT$1&amp;"")</f>
        <v>PMS</v>
      </c>
      <c r="AW121" s="300" t="s">
        <v>1</v>
      </c>
      <c r="AX121" s="298" t="s">
        <v>1</v>
      </c>
      <c r="AY121" s="303">
        <v>68.900000000000006</v>
      </c>
      <c r="AZ121" s="302" cm="1">
        <f t="array" aca="1" ref="AZ121" ca="1">INDIRECT("'"&amp;$C121&amp;"'!"&amp;"$"&amp;$D121&amp;$AY$1&amp;"")</f>
        <v>14.200000000000005</v>
      </c>
      <c r="BA121" s="300">
        <v>0.95</v>
      </c>
      <c r="BB121" s="298">
        <v>4.5999999999999996</v>
      </c>
      <c r="BC121" s="299" cm="1">
        <f t="array" aca="1" ref="BC121" ca="1">INDIRECT("'"&amp;$C121&amp;"'!"&amp;"$"&amp;$D121&amp;$BC$1&amp;"")</f>
        <v>1.28</v>
      </c>
      <c r="BD121" s="300"/>
      <c r="BE121" s="300">
        <v>0.99</v>
      </c>
      <c r="BF121" s="298">
        <v>0.17</v>
      </c>
      <c r="BG121" s="299" cm="1">
        <f t="array" aca="1" ref="BG121" ca="1">INDIRECT("'"&amp;$C121&amp;"'!"&amp;"$"&amp;$D121&amp;$BG$1&amp;"")</f>
        <v>0.91</v>
      </c>
      <c r="BH121" s="300"/>
      <c r="BI121" s="300">
        <v>0.96</v>
      </c>
      <c r="BJ121" s="298">
        <v>0.26</v>
      </c>
      <c r="BK121" s="299" cm="1">
        <f t="array" aca="1" ref="BK121" ca="1">INDIRECT("'"&amp;$C121&amp;"'!"&amp;"$"&amp;$D121&amp;$BK$1&amp;"")</f>
        <v>5.2000000000000011</v>
      </c>
      <c r="BL121" s="300"/>
      <c r="BM121" s="300">
        <v>0.99</v>
      </c>
      <c r="BN121" s="298">
        <v>0.74</v>
      </c>
    </row>
    <row r="122" spans="1:66" ht="15.75" thickBot="1" x14ac:dyDescent="0.25">
      <c r="A122" s="368">
        <v>45693</v>
      </c>
      <c r="B122" s="365">
        <v>0.70833333333333404</v>
      </c>
      <c r="C122" s="315">
        <v>5</v>
      </c>
      <c r="D122" s="319" t="s">
        <v>127</v>
      </c>
      <c r="E122" s="290">
        <v>14.3</v>
      </c>
      <c r="F122" s="291">
        <v>70.3</v>
      </c>
      <c r="G122" s="292" cm="1">
        <f t="array" aca="1" ref="G122" ca="1">INDIRECT("'"&amp;$C122&amp;"'!"&amp;"$"&amp;$D122&amp;$E$1&amp;"")</f>
        <v>6.5</v>
      </c>
      <c r="H122" s="293">
        <v>0.97</v>
      </c>
      <c r="I122" s="291">
        <v>1.64</v>
      </c>
      <c r="J122" s="292" cm="1">
        <f t="array" aca="1" ref="J122" ca="1">INDIRECT("'"&amp;$C122&amp;"'!"&amp;"$"&amp;$D122&amp;$J$1&amp;"")</f>
        <v>6.5</v>
      </c>
      <c r="K122" s="293"/>
      <c r="L122" s="293">
        <v>0.97</v>
      </c>
      <c r="M122" s="291">
        <v>1.64</v>
      </c>
      <c r="N122" s="292" cm="1">
        <f t="array" aca="1" ref="N122" ca="1">INDIRECT("'"&amp;$C122&amp;"'!"&amp;"$"&amp;$D122&amp;$N$1&amp;"")</f>
        <v>6.5</v>
      </c>
      <c r="O122" s="293"/>
      <c r="P122" s="293">
        <v>0.97</v>
      </c>
      <c r="Q122" s="291">
        <v>1.64</v>
      </c>
      <c r="R122" s="292" cm="1">
        <f t="array" aca="1" ref="R122" ca="1">INDIRECT("'"&amp;$C122&amp;"'!"&amp;"$"&amp;$D122&amp;$R$1&amp;"")</f>
        <v>6.5</v>
      </c>
      <c r="S122" s="293"/>
      <c r="T122" s="293">
        <v>0.94</v>
      </c>
      <c r="U122" s="291">
        <v>2.4</v>
      </c>
      <c r="V122" s="292" t="str" cm="1">
        <f t="array" aca="1" ref="V122" ca="1">INDIRECT("'"&amp;$C122&amp;"'!"&amp;"$"&amp;$D122&amp;$V$1&amp;"")</f>
        <v>CMS</v>
      </c>
      <c r="W122" s="293" t="s">
        <v>1</v>
      </c>
      <c r="X122" s="293" t="s">
        <v>1</v>
      </c>
      <c r="Y122" s="294" t="s">
        <v>1</v>
      </c>
      <c r="Z122" s="290" cm="1">
        <f t="array" aca="1" ref="Z122" ca="1">INDIRECT("'"&amp;$C122&amp;"'!"&amp;"$"&amp;$D122&amp;$Z$1&amp;"")</f>
        <v>0</v>
      </c>
      <c r="AA122" s="293" t="s">
        <v>1</v>
      </c>
      <c r="AB122" s="293" t="s">
        <v>1</v>
      </c>
      <c r="AC122" s="291" t="s">
        <v>1</v>
      </c>
      <c r="AD122" s="292" t="str" cm="1">
        <f t="array" aca="1" ref="AD122" ca="1">INDIRECT("'"&amp;$C122&amp;"'!"&amp;"$"&amp;$D122&amp;$AD$1&amp;"")</f>
        <v>CMS</v>
      </c>
      <c r="AE122" s="293" t="s">
        <v>1</v>
      </c>
      <c r="AF122" s="293" t="s">
        <v>1</v>
      </c>
      <c r="AG122" s="291" t="s">
        <v>1</v>
      </c>
      <c r="AH122" s="290" cm="1">
        <f t="array" aca="1" ref="AH122" ca="1">INDIRECT("'"&amp;$C122&amp;"'!"&amp;"$"&amp;$D122&amp;$AH$1&amp;"")</f>
        <v>3.8</v>
      </c>
      <c r="AI122" s="293">
        <v>13.92</v>
      </c>
      <c r="AJ122" s="293">
        <v>0.93</v>
      </c>
      <c r="AK122" s="291">
        <v>1.28</v>
      </c>
      <c r="AL122" s="290">
        <v>11.9</v>
      </c>
      <c r="AM122" s="294">
        <v>70.3</v>
      </c>
      <c r="AN122" s="290" cm="1">
        <f t="array" aca="1" ref="AN122" ca="1">INDIRECT("'"&amp;$C122&amp;"'!"&amp;"$"&amp;$D122&amp;$AL$1&amp;"")</f>
        <v>3.8</v>
      </c>
      <c r="AO122" s="293">
        <v>0.95</v>
      </c>
      <c r="AP122" s="291">
        <v>1.17</v>
      </c>
      <c r="AQ122" s="292" cm="1">
        <f t="array" aca="1" ref="AQ122" ca="1">INDIRECT("'"&amp;$C122&amp;"'!"&amp;"$"&amp;$D122&amp;$AQ$1&amp;"")</f>
        <v>3.8</v>
      </c>
      <c r="AR122" s="293">
        <v>0.95</v>
      </c>
      <c r="AS122" s="291">
        <v>1.18</v>
      </c>
      <c r="AT122" s="295">
        <v>0</v>
      </c>
      <c r="AU122" s="294">
        <v>69.900000000000006</v>
      </c>
      <c r="AV122" s="290" t="str" cm="1">
        <f t="array" aca="1" ref="AV122" ca="1">INDIRECT("'"&amp;$C122&amp;"'!"&amp;"$"&amp;$D122&amp;$AT$1&amp;"")</f>
        <v>PMS</v>
      </c>
      <c r="AW122" s="293" t="s">
        <v>1</v>
      </c>
      <c r="AX122" s="291" t="s">
        <v>1</v>
      </c>
      <c r="AY122" s="296">
        <v>68.900000000000006</v>
      </c>
      <c r="AZ122" s="295" cm="1">
        <f t="array" aca="1" ref="AZ122" ca="1">INDIRECT("'"&amp;$C122&amp;"'!"&amp;"$"&amp;$D122&amp;$AY$1&amp;"")</f>
        <v>12.500000000000004</v>
      </c>
      <c r="BA122" s="293">
        <v>0.96</v>
      </c>
      <c r="BB122" s="291">
        <v>3.6</v>
      </c>
      <c r="BC122" s="292" cm="1">
        <f t="array" aca="1" ref="BC122" ca="1">INDIRECT("'"&amp;$C122&amp;"'!"&amp;"$"&amp;$D122&amp;$BC$1&amp;"")</f>
        <v>1.23</v>
      </c>
      <c r="BD122" s="293"/>
      <c r="BE122" s="293">
        <v>0.99</v>
      </c>
      <c r="BF122" s="291">
        <v>0.14000000000000001</v>
      </c>
      <c r="BG122" s="292" cm="1">
        <f t="array" aca="1" ref="BG122" ca="1">INDIRECT("'"&amp;$C122&amp;"'!"&amp;"$"&amp;$D122&amp;$BG$1&amp;"")</f>
        <v>0.89</v>
      </c>
      <c r="BH122" s="293"/>
      <c r="BI122" s="293">
        <v>0.96</v>
      </c>
      <c r="BJ122" s="291">
        <v>0.26</v>
      </c>
      <c r="BK122" s="292" cm="1">
        <f t="array" aca="1" ref="BK122" ca="1">INDIRECT("'"&amp;$C122&amp;"'!"&amp;"$"&amp;$D122&amp;$BK$1&amp;"")</f>
        <v>4.7</v>
      </c>
      <c r="BL122" s="293"/>
      <c r="BM122" s="293">
        <v>0.99</v>
      </c>
      <c r="BN122" s="291">
        <v>0.66</v>
      </c>
    </row>
    <row r="123" spans="1:66" ht="15.75" thickBot="1" x14ac:dyDescent="0.25">
      <c r="A123" s="368">
        <v>45693</v>
      </c>
      <c r="B123" s="365">
        <v>0.750000000000001</v>
      </c>
      <c r="C123" s="315">
        <v>5</v>
      </c>
      <c r="D123" s="319" t="s">
        <v>128</v>
      </c>
      <c r="E123" s="297">
        <v>14.2</v>
      </c>
      <c r="F123" s="298">
        <v>70.23</v>
      </c>
      <c r="G123" s="299" cm="1">
        <f t="array" aca="1" ref="G123" ca="1">INDIRECT("'"&amp;$C123&amp;"'!"&amp;"$"&amp;$D123&amp;$E$1&amp;"")</f>
        <v>6.6</v>
      </c>
      <c r="H123" s="300">
        <v>0.98</v>
      </c>
      <c r="I123" s="298">
        <v>1.42</v>
      </c>
      <c r="J123" s="299" cm="1">
        <f t="array" aca="1" ref="J123" ca="1">INDIRECT("'"&amp;$C123&amp;"'!"&amp;"$"&amp;$D123&amp;$J$1&amp;"")</f>
        <v>6.6</v>
      </c>
      <c r="K123" s="300"/>
      <c r="L123" s="300">
        <v>0.98</v>
      </c>
      <c r="M123" s="298">
        <v>1.43</v>
      </c>
      <c r="N123" s="299" cm="1">
        <f t="array" aca="1" ref="N123" ca="1">INDIRECT("'"&amp;$C123&amp;"'!"&amp;"$"&amp;$D123&amp;$N$1&amp;"")</f>
        <v>6.6</v>
      </c>
      <c r="O123" s="300"/>
      <c r="P123" s="300">
        <v>0.98</v>
      </c>
      <c r="Q123" s="298">
        <v>1.43</v>
      </c>
      <c r="R123" s="299" cm="1">
        <f t="array" aca="1" ref="R123" ca="1">INDIRECT("'"&amp;$C123&amp;"'!"&amp;"$"&amp;$D123&amp;$R$1&amp;"")</f>
        <v>6.6</v>
      </c>
      <c r="S123" s="300"/>
      <c r="T123" s="300">
        <v>0.95</v>
      </c>
      <c r="U123" s="298">
        <v>2.41</v>
      </c>
      <c r="V123" s="299" t="str" cm="1">
        <f t="array" aca="1" ref="V123" ca="1">INDIRECT("'"&amp;$C123&amp;"'!"&amp;"$"&amp;$D123&amp;$V$1&amp;"")</f>
        <v>CMS</v>
      </c>
      <c r="W123" s="300" t="s">
        <v>1</v>
      </c>
      <c r="X123" s="300" t="s">
        <v>1</v>
      </c>
      <c r="Y123" s="301" t="s">
        <v>1</v>
      </c>
      <c r="Z123" s="297" cm="1">
        <f t="array" aca="1" ref="Z123" ca="1">INDIRECT("'"&amp;$C123&amp;"'!"&amp;"$"&amp;$D123&amp;$Z$1&amp;"")</f>
        <v>0</v>
      </c>
      <c r="AA123" s="300" t="s">
        <v>1</v>
      </c>
      <c r="AB123" s="300" t="s">
        <v>1</v>
      </c>
      <c r="AC123" s="298" t="s">
        <v>1</v>
      </c>
      <c r="AD123" s="299" t="str" cm="1">
        <f t="array" aca="1" ref="AD123" ca="1">INDIRECT("'"&amp;$C123&amp;"'!"&amp;"$"&amp;$D123&amp;$AD$1&amp;"")</f>
        <v>CMS</v>
      </c>
      <c r="AE123" s="300" t="s">
        <v>1</v>
      </c>
      <c r="AF123" s="300" t="s">
        <v>1</v>
      </c>
      <c r="AG123" s="298" t="s">
        <v>1</v>
      </c>
      <c r="AH123" s="297" cm="1">
        <f t="array" aca="1" ref="AH123" ca="1">INDIRECT("'"&amp;$C123&amp;"'!"&amp;"$"&amp;$D123&amp;$AH$1&amp;"")</f>
        <v>3.8</v>
      </c>
      <c r="AI123" s="300">
        <v>13.92</v>
      </c>
      <c r="AJ123" s="300">
        <v>0.94</v>
      </c>
      <c r="AK123" s="298">
        <v>1.07</v>
      </c>
      <c r="AL123" s="297">
        <v>11.9</v>
      </c>
      <c r="AM123" s="301">
        <v>70.400000000000006</v>
      </c>
      <c r="AN123" s="297" cm="1">
        <f t="array" aca="1" ref="AN123" ca="1">INDIRECT("'"&amp;$C123&amp;"'!"&amp;"$"&amp;$D123&amp;$AL$1&amp;"")</f>
        <v>4</v>
      </c>
      <c r="AO123" s="300">
        <v>0.97</v>
      </c>
      <c r="AP123" s="298">
        <v>0.77</v>
      </c>
      <c r="AQ123" s="299" cm="1">
        <f t="array" aca="1" ref="AQ123" ca="1">INDIRECT("'"&amp;$C123&amp;"'!"&amp;"$"&amp;$D123&amp;$AQ$1&amp;"")</f>
        <v>4</v>
      </c>
      <c r="AR123" s="300">
        <v>0.97</v>
      </c>
      <c r="AS123" s="298">
        <v>0.89</v>
      </c>
      <c r="AT123" s="302">
        <v>0</v>
      </c>
      <c r="AU123" s="301">
        <v>69.900000000000006</v>
      </c>
      <c r="AV123" s="297" t="str" cm="1">
        <f t="array" aca="1" ref="AV123" ca="1">INDIRECT("'"&amp;$C123&amp;"'!"&amp;"$"&amp;$D123&amp;$AT$1&amp;"")</f>
        <v>PMS</v>
      </c>
      <c r="AW123" s="300" t="s">
        <v>1</v>
      </c>
      <c r="AX123" s="298" t="s">
        <v>1</v>
      </c>
      <c r="AY123" s="303">
        <v>69</v>
      </c>
      <c r="AZ123" s="302" cm="1">
        <f t="array" aca="1" ref="AZ123" ca="1">INDIRECT("'"&amp;$C123&amp;"'!"&amp;"$"&amp;$D123&amp;$AY$1&amp;"")</f>
        <v>10.900000000000002</v>
      </c>
      <c r="BA123" s="300">
        <v>0.97</v>
      </c>
      <c r="BB123" s="298">
        <v>2.7</v>
      </c>
      <c r="BC123" s="299" cm="1">
        <f t="array" aca="1" ref="BC123" ca="1">INDIRECT("'"&amp;$C123&amp;"'!"&amp;"$"&amp;$D123&amp;$BC$1&amp;"")</f>
        <v>1.18</v>
      </c>
      <c r="BD123" s="300"/>
      <c r="BE123" s="300">
        <v>0.99</v>
      </c>
      <c r="BF123" s="298">
        <v>0.14000000000000001</v>
      </c>
      <c r="BG123" s="299" cm="1">
        <f t="array" aca="1" ref="BG123" ca="1">INDIRECT("'"&amp;$C123&amp;"'!"&amp;"$"&amp;$D123&amp;$BG$1&amp;"")</f>
        <v>0.88</v>
      </c>
      <c r="BH123" s="300"/>
      <c r="BI123" s="300">
        <v>0.96</v>
      </c>
      <c r="BJ123" s="298">
        <v>0.24</v>
      </c>
      <c r="BK123" s="299" cm="1">
        <f t="array" aca="1" ref="BK123" ca="1">INDIRECT("'"&amp;$C123&amp;"'!"&amp;"$"&amp;$D123&amp;$BK$1&amp;"")</f>
        <v>4.5</v>
      </c>
      <c r="BL123" s="300"/>
      <c r="BM123" s="300">
        <v>0.95</v>
      </c>
      <c r="BN123" s="298">
        <v>1.4</v>
      </c>
    </row>
    <row r="124" spans="1:66" ht="15.75" thickBot="1" x14ac:dyDescent="0.25">
      <c r="A124" s="368">
        <v>45693</v>
      </c>
      <c r="B124" s="365">
        <v>0.79166666666666696</v>
      </c>
      <c r="C124" s="315">
        <v>5</v>
      </c>
      <c r="D124" s="319" t="s">
        <v>129</v>
      </c>
      <c r="E124" s="290">
        <v>14.2</v>
      </c>
      <c r="F124" s="291">
        <v>70.37</v>
      </c>
      <c r="G124" s="292" cm="1">
        <f t="array" aca="1" ref="G124" ca="1">INDIRECT("'"&amp;$C124&amp;"'!"&amp;"$"&amp;$D124&amp;$E$1&amp;"")</f>
        <v>6.6</v>
      </c>
      <c r="H124" s="293">
        <v>0.98</v>
      </c>
      <c r="I124" s="291">
        <v>1.31</v>
      </c>
      <c r="J124" s="292" cm="1">
        <f t="array" aca="1" ref="J124" ca="1">INDIRECT("'"&amp;$C124&amp;"'!"&amp;"$"&amp;$D124&amp;$J$1&amp;"")</f>
        <v>6.6</v>
      </c>
      <c r="K124" s="304"/>
      <c r="L124" s="293">
        <v>0.98</v>
      </c>
      <c r="M124" s="291">
        <v>1.32</v>
      </c>
      <c r="N124" s="292" cm="1">
        <f t="array" aca="1" ref="N124" ca="1">INDIRECT("'"&amp;$C124&amp;"'!"&amp;"$"&amp;$D124&amp;$N$1&amp;"")</f>
        <v>6.6</v>
      </c>
      <c r="O124" s="293"/>
      <c r="P124" s="293">
        <v>0.98</v>
      </c>
      <c r="Q124" s="291">
        <v>1.31</v>
      </c>
      <c r="R124" s="292" cm="1">
        <f t="array" aca="1" ref="R124" ca="1">INDIRECT("'"&amp;$C124&amp;"'!"&amp;"$"&amp;$D124&amp;$R$1&amp;"")</f>
        <v>6.6</v>
      </c>
      <c r="S124" s="293"/>
      <c r="T124" s="293">
        <v>0.96</v>
      </c>
      <c r="U124" s="291">
        <v>1.76</v>
      </c>
      <c r="V124" s="292" t="str" cm="1">
        <f t="array" aca="1" ref="V124" ca="1">INDIRECT("'"&amp;$C124&amp;"'!"&amp;"$"&amp;$D124&amp;$V$1&amp;"")</f>
        <v>CMS</v>
      </c>
      <c r="W124" s="293" t="s">
        <v>1</v>
      </c>
      <c r="X124" s="293" t="s">
        <v>1</v>
      </c>
      <c r="Y124" s="294" t="s">
        <v>1</v>
      </c>
      <c r="Z124" s="290" cm="1">
        <f t="array" aca="1" ref="Z124" ca="1">INDIRECT("'"&amp;$C124&amp;"'!"&amp;"$"&amp;$D124&amp;$Z$1&amp;"")</f>
        <v>0</v>
      </c>
      <c r="AA124" s="293" t="s">
        <v>1</v>
      </c>
      <c r="AB124" s="293" t="s">
        <v>1</v>
      </c>
      <c r="AC124" s="291" t="s">
        <v>1</v>
      </c>
      <c r="AD124" s="292" t="str" cm="1">
        <f t="array" aca="1" ref="AD124" ca="1">INDIRECT("'"&amp;$C124&amp;"'!"&amp;"$"&amp;$D124&amp;$AD$1&amp;"")</f>
        <v>CMS</v>
      </c>
      <c r="AE124" s="293" t="s">
        <v>1</v>
      </c>
      <c r="AF124" s="293" t="s">
        <v>1</v>
      </c>
      <c r="AG124" s="291" t="s">
        <v>1</v>
      </c>
      <c r="AH124" s="290" cm="1">
        <f t="array" aca="1" ref="AH124" ca="1">INDIRECT("'"&amp;$C124&amp;"'!"&amp;"$"&amp;$D124&amp;$AH$1&amp;"")</f>
        <v>3.8</v>
      </c>
      <c r="AI124" s="293">
        <v>13.88</v>
      </c>
      <c r="AJ124" s="293">
        <v>0.93</v>
      </c>
      <c r="AK124" s="291">
        <v>1.22</v>
      </c>
      <c r="AL124" s="290">
        <v>11.9</v>
      </c>
      <c r="AM124" s="294">
        <v>70.3</v>
      </c>
      <c r="AN124" s="290" cm="1">
        <f t="array" aca="1" ref="AN124" ca="1">INDIRECT("'"&amp;$C124&amp;"'!"&amp;"$"&amp;$D124&amp;$AL$1&amp;"")</f>
        <v>3.2</v>
      </c>
      <c r="AO124" s="293">
        <v>0.97</v>
      </c>
      <c r="AP124" s="291">
        <v>0.67</v>
      </c>
      <c r="AQ124" s="292" cm="1">
        <f t="array" aca="1" ref="AQ124" ca="1">INDIRECT("'"&amp;$C124&amp;"'!"&amp;"$"&amp;$D124&amp;$AQ$1&amp;"")</f>
        <v>3.2</v>
      </c>
      <c r="AR124" s="293">
        <v>0.97</v>
      </c>
      <c r="AS124" s="291">
        <v>0.57999999999999996</v>
      </c>
      <c r="AT124" s="295">
        <v>0</v>
      </c>
      <c r="AU124" s="294">
        <v>69.900000000000006</v>
      </c>
      <c r="AV124" s="290" t="str" cm="1">
        <f t="array" aca="1" ref="AV124" ca="1">INDIRECT("'"&amp;$C124&amp;"'!"&amp;"$"&amp;$D124&amp;$AT$1&amp;"")</f>
        <v>PMS</v>
      </c>
      <c r="AW124" s="293" t="s">
        <v>1</v>
      </c>
      <c r="AX124" s="291" t="s">
        <v>1</v>
      </c>
      <c r="AY124" s="296">
        <v>69.2</v>
      </c>
      <c r="AZ124" s="295" cm="1">
        <f t="array" aca="1" ref="AZ124" ca="1">INDIRECT("'"&amp;$C124&amp;"'!"&amp;"$"&amp;$D124&amp;$AY$1&amp;"")</f>
        <v>15.000000000000004</v>
      </c>
      <c r="BA124" s="293">
        <v>0.97</v>
      </c>
      <c r="BB124" s="291">
        <v>3.7</v>
      </c>
      <c r="BC124" s="292" cm="1">
        <f t="array" aca="1" ref="BC124" ca="1">INDIRECT("'"&amp;$C124&amp;"'!"&amp;"$"&amp;$D124&amp;$BC$1&amp;"")</f>
        <v>1.36</v>
      </c>
      <c r="BD124" s="293"/>
      <c r="BE124" s="293">
        <v>0.99</v>
      </c>
      <c r="BF124" s="291">
        <v>0.16</v>
      </c>
      <c r="BG124" s="292" cm="1">
        <f t="array" aca="1" ref="BG124" ca="1">INDIRECT("'"&amp;$C124&amp;"'!"&amp;"$"&amp;$D124&amp;$BG$1&amp;"")</f>
        <v>1</v>
      </c>
      <c r="BH124" s="293"/>
      <c r="BI124" s="293">
        <v>0.96</v>
      </c>
      <c r="BJ124" s="291">
        <v>0.25</v>
      </c>
      <c r="BK124" s="292" cm="1">
        <f t="array" aca="1" ref="BK124" ca="1">INDIRECT("'"&amp;$C124&amp;"'!"&amp;"$"&amp;$D124&amp;$BK$1&amp;"")</f>
        <v>5</v>
      </c>
      <c r="BL124" s="293"/>
      <c r="BM124" s="293">
        <v>0.95</v>
      </c>
      <c r="BN124" s="291">
        <v>1.6</v>
      </c>
    </row>
    <row r="125" spans="1:66" ht="15.75" thickBot="1" x14ac:dyDescent="0.25">
      <c r="A125" s="368">
        <v>45693</v>
      </c>
      <c r="B125" s="365">
        <v>0.83333333333333337</v>
      </c>
      <c r="C125" s="315">
        <v>5</v>
      </c>
      <c r="D125" s="319" t="s">
        <v>130</v>
      </c>
      <c r="E125" s="297">
        <v>14.3</v>
      </c>
      <c r="F125" s="298">
        <v>71.06</v>
      </c>
      <c r="G125" s="299" cm="1">
        <f t="array" aca="1" ref="G125" ca="1">INDIRECT("'"&amp;$C125&amp;"'!"&amp;"$"&amp;$D125&amp;$E$1&amp;"")</f>
        <v>6.5</v>
      </c>
      <c r="H125" s="300">
        <v>0.98</v>
      </c>
      <c r="I125" s="298">
        <v>1.3</v>
      </c>
      <c r="J125" s="299" cm="1">
        <f t="array" aca="1" ref="J125" ca="1">INDIRECT("'"&amp;$C125&amp;"'!"&amp;"$"&amp;$D125&amp;$J$1&amp;"")</f>
        <v>6.5</v>
      </c>
      <c r="K125" s="300"/>
      <c r="L125" s="300">
        <v>0.98</v>
      </c>
      <c r="M125" s="298">
        <v>1.18</v>
      </c>
      <c r="N125" s="299" cm="1">
        <f t="array" aca="1" ref="N125" ca="1">INDIRECT("'"&amp;$C125&amp;"'!"&amp;"$"&amp;$D125&amp;$N$1&amp;"")</f>
        <v>6.5</v>
      </c>
      <c r="O125" s="300"/>
      <c r="P125" s="300">
        <v>0.98</v>
      </c>
      <c r="Q125" s="298">
        <v>1.22</v>
      </c>
      <c r="R125" s="299" cm="1">
        <f t="array" aca="1" ref="R125" ca="1">INDIRECT("'"&amp;$C125&amp;"'!"&amp;"$"&amp;$D125&amp;$R$1&amp;"")</f>
        <v>6.5</v>
      </c>
      <c r="S125" s="300"/>
      <c r="T125" s="300">
        <v>0.98</v>
      </c>
      <c r="U125" s="298">
        <v>1.27</v>
      </c>
      <c r="V125" s="299" t="str" cm="1">
        <f t="array" aca="1" ref="V125" ca="1">INDIRECT("'"&amp;$C125&amp;"'!"&amp;"$"&amp;$D125&amp;$V$1&amp;"")</f>
        <v>CMS</v>
      </c>
      <c r="W125" s="300" t="s">
        <v>1</v>
      </c>
      <c r="X125" s="300" t="s">
        <v>1</v>
      </c>
      <c r="Y125" s="301" t="s">
        <v>1</v>
      </c>
      <c r="Z125" s="297" cm="1">
        <f t="array" aca="1" ref="Z125" ca="1">INDIRECT("'"&amp;$C125&amp;"'!"&amp;"$"&amp;$D125&amp;$Z$1&amp;"")</f>
        <v>0</v>
      </c>
      <c r="AA125" s="300" t="s">
        <v>1</v>
      </c>
      <c r="AB125" s="300" t="s">
        <v>1</v>
      </c>
      <c r="AC125" s="298" t="s">
        <v>1</v>
      </c>
      <c r="AD125" s="299" t="str" cm="1">
        <f t="array" aca="1" ref="AD125" ca="1">INDIRECT("'"&amp;$C125&amp;"'!"&amp;"$"&amp;$D125&amp;$AD$1&amp;"")</f>
        <v>CMS</v>
      </c>
      <c r="AE125" s="300" t="s">
        <v>1</v>
      </c>
      <c r="AF125" s="300" t="s">
        <v>1</v>
      </c>
      <c r="AG125" s="298" t="s">
        <v>1</v>
      </c>
      <c r="AH125" s="297" cm="1">
        <f t="array" aca="1" ref="AH125" ca="1">INDIRECT("'"&amp;$C125&amp;"'!"&amp;"$"&amp;$D125&amp;$AH$1&amp;"")</f>
        <v>3.8</v>
      </c>
      <c r="AI125" s="300">
        <v>13.92</v>
      </c>
      <c r="AJ125" s="300">
        <v>0.93</v>
      </c>
      <c r="AK125" s="298">
        <v>1.1299999999999999</v>
      </c>
      <c r="AL125" s="297">
        <v>11.9</v>
      </c>
      <c r="AM125" s="301">
        <v>70.3</v>
      </c>
      <c r="AN125" s="297" cm="1">
        <f t="array" aca="1" ref="AN125" ca="1">INDIRECT("'"&amp;$C125&amp;"'!"&amp;"$"&amp;$D125&amp;$AL$1&amp;"")</f>
        <v>2.5</v>
      </c>
      <c r="AO125" s="300">
        <v>0.96</v>
      </c>
      <c r="AP125" s="298">
        <v>0.36</v>
      </c>
      <c r="AQ125" s="299" cm="1">
        <f t="array" aca="1" ref="AQ125" ca="1">INDIRECT("'"&amp;$C125&amp;"'!"&amp;"$"&amp;$D125&amp;$AQ$1&amp;"")</f>
        <v>2.5</v>
      </c>
      <c r="AR125" s="300">
        <v>0.96</v>
      </c>
      <c r="AS125" s="298">
        <v>0.28999999999999998</v>
      </c>
      <c r="AT125" s="302">
        <v>0</v>
      </c>
      <c r="AU125" s="301">
        <v>70</v>
      </c>
      <c r="AV125" s="297" t="str" cm="1">
        <f t="array" aca="1" ref="AV125" ca="1">INDIRECT("'"&amp;$C125&amp;"'!"&amp;"$"&amp;$D125&amp;$AT$1&amp;"")</f>
        <v>PMS</v>
      </c>
      <c r="AW125" s="300" t="s">
        <v>1</v>
      </c>
      <c r="AX125" s="298" t="s">
        <v>1</v>
      </c>
      <c r="AY125" s="303">
        <v>69.5</v>
      </c>
      <c r="AZ125" s="302" cm="1">
        <f t="array" aca="1" ref="AZ125" ca="1">INDIRECT("'"&amp;$C125&amp;"'!"&amp;"$"&amp;$D125&amp;$AY$1&amp;"")</f>
        <v>15.000000000000004</v>
      </c>
      <c r="BA125" s="300">
        <v>0.97</v>
      </c>
      <c r="BB125" s="298">
        <v>3.7</v>
      </c>
      <c r="BC125" s="299" cm="1">
        <f t="array" aca="1" ref="BC125" ca="1">INDIRECT("'"&amp;$C125&amp;"'!"&amp;"$"&amp;$D125&amp;$BC$1&amp;"")</f>
        <v>1.33</v>
      </c>
      <c r="BD125" s="300"/>
      <c r="BE125" s="300">
        <v>0.99</v>
      </c>
      <c r="BF125" s="298">
        <v>0.15</v>
      </c>
      <c r="BG125" s="299" cm="1">
        <f t="array" aca="1" ref="BG125" ca="1">INDIRECT("'"&amp;$C125&amp;"'!"&amp;"$"&amp;$D125&amp;$BG$1&amp;"")</f>
        <v>1.02</v>
      </c>
      <c r="BH125" s="300"/>
      <c r="BI125" s="300">
        <v>0.96</v>
      </c>
      <c r="BJ125" s="298">
        <v>0.27</v>
      </c>
      <c r="BK125" s="299" cm="1">
        <f t="array" aca="1" ref="BK125" ca="1">INDIRECT("'"&amp;$C125&amp;"'!"&amp;"$"&amp;$D125&amp;$BK$1&amp;"")</f>
        <v>5</v>
      </c>
      <c r="BL125" s="300"/>
      <c r="BM125" s="300">
        <v>0.95</v>
      </c>
      <c r="BN125" s="298">
        <v>1.5</v>
      </c>
    </row>
    <row r="126" spans="1:66" ht="15.75" thickBot="1" x14ac:dyDescent="0.25">
      <c r="A126" s="368">
        <v>45693</v>
      </c>
      <c r="B126" s="365">
        <v>0.875000000000001</v>
      </c>
      <c r="C126" s="315">
        <v>5</v>
      </c>
      <c r="D126" s="319" t="s">
        <v>131</v>
      </c>
      <c r="E126" s="290">
        <v>14.3</v>
      </c>
      <c r="F126" s="291">
        <v>71.06</v>
      </c>
      <c r="G126" s="292" cm="1">
        <f t="array" aca="1" ref="G126" ca="1">INDIRECT("'"&amp;$C126&amp;"'!"&amp;"$"&amp;$D126&amp;$E$1&amp;"")</f>
        <v>6.4</v>
      </c>
      <c r="H126" s="293">
        <v>0.99</v>
      </c>
      <c r="I126" s="291">
        <v>0.92</v>
      </c>
      <c r="J126" s="292" cm="1">
        <f t="array" aca="1" ref="J126" ca="1">INDIRECT("'"&amp;$C126&amp;"'!"&amp;"$"&amp;$D126&amp;$J$1&amp;"")</f>
        <v>6.4</v>
      </c>
      <c r="K126" s="293"/>
      <c r="L126" s="293">
        <v>0.99</v>
      </c>
      <c r="M126" s="291">
        <v>0.91</v>
      </c>
      <c r="N126" s="292" cm="1">
        <f t="array" aca="1" ref="N126" ca="1">INDIRECT("'"&amp;$C126&amp;"'!"&amp;"$"&amp;$D126&amp;$N$1&amp;"")</f>
        <v>6.4</v>
      </c>
      <c r="O126" s="293"/>
      <c r="P126" s="293">
        <v>0.99</v>
      </c>
      <c r="Q126" s="291">
        <v>0.92</v>
      </c>
      <c r="R126" s="292" cm="1">
        <f t="array" aca="1" ref="R126" ca="1">INDIRECT("'"&amp;$C126&amp;"'!"&amp;"$"&amp;$D126&amp;$R$1&amp;"")</f>
        <v>6.4</v>
      </c>
      <c r="S126" s="293"/>
      <c r="T126" s="293">
        <v>0.99</v>
      </c>
      <c r="U126" s="291">
        <v>0.93</v>
      </c>
      <c r="V126" s="292" t="str" cm="1">
        <f t="array" aca="1" ref="V126" ca="1">INDIRECT("'"&amp;$C126&amp;"'!"&amp;"$"&amp;$D126&amp;$V$1&amp;"")</f>
        <v>CMS</v>
      </c>
      <c r="W126" s="293" t="s">
        <v>1</v>
      </c>
      <c r="X126" s="293" t="s">
        <v>1</v>
      </c>
      <c r="Y126" s="294" t="s">
        <v>1</v>
      </c>
      <c r="Z126" s="290" cm="1">
        <f t="array" aca="1" ref="Z126" ca="1">INDIRECT("'"&amp;$C126&amp;"'!"&amp;"$"&amp;$D126&amp;$Z$1&amp;"")</f>
        <v>0</v>
      </c>
      <c r="AA126" s="293" t="s">
        <v>1</v>
      </c>
      <c r="AB126" s="293" t="s">
        <v>1</v>
      </c>
      <c r="AC126" s="291" t="s">
        <v>1</v>
      </c>
      <c r="AD126" s="292" t="str" cm="1">
        <f t="array" aca="1" ref="AD126" ca="1">INDIRECT("'"&amp;$C126&amp;"'!"&amp;"$"&amp;$D126&amp;$AD$1&amp;"")</f>
        <v>CMS</v>
      </c>
      <c r="AE126" s="293" t="s">
        <v>1</v>
      </c>
      <c r="AF126" s="293" t="s">
        <v>1</v>
      </c>
      <c r="AG126" s="291" t="s">
        <v>1</v>
      </c>
      <c r="AH126" s="290" cm="1">
        <f t="array" aca="1" ref="AH126" ca="1">INDIRECT("'"&amp;$C126&amp;"'!"&amp;"$"&amp;$D126&amp;$AH$1&amp;"")</f>
        <v>3.8</v>
      </c>
      <c r="AI126" s="293">
        <v>13.92</v>
      </c>
      <c r="AJ126" s="293">
        <v>0.94</v>
      </c>
      <c r="AK126" s="291">
        <v>1.06</v>
      </c>
      <c r="AL126" s="290">
        <v>11.8</v>
      </c>
      <c r="AM126" s="294">
        <v>70.5</v>
      </c>
      <c r="AN126" s="290" cm="1">
        <f t="array" aca="1" ref="AN126" ca="1">INDIRECT("'"&amp;$C126&amp;"'!"&amp;"$"&amp;$D126&amp;$AL$1&amp;"")</f>
        <v>2</v>
      </c>
      <c r="AO126" s="293">
        <v>0.98</v>
      </c>
      <c r="AP126" s="291">
        <v>0.18</v>
      </c>
      <c r="AQ126" s="292" cm="1">
        <f t="array" aca="1" ref="AQ126" ca="1">INDIRECT("'"&amp;$C126&amp;"'!"&amp;"$"&amp;$D126&amp;$AQ$1&amp;"")</f>
        <v>2</v>
      </c>
      <c r="AR126" s="293">
        <v>0.98</v>
      </c>
      <c r="AS126" s="291">
        <v>0.18</v>
      </c>
      <c r="AT126" s="295">
        <v>0</v>
      </c>
      <c r="AU126" s="294">
        <v>69.900000000000006</v>
      </c>
      <c r="AV126" s="290" t="str" cm="1">
        <f t="array" aca="1" ref="AV126" ca="1">INDIRECT("'"&amp;$C126&amp;"'!"&amp;"$"&amp;$D126&amp;$AT$1&amp;"")</f>
        <v>PMS</v>
      </c>
      <c r="AW126" s="293" t="s">
        <v>1</v>
      </c>
      <c r="AX126" s="291" t="s">
        <v>1</v>
      </c>
      <c r="AY126" s="296">
        <v>69.599999999999994</v>
      </c>
      <c r="AZ126" s="295" cm="1">
        <f t="array" aca="1" ref="AZ126" ca="1">INDIRECT("'"&amp;$C126&amp;"'!"&amp;"$"&amp;$D126&amp;$AY$1&amp;"")</f>
        <v>12.799999999999997</v>
      </c>
      <c r="BA126" s="293">
        <v>0.98</v>
      </c>
      <c r="BB126" s="291">
        <v>2.5</v>
      </c>
      <c r="BC126" s="292" cm="1">
        <f t="array" aca="1" ref="BC126" ca="1">INDIRECT("'"&amp;$C126&amp;"'!"&amp;"$"&amp;$D126&amp;$BC$1&amp;"")</f>
        <v>1.2</v>
      </c>
      <c r="BD126" s="293"/>
      <c r="BE126" s="293">
        <v>0.99</v>
      </c>
      <c r="BF126" s="291">
        <v>0.14000000000000001</v>
      </c>
      <c r="BG126" s="292" cm="1">
        <f t="array" aca="1" ref="BG126" ca="1">INDIRECT("'"&amp;$C126&amp;"'!"&amp;"$"&amp;$D126&amp;$BG$1&amp;"")</f>
        <v>0.97</v>
      </c>
      <c r="BH126" s="293"/>
      <c r="BI126" s="293">
        <v>0.97</v>
      </c>
      <c r="BJ126" s="291">
        <v>0.25</v>
      </c>
      <c r="BK126" s="292" cm="1">
        <f t="array" aca="1" ref="BK126" ca="1">INDIRECT("'"&amp;$C126&amp;"'!"&amp;"$"&amp;$D126&amp;$BK$1&amp;"")</f>
        <v>4.8</v>
      </c>
      <c r="BL126" s="293"/>
      <c r="BM126" s="293">
        <v>0.95</v>
      </c>
      <c r="BN126" s="291">
        <v>1.5</v>
      </c>
    </row>
    <row r="127" spans="1:66" ht="15.75" thickBot="1" x14ac:dyDescent="0.25">
      <c r="A127" s="368">
        <v>45693</v>
      </c>
      <c r="B127" s="365">
        <v>0.91666666666666696</v>
      </c>
      <c r="C127" s="315">
        <v>5</v>
      </c>
      <c r="D127" s="319" t="s">
        <v>132</v>
      </c>
      <c r="E127" s="297">
        <v>14.2</v>
      </c>
      <c r="F127" s="298">
        <v>70.62</v>
      </c>
      <c r="G127" s="299" cm="1">
        <f t="array" aca="1" ref="G127" ca="1">INDIRECT("'"&amp;$C127&amp;"'!"&amp;"$"&amp;$D127&amp;$E$1&amp;"")</f>
        <v>6</v>
      </c>
      <c r="H127" s="300">
        <v>0.99</v>
      </c>
      <c r="I127" s="298">
        <v>0.99</v>
      </c>
      <c r="J127" s="299" cm="1">
        <f t="array" aca="1" ref="J127" ca="1">INDIRECT("'"&amp;$C127&amp;"'!"&amp;"$"&amp;$D127&amp;$J$1&amp;"")</f>
        <v>6</v>
      </c>
      <c r="K127" s="300"/>
      <c r="L127" s="300">
        <v>0.99</v>
      </c>
      <c r="M127" s="298">
        <v>0.93</v>
      </c>
      <c r="N127" s="299" cm="1">
        <f t="array" aca="1" ref="N127" ca="1">INDIRECT("'"&amp;$C127&amp;"'!"&amp;"$"&amp;$D127&amp;$N$1&amp;"")</f>
        <v>6</v>
      </c>
      <c r="O127" s="300"/>
      <c r="P127" s="300">
        <v>0.99</v>
      </c>
      <c r="Q127" s="298">
        <v>0.89</v>
      </c>
      <c r="R127" s="299" cm="1">
        <f t="array" aca="1" ref="R127" ca="1">INDIRECT("'"&amp;$C127&amp;"'!"&amp;"$"&amp;$D127&amp;$R$1&amp;"")</f>
        <v>6</v>
      </c>
      <c r="S127" s="300"/>
      <c r="T127" s="300">
        <v>0.99</v>
      </c>
      <c r="U127" s="298">
        <v>0.89</v>
      </c>
      <c r="V127" s="299" t="str" cm="1">
        <f t="array" aca="1" ref="V127" ca="1">INDIRECT("'"&amp;$C127&amp;"'!"&amp;"$"&amp;$D127&amp;$V$1&amp;"")</f>
        <v>CMS</v>
      </c>
      <c r="W127" s="300" t="s">
        <v>1</v>
      </c>
      <c r="X127" s="300" t="s">
        <v>1</v>
      </c>
      <c r="Y127" s="301" t="s">
        <v>1</v>
      </c>
      <c r="Z127" s="297" cm="1">
        <f t="array" aca="1" ref="Z127" ca="1">INDIRECT("'"&amp;$C127&amp;"'!"&amp;"$"&amp;$D127&amp;$Z$1&amp;"")</f>
        <v>0</v>
      </c>
      <c r="AA127" s="300" t="s">
        <v>1</v>
      </c>
      <c r="AB127" s="300" t="s">
        <v>1</v>
      </c>
      <c r="AC127" s="298" t="s">
        <v>1</v>
      </c>
      <c r="AD127" s="299" t="str" cm="1">
        <f t="array" aca="1" ref="AD127" ca="1">INDIRECT("'"&amp;$C127&amp;"'!"&amp;"$"&amp;$D127&amp;$AD$1&amp;"")</f>
        <v>CMS</v>
      </c>
      <c r="AE127" s="300" t="s">
        <v>1</v>
      </c>
      <c r="AF127" s="300" t="s">
        <v>1</v>
      </c>
      <c r="AG127" s="298" t="s">
        <v>1</v>
      </c>
      <c r="AH127" s="297" t="str" cm="1">
        <f t="array" aca="1" ref="AH127" ca="1">INDIRECT("'"&amp;$C127&amp;"'!"&amp;"$"&amp;$D127&amp;$AH$1&amp;"")</f>
        <v>CMS</v>
      </c>
      <c r="AI127" s="300" t="s">
        <v>1</v>
      </c>
      <c r="AJ127" s="300" t="s">
        <v>1</v>
      </c>
      <c r="AK127" s="298" t="s">
        <v>1</v>
      </c>
      <c r="AL127" s="297">
        <v>11.8</v>
      </c>
      <c r="AM127" s="301">
        <v>70.5</v>
      </c>
      <c r="AN127" s="297" cm="1">
        <f t="array" aca="1" ref="AN127" ca="1">INDIRECT("'"&amp;$C127&amp;"'!"&amp;"$"&amp;$D127&amp;$AL$1&amp;"")</f>
        <v>1</v>
      </c>
      <c r="AO127" s="300">
        <v>0.96</v>
      </c>
      <c r="AP127" s="298">
        <v>0.36</v>
      </c>
      <c r="AQ127" s="299" cm="1">
        <f t="array" aca="1" ref="AQ127" ca="1">INDIRECT("'"&amp;$C127&amp;"'!"&amp;"$"&amp;$D127&amp;$AQ$1&amp;"")</f>
        <v>1</v>
      </c>
      <c r="AR127" s="300">
        <v>0.96</v>
      </c>
      <c r="AS127" s="298">
        <v>0.3</v>
      </c>
      <c r="AT127" s="302">
        <v>0</v>
      </c>
      <c r="AU127" s="301">
        <v>69.900000000000006</v>
      </c>
      <c r="AV127" s="297" t="str" cm="1">
        <f t="array" aca="1" ref="AV127" ca="1">INDIRECT("'"&amp;$C127&amp;"'!"&amp;"$"&amp;$D127&amp;$AT$1&amp;"")</f>
        <v>PMS</v>
      </c>
      <c r="AW127" s="300" t="s">
        <v>1</v>
      </c>
      <c r="AX127" s="298" t="s">
        <v>1</v>
      </c>
      <c r="AY127" s="303">
        <v>69.400000000000006</v>
      </c>
      <c r="AZ127" s="302" cm="1">
        <f t="array" aca="1" ref="AZ127" ca="1">INDIRECT("'"&amp;$C127&amp;"'!"&amp;"$"&amp;$D127&amp;$AY$1&amp;"")</f>
        <v>12.7</v>
      </c>
      <c r="BA127" s="300">
        <v>0.98</v>
      </c>
      <c r="BB127" s="298">
        <v>2.5</v>
      </c>
      <c r="BC127" s="299" cm="1">
        <f t="array" aca="1" ref="BC127" ca="1">INDIRECT("'"&amp;$C127&amp;"'!"&amp;"$"&amp;$D127&amp;$BC$1&amp;"")</f>
        <v>1.02</v>
      </c>
      <c r="BD127" s="300"/>
      <c r="BE127" s="300">
        <v>0.99</v>
      </c>
      <c r="BF127" s="298">
        <v>0.11</v>
      </c>
      <c r="BG127" s="299" cm="1">
        <f t="array" aca="1" ref="BG127" ca="1">INDIRECT("'"&amp;$C127&amp;"'!"&amp;"$"&amp;$D127&amp;$BG$1&amp;"")</f>
        <v>0.92</v>
      </c>
      <c r="BH127" s="300"/>
      <c r="BI127" s="300">
        <v>0.97</v>
      </c>
      <c r="BJ127" s="298">
        <v>0.24</v>
      </c>
      <c r="BK127" s="299" cm="1">
        <f t="array" aca="1" ref="BK127" ca="1">INDIRECT("'"&amp;$C127&amp;"'!"&amp;"$"&amp;$D127&amp;$BK$1&amp;"")</f>
        <v>4.3099999999999996</v>
      </c>
      <c r="BL127" s="300"/>
      <c r="BM127" s="300">
        <v>0.95</v>
      </c>
      <c r="BN127" s="298">
        <v>1.4</v>
      </c>
    </row>
    <row r="128" spans="1:66" ht="15.75" thickBot="1" x14ac:dyDescent="0.25">
      <c r="A128" s="369">
        <v>45693</v>
      </c>
      <c r="B128" s="366">
        <v>0.95833333333333404</v>
      </c>
      <c r="C128" s="315">
        <v>5</v>
      </c>
      <c r="D128" s="321" t="s">
        <v>133</v>
      </c>
      <c r="E128" s="305">
        <v>14.2</v>
      </c>
      <c r="F128" s="306">
        <v>70.87</v>
      </c>
      <c r="G128" s="307" cm="1">
        <f t="array" aca="1" ref="G128" ca="1">INDIRECT("'"&amp;$C128&amp;"'!"&amp;"$"&amp;$D128&amp;$E$1&amp;"")</f>
        <v>5.9</v>
      </c>
      <c r="H128" s="308">
        <v>0.99</v>
      </c>
      <c r="I128" s="306">
        <v>0.67</v>
      </c>
      <c r="J128" s="307" cm="1">
        <f t="array" aca="1" ref="J128" ca="1">INDIRECT("'"&amp;$C128&amp;"'!"&amp;"$"&amp;$D128&amp;$J$1&amp;"")</f>
        <v>5.9</v>
      </c>
      <c r="K128" s="308"/>
      <c r="L128" s="308">
        <v>0.99</v>
      </c>
      <c r="M128" s="306">
        <v>0.65</v>
      </c>
      <c r="N128" s="307" cm="1">
        <f t="array" aca="1" ref="N128" ca="1">INDIRECT("'"&amp;$C128&amp;"'!"&amp;"$"&amp;$D128&amp;$N$1&amp;"")</f>
        <v>5.9</v>
      </c>
      <c r="O128" s="308"/>
      <c r="P128" s="308">
        <v>0.99</v>
      </c>
      <c r="Q128" s="306">
        <v>0.75</v>
      </c>
      <c r="R128" s="307" cm="1">
        <f t="array" aca="1" ref="R128" ca="1">INDIRECT("'"&amp;$C128&amp;"'!"&amp;"$"&amp;$D128&amp;$R$1&amp;"")</f>
        <v>5.9</v>
      </c>
      <c r="S128" s="308"/>
      <c r="T128" s="308">
        <v>0.99</v>
      </c>
      <c r="U128" s="306">
        <v>0.68</v>
      </c>
      <c r="V128" s="307" t="str" cm="1">
        <f t="array" aca="1" ref="V128" ca="1">INDIRECT("'"&amp;$C128&amp;"'!"&amp;"$"&amp;$D128&amp;$V$1&amp;"")</f>
        <v>CMS</v>
      </c>
      <c r="W128" s="308" t="s">
        <v>1</v>
      </c>
      <c r="X128" s="308" t="s">
        <v>1</v>
      </c>
      <c r="Y128" s="309" t="s">
        <v>1</v>
      </c>
      <c r="Z128" s="305" cm="1">
        <f t="array" aca="1" ref="Z128" ca="1">INDIRECT("'"&amp;$C128&amp;"'!"&amp;"$"&amp;$D128&amp;$Z$1&amp;"")</f>
        <v>0</v>
      </c>
      <c r="AA128" s="308" t="s">
        <v>1</v>
      </c>
      <c r="AB128" s="308" t="s">
        <v>1</v>
      </c>
      <c r="AC128" s="306" t="s">
        <v>1</v>
      </c>
      <c r="AD128" s="307" t="str" cm="1">
        <f t="array" aca="1" ref="AD128" ca="1">INDIRECT("'"&amp;$C128&amp;"'!"&amp;"$"&amp;$D128&amp;$AD$1&amp;"")</f>
        <v>CMS</v>
      </c>
      <c r="AE128" s="308" t="s">
        <v>1</v>
      </c>
      <c r="AF128" s="308" t="s">
        <v>1</v>
      </c>
      <c r="AG128" s="309" t="s">
        <v>1</v>
      </c>
      <c r="AH128" s="305" t="str" cm="1">
        <f t="array" aca="1" ref="AH128" ca="1">INDIRECT("'"&amp;$C128&amp;"'!"&amp;"$"&amp;$D128&amp;$AH$1&amp;"")</f>
        <v>CMS</v>
      </c>
      <c r="AI128" s="308" t="s">
        <v>1</v>
      </c>
      <c r="AJ128" s="308" t="s">
        <v>1</v>
      </c>
      <c r="AK128" s="306" t="s">
        <v>1</v>
      </c>
      <c r="AL128" s="305">
        <v>11.8</v>
      </c>
      <c r="AM128" s="309">
        <v>70.5</v>
      </c>
      <c r="AN128" s="305" cm="1">
        <f t="array" aca="1" ref="AN128" ca="1">INDIRECT("'"&amp;$C128&amp;"'!"&amp;"$"&amp;$D128&amp;$AL$1&amp;"")</f>
        <v>2</v>
      </c>
      <c r="AO128" s="308">
        <v>0.99</v>
      </c>
      <c r="AP128" s="306">
        <v>0.31</v>
      </c>
      <c r="AQ128" s="307" cm="1">
        <f t="array" aca="1" ref="AQ128" ca="1">INDIRECT("'"&amp;$C128&amp;"'!"&amp;"$"&amp;$D128&amp;$AQ$1&amp;"")</f>
        <v>2</v>
      </c>
      <c r="AR128" s="308">
        <v>0.99</v>
      </c>
      <c r="AS128" s="306">
        <v>0.3</v>
      </c>
      <c r="AT128" s="310">
        <v>0</v>
      </c>
      <c r="AU128" s="309">
        <v>69.8</v>
      </c>
      <c r="AV128" s="305" t="str" cm="1">
        <f t="array" aca="1" ref="AV128" ca="1">INDIRECT("'"&amp;$C128&amp;"'!"&amp;"$"&amp;$D128&amp;$AT$1&amp;"")</f>
        <v>PMS</v>
      </c>
      <c r="AW128" s="308" t="s">
        <v>1</v>
      </c>
      <c r="AX128" s="306" t="s">
        <v>1</v>
      </c>
      <c r="AY128" s="311">
        <v>69.8</v>
      </c>
      <c r="AZ128" s="295" cm="1">
        <f t="array" aca="1" ref="AZ128" ca="1">INDIRECT("'"&amp;$C128&amp;"'!"&amp;"$"&amp;$D128&amp;$AY$1&amp;"")</f>
        <v>12.7</v>
      </c>
      <c r="BA128" s="308">
        <v>0.99</v>
      </c>
      <c r="BB128" s="306">
        <v>1.7</v>
      </c>
      <c r="BC128" s="307" cm="1">
        <f t="array" aca="1" ref="BC128" ca="1">INDIRECT("'"&amp;$C128&amp;"'!"&amp;"$"&amp;$D128&amp;$BC$1&amp;"")</f>
        <v>0.88</v>
      </c>
      <c r="BD128" s="308"/>
      <c r="BE128" s="308">
        <v>0.99</v>
      </c>
      <c r="BF128" s="306">
        <v>0.1</v>
      </c>
      <c r="BG128" s="307" cm="1">
        <f t="array" aca="1" ref="BG128" ca="1">INDIRECT("'"&amp;$C128&amp;"'!"&amp;"$"&amp;$D128&amp;$BG$1&amp;"")</f>
        <v>0.88</v>
      </c>
      <c r="BH128" s="308"/>
      <c r="BI128" s="308">
        <v>0.97</v>
      </c>
      <c r="BJ128" s="306">
        <v>0.23</v>
      </c>
      <c r="BK128" s="307" cm="1">
        <f t="array" aca="1" ref="BK128" ca="1">INDIRECT("'"&amp;$C128&amp;"'!"&amp;"$"&amp;$D128&amp;$BK$1&amp;"")</f>
        <v>3.8</v>
      </c>
      <c r="BL128" s="308"/>
      <c r="BM128" s="308">
        <v>0.95</v>
      </c>
      <c r="BN128" s="306">
        <v>1.2</v>
      </c>
    </row>
    <row r="129" spans="1:66" ht="8.1" customHeight="1" thickBot="1" x14ac:dyDescent="0.25">
      <c r="AY129" s="314"/>
      <c r="AZ129" s="314"/>
    </row>
    <row r="130" spans="1:66" ht="15.75" thickBot="1" x14ac:dyDescent="0.25">
      <c r="A130" s="367">
        <v>45694</v>
      </c>
      <c r="B130" s="364">
        <v>0</v>
      </c>
      <c r="C130" s="315">
        <v>6</v>
      </c>
      <c r="D130" s="316" t="s">
        <v>110</v>
      </c>
      <c r="E130" s="284">
        <v>14.2</v>
      </c>
      <c r="F130" s="285">
        <v>70.56</v>
      </c>
      <c r="G130" s="286" cm="1">
        <f t="array" aca="1" ref="G130" ca="1">INDIRECT("'"&amp;$C130&amp;"'!"&amp;"$"&amp;$D130&amp;$E$1&amp;"")</f>
        <v>6.6</v>
      </c>
      <c r="H130" s="287">
        <v>0.99</v>
      </c>
      <c r="I130" s="285">
        <v>0.65</v>
      </c>
      <c r="J130" s="286" t="str" cm="1">
        <f t="array" aca="1" ref="J130" ca="1">INDIRECT("'"&amp;$C130&amp;"'!"&amp;"$"&amp;$D130&amp;$J$1&amp;"")</f>
        <v>CMS</v>
      </c>
      <c r="K130" s="287"/>
      <c r="L130" s="287" t="s">
        <v>1</v>
      </c>
      <c r="M130" s="285" t="s">
        <v>1</v>
      </c>
      <c r="N130" s="286" cm="1">
        <f t="array" aca="1" ref="N130" ca="1">INDIRECT("'"&amp;$C130&amp;"'!"&amp;"$"&amp;$D130&amp;$N$1&amp;"")</f>
        <v>6.6</v>
      </c>
      <c r="O130" s="287"/>
      <c r="P130" s="287">
        <v>0.99</v>
      </c>
      <c r="Q130" s="285">
        <v>0.86</v>
      </c>
      <c r="R130" s="286" cm="1">
        <f t="array" aca="1" ref="R130" ca="1">INDIRECT("'"&amp;$C130&amp;"'!"&amp;"$"&amp;$D130&amp;$R$1&amp;"")</f>
        <v>6.6</v>
      </c>
      <c r="S130" s="287"/>
      <c r="T130" s="287">
        <v>1</v>
      </c>
      <c r="U130" s="285">
        <v>0</v>
      </c>
      <c r="V130" s="286" t="str" cm="1">
        <f t="array" aca="1" ref="V130" ca="1">INDIRECT("'"&amp;$C130&amp;"'!"&amp;"$"&amp;$D130&amp;$V$1&amp;"")</f>
        <v>CMS</v>
      </c>
      <c r="W130" s="287" t="s">
        <v>1</v>
      </c>
      <c r="X130" s="287" t="s">
        <v>1</v>
      </c>
      <c r="Y130" s="288" t="s">
        <v>1</v>
      </c>
      <c r="Z130" s="284" cm="1">
        <f t="array" aca="1" ref="Z130" ca="1">INDIRECT("'"&amp;$C130&amp;"'!"&amp;"$"&amp;$D130&amp;$Z$1&amp;"")</f>
        <v>0</v>
      </c>
      <c r="AA130" s="287" t="s">
        <v>1</v>
      </c>
      <c r="AB130" s="287" t="s">
        <v>1</v>
      </c>
      <c r="AC130" s="285" t="s">
        <v>1</v>
      </c>
      <c r="AD130" s="286" t="str" cm="1">
        <f t="array" aca="1" ref="AD130" ca="1">INDIRECT("'"&amp;$C130&amp;"'!"&amp;"$"&amp;$D130&amp;$AD$1&amp;"")</f>
        <v>CMS</v>
      </c>
      <c r="AE130" s="287" t="s">
        <v>1</v>
      </c>
      <c r="AF130" s="287" t="s">
        <v>1</v>
      </c>
      <c r="AG130" s="285" t="s">
        <v>1</v>
      </c>
      <c r="AH130" s="284" cm="1">
        <f t="array" aca="1" ref="AH130" ca="1">INDIRECT("'"&amp;$C130&amp;"'!"&amp;"$"&amp;$D130&amp;$AH$1&amp;"")</f>
        <v>0.5</v>
      </c>
      <c r="AI130" s="287">
        <v>14.2</v>
      </c>
      <c r="AJ130" s="287">
        <v>0.99</v>
      </c>
      <c r="AK130" s="285">
        <v>0.69</v>
      </c>
      <c r="AL130" s="284">
        <v>11.8</v>
      </c>
      <c r="AM130" s="288">
        <v>70.400000000000006</v>
      </c>
      <c r="AN130" s="284" cm="1">
        <f t="array" aca="1" ref="AN130" ca="1">INDIRECT("'"&amp;$C130&amp;"'!"&amp;"$"&amp;$D130&amp;$AL$1&amp;"")</f>
        <v>3.8</v>
      </c>
      <c r="AO130" s="287">
        <v>0.99</v>
      </c>
      <c r="AP130" s="285">
        <v>0.4</v>
      </c>
      <c r="AQ130" s="286" cm="1">
        <f t="array" aca="1" ref="AQ130" ca="1">INDIRECT("'"&amp;$C130&amp;"'!"&amp;"$"&amp;$D130&amp;$AQ$1&amp;"")</f>
        <v>2</v>
      </c>
      <c r="AR130" s="287">
        <v>0.99</v>
      </c>
      <c r="AS130" s="285">
        <v>0.4</v>
      </c>
      <c r="AT130" s="289">
        <v>0</v>
      </c>
      <c r="AU130" s="288">
        <v>69.8</v>
      </c>
      <c r="AV130" s="284" t="str" cm="1">
        <f t="array" aca="1" ref="AV130" ca="1">INDIRECT("'"&amp;$C130&amp;"'!"&amp;"$"&amp;$D130&amp;$AT$1&amp;"")</f>
        <v>PMS</v>
      </c>
      <c r="AW130" s="287" t="s">
        <v>1</v>
      </c>
      <c r="AX130" s="285" t="s">
        <v>1</v>
      </c>
      <c r="AY130" s="317">
        <v>69.7</v>
      </c>
      <c r="AZ130" s="302" cm="1">
        <f t="array" aca="1" ref="AZ130" ca="1">INDIRECT("'"&amp;$C130&amp;"'!"&amp;"$"&amp;$D130&amp;$AY$1&amp;"")</f>
        <v>8.5</v>
      </c>
      <c r="BA130" s="287">
        <v>0.99</v>
      </c>
      <c r="BB130" s="285">
        <v>1.2</v>
      </c>
      <c r="BC130" s="286" cm="1">
        <f t="array" aca="1" ref="BC130" ca="1">INDIRECT("'"&amp;$C130&amp;"'!"&amp;"$"&amp;$D130&amp;$BC$1&amp;"")</f>
        <v>0.8</v>
      </c>
      <c r="BD130" s="287"/>
      <c r="BE130" s="287">
        <v>0.99</v>
      </c>
      <c r="BF130" s="285">
        <v>0.09</v>
      </c>
      <c r="BG130" s="286" cm="1">
        <f t="array" aca="1" ref="BG130" ca="1">INDIRECT("'"&amp;$C130&amp;"'!"&amp;"$"&amp;$D130&amp;$BG$1&amp;"")</f>
        <v>0.79</v>
      </c>
      <c r="BH130" s="287"/>
      <c r="BI130" s="287">
        <v>0.96</v>
      </c>
      <c r="BJ130" s="285">
        <v>0.21</v>
      </c>
      <c r="BK130" s="286" cm="1">
        <f t="array" aca="1" ref="BK130" ca="1">INDIRECT("'"&amp;$C130&amp;"'!"&amp;"$"&amp;$D130&amp;$BK$1&amp;"")</f>
        <v>3.67</v>
      </c>
      <c r="BL130" s="287"/>
      <c r="BM130" s="287">
        <v>0.95</v>
      </c>
      <c r="BN130" s="285">
        <v>1.2</v>
      </c>
    </row>
    <row r="131" spans="1:66" ht="15.75" thickBot="1" x14ac:dyDescent="0.25">
      <c r="A131" s="368">
        <v>45694</v>
      </c>
      <c r="B131" s="365">
        <v>4.1666666666666699E-2</v>
      </c>
      <c r="C131" s="315">
        <v>6</v>
      </c>
      <c r="D131" s="319" t="s">
        <v>111</v>
      </c>
      <c r="E131" s="290">
        <v>14.2</v>
      </c>
      <c r="F131" s="291">
        <v>70.44</v>
      </c>
      <c r="G131" s="292" cm="1">
        <f t="array" aca="1" ref="G131" ca="1">INDIRECT("'"&amp;$C131&amp;"'!"&amp;"$"&amp;$D131&amp;$E$1&amp;"")</f>
        <v>6.8</v>
      </c>
      <c r="H131" s="293">
        <v>0.99</v>
      </c>
      <c r="I131" s="291">
        <v>0.89</v>
      </c>
      <c r="J131" s="292" t="str" cm="1">
        <f t="array" aca="1" ref="J131" ca="1">INDIRECT("'"&amp;$C131&amp;"'!"&amp;"$"&amp;$D131&amp;$J$1&amp;"")</f>
        <v>CMS</v>
      </c>
      <c r="K131" s="293"/>
      <c r="L131" s="293" t="s">
        <v>1</v>
      </c>
      <c r="M131" s="291" t="s">
        <v>1</v>
      </c>
      <c r="N131" s="292" cm="1">
        <f t="array" aca="1" ref="N131" ca="1">INDIRECT("'"&amp;$C131&amp;"'!"&amp;"$"&amp;$D131&amp;$N$1&amp;"")</f>
        <v>6.8</v>
      </c>
      <c r="O131" s="293"/>
      <c r="P131" s="293">
        <v>0.99</v>
      </c>
      <c r="Q131" s="291">
        <v>0.79</v>
      </c>
      <c r="R131" s="292" cm="1">
        <f t="array" aca="1" ref="R131" ca="1">INDIRECT("'"&amp;$C131&amp;"'!"&amp;"$"&amp;$D131&amp;$R$1&amp;"")</f>
        <v>6.8</v>
      </c>
      <c r="S131" s="293"/>
      <c r="T131" s="293">
        <v>0.99</v>
      </c>
      <c r="U131" s="291">
        <v>0.82</v>
      </c>
      <c r="V131" s="292" t="str" cm="1">
        <f t="array" aca="1" ref="V131" ca="1">INDIRECT("'"&amp;$C131&amp;"'!"&amp;"$"&amp;$D131&amp;$V$1&amp;"")</f>
        <v>CMS</v>
      </c>
      <c r="W131" s="293" t="s">
        <v>1</v>
      </c>
      <c r="X131" s="293" t="s">
        <v>1</v>
      </c>
      <c r="Y131" s="294" t="s">
        <v>1</v>
      </c>
      <c r="Z131" s="290" cm="1">
        <f t="array" aca="1" ref="Z131" ca="1">INDIRECT("'"&amp;$C131&amp;"'!"&amp;"$"&amp;$D131&amp;$Z$1&amp;"")</f>
        <v>0</v>
      </c>
      <c r="AA131" s="293" t="s">
        <v>1</v>
      </c>
      <c r="AB131" s="293" t="s">
        <v>1</v>
      </c>
      <c r="AC131" s="291" t="s">
        <v>1</v>
      </c>
      <c r="AD131" s="292" t="str" cm="1">
        <f t="array" aca="1" ref="AD131" ca="1">INDIRECT("'"&amp;$C131&amp;"'!"&amp;"$"&amp;$D131&amp;$AD$1&amp;"")</f>
        <v>CMS</v>
      </c>
      <c r="AE131" s="293" t="s">
        <v>1</v>
      </c>
      <c r="AF131" s="293" t="s">
        <v>1</v>
      </c>
      <c r="AG131" s="294" t="s">
        <v>1</v>
      </c>
      <c r="AH131" s="290" cm="1">
        <f t="array" aca="1" ref="AH131" ca="1">INDIRECT("'"&amp;$C131&amp;"'!"&amp;"$"&amp;$D131&amp;$AH$1&amp;"")</f>
        <v>3.8</v>
      </c>
      <c r="AI131" s="293">
        <v>13.92</v>
      </c>
      <c r="AJ131" s="293">
        <v>0.98</v>
      </c>
      <c r="AK131" s="291">
        <v>0.70899999999999996</v>
      </c>
      <c r="AL131" s="290">
        <v>11.8</v>
      </c>
      <c r="AM131" s="294">
        <v>70.7</v>
      </c>
      <c r="AN131" s="290" cm="1">
        <f t="array" aca="1" ref="AN131" ca="1">INDIRECT("'"&amp;$C131&amp;"'!"&amp;"$"&amp;$D131&amp;$AL$1&amp;"")</f>
        <v>3.9</v>
      </c>
      <c r="AO131" s="293">
        <v>0.99</v>
      </c>
      <c r="AP131" s="291">
        <v>0.5</v>
      </c>
      <c r="AQ131" s="292" cm="1">
        <f t="array" aca="1" ref="AQ131" ca="1">INDIRECT("'"&amp;$C131&amp;"'!"&amp;"$"&amp;$D131&amp;$AQ$1&amp;"")</f>
        <v>3.9</v>
      </c>
      <c r="AR131" s="293">
        <v>0.99</v>
      </c>
      <c r="AS131" s="291">
        <v>0.4</v>
      </c>
      <c r="AT131" s="295">
        <v>0</v>
      </c>
      <c r="AU131" s="294">
        <v>69</v>
      </c>
      <c r="AV131" s="290" t="str" cm="1">
        <f t="array" aca="1" ref="AV131" ca="1">INDIRECT("'"&amp;$C131&amp;"'!"&amp;"$"&amp;$D131&amp;$AT$1&amp;"")</f>
        <v>PMS</v>
      </c>
      <c r="AW131" s="293" t="s">
        <v>1</v>
      </c>
      <c r="AX131" s="291" t="s">
        <v>1</v>
      </c>
      <c r="AY131" s="296">
        <v>69.8</v>
      </c>
      <c r="AZ131" s="295" cm="1">
        <f t="array" aca="1" ref="AZ131" ca="1">INDIRECT("'"&amp;$C131&amp;"'!"&amp;"$"&amp;$D131&amp;$AY$1&amp;"")</f>
        <v>2</v>
      </c>
      <c r="BA131" s="293">
        <v>0.99</v>
      </c>
      <c r="BB131" s="291">
        <v>0.28000000000000003</v>
      </c>
      <c r="BC131" s="292" cm="1">
        <f t="array" aca="1" ref="BC131" ca="1">INDIRECT("'"&amp;$C131&amp;"'!"&amp;"$"&amp;$D131&amp;$BC$1&amp;"")</f>
        <v>0.75</v>
      </c>
      <c r="BD131" s="293"/>
      <c r="BE131" s="293">
        <v>0.99</v>
      </c>
      <c r="BF131" s="291">
        <v>0.08</v>
      </c>
      <c r="BG131" s="292" cm="1">
        <f t="array" aca="1" ref="BG131" ca="1">INDIRECT("'"&amp;$C131&amp;"'!"&amp;"$"&amp;$D131&amp;$BG$1&amp;"")</f>
        <v>0.77</v>
      </c>
      <c r="BH131" s="293"/>
      <c r="BI131" s="293">
        <v>0.96</v>
      </c>
      <c r="BJ131" s="291">
        <v>0.21</v>
      </c>
      <c r="BK131" s="292" cm="1">
        <f t="array" aca="1" ref="BK131" ca="1">INDIRECT("'"&amp;$C131&amp;"'!"&amp;"$"&amp;$D131&amp;$BK$1&amp;"")</f>
        <v>3.46</v>
      </c>
      <c r="BL131" s="293"/>
      <c r="BM131" s="293">
        <v>0.95</v>
      </c>
      <c r="BN131" s="291">
        <v>1.1000000000000001</v>
      </c>
    </row>
    <row r="132" spans="1:66" ht="15.75" thickBot="1" x14ac:dyDescent="0.25">
      <c r="A132" s="368">
        <v>45694</v>
      </c>
      <c r="B132" s="365">
        <v>8.3333333333333301E-2</v>
      </c>
      <c r="C132" s="315">
        <v>6</v>
      </c>
      <c r="D132" s="319" t="s">
        <v>112</v>
      </c>
      <c r="E132" s="297">
        <v>14.2</v>
      </c>
      <c r="F132" s="298">
        <v>70.73</v>
      </c>
      <c r="G132" s="299" cm="1">
        <f t="array" aca="1" ref="G132" ca="1">INDIRECT("'"&amp;$C132&amp;"'!"&amp;"$"&amp;$D132&amp;$E$1&amp;"")</f>
        <v>6.7</v>
      </c>
      <c r="H132" s="300">
        <v>0.99</v>
      </c>
      <c r="I132" s="298">
        <v>0.87</v>
      </c>
      <c r="J132" s="299" t="str" cm="1">
        <f t="array" aca="1" ref="J132" ca="1">INDIRECT("'"&amp;$C132&amp;"'!"&amp;"$"&amp;$D132&amp;$J$1&amp;"")</f>
        <v>CMS</v>
      </c>
      <c r="K132" s="300"/>
      <c r="L132" s="300" t="s">
        <v>1</v>
      </c>
      <c r="M132" s="298" t="s">
        <v>1</v>
      </c>
      <c r="N132" s="299" cm="1">
        <f t="array" aca="1" ref="N132" ca="1">INDIRECT("'"&amp;$C132&amp;"'!"&amp;"$"&amp;$D132&amp;$N$1&amp;"")</f>
        <v>6.7</v>
      </c>
      <c r="O132" s="300"/>
      <c r="P132" s="300">
        <v>0.99</v>
      </c>
      <c r="Q132" s="298">
        <v>0.85</v>
      </c>
      <c r="R132" s="299" cm="1">
        <f t="array" aca="1" ref="R132" ca="1">INDIRECT("'"&amp;$C132&amp;"'!"&amp;"$"&amp;$D132&amp;$R$1&amp;"")</f>
        <v>6.7</v>
      </c>
      <c r="S132" s="300"/>
      <c r="T132" s="300">
        <v>0.99</v>
      </c>
      <c r="U132" s="298">
        <v>0.85</v>
      </c>
      <c r="V132" s="299" t="str" cm="1">
        <f t="array" aca="1" ref="V132" ca="1">INDIRECT("'"&amp;$C132&amp;"'!"&amp;"$"&amp;$D132&amp;$V$1&amp;"")</f>
        <v>CMS</v>
      </c>
      <c r="W132" s="300" t="s">
        <v>1</v>
      </c>
      <c r="X132" s="300" t="s">
        <v>1</v>
      </c>
      <c r="Y132" s="301" t="s">
        <v>1</v>
      </c>
      <c r="Z132" s="297">
        <v>0</v>
      </c>
      <c r="AA132" s="300" t="s">
        <v>1</v>
      </c>
      <c r="AB132" s="300" t="s">
        <v>1</v>
      </c>
      <c r="AC132" s="298" t="s">
        <v>1</v>
      </c>
      <c r="AD132" s="299" t="str" cm="1">
        <f t="array" aca="1" ref="AD132" ca="1">INDIRECT("'"&amp;$C132&amp;"'!"&amp;"$"&amp;$D132&amp;$AD$1&amp;"")</f>
        <v>CMS</v>
      </c>
      <c r="AE132" s="300" t="s">
        <v>1</v>
      </c>
      <c r="AF132" s="300" t="s">
        <v>1</v>
      </c>
      <c r="AG132" s="301" t="s">
        <v>1</v>
      </c>
      <c r="AH132" s="297" cm="1">
        <f t="array" aca="1" ref="AH132" ca="1">INDIRECT("'"&amp;$C132&amp;"'!"&amp;"$"&amp;$D132&amp;$AH$1&amp;"")</f>
        <v>3.8</v>
      </c>
      <c r="AI132" s="300">
        <v>13.96</v>
      </c>
      <c r="AJ132" s="300">
        <v>0.99</v>
      </c>
      <c r="AK132" s="298">
        <v>0.438</v>
      </c>
      <c r="AL132" s="297">
        <v>11.8</v>
      </c>
      <c r="AM132" s="301">
        <v>70.8</v>
      </c>
      <c r="AN132" s="297" cm="1">
        <f t="array" aca="1" ref="AN132" ca="1">INDIRECT("'"&amp;$C132&amp;"'!"&amp;"$"&amp;$D132&amp;$AL$1&amp;"")</f>
        <v>3.9</v>
      </c>
      <c r="AO132" s="300">
        <v>1</v>
      </c>
      <c r="AP132" s="298">
        <v>0.22</v>
      </c>
      <c r="AQ132" s="299" cm="1">
        <f t="array" aca="1" ref="AQ132" ca="1">INDIRECT("'"&amp;$C132&amp;"'!"&amp;"$"&amp;$D132&amp;$AQ$1&amp;"")</f>
        <v>3.9</v>
      </c>
      <c r="AR132" s="300">
        <v>1</v>
      </c>
      <c r="AS132" s="298">
        <v>0.11</v>
      </c>
      <c r="AT132" s="302">
        <v>0</v>
      </c>
      <c r="AU132" s="301">
        <v>69.8</v>
      </c>
      <c r="AV132" s="297" t="str" cm="1">
        <f t="array" aca="1" ref="AV132" ca="1">INDIRECT("'"&amp;$C132&amp;"'!"&amp;"$"&amp;$D132&amp;$AT$1&amp;"")</f>
        <v>PMS</v>
      </c>
      <c r="AW132" s="300" t="s">
        <v>1</v>
      </c>
      <c r="AX132" s="298" t="s">
        <v>1</v>
      </c>
      <c r="AY132" s="303">
        <v>69.7</v>
      </c>
      <c r="AZ132" s="302" cm="1">
        <f t="array" aca="1" ref="AZ132" ca="1">INDIRECT("'"&amp;$C132&amp;"'!"&amp;"$"&amp;$D132&amp;$AY$1&amp;"")</f>
        <v>0.9</v>
      </c>
      <c r="BA132" s="300">
        <v>0.99</v>
      </c>
      <c r="BB132" s="298">
        <v>0.2</v>
      </c>
      <c r="BC132" s="299" cm="1">
        <f t="array" aca="1" ref="BC132" ca="1">INDIRECT("'"&amp;$C132&amp;"'!"&amp;"$"&amp;$D132&amp;$BC$1&amp;"")</f>
        <v>0.74</v>
      </c>
      <c r="BD132" s="300"/>
      <c r="BE132" s="300">
        <v>0.99</v>
      </c>
      <c r="BF132" s="298">
        <v>0.08</v>
      </c>
      <c r="BG132" s="299" cm="1">
        <f t="array" aca="1" ref="BG132" ca="1">INDIRECT("'"&amp;$C132&amp;"'!"&amp;"$"&amp;$D132&amp;$BG$1&amp;"")</f>
        <v>0.74</v>
      </c>
      <c r="BH132" s="300"/>
      <c r="BI132" s="300">
        <v>0.96</v>
      </c>
      <c r="BJ132" s="298">
        <v>0.2</v>
      </c>
      <c r="BK132" s="299" cm="1">
        <f t="array" aca="1" ref="BK132" ca="1">INDIRECT("'"&amp;$C132&amp;"'!"&amp;"$"&amp;$D132&amp;$BK$1&amp;"")</f>
        <v>3.26</v>
      </c>
      <c r="BL132" s="300"/>
      <c r="BM132" s="300">
        <v>0.95</v>
      </c>
      <c r="BN132" s="298">
        <v>1</v>
      </c>
    </row>
    <row r="133" spans="1:66" ht="15.75" thickBot="1" x14ac:dyDescent="0.25">
      <c r="A133" s="368">
        <v>45694</v>
      </c>
      <c r="B133" s="365">
        <v>0.125</v>
      </c>
      <c r="C133" s="315">
        <v>6</v>
      </c>
      <c r="D133" s="319" t="s">
        <v>113</v>
      </c>
      <c r="E133" s="290">
        <v>14.2</v>
      </c>
      <c r="F133" s="291">
        <v>70.7</v>
      </c>
      <c r="G133" s="292" cm="1">
        <f t="array" aca="1" ref="G133" ca="1">INDIRECT("'"&amp;$C133&amp;"'!"&amp;"$"&amp;$D133&amp;$E$1&amp;"")</f>
        <v>6.7</v>
      </c>
      <c r="H133" s="293">
        <v>1</v>
      </c>
      <c r="I133" s="291">
        <v>0</v>
      </c>
      <c r="J133" s="292" t="str" cm="1">
        <f t="array" aca="1" ref="J133" ca="1">INDIRECT("'"&amp;$C133&amp;"'!"&amp;"$"&amp;$D133&amp;$J$1&amp;"")</f>
        <v>CMS</v>
      </c>
      <c r="K133" s="293"/>
      <c r="L133" s="293" t="s">
        <v>1</v>
      </c>
      <c r="M133" s="291" t="s">
        <v>1</v>
      </c>
      <c r="N133" s="292" cm="1">
        <f t="array" aca="1" ref="N133" ca="1">INDIRECT("'"&amp;$C133&amp;"'!"&amp;"$"&amp;$D133&amp;$N$1&amp;"")</f>
        <v>6.7</v>
      </c>
      <c r="O133" s="293"/>
      <c r="P133" s="293">
        <v>1</v>
      </c>
      <c r="Q133" s="291">
        <v>0</v>
      </c>
      <c r="R133" s="292" cm="1">
        <f t="array" aca="1" ref="R133" ca="1">INDIRECT("'"&amp;$C133&amp;"'!"&amp;"$"&amp;$D133&amp;$R$1&amp;"")</f>
        <v>6.7</v>
      </c>
      <c r="S133" s="293"/>
      <c r="T133" s="293">
        <v>1</v>
      </c>
      <c r="U133" s="291">
        <v>0</v>
      </c>
      <c r="V133" s="292" t="str" cm="1">
        <f t="array" aca="1" ref="V133" ca="1">INDIRECT("'"&amp;$C133&amp;"'!"&amp;"$"&amp;$D133&amp;$V$1&amp;"")</f>
        <v>CMS</v>
      </c>
      <c r="W133" s="293" t="s">
        <v>1</v>
      </c>
      <c r="X133" s="293" t="s">
        <v>1</v>
      </c>
      <c r="Y133" s="294" t="s">
        <v>1</v>
      </c>
      <c r="Z133" s="290" cm="1">
        <f t="array" aca="1" ref="Z133" ca="1">INDIRECT("'"&amp;$C133&amp;"'!"&amp;"$"&amp;$D133&amp;$Z$1&amp;"")</f>
        <v>0</v>
      </c>
      <c r="AA133" s="293" t="s">
        <v>1</v>
      </c>
      <c r="AB133" s="293" t="s">
        <v>1</v>
      </c>
      <c r="AC133" s="291" t="s">
        <v>1</v>
      </c>
      <c r="AD133" s="292" t="str" cm="1">
        <f t="array" aca="1" ref="AD133" ca="1">INDIRECT("'"&amp;$C133&amp;"'!"&amp;"$"&amp;$D133&amp;$AD$1&amp;"")</f>
        <v>CMS</v>
      </c>
      <c r="AE133" s="293" t="s">
        <v>1</v>
      </c>
      <c r="AF133" s="293" t="s">
        <v>1</v>
      </c>
      <c r="AG133" s="294" t="s">
        <v>1</v>
      </c>
      <c r="AH133" s="290" cm="1">
        <f t="array" aca="1" ref="AH133" ca="1">INDIRECT("'"&amp;$C133&amp;"'!"&amp;"$"&amp;$D133&amp;$AH$1&amp;"")</f>
        <v>3.8</v>
      </c>
      <c r="AI133" s="293">
        <v>13.96</v>
      </c>
      <c r="AJ133" s="293">
        <v>0.99</v>
      </c>
      <c r="AK133" s="291">
        <v>0.438</v>
      </c>
      <c r="AL133" s="290">
        <v>11.8</v>
      </c>
      <c r="AM133" s="294">
        <v>70.7</v>
      </c>
      <c r="AN133" s="290" cm="1">
        <f t="array" aca="1" ref="AN133" ca="1">INDIRECT("'"&amp;$C133&amp;"'!"&amp;"$"&amp;$D133&amp;$AL$1&amp;"")</f>
        <v>4</v>
      </c>
      <c r="AO133" s="293">
        <v>1</v>
      </c>
      <c r="AP133" s="291">
        <v>0.12</v>
      </c>
      <c r="AQ133" s="292" cm="1">
        <f t="array" aca="1" ref="AQ133" ca="1">INDIRECT("'"&amp;$C133&amp;"'!"&amp;"$"&amp;$D133&amp;$AQ$1&amp;"")</f>
        <v>4</v>
      </c>
      <c r="AR133" s="293">
        <v>1</v>
      </c>
      <c r="AS133" s="291">
        <v>0.11</v>
      </c>
      <c r="AT133" s="295">
        <v>0</v>
      </c>
      <c r="AU133" s="294">
        <v>69.900000000000006</v>
      </c>
      <c r="AV133" s="290" t="str" cm="1">
        <f t="array" aca="1" ref="AV133" ca="1">INDIRECT("'"&amp;$C133&amp;"'!"&amp;"$"&amp;$D133&amp;$AT$1&amp;"")</f>
        <v>PMS</v>
      </c>
      <c r="AW133" s="293" t="s">
        <v>1</v>
      </c>
      <c r="AX133" s="291" t="s">
        <v>1</v>
      </c>
      <c r="AY133" s="296">
        <v>69.599999999999994</v>
      </c>
      <c r="AZ133" s="295" cm="1">
        <f t="array" aca="1" ref="AZ133" ca="1">INDIRECT("'"&amp;$C133&amp;"'!"&amp;"$"&amp;$D133&amp;$AY$1&amp;"")</f>
        <v>0</v>
      </c>
      <c r="BA133" s="293" t="s">
        <v>1</v>
      </c>
      <c r="BB133" s="291" t="s">
        <v>1</v>
      </c>
      <c r="BC133" s="292" cm="1">
        <f t="array" aca="1" ref="BC133" ca="1">INDIRECT("'"&amp;$C133&amp;"'!"&amp;"$"&amp;$D133&amp;$BC$1&amp;"")</f>
        <v>0.68</v>
      </c>
      <c r="BD133" s="293"/>
      <c r="BE133" s="293">
        <v>0.99</v>
      </c>
      <c r="BF133" s="291">
        <v>7.0000000000000007E-2</v>
      </c>
      <c r="BG133" s="292" cm="1">
        <f t="array" aca="1" ref="BG133" ca="1">INDIRECT("'"&amp;$C133&amp;"'!"&amp;"$"&amp;$D133&amp;$BG$1&amp;"")</f>
        <v>0.73</v>
      </c>
      <c r="BH133" s="293"/>
      <c r="BI133" s="293">
        <v>0.96</v>
      </c>
      <c r="BJ133" s="291">
        <v>0.2</v>
      </c>
      <c r="BK133" s="292" cm="1">
        <f t="array" aca="1" ref="BK133" ca="1">INDIRECT("'"&amp;$C133&amp;"'!"&amp;"$"&amp;$D133&amp;$BK$1&amp;"")</f>
        <v>3.29</v>
      </c>
      <c r="BL133" s="293"/>
      <c r="BM133" s="293">
        <v>0.95</v>
      </c>
      <c r="BN133" s="291">
        <v>1</v>
      </c>
    </row>
    <row r="134" spans="1:66" ht="15.75" thickBot="1" x14ac:dyDescent="0.25">
      <c r="A134" s="368">
        <v>45694</v>
      </c>
      <c r="B134" s="365">
        <v>0.16666666666666699</v>
      </c>
      <c r="C134" s="315">
        <v>6</v>
      </c>
      <c r="D134" s="319" t="s">
        <v>114</v>
      </c>
      <c r="E134" s="297">
        <v>14.2</v>
      </c>
      <c r="F134" s="298">
        <v>70.72</v>
      </c>
      <c r="G134" s="299" cm="1">
        <f t="array" aca="1" ref="G134" ca="1">INDIRECT("'"&amp;$C134&amp;"'!"&amp;"$"&amp;$D134&amp;$E$1&amp;"")</f>
        <v>6.8</v>
      </c>
      <c r="H134" s="300">
        <v>0.99</v>
      </c>
      <c r="I134" s="298">
        <v>0.9</v>
      </c>
      <c r="J134" s="299" t="str" cm="1">
        <f t="array" aca="1" ref="J134" ca="1">INDIRECT("'"&amp;$C134&amp;"'!"&amp;"$"&amp;$D134&amp;$J$1&amp;"")</f>
        <v>CMS</v>
      </c>
      <c r="K134" s="300"/>
      <c r="L134" s="300" t="s">
        <v>1</v>
      </c>
      <c r="M134" s="298" t="s">
        <v>1</v>
      </c>
      <c r="N134" s="299" cm="1">
        <f t="array" aca="1" ref="N134" ca="1">INDIRECT("'"&amp;$C134&amp;"'!"&amp;"$"&amp;$D134&amp;$N$1&amp;"")</f>
        <v>6.8</v>
      </c>
      <c r="O134" s="300"/>
      <c r="P134" s="300">
        <v>0.99</v>
      </c>
      <c r="Q134" s="298">
        <v>0.92</v>
      </c>
      <c r="R134" s="299" cm="1">
        <f t="array" aca="1" ref="R134" ca="1">INDIRECT("'"&amp;$C134&amp;"'!"&amp;"$"&amp;$D134&amp;$R$1&amp;"")</f>
        <v>6.8</v>
      </c>
      <c r="S134" s="300"/>
      <c r="T134" s="300">
        <v>0.99</v>
      </c>
      <c r="U134" s="298">
        <v>0.95</v>
      </c>
      <c r="V134" s="299" t="str" cm="1">
        <f t="array" aca="1" ref="V134" ca="1">INDIRECT("'"&amp;$C134&amp;"'!"&amp;"$"&amp;$D134&amp;$V$1&amp;"")</f>
        <v>CMS</v>
      </c>
      <c r="W134" s="300" t="s">
        <v>1</v>
      </c>
      <c r="X134" s="300" t="s">
        <v>1</v>
      </c>
      <c r="Y134" s="301" t="s">
        <v>1</v>
      </c>
      <c r="Z134" s="297" cm="1">
        <f t="array" aca="1" ref="Z134" ca="1">INDIRECT("'"&amp;$C134&amp;"'!"&amp;"$"&amp;$D134&amp;$Z$1&amp;"")</f>
        <v>0</v>
      </c>
      <c r="AA134" s="300" t="s">
        <v>1</v>
      </c>
      <c r="AB134" s="300" t="s">
        <v>1</v>
      </c>
      <c r="AC134" s="298" t="s">
        <v>1</v>
      </c>
      <c r="AD134" s="299" t="str" cm="1">
        <f t="array" aca="1" ref="AD134" ca="1">INDIRECT("'"&amp;$C134&amp;"'!"&amp;"$"&amp;$D134&amp;$AD$1&amp;"")</f>
        <v>CMS</v>
      </c>
      <c r="AE134" s="300" t="s">
        <v>1</v>
      </c>
      <c r="AF134" s="300" t="s">
        <v>1</v>
      </c>
      <c r="AG134" s="301" t="s">
        <v>1</v>
      </c>
      <c r="AH134" s="297" cm="1">
        <f t="array" aca="1" ref="AH134" ca="1">INDIRECT("'"&amp;$C134&amp;"'!"&amp;"$"&amp;$D134&amp;$AH$1&amp;"")</f>
        <v>3.8</v>
      </c>
      <c r="AI134" s="300">
        <v>13.96</v>
      </c>
      <c r="AJ134" s="300">
        <v>0.99</v>
      </c>
      <c r="AK134" s="298">
        <v>0.44500000000000001</v>
      </c>
      <c r="AL134" s="297">
        <v>11.8</v>
      </c>
      <c r="AM134" s="301">
        <v>70.8</v>
      </c>
      <c r="AN134" s="297" cm="1">
        <f t="array" aca="1" ref="AN134" ca="1">INDIRECT("'"&amp;$C134&amp;"'!"&amp;"$"&amp;$D134&amp;$AL$1&amp;"")</f>
        <v>3.5</v>
      </c>
      <c r="AO134" s="300">
        <v>1</v>
      </c>
      <c r="AP134" s="298">
        <v>0.15</v>
      </c>
      <c r="AQ134" s="299" cm="1">
        <f t="array" aca="1" ref="AQ134" ca="1">INDIRECT("'"&amp;$C134&amp;"'!"&amp;"$"&amp;$D134&amp;$AQ$1&amp;"")</f>
        <v>3.5</v>
      </c>
      <c r="AR134" s="300">
        <v>1</v>
      </c>
      <c r="AS134" s="298">
        <v>0.02</v>
      </c>
      <c r="AT134" s="302">
        <v>0</v>
      </c>
      <c r="AU134" s="301">
        <v>70.599999999999994</v>
      </c>
      <c r="AV134" s="297" t="str" cm="1">
        <f t="array" aca="1" ref="AV134" ca="1">INDIRECT("'"&amp;$C134&amp;"'!"&amp;"$"&amp;$D134&amp;$AT$1&amp;"")</f>
        <v>PMS</v>
      </c>
      <c r="AW134" s="300" t="s">
        <v>1</v>
      </c>
      <c r="AX134" s="298" t="s">
        <v>1</v>
      </c>
      <c r="AY134" s="303">
        <v>69.8</v>
      </c>
      <c r="AZ134" s="302" cm="1">
        <f t="array" aca="1" ref="AZ134" ca="1">INDIRECT("'"&amp;$C134&amp;"'!"&amp;"$"&amp;$D134&amp;$AY$1&amp;"")</f>
        <v>0</v>
      </c>
      <c r="BA134" s="300" t="s">
        <v>1</v>
      </c>
      <c r="BB134" s="298" t="s">
        <v>1</v>
      </c>
      <c r="BC134" s="299" cm="1">
        <f t="array" aca="1" ref="BC134" ca="1">INDIRECT("'"&amp;$C134&amp;"'!"&amp;"$"&amp;$D134&amp;$BC$1&amp;"")</f>
        <v>0.68</v>
      </c>
      <c r="BD134" s="300"/>
      <c r="BE134" s="300">
        <v>0.99</v>
      </c>
      <c r="BF134" s="298">
        <v>0.06</v>
      </c>
      <c r="BG134" s="299" cm="1">
        <f t="array" aca="1" ref="BG134" ca="1">INDIRECT("'"&amp;$C134&amp;"'!"&amp;"$"&amp;$D134&amp;$BG$1&amp;"")</f>
        <v>0.71</v>
      </c>
      <c r="BH134" s="300"/>
      <c r="BI134" s="300">
        <v>0.96</v>
      </c>
      <c r="BJ134" s="298">
        <v>0.2</v>
      </c>
      <c r="BK134" s="299" cm="1">
        <f t="array" aca="1" ref="BK134" ca="1">INDIRECT("'"&amp;$C134&amp;"'!"&amp;"$"&amp;$D134&amp;$BK$1&amp;"")</f>
        <v>3</v>
      </c>
      <c r="BL134" s="300"/>
      <c r="BM134" s="300">
        <v>0.95</v>
      </c>
      <c r="BN134" s="298">
        <v>0.98</v>
      </c>
    </row>
    <row r="135" spans="1:66" ht="15.75" thickBot="1" x14ac:dyDescent="0.25">
      <c r="A135" s="368">
        <v>45694</v>
      </c>
      <c r="B135" s="365">
        <v>0.20833333333333301</v>
      </c>
      <c r="C135" s="315">
        <v>6</v>
      </c>
      <c r="D135" s="319" t="s">
        <v>115</v>
      </c>
      <c r="E135" s="290">
        <v>14.1</v>
      </c>
      <c r="F135" s="291">
        <v>70.22</v>
      </c>
      <c r="G135" s="292" cm="1">
        <f t="array" aca="1" ref="G135" ca="1">INDIRECT("'"&amp;$C135&amp;"'!"&amp;"$"&amp;$D135&amp;$E$1&amp;"")</f>
        <v>6.7</v>
      </c>
      <c r="H135" s="293">
        <v>0.99</v>
      </c>
      <c r="I135" s="291">
        <v>0.85</v>
      </c>
      <c r="J135" s="292" t="str" cm="1">
        <f t="array" aca="1" ref="J135" ca="1">INDIRECT("'"&amp;$C135&amp;"'!"&amp;"$"&amp;$D135&amp;$J$1&amp;"")</f>
        <v>CMS</v>
      </c>
      <c r="K135" s="293"/>
      <c r="L135" s="293" t="s">
        <v>1</v>
      </c>
      <c r="M135" s="291" t="s">
        <v>1</v>
      </c>
      <c r="N135" s="292" cm="1">
        <f t="array" aca="1" ref="N135" ca="1">INDIRECT("'"&amp;$C135&amp;"'!"&amp;"$"&amp;$D135&amp;$N$1&amp;"")</f>
        <v>6.7</v>
      </c>
      <c r="O135" s="293"/>
      <c r="P135" s="293">
        <v>0.99</v>
      </c>
      <c r="Q135" s="291">
        <v>0.7</v>
      </c>
      <c r="R135" s="292" cm="1">
        <f t="array" aca="1" ref="R135" ca="1">INDIRECT("'"&amp;$C135&amp;"'!"&amp;"$"&amp;$D135&amp;$R$1&amp;"")</f>
        <v>6.7</v>
      </c>
      <c r="S135" s="293"/>
      <c r="T135" s="293">
        <v>1</v>
      </c>
      <c r="U135" s="291">
        <v>0</v>
      </c>
      <c r="V135" s="292" t="str" cm="1">
        <f t="array" aca="1" ref="V135" ca="1">INDIRECT("'"&amp;$C135&amp;"'!"&amp;"$"&amp;$D135&amp;$V$1&amp;"")</f>
        <v>CMS</v>
      </c>
      <c r="W135" s="293" t="s">
        <v>1</v>
      </c>
      <c r="X135" s="293" t="s">
        <v>1</v>
      </c>
      <c r="Y135" s="294" t="s">
        <v>1</v>
      </c>
      <c r="Z135" s="290" cm="1">
        <f t="array" aca="1" ref="Z135" ca="1">INDIRECT("'"&amp;$C135&amp;"'!"&amp;"$"&amp;$D135&amp;$Z$1&amp;"")</f>
        <v>0</v>
      </c>
      <c r="AA135" s="293" t="s">
        <v>1</v>
      </c>
      <c r="AB135" s="293" t="s">
        <v>1</v>
      </c>
      <c r="AC135" s="291" t="s">
        <v>1</v>
      </c>
      <c r="AD135" s="292" t="str" cm="1">
        <f t="array" aca="1" ref="AD135" ca="1">INDIRECT("'"&amp;$C135&amp;"'!"&amp;"$"&amp;$D135&amp;$AD$1&amp;"")</f>
        <v>CMS</v>
      </c>
      <c r="AE135" s="293" t="s">
        <v>1</v>
      </c>
      <c r="AF135" s="293" t="s">
        <v>1</v>
      </c>
      <c r="AG135" s="294" t="s">
        <v>1</v>
      </c>
      <c r="AH135" s="290" cm="1">
        <f t="array" aca="1" ref="AH135" ca="1">INDIRECT("'"&amp;$C135&amp;"'!"&amp;"$"&amp;$D135&amp;$AH$1&amp;"")</f>
        <v>3.8</v>
      </c>
      <c r="AI135" s="293">
        <v>13.96</v>
      </c>
      <c r="AJ135" s="293">
        <v>0.98</v>
      </c>
      <c r="AK135" s="291">
        <v>0.496</v>
      </c>
      <c r="AL135" s="290">
        <v>11.8</v>
      </c>
      <c r="AM135" s="294">
        <v>70.5</v>
      </c>
      <c r="AN135" s="290" cm="1">
        <f t="array" aca="1" ref="AN135" ca="1">INDIRECT("'"&amp;$C135&amp;"'!"&amp;"$"&amp;$D135&amp;$AL$1&amp;"")</f>
        <v>4</v>
      </c>
      <c r="AO135" s="293">
        <v>1</v>
      </c>
      <c r="AP135" s="291">
        <v>0.2</v>
      </c>
      <c r="AQ135" s="292" cm="1">
        <f t="array" aca="1" ref="AQ135" ca="1">INDIRECT("'"&amp;$C135&amp;"'!"&amp;"$"&amp;$D135&amp;$AQ$1&amp;"")</f>
        <v>4</v>
      </c>
      <c r="AR135" s="293">
        <v>1</v>
      </c>
      <c r="AS135" s="291">
        <v>0.2</v>
      </c>
      <c r="AT135" s="295">
        <v>0</v>
      </c>
      <c r="AU135" s="294">
        <v>70.599999999999994</v>
      </c>
      <c r="AV135" s="290" t="str" cm="1">
        <f t="array" aca="1" ref="AV135" ca="1">INDIRECT("'"&amp;$C135&amp;"'!"&amp;"$"&amp;$D135&amp;$AT$1&amp;"")</f>
        <v>PMS</v>
      </c>
      <c r="AW135" s="293" t="s">
        <v>1</v>
      </c>
      <c r="AX135" s="291" t="s">
        <v>1</v>
      </c>
      <c r="AY135" s="296">
        <v>69.400000000000006</v>
      </c>
      <c r="AZ135" s="295" cm="1">
        <f t="array" aca="1" ref="AZ135" ca="1">INDIRECT("'"&amp;$C135&amp;"'!"&amp;"$"&amp;$D135&amp;$AY$1&amp;"")</f>
        <v>0.8</v>
      </c>
      <c r="BA135" s="293">
        <v>0.99</v>
      </c>
      <c r="BB135" s="291">
        <v>0.11</v>
      </c>
      <c r="BC135" s="292" cm="1">
        <f t="array" aca="1" ref="BC135" ca="1">INDIRECT("'"&amp;$C135&amp;"'!"&amp;"$"&amp;$D135&amp;$BC$1&amp;"")</f>
        <v>0.75</v>
      </c>
      <c r="BD135" s="293"/>
      <c r="BE135" s="293">
        <v>0.99</v>
      </c>
      <c r="BF135" s="291">
        <v>0.06</v>
      </c>
      <c r="BG135" s="292" cm="1">
        <f t="array" aca="1" ref="BG135" ca="1">INDIRECT("'"&amp;$C135&amp;"'!"&amp;"$"&amp;$D135&amp;$BG$1&amp;"")</f>
        <v>0.74</v>
      </c>
      <c r="BH135" s="293"/>
      <c r="BI135" s="293">
        <v>0.96</v>
      </c>
      <c r="BJ135" s="291">
        <v>0.21</v>
      </c>
      <c r="BK135" s="292" cm="1">
        <f t="array" aca="1" ref="BK135" ca="1">INDIRECT("'"&amp;$C135&amp;"'!"&amp;"$"&amp;$D135&amp;$BK$1&amp;"")</f>
        <v>3.26</v>
      </c>
      <c r="BL135" s="293"/>
      <c r="BM135" s="293">
        <v>0.95</v>
      </c>
      <c r="BN135" s="291">
        <v>0.99</v>
      </c>
    </row>
    <row r="136" spans="1:66" ht="15.75" thickBot="1" x14ac:dyDescent="0.25">
      <c r="A136" s="368">
        <v>45694</v>
      </c>
      <c r="B136" s="365">
        <v>0.25</v>
      </c>
      <c r="C136" s="315">
        <v>6</v>
      </c>
      <c r="D136" s="319" t="s">
        <v>116</v>
      </c>
      <c r="E136" s="297">
        <v>14.2</v>
      </c>
      <c r="F136" s="298">
        <v>70.45</v>
      </c>
      <c r="G136" s="299" cm="1">
        <f t="array" aca="1" ref="G136" ca="1">INDIRECT("'"&amp;$C136&amp;"'!"&amp;"$"&amp;$D136&amp;$E$1&amp;"")</f>
        <v>6.8</v>
      </c>
      <c r="H136" s="300">
        <v>0.99</v>
      </c>
      <c r="I136" s="298">
        <v>0.8</v>
      </c>
      <c r="J136" s="299" t="str" cm="1">
        <f t="array" aca="1" ref="J136" ca="1">INDIRECT("'"&amp;$C136&amp;"'!"&amp;"$"&amp;$D136&amp;$J$1&amp;"")</f>
        <v>CMS</v>
      </c>
      <c r="K136" s="300"/>
      <c r="L136" s="300" t="s">
        <v>1</v>
      </c>
      <c r="M136" s="298" t="s">
        <v>1</v>
      </c>
      <c r="N136" s="299" cm="1">
        <f t="array" aca="1" ref="N136" ca="1">INDIRECT("'"&amp;$C136&amp;"'!"&amp;"$"&amp;$D136&amp;$N$1&amp;"")</f>
        <v>6.8</v>
      </c>
      <c r="O136" s="300"/>
      <c r="P136" s="300">
        <v>0.99</v>
      </c>
      <c r="Q136" s="298">
        <v>0.81</v>
      </c>
      <c r="R136" s="299" cm="1">
        <f t="array" aca="1" ref="R136" ca="1">INDIRECT("'"&amp;$C136&amp;"'!"&amp;"$"&amp;$D136&amp;$R$1&amp;"")</f>
        <v>6.8</v>
      </c>
      <c r="S136" s="300"/>
      <c r="T136" s="300">
        <v>0.99</v>
      </c>
      <c r="U136" s="298">
        <v>0.82</v>
      </c>
      <c r="V136" s="299" t="str" cm="1">
        <f t="array" aca="1" ref="V136" ca="1">INDIRECT("'"&amp;$C136&amp;"'!"&amp;"$"&amp;$D136&amp;$V$1&amp;"")</f>
        <v>CMS</v>
      </c>
      <c r="W136" s="300" t="s">
        <v>1</v>
      </c>
      <c r="X136" s="300" t="s">
        <v>1</v>
      </c>
      <c r="Y136" s="301" t="s">
        <v>1</v>
      </c>
      <c r="Z136" s="297" cm="1">
        <f t="array" aca="1" ref="Z136" ca="1">INDIRECT("'"&amp;$C136&amp;"'!"&amp;"$"&amp;$D136&amp;$Z$1&amp;"")</f>
        <v>0</v>
      </c>
      <c r="AA136" s="300" t="s">
        <v>1</v>
      </c>
      <c r="AB136" s="300" t="s">
        <v>1</v>
      </c>
      <c r="AC136" s="298" t="s">
        <v>1</v>
      </c>
      <c r="AD136" s="299" t="str" cm="1">
        <f t="array" aca="1" ref="AD136" ca="1">INDIRECT("'"&amp;$C136&amp;"'!"&amp;"$"&amp;$D136&amp;$AD$1&amp;"")</f>
        <v>CMS</v>
      </c>
      <c r="AE136" s="300" t="s">
        <v>1</v>
      </c>
      <c r="AF136" s="300" t="s">
        <v>1</v>
      </c>
      <c r="AG136" s="301" t="s">
        <v>1</v>
      </c>
      <c r="AH136" s="297" cm="1">
        <f t="array" aca="1" ref="AH136" ca="1">INDIRECT("'"&amp;$C136&amp;"'!"&amp;"$"&amp;$D136&amp;$AH$1&amp;"")</f>
        <v>3.8</v>
      </c>
      <c r="AI136" s="300">
        <v>13.96</v>
      </c>
      <c r="AJ136" s="300">
        <v>0.98</v>
      </c>
      <c r="AK136" s="298">
        <v>0.60099999999999998</v>
      </c>
      <c r="AL136" s="297">
        <v>11.8</v>
      </c>
      <c r="AM136" s="301">
        <v>70.5</v>
      </c>
      <c r="AN136" s="297" cm="1">
        <f t="array" aca="1" ref="AN136" ca="1">INDIRECT("'"&amp;$C136&amp;"'!"&amp;"$"&amp;$D136&amp;$AL$1&amp;"")</f>
        <v>4</v>
      </c>
      <c r="AO136" s="300">
        <v>1</v>
      </c>
      <c r="AP136" s="298">
        <v>0.25</v>
      </c>
      <c r="AQ136" s="299" cm="1">
        <f t="array" aca="1" ref="AQ136" ca="1">INDIRECT("'"&amp;$C136&amp;"'!"&amp;"$"&amp;$D136&amp;$AQ$1&amp;"")</f>
        <v>4</v>
      </c>
      <c r="AR136" s="300">
        <v>1</v>
      </c>
      <c r="AS136" s="298">
        <v>0.25</v>
      </c>
      <c r="AT136" s="302">
        <v>0</v>
      </c>
      <c r="AU136" s="301">
        <v>70.599999999999994</v>
      </c>
      <c r="AV136" s="297" t="str" cm="1">
        <f t="array" aca="1" ref="AV136" ca="1">INDIRECT("'"&amp;$C136&amp;"'!"&amp;"$"&amp;$D136&amp;$AT$1&amp;"")</f>
        <v>PMS</v>
      </c>
      <c r="AW136" s="300" t="s">
        <v>1</v>
      </c>
      <c r="AX136" s="298" t="s">
        <v>1</v>
      </c>
      <c r="AY136" s="303">
        <v>69.400000000000006</v>
      </c>
      <c r="AZ136" s="302" cm="1">
        <f t="array" aca="1" ref="AZ136" ca="1">INDIRECT("'"&amp;$C136&amp;"'!"&amp;"$"&amp;$D136&amp;$AY$1&amp;"")</f>
        <v>3.3200000000000003</v>
      </c>
      <c r="BA136" s="300">
        <v>0.99</v>
      </c>
      <c r="BB136" s="298">
        <v>0.47</v>
      </c>
      <c r="BC136" s="299" cm="1">
        <f t="array" aca="1" ref="BC136" ca="1">INDIRECT("'"&amp;$C136&amp;"'!"&amp;"$"&amp;$D136&amp;$BC$1&amp;"")</f>
        <v>0.94</v>
      </c>
      <c r="BD136" s="300"/>
      <c r="BE136" s="300">
        <v>0.99</v>
      </c>
      <c r="BF136" s="298">
        <v>0.08</v>
      </c>
      <c r="BG136" s="299" cm="1">
        <f t="array" aca="1" ref="BG136" ca="1">INDIRECT("'"&amp;$C136&amp;"'!"&amp;"$"&amp;$D136&amp;$BG$1&amp;"")</f>
        <v>0.82</v>
      </c>
      <c r="BH136" s="300"/>
      <c r="BI136" s="300">
        <v>0.96</v>
      </c>
      <c r="BJ136" s="298">
        <v>0.2</v>
      </c>
      <c r="BK136" s="299" cm="1">
        <f t="array" aca="1" ref="BK136" ca="1">INDIRECT("'"&amp;$C136&amp;"'!"&amp;"$"&amp;$D136&amp;$BK$1&amp;"")</f>
        <v>3.5999999999999996</v>
      </c>
      <c r="BL136" s="300"/>
      <c r="BM136" s="300">
        <v>0.99</v>
      </c>
      <c r="BN136" s="298">
        <v>0.51</v>
      </c>
    </row>
    <row r="137" spans="1:66" ht="15.75" thickBot="1" x14ac:dyDescent="0.25">
      <c r="A137" s="368">
        <v>45694</v>
      </c>
      <c r="B137" s="365">
        <v>0.29166666666666702</v>
      </c>
      <c r="C137" s="315">
        <v>6</v>
      </c>
      <c r="D137" s="319" t="s">
        <v>117</v>
      </c>
      <c r="E137" s="290">
        <v>14.1</v>
      </c>
      <c r="F137" s="291">
        <v>70.23</v>
      </c>
      <c r="G137" s="292" cm="1">
        <f t="array" aca="1" ref="G137" ca="1">INDIRECT("'"&amp;$C137&amp;"'!"&amp;"$"&amp;$D137&amp;$E$1&amp;"")</f>
        <v>6.5</v>
      </c>
      <c r="H137" s="293">
        <v>0.99</v>
      </c>
      <c r="I137" s="291">
        <v>0.85</v>
      </c>
      <c r="J137" s="292" t="str" cm="1">
        <f t="array" aca="1" ref="J137" ca="1">INDIRECT("'"&amp;$C137&amp;"'!"&amp;"$"&amp;$D137&amp;$J$1&amp;"")</f>
        <v>CMS</v>
      </c>
      <c r="K137" s="293"/>
      <c r="L137" s="293" t="s">
        <v>1</v>
      </c>
      <c r="M137" s="291" t="s">
        <v>1</v>
      </c>
      <c r="N137" s="292" cm="1">
        <f t="array" aca="1" ref="N137" ca="1">INDIRECT("'"&amp;$C137&amp;"'!"&amp;"$"&amp;$D137&amp;$N$1&amp;"")</f>
        <v>6.4</v>
      </c>
      <c r="O137" s="293"/>
      <c r="P137" s="293">
        <v>0.99</v>
      </c>
      <c r="Q137" s="291">
        <v>0.74</v>
      </c>
      <c r="R137" s="292" cm="1">
        <f t="array" aca="1" ref="R137" ca="1">INDIRECT("'"&amp;$C137&amp;"'!"&amp;"$"&amp;$D137&amp;$R$1&amp;"")</f>
        <v>6.4</v>
      </c>
      <c r="S137" s="293"/>
      <c r="T137" s="293">
        <v>0.98</v>
      </c>
      <c r="U137" s="291">
        <v>1.17</v>
      </c>
      <c r="V137" s="292" t="str" cm="1">
        <f t="array" aca="1" ref="V137" ca="1">INDIRECT("'"&amp;$C137&amp;"'!"&amp;"$"&amp;$D137&amp;$V$1&amp;"")</f>
        <v>CMS</v>
      </c>
      <c r="W137" s="293" t="s">
        <v>1</v>
      </c>
      <c r="X137" s="293" t="s">
        <v>1</v>
      </c>
      <c r="Y137" s="294" t="s">
        <v>1</v>
      </c>
      <c r="Z137" s="290" cm="1">
        <f t="array" aca="1" ref="Z137" ca="1">INDIRECT("'"&amp;$C137&amp;"'!"&amp;"$"&amp;$D137&amp;$Z$1&amp;"")</f>
        <v>0</v>
      </c>
      <c r="AA137" s="293" t="s">
        <v>1</v>
      </c>
      <c r="AB137" s="293" t="s">
        <v>1</v>
      </c>
      <c r="AC137" s="291" t="s">
        <v>1</v>
      </c>
      <c r="AD137" s="292" t="str" cm="1">
        <f t="array" aca="1" ref="AD137" ca="1">INDIRECT("'"&amp;$C137&amp;"'!"&amp;"$"&amp;$D137&amp;$AD$1&amp;"")</f>
        <v>CMS</v>
      </c>
      <c r="AE137" s="293" t="s">
        <v>1</v>
      </c>
      <c r="AF137" s="293" t="s">
        <v>1</v>
      </c>
      <c r="AG137" s="294" t="s">
        <v>1</v>
      </c>
      <c r="AH137" s="290" cm="1">
        <f t="array" aca="1" ref="AH137" ca="1">INDIRECT("'"&amp;$C137&amp;"'!"&amp;"$"&amp;$D137&amp;$AH$1&amp;"")</f>
        <v>3.8</v>
      </c>
      <c r="AI137" s="293">
        <v>13.92</v>
      </c>
      <c r="AJ137" s="293">
        <v>0.98</v>
      </c>
      <c r="AK137" s="291">
        <v>0.63700000000000001</v>
      </c>
      <c r="AL137" s="290">
        <v>11.8</v>
      </c>
      <c r="AM137" s="294">
        <v>70.400000000000006</v>
      </c>
      <c r="AN137" s="290" cm="1">
        <f t="array" aca="1" ref="AN137" ca="1">INDIRECT("'"&amp;$C137&amp;"'!"&amp;"$"&amp;$D137&amp;$AL$1&amp;"")</f>
        <v>3.8</v>
      </c>
      <c r="AO137" s="293">
        <v>1</v>
      </c>
      <c r="AP137" s="291">
        <v>0.32</v>
      </c>
      <c r="AQ137" s="292" cm="1">
        <f t="array" aca="1" ref="AQ137" ca="1">INDIRECT("'"&amp;$C137&amp;"'!"&amp;"$"&amp;$D137&amp;$AQ$1&amp;"")</f>
        <v>3.8</v>
      </c>
      <c r="AR137" s="293">
        <v>1</v>
      </c>
      <c r="AS137" s="291">
        <v>0.32</v>
      </c>
      <c r="AT137" s="295">
        <v>0</v>
      </c>
      <c r="AU137" s="294">
        <v>70.599999999999994</v>
      </c>
      <c r="AV137" s="290" t="str" cm="1">
        <f t="array" aca="1" ref="AV137" ca="1">INDIRECT("'"&amp;$C137&amp;"'!"&amp;"$"&amp;$D137&amp;$AT$1&amp;"")</f>
        <v>PMS</v>
      </c>
      <c r="AW137" s="293" t="s">
        <v>1</v>
      </c>
      <c r="AX137" s="291" t="s">
        <v>1</v>
      </c>
      <c r="AY137" s="296">
        <v>69.2</v>
      </c>
      <c r="AZ137" s="295" cm="1">
        <f t="array" aca="1" ref="AZ137" ca="1">INDIRECT("'"&amp;$C137&amp;"'!"&amp;"$"&amp;$D137&amp;$AY$1&amp;"")</f>
        <v>3.41</v>
      </c>
      <c r="BA137" s="293">
        <v>0.98</v>
      </c>
      <c r="BB137" s="291">
        <v>0.69</v>
      </c>
      <c r="BC137" s="292" cm="1">
        <f t="array" aca="1" ref="BC137" ca="1">INDIRECT("'"&amp;$C137&amp;"'!"&amp;"$"&amp;$D137&amp;$BC$1&amp;"")</f>
        <v>1.04</v>
      </c>
      <c r="BD137" s="293"/>
      <c r="BE137" s="293">
        <v>0.99</v>
      </c>
      <c r="BF137" s="291">
        <v>0.09</v>
      </c>
      <c r="BG137" s="292" cm="1">
        <f t="array" aca="1" ref="BG137" ca="1">INDIRECT("'"&amp;$C137&amp;"'!"&amp;"$"&amp;$D137&amp;$BG$1&amp;"")</f>
        <v>0.78</v>
      </c>
      <c r="BH137" s="293"/>
      <c r="BI137" s="293">
        <v>0.96</v>
      </c>
      <c r="BJ137" s="291">
        <v>0.3</v>
      </c>
      <c r="BK137" s="292" cm="1">
        <f t="array" aca="1" ref="BK137" ca="1">INDIRECT("'"&amp;$C137&amp;"'!"&amp;"$"&amp;$D137&amp;$BK$1&amp;"")</f>
        <v>3.77</v>
      </c>
      <c r="BL137" s="293"/>
      <c r="BM137" s="293">
        <v>0.99</v>
      </c>
      <c r="BN137" s="291">
        <v>0.53</v>
      </c>
    </row>
    <row r="138" spans="1:66" ht="15.75" thickBot="1" x14ac:dyDescent="0.25">
      <c r="A138" s="368">
        <v>45694</v>
      </c>
      <c r="B138" s="365">
        <v>0.33333333333333398</v>
      </c>
      <c r="C138" s="315">
        <v>6</v>
      </c>
      <c r="D138" s="319" t="s">
        <v>118</v>
      </c>
      <c r="E138" s="297">
        <v>14.3</v>
      </c>
      <c r="F138" s="298">
        <v>70.44</v>
      </c>
      <c r="G138" s="299" cm="1">
        <f t="array" aca="1" ref="G138" ca="1">INDIRECT("'"&amp;$C138&amp;"'!"&amp;"$"&amp;$D138&amp;$E$1&amp;"")</f>
        <v>5.9</v>
      </c>
      <c r="H138" s="300">
        <v>0.98</v>
      </c>
      <c r="I138" s="298">
        <v>1.32</v>
      </c>
      <c r="J138" s="299" cm="1">
        <f t="array" aca="1" ref="J138" ca="1">INDIRECT("'"&amp;$C138&amp;"'!"&amp;"$"&amp;$D138&amp;$J$1&amp;"")</f>
        <v>4</v>
      </c>
      <c r="K138" s="300"/>
      <c r="L138" s="300">
        <v>0.6</v>
      </c>
      <c r="M138" s="298">
        <v>1.1000000000000001</v>
      </c>
      <c r="N138" s="299" cm="1">
        <f t="array" aca="1" ref="N138" ca="1">INDIRECT("'"&amp;$C138&amp;"'!"&amp;"$"&amp;$D138&amp;$N$1&amp;"")</f>
        <v>5.7</v>
      </c>
      <c r="O138" s="300"/>
      <c r="P138" s="300">
        <v>0.99</v>
      </c>
      <c r="Q138" s="298">
        <v>0.96</v>
      </c>
      <c r="R138" s="299" cm="1">
        <f t="array" aca="1" ref="R138" ca="1">INDIRECT("'"&amp;$C138&amp;"'!"&amp;"$"&amp;$D138&amp;$R$1&amp;"")</f>
        <v>5.7</v>
      </c>
      <c r="S138" s="300"/>
      <c r="T138" s="300">
        <v>0.96</v>
      </c>
      <c r="U138" s="298">
        <v>1.69</v>
      </c>
      <c r="V138" s="299" t="str" cm="1">
        <f t="array" aca="1" ref="V138" ca="1">INDIRECT("'"&amp;$C138&amp;"'!"&amp;"$"&amp;$D138&amp;$V$1&amp;"")</f>
        <v>CMS</v>
      </c>
      <c r="W138" s="300" t="s">
        <v>1</v>
      </c>
      <c r="X138" s="300" t="s">
        <v>1</v>
      </c>
      <c r="Y138" s="301" t="s">
        <v>1</v>
      </c>
      <c r="Z138" s="297" cm="1">
        <f t="array" aca="1" ref="Z138" ca="1">INDIRECT("'"&amp;$C138&amp;"'!"&amp;"$"&amp;$D138&amp;$Z$1&amp;"")</f>
        <v>0</v>
      </c>
      <c r="AA138" s="300" t="s">
        <v>1</v>
      </c>
      <c r="AB138" s="300" t="s">
        <v>1</v>
      </c>
      <c r="AC138" s="298" t="s">
        <v>1</v>
      </c>
      <c r="AD138" s="299" t="str" cm="1">
        <f t="array" aca="1" ref="AD138" ca="1">INDIRECT("'"&amp;$C138&amp;"'!"&amp;"$"&amp;$D138&amp;$AD$1&amp;"")</f>
        <v>CMS</v>
      </c>
      <c r="AE138" s="300" t="s">
        <v>1</v>
      </c>
      <c r="AF138" s="300" t="s">
        <v>1</v>
      </c>
      <c r="AG138" s="301" t="s">
        <v>1</v>
      </c>
      <c r="AH138" s="297" cm="1">
        <f t="array" aca="1" ref="AH138" ca="1">INDIRECT("'"&amp;$C138&amp;"'!"&amp;"$"&amp;$D138&amp;$AH$1&amp;"")</f>
        <v>3.8</v>
      </c>
      <c r="AI138" s="300">
        <v>13.96</v>
      </c>
      <c r="AJ138" s="300">
        <v>0.97</v>
      </c>
      <c r="AK138" s="298">
        <v>0.72299999999999998</v>
      </c>
      <c r="AL138" s="297">
        <v>11.8</v>
      </c>
      <c r="AM138" s="301">
        <v>70.400000000000006</v>
      </c>
      <c r="AN138" s="297" cm="1">
        <f t="array" aca="1" ref="AN138" ca="1">INDIRECT("'"&amp;$C138&amp;"'!"&amp;"$"&amp;$D138&amp;$AL$1&amp;"")</f>
        <v>4.0999999999999996</v>
      </c>
      <c r="AO138" s="300">
        <v>0.99</v>
      </c>
      <c r="AP138" s="298">
        <v>0.45</v>
      </c>
      <c r="AQ138" s="299" cm="1">
        <f t="array" aca="1" ref="AQ138" ca="1">INDIRECT("'"&amp;$C138&amp;"'!"&amp;"$"&amp;$D138&amp;$AQ$1&amp;"")</f>
        <v>4.0999999999999996</v>
      </c>
      <c r="AR138" s="300">
        <v>0.99</v>
      </c>
      <c r="AS138" s="298">
        <v>0.32</v>
      </c>
      <c r="AT138" s="302">
        <v>0</v>
      </c>
      <c r="AU138" s="301">
        <v>70.5</v>
      </c>
      <c r="AV138" s="297" t="str" cm="1">
        <f t="array" aca="1" ref="AV138" ca="1">INDIRECT("'"&amp;$C138&amp;"'!"&amp;"$"&amp;$D138&amp;$AT$1&amp;"")</f>
        <v>PMS</v>
      </c>
      <c r="AW138" s="300" t="s">
        <v>1</v>
      </c>
      <c r="AX138" s="298" t="s">
        <v>1</v>
      </c>
      <c r="AY138" s="303">
        <v>69.400000000000006</v>
      </c>
      <c r="AZ138" s="302" cm="1">
        <f t="array" aca="1" ref="AZ138" ca="1">INDIRECT("'"&amp;$C138&amp;"'!"&amp;"$"&amp;$D138&amp;$AY$1&amp;"")</f>
        <v>4.3</v>
      </c>
      <c r="BA138" s="300">
        <v>0.97</v>
      </c>
      <c r="BB138" s="298">
        <v>1</v>
      </c>
      <c r="BC138" s="299" cm="1">
        <f t="array" aca="1" ref="BC138" ca="1">INDIRECT("'"&amp;$C138&amp;"'!"&amp;"$"&amp;$D138&amp;$BC$1&amp;"")</f>
        <v>0.91</v>
      </c>
      <c r="BD138" s="300"/>
      <c r="BE138" s="300">
        <v>0.99</v>
      </c>
      <c r="BF138" s="298">
        <v>0.1</v>
      </c>
      <c r="BG138" s="299" cm="1">
        <f t="array" aca="1" ref="BG138" ca="1">INDIRECT("'"&amp;$C138&amp;"'!"&amp;"$"&amp;$D138&amp;$BG$1&amp;"")</f>
        <v>0.72</v>
      </c>
      <c r="BH138" s="300"/>
      <c r="BI138" s="300">
        <v>0.96</v>
      </c>
      <c r="BJ138" s="298">
        <v>0.21</v>
      </c>
      <c r="BK138" s="299" cm="1">
        <f t="array" aca="1" ref="BK138" ca="1">INDIRECT("'"&amp;$C138&amp;"'!"&amp;"$"&amp;$D138&amp;$BK$1&amp;"")</f>
        <v>3.65</v>
      </c>
      <c r="BL138" s="300"/>
      <c r="BM138" s="300">
        <v>0.99</v>
      </c>
      <c r="BN138" s="300">
        <v>0.62</v>
      </c>
    </row>
    <row r="139" spans="1:66" ht="15.75" thickBot="1" x14ac:dyDescent="0.25">
      <c r="A139" s="368">
        <v>45694</v>
      </c>
      <c r="B139" s="365">
        <v>0.375</v>
      </c>
      <c r="C139" s="315">
        <v>6</v>
      </c>
      <c r="D139" s="319" t="s">
        <v>119</v>
      </c>
      <c r="E139" s="290">
        <v>14.2</v>
      </c>
      <c r="F139" s="291">
        <v>70.069999999999993</v>
      </c>
      <c r="G139" s="292" cm="1">
        <f t="array" aca="1" ref="G139" ca="1">INDIRECT("'"&amp;$C139&amp;"'!"&amp;"$"&amp;$D139&amp;$E$1&amp;"")</f>
        <v>6.4</v>
      </c>
      <c r="H139" s="293">
        <v>0.97</v>
      </c>
      <c r="I139" s="291">
        <v>1.5</v>
      </c>
      <c r="J139" s="292" cm="1">
        <f t="array" aca="1" ref="J139" ca="1">INDIRECT("'"&amp;$C139&amp;"'!"&amp;"$"&amp;$D139&amp;$J$1&amp;"")</f>
        <v>6.9</v>
      </c>
      <c r="K139" s="293"/>
      <c r="L139" s="293">
        <v>0.98</v>
      </c>
      <c r="M139" s="291">
        <v>1.51</v>
      </c>
      <c r="N139" s="292" cm="1">
        <f t="array" aca="1" ref="N139" ca="1">INDIRECT("'"&amp;$C139&amp;"'!"&amp;"$"&amp;$D139&amp;$N$1&amp;"")</f>
        <v>6.5</v>
      </c>
      <c r="O139" s="293"/>
      <c r="P139" s="293">
        <v>0.96</v>
      </c>
      <c r="Q139" s="291">
        <v>1.78</v>
      </c>
      <c r="R139" s="292" cm="1">
        <f t="array" aca="1" ref="R139" ca="1">INDIRECT("'"&amp;$C139&amp;"'!"&amp;"$"&amp;$D139&amp;$R$1&amp;"")</f>
        <v>6.3</v>
      </c>
      <c r="S139" s="293"/>
      <c r="T139" s="293">
        <v>0.95</v>
      </c>
      <c r="U139" s="291">
        <v>2.16</v>
      </c>
      <c r="V139" s="292" t="str" cm="1">
        <f t="array" aca="1" ref="V139" ca="1">INDIRECT("'"&amp;$C139&amp;"'!"&amp;"$"&amp;$D139&amp;$V$1&amp;"")</f>
        <v>CMS</v>
      </c>
      <c r="W139" s="293" t="s">
        <v>1</v>
      </c>
      <c r="X139" s="293" t="s">
        <v>1</v>
      </c>
      <c r="Y139" s="294" t="s">
        <v>1</v>
      </c>
      <c r="Z139" s="290" cm="1">
        <f t="array" aca="1" ref="Z139" ca="1">INDIRECT("'"&amp;$C139&amp;"'!"&amp;"$"&amp;$D139&amp;$Z$1&amp;"")</f>
        <v>0</v>
      </c>
      <c r="AA139" s="293" t="s">
        <v>1</v>
      </c>
      <c r="AB139" s="293" t="s">
        <v>1</v>
      </c>
      <c r="AC139" s="291" t="s">
        <v>1</v>
      </c>
      <c r="AD139" s="292" t="str" cm="1">
        <f t="array" aca="1" ref="AD139" ca="1">INDIRECT("'"&amp;$C139&amp;"'!"&amp;"$"&amp;$D139&amp;$AD$1&amp;"")</f>
        <v>CMS</v>
      </c>
      <c r="AE139" s="293" t="s">
        <v>1</v>
      </c>
      <c r="AF139" s="293" t="s">
        <v>1</v>
      </c>
      <c r="AG139" s="294" t="s">
        <v>1</v>
      </c>
      <c r="AH139" s="290" cm="1">
        <f t="array" aca="1" ref="AH139" ca="1">INDIRECT("'"&amp;$C139&amp;"'!"&amp;"$"&amp;$D139&amp;$AH$1&amp;"")</f>
        <v>3.8</v>
      </c>
      <c r="AI139" s="293">
        <v>13.92</v>
      </c>
      <c r="AJ139" s="293">
        <v>0.95</v>
      </c>
      <c r="AK139" s="291">
        <v>1.1200000000000001</v>
      </c>
      <c r="AL139" s="290">
        <v>11.8</v>
      </c>
      <c r="AM139" s="294">
        <v>70</v>
      </c>
      <c r="AN139" s="290" cm="1">
        <f t="array" aca="1" ref="AN139" ca="1">INDIRECT("'"&amp;$C139&amp;"'!"&amp;"$"&amp;$D139&amp;$AL$1&amp;"")</f>
        <v>4.0999999999999996</v>
      </c>
      <c r="AO139" s="293">
        <v>0.99</v>
      </c>
      <c r="AP139" s="291">
        <v>0.62</v>
      </c>
      <c r="AQ139" s="292" cm="1">
        <f t="array" aca="1" ref="AQ139" ca="1">INDIRECT("'"&amp;$C139&amp;"'!"&amp;"$"&amp;$D139&amp;$AQ$1&amp;"")</f>
        <v>4.0999999999999996</v>
      </c>
      <c r="AR139" s="293">
        <v>0.96</v>
      </c>
      <c r="AS139" s="291">
        <v>1.9</v>
      </c>
      <c r="AT139" s="295">
        <v>0</v>
      </c>
      <c r="AU139" s="294">
        <v>0</v>
      </c>
      <c r="AV139" s="290" t="str" cm="1">
        <f t="array" aca="1" ref="AV139" ca="1">INDIRECT("'"&amp;$C139&amp;"'!"&amp;"$"&amp;$D139&amp;$AT$1&amp;"")</f>
        <v>PMS</v>
      </c>
      <c r="AW139" s="293" t="s">
        <v>1</v>
      </c>
      <c r="AX139" s="291" t="s">
        <v>1</v>
      </c>
      <c r="AY139" s="296">
        <v>68.7</v>
      </c>
      <c r="AZ139" s="295" cm="1">
        <f t="array" aca="1" ref="AZ139" ca="1">INDIRECT("'"&amp;$C139&amp;"'!"&amp;"$"&amp;$D139&amp;$AY$1&amp;"")</f>
        <v>6.6</v>
      </c>
      <c r="BA139" s="293">
        <v>0.96</v>
      </c>
      <c r="BB139" s="291">
        <v>1.9</v>
      </c>
      <c r="BC139" s="292" cm="1">
        <f t="array" aca="1" ref="BC139" ca="1">INDIRECT("'"&amp;$C139&amp;"'!"&amp;"$"&amp;$D139&amp;$BC$1&amp;"")</f>
        <v>1.22</v>
      </c>
      <c r="BD139" s="293"/>
      <c r="BE139" s="293">
        <v>0.99</v>
      </c>
      <c r="BF139" s="291">
        <v>0.16</v>
      </c>
      <c r="BG139" s="292" cm="1">
        <f t="array" aca="1" ref="BG139" ca="1">INDIRECT("'"&amp;$C139&amp;"'!"&amp;"$"&amp;$D139&amp;$BG$1&amp;"")</f>
        <v>0.75</v>
      </c>
      <c r="BH139" s="293"/>
      <c r="BI139" s="293">
        <v>0.96</v>
      </c>
      <c r="BJ139" s="291">
        <v>0.22</v>
      </c>
      <c r="BK139" s="292" cm="1">
        <f t="array" aca="1" ref="BK139" ca="1">INDIRECT("'"&amp;$C139&amp;"'!"&amp;"$"&amp;$D139&amp;$BK$1&amp;"")</f>
        <v>4.7</v>
      </c>
      <c r="BL139" s="293"/>
      <c r="BM139" s="293">
        <v>0.99</v>
      </c>
      <c r="BN139" s="291">
        <v>0.66</v>
      </c>
    </row>
    <row r="140" spans="1:66" ht="15.75" thickBot="1" x14ac:dyDescent="0.25">
      <c r="A140" s="368">
        <v>45694</v>
      </c>
      <c r="B140" s="365">
        <v>0.41666666666666702</v>
      </c>
      <c r="C140" s="315">
        <v>6</v>
      </c>
      <c r="D140" s="319" t="s">
        <v>120</v>
      </c>
      <c r="E140" s="297">
        <v>14.2</v>
      </c>
      <c r="F140" s="298">
        <v>69.099999999999994</v>
      </c>
      <c r="G140" s="299" cm="1">
        <f t="array" aca="1" ref="G140" ca="1">INDIRECT("'"&amp;$C140&amp;"'!"&amp;"$"&amp;$D140&amp;$E$1&amp;"")</f>
        <v>6.8</v>
      </c>
      <c r="H140" s="300">
        <v>0.96</v>
      </c>
      <c r="I140" s="298">
        <v>2.0099999999999998</v>
      </c>
      <c r="J140" s="299" cm="1">
        <f t="array" aca="1" ref="J140" ca="1">INDIRECT("'"&amp;$C140&amp;"'!"&amp;"$"&amp;$D140&amp;$J$1&amp;"")</f>
        <v>6.8</v>
      </c>
      <c r="K140" s="300"/>
      <c r="L140" s="300">
        <v>0.96</v>
      </c>
      <c r="M140" s="298">
        <v>2</v>
      </c>
      <c r="N140" s="299" cm="1">
        <f t="array" aca="1" ref="N140" ca="1">INDIRECT("'"&amp;$C140&amp;"'!"&amp;"$"&amp;$D140&amp;$N$1&amp;"")</f>
        <v>6.8</v>
      </c>
      <c r="O140" s="300"/>
      <c r="P140" s="300">
        <v>0.96</v>
      </c>
      <c r="Q140" s="298">
        <v>2.04</v>
      </c>
      <c r="R140" s="299" cm="1">
        <f t="array" aca="1" ref="R140" ca="1">INDIRECT("'"&amp;$C140&amp;"'!"&amp;"$"&amp;$D140&amp;$R$1&amp;"")</f>
        <v>6.8</v>
      </c>
      <c r="S140" s="300"/>
      <c r="T140" s="300">
        <v>0.93</v>
      </c>
      <c r="U140" s="298">
        <v>2.54</v>
      </c>
      <c r="V140" s="299" t="str" cm="1">
        <f t="array" aca="1" ref="V140" ca="1">INDIRECT("'"&amp;$C140&amp;"'!"&amp;"$"&amp;$D140&amp;$V$1&amp;"")</f>
        <v>CMS</v>
      </c>
      <c r="W140" s="300" t="s">
        <v>1</v>
      </c>
      <c r="X140" s="300" t="s">
        <v>1</v>
      </c>
      <c r="Y140" s="301" t="s">
        <v>1</v>
      </c>
      <c r="Z140" s="297" cm="1">
        <f t="array" aca="1" ref="Z140" ca="1">INDIRECT("'"&amp;$C140&amp;"'!"&amp;"$"&amp;$D140&amp;$Z$1&amp;"")</f>
        <v>0</v>
      </c>
      <c r="AA140" s="300" t="s">
        <v>1</v>
      </c>
      <c r="AB140" s="300" t="s">
        <v>1</v>
      </c>
      <c r="AC140" s="298" t="s">
        <v>1</v>
      </c>
      <c r="AD140" s="299" t="str" cm="1">
        <f t="array" aca="1" ref="AD140" ca="1">INDIRECT("'"&amp;$C140&amp;"'!"&amp;"$"&amp;$D140&amp;$AD$1&amp;"")</f>
        <v>CMS</v>
      </c>
      <c r="AE140" s="300" t="s">
        <v>1</v>
      </c>
      <c r="AF140" s="300" t="s">
        <v>1</v>
      </c>
      <c r="AG140" s="301" t="s">
        <v>1</v>
      </c>
      <c r="AH140" s="297" cm="1">
        <f t="array" aca="1" ref="AH140" ca="1">INDIRECT("'"&amp;$C140&amp;"'!"&amp;"$"&amp;$D140&amp;$AH$1&amp;"")</f>
        <v>3.8</v>
      </c>
      <c r="AI140" s="300">
        <v>13.84</v>
      </c>
      <c r="AJ140" s="300">
        <v>0.9</v>
      </c>
      <c r="AK140" s="298">
        <v>1.72</v>
      </c>
      <c r="AL140" s="297">
        <v>11.8</v>
      </c>
      <c r="AM140" s="301">
        <v>69.7</v>
      </c>
      <c r="AN140" s="297" cm="1">
        <f t="array" aca="1" ref="AN140" ca="1">INDIRECT("'"&amp;$C140&amp;"'!"&amp;"$"&amp;$D140&amp;$AL$1&amp;"")</f>
        <v>4</v>
      </c>
      <c r="AO140" s="300">
        <v>0.97</v>
      </c>
      <c r="AP140" s="298">
        <v>0.9</v>
      </c>
      <c r="AQ140" s="299" cm="1">
        <f t="array" aca="1" ref="AQ140" ca="1">INDIRECT("'"&amp;$C140&amp;"'!"&amp;"$"&amp;$D140&amp;$AQ$1&amp;"")</f>
        <v>4</v>
      </c>
      <c r="AR140" s="300">
        <v>0.97</v>
      </c>
      <c r="AS140" s="298">
        <v>1</v>
      </c>
      <c r="AT140" s="302">
        <v>0</v>
      </c>
      <c r="AU140" s="301">
        <v>0</v>
      </c>
      <c r="AV140" s="297" t="str" cm="1">
        <f t="array" aca="1" ref="AV140" ca="1">INDIRECT("'"&amp;$C140&amp;"'!"&amp;"$"&amp;$D140&amp;$AT$1&amp;"")</f>
        <v>PMS</v>
      </c>
      <c r="AW140" s="300" t="s">
        <v>1</v>
      </c>
      <c r="AX140" s="298" t="s">
        <v>1</v>
      </c>
      <c r="AY140" s="303">
        <v>68.099999999999994</v>
      </c>
      <c r="AZ140" s="302" cm="1">
        <f t="array" aca="1" ref="AZ140" ca="1">INDIRECT("'"&amp;$C140&amp;"'!"&amp;"$"&amp;$D140&amp;$AY$1&amp;"")</f>
        <v>10.799999999999997</v>
      </c>
      <c r="BA140" s="300">
        <v>0.96</v>
      </c>
      <c r="BB140" s="298">
        <v>3</v>
      </c>
      <c r="BC140" s="299" cm="1">
        <f t="array" aca="1" ref="BC140" ca="1">INDIRECT("'"&amp;$C140&amp;"'!"&amp;"$"&amp;$D140&amp;$BC$1&amp;"")</f>
        <v>1.27</v>
      </c>
      <c r="BD140" s="300"/>
      <c r="BE140" s="300">
        <v>0.99</v>
      </c>
      <c r="BF140" s="298">
        <v>0.16</v>
      </c>
      <c r="BG140" s="299" cm="1">
        <f t="array" aca="1" ref="BG140" ca="1">INDIRECT("'"&amp;$C140&amp;"'!"&amp;"$"&amp;$D140&amp;$BG$1&amp;"")</f>
        <v>0.83</v>
      </c>
      <c r="BH140" s="300"/>
      <c r="BI140" s="300">
        <v>0.96</v>
      </c>
      <c r="BJ140" s="298">
        <v>0.25</v>
      </c>
      <c r="BK140" s="299" cm="1">
        <f t="array" aca="1" ref="BK140" ca="1">INDIRECT("'"&amp;$C140&amp;"'!"&amp;"$"&amp;$D140&amp;$BK$1&amp;"")</f>
        <v>4.9000000000000004</v>
      </c>
      <c r="BL140" s="300"/>
      <c r="BM140" s="300">
        <v>0.99</v>
      </c>
      <c r="BN140" s="298">
        <v>0.69</v>
      </c>
    </row>
    <row r="141" spans="1:66" ht="15.75" thickBot="1" x14ac:dyDescent="0.25">
      <c r="A141" s="368">
        <v>45694</v>
      </c>
      <c r="B141" s="365">
        <v>0.45833333333333398</v>
      </c>
      <c r="C141" s="315">
        <v>6</v>
      </c>
      <c r="D141" s="319" t="s">
        <v>121</v>
      </c>
      <c r="E141" s="290">
        <v>14.1</v>
      </c>
      <c r="F141" s="291">
        <v>69.709999999999994</v>
      </c>
      <c r="G141" s="292" cm="1">
        <f t="array" aca="1" ref="G141" ca="1">INDIRECT("'"&amp;$C141&amp;"'!"&amp;"$"&amp;$D141&amp;$E$1&amp;"")</f>
        <v>6.7</v>
      </c>
      <c r="H141" s="293">
        <v>0.96</v>
      </c>
      <c r="I141" s="291">
        <v>2</v>
      </c>
      <c r="J141" s="292" cm="1">
        <f t="array" aca="1" ref="J141" ca="1">INDIRECT("'"&amp;$C141&amp;"'!"&amp;"$"&amp;$D141&amp;$J$1&amp;"")</f>
        <v>6.7</v>
      </c>
      <c r="K141" s="293"/>
      <c r="L141" s="293">
        <v>0.96</v>
      </c>
      <c r="M141" s="291">
        <v>1.98</v>
      </c>
      <c r="N141" s="292" cm="1">
        <f t="array" aca="1" ref="N141" ca="1">INDIRECT("'"&amp;$C141&amp;"'!"&amp;"$"&amp;$D141&amp;$N$1&amp;"")</f>
        <v>6.7</v>
      </c>
      <c r="O141" s="293"/>
      <c r="P141" s="293">
        <v>0.96</v>
      </c>
      <c r="Q141" s="291">
        <v>2.0099999999999998</v>
      </c>
      <c r="R141" s="292" cm="1">
        <f t="array" aca="1" ref="R141" ca="1">INDIRECT("'"&amp;$C141&amp;"'!"&amp;"$"&amp;$D141&amp;$R$1&amp;"")</f>
        <v>6.7</v>
      </c>
      <c r="S141" s="293"/>
      <c r="T141" s="293">
        <v>0.94</v>
      </c>
      <c r="U141" s="291">
        <v>2.4300000000000002</v>
      </c>
      <c r="V141" s="292" t="str" cm="1">
        <f t="array" aca="1" ref="V141" ca="1">INDIRECT("'"&amp;$C141&amp;"'!"&amp;"$"&amp;$D141&amp;$V$1&amp;"")</f>
        <v>CMS</v>
      </c>
      <c r="W141" s="293" t="s">
        <v>1</v>
      </c>
      <c r="X141" s="293" t="s">
        <v>1</v>
      </c>
      <c r="Y141" s="294" t="s">
        <v>1</v>
      </c>
      <c r="Z141" s="290" cm="1">
        <f t="array" aca="1" ref="Z141" ca="1">INDIRECT("'"&amp;$C141&amp;"'!"&amp;"$"&amp;$D141&amp;$Z$1&amp;"")</f>
        <v>0</v>
      </c>
      <c r="AA141" s="293" t="s">
        <v>1</v>
      </c>
      <c r="AB141" s="293" t="s">
        <v>1</v>
      </c>
      <c r="AC141" s="291" t="s">
        <v>1</v>
      </c>
      <c r="AD141" s="292" t="str" cm="1">
        <f t="array" aca="1" ref="AD141" ca="1">INDIRECT("'"&amp;$C141&amp;"'!"&amp;"$"&amp;$D141&amp;$AD$1&amp;"")</f>
        <v>CMS</v>
      </c>
      <c r="AE141" s="293" t="s">
        <v>1</v>
      </c>
      <c r="AF141" s="293" t="s">
        <v>1</v>
      </c>
      <c r="AG141" s="294" t="s">
        <v>1</v>
      </c>
      <c r="AH141" s="290" cm="1">
        <f t="array" aca="1" ref="AH141" ca="1">INDIRECT("'"&amp;$C141&amp;"'!"&amp;"$"&amp;$D141&amp;$AH$1&amp;"")</f>
        <v>3.8</v>
      </c>
      <c r="AI141" s="293">
        <v>13.8</v>
      </c>
      <c r="AJ141" s="293">
        <v>0.89</v>
      </c>
      <c r="AK141" s="291">
        <v>1.86</v>
      </c>
      <c r="AL141" s="290">
        <v>11.8</v>
      </c>
      <c r="AM141" s="294">
        <v>69.5</v>
      </c>
      <c r="AN141" s="290" cm="1">
        <f t="array" aca="1" ref="AN141" ca="1">INDIRECT("'"&amp;$C141&amp;"'!"&amp;"$"&amp;$D141&amp;$AL$1&amp;"")</f>
        <v>4</v>
      </c>
      <c r="AO141" s="293">
        <v>0.97</v>
      </c>
      <c r="AP141" s="291">
        <v>1</v>
      </c>
      <c r="AQ141" s="292" cm="1">
        <f t="array" aca="1" ref="AQ141" ca="1">INDIRECT("'"&amp;$C141&amp;"'!"&amp;"$"&amp;$D141&amp;$AQ$1&amp;"")</f>
        <v>4</v>
      </c>
      <c r="AR141" s="293">
        <v>0.97</v>
      </c>
      <c r="AS141" s="291">
        <v>1</v>
      </c>
      <c r="AT141" s="295">
        <v>0</v>
      </c>
      <c r="AU141" s="294">
        <v>0</v>
      </c>
      <c r="AV141" s="290" t="str" cm="1">
        <f t="array" aca="1" ref="AV141" ca="1">INDIRECT("'"&amp;$C141&amp;"'!"&amp;"$"&amp;$D141&amp;$AT$1&amp;"")</f>
        <v>PMS</v>
      </c>
      <c r="AW141" s="293" t="s">
        <v>1</v>
      </c>
      <c r="AX141" s="291" t="s">
        <v>1</v>
      </c>
      <c r="AY141" s="296">
        <v>68.5</v>
      </c>
      <c r="AZ141" s="295" cm="1">
        <f t="array" aca="1" ref="AZ141" ca="1">INDIRECT("'"&amp;$C141&amp;"'!"&amp;"$"&amp;$D141&amp;$AY$1&amp;"")</f>
        <v>12.500000000000002</v>
      </c>
      <c r="BA141" s="293">
        <v>0.97</v>
      </c>
      <c r="BB141" s="291">
        <v>3.1</v>
      </c>
      <c r="BC141" s="292" cm="1">
        <f t="array" aca="1" ref="BC141" ca="1">INDIRECT("'"&amp;$C141&amp;"'!"&amp;"$"&amp;$D141&amp;$BC$1&amp;"")</f>
        <v>1.32</v>
      </c>
      <c r="BD141" s="293"/>
      <c r="BE141" s="293">
        <v>0.99</v>
      </c>
      <c r="BF141" s="291">
        <v>0.19</v>
      </c>
      <c r="BG141" s="292" cm="1">
        <f t="array" aca="1" ref="BG141" ca="1">INDIRECT("'"&amp;$C141&amp;"'!"&amp;"$"&amp;$D141&amp;$BG$1&amp;"")</f>
        <v>0.86</v>
      </c>
      <c r="BH141" s="293"/>
      <c r="BI141" s="293">
        <v>0.96</v>
      </c>
      <c r="BJ141" s="291">
        <v>0.26</v>
      </c>
      <c r="BK141" s="292" cm="1">
        <f t="array" aca="1" ref="BK141" ca="1">INDIRECT("'"&amp;$C141&amp;"'!"&amp;"$"&amp;$D141&amp;$BK$1&amp;"")</f>
        <v>5.0999999999999996</v>
      </c>
      <c r="BL141" s="293"/>
      <c r="BM141" s="293">
        <v>0.99</v>
      </c>
      <c r="BN141" s="291">
        <v>0.72</v>
      </c>
    </row>
    <row r="142" spans="1:66" ht="15.75" thickBot="1" x14ac:dyDescent="0.25">
      <c r="A142" s="368">
        <v>45694</v>
      </c>
      <c r="B142" s="365">
        <v>0.5</v>
      </c>
      <c r="C142" s="315">
        <v>6</v>
      </c>
      <c r="D142" s="319" t="s">
        <v>122</v>
      </c>
      <c r="E142" s="297">
        <v>14.3</v>
      </c>
      <c r="F142" s="298">
        <v>70.42</v>
      </c>
      <c r="G142" s="299" cm="1">
        <f t="array" aca="1" ref="G142" ca="1">INDIRECT("'"&amp;$C142&amp;"'!"&amp;"$"&amp;$D142&amp;$E$1&amp;"")</f>
        <v>6.6</v>
      </c>
      <c r="H142" s="300">
        <v>0.95</v>
      </c>
      <c r="I142" s="298">
        <v>2.15</v>
      </c>
      <c r="J142" s="299" cm="1">
        <f t="array" aca="1" ref="J142" ca="1">INDIRECT("'"&amp;$C142&amp;"'!"&amp;"$"&amp;$D142&amp;$J$1&amp;"")</f>
        <v>6.6</v>
      </c>
      <c r="K142" s="300"/>
      <c r="L142" s="300">
        <v>0.95</v>
      </c>
      <c r="M142" s="298">
        <v>2.16</v>
      </c>
      <c r="N142" s="299" cm="1">
        <f t="array" aca="1" ref="N142" ca="1">INDIRECT("'"&amp;$C142&amp;"'!"&amp;"$"&amp;$D142&amp;$N$1&amp;"")</f>
        <v>6.6</v>
      </c>
      <c r="O142" s="300"/>
      <c r="P142" s="300">
        <v>0.95</v>
      </c>
      <c r="Q142" s="298">
        <v>2.14</v>
      </c>
      <c r="R142" s="299" cm="1">
        <f t="array" aca="1" ref="R142" ca="1">INDIRECT("'"&amp;$C142&amp;"'!"&amp;"$"&amp;$D142&amp;$R$1&amp;"")</f>
        <v>6.6</v>
      </c>
      <c r="S142" s="300"/>
      <c r="T142" s="300">
        <v>0.95</v>
      </c>
      <c r="U142" s="298">
        <v>2.12</v>
      </c>
      <c r="V142" s="299" t="str" cm="1">
        <f t="array" aca="1" ref="V142" ca="1">INDIRECT("'"&amp;$C142&amp;"'!"&amp;"$"&amp;$D142&amp;$V$1&amp;"")</f>
        <v>CMS</v>
      </c>
      <c r="W142" s="300" t="s">
        <v>1</v>
      </c>
      <c r="X142" s="300" t="s">
        <v>1</v>
      </c>
      <c r="Y142" s="301" t="s">
        <v>1</v>
      </c>
      <c r="Z142" s="297" cm="1">
        <f t="array" aca="1" ref="Z142" ca="1">INDIRECT("'"&amp;$C142&amp;"'!"&amp;"$"&amp;$D142&amp;$Z$1&amp;"")</f>
        <v>0</v>
      </c>
      <c r="AA142" s="300" t="s">
        <v>1</v>
      </c>
      <c r="AB142" s="300" t="s">
        <v>1</v>
      </c>
      <c r="AC142" s="298" t="s">
        <v>1</v>
      </c>
      <c r="AD142" s="299" t="str" cm="1">
        <f t="array" aca="1" ref="AD142" ca="1">INDIRECT("'"&amp;$C142&amp;"'!"&amp;"$"&amp;$D142&amp;$AD$1&amp;"")</f>
        <v>CMS</v>
      </c>
      <c r="AE142" s="300" t="s">
        <v>1</v>
      </c>
      <c r="AF142" s="300" t="s">
        <v>1</v>
      </c>
      <c r="AG142" s="301" t="s">
        <v>1</v>
      </c>
      <c r="AH142" s="297" cm="1">
        <f t="array" aca="1" ref="AH142" ca="1">INDIRECT("'"&amp;$C142&amp;"'!"&amp;"$"&amp;$D142&amp;$AH$1&amp;"")</f>
        <v>3.8</v>
      </c>
      <c r="AI142" s="300">
        <v>13.88</v>
      </c>
      <c r="AJ142" s="300">
        <v>0.9</v>
      </c>
      <c r="AK142" s="298">
        <v>1.81</v>
      </c>
      <c r="AL142" s="297">
        <v>11.9</v>
      </c>
      <c r="AM142" s="301">
        <v>70.099999999999994</v>
      </c>
      <c r="AN142" s="297" cm="1">
        <f t="array" aca="1" ref="AN142" ca="1">INDIRECT("'"&amp;$C142&amp;"'!"&amp;"$"&amp;$D142&amp;$AL$1&amp;"")</f>
        <v>3.8</v>
      </c>
      <c r="AO142" s="300">
        <v>0.97</v>
      </c>
      <c r="AP142" s="298">
        <v>0.94</v>
      </c>
      <c r="AQ142" s="299" cm="1">
        <f t="array" aca="1" ref="AQ142" ca="1">INDIRECT("'"&amp;$C142&amp;"'!"&amp;"$"&amp;$D142&amp;$AQ$1&amp;"")</f>
        <v>3.8</v>
      </c>
      <c r="AR142" s="300">
        <v>0.97</v>
      </c>
      <c r="AS142" s="298">
        <v>0.96</v>
      </c>
      <c r="AT142" s="302">
        <v>0</v>
      </c>
      <c r="AU142" s="301">
        <v>0</v>
      </c>
      <c r="AV142" s="297" t="str" cm="1">
        <f t="array" aca="1" ref="AV142" ca="1">INDIRECT("'"&amp;$C142&amp;"'!"&amp;"$"&amp;$D142&amp;$AT$1&amp;"")</f>
        <v>PMS</v>
      </c>
      <c r="AW142" s="300" t="s">
        <v>1</v>
      </c>
      <c r="AX142" s="298" t="s">
        <v>1</v>
      </c>
      <c r="AY142" s="303">
        <v>69</v>
      </c>
      <c r="AZ142" s="302" cm="1">
        <f t="array" aca="1" ref="AZ142" ca="1">INDIRECT("'"&amp;$C142&amp;"'!"&amp;"$"&amp;$D142&amp;$AY$1&amp;"")</f>
        <v>12.500000000000002</v>
      </c>
      <c r="BA142" s="300">
        <v>0.97</v>
      </c>
      <c r="BB142" s="298">
        <v>3.1</v>
      </c>
      <c r="BC142" s="299" cm="1">
        <f t="array" aca="1" ref="BC142" ca="1">INDIRECT("'"&amp;$C142&amp;"'!"&amp;"$"&amp;$D142&amp;$BC$1&amp;"")</f>
        <v>1.37</v>
      </c>
      <c r="BD142" s="300"/>
      <c r="BE142" s="300">
        <v>0.99</v>
      </c>
      <c r="BF142" s="298">
        <v>0.18</v>
      </c>
      <c r="BG142" s="299" cm="1">
        <f t="array" aca="1" ref="BG142" ca="1">INDIRECT("'"&amp;$C142&amp;"'!"&amp;"$"&amp;$D142&amp;$BG$1&amp;"")</f>
        <v>0.82</v>
      </c>
      <c r="BH142" s="300"/>
      <c r="BI142" s="300">
        <v>0.96</v>
      </c>
      <c r="BJ142" s="298">
        <v>0.24</v>
      </c>
      <c r="BK142" s="299" cm="1">
        <f t="array" aca="1" ref="BK142" ca="1">INDIRECT("'"&amp;$C142&amp;"'!"&amp;"$"&amp;$D142&amp;$BK$1&amp;"")</f>
        <v>4.9000000000000004</v>
      </c>
      <c r="BL142" s="300"/>
      <c r="BM142" s="300">
        <v>0.99</v>
      </c>
      <c r="BN142" s="298">
        <v>0.69</v>
      </c>
    </row>
    <row r="143" spans="1:66" ht="15.75" thickBot="1" x14ac:dyDescent="0.25">
      <c r="A143" s="368">
        <v>45694</v>
      </c>
      <c r="B143" s="365">
        <v>0.54166666666666696</v>
      </c>
      <c r="C143" s="315">
        <v>6</v>
      </c>
      <c r="D143" s="319" t="s">
        <v>123</v>
      </c>
      <c r="E143" s="290">
        <v>14.3</v>
      </c>
      <c r="F143" s="291">
        <v>70.63</v>
      </c>
      <c r="G143" s="292" cm="1">
        <f t="array" aca="1" ref="G143" ca="1">INDIRECT("'"&amp;$C143&amp;"'!"&amp;"$"&amp;$D143&amp;$E$1&amp;"")</f>
        <v>6.6</v>
      </c>
      <c r="H143" s="293">
        <v>0.96</v>
      </c>
      <c r="I143" s="291">
        <v>1.87</v>
      </c>
      <c r="J143" s="292" cm="1">
        <f t="array" aca="1" ref="J143" ca="1">INDIRECT("'"&amp;$C143&amp;"'!"&amp;"$"&amp;$D143&amp;$J$1&amp;"")</f>
        <v>6.6</v>
      </c>
      <c r="K143" s="293"/>
      <c r="L143" s="293">
        <v>0.96</v>
      </c>
      <c r="M143" s="291">
        <v>1.84</v>
      </c>
      <c r="N143" s="292" cm="1">
        <f t="array" aca="1" ref="N143" ca="1">INDIRECT("'"&amp;$C143&amp;"'!"&amp;"$"&amp;$D143&amp;$N$1&amp;"")</f>
        <v>6.6</v>
      </c>
      <c r="O143" s="293"/>
      <c r="P143" s="293">
        <v>0.95</v>
      </c>
      <c r="Q143" s="291">
        <v>2.08</v>
      </c>
      <c r="R143" s="292" cm="1">
        <f t="array" aca="1" ref="R143" ca="1">INDIRECT("'"&amp;$C143&amp;"'!"&amp;"$"&amp;$D143&amp;$R$1&amp;"")</f>
        <v>6.7</v>
      </c>
      <c r="S143" s="293"/>
      <c r="T143" s="293">
        <v>0.97</v>
      </c>
      <c r="U143" s="291">
        <v>1.9</v>
      </c>
      <c r="V143" s="292" t="str" cm="1">
        <f t="array" aca="1" ref="V143" ca="1">INDIRECT("'"&amp;$C143&amp;"'!"&amp;"$"&amp;$D143&amp;$V$1&amp;"")</f>
        <v>CMS</v>
      </c>
      <c r="W143" s="293" t="s">
        <v>1</v>
      </c>
      <c r="X143" s="293" t="s">
        <v>1</v>
      </c>
      <c r="Y143" s="294" t="s">
        <v>1</v>
      </c>
      <c r="Z143" s="290" cm="1">
        <f t="array" aca="1" ref="Z143" ca="1">INDIRECT("'"&amp;$C143&amp;"'!"&amp;"$"&amp;$D143&amp;$Z$1&amp;"")</f>
        <v>0</v>
      </c>
      <c r="AA143" s="293" t="s">
        <v>1</v>
      </c>
      <c r="AB143" s="293" t="s">
        <v>1</v>
      </c>
      <c r="AC143" s="291" t="s">
        <v>1</v>
      </c>
      <c r="AD143" s="292" t="str" cm="1">
        <f t="array" aca="1" ref="AD143" ca="1">INDIRECT("'"&amp;$C143&amp;"'!"&amp;"$"&amp;$D143&amp;$AD$1&amp;"")</f>
        <v>CMS</v>
      </c>
      <c r="AE143" s="293" t="s">
        <v>1</v>
      </c>
      <c r="AF143" s="293" t="s">
        <v>1</v>
      </c>
      <c r="AG143" s="294" t="s">
        <v>1</v>
      </c>
      <c r="AH143" s="290" cm="1">
        <f t="array" aca="1" ref="AH143" ca="1">INDIRECT("'"&amp;$C143&amp;"'!"&amp;"$"&amp;$D143&amp;$AH$1&amp;"")</f>
        <v>3.8</v>
      </c>
      <c r="AI143" s="293">
        <v>13.88</v>
      </c>
      <c r="AJ143" s="293">
        <v>0.9</v>
      </c>
      <c r="AK143" s="291">
        <v>1.85</v>
      </c>
      <c r="AL143" s="290">
        <v>11.9</v>
      </c>
      <c r="AM143" s="294">
        <v>70.3</v>
      </c>
      <c r="AN143" s="290" cm="1">
        <f t="array" aca="1" ref="AN143" ca="1">INDIRECT("'"&amp;$C143&amp;"'!"&amp;"$"&amp;$D143&amp;$AL$1&amp;"")</f>
        <v>3.8</v>
      </c>
      <c r="AO143" s="293">
        <v>0.97</v>
      </c>
      <c r="AP143" s="291">
        <v>0.88</v>
      </c>
      <c r="AQ143" s="292" cm="1">
        <f t="array" aca="1" ref="AQ143" ca="1">INDIRECT("'"&amp;$C143&amp;"'!"&amp;"$"&amp;$D143&amp;$AQ$1&amp;"")</f>
        <v>3.8</v>
      </c>
      <c r="AR143" s="293">
        <v>0.97</v>
      </c>
      <c r="AS143" s="291">
        <v>0.97</v>
      </c>
      <c r="AT143" s="295">
        <v>0</v>
      </c>
      <c r="AU143" s="294">
        <v>0</v>
      </c>
      <c r="AV143" s="290" t="str" cm="1">
        <f t="array" aca="1" ref="AV143" ca="1">INDIRECT("'"&amp;$C143&amp;"'!"&amp;"$"&amp;$D143&amp;$AT$1&amp;"")</f>
        <v>PMS</v>
      </c>
      <c r="AW143" s="293" t="s">
        <v>1</v>
      </c>
      <c r="AX143" s="291" t="s">
        <v>1</v>
      </c>
      <c r="AY143" s="296">
        <v>60.03</v>
      </c>
      <c r="AZ143" s="295" cm="1">
        <f t="array" aca="1" ref="AZ143" ca="1">INDIRECT("'"&amp;$C143&amp;"'!"&amp;"$"&amp;$D143&amp;$AY$1&amp;"")</f>
        <v>11.700000000000003</v>
      </c>
      <c r="BA143" s="293">
        <v>0.97</v>
      </c>
      <c r="BB143" s="291">
        <v>2.9</v>
      </c>
      <c r="BC143" s="292" cm="1">
        <f t="array" aca="1" ref="BC143" ca="1">INDIRECT("'"&amp;$C143&amp;"'!"&amp;"$"&amp;$D143&amp;$BC$1&amp;"")</f>
        <v>1.33</v>
      </c>
      <c r="BD143" s="293"/>
      <c r="BE143" s="293">
        <v>0.99</v>
      </c>
      <c r="BF143" s="291">
        <v>0.19</v>
      </c>
      <c r="BG143" s="292" cm="1">
        <f t="array" aca="1" ref="BG143" ca="1">INDIRECT("'"&amp;$C143&amp;"'!"&amp;"$"&amp;$D143&amp;$BG$1&amp;"")</f>
        <v>0.84</v>
      </c>
      <c r="BH143" s="293"/>
      <c r="BI143" s="293">
        <v>0.96</v>
      </c>
      <c r="BJ143" s="291">
        <v>0.24</v>
      </c>
      <c r="BK143" s="292" cm="1">
        <f t="array" aca="1" ref="BK143" ca="1">INDIRECT("'"&amp;$C143&amp;"'!"&amp;"$"&amp;$D143&amp;$BK$1&amp;"")</f>
        <v>4.9000000000000004</v>
      </c>
      <c r="BL143" s="293"/>
      <c r="BM143" s="293">
        <v>0.99</v>
      </c>
      <c r="BN143" s="291">
        <v>0.69</v>
      </c>
    </row>
    <row r="144" spans="1:66" ht="15.75" thickBot="1" x14ac:dyDescent="0.25">
      <c r="A144" s="368">
        <v>45694</v>
      </c>
      <c r="B144" s="365">
        <v>0.58333333333333404</v>
      </c>
      <c r="C144" s="315">
        <v>6</v>
      </c>
      <c r="D144" s="319" t="s">
        <v>124</v>
      </c>
      <c r="E144" s="297">
        <v>14.1</v>
      </c>
      <c r="F144" s="298">
        <v>70.069999999999993</v>
      </c>
      <c r="G144" s="299" cm="1">
        <f t="array" aca="1" ref="G144" ca="1">INDIRECT("'"&amp;$C144&amp;"'!"&amp;"$"&amp;$D144&amp;$E$1&amp;"")</f>
        <v>6.7</v>
      </c>
      <c r="H144" s="300">
        <v>0.95</v>
      </c>
      <c r="I144" s="298">
        <v>2.1</v>
      </c>
      <c r="J144" s="299" cm="1">
        <f t="array" aca="1" ref="J144" ca="1">INDIRECT("'"&amp;$C144&amp;"'!"&amp;"$"&amp;$D144&amp;$J$1&amp;"")</f>
        <v>6.7</v>
      </c>
      <c r="K144" s="300"/>
      <c r="L144" s="300">
        <v>0.95</v>
      </c>
      <c r="M144" s="298">
        <v>2.11</v>
      </c>
      <c r="N144" s="299" cm="1">
        <f t="array" aca="1" ref="N144" ca="1">INDIRECT("'"&amp;$C144&amp;"'!"&amp;"$"&amp;$D144&amp;$N$1&amp;"")</f>
        <v>6.7</v>
      </c>
      <c r="O144" s="300"/>
      <c r="P144" s="300">
        <v>0.95</v>
      </c>
      <c r="Q144" s="298">
        <v>2.1</v>
      </c>
      <c r="R144" s="299" cm="1">
        <f t="array" aca="1" ref="R144" ca="1">INDIRECT("'"&amp;$C144&amp;"'!"&amp;"$"&amp;$D144&amp;$R$1&amp;"")</f>
        <v>6.7</v>
      </c>
      <c r="S144" s="300"/>
      <c r="T144" s="300">
        <v>0.94</v>
      </c>
      <c r="U144" s="298">
        <v>2.41</v>
      </c>
      <c r="V144" s="299" t="str" cm="1">
        <f t="array" aca="1" ref="V144" ca="1">INDIRECT("'"&amp;$C144&amp;"'!"&amp;"$"&amp;$D144&amp;$V$1&amp;"")</f>
        <v>CMS</v>
      </c>
      <c r="W144" s="300" t="s">
        <v>1</v>
      </c>
      <c r="X144" s="300" t="s">
        <v>1</v>
      </c>
      <c r="Y144" s="301" t="s">
        <v>1</v>
      </c>
      <c r="Z144" s="297" cm="1">
        <f t="array" aca="1" ref="Z144" ca="1">INDIRECT("'"&amp;$C144&amp;"'!"&amp;"$"&amp;$D144&amp;$Z$1&amp;"")</f>
        <v>0</v>
      </c>
      <c r="AA144" s="300" t="s">
        <v>1</v>
      </c>
      <c r="AB144" s="300" t="s">
        <v>1</v>
      </c>
      <c r="AC144" s="298" t="s">
        <v>1</v>
      </c>
      <c r="AD144" s="299" t="str" cm="1">
        <f t="array" aca="1" ref="AD144" ca="1">INDIRECT("'"&amp;$C144&amp;"'!"&amp;"$"&amp;$D144&amp;$AD$1&amp;"")</f>
        <v>CMS</v>
      </c>
      <c r="AE144" s="300" t="s">
        <v>1</v>
      </c>
      <c r="AF144" s="300" t="s">
        <v>1</v>
      </c>
      <c r="AG144" s="301" t="s">
        <v>1</v>
      </c>
      <c r="AH144" s="297" cm="1">
        <f t="array" aca="1" ref="AH144" ca="1">INDIRECT("'"&amp;$C144&amp;"'!"&amp;"$"&amp;$D144&amp;$AH$1&amp;"")</f>
        <v>3.8</v>
      </c>
      <c r="AI144" s="300">
        <v>13.8</v>
      </c>
      <c r="AJ144" s="300">
        <v>0.91</v>
      </c>
      <c r="AK144" s="298">
        <v>1.76</v>
      </c>
      <c r="AL144" s="297">
        <v>11.9</v>
      </c>
      <c r="AM144" s="301">
        <v>70.099999999999994</v>
      </c>
      <c r="AN144" s="297" cm="1">
        <f t="array" aca="1" ref="AN144" ca="1">INDIRECT("'"&amp;$C144&amp;"'!"&amp;"$"&amp;$D144&amp;$AL$1&amp;"")</f>
        <v>3.8</v>
      </c>
      <c r="AO144" s="300">
        <v>0.96</v>
      </c>
      <c r="AP144" s="298">
        <v>1.01</v>
      </c>
      <c r="AQ144" s="299" cm="1">
        <f t="array" aca="1" ref="AQ144" ca="1">INDIRECT("'"&amp;$C144&amp;"'!"&amp;"$"&amp;$D144&amp;$AQ$1&amp;"")</f>
        <v>3.8</v>
      </c>
      <c r="AR144" s="300">
        <v>0.96</v>
      </c>
      <c r="AS144" s="298">
        <v>1.1499999999999999</v>
      </c>
      <c r="AT144" s="302">
        <v>0</v>
      </c>
      <c r="AU144" s="301">
        <v>0</v>
      </c>
      <c r="AV144" s="297" t="str" cm="1">
        <f t="array" aca="1" ref="AV144" ca="1">INDIRECT("'"&amp;$C144&amp;"'!"&amp;"$"&amp;$D144&amp;$AT$1&amp;"")</f>
        <v>PMS</v>
      </c>
      <c r="AW144" s="300" t="s">
        <v>1</v>
      </c>
      <c r="AX144" s="298" t="s">
        <v>1</v>
      </c>
      <c r="AY144" s="303">
        <v>68.7</v>
      </c>
      <c r="AZ144" s="302" cm="1">
        <f t="array" aca="1" ref="AZ144" ca="1">INDIRECT("'"&amp;$C144&amp;"'!"&amp;"$"&amp;$D144&amp;$AY$1&amp;"")</f>
        <v>13</v>
      </c>
      <c r="BA144" s="300">
        <v>0.97</v>
      </c>
      <c r="BB144" s="298">
        <v>3.2</v>
      </c>
      <c r="BC144" s="299" cm="1">
        <f t="array" aca="1" ref="BC144" ca="1">INDIRECT("'"&amp;$C144&amp;"'!"&amp;"$"&amp;$D144&amp;$BC$1&amp;"")</f>
        <v>1.33</v>
      </c>
      <c r="BD144" s="300"/>
      <c r="BE144" s="300">
        <v>0.99</v>
      </c>
      <c r="BF144" s="298">
        <v>0.18</v>
      </c>
      <c r="BG144" s="299" cm="1">
        <f t="array" aca="1" ref="BG144" ca="1">INDIRECT("'"&amp;$C144&amp;"'!"&amp;"$"&amp;$D144&amp;$BG$1&amp;"")</f>
        <v>0.82</v>
      </c>
      <c r="BH144" s="300"/>
      <c r="BI144" s="300">
        <v>0.96</v>
      </c>
      <c r="BJ144" s="298">
        <v>0.25</v>
      </c>
      <c r="BK144" s="299" cm="1">
        <f t="array" aca="1" ref="BK144" ca="1">INDIRECT("'"&amp;$C144&amp;"'!"&amp;"$"&amp;$D144&amp;$BK$1&amp;"")</f>
        <v>5.0999999999999996</v>
      </c>
      <c r="BL144" s="300"/>
      <c r="BM144" s="300">
        <v>0.99</v>
      </c>
      <c r="BN144" s="298">
        <v>0.73</v>
      </c>
    </row>
    <row r="145" spans="1:66" ht="15.75" thickBot="1" x14ac:dyDescent="0.25">
      <c r="A145" s="368">
        <v>45694</v>
      </c>
      <c r="B145" s="365">
        <v>0.625</v>
      </c>
      <c r="C145" s="315">
        <v>6</v>
      </c>
      <c r="D145" s="319" t="s">
        <v>125</v>
      </c>
      <c r="E145" s="290">
        <v>14.1</v>
      </c>
      <c r="F145" s="291">
        <v>70.06</v>
      </c>
      <c r="G145" s="292" cm="1">
        <f t="array" aca="1" ref="G145" ca="1">INDIRECT("'"&amp;$C145&amp;"'!"&amp;"$"&amp;$D145&amp;$E$1&amp;"")</f>
        <v>6.7</v>
      </c>
      <c r="H145" s="293">
        <v>0.95</v>
      </c>
      <c r="I145" s="291">
        <v>2.09</v>
      </c>
      <c r="J145" s="292" cm="1">
        <f t="array" aca="1" ref="J145" ca="1">INDIRECT("'"&amp;$C145&amp;"'!"&amp;"$"&amp;$D145&amp;$J$1&amp;"")</f>
        <v>6.7</v>
      </c>
      <c r="K145" s="293"/>
      <c r="L145" s="293">
        <v>0.95</v>
      </c>
      <c r="M145" s="291">
        <v>2.1</v>
      </c>
      <c r="N145" s="292" cm="1">
        <f t="array" aca="1" ref="N145" ca="1">INDIRECT("'"&amp;$C145&amp;"'!"&amp;"$"&amp;$D145&amp;$N$1&amp;"")</f>
        <v>6.7</v>
      </c>
      <c r="O145" s="293"/>
      <c r="P145" s="293">
        <v>0.95</v>
      </c>
      <c r="Q145" s="291">
        <v>2.08</v>
      </c>
      <c r="R145" s="292" cm="1">
        <f t="array" aca="1" ref="R145" ca="1">INDIRECT("'"&amp;$C145&amp;"'!"&amp;"$"&amp;$D145&amp;$R$1&amp;"")</f>
        <v>6.8</v>
      </c>
      <c r="S145" s="293"/>
      <c r="T145" s="293">
        <v>0.94</v>
      </c>
      <c r="U145" s="291">
        <v>2.4300000000000002</v>
      </c>
      <c r="V145" s="292" t="str" cm="1">
        <f t="array" aca="1" ref="V145" ca="1">INDIRECT("'"&amp;$C145&amp;"'!"&amp;"$"&amp;$D145&amp;$V$1&amp;"")</f>
        <v>CMS</v>
      </c>
      <c r="W145" s="293" t="s">
        <v>1</v>
      </c>
      <c r="X145" s="293" t="s">
        <v>1</v>
      </c>
      <c r="Y145" s="294" t="s">
        <v>1</v>
      </c>
      <c r="Z145" s="290" cm="1">
        <f t="array" aca="1" ref="Z145" ca="1">INDIRECT("'"&amp;$C145&amp;"'!"&amp;"$"&amp;$D145&amp;$Z$1&amp;"")</f>
        <v>0</v>
      </c>
      <c r="AA145" s="293" t="s">
        <v>1</v>
      </c>
      <c r="AB145" s="293" t="s">
        <v>1</v>
      </c>
      <c r="AC145" s="291" t="s">
        <v>1</v>
      </c>
      <c r="AD145" s="292" t="str" cm="1">
        <f t="array" aca="1" ref="AD145" ca="1">INDIRECT("'"&amp;$C145&amp;"'!"&amp;"$"&amp;$D145&amp;$AD$1&amp;"")</f>
        <v>CMS</v>
      </c>
      <c r="AE145" s="293" t="s">
        <v>1</v>
      </c>
      <c r="AF145" s="293" t="s">
        <v>1</v>
      </c>
      <c r="AG145" s="291" t="s">
        <v>1</v>
      </c>
      <c r="AH145" s="290" cm="1">
        <f t="array" aca="1" ref="AH145" ca="1">INDIRECT("'"&amp;$C145&amp;"'!"&amp;"$"&amp;$D145&amp;$AH$1&amp;"")</f>
        <v>3.8</v>
      </c>
      <c r="AI145" s="293">
        <v>13.8</v>
      </c>
      <c r="AJ145" s="293">
        <v>0.91</v>
      </c>
      <c r="AK145" s="291">
        <v>1.83</v>
      </c>
      <c r="AL145" s="290">
        <v>11.9</v>
      </c>
      <c r="AM145" s="294">
        <v>70.099999999999994</v>
      </c>
      <c r="AN145" s="290" cm="1">
        <f t="array" aca="1" ref="AN145" ca="1">INDIRECT("'"&amp;$C145&amp;"'!"&amp;"$"&amp;$D145&amp;$AL$1&amp;"")</f>
        <v>3.8</v>
      </c>
      <c r="AO145" s="293">
        <v>0.96</v>
      </c>
      <c r="AP145" s="291">
        <v>1.04</v>
      </c>
      <c r="AQ145" s="292" cm="1">
        <f t="array" aca="1" ref="AQ145" ca="1">INDIRECT("'"&amp;$C145&amp;"'!"&amp;"$"&amp;$D145&amp;$AQ$1&amp;"")</f>
        <v>3.8</v>
      </c>
      <c r="AR145" s="293">
        <v>0.96</v>
      </c>
      <c r="AS145" s="291">
        <v>1.1599999999999999</v>
      </c>
      <c r="AT145" s="295">
        <v>0</v>
      </c>
      <c r="AU145" s="294">
        <v>0</v>
      </c>
      <c r="AV145" s="290" t="str" cm="1">
        <f t="array" aca="1" ref="AV145" ca="1">INDIRECT("'"&amp;$C145&amp;"'!"&amp;"$"&amp;$D145&amp;$AT$1&amp;"")</f>
        <v>PMS</v>
      </c>
      <c r="AW145" s="293" t="s">
        <v>1</v>
      </c>
      <c r="AX145" s="291" t="s">
        <v>1</v>
      </c>
      <c r="AY145" s="296">
        <v>68.8</v>
      </c>
      <c r="AZ145" s="295" cm="1">
        <f t="array" aca="1" ref="AZ145" ca="1">INDIRECT("'"&amp;$C145&amp;"'!"&amp;"$"&amp;$D145&amp;$AY$1&amp;"")</f>
        <v>13.395000000000001</v>
      </c>
      <c r="BA145" s="293">
        <v>0.97</v>
      </c>
      <c r="BB145" s="291">
        <v>3.3</v>
      </c>
      <c r="BC145" s="292" cm="1">
        <f t="array" aca="1" ref="BC145" ca="1">INDIRECT("'"&amp;$C145&amp;"'!"&amp;"$"&amp;$D145&amp;$BC$1&amp;"")</f>
        <v>1.25</v>
      </c>
      <c r="BD145" s="293"/>
      <c r="BE145" s="293">
        <v>0.99</v>
      </c>
      <c r="BF145" s="291">
        <v>0.16</v>
      </c>
      <c r="BG145" s="292" cm="1">
        <f t="array" aca="1" ref="BG145" ca="1">INDIRECT("'"&amp;$C145&amp;"'!"&amp;"$"&amp;$D145&amp;$BG$1&amp;"")</f>
        <v>0.85</v>
      </c>
      <c r="BH145" s="293"/>
      <c r="BI145" s="293">
        <v>0.96</v>
      </c>
      <c r="BJ145" s="291">
        <v>0.25</v>
      </c>
      <c r="BK145" s="292" cm="1">
        <f t="array" aca="1" ref="BK145" ca="1">INDIRECT("'"&amp;$C145&amp;"'!"&amp;"$"&amp;$D145&amp;$BK$1&amp;"")</f>
        <v>5.0999999999999996</v>
      </c>
      <c r="BL145" s="293"/>
      <c r="BM145" s="293">
        <v>0.99</v>
      </c>
      <c r="BN145" s="291">
        <v>0.72</v>
      </c>
    </row>
    <row r="146" spans="1:66" ht="15.75" thickBot="1" x14ac:dyDescent="0.25">
      <c r="A146" s="368">
        <v>45694</v>
      </c>
      <c r="B146" s="365">
        <v>0.66666666666666696</v>
      </c>
      <c r="C146" s="315">
        <v>6</v>
      </c>
      <c r="D146" s="319" t="s">
        <v>126</v>
      </c>
      <c r="E146" s="297">
        <v>14.1</v>
      </c>
      <c r="F146" s="298">
        <v>70.09</v>
      </c>
      <c r="G146" s="299" cm="1">
        <f t="array" aca="1" ref="G146" ca="1">INDIRECT("'"&amp;$C146&amp;"'!"&amp;"$"&amp;$D146&amp;$E$1&amp;"")</f>
        <v>6.8</v>
      </c>
      <c r="H146" s="300">
        <v>0.95</v>
      </c>
      <c r="I146" s="298">
        <v>2.12</v>
      </c>
      <c r="J146" s="299" cm="1">
        <f t="array" aca="1" ref="J146" ca="1">INDIRECT("'"&amp;$C146&amp;"'!"&amp;"$"&amp;$D146&amp;$J$1&amp;"")</f>
        <v>6.8</v>
      </c>
      <c r="K146" s="300"/>
      <c r="L146" s="300">
        <v>0.95</v>
      </c>
      <c r="M146" s="298">
        <v>2.14</v>
      </c>
      <c r="N146" s="299" cm="1">
        <f t="array" aca="1" ref="N146" ca="1">INDIRECT("'"&amp;$C146&amp;"'!"&amp;"$"&amp;$D146&amp;$N$1&amp;"")</f>
        <v>6.8</v>
      </c>
      <c r="O146" s="300"/>
      <c r="P146" s="300">
        <v>0.95</v>
      </c>
      <c r="Q146" s="298">
        <v>2.1</v>
      </c>
      <c r="R146" s="299" cm="1">
        <f t="array" aca="1" ref="R146" ca="1">INDIRECT("'"&amp;$C146&amp;"'!"&amp;"$"&amp;$D146&amp;$R$1&amp;"")</f>
        <v>6.8</v>
      </c>
      <c r="S146" s="300"/>
      <c r="T146" s="300">
        <v>0.95</v>
      </c>
      <c r="U146" s="298">
        <v>2.5</v>
      </c>
      <c r="V146" s="299" t="str" cm="1">
        <f t="array" aca="1" ref="V146" ca="1">INDIRECT("'"&amp;$C146&amp;"'!"&amp;"$"&amp;$D146&amp;$V$1&amp;"")</f>
        <v>CMS</v>
      </c>
      <c r="W146" s="300" t="s">
        <v>1</v>
      </c>
      <c r="X146" s="300" t="s">
        <v>1</v>
      </c>
      <c r="Y146" s="301" t="s">
        <v>1</v>
      </c>
      <c r="Z146" s="297" cm="1">
        <f t="array" aca="1" ref="Z146" ca="1">INDIRECT("'"&amp;$C146&amp;"'!"&amp;"$"&amp;$D146&amp;$Z$1&amp;"")</f>
        <v>0</v>
      </c>
      <c r="AA146" s="300" t="s">
        <v>1</v>
      </c>
      <c r="AB146" s="300" t="s">
        <v>1</v>
      </c>
      <c r="AC146" s="298" t="s">
        <v>1</v>
      </c>
      <c r="AD146" s="299" t="str" cm="1">
        <f t="array" aca="1" ref="AD146" ca="1">INDIRECT("'"&amp;$C146&amp;"'!"&amp;"$"&amp;$D146&amp;$AD$1&amp;"")</f>
        <v>CMS</v>
      </c>
      <c r="AE146" s="300" t="s">
        <v>1</v>
      </c>
      <c r="AF146" s="300" t="s">
        <v>1</v>
      </c>
      <c r="AG146" s="298" t="s">
        <v>1</v>
      </c>
      <c r="AH146" s="297" cm="1">
        <f t="array" aca="1" ref="AH146" ca="1">INDIRECT("'"&amp;$C146&amp;"'!"&amp;"$"&amp;$D146&amp;$AH$1&amp;"")</f>
        <v>3.8</v>
      </c>
      <c r="AI146" s="300">
        <v>13.8</v>
      </c>
      <c r="AJ146" s="300">
        <v>0.92</v>
      </c>
      <c r="AK146" s="298">
        <v>1.56</v>
      </c>
      <c r="AL146" s="297">
        <v>11.9</v>
      </c>
      <c r="AM146" s="301">
        <v>70</v>
      </c>
      <c r="AN146" s="297" cm="1">
        <f t="array" aca="1" ref="AN146" ca="1">INDIRECT("'"&amp;$C146&amp;"'!"&amp;"$"&amp;$D146&amp;$AL$1&amp;"")</f>
        <v>3.8</v>
      </c>
      <c r="AO146" s="300">
        <v>0.95</v>
      </c>
      <c r="AP146" s="298">
        <v>1.06</v>
      </c>
      <c r="AQ146" s="299" cm="1">
        <f t="array" aca="1" ref="AQ146" ca="1">INDIRECT("'"&amp;$C146&amp;"'!"&amp;"$"&amp;$D146&amp;$AQ$1&amp;"")</f>
        <v>3.8</v>
      </c>
      <c r="AR146" s="300">
        <v>0.95</v>
      </c>
      <c r="AS146" s="298">
        <v>1.23</v>
      </c>
      <c r="AT146" s="302">
        <v>0</v>
      </c>
      <c r="AU146" s="301">
        <v>0</v>
      </c>
      <c r="AV146" s="297" t="str" cm="1">
        <f t="array" aca="1" ref="AV146" ca="1">INDIRECT("'"&amp;$C146&amp;"'!"&amp;"$"&amp;$D146&amp;$AT$1&amp;"")</f>
        <v>PMS</v>
      </c>
      <c r="AW146" s="300" t="s">
        <v>1</v>
      </c>
      <c r="AX146" s="298" t="s">
        <v>1</v>
      </c>
      <c r="AY146" s="303">
        <v>68.8</v>
      </c>
      <c r="AZ146" s="302" cm="1">
        <f t="array" aca="1" ref="AZ146" ca="1">INDIRECT("'"&amp;$C146&amp;"'!"&amp;"$"&amp;$D146&amp;$AY$1&amp;"")</f>
        <v>12.700000000000003</v>
      </c>
      <c r="BA146" s="300">
        <v>0.97</v>
      </c>
      <c r="BB146" s="298">
        <v>3.1</v>
      </c>
      <c r="BC146" s="299" cm="1">
        <f t="array" aca="1" ref="BC146" ca="1">INDIRECT("'"&amp;$C146&amp;"'!"&amp;"$"&amp;$D146&amp;$BC$1&amp;"")</f>
        <v>1.22</v>
      </c>
      <c r="BD146" s="300"/>
      <c r="BE146" s="300">
        <v>0.99</v>
      </c>
      <c r="BF146" s="298">
        <v>0.15</v>
      </c>
      <c r="BG146" s="299" cm="1">
        <f t="array" aca="1" ref="BG146" ca="1">INDIRECT("'"&amp;$C146&amp;"'!"&amp;"$"&amp;$D146&amp;$BG$1&amp;"")</f>
        <v>0.83</v>
      </c>
      <c r="BH146" s="300"/>
      <c r="BI146" s="300">
        <v>0.96</v>
      </c>
      <c r="BJ146" s="298">
        <v>0.25</v>
      </c>
      <c r="BK146" s="299" cm="1">
        <f t="array" aca="1" ref="BK146" ca="1">INDIRECT("'"&amp;$C146&amp;"'!"&amp;"$"&amp;$D146&amp;$BK$1&amp;"")</f>
        <v>4.9000000000000004</v>
      </c>
      <c r="BL146" s="300"/>
      <c r="BM146" s="300">
        <v>0.99</v>
      </c>
      <c r="BN146" s="298">
        <v>0.68</v>
      </c>
    </row>
    <row r="147" spans="1:66" ht="15.75" thickBot="1" x14ac:dyDescent="0.25">
      <c r="A147" s="368">
        <v>45694</v>
      </c>
      <c r="B147" s="365">
        <v>0.70833333333333404</v>
      </c>
      <c r="C147" s="315">
        <v>6</v>
      </c>
      <c r="D147" s="319" t="s">
        <v>127</v>
      </c>
      <c r="E147" s="290">
        <v>14.1</v>
      </c>
      <c r="F147" s="291">
        <v>69.89</v>
      </c>
      <c r="G147" s="292" cm="1">
        <f t="array" aca="1" ref="G147" ca="1">INDIRECT("'"&amp;$C147&amp;"'!"&amp;"$"&amp;$D147&amp;$E$1&amp;"")</f>
        <v>6.2</v>
      </c>
      <c r="H147" s="293">
        <v>0.96</v>
      </c>
      <c r="I147" s="291">
        <v>1.92</v>
      </c>
      <c r="J147" s="292" cm="1">
        <f t="array" aca="1" ref="J147" ca="1">INDIRECT("'"&amp;$C147&amp;"'!"&amp;"$"&amp;$D147&amp;$J$1&amp;"")</f>
        <v>6.2</v>
      </c>
      <c r="K147" s="293"/>
      <c r="L147" s="293">
        <v>0.96</v>
      </c>
      <c r="M147" s="291">
        <v>1.9</v>
      </c>
      <c r="N147" s="292" cm="1">
        <f t="array" aca="1" ref="N147" ca="1">INDIRECT("'"&amp;$C147&amp;"'!"&amp;"$"&amp;$D147&amp;$N$1&amp;"")</f>
        <v>6.2</v>
      </c>
      <c r="O147" s="293"/>
      <c r="P147" s="293">
        <v>0.96</v>
      </c>
      <c r="Q147" s="291">
        <v>0.94</v>
      </c>
      <c r="R147" s="292" cm="1">
        <f t="array" aca="1" ref="R147" ca="1">INDIRECT("'"&amp;$C147&amp;"'!"&amp;"$"&amp;$D147&amp;$R$1&amp;"")</f>
        <v>6.2</v>
      </c>
      <c r="S147" s="293"/>
      <c r="T147" s="293">
        <v>0.93</v>
      </c>
      <c r="U147" s="291">
        <v>2.48</v>
      </c>
      <c r="V147" s="292" t="str" cm="1">
        <f t="array" aca="1" ref="V147" ca="1">INDIRECT("'"&amp;$C147&amp;"'!"&amp;"$"&amp;$D147&amp;$V$1&amp;"")</f>
        <v>CMS</v>
      </c>
      <c r="W147" s="293" t="s">
        <v>1</v>
      </c>
      <c r="X147" s="293" t="s">
        <v>1</v>
      </c>
      <c r="Y147" s="294" t="s">
        <v>1</v>
      </c>
      <c r="Z147" s="290" cm="1">
        <f t="array" aca="1" ref="Z147" ca="1">INDIRECT("'"&amp;$C147&amp;"'!"&amp;"$"&amp;$D147&amp;$Z$1&amp;"")</f>
        <v>0</v>
      </c>
      <c r="AA147" s="293" t="s">
        <v>1</v>
      </c>
      <c r="AB147" s="293" t="s">
        <v>1</v>
      </c>
      <c r="AC147" s="291" t="s">
        <v>1</v>
      </c>
      <c r="AD147" s="292" t="str" cm="1">
        <f t="array" aca="1" ref="AD147" ca="1">INDIRECT("'"&amp;$C147&amp;"'!"&amp;"$"&amp;$D147&amp;$AD$1&amp;"")</f>
        <v>CMS</v>
      </c>
      <c r="AE147" s="293" t="s">
        <v>1</v>
      </c>
      <c r="AF147" s="293" t="s">
        <v>1</v>
      </c>
      <c r="AG147" s="291" t="s">
        <v>1</v>
      </c>
      <c r="AH147" s="290" cm="1">
        <f t="array" aca="1" ref="AH147" ca="1">INDIRECT("'"&amp;$C147&amp;"'!"&amp;"$"&amp;$D147&amp;$AH$1&amp;"")</f>
        <v>3.8</v>
      </c>
      <c r="AI147" s="293">
        <v>13.84</v>
      </c>
      <c r="AJ147" s="293">
        <v>0.93</v>
      </c>
      <c r="AK147" s="291">
        <v>1.4</v>
      </c>
      <c r="AL147" s="290">
        <v>11.8</v>
      </c>
      <c r="AM147" s="294">
        <v>70</v>
      </c>
      <c r="AN147" s="290" cm="1">
        <f t="array" aca="1" ref="AN147" ca="1">INDIRECT("'"&amp;$C147&amp;"'!"&amp;"$"&amp;$D147&amp;$AL$1&amp;"")</f>
        <v>2.4</v>
      </c>
      <c r="AO147" s="293">
        <v>0.97</v>
      </c>
      <c r="AP147" s="291">
        <v>0.47</v>
      </c>
      <c r="AQ147" s="292" cm="1">
        <f t="array" aca="1" ref="AQ147" ca="1">INDIRECT("'"&amp;$C147&amp;"'!"&amp;"$"&amp;$D147&amp;$AQ$1&amp;"")</f>
        <v>2.5</v>
      </c>
      <c r="AR147" s="293">
        <v>0.97</v>
      </c>
      <c r="AS147" s="291">
        <v>0.67</v>
      </c>
      <c r="AT147" s="295">
        <v>0</v>
      </c>
      <c r="AU147" s="294">
        <v>0</v>
      </c>
      <c r="AV147" s="290" t="str" cm="1">
        <f t="array" aca="1" ref="AV147" ca="1">INDIRECT("'"&amp;$C147&amp;"'!"&amp;"$"&amp;$D147&amp;$AT$1&amp;"")</f>
        <v>PMS</v>
      </c>
      <c r="AW147" s="293" t="s">
        <v>1</v>
      </c>
      <c r="AX147" s="291" t="s">
        <v>1</v>
      </c>
      <c r="AY147" s="296">
        <v>68.599999999999994</v>
      </c>
      <c r="AZ147" s="295" cm="1">
        <f t="array" aca="1" ref="AZ147" ca="1">INDIRECT("'"&amp;$C147&amp;"'!"&amp;"$"&amp;$D147&amp;$AY$1&amp;"")</f>
        <v>12.600000000000005</v>
      </c>
      <c r="BA147" s="293">
        <v>0.97</v>
      </c>
      <c r="BB147" s="291">
        <v>3</v>
      </c>
      <c r="BC147" s="292" cm="1">
        <f t="array" aca="1" ref="BC147" ca="1">INDIRECT("'"&amp;$C147&amp;"'!"&amp;"$"&amp;$D147&amp;$BC$1&amp;"")</f>
        <v>1.1499999999999999</v>
      </c>
      <c r="BD147" s="293"/>
      <c r="BE147" s="293">
        <v>0.99</v>
      </c>
      <c r="BF147" s="291">
        <v>0.13</v>
      </c>
      <c r="BG147" s="292" cm="1">
        <f t="array" aca="1" ref="BG147" ca="1">INDIRECT("'"&amp;$C147&amp;"'!"&amp;"$"&amp;$D147&amp;$BG$1&amp;"")</f>
        <v>0.91</v>
      </c>
      <c r="BH147" s="293"/>
      <c r="BI147" s="293">
        <v>0.96</v>
      </c>
      <c r="BJ147" s="291">
        <v>0.26</v>
      </c>
      <c r="BK147" s="292" cm="1">
        <f t="array" aca="1" ref="BK147" ca="1">INDIRECT("'"&amp;$C147&amp;"'!"&amp;"$"&amp;$D147&amp;$BK$1&amp;"")</f>
        <v>4.5</v>
      </c>
      <c r="BL147" s="293"/>
      <c r="BM147" s="293">
        <v>0.99</v>
      </c>
      <c r="BN147" s="291">
        <v>0.64</v>
      </c>
    </row>
    <row r="148" spans="1:66" ht="15.75" thickBot="1" x14ac:dyDescent="0.25">
      <c r="A148" s="368">
        <v>45694</v>
      </c>
      <c r="B148" s="365">
        <v>0.750000000000001</v>
      </c>
      <c r="C148" s="315">
        <v>6</v>
      </c>
      <c r="D148" s="319" t="s">
        <v>128</v>
      </c>
      <c r="E148" s="297">
        <v>14.1</v>
      </c>
      <c r="F148" s="298">
        <v>69.52</v>
      </c>
      <c r="G148" s="299" cm="1">
        <f t="array" aca="1" ref="G148" ca="1">INDIRECT("'"&amp;$C148&amp;"'!"&amp;"$"&amp;$D148&amp;$E$1&amp;"")</f>
        <v>5.6</v>
      </c>
      <c r="H148" s="300">
        <v>0.94</v>
      </c>
      <c r="I148" s="298">
        <v>2.04</v>
      </c>
      <c r="J148" s="299" cm="1">
        <f t="array" aca="1" ref="J148" ca="1">INDIRECT("'"&amp;$C148&amp;"'!"&amp;"$"&amp;$D148&amp;$J$1&amp;"")</f>
        <v>5.6</v>
      </c>
      <c r="K148" s="300"/>
      <c r="L148" s="300">
        <v>0.94</v>
      </c>
      <c r="M148" s="298">
        <v>2.0499999999999998</v>
      </c>
      <c r="N148" s="299" cm="1">
        <f t="array" aca="1" ref="N148" ca="1">INDIRECT("'"&amp;$C148&amp;"'!"&amp;"$"&amp;$D148&amp;$N$1&amp;"")</f>
        <v>5.6</v>
      </c>
      <c r="O148" s="300"/>
      <c r="P148" s="300">
        <v>0.94</v>
      </c>
      <c r="Q148" s="298">
        <v>2.04</v>
      </c>
      <c r="R148" s="299" cm="1">
        <f t="array" aca="1" ref="R148" ca="1">INDIRECT("'"&amp;$C148&amp;"'!"&amp;"$"&amp;$D148&amp;$R$1&amp;"")</f>
        <v>5.6</v>
      </c>
      <c r="S148" s="300"/>
      <c r="T148" s="300">
        <v>0.94</v>
      </c>
      <c r="U148" s="298">
        <v>2.06</v>
      </c>
      <c r="V148" s="299" t="str" cm="1">
        <f t="array" aca="1" ref="V148" ca="1">INDIRECT("'"&amp;$C148&amp;"'!"&amp;"$"&amp;$D148&amp;$V$1&amp;"")</f>
        <v>CMS</v>
      </c>
      <c r="W148" s="300" t="s">
        <v>1</v>
      </c>
      <c r="X148" s="300" t="s">
        <v>1</v>
      </c>
      <c r="Y148" s="301" t="s">
        <v>1</v>
      </c>
      <c r="Z148" s="297" cm="1">
        <f t="array" aca="1" ref="Z148" ca="1">INDIRECT("'"&amp;$C148&amp;"'!"&amp;"$"&amp;$D148&amp;$Z$1&amp;"")</f>
        <v>0</v>
      </c>
      <c r="AA148" s="300" t="s">
        <v>1</v>
      </c>
      <c r="AB148" s="300" t="s">
        <v>1</v>
      </c>
      <c r="AC148" s="298" t="s">
        <v>1</v>
      </c>
      <c r="AD148" s="299" t="str" cm="1">
        <f t="array" aca="1" ref="AD148" ca="1">INDIRECT("'"&amp;$C148&amp;"'!"&amp;"$"&amp;$D148&amp;$AD$1&amp;"")</f>
        <v>CMS</v>
      </c>
      <c r="AE148" s="300" t="s">
        <v>1</v>
      </c>
      <c r="AF148" s="300" t="s">
        <v>1</v>
      </c>
      <c r="AG148" s="298" t="s">
        <v>1</v>
      </c>
      <c r="AH148" s="297" cm="1">
        <f t="array" aca="1" ref="AH148" ca="1">INDIRECT("'"&amp;$C148&amp;"'!"&amp;"$"&amp;$D148&amp;$AH$1&amp;"")</f>
        <v>3.8</v>
      </c>
      <c r="AI148" s="300">
        <v>13.84</v>
      </c>
      <c r="AJ148" s="300">
        <v>0.91</v>
      </c>
      <c r="AK148" s="298">
        <v>1.77</v>
      </c>
      <c r="AL148" s="297">
        <v>11.8</v>
      </c>
      <c r="AM148" s="301">
        <v>70</v>
      </c>
      <c r="AN148" s="297" cm="1">
        <f t="array" aca="1" ref="AN148" ca="1">INDIRECT("'"&amp;$C148&amp;"'!"&amp;"$"&amp;$D148&amp;$AL$1&amp;"")</f>
        <v>2.1</v>
      </c>
      <c r="AO148" s="300">
        <v>0.98</v>
      </c>
      <c r="AP148" s="298">
        <v>0.67</v>
      </c>
      <c r="AQ148" s="299" cm="1">
        <f t="array" aca="1" ref="AQ148" ca="1">INDIRECT("'"&amp;$C148&amp;"'!"&amp;"$"&amp;$D148&amp;$AQ$1&amp;"")</f>
        <v>2.1</v>
      </c>
      <c r="AR148" s="300">
        <v>0.98</v>
      </c>
      <c r="AS148" s="298">
        <v>0.49</v>
      </c>
      <c r="AT148" s="302">
        <v>0</v>
      </c>
      <c r="AU148" s="301">
        <v>0</v>
      </c>
      <c r="AV148" s="297" t="str" cm="1">
        <f t="array" aca="1" ref="AV148" ca="1">INDIRECT("'"&amp;$C148&amp;"'!"&amp;"$"&amp;$D148&amp;$AT$1&amp;"")</f>
        <v>PMS</v>
      </c>
      <c r="AW148" s="300" t="s">
        <v>1</v>
      </c>
      <c r="AX148" s="298" t="s">
        <v>1</v>
      </c>
      <c r="AY148" s="303">
        <v>68.2</v>
      </c>
      <c r="AZ148" s="302" cm="1">
        <f t="array" aca="1" ref="AZ148" ca="1">INDIRECT("'"&amp;$C148&amp;"'!"&amp;"$"&amp;$D148&amp;$AY$1&amp;"")</f>
        <v>12.600000000000005</v>
      </c>
      <c r="BA148" s="300">
        <v>0.97</v>
      </c>
      <c r="BB148" s="298">
        <v>3.1</v>
      </c>
      <c r="BC148" s="299" cm="1">
        <f t="array" aca="1" ref="BC148" ca="1">INDIRECT("'"&amp;$C148&amp;"'!"&amp;"$"&amp;$D148&amp;$BC$1&amp;"")</f>
        <v>1.1299999999999999</v>
      </c>
      <c r="BD148" s="300"/>
      <c r="BE148" s="300">
        <v>0.99</v>
      </c>
      <c r="BF148" s="298">
        <v>0.13</v>
      </c>
      <c r="BG148" s="299" cm="1">
        <f t="array" aca="1" ref="BG148" ca="1">INDIRECT("'"&amp;$C148&amp;"'!"&amp;"$"&amp;$D148&amp;$BG$1&amp;"")</f>
        <v>0.89</v>
      </c>
      <c r="BH148" s="300"/>
      <c r="BI148" s="300">
        <v>0.96</v>
      </c>
      <c r="BJ148" s="298">
        <v>0.26</v>
      </c>
      <c r="BK148" s="299" cm="1">
        <f t="array" aca="1" ref="BK148" ca="1">INDIRECT("'"&amp;$C148&amp;"'!"&amp;"$"&amp;$D148&amp;$BK$1&amp;"")</f>
        <v>4.3</v>
      </c>
      <c r="BL148" s="300"/>
      <c r="BM148" s="300">
        <v>0.99</v>
      </c>
      <c r="BN148" s="298">
        <v>0.61</v>
      </c>
    </row>
    <row r="149" spans="1:66" ht="15.75" thickBot="1" x14ac:dyDescent="0.25">
      <c r="A149" s="368">
        <v>45694</v>
      </c>
      <c r="B149" s="365">
        <v>0.79166666666666696</v>
      </c>
      <c r="C149" s="315">
        <v>6</v>
      </c>
      <c r="D149" s="319" t="s">
        <v>129</v>
      </c>
      <c r="E149" s="290">
        <v>14.1</v>
      </c>
      <c r="F149" s="291">
        <v>70.3</v>
      </c>
      <c r="G149" s="292" cm="1">
        <f t="array" aca="1" ref="G149" ca="1">INDIRECT("'"&amp;$C149&amp;"'!"&amp;"$"&amp;$D149&amp;$E$1&amp;"")</f>
        <v>6.5</v>
      </c>
      <c r="H149" s="293">
        <v>0.98</v>
      </c>
      <c r="I149" s="291">
        <v>1.28</v>
      </c>
      <c r="J149" s="292" cm="1">
        <f t="array" aca="1" ref="J149" ca="1">INDIRECT("'"&amp;$C149&amp;"'!"&amp;"$"&amp;$D149&amp;$J$1&amp;"")</f>
        <v>6.5</v>
      </c>
      <c r="K149" s="304"/>
      <c r="L149" s="293">
        <v>0.98</v>
      </c>
      <c r="M149" s="291">
        <v>1.25</v>
      </c>
      <c r="N149" s="292" cm="1">
        <f t="array" aca="1" ref="N149" ca="1">INDIRECT("'"&amp;$C149&amp;"'!"&amp;"$"&amp;$D149&amp;$N$1&amp;"")</f>
        <v>6.4</v>
      </c>
      <c r="O149" s="293"/>
      <c r="P149" s="293">
        <v>0.98</v>
      </c>
      <c r="Q149" s="291">
        <v>1.29</v>
      </c>
      <c r="R149" s="292" cm="1">
        <f t="array" aca="1" ref="R149" ca="1">INDIRECT("'"&amp;$C149&amp;"'!"&amp;"$"&amp;$D149&amp;$R$1&amp;"")</f>
        <v>6.5</v>
      </c>
      <c r="S149" s="293"/>
      <c r="T149" s="293">
        <v>0.95</v>
      </c>
      <c r="U149" s="291">
        <v>2.0299999999999998</v>
      </c>
      <c r="V149" s="292" t="str" cm="1">
        <f t="array" aca="1" ref="V149" ca="1">INDIRECT("'"&amp;$C149&amp;"'!"&amp;"$"&amp;$D149&amp;$V$1&amp;"")</f>
        <v>CMS</v>
      </c>
      <c r="W149" s="293" t="s">
        <v>1</v>
      </c>
      <c r="X149" s="293" t="s">
        <v>1</v>
      </c>
      <c r="Y149" s="294" t="s">
        <v>1</v>
      </c>
      <c r="Z149" s="290" cm="1">
        <f t="array" aca="1" ref="Z149" ca="1">INDIRECT("'"&amp;$C149&amp;"'!"&amp;"$"&amp;$D149&amp;$Z$1&amp;"")</f>
        <v>0</v>
      </c>
      <c r="AA149" s="293" t="s">
        <v>1</v>
      </c>
      <c r="AB149" s="293" t="s">
        <v>1</v>
      </c>
      <c r="AC149" s="291" t="s">
        <v>1</v>
      </c>
      <c r="AD149" s="292" t="str" cm="1">
        <f t="array" aca="1" ref="AD149" ca="1">INDIRECT("'"&amp;$C149&amp;"'!"&amp;"$"&amp;$D149&amp;$AD$1&amp;"")</f>
        <v>CMS</v>
      </c>
      <c r="AE149" s="293" t="s">
        <v>1</v>
      </c>
      <c r="AF149" s="293" t="s">
        <v>1</v>
      </c>
      <c r="AG149" s="291" t="s">
        <v>1</v>
      </c>
      <c r="AH149" s="290" cm="1">
        <f t="array" aca="1" ref="AH149" ca="1">INDIRECT("'"&amp;$C149&amp;"'!"&amp;"$"&amp;$D149&amp;$AH$1&amp;"")</f>
        <v>3.8</v>
      </c>
      <c r="AI149" s="293">
        <v>13.92</v>
      </c>
      <c r="AJ149" s="293">
        <v>0.93</v>
      </c>
      <c r="AK149" s="291">
        <v>1.54</v>
      </c>
      <c r="AL149" s="290">
        <v>11.8</v>
      </c>
      <c r="AM149" s="294">
        <v>70</v>
      </c>
      <c r="AN149" s="290" cm="1">
        <f t="array" aca="1" ref="AN149" ca="1">INDIRECT("'"&amp;$C149&amp;"'!"&amp;"$"&amp;$D149&amp;$AL$1&amp;"")</f>
        <v>3.8</v>
      </c>
      <c r="AO149" s="293">
        <v>0.98</v>
      </c>
      <c r="AP149" s="291">
        <v>0.64</v>
      </c>
      <c r="AQ149" s="292" cm="1">
        <f t="array" aca="1" ref="AQ149" ca="1">INDIRECT("'"&amp;$C149&amp;"'!"&amp;"$"&amp;$D149&amp;$AQ$1&amp;"")</f>
        <v>3.8</v>
      </c>
      <c r="AR149" s="293">
        <v>0.94</v>
      </c>
      <c r="AS149" s="291">
        <v>0.57999999999999996</v>
      </c>
      <c r="AT149" s="295">
        <v>0</v>
      </c>
      <c r="AU149" s="294">
        <v>0</v>
      </c>
      <c r="AV149" s="290" t="str" cm="1">
        <f t="array" aca="1" ref="AV149" ca="1">INDIRECT("'"&amp;$C149&amp;"'!"&amp;"$"&amp;$D149&amp;$AT$1&amp;"")</f>
        <v>PMS</v>
      </c>
      <c r="AW149" s="293" t="s">
        <v>1</v>
      </c>
      <c r="AX149" s="291" t="s">
        <v>1</v>
      </c>
      <c r="AY149" s="296">
        <v>69</v>
      </c>
      <c r="AZ149" s="295" cm="1">
        <f t="array" aca="1" ref="AZ149" ca="1">INDIRECT("'"&amp;$C149&amp;"'!"&amp;"$"&amp;$D149&amp;$AY$1&amp;"")</f>
        <v>14.600000000000003</v>
      </c>
      <c r="BA149" s="293">
        <v>0.97</v>
      </c>
      <c r="BB149" s="291">
        <v>3.6</v>
      </c>
      <c r="BC149" s="292" cm="1">
        <f t="array" aca="1" ref="BC149" ca="1">INDIRECT("'"&amp;$C149&amp;"'!"&amp;"$"&amp;$D149&amp;$BC$1&amp;"")</f>
        <v>1.43</v>
      </c>
      <c r="BD149" s="293"/>
      <c r="BE149" s="293">
        <v>0.99</v>
      </c>
      <c r="BF149" s="291">
        <v>0.15</v>
      </c>
      <c r="BG149" s="292" cm="1">
        <f t="array" aca="1" ref="BG149" ca="1">INDIRECT("'"&amp;$C149&amp;"'!"&amp;"$"&amp;$D149&amp;$BG$1&amp;"")</f>
        <v>1.01</v>
      </c>
      <c r="BH149" s="293"/>
      <c r="BI149" s="293">
        <v>0.96</v>
      </c>
      <c r="BJ149" s="291">
        <v>0.25</v>
      </c>
      <c r="BK149" s="292" cm="1">
        <f t="array" aca="1" ref="BK149" ca="1">INDIRECT("'"&amp;$C149&amp;"'!"&amp;"$"&amp;$D149&amp;$BK$1&amp;"")</f>
        <v>5.0999999999999996</v>
      </c>
      <c r="BL149" s="293"/>
      <c r="BM149" s="293">
        <v>0.99</v>
      </c>
      <c r="BN149" s="291">
        <v>0.71</v>
      </c>
    </row>
    <row r="150" spans="1:66" ht="15.75" thickBot="1" x14ac:dyDescent="0.25">
      <c r="A150" s="368">
        <v>45694</v>
      </c>
      <c r="B150" s="365">
        <v>0.83333333333333337</v>
      </c>
      <c r="C150" s="315">
        <v>6</v>
      </c>
      <c r="D150" s="319" t="s">
        <v>130</v>
      </c>
      <c r="E150" s="297">
        <v>14.3</v>
      </c>
      <c r="F150" s="298">
        <v>70.16</v>
      </c>
      <c r="G150" s="299" cm="1">
        <f t="array" aca="1" ref="G150" ca="1">INDIRECT("'"&amp;$C150&amp;"'!"&amp;"$"&amp;$D150&amp;$E$1&amp;"")</f>
        <v>5.9</v>
      </c>
      <c r="H150" s="300">
        <v>0.97</v>
      </c>
      <c r="I150" s="298">
        <v>1.4</v>
      </c>
      <c r="J150" s="299" cm="1">
        <f t="array" aca="1" ref="J150" ca="1">INDIRECT("'"&amp;$C150&amp;"'!"&amp;"$"&amp;$D150&amp;$J$1&amp;"")</f>
        <v>5.9</v>
      </c>
      <c r="K150" s="300"/>
      <c r="L150" s="300">
        <v>0.97</v>
      </c>
      <c r="M150" s="298">
        <v>1.4</v>
      </c>
      <c r="N150" s="299" cm="1">
        <f t="array" aca="1" ref="N150" ca="1">INDIRECT("'"&amp;$C150&amp;"'!"&amp;"$"&amp;$D150&amp;$N$1&amp;"")</f>
        <v>5.9</v>
      </c>
      <c r="O150" s="300"/>
      <c r="P150" s="300">
        <v>0.97</v>
      </c>
      <c r="Q150" s="298">
        <v>1.4</v>
      </c>
      <c r="R150" s="299" cm="1">
        <f t="array" aca="1" ref="R150" ca="1">INDIRECT("'"&amp;$C150&amp;"'!"&amp;"$"&amp;$D150&amp;$R$1&amp;"")</f>
        <v>5.9</v>
      </c>
      <c r="S150" s="300"/>
      <c r="T150" s="300">
        <v>0.97</v>
      </c>
      <c r="U150" s="298">
        <v>1.4</v>
      </c>
      <c r="V150" s="299" t="str" cm="1">
        <f t="array" aca="1" ref="V150" ca="1">INDIRECT("'"&amp;$C150&amp;"'!"&amp;"$"&amp;$D150&amp;$V$1&amp;"")</f>
        <v>CMS</v>
      </c>
      <c r="W150" s="300" t="s">
        <v>1</v>
      </c>
      <c r="X150" s="300" t="s">
        <v>1</v>
      </c>
      <c r="Y150" s="301" t="s">
        <v>1</v>
      </c>
      <c r="Z150" s="297" cm="1">
        <f t="array" aca="1" ref="Z150" ca="1">INDIRECT("'"&amp;$C150&amp;"'!"&amp;"$"&amp;$D150&amp;$Z$1&amp;"")</f>
        <v>0</v>
      </c>
      <c r="AA150" s="300" t="s">
        <v>1</v>
      </c>
      <c r="AB150" s="300" t="s">
        <v>1</v>
      </c>
      <c r="AC150" s="298" t="s">
        <v>1</v>
      </c>
      <c r="AD150" s="299" t="str" cm="1">
        <f t="array" aca="1" ref="AD150" ca="1">INDIRECT("'"&amp;$C150&amp;"'!"&amp;"$"&amp;$D150&amp;$AD$1&amp;"")</f>
        <v>CMS</v>
      </c>
      <c r="AE150" s="300" t="s">
        <v>1</v>
      </c>
      <c r="AF150" s="300" t="s">
        <v>1</v>
      </c>
      <c r="AG150" s="298" t="s">
        <v>1</v>
      </c>
      <c r="AH150" s="297" cm="1">
        <f t="array" aca="1" ref="AH150" ca="1">INDIRECT("'"&amp;$C150&amp;"'!"&amp;"$"&amp;$D150&amp;$AH$1&amp;"")</f>
        <v>3.8</v>
      </c>
      <c r="AI150" s="300">
        <v>13.92</v>
      </c>
      <c r="AJ150" s="300">
        <v>0.96</v>
      </c>
      <c r="AK150" s="298">
        <v>1.22</v>
      </c>
      <c r="AL150" s="297">
        <v>11.8</v>
      </c>
      <c r="AM150" s="301">
        <v>70.3</v>
      </c>
      <c r="AN150" s="297" cm="1">
        <f t="array" aca="1" ref="AN150" ca="1">INDIRECT("'"&amp;$C150&amp;"'!"&amp;"$"&amp;$D150&amp;$AL$1&amp;"")</f>
        <v>1.8</v>
      </c>
      <c r="AO150" s="300">
        <v>0.98</v>
      </c>
      <c r="AP150" s="298">
        <v>0.39</v>
      </c>
      <c r="AQ150" s="299" cm="1">
        <f t="array" aca="1" ref="AQ150" ca="1">INDIRECT("'"&amp;$C150&amp;"'!"&amp;"$"&amp;$D150&amp;$AQ$1&amp;"")</f>
        <v>1.8</v>
      </c>
      <c r="AR150" s="300">
        <v>0.98</v>
      </c>
      <c r="AS150" s="298">
        <v>0.39</v>
      </c>
      <c r="AT150" s="302">
        <v>0</v>
      </c>
      <c r="AU150" s="301">
        <v>0</v>
      </c>
      <c r="AV150" s="297" t="str" cm="1">
        <f t="array" aca="1" ref="AV150" ca="1">INDIRECT("'"&amp;$C150&amp;"'!"&amp;"$"&amp;$D150&amp;$AT$1&amp;"")</f>
        <v>PMS</v>
      </c>
      <c r="AW150" s="300" t="s">
        <v>1</v>
      </c>
      <c r="AX150" s="298" t="s">
        <v>1</v>
      </c>
      <c r="AY150" s="303">
        <v>69</v>
      </c>
      <c r="AZ150" s="302" cm="1">
        <f t="array" aca="1" ref="AZ150" ca="1">INDIRECT("'"&amp;$C150&amp;"'!"&amp;"$"&amp;$D150&amp;$AY$1&amp;"")</f>
        <v>13.300000000000006</v>
      </c>
      <c r="BA150" s="300">
        <v>0.97</v>
      </c>
      <c r="BB150" s="298">
        <v>3.3</v>
      </c>
      <c r="BC150" s="299" cm="1">
        <f t="array" aca="1" ref="BC150" ca="1">INDIRECT("'"&amp;$C150&amp;"'!"&amp;"$"&amp;$D150&amp;$BC$1&amp;"")</f>
        <v>1.39</v>
      </c>
      <c r="BD150" s="300"/>
      <c r="BE150" s="300">
        <v>0.99</v>
      </c>
      <c r="BF150" s="298">
        <v>0.15</v>
      </c>
      <c r="BG150" s="299" cm="1">
        <f t="array" aca="1" ref="BG150" ca="1">INDIRECT("'"&amp;$C150&amp;"'!"&amp;"$"&amp;$D150&amp;$BG$1&amp;"")</f>
        <v>1.02</v>
      </c>
      <c r="BH150" s="300"/>
      <c r="BI150" s="300">
        <v>0.97</v>
      </c>
      <c r="BJ150" s="298">
        <v>0.25</v>
      </c>
      <c r="BK150" s="299" cm="1">
        <f t="array" aca="1" ref="BK150" ca="1">INDIRECT("'"&amp;$C150&amp;"'!"&amp;"$"&amp;$D150&amp;$BK$1&amp;"")</f>
        <v>4.9000000000000004</v>
      </c>
      <c r="BL150" s="300"/>
      <c r="BM150" s="300">
        <v>0.99</v>
      </c>
      <c r="BN150" s="298">
        <v>0.67</v>
      </c>
    </row>
    <row r="151" spans="1:66" ht="15.75" thickBot="1" x14ac:dyDescent="0.25">
      <c r="A151" s="368">
        <v>45694</v>
      </c>
      <c r="B151" s="365">
        <v>0.875000000000001</v>
      </c>
      <c r="C151" s="315">
        <v>6</v>
      </c>
      <c r="D151" s="319" t="s">
        <v>131</v>
      </c>
      <c r="E151" s="290">
        <v>14.3</v>
      </c>
      <c r="F151" s="291">
        <v>70.5</v>
      </c>
      <c r="G151" s="292" cm="1">
        <f t="array" aca="1" ref="G151" ca="1">INDIRECT("'"&amp;$C151&amp;"'!"&amp;"$"&amp;$D151&amp;$E$1&amp;"")</f>
        <v>5.2</v>
      </c>
      <c r="H151" s="293">
        <v>0.98</v>
      </c>
      <c r="I151" s="291">
        <v>0.99</v>
      </c>
      <c r="J151" s="292" cm="1">
        <f t="array" aca="1" ref="J151" ca="1">INDIRECT("'"&amp;$C151&amp;"'!"&amp;"$"&amp;$D151&amp;$J$1&amp;"")</f>
        <v>5.2</v>
      </c>
      <c r="K151" s="293"/>
      <c r="L151" s="293">
        <v>0.98</v>
      </c>
      <c r="M151" s="291">
        <v>0.99</v>
      </c>
      <c r="N151" s="292" cm="1">
        <f t="array" aca="1" ref="N151" ca="1">INDIRECT("'"&amp;$C151&amp;"'!"&amp;"$"&amp;$D151&amp;$N$1&amp;"")</f>
        <v>5.2</v>
      </c>
      <c r="O151" s="293"/>
      <c r="P151" s="293">
        <v>0.98</v>
      </c>
      <c r="Q151" s="291">
        <v>0.99</v>
      </c>
      <c r="R151" s="292" cm="1">
        <f t="array" aca="1" ref="R151" ca="1">INDIRECT("'"&amp;$C151&amp;"'!"&amp;"$"&amp;$D151&amp;$R$1&amp;"")</f>
        <v>5.2</v>
      </c>
      <c r="S151" s="293"/>
      <c r="T151" s="293">
        <v>0.98</v>
      </c>
      <c r="U151" s="291">
        <v>0.99</v>
      </c>
      <c r="V151" s="292" t="str" cm="1">
        <f t="array" aca="1" ref="V151" ca="1">INDIRECT("'"&amp;$C151&amp;"'!"&amp;"$"&amp;$D151&amp;$V$1&amp;"")</f>
        <v>CMS</v>
      </c>
      <c r="W151" s="293" t="s">
        <v>1</v>
      </c>
      <c r="X151" s="293" t="s">
        <v>1</v>
      </c>
      <c r="Y151" s="294" t="s">
        <v>1</v>
      </c>
      <c r="Z151" s="290" cm="1">
        <f t="array" aca="1" ref="Z151" ca="1">INDIRECT("'"&amp;$C151&amp;"'!"&amp;"$"&amp;$D151&amp;$Z$1&amp;"")</f>
        <v>0</v>
      </c>
      <c r="AA151" s="293" t="s">
        <v>1</v>
      </c>
      <c r="AB151" s="293" t="s">
        <v>1</v>
      </c>
      <c r="AC151" s="291" t="s">
        <v>1</v>
      </c>
      <c r="AD151" s="292" t="str" cm="1">
        <f t="array" aca="1" ref="AD151" ca="1">INDIRECT("'"&amp;$C151&amp;"'!"&amp;"$"&amp;$D151&amp;$AD$1&amp;"")</f>
        <v>CMS</v>
      </c>
      <c r="AE151" s="293" t="s">
        <v>1</v>
      </c>
      <c r="AF151" s="293" t="s">
        <v>1</v>
      </c>
      <c r="AG151" s="291" t="s">
        <v>1</v>
      </c>
      <c r="AH151" s="290" cm="1">
        <f t="array" aca="1" ref="AH151" ca="1">INDIRECT("'"&amp;$C151&amp;"'!"&amp;"$"&amp;$D151&amp;$AH$1&amp;"")</f>
        <v>3.8</v>
      </c>
      <c r="AI151" s="293">
        <v>14</v>
      </c>
      <c r="AJ151" s="293">
        <v>0.98</v>
      </c>
      <c r="AK151" s="291">
        <v>0.68600000000000005</v>
      </c>
      <c r="AL151" s="290">
        <v>11.9</v>
      </c>
      <c r="AM151" s="294">
        <v>70.900000000000006</v>
      </c>
      <c r="AN151" s="290" cm="1">
        <f t="array" aca="1" ref="AN151" ca="1">INDIRECT("'"&amp;$C151&amp;"'!"&amp;"$"&amp;$D151&amp;$AL$1&amp;"")</f>
        <v>1.9</v>
      </c>
      <c r="AO151" s="293">
        <v>0.98</v>
      </c>
      <c r="AP151" s="291">
        <v>0.48</v>
      </c>
      <c r="AQ151" s="292" cm="1">
        <f t="array" aca="1" ref="AQ151" ca="1">INDIRECT("'"&amp;$C151&amp;"'!"&amp;"$"&amp;$D151&amp;$AQ$1&amp;"")</f>
        <v>1.9</v>
      </c>
      <c r="AR151" s="293">
        <v>0.98</v>
      </c>
      <c r="AS151" s="291">
        <v>0.48</v>
      </c>
      <c r="AT151" s="295">
        <v>0</v>
      </c>
      <c r="AU151" s="294">
        <v>0</v>
      </c>
      <c r="AV151" s="290" t="str" cm="1">
        <f t="array" aca="1" ref="AV151" ca="1">INDIRECT("'"&amp;$C151&amp;"'!"&amp;"$"&amp;$D151&amp;$AT$1&amp;"")</f>
        <v>PMS</v>
      </c>
      <c r="AW151" s="293" t="s">
        <v>1</v>
      </c>
      <c r="AX151" s="291" t="s">
        <v>1</v>
      </c>
      <c r="AY151" s="296">
        <v>69.5</v>
      </c>
      <c r="AZ151" s="295" cm="1">
        <f t="array" aca="1" ref="AZ151" ca="1">INDIRECT("'"&amp;$C151&amp;"'!"&amp;"$"&amp;$D151&amp;$AY$1&amp;"")</f>
        <v>12.950000000000001</v>
      </c>
      <c r="BA151" s="293">
        <v>0.98</v>
      </c>
      <c r="BB151" s="291">
        <v>2.6</v>
      </c>
      <c r="BC151" s="292" cm="1">
        <f t="array" aca="1" ref="BC151" ca="1">INDIRECT("'"&amp;$C151&amp;"'!"&amp;"$"&amp;$D151&amp;$BC$1&amp;"")</f>
        <v>1.34</v>
      </c>
      <c r="BD151" s="293"/>
      <c r="BE151" s="293">
        <v>0.99</v>
      </c>
      <c r="BF151" s="291">
        <v>0.15</v>
      </c>
      <c r="BG151" s="292" cm="1">
        <f t="array" aca="1" ref="BG151" ca="1">INDIRECT("'"&amp;$C151&amp;"'!"&amp;"$"&amp;$D151&amp;$BG$1&amp;"")</f>
        <v>1</v>
      </c>
      <c r="BH151" s="293"/>
      <c r="BI151" s="293">
        <v>0.97</v>
      </c>
      <c r="BJ151" s="291">
        <v>0.25</v>
      </c>
      <c r="BK151" s="292" cm="1">
        <f t="array" aca="1" ref="BK151" ca="1">INDIRECT("'"&amp;$C151&amp;"'!"&amp;"$"&amp;$D151&amp;$BK$1&amp;"")</f>
        <v>5</v>
      </c>
      <c r="BL151" s="293"/>
      <c r="BM151" s="293">
        <v>0.99</v>
      </c>
      <c r="BN151" s="291">
        <v>0.71</v>
      </c>
    </row>
    <row r="152" spans="1:66" ht="15.75" thickBot="1" x14ac:dyDescent="0.25">
      <c r="A152" s="368">
        <v>45694</v>
      </c>
      <c r="B152" s="365">
        <v>0.91666666666666696</v>
      </c>
      <c r="C152" s="315">
        <v>6</v>
      </c>
      <c r="D152" s="319" t="s">
        <v>132</v>
      </c>
      <c r="E152" s="297">
        <v>14.2</v>
      </c>
      <c r="F152" s="298">
        <v>70.38</v>
      </c>
      <c r="G152" s="299" cm="1">
        <f t="array" aca="1" ref="G152" ca="1">INDIRECT("'"&amp;$C152&amp;"'!"&amp;"$"&amp;$D152&amp;$E$1&amp;"")</f>
        <v>5.9</v>
      </c>
      <c r="H152" s="300">
        <v>0.99</v>
      </c>
      <c r="I152" s="298">
        <v>1</v>
      </c>
      <c r="J152" s="299" cm="1">
        <f t="array" aca="1" ref="J152" ca="1">INDIRECT("'"&amp;$C152&amp;"'!"&amp;"$"&amp;$D152&amp;$J$1&amp;"")</f>
        <v>5.9</v>
      </c>
      <c r="K152" s="300"/>
      <c r="L152" s="300">
        <v>0.99</v>
      </c>
      <c r="M152" s="298">
        <v>1</v>
      </c>
      <c r="N152" s="299" cm="1">
        <f t="array" aca="1" ref="N152" ca="1">INDIRECT("'"&amp;$C152&amp;"'!"&amp;"$"&amp;$D152&amp;$N$1&amp;"")</f>
        <v>5.9</v>
      </c>
      <c r="O152" s="300"/>
      <c r="P152" s="300">
        <v>0.99</v>
      </c>
      <c r="Q152" s="298">
        <v>1</v>
      </c>
      <c r="R152" s="299" cm="1">
        <f t="array" aca="1" ref="R152" ca="1">INDIRECT("'"&amp;$C152&amp;"'!"&amp;"$"&amp;$D152&amp;$R$1&amp;"")</f>
        <v>5.9</v>
      </c>
      <c r="S152" s="300"/>
      <c r="T152" s="300">
        <v>0.99</v>
      </c>
      <c r="U152" s="298">
        <v>1</v>
      </c>
      <c r="V152" s="299" t="str" cm="1">
        <f t="array" aca="1" ref="V152" ca="1">INDIRECT("'"&amp;$C152&amp;"'!"&amp;"$"&amp;$D152&amp;$V$1&amp;"")</f>
        <v>CMS</v>
      </c>
      <c r="W152" s="300" t="s">
        <v>1</v>
      </c>
      <c r="X152" s="300" t="s">
        <v>1</v>
      </c>
      <c r="Y152" s="301" t="s">
        <v>1</v>
      </c>
      <c r="Z152" s="297" cm="1">
        <f t="array" aca="1" ref="Z152" ca="1">INDIRECT("'"&amp;$C152&amp;"'!"&amp;"$"&amp;$D152&amp;$Z$1&amp;"")</f>
        <v>0</v>
      </c>
      <c r="AA152" s="300" t="s">
        <v>1</v>
      </c>
      <c r="AB152" s="300" t="s">
        <v>1</v>
      </c>
      <c r="AC152" s="298" t="s">
        <v>1</v>
      </c>
      <c r="AD152" s="299" t="str" cm="1">
        <f t="array" aca="1" ref="AD152" ca="1">INDIRECT("'"&amp;$C152&amp;"'!"&amp;"$"&amp;$D152&amp;$AD$1&amp;"")</f>
        <v>CMS</v>
      </c>
      <c r="AE152" s="300" t="s">
        <v>1</v>
      </c>
      <c r="AF152" s="300" t="s">
        <v>1</v>
      </c>
      <c r="AG152" s="298" t="s">
        <v>1</v>
      </c>
      <c r="AH152" s="297" cm="1">
        <f t="array" aca="1" ref="AH152" ca="1">INDIRECT("'"&amp;$C152&amp;"'!"&amp;"$"&amp;$D152&amp;$AH$1&amp;"")</f>
        <v>3.8</v>
      </c>
      <c r="AI152" s="300">
        <v>14</v>
      </c>
      <c r="AJ152" s="300">
        <v>0.98</v>
      </c>
      <c r="AK152" s="298">
        <v>0.76800000000000002</v>
      </c>
      <c r="AL152" s="297">
        <v>11.9</v>
      </c>
      <c r="AM152" s="301">
        <v>70.900000000000006</v>
      </c>
      <c r="AN152" s="297" cm="1">
        <f t="array" aca="1" ref="AN152" ca="1">INDIRECT("'"&amp;$C152&amp;"'!"&amp;"$"&amp;$D152&amp;$AL$1&amp;"")</f>
        <v>2.1</v>
      </c>
      <c r="AO152" s="300">
        <v>0.98</v>
      </c>
      <c r="AP152" s="298">
        <v>0.48</v>
      </c>
      <c r="AQ152" s="299" cm="1">
        <f t="array" aca="1" ref="AQ152" ca="1">INDIRECT("'"&amp;$C152&amp;"'!"&amp;"$"&amp;$D152&amp;$AQ$1&amp;"")</f>
        <v>2.1</v>
      </c>
      <c r="AR152" s="300">
        <v>0.98</v>
      </c>
      <c r="AS152" s="298">
        <v>0.48</v>
      </c>
      <c r="AT152" s="302">
        <v>0</v>
      </c>
      <c r="AU152" s="301">
        <v>0</v>
      </c>
      <c r="AV152" s="297" t="str" cm="1">
        <f t="array" aca="1" ref="AV152" ca="1">INDIRECT("'"&amp;$C152&amp;"'!"&amp;"$"&amp;$D152&amp;$AT$1&amp;"")</f>
        <v>PMS</v>
      </c>
      <c r="AW152" s="300" t="s">
        <v>1</v>
      </c>
      <c r="AX152" s="298" t="s">
        <v>1</v>
      </c>
      <c r="AY152" s="303">
        <v>69.3</v>
      </c>
      <c r="AZ152" s="302" cm="1">
        <f t="array" aca="1" ref="AZ152" ca="1">INDIRECT("'"&amp;$C152&amp;"'!"&amp;"$"&amp;$D152&amp;$AY$1&amp;"")</f>
        <v>6.25</v>
      </c>
      <c r="BA152" s="300">
        <v>0.98</v>
      </c>
      <c r="BB152" s="298">
        <v>1.2</v>
      </c>
      <c r="BC152" s="299" cm="1">
        <f t="array" aca="1" ref="BC152" ca="1">INDIRECT("'"&amp;$C152&amp;"'!"&amp;"$"&amp;$D152&amp;$BC$1&amp;"")</f>
        <v>1.1200000000000001</v>
      </c>
      <c r="BD152" s="300"/>
      <c r="BE152" s="300">
        <v>0.99</v>
      </c>
      <c r="BF152" s="298">
        <v>0.13</v>
      </c>
      <c r="BG152" s="299" cm="1">
        <f t="array" aca="1" ref="BG152" ca="1">INDIRECT("'"&amp;$C152&amp;"'!"&amp;"$"&amp;$D152&amp;$BG$1&amp;"")</f>
        <v>0.94</v>
      </c>
      <c r="BH152" s="300"/>
      <c r="BI152" s="300">
        <v>0.97</v>
      </c>
      <c r="BJ152" s="298">
        <v>0.23</v>
      </c>
      <c r="BK152" s="299" cm="1">
        <f t="array" aca="1" ref="BK152" ca="1">INDIRECT("'"&amp;$C152&amp;"'!"&amp;"$"&amp;$D152&amp;$BK$1&amp;"")</f>
        <v>4.4000000000000004</v>
      </c>
      <c r="BL152" s="300"/>
      <c r="BM152" s="300">
        <v>0.99</v>
      </c>
      <c r="BN152" s="298">
        <v>0.62</v>
      </c>
    </row>
    <row r="153" spans="1:66" ht="15.75" thickBot="1" x14ac:dyDescent="0.25">
      <c r="A153" s="369">
        <v>45694</v>
      </c>
      <c r="B153" s="366">
        <v>0.95833333333333404</v>
      </c>
      <c r="C153" s="315">
        <v>6</v>
      </c>
      <c r="D153" s="321" t="s">
        <v>133</v>
      </c>
      <c r="E153" s="305">
        <v>14.2</v>
      </c>
      <c r="F153" s="306">
        <v>70.67</v>
      </c>
      <c r="G153" s="307" cm="1">
        <f t="array" aca="1" ref="G153" ca="1">INDIRECT("'"&amp;$C153&amp;"'!"&amp;"$"&amp;$D153&amp;$E$1&amp;"")</f>
        <v>5.8</v>
      </c>
      <c r="H153" s="308">
        <v>0.99</v>
      </c>
      <c r="I153" s="306">
        <v>0.86</v>
      </c>
      <c r="J153" s="307" cm="1">
        <f t="array" aca="1" ref="J153" ca="1">INDIRECT("'"&amp;$C153&amp;"'!"&amp;"$"&amp;$D153&amp;$J$1&amp;"")</f>
        <v>5.8</v>
      </c>
      <c r="K153" s="308"/>
      <c r="L153" s="308">
        <v>0.99</v>
      </c>
      <c r="M153" s="306">
        <v>0.86</v>
      </c>
      <c r="N153" s="307" cm="1">
        <f t="array" aca="1" ref="N153" ca="1">INDIRECT("'"&amp;$C153&amp;"'!"&amp;"$"&amp;$D153&amp;$N$1&amp;"")</f>
        <v>5.8</v>
      </c>
      <c r="O153" s="308"/>
      <c r="P153" s="308">
        <v>0.99</v>
      </c>
      <c r="Q153" s="306">
        <v>0.86</v>
      </c>
      <c r="R153" s="307" cm="1">
        <f t="array" aca="1" ref="R153" ca="1">INDIRECT("'"&amp;$C153&amp;"'!"&amp;"$"&amp;$D153&amp;$R$1&amp;"")</f>
        <v>5.8</v>
      </c>
      <c r="S153" s="308"/>
      <c r="T153" s="308">
        <v>0.99</v>
      </c>
      <c r="U153" s="306">
        <v>0.86</v>
      </c>
      <c r="V153" s="307" t="str" cm="1">
        <f t="array" aca="1" ref="V153" ca="1">INDIRECT("'"&amp;$C153&amp;"'!"&amp;"$"&amp;$D153&amp;$V$1&amp;"")</f>
        <v>CMS</v>
      </c>
      <c r="W153" s="308" t="s">
        <v>1</v>
      </c>
      <c r="X153" s="308" t="s">
        <v>1</v>
      </c>
      <c r="Y153" s="309" t="s">
        <v>1</v>
      </c>
      <c r="Z153" s="305" cm="1">
        <f t="array" aca="1" ref="Z153" ca="1">INDIRECT("'"&amp;$C153&amp;"'!"&amp;"$"&amp;$D153&amp;$Z$1&amp;"")</f>
        <v>0</v>
      </c>
      <c r="AA153" s="308" t="s">
        <v>1</v>
      </c>
      <c r="AB153" s="308" t="s">
        <v>1</v>
      </c>
      <c r="AC153" s="306" t="s">
        <v>1</v>
      </c>
      <c r="AD153" s="307" t="str" cm="1">
        <f t="array" aca="1" ref="AD153" ca="1">INDIRECT("'"&amp;$C153&amp;"'!"&amp;"$"&amp;$D153&amp;$AD$1&amp;"")</f>
        <v>CMS</v>
      </c>
      <c r="AE153" s="308" t="s">
        <v>1</v>
      </c>
      <c r="AF153" s="308" t="s">
        <v>1</v>
      </c>
      <c r="AG153" s="309" t="s">
        <v>1</v>
      </c>
      <c r="AH153" s="305" cm="1">
        <f t="array" aca="1" ref="AH153" ca="1">INDIRECT("'"&amp;$C153&amp;"'!"&amp;"$"&amp;$D153&amp;$AH$1&amp;"")</f>
        <v>3.8</v>
      </c>
      <c r="AI153" s="308">
        <v>14.04</v>
      </c>
      <c r="AJ153" s="308">
        <v>0.98</v>
      </c>
      <c r="AK153" s="306">
        <v>0.61699999999999999</v>
      </c>
      <c r="AL153" s="305">
        <v>11.9</v>
      </c>
      <c r="AM153" s="309">
        <v>71.099999999999994</v>
      </c>
      <c r="AN153" s="305" cm="1">
        <f t="array" aca="1" ref="AN153" ca="1">INDIRECT("'"&amp;$C153&amp;"'!"&amp;"$"&amp;$D153&amp;$AL$1&amp;"")</f>
        <v>1.5</v>
      </c>
      <c r="AO153" s="308">
        <v>0.97</v>
      </c>
      <c r="AP153" s="306">
        <v>0.47</v>
      </c>
      <c r="AQ153" s="307" cm="1">
        <f t="array" aca="1" ref="AQ153" ca="1">INDIRECT("'"&amp;$C153&amp;"'!"&amp;"$"&amp;$D153&amp;$AQ$1&amp;"")</f>
        <v>1.5</v>
      </c>
      <c r="AR153" s="308">
        <v>0.97</v>
      </c>
      <c r="AS153" s="306">
        <v>0.47</v>
      </c>
      <c r="AT153" s="310">
        <v>0</v>
      </c>
      <c r="AU153" s="309">
        <v>0</v>
      </c>
      <c r="AV153" s="305" t="str" cm="1">
        <f t="array" aca="1" ref="AV153" ca="1">INDIRECT("'"&amp;$C153&amp;"'!"&amp;"$"&amp;$D153&amp;$AT$1&amp;"")</f>
        <v>PMS</v>
      </c>
      <c r="AW153" s="308" t="s">
        <v>1</v>
      </c>
      <c r="AX153" s="306" t="s">
        <v>1</v>
      </c>
      <c r="AY153" s="311">
        <v>69.5</v>
      </c>
      <c r="AZ153" s="295" cm="1">
        <f t="array" aca="1" ref="AZ153" ca="1">INDIRECT("'"&amp;$C153&amp;"'!"&amp;"$"&amp;$D153&amp;$AY$1&amp;"")</f>
        <v>4.55</v>
      </c>
      <c r="BA153" s="308">
        <v>0.98</v>
      </c>
      <c r="BB153" s="306">
        <v>0.92</v>
      </c>
      <c r="BC153" s="307" cm="1">
        <f t="array" aca="1" ref="BC153" ca="1">INDIRECT("'"&amp;$C153&amp;"'!"&amp;"$"&amp;$D153&amp;$BC$1&amp;"")</f>
        <v>0.96</v>
      </c>
      <c r="BD153" s="308"/>
      <c r="BE153" s="308">
        <v>0.99</v>
      </c>
      <c r="BF153" s="306">
        <v>0.12</v>
      </c>
      <c r="BG153" s="307" cm="1">
        <f t="array" aca="1" ref="BG153" ca="1">INDIRECT("'"&amp;$C153&amp;"'!"&amp;"$"&amp;$D153&amp;$BG$1&amp;"")</f>
        <v>0.87</v>
      </c>
      <c r="BH153" s="308"/>
      <c r="BI153" s="308">
        <v>0.97</v>
      </c>
      <c r="BJ153" s="306">
        <v>0.22</v>
      </c>
      <c r="BK153" s="307" cm="1">
        <f t="array" aca="1" ref="BK153" ca="1">INDIRECT("'"&amp;$C153&amp;"'!"&amp;"$"&amp;$D153&amp;$BK$1&amp;"")</f>
        <v>3.7</v>
      </c>
      <c r="BL153" s="308"/>
      <c r="BM153" s="308">
        <v>0.99</v>
      </c>
      <c r="BN153" s="306">
        <v>0.52</v>
      </c>
    </row>
    <row r="154" spans="1:66" ht="8.1" customHeight="1" thickBot="1" x14ac:dyDescent="0.25">
      <c r="AY154" s="314"/>
      <c r="AZ154" s="314"/>
    </row>
    <row r="155" spans="1:66" ht="15.75" thickBot="1" x14ac:dyDescent="0.25">
      <c r="A155" s="367">
        <v>45695</v>
      </c>
      <c r="B155" s="364">
        <v>0</v>
      </c>
      <c r="C155" s="315">
        <v>7</v>
      </c>
      <c r="D155" s="316" t="s">
        <v>110</v>
      </c>
      <c r="E155" s="284">
        <v>14</v>
      </c>
      <c r="F155" s="285">
        <v>70.28</v>
      </c>
      <c r="G155" s="286" cm="1">
        <f t="array" aca="1" ref="G155" ca="1">INDIRECT("'"&amp;$C155&amp;"'!"&amp;"$"&amp;$D155&amp;$E$1&amp;"")</f>
        <v>6.7</v>
      </c>
      <c r="H155" s="287">
        <v>1</v>
      </c>
      <c r="I155" s="285">
        <v>0.4</v>
      </c>
      <c r="J155" s="286" cm="1">
        <f t="array" aca="1" ref="J155" ca="1">INDIRECT("'"&amp;$C155&amp;"'!"&amp;"$"&amp;$D155&amp;$J$1&amp;"")</f>
        <v>6.7</v>
      </c>
      <c r="K155" s="287"/>
      <c r="L155" s="287">
        <v>1</v>
      </c>
      <c r="M155" s="285">
        <v>0.4</v>
      </c>
      <c r="N155" s="286" cm="1">
        <f t="array" aca="1" ref="N155" ca="1">INDIRECT("'"&amp;$C155&amp;"'!"&amp;"$"&amp;$D155&amp;$N$1&amp;"")</f>
        <v>0</v>
      </c>
      <c r="O155" s="287"/>
      <c r="P155" s="287" t="s">
        <v>1</v>
      </c>
      <c r="Q155" s="285" t="s">
        <v>1</v>
      </c>
      <c r="R155" s="286" cm="1">
        <f t="array" aca="1" ref="R155" ca="1">INDIRECT("'"&amp;$C155&amp;"'!"&amp;"$"&amp;$D155&amp;$R$1&amp;"")</f>
        <v>6.7</v>
      </c>
      <c r="S155" s="287"/>
      <c r="T155" s="287">
        <v>1</v>
      </c>
      <c r="U155" s="285">
        <v>0.4</v>
      </c>
      <c r="V155" s="286" t="str" cm="1">
        <f t="array" aca="1" ref="V155" ca="1">INDIRECT("'"&amp;$C155&amp;"'!"&amp;"$"&amp;$D155&amp;$V$1&amp;"")</f>
        <v>CMS</v>
      </c>
      <c r="W155" s="287" t="s">
        <v>1</v>
      </c>
      <c r="X155" s="287" t="s">
        <v>1</v>
      </c>
      <c r="Y155" s="288" t="s">
        <v>1</v>
      </c>
      <c r="Z155" s="284" cm="1">
        <f t="array" aca="1" ref="Z155" ca="1">INDIRECT("'"&amp;$C155&amp;"'!"&amp;"$"&amp;$D155&amp;$Z$1&amp;"")</f>
        <v>0</v>
      </c>
      <c r="AA155" s="287" t="s">
        <v>1</v>
      </c>
      <c r="AB155" s="287" t="s">
        <v>1</v>
      </c>
      <c r="AC155" s="285" t="s">
        <v>1</v>
      </c>
      <c r="AD155" s="286" t="str" cm="1">
        <f t="array" aca="1" ref="AD155" ca="1">INDIRECT("'"&amp;$C155&amp;"'!"&amp;"$"&amp;$D155&amp;$AD$1&amp;"")</f>
        <v>CMS</v>
      </c>
      <c r="AE155" s="287" t="s">
        <v>1</v>
      </c>
      <c r="AF155" s="287" t="s">
        <v>1</v>
      </c>
      <c r="AG155" s="285" t="s">
        <v>1</v>
      </c>
      <c r="AH155" s="284" cm="1">
        <f t="array" aca="1" ref="AH155" ca="1">INDIRECT("'"&amp;$C155&amp;"'!"&amp;"$"&amp;$D155&amp;$AH$1&amp;"")</f>
        <v>3.8</v>
      </c>
      <c r="AI155" s="287">
        <v>14</v>
      </c>
      <c r="AJ155" s="287">
        <v>0.98</v>
      </c>
      <c r="AK155" s="285">
        <v>0.68899999999999995</v>
      </c>
      <c r="AL155" s="284">
        <v>11.9</v>
      </c>
      <c r="AM155" s="288">
        <v>70.8</v>
      </c>
      <c r="AN155" s="284" cm="1">
        <f t="array" aca="1" ref="AN155" ca="1">INDIRECT("'"&amp;$C155&amp;"'!"&amp;"$"&amp;$D155&amp;$AL$1&amp;"")</f>
        <v>4.2</v>
      </c>
      <c r="AO155" s="287">
        <v>0.99</v>
      </c>
      <c r="AP155" s="285">
        <v>0.4</v>
      </c>
      <c r="AQ155" s="286" cm="1">
        <f t="array" aca="1" ref="AQ155" ca="1">INDIRECT("'"&amp;$C155&amp;"'!"&amp;"$"&amp;$D155&amp;$AQ$1&amp;"")</f>
        <v>4.2</v>
      </c>
      <c r="AR155" s="287">
        <v>0.99</v>
      </c>
      <c r="AS155" s="285">
        <v>0.4</v>
      </c>
      <c r="AT155" s="289">
        <v>0</v>
      </c>
      <c r="AU155" s="288">
        <v>0</v>
      </c>
      <c r="AV155" s="284" t="str" cm="1">
        <f t="array" aca="1" ref="AV155" ca="1">INDIRECT("'"&amp;$C155&amp;"'!"&amp;"$"&amp;$D155&amp;$AT$1&amp;"")</f>
        <v>PMS</v>
      </c>
      <c r="AW155" s="287" t="s">
        <v>1</v>
      </c>
      <c r="AX155" s="285" t="s">
        <v>1</v>
      </c>
      <c r="AY155" s="317">
        <v>69.400000000000006</v>
      </c>
      <c r="AZ155" s="302" cm="1">
        <f t="array" aca="1" ref="AZ155" ca="1">INDIRECT("'"&amp;$C155&amp;"'!"&amp;"$"&amp;$D155&amp;$AY$1&amp;"")</f>
        <v>4</v>
      </c>
      <c r="BA155" s="287">
        <v>0.98</v>
      </c>
      <c r="BB155" s="285">
        <v>0.8</v>
      </c>
      <c r="BC155" s="286" cm="1">
        <f t="array" aca="1" ref="BC155" ca="1">INDIRECT("'"&amp;$C155&amp;"'!"&amp;"$"&amp;$D155&amp;$BC$1&amp;"")</f>
        <v>0.88</v>
      </c>
      <c r="BD155" s="287"/>
      <c r="BE155" s="287">
        <v>0.99</v>
      </c>
      <c r="BF155" s="285">
        <v>0.11</v>
      </c>
      <c r="BG155" s="286" cm="1">
        <f t="array" aca="1" ref="BG155" ca="1">INDIRECT("'"&amp;$C155&amp;"'!"&amp;"$"&amp;$D155&amp;$BG$1&amp;"")</f>
        <v>0.82</v>
      </c>
      <c r="BH155" s="287"/>
      <c r="BI155" s="287">
        <v>0.97</v>
      </c>
      <c r="BJ155" s="285">
        <v>0.2</v>
      </c>
      <c r="BK155" s="286" cm="1">
        <f t="array" aca="1" ref="BK155" ca="1">INDIRECT("'"&amp;$C155&amp;"'!"&amp;"$"&amp;$D155&amp;$BK$1&amp;"")</f>
        <v>3.5999999999999996</v>
      </c>
      <c r="BL155" s="287"/>
      <c r="BM155" s="287">
        <v>0.99</v>
      </c>
      <c r="BN155" s="285">
        <v>0.51</v>
      </c>
    </row>
    <row r="156" spans="1:66" ht="15.75" thickBot="1" x14ac:dyDescent="0.25">
      <c r="A156" s="368">
        <v>45695</v>
      </c>
      <c r="B156" s="365">
        <v>4.1666666666666699E-2</v>
      </c>
      <c r="C156" s="315">
        <v>7</v>
      </c>
      <c r="D156" s="319" t="s">
        <v>111</v>
      </c>
      <c r="E156" s="290">
        <v>14.1</v>
      </c>
      <c r="F156" s="291">
        <v>70.39</v>
      </c>
      <c r="G156" s="292" cm="1">
        <f t="array" aca="1" ref="G156" ca="1">INDIRECT("'"&amp;$C156&amp;"'!"&amp;"$"&amp;$D156&amp;$E$1&amp;"")</f>
        <v>6.7</v>
      </c>
      <c r="H156" s="293">
        <v>1</v>
      </c>
      <c r="I156" s="291">
        <v>0.48</v>
      </c>
      <c r="J156" s="292" cm="1">
        <f t="array" aca="1" ref="J156" ca="1">INDIRECT("'"&amp;$C156&amp;"'!"&amp;"$"&amp;$D156&amp;$J$1&amp;"")</f>
        <v>6.7</v>
      </c>
      <c r="K156" s="293"/>
      <c r="L156" s="293">
        <v>1</v>
      </c>
      <c r="M156" s="291">
        <v>0.48</v>
      </c>
      <c r="N156" s="292" cm="1">
        <f t="array" aca="1" ref="N156" ca="1">INDIRECT("'"&amp;$C156&amp;"'!"&amp;"$"&amp;$D156&amp;$N$1&amp;"")</f>
        <v>0</v>
      </c>
      <c r="O156" s="293"/>
      <c r="P156" s="293" t="s">
        <v>1</v>
      </c>
      <c r="Q156" s="291" t="s">
        <v>1</v>
      </c>
      <c r="R156" s="292" cm="1">
        <f t="array" aca="1" ref="R156" ca="1">INDIRECT("'"&amp;$C156&amp;"'!"&amp;"$"&amp;$D156&amp;$R$1&amp;"")</f>
        <v>6.7</v>
      </c>
      <c r="S156" s="293"/>
      <c r="T156" s="293">
        <v>1</v>
      </c>
      <c r="U156" s="291">
        <v>0.48</v>
      </c>
      <c r="V156" s="292" t="str" cm="1">
        <f t="array" aca="1" ref="V156" ca="1">INDIRECT("'"&amp;$C156&amp;"'!"&amp;"$"&amp;$D156&amp;$V$1&amp;"")</f>
        <v>CMS</v>
      </c>
      <c r="W156" s="293" t="s">
        <v>1</v>
      </c>
      <c r="X156" s="293" t="s">
        <v>1</v>
      </c>
      <c r="Y156" s="294" t="s">
        <v>1</v>
      </c>
      <c r="Z156" s="290" cm="1">
        <f t="array" aca="1" ref="Z156" ca="1">INDIRECT("'"&amp;$C156&amp;"'!"&amp;"$"&amp;$D156&amp;$Z$1&amp;"")</f>
        <v>0</v>
      </c>
      <c r="AA156" s="293" t="s">
        <v>1</v>
      </c>
      <c r="AB156" s="293" t="s">
        <v>1</v>
      </c>
      <c r="AC156" s="291" t="s">
        <v>1</v>
      </c>
      <c r="AD156" s="292" t="str" cm="1">
        <f t="array" aca="1" ref="AD156" ca="1">INDIRECT("'"&amp;$C156&amp;"'!"&amp;"$"&amp;$D156&amp;$AD$1&amp;"")</f>
        <v>CMS</v>
      </c>
      <c r="AE156" s="293" t="s">
        <v>1</v>
      </c>
      <c r="AF156" s="293" t="s">
        <v>1</v>
      </c>
      <c r="AG156" s="294" t="s">
        <v>1</v>
      </c>
      <c r="AH156" s="290" cm="1">
        <f t="array" aca="1" ref="AH156" ca="1">INDIRECT("'"&amp;$C156&amp;"'!"&amp;"$"&amp;$D156&amp;$AH$1&amp;"")</f>
        <v>3.8</v>
      </c>
      <c r="AI156" s="293">
        <v>14.04</v>
      </c>
      <c r="AJ156" s="293">
        <v>0.98</v>
      </c>
      <c r="AK156" s="291">
        <v>0.60499999999999998</v>
      </c>
      <c r="AL156" s="290">
        <v>11.9</v>
      </c>
      <c r="AM156" s="294">
        <v>70.900000000000006</v>
      </c>
      <c r="AN156" s="290" cm="1">
        <f t="array" aca="1" ref="AN156" ca="1">INDIRECT("'"&amp;$C156&amp;"'!"&amp;"$"&amp;$D156&amp;$AL$1&amp;"")</f>
        <v>4</v>
      </c>
      <c r="AO156" s="293">
        <v>0.99</v>
      </c>
      <c r="AP156" s="291">
        <v>0.37</v>
      </c>
      <c r="AQ156" s="292" cm="1">
        <f t="array" aca="1" ref="AQ156" ca="1">INDIRECT("'"&amp;$C156&amp;"'!"&amp;"$"&amp;$D156&amp;$AQ$1&amp;"")</f>
        <v>4</v>
      </c>
      <c r="AR156" s="293">
        <v>0.99</v>
      </c>
      <c r="AS156" s="291">
        <v>0.37</v>
      </c>
      <c r="AT156" s="295">
        <v>0</v>
      </c>
      <c r="AU156" s="294">
        <v>0</v>
      </c>
      <c r="AV156" s="290" t="str" cm="1">
        <f t="array" aca="1" ref="AV156" ca="1">INDIRECT("'"&amp;$C156&amp;"'!"&amp;"$"&amp;$D156&amp;$AT$1&amp;"")</f>
        <v>PMS</v>
      </c>
      <c r="AW156" s="293" t="s">
        <v>1</v>
      </c>
      <c r="AX156" s="291" t="s">
        <v>1</v>
      </c>
      <c r="AY156" s="296">
        <v>69.599999999999994</v>
      </c>
      <c r="AZ156" s="295" cm="1">
        <f t="array" aca="1" ref="AZ156" ca="1">INDIRECT("'"&amp;$C156&amp;"'!"&amp;"$"&amp;$D156&amp;$AY$1&amp;"")</f>
        <v>2.35</v>
      </c>
      <c r="BA156" s="293">
        <v>0.98</v>
      </c>
      <c r="BB156" s="291">
        <v>0.46</v>
      </c>
      <c r="BC156" s="292" cm="1">
        <f t="array" aca="1" ref="BC156" ca="1">INDIRECT("'"&amp;$C156&amp;"'!"&amp;"$"&amp;$D156&amp;$BC$1&amp;"")</f>
        <v>0.82</v>
      </c>
      <c r="BD156" s="293"/>
      <c r="BE156" s="293">
        <v>0.99</v>
      </c>
      <c r="BF156" s="291">
        <v>0.1</v>
      </c>
      <c r="BG156" s="292" cm="1">
        <f t="array" aca="1" ref="BG156" ca="1">INDIRECT("'"&amp;$C156&amp;"'!"&amp;"$"&amp;$D156&amp;$BG$1&amp;"")</f>
        <v>0.78</v>
      </c>
      <c r="BH156" s="293"/>
      <c r="BI156" s="293">
        <v>0.97</v>
      </c>
      <c r="BJ156" s="291">
        <v>0.19</v>
      </c>
      <c r="BK156" s="292" cm="1">
        <f t="array" aca="1" ref="BK156" ca="1">INDIRECT("'"&amp;$C156&amp;"'!"&amp;"$"&amp;$D156&amp;$BK$1&amp;"")</f>
        <v>3.3999999999999995</v>
      </c>
      <c r="BL156" s="293"/>
      <c r="BM156" s="293">
        <v>0.99</v>
      </c>
      <c r="BN156" s="291">
        <v>0.47</v>
      </c>
    </row>
    <row r="157" spans="1:66" ht="15.75" thickBot="1" x14ac:dyDescent="0.25">
      <c r="A157" s="368">
        <v>45695</v>
      </c>
      <c r="B157" s="365">
        <v>8.3333333333333301E-2</v>
      </c>
      <c r="C157" s="315">
        <v>7</v>
      </c>
      <c r="D157" s="319" t="s">
        <v>112</v>
      </c>
      <c r="E157" s="297">
        <v>14.1</v>
      </c>
      <c r="F157" s="298">
        <v>70.8</v>
      </c>
      <c r="G157" s="299" cm="1">
        <f t="array" aca="1" ref="G157" ca="1">INDIRECT("'"&amp;$C157&amp;"'!"&amp;"$"&amp;$D157&amp;$E$1&amp;"")</f>
        <v>6.6</v>
      </c>
      <c r="H157" s="300">
        <v>1</v>
      </c>
      <c r="I157" s="298">
        <v>0.39</v>
      </c>
      <c r="J157" s="299" cm="1">
        <f t="array" aca="1" ref="J157" ca="1">INDIRECT("'"&amp;$C157&amp;"'!"&amp;"$"&amp;$D157&amp;$J$1&amp;"")</f>
        <v>6.6</v>
      </c>
      <c r="K157" s="300"/>
      <c r="L157" s="300">
        <v>1</v>
      </c>
      <c r="M157" s="298">
        <v>0.39</v>
      </c>
      <c r="N157" s="299" cm="1">
        <f t="array" aca="1" ref="N157" ca="1">INDIRECT("'"&amp;$C157&amp;"'!"&amp;"$"&amp;$D157&amp;$N$1&amp;"")</f>
        <v>6.6</v>
      </c>
      <c r="O157" s="300"/>
      <c r="P157" s="300">
        <v>1</v>
      </c>
      <c r="Q157" s="298">
        <v>0.39</v>
      </c>
      <c r="R157" s="299" cm="1">
        <f t="array" aca="1" ref="R157" ca="1">INDIRECT("'"&amp;$C157&amp;"'!"&amp;"$"&amp;$D157&amp;$R$1&amp;"")</f>
        <v>0</v>
      </c>
      <c r="S157" s="300"/>
      <c r="T157" s="300" t="s">
        <v>1</v>
      </c>
      <c r="U157" s="298" t="s">
        <v>1</v>
      </c>
      <c r="V157" s="299" t="str" cm="1">
        <f t="array" aca="1" ref="V157" ca="1">INDIRECT("'"&amp;$C157&amp;"'!"&amp;"$"&amp;$D157&amp;$V$1&amp;"")</f>
        <v>CMS</v>
      </c>
      <c r="W157" s="300" t="s">
        <v>1</v>
      </c>
      <c r="X157" s="300" t="s">
        <v>1</v>
      </c>
      <c r="Y157" s="301" t="s">
        <v>1</v>
      </c>
      <c r="Z157" s="297">
        <v>0</v>
      </c>
      <c r="AA157" s="300" t="s">
        <v>1</v>
      </c>
      <c r="AB157" s="300" t="s">
        <v>1</v>
      </c>
      <c r="AC157" s="298" t="s">
        <v>1</v>
      </c>
      <c r="AD157" s="299" t="str" cm="1">
        <f t="array" aca="1" ref="AD157" ca="1">INDIRECT("'"&amp;$C157&amp;"'!"&amp;"$"&amp;$D157&amp;$AD$1&amp;"")</f>
        <v>CMS</v>
      </c>
      <c r="AE157" s="300" t="s">
        <v>1</v>
      </c>
      <c r="AF157" s="300" t="s">
        <v>1</v>
      </c>
      <c r="AG157" s="301" t="s">
        <v>1</v>
      </c>
      <c r="AH157" s="297" cm="1">
        <f t="array" aca="1" ref="AH157" ca="1">INDIRECT("'"&amp;$C157&amp;"'!"&amp;"$"&amp;$D157&amp;$AH$1&amp;"")</f>
        <v>3.8</v>
      </c>
      <c r="AI157" s="300">
        <v>14.04</v>
      </c>
      <c r="AJ157" s="300">
        <v>0.99</v>
      </c>
      <c r="AK157" s="298">
        <v>0.47399999999999998</v>
      </c>
      <c r="AL157" s="297">
        <v>11.9</v>
      </c>
      <c r="AM157" s="301">
        <v>71.099999999999994</v>
      </c>
      <c r="AN157" s="297" cm="1">
        <f t="array" aca="1" ref="AN157" ca="1">INDIRECT("'"&amp;$C157&amp;"'!"&amp;"$"&amp;$D157&amp;$AL$1&amp;"")</f>
        <v>4</v>
      </c>
      <c r="AO157" s="300">
        <v>0.99</v>
      </c>
      <c r="AP157" s="298">
        <v>0.16</v>
      </c>
      <c r="AQ157" s="299" cm="1">
        <f t="array" aca="1" ref="AQ157" ca="1">INDIRECT("'"&amp;$C157&amp;"'!"&amp;"$"&amp;$D157&amp;$AQ$1&amp;"")</f>
        <v>4</v>
      </c>
      <c r="AR157" s="300">
        <v>0.99</v>
      </c>
      <c r="AS157" s="298">
        <v>0.16</v>
      </c>
      <c r="AT157" s="302">
        <v>0</v>
      </c>
      <c r="AU157" s="301">
        <v>0</v>
      </c>
      <c r="AV157" s="297" t="str" cm="1">
        <f t="array" aca="1" ref="AV157" ca="1">INDIRECT("'"&amp;$C157&amp;"'!"&amp;"$"&amp;$D157&amp;$AT$1&amp;"")</f>
        <v>PMS</v>
      </c>
      <c r="AW157" s="300" t="s">
        <v>1</v>
      </c>
      <c r="AX157" s="298" t="s">
        <v>1</v>
      </c>
      <c r="AY157" s="303">
        <v>69.8</v>
      </c>
      <c r="AZ157" s="302" cm="1">
        <f t="array" aca="1" ref="AZ157" ca="1">INDIRECT("'"&amp;$C157&amp;"'!"&amp;"$"&amp;$D157&amp;$AY$1&amp;"")</f>
        <v>1.5</v>
      </c>
      <c r="BA157" s="300">
        <v>0.98</v>
      </c>
      <c r="BB157" s="298">
        <v>0.28999999999999998</v>
      </c>
      <c r="BC157" s="299" cm="1">
        <f t="array" aca="1" ref="BC157" ca="1">INDIRECT("'"&amp;$C157&amp;"'!"&amp;"$"&amp;$D157&amp;$BC$1&amp;"")</f>
        <v>0.8</v>
      </c>
      <c r="BD157" s="300"/>
      <c r="BE157" s="300">
        <v>0.99</v>
      </c>
      <c r="BF157" s="298">
        <v>0.1</v>
      </c>
      <c r="BG157" s="299" cm="1">
        <f t="array" aca="1" ref="BG157" ca="1">INDIRECT("'"&amp;$C157&amp;"'!"&amp;"$"&amp;$D157&amp;$BG$1&amp;"")</f>
        <v>0.77</v>
      </c>
      <c r="BH157" s="300"/>
      <c r="BI157" s="300">
        <v>0.97</v>
      </c>
      <c r="BJ157" s="298">
        <v>0.2</v>
      </c>
      <c r="BK157" s="299" cm="1">
        <f t="array" aca="1" ref="BK157" ca="1">INDIRECT("'"&amp;$C157&amp;"'!"&amp;"$"&amp;$D157&amp;$BK$1&amp;"")</f>
        <v>3.2</v>
      </c>
      <c r="BL157" s="300"/>
      <c r="BM157" s="300">
        <v>0.99</v>
      </c>
      <c r="BN157" s="298">
        <v>0.45</v>
      </c>
    </row>
    <row r="158" spans="1:66" ht="15.75" thickBot="1" x14ac:dyDescent="0.25">
      <c r="A158" s="368">
        <v>45695</v>
      </c>
      <c r="B158" s="365">
        <v>0.125</v>
      </c>
      <c r="C158" s="315">
        <v>7</v>
      </c>
      <c r="D158" s="319" t="s">
        <v>113</v>
      </c>
      <c r="E158" s="290">
        <v>13.9</v>
      </c>
      <c r="F158" s="291">
        <v>70</v>
      </c>
      <c r="G158" s="292" cm="1">
        <f t="array" aca="1" ref="G158" ca="1">INDIRECT("'"&amp;$C158&amp;"'!"&amp;"$"&amp;$D158&amp;$E$1&amp;"")</f>
        <v>6.8</v>
      </c>
      <c r="H158" s="293">
        <v>1</v>
      </c>
      <c r="I158" s="291">
        <v>0.5</v>
      </c>
      <c r="J158" s="292" cm="1">
        <f t="array" aca="1" ref="J158" ca="1">INDIRECT("'"&amp;$C158&amp;"'!"&amp;"$"&amp;$D158&amp;$J$1&amp;"")</f>
        <v>6.8</v>
      </c>
      <c r="K158" s="293"/>
      <c r="L158" s="293">
        <v>1</v>
      </c>
      <c r="M158" s="291">
        <v>0.5</v>
      </c>
      <c r="N158" s="292" cm="1">
        <f t="array" aca="1" ref="N158" ca="1">INDIRECT("'"&amp;$C158&amp;"'!"&amp;"$"&amp;$D158&amp;$N$1&amp;"")</f>
        <v>6.8</v>
      </c>
      <c r="O158" s="293"/>
      <c r="P158" s="293">
        <v>1</v>
      </c>
      <c r="Q158" s="291">
        <v>0.5</v>
      </c>
      <c r="R158" s="292" cm="1">
        <f t="array" aca="1" ref="R158" ca="1">INDIRECT("'"&amp;$C158&amp;"'!"&amp;"$"&amp;$D158&amp;$R$1&amp;"")</f>
        <v>0</v>
      </c>
      <c r="S158" s="293"/>
      <c r="T158" s="293" t="s">
        <v>1</v>
      </c>
      <c r="U158" s="291" t="s">
        <v>1</v>
      </c>
      <c r="V158" s="292" t="str" cm="1">
        <f t="array" aca="1" ref="V158" ca="1">INDIRECT("'"&amp;$C158&amp;"'!"&amp;"$"&amp;$D158&amp;$V$1&amp;"")</f>
        <v>CMS</v>
      </c>
      <c r="W158" s="293" t="s">
        <v>1</v>
      </c>
      <c r="X158" s="293" t="s">
        <v>1</v>
      </c>
      <c r="Y158" s="294" t="s">
        <v>1</v>
      </c>
      <c r="Z158" s="290" cm="1">
        <f t="array" aca="1" ref="Z158" ca="1">INDIRECT("'"&amp;$C158&amp;"'!"&amp;"$"&amp;$D158&amp;$Z$1&amp;"")</f>
        <v>0</v>
      </c>
      <c r="AA158" s="293" t="s">
        <v>1</v>
      </c>
      <c r="AB158" s="293" t="s">
        <v>1</v>
      </c>
      <c r="AC158" s="291" t="s">
        <v>1</v>
      </c>
      <c r="AD158" s="292" t="str" cm="1">
        <f t="array" aca="1" ref="AD158" ca="1">INDIRECT("'"&amp;$C158&amp;"'!"&amp;"$"&amp;$D158&amp;$AD$1&amp;"")</f>
        <v>CMS</v>
      </c>
      <c r="AE158" s="293" t="s">
        <v>1</v>
      </c>
      <c r="AF158" s="293" t="s">
        <v>1</v>
      </c>
      <c r="AG158" s="294" t="s">
        <v>1</v>
      </c>
      <c r="AH158" s="290" cm="1">
        <f t="array" aca="1" ref="AH158" ca="1">INDIRECT("'"&amp;$C158&amp;"'!"&amp;"$"&amp;$D158&amp;$AH$1&amp;"")</f>
        <v>3.8</v>
      </c>
      <c r="AI158" s="293">
        <v>14.04</v>
      </c>
      <c r="AJ158" s="293">
        <v>0.98</v>
      </c>
      <c r="AK158" s="291">
        <v>0.67900000000000005</v>
      </c>
      <c r="AL158" s="290">
        <v>11.9</v>
      </c>
      <c r="AM158" s="294">
        <v>70.599999999999994</v>
      </c>
      <c r="AN158" s="290" cm="1">
        <f t="array" aca="1" ref="AN158" ca="1">INDIRECT("'"&amp;$C158&amp;"'!"&amp;"$"&amp;$D158&amp;$AL$1&amp;"")</f>
        <v>4</v>
      </c>
      <c r="AO158" s="293">
        <v>0.99</v>
      </c>
      <c r="AP158" s="291">
        <v>0.52</v>
      </c>
      <c r="AQ158" s="292" cm="1">
        <f t="array" aca="1" ref="AQ158" ca="1">INDIRECT("'"&amp;$C158&amp;"'!"&amp;"$"&amp;$D158&amp;$AQ$1&amp;"")</f>
        <v>4</v>
      </c>
      <c r="AR158" s="293">
        <v>0.99</v>
      </c>
      <c r="AS158" s="291">
        <v>0.52</v>
      </c>
      <c r="AT158" s="295">
        <v>0</v>
      </c>
      <c r="AU158" s="294">
        <v>0</v>
      </c>
      <c r="AV158" s="290" t="str" cm="1">
        <f t="array" aca="1" ref="AV158" ca="1">INDIRECT("'"&amp;$C158&amp;"'!"&amp;"$"&amp;$D158&amp;$AT$1&amp;"")</f>
        <v>PMS</v>
      </c>
      <c r="AW158" s="293" t="s">
        <v>1</v>
      </c>
      <c r="AX158" s="291" t="s">
        <v>1</v>
      </c>
      <c r="AY158" s="296">
        <v>69</v>
      </c>
      <c r="AZ158" s="295" cm="1">
        <f t="array" aca="1" ref="AZ158" ca="1">INDIRECT("'"&amp;$C158&amp;"'!"&amp;"$"&amp;$D158&amp;$AY$1&amp;"")</f>
        <v>0</v>
      </c>
      <c r="BA158" s="293" t="s">
        <v>1</v>
      </c>
      <c r="BB158" s="291" t="s">
        <v>1</v>
      </c>
      <c r="BC158" s="292" cm="1">
        <f t="array" aca="1" ref="BC158" ca="1">INDIRECT("'"&amp;$C158&amp;"'!"&amp;"$"&amp;$D158&amp;$BC$1&amp;"")</f>
        <v>0.78</v>
      </c>
      <c r="BD158" s="293"/>
      <c r="BE158" s="293">
        <v>0.99</v>
      </c>
      <c r="BF158" s="291">
        <v>0.09</v>
      </c>
      <c r="BG158" s="292" cm="1">
        <f t="array" aca="1" ref="BG158" ca="1">INDIRECT("'"&amp;$C158&amp;"'!"&amp;"$"&amp;$D158&amp;$BG$1&amp;"")</f>
        <v>0.75</v>
      </c>
      <c r="BH158" s="293"/>
      <c r="BI158" s="293">
        <v>0.97</v>
      </c>
      <c r="BJ158" s="291">
        <v>0.19</v>
      </c>
      <c r="BK158" s="292" cm="1">
        <f t="array" aca="1" ref="BK158" ca="1">INDIRECT("'"&amp;$C158&amp;"'!"&amp;"$"&amp;$D158&amp;$BK$1&amp;"")</f>
        <v>3.2</v>
      </c>
      <c r="BL158" s="293"/>
      <c r="BM158" s="293">
        <v>0.99</v>
      </c>
      <c r="BN158" s="291">
        <v>0.45</v>
      </c>
    </row>
    <row r="159" spans="1:66" ht="15.75" thickBot="1" x14ac:dyDescent="0.25">
      <c r="A159" s="368">
        <v>45695</v>
      </c>
      <c r="B159" s="365">
        <v>0.16666666666666699</v>
      </c>
      <c r="C159" s="315">
        <v>7</v>
      </c>
      <c r="D159" s="319" t="s">
        <v>114</v>
      </c>
      <c r="E159" s="297">
        <v>14.1</v>
      </c>
      <c r="F159" s="298">
        <v>70.05</v>
      </c>
      <c r="G159" s="299" cm="1">
        <f t="array" aca="1" ref="G159" ca="1">INDIRECT("'"&amp;$C159&amp;"'!"&amp;"$"&amp;$D159&amp;$E$1&amp;"")</f>
        <v>6.6</v>
      </c>
      <c r="H159" s="300">
        <v>1</v>
      </c>
      <c r="I159" s="298">
        <v>0.65</v>
      </c>
      <c r="J159" s="299" cm="1">
        <f t="array" aca="1" ref="J159" ca="1">INDIRECT("'"&amp;$C159&amp;"'!"&amp;"$"&amp;$D159&amp;$J$1&amp;"")</f>
        <v>6.6</v>
      </c>
      <c r="K159" s="300"/>
      <c r="L159" s="300">
        <v>1</v>
      </c>
      <c r="M159" s="298">
        <v>0.65</v>
      </c>
      <c r="N159" s="299" cm="1">
        <f t="array" aca="1" ref="N159" ca="1">INDIRECT("'"&amp;$C159&amp;"'!"&amp;"$"&amp;$D159&amp;$N$1&amp;"")</f>
        <v>6.6</v>
      </c>
      <c r="O159" s="300"/>
      <c r="P159" s="300">
        <v>1</v>
      </c>
      <c r="Q159" s="298">
        <v>0.65</v>
      </c>
      <c r="R159" s="299" cm="1">
        <f t="array" aca="1" ref="R159" ca="1">INDIRECT("'"&amp;$C159&amp;"'!"&amp;"$"&amp;$D159&amp;$R$1&amp;"")</f>
        <v>0</v>
      </c>
      <c r="S159" s="300"/>
      <c r="T159" s="300" t="s">
        <v>1</v>
      </c>
      <c r="U159" s="298" t="s">
        <v>1</v>
      </c>
      <c r="V159" s="299" t="str" cm="1">
        <f t="array" aca="1" ref="V159" ca="1">INDIRECT("'"&amp;$C159&amp;"'!"&amp;"$"&amp;$D159&amp;$V$1&amp;"")</f>
        <v>CMS</v>
      </c>
      <c r="W159" s="300" t="s">
        <v>1</v>
      </c>
      <c r="X159" s="300" t="s">
        <v>1</v>
      </c>
      <c r="Y159" s="301" t="s">
        <v>1</v>
      </c>
      <c r="Z159" s="297" cm="1">
        <f t="array" aca="1" ref="Z159" ca="1">INDIRECT("'"&amp;$C159&amp;"'!"&amp;"$"&amp;$D159&amp;$Z$1&amp;"")</f>
        <v>0</v>
      </c>
      <c r="AA159" s="300" t="s">
        <v>1</v>
      </c>
      <c r="AB159" s="300" t="s">
        <v>1</v>
      </c>
      <c r="AC159" s="298" t="s">
        <v>1</v>
      </c>
      <c r="AD159" s="299" t="str" cm="1">
        <f t="array" aca="1" ref="AD159" ca="1">INDIRECT("'"&amp;$C159&amp;"'!"&amp;"$"&amp;$D159&amp;$AD$1&amp;"")</f>
        <v>CMS</v>
      </c>
      <c r="AE159" s="300" t="s">
        <v>1</v>
      </c>
      <c r="AF159" s="300" t="s">
        <v>1</v>
      </c>
      <c r="AG159" s="301" t="s">
        <v>1</v>
      </c>
      <c r="AH159" s="297" cm="1">
        <f t="array" aca="1" ref="AH159" ca="1">INDIRECT("'"&amp;$C159&amp;"'!"&amp;"$"&amp;$D159&amp;$AH$1&amp;"")</f>
        <v>3.8</v>
      </c>
      <c r="AI159" s="300">
        <v>14.04</v>
      </c>
      <c r="AJ159" s="300">
        <v>0.99</v>
      </c>
      <c r="AK159" s="298">
        <v>0.57999999999999996</v>
      </c>
      <c r="AL159" s="297">
        <v>11.9</v>
      </c>
      <c r="AM159" s="301">
        <v>70.599999999999994</v>
      </c>
      <c r="AN159" s="297" cm="1">
        <f t="array" aca="1" ref="AN159" ca="1">INDIRECT("'"&amp;$C159&amp;"'!"&amp;"$"&amp;$D159&amp;$AL$1&amp;"")</f>
        <v>4</v>
      </c>
      <c r="AO159" s="300">
        <v>0.99</v>
      </c>
      <c r="AP159" s="298">
        <v>0.54800000000000004</v>
      </c>
      <c r="AQ159" s="299" cm="1">
        <f t="array" aca="1" ref="AQ159" ca="1">INDIRECT("'"&amp;$C159&amp;"'!"&amp;"$"&amp;$D159&amp;$AQ$1&amp;"")</f>
        <v>4</v>
      </c>
      <c r="AR159" s="300">
        <v>0.99</v>
      </c>
      <c r="AS159" s="298">
        <v>0.48</v>
      </c>
      <c r="AT159" s="302">
        <v>0</v>
      </c>
      <c r="AU159" s="301">
        <v>0</v>
      </c>
      <c r="AV159" s="297" t="str" cm="1">
        <f t="array" aca="1" ref="AV159" ca="1">INDIRECT("'"&amp;$C159&amp;"'!"&amp;"$"&amp;$D159&amp;$AT$1&amp;"")</f>
        <v>PMS</v>
      </c>
      <c r="AW159" s="300" t="s">
        <v>1</v>
      </c>
      <c r="AX159" s="298" t="s">
        <v>1</v>
      </c>
      <c r="AY159" s="303">
        <v>69.099999999999994</v>
      </c>
      <c r="AZ159" s="302" cm="1">
        <f t="array" aca="1" ref="AZ159" ca="1">INDIRECT("'"&amp;$C159&amp;"'!"&amp;"$"&amp;$D159&amp;$AY$1&amp;"")</f>
        <v>0</v>
      </c>
      <c r="BA159" s="300" t="s">
        <v>1</v>
      </c>
      <c r="BB159" s="298" t="s">
        <v>1</v>
      </c>
      <c r="BC159" s="299" cm="1">
        <f t="array" aca="1" ref="BC159" ca="1">INDIRECT("'"&amp;$C159&amp;"'!"&amp;"$"&amp;$D159&amp;$BC$1&amp;"")</f>
        <v>0.75</v>
      </c>
      <c r="BD159" s="300"/>
      <c r="BE159" s="300">
        <v>0.99</v>
      </c>
      <c r="BF159" s="298">
        <v>0.09</v>
      </c>
      <c r="BG159" s="299" cm="1">
        <f t="array" aca="1" ref="BG159" ca="1">INDIRECT("'"&amp;$C159&amp;"'!"&amp;"$"&amp;$D159&amp;$BG$1&amp;"")</f>
        <v>0.72</v>
      </c>
      <c r="BH159" s="300"/>
      <c r="BI159" s="300">
        <v>0.96</v>
      </c>
      <c r="BJ159" s="298">
        <v>0.19</v>
      </c>
      <c r="BK159" s="299" cm="1">
        <f t="array" aca="1" ref="BK159" ca="1">INDIRECT("'"&amp;$C159&amp;"'!"&amp;"$"&amp;$D159&amp;$BK$1&amp;"")</f>
        <v>3</v>
      </c>
      <c r="BL159" s="300"/>
      <c r="BM159" s="300">
        <v>0.99</v>
      </c>
      <c r="BN159" s="298">
        <v>0.41</v>
      </c>
    </row>
    <row r="160" spans="1:66" ht="15.75" thickBot="1" x14ac:dyDescent="0.25">
      <c r="A160" s="368">
        <v>45695</v>
      </c>
      <c r="B160" s="365">
        <v>0.20833333333333301</v>
      </c>
      <c r="C160" s="315">
        <v>7</v>
      </c>
      <c r="D160" s="319" t="s">
        <v>115</v>
      </c>
      <c r="E160" s="290">
        <v>14</v>
      </c>
      <c r="F160" s="291">
        <v>69.900000000000006</v>
      </c>
      <c r="G160" s="292" cm="1">
        <f t="array" aca="1" ref="G160" ca="1">INDIRECT("'"&amp;$C160&amp;"'!"&amp;"$"&amp;$D160&amp;$E$1&amp;"")</f>
        <v>6.7</v>
      </c>
      <c r="H160" s="293">
        <v>1</v>
      </c>
      <c r="I160" s="291">
        <v>0.65</v>
      </c>
      <c r="J160" s="292" cm="1">
        <f t="array" aca="1" ref="J160" ca="1">INDIRECT("'"&amp;$C160&amp;"'!"&amp;"$"&amp;$D160&amp;$J$1&amp;"")</f>
        <v>6.7</v>
      </c>
      <c r="K160" s="293"/>
      <c r="L160" s="293">
        <v>1</v>
      </c>
      <c r="M160" s="291">
        <v>0.65</v>
      </c>
      <c r="N160" s="292" cm="1">
        <f t="array" aca="1" ref="N160" ca="1">INDIRECT("'"&amp;$C160&amp;"'!"&amp;"$"&amp;$D160&amp;$N$1&amp;"")</f>
        <v>6.7</v>
      </c>
      <c r="O160" s="293"/>
      <c r="P160" s="293">
        <v>1</v>
      </c>
      <c r="Q160" s="291">
        <v>0.65</v>
      </c>
      <c r="R160" s="292" cm="1">
        <f t="array" aca="1" ref="R160" ca="1">INDIRECT("'"&amp;$C160&amp;"'!"&amp;"$"&amp;$D160&amp;$R$1&amp;"")</f>
        <v>0</v>
      </c>
      <c r="S160" s="293"/>
      <c r="T160" s="293" t="s">
        <v>1</v>
      </c>
      <c r="U160" s="291" t="s">
        <v>1</v>
      </c>
      <c r="V160" s="292" t="str" cm="1">
        <f t="array" aca="1" ref="V160" ca="1">INDIRECT("'"&amp;$C160&amp;"'!"&amp;"$"&amp;$D160&amp;$V$1&amp;"")</f>
        <v>CMS</v>
      </c>
      <c r="W160" s="293" t="s">
        <v>1</v>
      </c>
      <c r="X160" s="293" t="s">
        <v>1</v>
      </c>
      <c r="Y160" s="294" t="s">
        <v>1</v>
      </c>
      <c r="Z160" s="290" cm="1">
        <f t="array" aca="1" ref="Z160" ca="1">INDIRECT("'"&amp;$C160&amp;"'!"&amp;"$"&amp;$D160&amp;$Z$1&amp;"")</f>
        <v>0</v>
      </c>
      <c r="AA160" s="293" t="s">
        <v>1</v>
      </c>
      <c r="AB160" s="293" t="s">
        <v>1</v>
      </c>
      <c r="AC160" s="291" t="s">
        <v>1</v>
      </c>
      <c r="AD160" s="292" t="str" cm="1">
        <f t="array" aca="1" ref="AD160" ca="1">INDIRECT("'"&amp;$C160&amp;"'!"&amp;"$"&amp;$D160&amp;$AD$1&amp;"")</f>
        <v>CMS</v>
      </c>
      <c r="AE160" s="293" t="s">
        <v>1</v>
      </c>
      <c r="AF160" s="293" t="s">
        <v>1</v>
      </c>
      <c r="AG160" s="294" t="s">
        <v>1</v>
      </c>
      <c r="AH160" s="290" cm="1">
        <f t="array" aca="1" ref="AH160" ca="1">INDIRECT("'"&amp;$C160&amp;"'!"&amp;"$"&amp;$D160&amp;$AH$1&amp;"")</f>
        <v>3.8</v>
      </c>
      <c r="AI160" s="293">
        <v>14.04</v>
      </c>
      <c r="AJ160" s="293">
        <v>0.98</v>
      </c>
      <c r="AK160" s="291">
        <v>0.67300000000000004</v>
      </c>
      <c r="AL160" s="290">
        <v>11.9</v>
      </c>
      <c r="AM160" s="294">
        <v>70.8</v>
      </c>
      <c r="AN160" s="290" cm="1">
        <f t="array" aca="1" ref="AN160" ca="1">INDIRECT("'"&amp;$C160&amp;"'!"&amp;"$"&amp;$D160&amp;$AL$1&amp;"")</f>
        <v>4.2</v>
      </c>
      <c r="AO160" s="293">
        <v>0.99</v>
      </c>
      <c r="AP160" s="291">
        <v>0.54800000000000004</v>
      </c>
      <c r="AQ160" s="292" cm="1">
        <f t="array" aca="1" ref="AQ160" ca="1">INDIRECT("'"&amp;$C160&amp;"'!"&amp;"$"&amp;$D160&amp;$AQ$1&amp;"")</f>
        <v>4.2</v>
      </c>
      <c r="AR160" s="293">
        <v>0.99</v>
      </c>
      <c r="AS160" s="291">
        <v>0.48</v>
      </c>
      <c r="AT160" s="295">
        <v>0</v>
      </c>
      <c r="AU160" s="294">
        <v>0</v>
      </c>
      <c r="AV160" s="290" t="str" cm="1">
        <f t="array" aca="1" ref="AV160" ca="1">INDIRECT("'"&amp;$C160&amp;"'!"&amp;"$"&amp;$D160&amp;$AT$1&amp;"")</f>
        <v>PMS</v>
      </c>
      <c r="AW160" s="293" t="s">
        <v>1</v>
      </c>
      <c r="AX160" s="291" t="s">
        <v>1</v>
      </c>
      <c r="AY160" s="296">
        <v>69.099999999999994</v>
      </c>
      <c r="AZ160" s="295" cm="1">
        <f t="array" aca="1" ref="AZ160" ca="1">INDIRECT("'"&amp;$C160&amp;"'!"&amp;"$"&amp;$D160&amp;$AY$1&amp;"")</f>
        <v>0.8</v>
      </c>
      <c r="BA160" s="293">
        <v>0.98</v>
      </c>
      <c r="BB160" s="291">
        <v>0.6</v>
      </c>
      <c r="BC160" s="292" cm="1">
        <f t="array" aca="1" ref="BC160" ca="1">INDIRECT("'"&amp;$C160&amp;"'!"&amp;"$"&amp;$D160&amp;$BC$1&amp;"")</f>
        <v>0.8</v>
      </c>
      <c r="BD160" s="293"/>
      <c r="BE160" s="293">
        <v>0.99</v>
      </c>
      <c r="BF160" s="291">
        <v>0.08</v>
      </c>
      <c r="BG160" s="292" cm="1">
        <f t="array" aca="1" ref="BG160" ca="1">INDIRECT("'"&amp;$C160&amp;"'!"&amp;"$"&amp;$D160&amp;$BG$1&amp;"")</f>
        <v>0.77</v>
      </c>
      <c r="BH160" s="293"/>
      <c r="BI160" s="293">
        <v>0.96</v>
      </c>
      <c r="BJ160" s="291">
        <v>0.19</v>
      </c>
      <c r="BK160" s="292" cm="1">
        <f t="array" aca="1" ref="BK160" ca="1">INDIRECT("'"&amp;$C160&amp;"'!"&amp;"$"&amp;$D160&amp;$BK$1&amp;"")</f>
        <v>3.3999999999999995</v>
      </c>
      <c r="BL160" s="293"/>
      <c r="BM160" s="293">
        <v>0.99</v>
      </c>
      <c r="BN160" s="291">
        <v>0.43</v>
      </c>
    </row>
    <row r="161" spans="1:66" ht="15.75" thickBot="1" x14ac:dyDescent="0.25">
      <c r="A161" s="368">
        <v>45695</v>
      </c>
      <c r="B161" s="365">
        <v>0.25</v>
      </c>
      <c r="C161" s="315">
        <v>7</v>
      </c>
      <c r="D161" s="319" t="s">
        <v>116</v>
      </c>
      <c r="E161" s="297">
        <v>14.3</v>
      </c>
      <c r="F161" s="298">
        <v>70.7</v>
      </c>
      <c r="G161" s="299" cm="1">
        <f t="array" aca="1" ref="G161" ca="1">INDIRECT("'"&amp;$C161&amp;"'!"&amp;"$"&amp;$D161&amp;$E$1&amp;"")</f>
        <v>6.7</v>
      </c>
      <c r="H161" s="300">
        <v>0.99</v>
      </c>
      <c r="I161" s="298">
        <v>1</v>
      </c>
      <c r="J161" s="299" cm="1">
        <f t="array" aca="1" ref="J161" ca="1">INDIRECT("'"&amp;$C161&amp;"'!"&amp;"$"&amp;$D161&amp;$J$1&amp;"")</f>
        <v>6.7</v>
      </c>
      <c r="K161" s="300"/>
      <c r="L161" s="300">
        <v>0.99</v>
      </c>
      <c r="M161" s="298">
        <v>1</v>
      </c>
      <c r="N161" s="299" cm="1">
        <f t="array" aca="1" ref="N161" ca="1">INDIRECT("'"&amp;$C161&amp;"'!"&amp;"$"&amp;$D161&amp;$N$1&amp;"")</f>
        <v>6.7</v>
      </c>
      <c r="O161" s="300"/>
      <c r="P161" s="300">
        <v>0.99</v>
      </c>
      <c r="Q161" s="298">
        <v>1</v>
      </c>
      <c r="R161" s="299" cm="1">
        <f t="array" aca="1" ref="R161" ca="1">INDIRECT("'"&amp;$C161&amp;"'!"&amp;"$"&amp;$D161&amp;$R$1&amp;"")</f>
        <v>0</v>
      </c>
      <c r="S161" s="300"/>
      <c r="T161" s="300" t="s">
        <v>1</v>
      </c>
      <c r="U161" s="298" t="s">
        <v>1</v>
      </c>
      <c r="V161" s="299" t="str" cm="1">
        <f t="array" aca="1" ref="V161" ca="1">INDIRECT("'"&amp;$C161&amp;"'!"&amp;"$"&amp;$D161&amp;$V$1&amp;"")</f>
        <v>CMS</v>
      </c>
      <c r="W161" s="300" t="s">
        <v>1</v>
      </c>
      <c r="X161" s="300" t="s">
        <v>1</v>
      </c>
      <c r="Y161" s="301" t="s">
        <v>1</v>
      </c>
      <c r="Z161" s="297" cm="1">
        <f t="array" aca="1" ref="Z161" ca="1">INDIRECT("'"&amp;$C161&amp;"'!"&amp;"$"&amp;$D161&amp;$Z$1&amp;"")</f>
        <v>0</v>
      </c>
      <c r="AA161" s="300" t="s">
        <v>1</v>
      </c>
      <c r="AB161" s="300" t="s">
        <v>1</v>
      </c>
      <c r="AC161" s="298" t="s">
        <v>1</v>
      </c>
      <c r="AD161" s="299" t="str" cm="1">
        <f t="array" aca="1" ref="AD161" ca="1">INDIRECT("'"&amp;$C161&amp;"'!"&amp;"$"&amp;$D161&amp;$AD$1&amp;"")</f>
        <v>CMS</v>
      </c>
      <c r="AE161" s="300" t="s">
        <v>1</v>
      </c>
      <c r="AF161" s="300" t="s">
        <v>1</v>
      </c>
      <c r="AG161" s="301" t="s">
        <v>1</v>
      </c>
      <c r="AH161" s="297" cm="1">
        <f t="array" aca="1" ref="AH161" ca="1">INDIRECT("'"&amp;$C161&amp;"'!"&amp;"$"&amp;$D161&amp;$AH$1&amp;"")</f>
        <v>3.8</v>
      </c>
      <c r="AI161" s="300">
        <v>14.04</v>
      </c>
      <c r="AJ161" s="300">
        <v>0.98</v>
      </c>
      <c r="AK161" s="298">
        <v>0.58099999999999996</v>
      </c>
      <c r="AL161" s="297">
        <v>11.9</v>
      </c>
      <c r="AM161" s="301">
        <v>70.8</v>
      </c>
      <c r="AN161" s="297" cm="1">
        <f t="array" aca="1" ref="AN161" ca="1">INDIRECT("'"&amp;$C161&amp;"'!"&amp;"$"&amp;$D161&amp;$AL$1&amp;"")</f>
        <v>4.2</v>
      </c>
      <c r="AO161" s="300">
        <v>0.99</v>
      </c>
      <c r="AP161" s="298">
        <v>0.62</v>
      </c>
      <c r="AQ161" s="299" cm="1">
        <f t="array" aca="1" ref="AQ161" ca="1">INDIRECT("'"&amp;$C161&amp;"'!"&amp;"$"&amp;$D161&amp;$AQ$1&amp;"")</f>
        <v>4.2</v>
      </c>
      <c r="AR161" s="300">
        <v>0.99</v>
      </c>
      <c r="AS161" s="298">
        <v>0.62</v>
      </c>
      <c r="AT161" s="302">
        <v>0</v>
      </c>
      <c r="AU161" s="301">
        <v>0</v>
      </c>
      <c r="AV161" s="297" t="str" cm="1">
        <f t="array" aca="1" ref="AV161" ca="1">INDIRECT("'"&amp;$C161&amp;"'!"&amp;"$"&amp;$D161&amp;$AT$1&amp;"")</f>
        <v>PMS</v>
      </c>
      <c r="AW161" s="300" t="s">
        <v>1</v>
      </c>
      <c r="AX161" s="298" t="s">
        <v>1</v>
      </c>
      <c r="AY161" s="303">
        <v>69.7</v>
      </c>
      <c r="AZ161" s="302" cm="1">
        <f t="array" aca="1" ref="AZ161" ca="1">INDIRECT("'"&amp;$C161&amp;"'!"&amp;"$"&amp;$D161&amp;$AY$1&amp;"")</f>
        <v>3.8</v>
      </c>
      <c r="BA161" s="300">
        <v>0.98</v>
      </c>
      <c r="BB161" s="298">
        <v>0.76</v>
      </c>
      <c r="BC161" s="299" cm="1">
        <f t="array" aca="1" ref="BC161" ca="1">INDIRECT("'"&amp;$C161&amp;"'!"&amp;"$"&amp;$D161&amp;$BC$1&amp;"")</f>
        <v>0.96</v>
      </c>
      <c r="BD161" s="300"/>
      <c r="BE161" s="300">
        <v>0.99</v>
      </c>
      <c r="BF161" s="298">
        <v>0.2</v>
      </c>
      <c r="BG161" s="299" cm="1">
        <f t="array" aca="1" ref="BG161" ca="1">INDIRECT("'"&amp;$C161&amp;"'!"&amp;"$"&amp;$D161&amp;$BG$1&amp;"")</f>
        <v>0.81</v>
      </c>
      <c r="BH161" s="300"/>
      <c r="BI161" s="300">
        <v>0.97</v>
      </c>
      <c r="BJ161" s="298">
        <v>0.2</v>
      </c>
      <c r="BK161" s="299" cm="1">
        <f t="array" aca="1" ref="BK161" ca="1">INDIRECT("'"&amp;$C161&amp;"'!"&amp;"$"&amp;$D161&amp;$BK$1&amp;"")</f>
        <v>3.5999999999999996</v>
      </c>
      <c r="BL161" s="300"/>
      <c r="BM161" s="300">
        <v>0.99</v>
      </c>
      <c r="BN161" s="298">
        <v>0.51</v>
      </c>
    </row>
    <row r="162" spans="1:66" ht="15.75" thickBot="1" x14ac:dyDescent="0.25">
      <c r="A162" s="368">
        <v>45695</v>
      </c>
      <c r="B162" s="365">
        <v>0.29166666666666702</v>
      </c>
      <c r="C162" s="315">
        <v>7</v>
      </c>
      <c r="D162" s="319" t="s">
        <v>117</v>
      </c>
      <c r="E162" s="290">
        <v>14</v>
      </c>
      <c r="F162" s="291">
        <v>70.2</v>
      </c>
      <c r="G162" s="292" cm="1">
        <f t="array" aca="1" ref="G162" ca="1">INDIRECT("'"&amp;$C162&amp;"'!"&amp;"$"&amp;$D162&amp;$E$1&amp;"")</f>
        <v>6.6</v>
      </c>
      <c r="H162" s="293">
        <v>0.99</v>
      </c>
      <c r="I162" s="291">
        <v>1.1299999999999999</v>
      </c>
      <c r="J162" s="292" cm="1">
        <f t="array" aca="1" ref="J162" ca="1">INDIRECT("'"&amp;$C162&amp;"'!"&amp;"$"&amp;$D162&amp;$J$1&amp;"")</f>
        <v>6.6</v>
      </c>
      <c r="K162" s="293"/>
      <c r="L162" s="293">
        <v>0.99</v>
      </c>
      <c r="M162" s="291">
        <v>1.1299999999999999</v>
      </c>
      <c r="N162" s="292" cm="1">
        <f t="array" aca="1" ref="N162" ca="1">INDIRECT("'"&amp;$C162&amp;"'!"&amp;"$"&amp;$D162&amp;$N$1&amp;"")</f>
        <v>6.6</v>
      </c>
      <c r="O162" s="293"/>
      <c r="P162" s="293">
        <v>0.99</v>
      </c>
      <c r="Q162" s="291">
        <v>1.1299999999999999</v>
      </c>
      <c r="R162" s="292" cm="1">
        <f t="array" aca="1" ref="R162" ca="1">INDIRECT("'"&amp;$C162&amp;"'!"&amp;"$"&amp;$D162&amp;$R$1&amp;"")</f>
        <v>0</v>
      </c>
      <c r="S162" s="293"/>
      <c r="T162" s="293" t="s">
        <v>1</v>
      </c>
      <c r="U162" s="291" t="s">
        <v>1</v>
      </c>
      <c r="V162" s="292" t="str" cm="1">
        <f t="array" aca="1" ref="V162" ca="1">INDIRECT("'"&amp;$C162&amp;"'!"&amp;"$"&amp;$D162&amp;$V$1&amp;"")</f>
        <v>CMS</v>
      </c>
      <c r="W162" s="293" t="s">
        <v>1</v>
      </c>
      <c r="X162" s="293" t="s">
        <v>1</v>
      </c>
      <c r="Y162" s="294" t="s">
        <v>1</v>
      </c>
      <c r="Z162" s="290" cm="1">
        <f t="array" aca="1" ref="Z162" ca="1">INDIRECT("'"&amp;$C162&amp;"'!"&amp;"$"&amp;$D162&amp;$Z$1&amp;"")</f>
        <v>0</v>
      </c>
      <c r="AA162" s="293" t="s">
        <v>1</v>
      </c>
      <c r="AB162" s="293" t="s">
        <v>1</v>
      </c>
      <c r="AC162" s="291" t="s">
        <v>1</v>
      </c>
      <c r="AD162" s="292" t="str" cm="1">
        <f t="array" aca="1" ref="AD162" ca="1">INDIRECT("'"&amp;$C162&amp;"'!"&amp;"$"&amp;$D162&amp;$AD$1&amp;"")</f>
        <v>CMS</v>
      </c>
      <c r="AE162" s="293" t="s">
        <v>1</v>
      </c>
      <c r="AF162" s="293" t="s">
        <v>1</v>
      </c>
      <c r="AG162" s="294" t="s">
        <v>1</v>
      </c>
      <c r="AH162" s="290" cm="1">
        <f t="array" aca="1" ref="AH162" ca="1">INDIRECT("'"&amp;$C162&amp;"'!"&amp;"$"&amp;$D162&amp;$AH$1&amp;"")</f>
        <v>3.8</v>
      </c>
      <c r="AI162" s="293">
        <v>14</v>
      </c>
      <c r="AJ162" s="293">
        <v>0.97</v>
      </c>
      <c r="AK162" s="291">
        <v>0.79700000000000004</v>
      </c>
      <c r="AL162" s="290">
        <v>11.9</v>
      </c>
      <c r="AM162" s="294">
        <v>70.900000000000006</v>
      </c>
      <c r="AN162" s="290" cm="1">
        <f t="array" aca="1" ref="AN162" ca="1">INDIRECT("'"&amp;$C162&amp;"'!"&amp;"$"&amp;$D162&amp;$AL$1&amp;"")</f>
        <v>4</v>
      </c>
      <c r="AO162" s="293">
        <v>0.99</v>
      </c>
      <c r="AP162" s="291">
        <v>0.42</v>
      </c>
      <c r="AQ162" s="292" cm="1">
        <f t="array" aca="1" ref="AQ162" ca="1">INDIRECT("'"&amp;$C162&amp;"'!"&amp;"$"&amp;$D162&amp;$AQ$1&amp;"")</f>
        <v>4</v>
      </c>
      <c r="AR162" s="293">
        <v>0.99</v>
      </c>
      <c r="AS162" s="291">
        <v>0.42</v>
      </c>
      <c r="AT162" s="295">
        <v>0</v>
      </c>
      <c r="AU162" s="294">
        <v>0</v>
      </c>
      <c r="AV162" s="290" t="str" cm="1">
        <f t="array" aca="1" ref="AV162" ca="1">INDIRECT("'"&amp;$C162&amp;"'!"&amp;"$"&amp;$D162&amp;$AT$1&amp;"")</f>
        <v>PMS</v>
      </c>
      <c r="AW162" s="293" t="s">
        <v>1</v>
      </c>
      <c r="AX162" s="291" t="s">
        <v>1</v>
      </c>
      <c r="AY162" s="296">
        <v>69.5</v>
      </c>
      <c r="AZ162" s="295" cm="1">
        <f t="array" aca="1" ref="AZ162" ca="1">INDIRECT("'"&amp;$C162&amp;"'!"&amp;"$"&amp;$D162&amp;$AY$1&amp;"")</f>
        <v>5.3999999999999995</v>
      </c>
      <c r="BA162" s="293">
        <v>0.98</v>
      </c>
      <c r="BB162" s="291">
        <v>1</v>
      </c>
      <c r="BC162" s="292" cm="1">
        <f t="array" aca="1" ref="BC162" ca="1">INDIRECT("'"&amp;$C162&amp;"'!"&amp;"$"&amp;$D162&amp;$BC$1&amp;"")</f>
        <v>1</v>
      </c>
      <c r="BD162" s="293"/>
      <c r="BE162" s="293">
        <v>0.99</v>
      </c>
      <c r="BF162" s="291">
        <v>0.13</v>
      </c>
      <c r="BG162" s="292" cm="1">
        <f t="array" aca="1" ref="BG162" ca="1">INDIRECT("'"&amp;$C162&amp;"'!"&amp;"$"&amp;$D162&amp;$BG$1&amp;"")</f>
        <v>0.79</v>
      </c>
      <c r="BH162" s="293"/>
      <c r="BI162" s="293">
        <v>0.96</v>
      </c>
      <c r="BJ162" s="291">
        <v>0.21</v>
      </c>
      <c r="BK162" s="292" cm="1">
        <f t="array" aca="1" ref="BK162" ca="1">INDIRECT("'"&amp;$C162&amp;"'!"&amp;"$"&amp;$D162&amp;$BK$1&amp;"")</f>
        <v>3.5999999999999996</v>
      </c>
      <c r="BL162" s="293"/>
      <c r="BM162" s="293">
        <v>0.96</v>
      </c>
      <c r="BN162" s="291">
        <v>0.21</v>
      </c>
    </row>
    <row r="163" spans="1:66" ht="15.75" thickBot="1" x14ac:dyDescent="0.25">
      <c r="A163" s="368">
        <v>45695</v>
      </c>
      <c r="B163" s="365">
        <v>0.33333333333333398</v>
      </c>
      <c r="C163" s="315">
        <v>7</v>
      </c>
      <c r="D163" s="319" t="s">
        <v>118</v>
      </c>
      <c r="E163" s="297">
        <v>14.1</v>
      </c>
      <c r="F163" s="298">
        <v>69.91</v>
      </c>
      <c r="G163" s="299" cm="1">
        <f t="array" aca="1" ref="G163" ca="1">INDIRECT("'"&amp;$C163&amp;"'!"&amp;"$"&amp;$D163&amp;$E$1&amp;"")</f>
        <v>6.7</v>
      </c>
      <c r="H163" s="300">
        <v>0.98</v>
      </c>
      <c r="I163" s="298">
        <v>0.98</v>
      </c>
      <c r="J163" s="299" cm="1">
        <f t="array" aca="1" ref="J163" ca="1">INDIRECT("'"&amp;$C163&amp;"'!"&amp;"$"&amp;$D163&amp;$J$1&amp;"")</f>
        <v>6.8</v>
      </c>
      <c r="K163" s="300"/>
      <c r="L163" s="300">
        <v>0.98</v>
      </c>
      <c r="M163" s="298">
        <v>0.98</v>
      </c>
      <c r="N163" s="299" cm="1">
        <f t="array" aca="1" ref="N163" ca="1">INDIRECT("'"&amp;$C163&amp;"'!"&amp;"$"&amp;$D163&amp;$N$1&amp;"")</f>
        <v>6.7</v>
      </c>
      <c r="O163" s="300"/>
      <c r="P163" s="300">
        <v>0.99</v>
      </c>
      <c r="Q163" s="298">
        <v>0.98</v>
      </c>
      <c r="R163" s="299" cm="1">
        <f t="array" aca="1" ref="R163" ca="1">INDIRECT("'"&amp;$C163&amp;"'!"&amp;"$"&amp;$D163&amp;$R$1&amp;"")</f>
        <v>0</v>
      </c>
      <c r="S163" s="300"/>
      <c r="T163" s="300" t="s">
        <v>1</v>
      </c>
      <c r="U163" s="298" t="s">
        <v>1</v>
      </c>
      <c r="V163" s="299" t="str" cm="1">
        <f t="array" aca="1" ref="V163" ca="1">INDIRECT("'"&amp;$C163&amp;"'!"&amp;"$"&amp;$D163&amp;$V$1&amp;"")</f>
        <v>CMS</v>
      </c>
      <c r="W163" s="300" t="s">
        <v>1</v>
      </c>
      <c r="X163" s="300" t="s">
        <v>1</v>
      </c>
      <c r="Y163" s="301" t="s">
        <v>1</v>
      </c>
      <c r="Z163" s="297" cm="1">
        <f t="array" aca="1" ref="Z163" ca="1">INDIRECT("'"&amp;$C163&amp;"'!"&amp;"$"&amp;$D163&amp;$Z$1&amp;"")</f>
        <v>0</v>
      </c>
      <c r="AA163" s="300" t="s">
        <v>1</v>
      </c>
      <c r="AB163" s="300" t="s">
        <v>1</v>
      </c>
      <c r="AC163" s="298" t="s">
        <v>1</v>
      </c>
      <c r="AD163" s="299" t="str" cm="1">
        <f t="array" aca="1" ref="AD163" ca="1">INDIRECT("'"&amp;$C163&amp;"'!"&amp;"$"&amp;$D163&amp;$AD$1&amp;"")</f>
        <v>CMS</v>
      </c>
      <c r="AE163" s="300" t="s">
        <v>1</v>
      </c>
      <c r="AF163" s="300" t="s">
        <v>1</v>
      </c>
      <c r="AG163" s="301" t="s">
        <v>1</v>
      </c>
      <c r="AH163" s="297" cm="1">
        <f t="array" aca="1" ref="AH163" ca="1">INDIRECT("'"&amp;$C163&amp;"'!"&amp;"$"&amp;$D163&amp;$AH$1&amp;"")</f>
        <v>3.8</v>
      </c>
      <c r="AI163" s="300">
        <v>13.96</v>
      </c>
      <c r="AJ163" s="300">
        <v>0.95</v>
      </c>
      <c r="AK163" s="298">
        <v>1.26</v>
      </c>
      <c r="AL163" s="297">
        <v>11.9</v>
      </c>
      <c r="AM163" s="301">
        <v>70.5</v>
      </c>
      <c r="AN163" s="297" cm="1">
        <f t="array" aca="1" ref="AN163" ca="1">INDIRECT("'"&amp;$C163&amp;"'!"&amp;"$"&amp;$D163&amp;$AL$1&amp;"")</f>
        <v>4</v>
      </c>
      <c r="AO163" s="300">
        <v>0.99</v>
      </c>
      <c r="AP163" s="298">
        <v>0.56000000000000005</v>
      </c>
      <c r="AQ163" s="299" cm="1">
        <f t="array" aca="1" ref="AQ163" ca="1">INDIRECT("'"&amp;$C163&amp;"'!"&amp;"$"&amp;$D163&amp;$AQ$1&amp;"")</f>
        <v>4</v>
      </c>
      <c r="AR163" s="300">
        <v>0.99</v>
      </c>
      <c r="AS163" s="298">
        <v>0.56000000000000005</v>
      </c>
      <c r="AT163" s="302">
        <v>0</v>
      </c>
      <c r="AU163" s="301">
        <v>0</v>
      </c>
      <c r="AV163" s="297" t="str" cm="1">
        <f t="array" aca="1" ref="AV163" ca="1">INDIRECT("'"&amp;$C163&amp;"'!"&amp;"$"&amp;$D163&amp;$AT$1&amp;"")</f>
        <v>PMS</v>
      </c>
      <c r="AW163" s="300" t="s">
        <v>1</v>
      </c>
      <c r="AX163" s="298" t="s">
        <v>1</v>
      </c>
      <c r="AY163" s="303">
        <v>68.900000000000006</v>
      </c>
      <c r="AZ163" s="302" cm="1">
        <f t="array" aca="1" ref="AZ163" ca="1">INDIRECT("'"&amp;$C163&amp;"'!"&amp;"$"&amp;$D163&amp;$AY$1&amp;"")</f>
        <v>6.2499999999999991</v>
      </c>
      <c r="BA163" s="300">
        <v>0.98</v>
      </c>
      <c r="BB163" s="298">
        <v>1.2</v>
      </c>
      <c r="BC163" s="299" cm="1">
        <f t="array" aca="1" ref="BC163" ca="1">INDIRECT("'"&amp;$C163&amp;"'!"&amp;"$"&amp;$D163&amp;$BC$1&amp;"")</f>
        <v>1</v>
      </c>
      <c r="BD163" s="300"/>
      <c r="BE163" s="300">
        <v>0.99</v>
      </c>
      <c r="BF163" s="298">
        <v>0.16</v>
      </c>
      <c r="BG163" s="299" cm="1">
        <f t="array" aca="1" ref="BG163" ca="1">INDIRECT("'"&amp;$C163&amp;"'!"&amp;"$"&amp;$D163&amp;$BG$1&amp;"")</f>
        <v>0.71</v>
      </c>
      <c r="BH163" s="300"/>
      <c r="BI163" s="300">
        <v>0.96</v>
      </c>
      <c r="BJ163" s="298">
        <v>0.22</v>
      </c>
      <c r="BK163" s="299" cm="1">
        <f t="array" aca="1" ref="BK163" ca="1">INDIRECT("'"&amp;$C163&amp;"'!"&amp;"$"&amp;$D163&amp;$BK$1&amp;"")</f>
        <v>3.5</v>
      </c>
      <c r="BL163" s="300"/>
      <c r="BM163" s="300">
        <v>0.99</v>
      </c>
      <c r="BN163" s="300">
        <v>0.48</v>
      </c>
    </row>
    <row r="164" spans="1:66" ht="15.75" thickBot="1" x14ac:dyDescent="0.25">
      <c r="A164" s="368">
        <v>45695</v>
      </c>
      <c r="B164" s="365">
        <v>0.375</v>
      </c>
      <c r="C164" s="315">
        <v>7</v>
      </c>
      <c r="D164" s="319" t="s">
        <v>119</v>
      </c>
      <c r="E164" s="290">
        <v>14.2</v>
      </c>
      <c r="F164" s="291">
        <v>69.33</v>
      </c>
      <c r="G164" s="292" cm="1">
        <f t="array" aca="1" ref="G164" ca="1">INDIRECT("'"&amp;$C164&amp;"'!"&amp;"$"&amp;$D164&amp;$E$1&amp;"")</f>
        <v>6.6</v>
      </c>
      <c r="H164" s="293">
        <v>0.98</v>
      </c>
      <c r="I164" s="291">
        <v>1.52</v>
      </c>
      <c r="J164" s="292" cm="1">
        <f t="array" aca="1" ref="J164" ca="1">INDIRECT("'"&amp;$C164&amp;"'!"&amp;"$"&amp;$D164&amp;$J$1&amp;"")</f>
        <v>6.6</v>
      </c>
      <c r="K164" s="293"/>
      <c r="L164" s="293">
        <v>0.98</v>
      </c>
      <c r="M164" s="291">
        <v>1.5</v>
      </c>
      <c r="N164" s="292" cm="1">
        <f t="array" aca="1" ref="N164" ca="1">INDIRECT("'"&amp;$C164&amp;"'!"&amp;"$"&amp;$D164&amp;$N$1&amp;"")</f>
        <v>6.5</v>
      </c>
      <c r="O164" s="293"/>
      <c r="P164" s="293">
        <v>0.97</v>
      </c>
      <c r="Q164" s="291">
        <v>1.63</v>
      </c>
      <c r="R164" s="292" cm="1">
        <f t="array" aca="1" ref="R164" ca="1">INDIRECT("'"&amp;$C164&amp;"'!"&amp;"$"&amp;$D164&amp;$R$1&amp;"")</f>
        <v>6.8</v>
      </c>
      <c r="S164" s="293"/>
      <c r="T164" s="293">
        <v>0.96</v>
      </c>
      <c r="U164" s="291">
        <v>2.09</v>
      </c>
      <c r="V164" s="292" t="str" cm="1">
        <f t="array" aca="1" ref="V164" ca="1">INDIRECT("'"&amp;$C164&amp;"'!"&amp;"$"&amp;$D164&amp;$V$1&amp;"")</f>
        <v>CMS</v>
      </c>
      <c r="W164" s="293" t="s">
        <v>1</v>
      </c>
      <c r="X164" s="293" t="s">
        <v>1</v>
      </c>
      <c r="Y164" s="294" t="s">
        <v>1</v>
      </c>
      <c r="Z164" s="290" cm="1">
        <f t="array" aca="1" ref="Z164" ca="1">INDIRECT("'"&amp;$C164&amp;"'!"&amp;"$"&amp;$D164&amp;$Z$1&amp;"")</f>
        <v>0</v>
      </c>
      <c r="AA164" s="293" t="s">
        <v>1</v>
      </c>
      <c r="AB164" s="293" t="s">
        <v>1</v>
      </c>
      <c r="AC164" s="291" t="s">
        <v>1</v>
      </c>
      <c r="AD164" s="292" t="str" cm="1">
        <f t="array" aca="1" ref="AD164" ca="1">INDIRECT("'"&amp;$C164&amp;"'!"&amp;"$"&amp;$D164&amp;$AD$1&amp;"")</f>
        <v>CMS</v>
      </c>
      <c r="AE164" s="293" t="s">
        <v>1</v>
      </c>
      <c r="AF164" s="293" t="s">
        <v>1</v>
      </c>
      <c r="AG164" s="294" t="s">
        <v>1</v>
      </c>
      <c r="AH164" s="290" cm="1">
        <f t="array" aca="1" ref="AH164" ca="1">INDIRECT("'"&amp;$C164&amp;"'!"&amp;"$"&amp;$D164&amp;$AH$1&amp;"")</f>
        <v>3.8</v>
      </c>
      <c r="AI164" s="293">
        <v>13.96</v>
      </c>
      <c r="AJ164" s="293">
        <v>0.93</v>
      </c>
      <c r="AK164" s="291">
        <v>1.4</v>
      </c>
      <c r="AL164" s="290">
        <v>11.8</v>
      </c>
      <c r="AM164" s="294">
        <v>69.900000000000006</v>
      </c>
      <c r="AN164" s="290" cm="1">
        <f t="array" aca="1" ref="AN164" ca="1">INDIRECT("'"&amp;$C164&amp;"'!"&amp;"$"&amp;$D164&amp;$AL$1&amp;"")</f>
        <v>4</v>
      </c>
      <c r="AO164" s="293">
        <v>0.97</v>
      </c>
      <c r="AP164" s="291">
        <v>1</v>
      </c>
      <c r="AQ164" s="292" cm="1">
        <f t="array" aca="1" ref="AQ164" ca="1">INDIRECT("'"&amp;$C164&amp;"'!"&amp;"$"&amp;$D164&amp;$AQ$1&amp;"")</f>
        <v>4.0999999999999996</v>
      </c>
      <c r="AR164" s="293">
        <v>0.97</v>
      </c>
      <c r="AS164" s="291">
        <v>1.1000000000000001</v>
      </c>
      <c r="AT164" s="295">
        <v>0</v>
      </c>
      <c r="AU164" s="294">
        <v>0</v>
      </c>
      <c r="AV164" s="290" t="str" cm="1">
        <f t="array" aca="1" ref="AV164" ca="1">INDIRECT("'"&amp;$C164&amp;"'!"&amp;"$"&amp;$D164&amp;$AT$1&amp;"")</f>
        <v>PMS</v>
      </c>
      <c r="AW164" s="293" t="s">
        <v>1</v>
      </c>
      <c r="AX164" s="291" t="s">
        <v>1</v>
      </c>
      <c r="AY164" s="296">
        <v>68.2</v>
      </c>
      <c r="AZ164" s="295" cm="1">
        <f t="array" aca="1" ref="AZ164" ca="1">INDIRECT("'"&amp;$C164&amp;"'!"&amp;"$"&amp;$D164&amp;$AY$1&amp;"")</f>
        <v>4.5</v>
      </c>
      <c r="BA164" s="293">
        <v>0.97</v>
      </c>
      <c r="BB164" s="291">
        <v>1.1000000000000001</v>
      </c>
      <c r="BC164" s="292" cm="1">
        <f t="array" aca="1" ref="BC164" ca="1">INDIRECT("'"&amp;$C164&amp;"'!"&amp;"$"&amp;$D164&amp;$BC$1&amp;"")</f>
        <v>1.1599999999999999</v>
      </c>
      <c r="BD164" s="293"/>
      <c r="BE164" s="293">
        <v>0.99</v>
      </c>
      <c r="BF164" s="291">
        <v>0.13</v>
      </c>
      <c r="BG164" s="292" cm="1">
        <f t="array" aca="1" ref="BG164" ca="1">INDIRECT("'"&amp;$C164&amp;"'!"&amp;"$"&amp;$D164&amp;$BG$1&amp;"")</f>
        <v>0.74</v>
      </c>
      <c r="BH164" s="293"/>
      <c r="BI164" s="293">
        <v>0.96</v>
      </c>
      <c r="BJ164" s="291">
        <v>0.22</v>
      </c>
      <c r="BK164" s="292" cm="1">
        <f t="array" aca="1" ref="BK164" ca="1">INDIRECT("'"&amp;$C164&amp;"'!"&amp;"$"&amp;$D164&amp;$BK$1&amp;"")</f>
        <v>4.0999999999999996</v>
      </c>
      <c r="BL164" s="293"/>
      <c r="BM164" s="293">
        <v>0.99</v>
      </c>
      <c r="BN164" s="291">
        <v>0.59</v>
      </c>
    </row>
    <row r="165" spans="1:66" ht="15.75" thickBot="1" x14ac:dyDescent="0.25">
      <c r="A165" s="368">
        <v>45695</v>
      </c>
      <c r="B165" s="365">
        <v>0.41666666666666702</v>
      </c>
      <c r="C165" s="315">
        <v>7</v>
      </c>
      <c r="D165" s="319" t="s">
        <v>120</v>
      </c>
      <c r="E165" s="297">
        <v>14.2</v>
      </c>
      <c r="F165" s="298">
        <v>69.489999999999995</v>
      </c>
      <c r="G165" s="299" cm="1">
        <f t="array" aca="1" ref="G165" ca="1">INDIRECT("'"&amp;$C165&amp;"'!"&amp;"$"&amp;$D165&amp;$E$1&amp;"")</f>
        <v>6.7</v>
      </c>
      <c r="H165" s="300">
        <v>0.97</v>
      </c>
      <c r="I165" s="298">
        <v>1.77</v>
      </c>
      <c r="J165" s="299" cm="1">
        <f t="array" aca="1" ref="J165" ca="1">INDIRECT("'"&amp;$C165&amp;"'!"&amp;"$"&amp;$D165&amp;$J$1&amp;"")</f>
        <v>6.7</v>
      </c>
      <c r="K165" s="300"/>
      <c r="L165" s="300">
        <v>0.97</v>
      </c>
      <c r="M165" s="298">
        <v>1.74</v>
      </c>
      <c r="N165" s="299" cm="1">
        <f t="array" aca="1" ref="N165" ca="1">INDIRECT("'"&amp;$C165&amp;"'!"&amp;"$"&amp;$D165&amp;$N$1&amp;"")</f>
        <v>6.7</v>
      </c>
      <c r="O165" s="300"/>
      <c r="P165" s="300">
        <v>0.97</v>
      </c>
      <c r="Q165" s="298">
        <v>1.78</v>
      </c>
      <c r="R165" s="299" cm="1">
        <f t="array" aca="1" ref="R165" ca="1">INDIRECT("'"&amp;$C165&amp;"'!"&amp;"$"&amp;$D165&amp;$R$1&amp;"")</f>
        <v>6.7</v>
      </c>
      <c r="S165" s="300"/>
      <c r="T165" s="300">
        <v>0.96</v>
      </c>
      <c r="U165" s="298">
        <v>2.0499999999999998</v>
      </c>
      <c r="V165" s="299" t="str" cm="1">
        <f t="array" aca="1" ref="V165" ca="1">INDIRECT("'"&amp;$C165&amp;"'!"&amp;"$"&amp;$D165&amp;$V$1&amp;"")</f>
        <v>CMS</v>
      </c>
      <c r="W165" s="300" t="s">
        <v>1</v>
      </c>
      <c r="X165" s="300" t="s">
        <v>1</v>
      </c>
      <c r="Y165" s="301" t="s">
        <v>1</v>
      </c>
      <c r="Z165" s="297" cm="1">
        <f t="array" aca="1" ref="Z165" ca="1">INDIRECT("'"&amp;$C165&amp;"'!"&amp;"$"&amp;$D165&amp;$Z$1&amp;"")</f>
        <v>0</v>
      </c>
      <c r="AA165" s="300" t="s">
        <v>1</v>
      </c>
      <c r="AB165" s="300" t="s">
        <v>1</v>
      </c>
      <c r="AC165" s="298" t="s">
        <v>1</v>
      </c>
      <c r="AD165" s="299" t="str" cm="1">
        <f t="array" aca="1" ref="AD165" ca="1">INDIRECT("'"&amp;$C165&amp;"'!"&amp;"$"&amp;$D165&amp;$AD$1&amp;"")</f>
        <v>CMS</v>
      </c>
      <c r="AE165" s="300" t="s">
        <v>1</v>
      </c>
      <c r="AF165" s="300" t="s">
        <v>1</v>
      </c>
      <c r="AG165" s="301" t="s">
        <v>1</v>
      </c>
      <c r="AH165" s="297" cm="1">
        <f t="array" aca="1" ref="AH165" ca="1">INDIRECT("'"&amp;$C165&amp;"'!"&amp;"$"&amp;$D165&amp;$AH$1&amp;"")</f>
        <v>3.8</v>
      </c>
      <c r="AI165" s="300">
        <v>13.96</v>
      </c>
      <c r="AJ165" s="300">
        <v>0.91</v>
      </c>
      <c r="AK165" s="298">
        <v>1.65</v>
      </c>
      <c r="AL165" s="297">
        <v>11.8</v>
      </c>
      <c r="AM165" s="301">
        <v>69.900000000000006</v>
      </c>
      <c r="AN165" s="297" cm="1">
        <f t="array" aca="1" ref="AN165" ca="1">INDIRECT("'"&amp;$C165&amp;"'!"&amp;"$"&amp;$D165&amp;$AL$1&amp;"")</f>
        <v>3.8</v>
      </c>
      <c r="AO165" s="300">
        <v>0.96</v>
      </c>
      <c r="AP165" s="298">
        <v>1.07</v>
      </c>
      <c r="AQ165" s="299" cm="1">
        <f t="array" aca="1" ref="AQ165" ca="1">INDIRECT("'"&amp;$C165&amp;"'!"&amp;"$"&amp;$D165&amp;$AQ$1&amp;"")</f>
        <v>3.8</v>
      </c>
      <c r="AR165" s="300">
        <v>0.96</v>
      </c>
      <c r="AS165" s="298">
        <v>1.08</v>
      </c>
      <c r="AT165" s="302">
        <v>0</v>
      </c>
      <c r="AU165" s="301">
        <v>0</v>
      </c>
      <c r="AV165" s="297" t="str" cm="1">
        <f t="array" aca="1" ref="AV165" ca="1">INDIRECT("'"&amp;$C165&amp;"'!"&amp;"$"&amp;$D165&amp;$AT$1&amp;"")</f>
        <v>PMS</v>
      </c>
      <c r="AW165" s="300" t="s">
        <v>1</v>
      </c>
      <c r="AX165" s="298" t="s">
        <v>1</v>
      </c>
      <c r="AY165" s="303">
        <v>68.2</v>
      </c>
      <c r="AZ165" s="302" cm="1">
        <f t="array" aca="1" ref="AZ165" ca="1">INDIRECT("'"&amp;$C165&amp;"'!"&amp;"$"&amp;$D165&amp;$AY$1&amp;"")</f>
        <v>7.7000000000000011</v>
      </c>
      <c r="BA165" s="300">
        <v>0.97</v>
      </c>
      <c r="BB165" s="298">
        <v>1.8</v>
      </c>
      <c r="BC165" s="299" cm="1">
        <f t="array" aca="1" ref="BC165" ca="1">INDIRECT("'"&amp;$C165&amp;"'!"&amp;"$"&amp;$D165&amp;$BC$1&amp;"")</f>
        <v>1.26</v>
      </c>
      <c r="BD165" s="300"/>
      <c r="BE165" s="300">
        <v>0.99</v>
      </c>
      <c r="BF165" s="298">
        <v>0.16</v>
      </c>
      <c r="BG165" s="299" cm="1">
        <f t="array" aca="1" ref="BG165" ca="1">INDIRECT("'"&amp;$C165&amp;"'!"&amp;"$"&amp;$D165&amp;$BG$1&amp;"")</f>
        <v>0.82</v>
      </c>
      <c r="BH165" s="300"/>
      <c r="BI165" s="300">
        <v>0.96</v>
      </c>
      <c r="BJ165" s="298">
        <v>0.24</v>
      </c>
      <c r="BK165" s="299" cm="1">
        <f t="array" aca="1" ref="BK165" ca="1">INDIRECT("'"&amp;$C165&amp;"'!"&amp;"$"&amp;$D165&amp;$BK$1&amp;"")</f>
        <v>4.5</v>
      </c>
      <c r="BL165" s="300"/>
      <c r="BM165" s="300">
        <v>0.99</v>
      </c>
      <c r="BN165" s="298">
        <v>0.6</v>
      </c>
    </row>
    <row r="166" spans="1:66" ht="15.75" thickBot="1" x14ac:dyDescent="0.25">
      <c r="A166" s="368">
        <v>45695</v>
      </c>
      <c r="B166" s="365">
        <v>0.45833333333333398</v>
      </c>
      <c r="C166" s="315">
        <v>7</v>
      </c>
      <c r="D166" s="319" t="s">
        <v>121</v>
      </c>
      <c r="E166" s="290">
        <v>14.2</v>
      </c>
      <c r="F166" s="291">
        <v>69.64</v>
      </c>
      <c r="G166" s="292" cm="1">
        <f t="array" aca="1" ref="G166" ca="1">INDIRECT("'"&amp;$C166&amp;"'!"&amp;"$"&amp;$D166&amp;$E$1&amp;"")</f>
        <v>6.7</v>
      </c>
      <c r="H166" s="293">
        <v>0.97</v>
      </c>
      <c r="I166" s="291">
        <v>1.77</v>
      </c>
      <c r="J166" s="292" cm="1">
        <f t="array" aca="1" ref="J166" ca="1">INDIRECT("'"&amp;$C166&amp;"'!"&amp;"$"&amp;$D166&amp;$J$1&amp;"")</f>
        <v>6.7</v>
      </c>
      <c r="K166" s="293"/>
      <c r="L166" s="293">
        <v>0.97</v>
      </c>
      <c r="M166" s="291">
        <v>1.74</v>
      </c>
      <c r="N166" s="292" cm="1">
        <f t="array" aca="1" ref="N166" ca="1">INDIRECT("'"&amp;$C166&amp;"'!"&amp;"$"&amp;$D166&amp;$N$1&amp;"")</f>
        <v>6.8</v>
      </c>
      <c r="O166" s="293"/>
      <c r="P166" s="293">
        <v>0.97</v>
      </c>
      <c r="Q166" s="291">
        <v>1.81</v>
      </c>
      <c r="R166" s="292" cm="1">
        <f t="array" aca="1" ref="R166" ca="1">INDIRECT("'"&amp;$C166&amp;"'!"&amp;"$"&amp;$D166&amp;$R$1&amp;"")</f>
        <v>6.8</v>
      </c>
      <c r="S166" s="293"/>
      <c r="T166" s="293">
        <v>0.97</v>
      </c>
      <c r="U166" s="291">
        <v>1.81</v>
      </c>
      <c r="V166" s="292" t="str" cm="1">
        <f t="array" aca="1" ref="V166" ca="1">INDIRECT("'"&amp;$C166&amp;"'!"&amp;"$"&amp;$D166&amp;$V$1&amp;"")</f>
        <v>CMS</v>
      </c>
      <c r="W166" s="293" t="s">
        <v>1</v>
      </c>
      <c r="X166" s="293" t="s">
        <v>1</v>
      </c>
      <c r="Y166" s="294" t="s">
        <v>1</v>
      </c>
      <c r="Z166" s="290" cm="1">
        <f t="array" aca="1" ref="Z166" ca="1">INDIRECT("'"&amp;$C166&amp;"'!"&amp;"$"&amp;$D166&amp;$Z$1&amp;"")</f>
        <v>0</v>
      </c>
      <c r="AA166" s="293" t="s">
        <v>1</v>
      </c>
      <c r="AB166" s="293" t="s">
        <v>1</v>
      </c>
      <c r="AC166" s="291" t="s">
        <v>1</v>
      </c>
      <c r="AD166" s="292" t="str" cm="1">
        <f t="array" aca="1" ref="AD166" ca="1">INDIRECT("'"&amp;$C166&amp;"'!"&amp;"$"&amp;$D166&amp;$AD$1&amp;"")</f>
        <v>CMS</v>
      </c>
      <c r="AE166" s="293" t="s">
        <v>1</v>
      </c>
      <c r="AF166" s="293" t="s">
        <v>1</v>
      </c>
      <c r="AG166" s="294" t="s">
        <v>1</v>
      </c>
      <c r="AH166" s="290" cm="1">
        <f t="array" aca="1" ref="AH166" ca="1">INDIRECT("'"&amp;$C166&amp;"'!"&amp;"$"&amp;$D166&amp;$AH$1&amp;"")</f>
        <v>3.8</v>
      </c>
      <c r="AI166" s="293">
        <v>13.92</v>
      </c>
      <c r="AJ166" s="293">
        <v>0.91</v>
      </c>
      <c r="AK166" s="291">
        <v>1.72</v>
      </c>
      <c r="AL166" s="290">
        <v>11.8</v>
      </c>
      <c r="AM166" s="294">
        <v>70</v>
      </c>
      <c r="AN166" s="290" cm="1">
        <f t="array" aca="1" ref="AN166" ca="1">INDIRECT("'"&amp;$C166&amp;"'!"&amp;"$"&amp;$D166&amp;$AL$1&amp;"")</f>
        <v>3.9</v>
      </c>
      <c r="AO166" s="293">
        <v>0.96</v>
      </c>
      <c r="AP166" s="291">
        <v>1.17</v>
      </c>
      <c r="AQ166" s="292" cm="1">
        <f t="array" aca="1" ref="AQ166" ca="1">INDIRECT("'"&amp;$C166&amp;"'!"&amp;"$"&amp;$D166&amp;$AQ$1&amp;"")</f>
        <v>3.9</v>
      </c>
      <c r="AR166" s="293">
        <v>0.96</v>
      </c>
      <c r="AS166" s="291">
        <v>1.38</v>
      </c>
      <c r="AT166" s="295">
        <v>0</v>
      </c>
      <c r="AU166" s="294">
        <v>0</v>
      </c>
      <c r="AV166" s="290" t="str" cm="1">
        <f t="array" aca="1" ref="AV166" ca="1">INDIRECT("'"&amp;$C166&amp;"'!"&amp;"$"&amp;$D166&amp;$AT$1&amp;"")</f>
        <v>PMS</v>
      </c>
      <c r="AW166" s="293" t="s">
        <v>1</v>
      </c>
      <c r="AX166" s="291" t="s">
        <v>1</v>
      </c>
      <c r="AY166" s="296">
        <v>68.400000000000006</v>
      </c>
      <c r="AZ166" s="295" cm="1">
        <f t="array" aca="1" ref="AZ166" ca="1">INDIRECT("'"&amp;$C166&amp;"'!"&amp;"$"&amp;$D166&amp;$AY$1&amp;"")</f>
        <v>7.7000000000000011</v>
      </c>
      <c r="BA166" s="293">
        <v>0.97</v>
      </c>
      <c r="BB166" s="291">
        <v>1.9</v>
      </c>
      <c r="BC166" s="292" cm="1">
        <f t="array" aca="1" ref="BC166" ca="1">INDIRECT("'"&amp;$C166&amp;"'!"&amp;"$"&amp;$D166&amp;$BC$1&amp;"")</f>
        <v>1.28</v>
      </c>
      <c r="BD166" s="293"/>
      <c r="BE166" s="293">
        <v>0.99</v>
      </c>
      <c r="BF166" s="291">
        <v>0.17</v>
      </c>
      <c r="BG166" s="292" cm="1">
        <f t="array" aca="1" ref="BG166" ca="1">INDIRECT("'"&amp;$C166&amp;"'!"&amp;"$"&amp;$D166&amp;$BG$1&amp;"")</f>
        <v>0.86</v>
      </c>
      <c r="BH166" s="293"/>
      <c r="BI166" s="293">
        <v>0.96</v>
      </c>
      <c r="BJ166" s="291">
        <v>0.24</v>
      </c>
      <c r="BK166" s="292" cm="1">
        <f t="array" aca="1" ref="BK166" ca="1">INDIRECT("'"&amp;$C166&amp;"'!"&amp;"$"&amp;$D166&amp;$BK$1&amp;"")</f>
        <v>4.5999999999999996</v>
      </c>
      <c r="BL166" s="293"/>
      <c r="BM166" s="293">
        <v>0.99</v>
      </c>
      <c r="BN166" s="291">
        <v>0.66</v>
      </c>
    </row>
    <row r="167" spans="1:66" ht="15.75" thickBot="1" x14ac:dyDescent="0.25">
      <c r="A167" s="368">
        <v>45695</v>
      </c>
      <c r="B167" s="365">
        <v>0.5</v>
      </c>
      <c r="C167" s="315">
        <v>7</v>
      </c>
      <c r="D167" s="319" t="s">
        <v>122</v>
      </c>
      <c r="E167" s="297">
        <v>14.2</v>
      </c>
      <c r="F167" s="298">
        <v>69.709999999999994</v>
      </c>
      <c r="G167" s="299" cm="1">
        <f t="array" aca="1" ref="G167" ca="1">INDIRECT("'"&amp;$C167&amp;"'!"&amp;"$"&amp;$D167&amp;$E$1&amp;"")</f>
        <v>6.7</v>
      </c>
      <c r="H167" s="300">
        <v>0.97</v>
      </c>
      <c r="I167" s="298">
        <v>1.57</v>
      </c>
      <c r="J167" s="299" cm="1">
        <f t="array" aca="1" ref="J167" ca="1">INDIRECT("'"&amp;$C167&amp;"'!"&amp;"$"&amp;$D167&amp;$J$1&amp;"")</f>
        <v>6.7</v>
      </c>
      <c r="K167" s="300"/>
      <c r="L167" s="300">
        <v>0.97</v>
      </c>
      <c r="M167" s="298">
        <v>1.64</v>
      </c>
      <c r="N167" s="299" cm="1">
        <f t="array" aca="1" ref="N167" ca="1">INDIRECT("'"&amp;$C167&amp;"'!"&amp;"$"&amp;$D167&amp;$N$1&amp;"")</f>
        <v>6.6</v>
      </c>
      <c r="O167" s="300"/>
      <c r="P167" s="300">
        <v>0.97</v>
      </c>
      <c r="Q167" s="298">
        <v>1.71</v>
      </c>
      <c r="R167" s="299" cm="1">
        <f t="array" aca="1" ref="R167" ca="1">INDIRECT("'"&amp;$C167&amp;"'!"&amp;"$"&amp;$D167&amp;$R$1&amp;"")</f>
        <v>6.6</v>
      </c>
      <c r="S167" s="300"/>
      <c r="T167" s="300">
        <v>0.96</v>
      </c>
      <c r="U167" s="298">
        <v>1.82</v>
      </c>
      <c r="V167" s="299" t="str" cm="1">
        <f t="array" aca="1" ref="V167" ca="1">INDIRECT("'"&amp;$C167&amp;"'!"&amp;"$"&amp;$D167&amp;$V$1&amp;"")</f>
        <v>CMS</v>
      </c>
      <c r="W167" s="300" t="s">
        <v>1</v>
      </c>
      <c r="X167" s="300" t="s">
        <v>1</v>
      </c>
      <c r="Y167" s="301" t="s">
        <v>1</v>
      </c>
      <c r="Z167" s="297" cm="1">
        <f t="array" aca="1" ref="Z167" ca="1">INDIRECT("'"&amp;$C167&amp;"'!"&amp;"$"&amp;$D167&amp;$Z$1&amp;"")</f>
        <v>0</v>
      </c>
      <c r="AA167" s="300" t="s">
        <v>1</v>
      </c>
      <c r="AB167" s="300" t="s">
        <v>1</v>
      </c>
      <c r="AC167" s="298" t="s">
        <v>1</v>
      </c>
      <c r="AD167" s="299" t="str" cm="1">
        <f t="array" aca="1" ref="AD167" ca="1">INDIRECT("'"&amp;$C167&amp;"'!"&amp;"$"&amp;$D167&amp;$AD$1&amp;"")</f>
        <v>CMS</v>
      </c>
      <c r="AE167" s="300" t="s">
        <v>1</v>
      </c>
      <c r="AF167" s="300" t="s">
        <v>1</v>
      </c>
      <c r="AG167" s="301" t="s">
        <v>1</v>
      </c>
      <c r="AH167" s="297" cm="1">
        <f t="array" aca="1" ref="AH167" ca="1">INDIRECT("'"&amp;$C167&amp;"'!"&amp;"$"&amp;$D167&amp;$AH$1&amp;"")</f>
        <v>3.8</v>
      </c>
      <c r="AI167" s="300">
        <v>13.96</v>
      </c>
      <c r="AJ167" s="300">
        <v>0.91</v>
      </c>
      <c r="AK167" s="298">
        <v>1.63</v>
      </c>
      <c r="AL167" s="297">
        <v>11.9</v>
      </c>
      <c r="AM167" s="301">
        <v>70.099999999999994</v>
      </c>
      <c r="AN167" s="297" cm="1">
        <f t="array" aca="1" ref="AN167" ca="1">INDIRECT("'"&amp;$C167&amp;"'!"&amp;"$"&amp;$D167&amp;$AL$1&amp;"")</f>
        <v>3.8</v>
      </c>
      <c r="AO167" s="300">
        <v>0.96</v>
      </c>
      <c r="AP167" s="298">
        <v>1.1200000000000001</v>
      </c>
      <c r="AQ167" s="299" cm="1">
        <f t="array" aca="1" ref="AQ167" ca="1">INDIRECT("'"&amp;$C167&amp;"'!"&amp;"$"&amp;$D167&amp;$AQ$1&amp;"")</f>
        <v>3.8</v>
      </c>
      <c r="AR167" s="300">
        <v>0.96</v>
      </c>
      <c r="AS167" s="298">
        <v>1.01</v>
      </c>
      <c r="AT167" s="302">
        <v>0</v>
      </c>
      <c r="AU167" s="301">
        <v>0</v>
      </c>
      <c r="AV167" s="297" t="str" cm="1">
        <f t="array" aca="1" ref="AV167" ca="1">INDIRECT("'"&amp;$C167&amp;"'!"&amp;"$"&amp;$D167&amp;$AT$1&amp;"")</f>
        <v>PMS</v>
      </c>
      <c r="AW167" s="300" t="s">
        <v>1</v>
      </c>
      <c r="AX167" s="298" t="s">
        <v>1</v>
      </c>
      <c r="AY167" s="303">
        <v>68.5</v>
      </c>
      <c r="AZ167" s="302" cm="1">
        <f t="array" aca="1" ref="AZ167" ca="1">INDIRECT("'"&amp;$C167&amp;"'!"&amp;"$"&amp;$D167&amp;$AY$1&amp;"")</f>
        <v>7.7000000000000011</v>
      </c>
      <c r="BA167" s="300">
        <v>0.97</v>
      </c>
      <c r="BB167" s="298">
        <v>1.8</v>
      </c>
      <c r="BC167" s="299" cm="1">
        <f t="array" aca="1" ref="BC167" ca="1">INDIRECT("'"&amp;$C167&amp;"'!"&amp;"$"&amp;$D167&amp;$BC$1&amp;"")</f>
        <v>1.2</v>
      </c>
      <c r="BD167" s="300"/>
      <c r="BE167" s="300">
        <v>0.99</v>
      </c>
      <c r="BF167" s="298">
        <v>0.15</v>
      </c>
      <c r="BG167" s="299" cm="1">
        <f t="array" aca="1" ref="BG167" ca="1">INDIRECT("'"&amp;$C167&amp;"'!"&amp;"$"&amp;$D167&amp;$BG$1&amp;"")</f>
        <v>0.85</v>
      </c>
      <c r="BH167" s="300"/>
      <c r="BI167" s="300">
        <v>0.96</v>
      </c>
      <c r="BJ167" s="298">
        <v>0.25</v>
      </c>
      <c r="BK167" s="299" cm="1">
        <f t="array" aca="1" ref="BK167" ca="1">INDIRECT("'"&amp;$C167&amp;"'!"&amp;"$"&amp;$D167&amp;$BK$1&amp;"")</f>
        <v>4.7</v>
      </c>
      <c r="BL167" s="300"/>
      <c r="BM167" s="300">
        <v>0.99</v>
      </c>
      <c r="BN167" s="298">
        <v>0.7</v>
      </c>
    </row>
    <row r="168" spans="1:66" ht="15.75" thickBot="1" x14ac:dyDescent="0.25">
      <c r="A168" s="368">
        <v>45695</v>
      </c>
      <c r="B168" s="365">
        <v>0.54166666666666696</v>
      </c>
      <c r="C168" s="315">
        <v>7</v>
      </c>
      <c r="D168" s="319" t="s">
        <v>123</v>
      </c>
      <c r="E168" s="290">
        <v>14.2</v>
      </c>
      <c r="F168" s="291">
        <v>69.69</v>
      </c>
      <c r="G168" s="292" cm="1">
        <f t="array" aca="1" ref="G168" ca="1">INDIRECT("'"&amp;$C168&amp;"'!"&amp;"$"&amp;$D168&amp;$E$1&amp;"")</f>
        <v>6.8</v>
      </c>
      <c r="H168" s="293">
        <v>0.97</v>
      </c>
      <c r="I168" s="291">
        <v>1.67</v>
      </c>
      <c r="J168" s="292" cm="1">
        <f t="array" aca="1" ref="J168" ca="1">INDIRECT("'"&amp;$C168&amp;"'!"&amp;"$"&amp;$D168&amp;$J$1&amp;"")</f>
        <v>6.8</v>
      </c>
      <c r="K168" s="293"/>
      <c r="L168" s="293">
        <v>0.97</v>
      </c>
      <c r="M168" s="291">
        <v>1.71</v>
      </c>
      <c r="N168" s="292" cm="1">
        <f t="array" aca="1" ref="N168" ca="1">INDIRECT("'"&amp;$C168&amp;"'!"&amp;"$"&amp;$D168&amp;$N$1&amp;"")</f>
        <v>6.8</v>
      </c>
      <c r="O168" s="293"/>
      <c r="P168" s="293">
        <v>0.97</v>
      </c>
      <c r="Q168" s="291">
        <v>1.77</v>
      </c>
      <c r="R168" s="292" cm="1">
        <f t="array" aca="1" ref="R168" ca="1">INDIRECT("'"&amp;$C168&amp;"'!"&amp;"$"&amp;$D168&amp;$R$1&amp;"")</f>
        <v>6.8</v>
      </c>
      <c r="S168" s="293"/>
      <c r="T168" s="293">
        <v>0.96</v>
      </c>
      <c r="U168" s="291">
        <v>2.0499999999999998</v>
      </c>
      <c r="V168" s="292" t="str" cm="1">
        <f t="array" aca="1" ref="V168" ca="1">INDIRECT("'"&amp;$C168&amp;"'!"&amp;"$"&amp;$D168&amp;$V$1&amp;"")</f>
        <v>CMS</v>
      </c>
      <c r="W168" s="293" t="s">
        <v>1</v>
      </c>
      <c r="X168" s="293" t="s">
        <v>1</v>
      </c>
      <c r="Y168" s="294" t="s">
        <v>1</v>
      </c>
      <c r="Z168" s="290" cm="1">
        <f t="array" aca="1" ref="Z168" ca="1">INDIRECT("'"&amp;$C168&amp;"'!"&amp;"$"&amp;$D168&amp;$Z$1&amp;"")</f>
        <v>0</v>
      </c>
      <c r="AA168" s="293" t="s">
        <v>1</v>
      </c>
      <c r="AB168" s="293" t="s">
        <v>1</v>
      </c>
      <c r="AC168" s="291" t="s">
        <v>1</v>
      </c>
      <c r="AD168" s="292" t="str" cm="1">
        <f t="array" aca="1" ref="AD168" ca="1">INDIRECT("'"&amp;$C168&amp;"'!"&amp;"$"&amp;$D168&amp;$AD$1&amp;"")</f>
        <v>CMS</v>
      </c>
      <c r="AE168" s="293" t="s">
        <v>1</v>
      </c>
      <c r="AF168" s="293" t="s">
        <v>1</v>
      </c>
      <c r="AG168" s="294" t="s">
        <v>1</v>
      </c>
      <c r="AH168" s="290" cm="1">
        <f t="array" aca="1" ref="AH168" ca="1">INDIRECT("'"&amp;$C168&amp;"'!"&amp;"$"&amp;$D168&amp;$AH$1&amp;"")</f>
        <v>3.8</v>
      </c>
      <c r="AI168" s="293">
        <v>13.96</v>
      </c>
      <c r="AJ168" s="293">
        <v>0.92</v>
      </c>
      <c r="AK168" s="291">
        <v>1.57</v>
      </c>
      <c r="AL168" s="290">
        <v>11.9</v>
      </c>
      <c r="AM168" s="294">
        <v>70.099999999999994</v>
      </c>
      <c r="AN168" s="290" cm="1">
        <f t="array" aca="1" ref="AN168" ca="1">INDIRECT("'"&amp;$C168&amp;"'!"&amp;"$"&amp;$D168&amp;$AL$1&amp;"")</f>
        <v>3.9</v>
      </c>
      <c r="AO168" s="293">
        <v>0.96</v>
      </c>
      <c r="AP168" s="291">
        <v>1.04</v>
      </c>
      <c r="AQ168" s="292" cm="1">
        <f t="array" aca="1" ref="AQ168" ca="1">INDIRECT("'"&amp;$C168&amp;"'!"&amp;"$"&amp;$D168&amp;$AQ$1&amp;"")</f>
        <v>3.9</v>
      </c>
      <c r="AR168" s="293">
        <v>0.96</v>
      </c>
      <c r="AS168" s="291">
        <v>1.1599999999999999</v>
      </c>
      <c r="AT168" s="295">
        <v>0</v>
      </c>
      <c r="AU168" s="294">
        <v>0</v>
      </c>
      <c r="AV168" s="290" t="str" cm="1">
        <f t="array" aca="1" ref="AV168" ca="1">INDIRECT("'"&amp;$C168&amp;"'!"&amp;"$"&amp;$D168&amp;$AT$1&amp;"")</f>
        <v>PMS</v>
      </c>
      <c r="AW168" s="293" t="s">
        <v>1</v>
      </c>
      <c r="AX168" s="291" t="s">
        <v>1</v>
      </c>
      <c r="AY168" s="296">
        <v>68.400000000000006</v>
      </c>
      <c r="AZ168" s="295" cm="1">
        <f t="array" aca="1" ref="AZ168" ca="1">INDIRECT("'"&amp;$C168&amp;"'!"&amp;"$"&amp;$D168&amp;$AY$1&amp;"")</f>
        <v>9.3000000000000007</v>
      </c>
      <c r="BA168" s="293">
        <v>0.97</v>
      </c>
      <c r="BB168" s="291">
        <v>2.4</v>
      </c>
      <c r="BC168" s="292" cm="1">
        <f t="array" aca="1" ref="BC168" ca="1">INDIRECT("'"&amp;$C168&amp;"'!"&amp;"$"&amp;$D168&amp;$BC$1&amp;"")</f>
        <v>1.28</v>
      </c>
      <c r="BD168" s="293"/>
      <c r="BE168" s="293">
        <v>0.99</v>
      </c>
      <c r="BF168" s="291">
        <v>0.17</v>
      </c>
      <c r="BG168" s="292" cm="1">
        <f t="array" aca="1" ref="BG168" ca="1">INDIRECT("'"&amp;$C168&amp;"'!"&amp;"$"&amp;$D168&amp;$BG$1&amp;"")</f>
        <v>0.87</v>
      </c>
      <c r="BH168" s="293"/>
      <c r="BI168" s="293">
        <v>0.96</v>
      </c>
      <c r="BJ168" s="291">
        <v>0.25</v>
      </c>
      <c r="BK168" s="292" cm="1">
        <f t="array" aca="1" ref="BK168" ca="1">INDIRECT("'"&amp;$C168&amp;"'!"&amp;"$"&amp;$D168&amp;$BK$1&amp;"")</f>
        <v>4.7</v>
      </c>
      <c r="BL168" s="293"/>
      <c r="BM168" s="293">
        <v>0.99</v>
      </c>
      <c r="BN168" s="291">
        <v>0.72</v>
      </c>
    </row>
    <row r="169" spans="1:66" ht="15.75" thickBot="1" x14ac:dyDescent="0.25">
      <c r="A169" s="368">
        <v>45695</v>
      </c>
      <c r="B169" s="365">
        <v>0.58333333333333404</v>
      </c>
      <c r="C169" s="315">
        <v>7</v>
      </c>
      <c r="D169" s="319" t="s">
        <v>124</v>
      </c>
      <c r="E169" s="297">
        <v>14.2</v>
      </c>
      <c r="F169" s="298">
        <v>69.709999999999994</v>
      </c>
      <c r="G169" s="299" cm="1">
        <f t="array" aca="1" ref="G169" ca="1">INDIRECT("'"&amp;$C169&amp;"'!"&amp;"$"&amp;$D169&amp;$E$1&amp;"")</f>
        <v>6.7</v>
      </c>
      <c r="H169" s="300">
        <v>0.97</v>
      </c>
      <c r="I169" s="298">
        <v>1.63</v>
      </c>
      <c r="J169" s="299" cm="1">
        <f t="array" aca="1" ref="J169" ca="1">INDIRECT("'"&amp;$C169&amp;"'!"&amp;"$"&amp;$D169&amp;$J$1&amp;"")</f>
        <v>6.7</v>
      </c>
      <c r="K169" s="300"/>
      <c r="L169" s="300">
        <v>0.97</v>
      </c>
      <c r="M169" s="298">
        <v>1.63</v>
      </c>
      <c r="N169" s="299" cm="1">
        <f t="array" aca="1" ref="N169" ca="1">INDIRECT("'"&amp;$C169&amp;"'!"&amp;"$"&amp;$D169&amp;$N$1&amp;"")</f>
        <v>6.7</v>
      </c>
      <c r="O169" s="300"/>
      <c r="P169" s="300">
        <v>0.97</v>
      </c>
      <c r="Q169" s="298">
        <v>1.67</v>
      </c>
      <c r="R169" s="299" cm="1">
        <f t="array" aca="1" ref="R169" ca="1">INDIRECT("'"&amp;$C169&amp;"'!"&amp;"$"&amp;$D169&amp;$R$1&amp;"")</f>
        <v>6.7</v>
      </c>
      <c r="S169" s="300"/>
      <c r="T169" s="300">
        <v>0.95</v>
      </c>
      <c r="U169" s="298">
        <v>2.15</v>
      </c>
      <c r="V169" s="299" t="str" cm="1">
        <f t="array" aca="1" ref="V169" ca="1">INDIRECT("'"&amp;$C169&amp;"'!"&amp;"$"&amp;$D169&amp;$V$1&amp;"")</f>
        <v>CMS</v>
      </c>
      <c r="W169" s="300" t="s">
        <v>1</v>
      </c>
      <c r="X169" s="300" t="s">
        <v>1</v>
      </c>
      <c r="Y169" s="301" t="s">
        <v>1</v>
      </c>
      <c r="Z169" s="297" cm="1">
        <f t="array" aca="1" ref="Z169" ca="1">INDIRECT("'"&amp;$C169&amp;"'!"&amp;"$"&amp;$D169&amp;$Z$1&amp;"")</f>
        <v>0</v>
      </c>
      <c r="AA169" s="300" t="s">
        <v>1</v>
      </c>
      <c r="AB169" s="300" t="s">
        <v>1</v>
      </c>
      <c r="AC169" s="298" t="s">
        <v>1</v>
      </c>
      <c r="AD169" s="299" t="str" cm="1">
        <f t="array" aca="1" ref="AD169" ca="1">INDIRECT("'"&amp;$C169&amp;"'!"&amp;"$"&amp;$D169&amp;$AD$1&amp;"")</f>
        <v>CMS</v>
      </c>
      <c r="AE169" s="300" t="s">
        <v>1</v>
      </c>
      <c r="AF169" s="300" t="s">
        <v>1</v>
      </c>
      <c r="AG169" s="301" t="s">
        <v>1</v>
      </c>
      <c r="AH169" s="297" cm="1">
        <f t="array" aca="1" ref="AH169" ca="1">INDIRECT("'"&amp;$C169&amp;"'!"&amp;"$"&amp;$D169&amp;$AH$1&amp;"")</f>
        <v>3.8</v>
      </c>
      <c r="AI169" s="300">
        <v>13.98</v>
      </c>
      <c r="AJ169" s="300">
        <v>0.9</v>
      </c>
      <c r="AK169" s="298">
        <v>1.65</v>
      </c>
      <c r="AL169" s="297">
        <v>11.9</v>
      </c>
      <c r="AM169" s="301">
        <v>70</v>
      </c>
      <c r="AN169" s="297" cm="1">
        <f t="array" aca="1" ref="AN169" ca="1">INDIRECT("'"&amp;$C169&amp;"'!"&amp;"$"&amp;$D169&amp;$AL$1&amp;"")</f>
        <v>3.7</v>
      </c>
      <c r="AO169" s="300">
        <v>0.94</v>
      </c>
      <c r="AP169" s="298">
        <v>1.21</v>
      </c>
      <c r="AQ169" s="299" cm="1">
        <f t="array" aca="1" ref="AQ169" ca="1">INDIRECT("'"&amp;$C169&amp;"'!"&amp;"$"&amp;$D169&amp;$AQ$1&amp;"")</f>
        <v>3.7</v>
      </c>
      <c r="AR169" s="300">
        <v>0.94</v>
      </c>
      <c r="AS169" s="298">
        <v>1.21</v>
      </c>
      <c r="AT169" s="302">
        <v>0</v>
      </c>
      <c r="AU169" s="301">
        <v>0</v>
      </c>
      <c r="AV169" s="297" t="str" cm="1">
        <f t="array" aca="1" ref="AV169" ca="1">INDIRECT("'"&amp;$C169&amp;"'!"&amp;"$"&amp;$D169&amp;$AT$1&amp;"")</f>
        <v>PMS</v>
      </c>
      <c r="AW169" s="300" t="s">
        <v>1</v>
      </c>
      <c r="AX169" s="298" t="s">
        <v>1</v>
      </c>
      <c r="AY169" s="303">
        <v>68.400000000000006</v>
      </c>
      <c r="AZ169" s="302" cm="1">
        <f t="array" aca="1" ref="AZ169" ca="1">INDIRECT("'"&amp;$C169&amp;"'!"&amp;"$"&amp;$D169&amp;$AY$1&amp;"")</f>
        <v>11.000000000000002</v>
      </c>
      <c r="BA169" s="300">
        <v>0.97</v>
      </c>
      <c r="BB169" s="298">
        <v>2.6</v>
      </c>
      <c r="BC169" s="299" cm="1">
        <f t="array" aca="1" ref="BC169" ca="1">INDIRECT("'"&amp;$C169&amp;"'!"&amp;"$"&amp;$D169&amp;$BC$1&amp;"")</f>
        <v>1.3</v>
      </c>
      <c r="BD169" s="300"/>
      <c r="BE169" s="300">
        <v>0.99</v>
      </c>
      <c r="BF169" s="298">
        <v>0.17</v>
      </c>
      <c r="BG169" s="299" cm="1">
        <f t="array" aca="1" ref="BG169" ca="1">INDIRECT("'"&amp;$C169&amp;"'!"&amp;"$"&amp;$D169&amp;$BG$1&amp;"")</f>
        <v>0.85</v>
      </c>
      <c r="BH169" s="300"/>
      <c r="BI169" s="300">
        <v>0.96</v>
      </c>
      <c r="BJ169" s="298">
        <v>0.23</v>
      </c>
      <c r="BK169" s="299" cm="1">
        <f t="array" aca="1" ref="BK169" ca="1">INDIRECT("'"&amp;$C169&amp;"'!"&amp;"$"&amp;$D169&amp;$BK$1&amp;"")</f>
        <v>4.9000000000000004</v>
      </c>
      <c r="BL169" s="300"/>
      <c r="BM169" s="300">
        <v>0.99</v>
      </c>
      <c r="BN169" s="298">
        <v>0.71</v>
      </c>
    </row>
    <row r="170" spans="1:66" ht="15.75" thickBot="1" x14ac:dyDescent="0.25">
      <c r="A170" s="368">
        <v>45695</v>
      </c>
      <c r="B170" s="365">
        <v>0.625</v>
      </c>
      <c r="C170" s="315">
        <v>7</v>
      </c>
      <c r="D170" s="319" t="s">
        <v>125</v>
      </c>
      <c r="E170" s="290">
        <v>14.4</v>
      </c>
      <c r="F170" s="291">
        <v>69.760000000000005</v>
      </c>
      <c r="G170" s="292" cm="1">
        <f t="array" aca="1" ref="G170" ca="1">INDIRECT("'"&amp;$C170&amp;"'!"&amp;"$"&amp;$D170&amp;$E$1&amp;"")</f>
        <v>6.5</v>
      </c>
      <c r="H170" s="293">
        <v>0.97</v>
      </c>
      <c r="I170" s="291">
        <v>1.57</v>
      </c>
      <c r="J170" s="292" cm="1">
        <f t="array" aca="1" ref="J170" ca="1">INDIRECT("'"&amp;$C170&amp;"'!"&amp;"$"&amp;$D170&amp;$J$1&amp;"")</f>
        <v>6.4</v>
      </c>
      <c r="K170" s="293"/>
      <c r="L170" s="293">
        <v>0.97</v>
      </c>
      <c r="M170" s="291">
        <v>1.65</v>
      </c>
      <c r="N170" s="292" cm="1">
        <f t="array" aca="1" ref="N170" ca="1">INDIRECT("'"&amp;$C170&amp;"'!"&amp;"$"&amp;$D170&amp;$N$1&amp;"")</f>
        <v>6.4</v>
      </c>
      <c r="O170" s="293"/>
      <c r="P170" s="293">
        <v>0.97</v>
      </c>
      <c r="Q170" s="291">
        <v>1.64</v>
      </c>
      <c r="R170" s="292" cm="1">
        <f t="array" aca="1" ref="R170" ca="1">INDIRECT("'"&amp;$C170&amp;"'!"&amp;"$"&amp;$D170&amp;$R$1&amp;"")</f>
        <v>6.4</v>
      </c>
      <c r="S170" s="293"/>
      <c r="T170" s="293">
        <v>0.96</v>
      </c>
      <c r="U170" s="291">
        <v>1.25</v>
      </c>
      <c r="V170" s="292" t="str" cm="1">
        <f t="array" aca="1" ref="V170" ca="1">INDIRECT("'"&amp;$C170&amp;"'!"&amp;"$"&amp;$D170&amp;$V$1&amp;"")</f>
        <v>CMS</v>
      </c>
      <c r="W170" s="293" t="s">
        <v>1</v>
      </c>
      <c r="X170" s="293" t="s">
        <v>1</v>
      </c>
      <c r="Y170" s="294" t="s">
        <v>1</v>
      </c>
      <c r="Z170" s="290" cm="1">
        <f t="array" aca="1" ref="Z170" ca="1">INDIRECT("'"&amp;$C170&amp;"'!"&amp;"$"&amp;$D170&amp;$Z$1&amp;"")</f>
        <v>0</v>
      </c>
      <c r="AA170" s="293" t="s">
        <v>1</v>
      </c>
      <c r="AB170" s="293" t="s">
        <v>1</v>
      </c>
      <c r="AC170" s="291" t="s">
        <v>1</v>
      </c>
      <c r="AD170" s="292" t="str" cm="1">
        <f t="array" aca="1" ref="AD170" ca="1">INDIRECT("'"&amp;$C170&amp;"'!"&amp;"$"&amp;$D170&amp;$AD$1&amp;"")</f>
        <v>CMS</v>
      </c>
      <c r="AE170" s="293" t="s">
        <v>1</v>
      </c>
      <c r="AF170" s="293" t="s">
        <v>1</v>
      </c>
      <c r="AG170" s="291" t="s">
        <v>1</v>
      </c>
      <c r="AH170" s="290" cm="1">
        <f t="array" aca="1" ref="AH170" ca="1">INDIRECT("'"&amp;$C170&amp;"'!"&amp;"$"&amp;$D170&amp;$AH$1&amp;"")</f>
        <v>3.8</v>
      </c>
      <c r="AI170" s="293">
        <v>14</v>
      </c>
      <c r="AJ170" s="293">
        <v>0.94</v>
      </c>
      <c r="AK170" s="291">
        <v>1.26</v>
      </c>
      <c r="AL170" s="290">
        <v>11.9</v>
      </c>
      <c r="AM170" s="294">
        <v>70.400000000000006</v>
      </c>
      <c r="AN170" s="290" cm="1">
        <f t="array" aca="1" ref="AN170" ca="1">INDIRECT("'"&amp;$C170&amp;"'!"&amp;"$"&amp;$D170&amp;$AL$1&amp;"")</f>
        <v>2.7</v>
      </c>
      <c r="AO170" s="293">
        <v>0.94</v>
      </c>
      <c r="AP170" s="291">
        <v>0.74</v>
      </c>
      <c r="AQ170" s="292" cm="1">
        <f t="array" aca="1" ref="AQ170" ca="1">INDIRECT("'"&amp;$C170&amp;"'!"&amp;"$"&amp;$D170&amp;$AQ$1&amp;"")</f>
        <v>2.7</v>
      </c>
      <c r="AR170" s="293">
        <v>0.94</v>
      </c>
      <c r="AS170" s="291">
        <v>1</v>
      </c>
      <c r="AT170" s="295">
        <v>0</v>
      </c>
      <c r="AU170" s="294">
        <v>0</v>
      </c>
      <c r="AV170" s="290" t="str" cm="1">
        <f t="array" aca="1" ref="AV170" ca="1">INDIRECT("'"&amp;$C170&amp;"'!"&amp;"$"&amp;$D170&amp;$AT$1&amp;"")</f>
        <v>PMS</v>
      </c>
      <c r="AW170" s="293" t="s">
        <v>1</v>
      </c>
      <c r="AX170" s="291" t="s">
        <v>1</v>
      </c>
      <c r="AY170" s="296">
        <v>68.5</v>
      </c>
      <c r="AZ170" s="295" cm="1">
        <f t="array" aca="1" ref="AZ170" ca="1">INDIRECT("'"&amp;$C170&amp;"'!"&amp;"$"&amp;$D170&amp;$AY$1&amp;"")</f>
        <v>11.000000000000002</v>
      </c>
      <c r="BA170" s="293">
        <v>0.97</v>
      </c>
      <c r="BB170" s="291">
        <v>2.9</v>
      </c>
      <c r="BC170" s="292" cm="1">
        <f t="array" aca="1" ref="BC170" ca="1">INDIRECT("'"&amp;$C170&amp;"'!"&amp;"$"&amp;$D170&amp;$BC$1&amp;"")</f>
        <v>1.2</v>
      </c>
      <c r="BD170" s="293"/>
      <c r="BE170" s="293">
        <v>0.99</v>
      </c>
      <c r="BF170" s="291">
        <v>0.15</v>
      </c>
      <c r="BG170" s="292" cm="1">
        <f t="array" aca="1" ref="BG170" ca="1">INDIRECT("'"&amp;$C170&amp;"'!"&amp;"$"&amp;$D170&amp;$BG$1&amp;"")</f>
        <v>0.84</v>
      </c>
      <c r="BH170" s="293"/>
      <c r="BI170" s="293">
        <v>0.96</v>
      </c>
      <c r="BJ170" s="291">
        <v>0.23</v>
      </c>
      <c r="BK170" s="292" cm="1">
        <f t="array" aca="1" ref="BK170" ca="1">INDIRECT("'"&amp;$C170&amp;"'!"&amp;"$"&amp;$D170&amp;$BK$1&amp;"")</f>
        <v>4.8</v>
      </c>
      <c r="BL170" s="293"/>
      <c r="BM170" s="293">
        <v>0.99</v>
      </c>
      <c r="BN170" s="291">
        <v>0.69</v>
      </c>
    </row>
    <row r="171" spans="1:66" ht="15.75" thickBot="1" x14ac:dyDescent="0.25">
      <c r="A171" s="368">
        <v>45695</v>
      </c>
      <c r="B171" s="365">
        <v>0.66666666666666696</v>
      </c>
      <c r="C171" s="315">
        <v>7</v>
      </c>
      <c r="D171" s="319" t="s">
        <v>126</v>
      </c>
      <c r="E171" s="297">
        <v>14.3</v>
      </c>
      <c r="F171" s="298">
        <v>69.98</v>
      </c>
      <c r="G171" s="299" cm="1">
        <f t="array" aca="1" ref="G171" ca="1">INDIRECT("'"&amp;$C171&amp;"'!"&amp;"$"&amp;$D171&amp;$E$1&amp;"")</f>
        <v>6.4</v>
      </c>
      <c r="H171" s="300">
        <v>0.97</v>
      </c>
      <c r="I171" s="298">
        <v>1.68</v>
      </c>
      <c r="J171" s="299" cm="1">
        <f t="array" aca="1" ref="J171" ca="1">INDIRECT("'"&amp;$C171&amp;"'!"&amp;"$"&amp;$D171&amp;$J$1&amp;"")</f>
        <v>6.5</v>
      </c>
      <c r="K171" s="300"/>
      <c r="L171" s="300">
        <v>0.97</v>
      </c>
      <c r="M171" s="298">
        <v>1.58</v>
      </c>
      <c r="N171" s="299" cm="1">
        <f t="array" aca="1" ref="N171" ca="1">INDIRECT("'"&amp;$C171&amp;"'!"&amp;"$"&amp;$D171&amp;$N$1&amp;"")</f>
        <v>6.4</v>
      </c>
      <c r="O171" s="300"/>
      <c r="P171" s="300">
        <v>0.97</v>
      </c>
      <c r="Q171" s="298">
        <v>1.66</v>
      </c>
      <c r="R171" s="299" cm="1">
        <f t="array" aca="1" ref="R171" ca="1">INDIRECT("'"&amp;$C171&amp;"'!"&amp;"$"&amp;$D171&amp;$R$1&amp;"")</f>
        <v>6.4</v>
      </c>
      <c r="S171" s="300"/>
      <c r="T171" s="300">
        <v>0.96</v>
      </c>
      <c r="U171" s="298">
        <v>1.64</v>
      </c>
      <c r="V171" s="299" t="str" cm="1">
        <f t="array" aca="1" ref="V171" ca="1">INDIRECT("'"&amp;$C171&amp;"'!"&amp;"$"&amp;$D171&amp;$V$1&amp;"")</f>
        <v>CMS</v>
      </c>
      <c r="W171" s="300" t="s">
        <v>1</v>
      </c>
      <c r="X171" s="300" t="s">
        <v>1</v>
      </c>
      <c r="Y171" s="301" t="s">
        <v>1</v>
      </c>
      <c r="Z171" s="297" cm="1">
        <f t="array" aca="1" ref="Z171" ca="1">INDIRECT("'"&amp;$C171&amp;"'!"&amp;"$"&amp;$D171&amp;$Z$1&amp;"")</f>
        <v>0</v>
      </c>
      <c r="AA171" s="300" t="s">
        <v>1</v>
      </c>
      <c r="AB171" s="300" t="s">
        <v>1</v>
      </c>
      <c r="AC171" s="298" t="s">
        <v>1</v>
      </c>
      <c r="AD171" s="299" cm="1">
        <f t="array" aca="1" ref="AD171" ca="1">INDIRECT("'"&amp;$C171&amp;"'!"&amp;"$"&amp;$D171&amp;$AD$1&amp;"")</f>
        <v>0.5</v>
      </c>
      <c r="AE171" s="300">
        <f>3.8*3.46</f>
        <v>13.148</v>
      </c>
      <c r="AF171" s="300">
        <v>0.96</v>
      </c>
      <c r="AG171" s="298">
        <v>0.05</v>
      </c>
      <c r="AH171" s="297" cm="1">
        <f t="array" aca="1" ref="AH171" ca="1">INDIRECT("'"&amp;$C171&amp;"'!"&amp;"$"&amp;$D171&amp;$AH$1&amp;"")</f>
        <v>3.8</v>
      </c>
      <c r="AI171" s="300">
        <v>14</v>
      </c>
      <c r="AJ171" s="300">
        <v>0.95</v>
      </c>
      <c r="AK171" s="298">
        <v>1.18</v>
      </c>
      <c r="AL171" s="297">
        <v>11.9</v>
      </c>
      <c r="AM171" s="301">
        <v>70.400000000000006</v>
      </c>
      <c r="AN171" s="297" cm="1">
        <f t="array" aca="1" ref="AN171" ca="1">INDIRECT("'"&amp;$C171&amp;"'!"&amp;"$"&amp;$D171&amp;$AL$1&amp;"")</f>
        <v>2</v>
      </c>
      <c r="AO171" s="300">
        <v>0.94</v>
      </c>
      <c r="AP171" s="298">
        <v>1</v>
      </c>
      <c r="AQ171" s="299" cm="1">
        <f t="array" aca="1" ref="AQ171" ca="1">INDIRECT("'"&amp;$C171&amp;"'!"&amp;"$"&amp;$D171&amp;$AQ$1&amp;"")</f>
        <v>2</v>
      </c>
      <c r="AR171" s="300">
        <v>0.94</v>
      </c>
      <c r="AS171" s="298">
        <v>1</v>
      </c>
      <c r="AT171" s="302">
        <v>0</v>
      </c>
      <c r="AU171" s="301">
        <v>0</v>
      </c>
      <c r="AV171" s="297" t="str" cm="1">
        <f t="array" aca="1" ref="AV171" ca="1">INDIRECT("'"&amp;$C171&amp;"'!"&amp;"$"&amp;$D171&amp;$AT$1&amp;"")</f>
        <v>PMS</v>
      </c>
      <c r="AW171" s="300" t="s">
        <v>1</v>
      </c>
      <c r="AX171" s="298" t="s">
        <v>1</v>
      </c>
      <c r="AY171" s="303">
        <v>68.400000000000006</v>
      </c>
      <c r="AZ171" s="302" cm="1">
        <f t="array" aca="1" ref="AZ171" ca="1">INDIRECT("'"&amp;$C171&amp;"'!"&amp;"$"&amp;$D171&amp;$AY$1&amp;"")</f>
        <v>11.000000000000002</v>
      </c>
      <c r="BA171" s="300">
        <v>0.97</v>
      </c>
      <c r="BB171" s="298">
        <v>2.8</v>
      </c>
      <c r="BC171" s="299" cm="1">
        <f t="array" aca="1" ref="BC171" ca="1">INDIRECT("'"&amp;$C171&amp;"'!"&amp;"$"&amp;$D171&amp;$BC$1&amp;"")</f>
        <v>1.2</v>
      </c>
      <c r="BD171" s="300"/>
      <c r="BE171" s="300">
        <v>0.99</v>
      </c>
      <c r="BF171" s="298">
        <v>0.16</v>
      </c>
      <c r="BG171" s="299" cm="1">
        <f t="array" aca="1" ref="BG171" ca="1">INDIRECT("'"&amp;$C171&amp;"'!"&amp;"$"&amp;$D171&amp;$BG$1&amp;"")</f>
        <v>0.83</v>
      </c>
      <c r="BH171" s="300"/>
      <c r="BI171" s="300">
        <v>0.96</v>
      </c>
      <c r="BJ171" s="298">
        <v>0.24</v>
      </c>
      <c r="BK171" s="299" cm="1">
        <f t="array" aca="1" ref="BK171" ca="1">INDIRECT("'"&amp;$C171&amp;"'!"&amp;"$"&amp;$D171&amp;$BK$1&amp;"")</f>
        <v>4.5</v>
      </c>
      <c r="BL171" s="300"/>
      <c r="BM171" s="300">
        <v>0.99</v>
      </c>
      <c r="BN171" s="298">
        <v>0.99</v>
      </c>
    </row>
    <row r="172" spans="1:66" ht="15.75" thickBot="1" x14ac:dyDescent="0.25">
      <c r="A172" s="368">
        <v>45695</v>
      </c>
      <c r="B172" s="365">
        <v>0.70833333333333404</v>
      </c>
      <c r="C172" s="315">
        <v>7</v>
      </c>
      <c r="D172" s="319" t="s">
        <v>127</v>
      </c>
      <c r="E172" s="290">
        <v>14.3</v>
      </c>
      <c r="F172" s="291">
        <v>70.27</v>
      </c>
      <c r="G172" s="292" cm="1">
        <f t="array" aca="1" ref="G172" ca="1">INDIRECT("'"&amp;$C172&amp;"'!"&amp;"$"&amp;$D172&amp;$E$1&amp;"")</f>
        <v>6.3</v>
      </c>
      <c r="H172" s="293">
        <v>0.97</v>
      </c>
      <c r="I172" s="291">
        <v>1.49</v>
      </c>
      <c r="J172" s="292" cm="1">
        <f t="array" aca="1" ref="J172" ca="1">INDIRECT("'"&amp;$C172&amp;"'!"&amp;"$"&amp;$D172&amp;$J$1&amp;"")</f>
        <v>6.5</v>
      </c>
      <c r="K172" s="293"/>
      <c r="L172" s="293">
        <v>0.97</v>
      </c>
      <c r="M172" s="291">
        <v>1.51</v>
      </c>
      <c r="N172" s="292" cm="1">
        <f t="array" aca="1" ref="N172" ca="1">INDIRECT("'"&amp;$C172&amp;"'!"&amp;"$"&amp;$D172&amp;$N$1&amp;"")</f>
        <v>6.2</v>
      </c>
      <c r="O172" s="293"/>
      <c r="P172" s="293">
        <v>0.97</v>
      </c>
      <c r="Q172" s="291">
        <v>1.58</v>
      </c>
      <c r="R172" s="292" cm="1">
        <f t="array" aca="1" ref="R172" ca="1">INDIRECT("'"&amp;$C172&amp;"'!"&amp;"$"&amp;$D172&amp;$R$1&amp;"")</f>
        <v>6.3</v>
      </c>
      <c r="S172" s="293"/>
      <c r="T172" s="293">
        <v>0.98</v>
      </c>
      <c r="U172" s="291">
        <v>1.1000000000000001</v>
      </c>
      <c r="V172" s="292" t="str" cm="1">
        <f t="array" aca="1" ref="V172" ca="1">INDIRECT("'"&amp;$C172&amp;"'!"&amp;"$"&amp;$D172&amp;$V$1&amp;"")</f>
        <v>CMS</v>
      </c>
      <c r="W172" s="293" t="s">
        <v>1</v>
      </c>
      <c r="X172" s="293" t="s">
        <v>1</v>
      </c>
      <c r="Y172" s="294" t="s">
        <v>1</v>
      </c>
      <c r="Z172" s="290" cm="1">
        <f t="array" aca="1" ref="Z172" ca="1">INDIRECT("'"&amp;$C172&amp;"'!"&amp;"$"&amp;$D172&amp;$Z$1&amp;"")</f>
        <v>0</v>
      </c>
      <c r="AA172" s="293" t="s">
        <v>1</v>
      </c>
      <c r="AB172" s="293" t="s">
        <v>1</v>
      </c>
      <c r="AC172" s="291" t="s">
        <v>1</v>
      </c>
      <c r="AD172" s="292" cm="1">
        <f t="array" aca="1" ref="AD172" ca="1">INDIRECT("'"&amp;$C172&amp;"'!"&amp;"$"&amp;$D172&amp;$AD$1&amp;"")</f>
        <v>2.7</v>
      </c>
      <c r="AE172" s="293">
        <f>3.8*3.54</f>
        <v>13.452</v>
      </c>
      <c r="AF172" s="293">
        <v>0.95</v>
      </c>
      <c r="AG172" s="291">
        <v>0.96</v>
      </c>
      <c r="AH172" s="290" cm="1">
        <f t="array" aca="1" ref="AH172" ca="1">INDIRECT("'"&amp;$C172&amp;"'!"&amp;"$"&amp;$D172&amp;$AH$1&amp;"")</f>
        <v>3.5</v>
      </c>
      <c r="AI172" s="293">
        <v>13.92</v>
      </c>
      <c r="AJ172" s="293">
        <v>0.96</v>
      </c>
      <c r="AK172" s="291">
        <v>0.91400000000000003</v>
      </c>
      <c r="AL172" s="290">
        <v>11.9</v>
      </c>
      <c r="AM172" s="294">
        <v>71.099999999999994</v>
      </c>
      <c r="AN172" s="290" cm="1">
        <f t="array" aca="1" ref="AN172" ca="1">INDIRECT("'"&amp;$C172&amp;"'!"&amp;"$"&amp;$D172&amp;$AL$1&amp;"")</f>
        <v>3.5</v>
      </c>
      <c r="AO172" s="293">
        <v>0.96</v>
      </c>
      <c r="AP172" s="291">
        <v>0.85</v>
      </c>
      <c r="AQ172" s="292" cm="1">
        <f t="array" aca="1" ref="AQ172" ca="1">INDIRECT("'"&amp;$C172&amp;"'!"&amp;"$"&amp;$D172&amp;$AQ$1&amp;"")</f>
        <v>3.5</v>
      </c>
      <c r="AR172" s="293">
        <v>0.96</v>
      </c>
      <c r="AS172" s="291">
        <v>0.85</v>
      </c>
      <c r="AT172" s="295">
        <v>0</v>
      </c>
      <c r="AU172" s="294">
        <v>0</v>
      </c>
      <c r="AV172" s="290" t="str" cm="1">
        <f t="array" aca="1" ref="AV172" ca="1">INDIRECT("'"&amp;$C172&amp;"'!"&amp;"$"&amp;$D172&amp;$AT$1&amp;"")</f>
        <v>PMS</v>
      </c>
      <c r="AW172" s="293" t="s">
        <v>1</v>
      </c>
      <c r="AX172" s="291" t="s">
        <v>1</v>
      </c>
      <c r="AY172" s="296">
        <v>68.8</v>
      </c>
      <c r="AZ172" s="295" cm="1">
        <f t="array" aca="1" ref="AZ172" ca="1">INDIRECT("'"&amp;$C172&amp;"'!"&amp;"$"&amp;$D172&amp;$AY$1&amp;"")</f>
        <v>7.6</v>
      </c>
      <c r="BA172" s="293">
        <v>0.97</v>
      </c>
      <c r="BB172" s="291">
        <v>1.9</v>
      </c>
      <c r="BC172" s="292" cm="1">
        <f t="array" aca="1" ref="BC172" ca="1">INDIRECT("'"&amp;$C172&amp;"'!"&amp;"$"&amp;$D172&amp;$BC$1&amp;"")</f>
        <v>1.03</v>
      </c>
      <c r="BD172" s="293"/>
      <c r="BE172" s="293">
        <v>0.99</v>
      </c>
      <c r="BF172" s="291">
        <v>0.12</v>
      </c>
      <c r="BG172" s="292" cm="1">
        <f t="array" aca="1" ref="BG172" ca="1">INDIRECT("'"&amp;$C172&amp;"'!"&amp;"$"&amp;$D172&amp;$BG$1&amp;"")</f>
        <v>0.89</v>
      </c>
      <c r="BH172" s="293"/>
      <c r="BI172" s="293">
        <v>0.96</v>
      </c>
      <c r="BJ172" s="291">
        <v>0.25</v>
      </c>
      <c r="BK172" s="292" cm="1">
        <f t="array" aca="1" ref="BK172" ca="1">INDIRECT("'"&amp;$C172&amp;"'!"&amp;"$"&amp;$D172&amp;$BK$1&amp;"")</f>
        <v>4.4000000000000004</v>
      </c>
      <c r="BL172" s="293"/>
      <c r="BM172" s="293">
        <v>0.99</v>
      </c>
      <c r="BN172" s="291">
        <v>0.63</v>
      </c>
    </row>
    <row r="173" spans="1:66" ht="15.75" thickBot="1" x14ac:dyDescent="0.25">
      <c r="A173" s="368">
        <v>45695</v>
      </c>
      <c r="B173" s="365">
        <v>0.750000000000001</v>
      </c>
      <c r="C173" s="315">
        <v>7</v>
      </c>
      <c r="D173" s="319" t="s">
        <v>128</v>
      </c>
      <c r="E173" s="297">
        <v>14.2</v>
      </c>
      <c r="F173" s="298">
        <v>69.91</v>
      </c>
      <c r="G173" s="299" cm="1">
        <f t="array" aca="1" ref="G173" ca="1">INDIRECT("'"&amp;$C173&amp;"'!"&amp;"$"&amp;$D173&amp;$E$1&amp;"")</f>
        <v>6.5</v>
      </c>
      <c r="H173" s="300">
        <v>0.97</v>
      </c>
      <c r="I173" s="298">
        <v>1.53</v>
      </c>
      <c r="J173" s="299" cm="1">
        <f t="array" aca="1" ref="J173" ca="1">INDIRECT("'"&amp;$C173&amp;"'!"&amp;"$"&amp;$D173&amp;$J$1&amp;"")</f>
        <v>6.5</v>
      </c>
      <c r="K173" s="300"/>
      <c r="L173" s="300">
        <v>0.97</v>
      </c>
      <c r="M173" s="298">
        <v>1.52</v>
      </c>
      <c r="N173" s="299" cm="1">
        <f t="array" aca="1" ref="N173" ca="1">INDIRECT("'"&amp;$C173&amp;"'!"&amp;"$"&amp;$D173&amp;$N$1&amp;"")</f>
        <v>6.4</v>
      </c>
      <c r="O173" s="300"/>
      <c r="P173" s="300">
        <v>0.97</v>
      </c>
      <c r="Q173" s="298">
        <v>1.62</v>
      </c>
      <c r="R173" s="299" cm="1">
        <f t="array" aca="1" ref="R173" ca="1">INDIRECT("'"&amp;$C173&amp;"'!"&amp;"$"&amp;$D173&amp;$R$1&amp;"")</f>
        <v>6.4</v>
      </c>
      <c r="S173" s="300"/>
      <c r="T173" s="300">
        <v>0.97</v>
      </c>
      <c r="U173" s="298">
        <v>1.72</v>
      </c>
      <c r="V173" s="299" t="str" cm="1">
        <f t="array" aca="1" ref="V173" ca="1">INDIRECT("'"&amp;$C173&amp;"'!"&amp;"$"&amp;$D173&amp;$V$1&amp;"")</f>
        <v>CMS</v>
      </c>
      <c r="W173" s="300" t="s">
        <v>1</v>
      </c>
      <c r="X173" s="300" t="s">
        <v>1</v>
      </c>
      <c r="Y173" s="301" t="s">
        <v>1</v>
      </c>
      <c r="Z173" s="297" cm="1">
        <f t="array" aca="1" ref="Z173" ca="1">INDIRECT("'"&amp;$C173&amp;"'!"&amp;"$"&amp;$D173&amp;$Z$1&amp;"")</f>
        <v>0</v>
      </c>
      <c r="AA173" s="300" t="s">
        <v>1</v>
      </c>
      <c r="AB173" s="300" t="s">
        <v>1</v>
      </c>
      <c r="AC173" s="298" t="s">
        <v>1</v>
      </c>
      <c r="AD173" s="299" cm="1">
        <f t="array" aca="1" ref="AD173" ca="1">INDIRECT("'"&amp;$C173&amp;"'!"&amp;"$"&amp;$D173&amp;$AD$1&amp;"")</f>
        <v>3.2</v>
      </c>
      <c r="AE173" s="300">
        <f>3.8*3.54</f>
        <v>13.452</v>
      </c>
      <c r="AF173" s="300">
        <v>0.95</v>
      </c>
      <c r="AG173" s="298">
        <v>1.05</v>
      </c>
      <c r="AH173" s="297" cm="1">
        <f t="array" aca="1" ref="AH173" ca="1">INDIRECT("'"&amp;$C173&amp;"'!"&amp;"$"&amp;$D173&amp;$AH$1&amp;"")</f>
        <v>3.8</v>
      </c>
      <c r="AI173" s="300">
        <v>13.96</v>
      </c>
      <c r="AJ173" s="300">
        <v>0.97</v>
      </c>
      <c r="AK173" s="298">
        <v>0.84299999999999997</v>
      </c>
      <c r="AL173" s="297">
        <v>11.9</v>
      </c>
      <c r="AM173" s="301">
        <v>71.099999999999994</v>
      </c>
      <c r="AN173" s="297" cm="1">
        <f t="array" aca="1" ref="AN173" ca="1">INDIRECT("'"&amp;$C173&amp;"'!"&amp;"$"&amp;$D173&amp;$AL$1&amp;"")</f>
        <v>3.2</v>
      </c>
      <c r="AO173" s="300">
        <v>0.99</v>
      </c>
      <c r="AP173" s="298">
        <v>0.6</v>
      </c>
      <c r="AQ173" s="299" cm="1">
        <f t="array" aca="1" ref="AQ173" ca="1">INDIRECT("'"&amp;$C173&amp;"'!"&amp;"$"&amp;$D173&amp;$AQ$1&amp;"")</f>
        <v>3.2</v>
      </c>
      <c r="AR173" s="300">
        <v>0.99</v>
      </c>
      <c r="AS173" s="298">
        <v>0.6</v>
      </c>
      <c r="AT173" s="302">
        <v>0</v>
      </c>
      <c r="AU173" s="301">
        <v>0</v>
      </c>
      <c r="AV173" s="297" t="str" cm="1">
        <f t="array" aca="1" ref="AV173" ca="1">INDIRECT("'"&amp;$C173&amp;"'!"&amp;"$"&amp;$D173&amp;$AT$1&amp;"")</f>
        <v>PMS</v>
      </c>
      <c r="AW173" s="300" t="s">
        <v>1</v>
      </c>
      <c r="AX173" s="298" t="s">
        <v>1</v>
      </c>
      <c r="AY173" s="303">
        <v>68.7</v>
      </c>
      <c r="AZ173" s="302" cm="1">
        <f t="array" aca="1" ref="AZ173" ca="1">INDIRECT("'"&amp;$C173&amp;"'!"&amp;"$"&amp;$D173&amp;$AY$1&amp;"")</f>
        <v>4.5999999999999996</v>
      </c>
      <c r="BA173" s="300">
        <v>0.97</v>
      </c>
      <c r="BB173" s="298">
        <v>0.97</v>
      </c>
      <c r="BC173" s="299" cm="1">
        <f t="array" aca="1" ref="BC173" ca="1">INDIRECT("'"&amp;$C173&amp;"'!"&amp;"$"&amp;$D173&amp;$BC$1&amp;"")</f>
        <v>1.1100000000000001</v>
      </c>
      <c r="BD173" s="300"/>
      <c r="BE173" s="300">
        <v>0.95</v>
      </c>
      <c r="BF173" s="298">
        <v>0.1</v>
      </c>
      <c r="BG173" s="299" cm="1">
        <f t="array" aca="1" ref="BG173" ca="1">INDIRECT("'"&amp;$C173&amp;"'!"&amp;"$"&amp;$D173&amp;$BG$1&amp;"")</f>
        <v>0.83</v>
      </c>
      <c r="BH173" s="300"/>
      <c r="BI173" s="300">
        <v>0.96</v>
      </c>
      <c r="BJ173" s="298">
        <v>0.23</v>
      </c>
      <c r="BK173" s="299" cm="1">
        <f t="array" aca="1" ref="BK173" ca="1">INDIRECT("'"&amp;$C173&amp;"'!"&amp;"$"&amp;$D173&amp;$BK$1&amp;"")</f>
        <v>4.2</v>
      </c>
      <c r="BL173" s="300"/>
      <c r="BM173" s="300">
        <v>0.99</v>
      </c>
      <c r="BN173" s="298">
        <v>0.6</v>
      </c>
    </row>
    <row r="174" spans="1:66" ht="15.75" thickBot="1" x14ac:dyDescent="0.25">
      <c r="A174" s="368">
        <v>45695</v>
      </c>
      <c r="B174" s="365">
        <v>0.79166666666666696</v>
      </c>
      <c r="C174" s="315">
        <v>7</v>
      </c>
      <c r="D174" s="319" t="s">
        <v>129</v>
      </c>
      <c r="E174" s="290">
        <v>14.3</v>
      </c>
      <c r="F174" s="291">
        <v>70.41</v>
      </c>
      <c r="G174" s="292" cm="1">
        <f t="array" aca="1" ref="G174" ca="1">INDIRECT("'"&amp;$C174&amp;"'!"&amp;"$"&amp;$D174&amp;$E$1&amp;"")</f>
        <v>6.5</v>
      </c>
      <c r="H174" s="293">
        <v>0.99</v>
      </c>
      <c r="I174" s="291">
        <v>1.1000000000000001</v>
      </c>
      <c r="J174" s="292" cm="1">
        <f t="array" aca="1" ref="J174" ca="1">INDIRECT("'"&amp;$C174&amp;"'!"&amp;"$"&amp;$D174&amp;$J$1&amp;"")</f>
        <v>6.5</v>
      </c>
      <c r="K174" s="304"/>
      <c r="L174" s="293">
        <v>0.99</v>
      </c>
      <c r="M174" s="291">
        <v>1.1100000000000001</v>
      </c>
      <c r="N174" s="292" cm="1">
        <f t="array" aca="1" ref="N174" ca="1">INDIRECT("'"&amp;$C174&amp;"'!"&amp;"$"&amp;$D174&amp;$N$1&amp;"")</f>
        <v>6.5</v>
      </c>
      <c r="O174" s="293"/>
      <c r="P174" s="293">
        <v>0.99</v>
      </c>
      <c r="Q174" s="291">
        <v>1.0900000000000001</v>
      </c>
      <c r="R174" s="292" cm="1">
        <f t="array" aca="1" ref="R174" ca="1">INDIRECT("'"&amp;$C174&amp;"'!"&amp;"$"&amp;$D174&amp;$R$1&amp;"")</f>
        <v>6.5</v>
      </c>
      <c r="S174" s="293"/>
      <c r="T174" s="293">
        <v>0.99</v>
      </c>
      <c r="U174" s="291">
        <v>1.1100000000000001</v>
      </c>
      <c r="V174" s="292" t="str" cm="1">
        <f t="array" aca="1" ref="V174" ca="1">INDIRECT("'"&amp;$C174&amp;"'!"&amp;"$"&amp;$D174&amp;$V$1&amp;"")</f>
        <v>CMS</v>
      </c>
      <c r="W174" s="293" t="s">
        <v>1</v>
      </c>
      <c r="X174" s="293" t="s">
        <v>1</v>
      </c>
      <c r="Y174" s="294" t="s">
        <v>1</v>
      </c>
      <c r="Z174" s="290" cm="1">
        <f t="array" aca="1" ref="Z174" ca="1">INDIRECT("'"&amp;$C174&amp;"'!"&amp;"$"&amp;$D174&amp;$Z$1&amp;"")</f>
        <v>0</v>
      </c>
      <c r="AA174" s="293" t="s">
        <v>1</v>
      </c>
      <c r="AB174" s="293" t="s">
        <v>1</v>
      </c>
      <c r="AC174" s="291" t="s">
        <v>1</v>
      </c>
      <c r="AD174" s="292" cm="1">
        <f t="array" aca="1" ref="AD174" ca="1">INDIRECT("'"&amp;$C174&amp;"'!"&amp;"$"&amp;$D174&amp;$AD$1&amp;"")</f>
        <v>3.2</v>
      </c>
      <c r="AE174" s="293">
        <f>3.56*3.8</f>
        <v>13.527999999999999</v>
      </c>
      <c r="AF174" s="293">
        <v>0.97</v>
      </c>
      <c r="AG174" s="291">
        <v>0.78</v>
      </c>
      <c r="AH174" s="290" cm="1">
        <f t="array" aca="1" ref="AH174" ca="1">INDIRECT("'"&amp;$C174&amp;"'!"&amp;"$"&amp;$D174&amp;$AH$1&amp;"")</f>
        <v>3.8</v>
      </c>
      <c r="AI174" s="293">
        <v>13.96</v>
      </c>
      <c r="AJ174" s="293">
        <v>0.93</v>
      </c>
      <c r="AK174" s="291">
        <v>1.4330000000000001</v>
      </c>
      <c r="AL174" s="290">
        <v>11.9</v>
      </c>
      <c r="AM174" s="294">
        <v>70.599999999999994</v>
      </c>
      <c r="AN174" s="290" cm="1">
        <f t="array" aca="1" ref="AN174" ca="1">INDIRECT("'"&amp;$C174&amp;"'!"&amp;"$"&amp;$D174&amp;$AL$1&amp;"")</f>
        <v>3.2</v>
      </c>
      <c r="AO174" s="293">
        <v>0.96</v>
      </c>
      <c r="AP174" s="291">
        <v>0.96</v>
      </c>
      <c r="AQ174" s="292" cm="1">
        <f t="array" aca="1" ref="AQ174" ca="1">INDIRECT("'"&amp;$C174&amp;"'!"&amp;"$"&amp;$D174&amp;$AQ$1&amp;"")</f>
        <v>3.2</v>
      </c>
      <c r="AR174" s="293">
        <v>0.96</v>
      </c>
      <c r="AS174" s="291">
        <v>0.96</v>
      </c>
      <c r="AT174" s="295">
        <v>0</v>
      </c>
      <c r="AU174" s="294">
        <v>70.099999999999994</v>
      </c>
      <c r="AV174" s="290" t="str" cm="1">
        <f t="array" aca="1" ref="AV174" ca="1">INDIRECT("'"&amp;$C174&amp;"'!"&amp;"$"&amp;$D174&amp;$AT$1&amp;"")</f>
        <v>PMS</v>
      </c>
      <c r="AW174" s="293" t="s">
        <v>1</v>
      </c>
      <c r="AX174" s="291" t="s">
        <v>1</v>
      </c>
      <c r="AY174" s="296">
        <v>69.2</v>
      </c>
      <c r="AZ174" s="295" cm="1">
        <f t="array" aca="1" ref="AZ174" ca="1">INDIRECT("'"&amp;$C174&amp;"'!"&amp;"$"&amp;$D174&amp;$AY$1&amp;"")</f>
        <v>12.500000000000004</v>
      </c>
      <c r="BA174" s="293">
        <v>0.98</v>
      </c>
      <c r="BB174" s="291">
        <v>2.7</v>
      </c>
      <c r="BC174" s="292" cm="1">
        <f t="array" aca="1" ref="BC174" ca="1">INDIRECT("'"&amp;$C174&amp;"'!"&amp;"$"&amp;$D174&amp;$BC$1&amp;"")</f>
        <v>1.27</v>
      </c>
      <c r="BD174" s="293"/>
      <c r="BE174" s="293">
        <v>0.99</v>
      </c>
      <c r="BF174" s="291">
        <v>0.16</v>
      </c>
      <c r="BG174" s="292" cm="1">
        <f t="array" aca="1" ref="BG174" ca="1">INDIRECT("'"&amp;$C174&amp;"'!"&amp;"$"&amp;$D174&amp;$BG$1&amp;"")</f>
        <v>0.94</v>
      </c>
      <c r="BH174" s="293"/>
      <c r="BI174" s="293">
        <v>0.96</v>
      </c>
      <c r="BJ174" s="291">
        <v>0.24</v>
      </c>
      <c r="BK174" s="292" cm="1">
        <f t="array" aca="1" ref="BK174" ca="1">INDIRECT("'"&amp;$C174&amp;"'!"&amp;"$"&amp;$D174&amp;$BK$1&amp;"")</f>
        <v>4.5000000000000009</v>
      </c>
      <c r="BL174" s="293"/>
      <c r="BM174" s="293">
        <v>0.99</v>
      </c>
      <c r="BN174" s="291">
        <v>0.66</v>
      </c>
    </row>
    <row r="175" spans="1:66" ht="15.75" thickBot="1" x14ac:dyDescent="0.25">
      <c r="A175" s="368">
        <v>45695</v>
      </c>
      <c r="B175" s="365">
        <v>0.83333333333333337</v>
      </c>
      <c r="C175" s="315">
        <v>7</v>
      </c>
      <c r="D175" s="319" t="s">
        <v>130</v>
      </c>
      <c r="E175" s="297">
        <v>14.3</v>
      </c>
      <c r="F175" s="298">
        <v>70.599999999999994</v>
      </c>
      <c r="G175" s="299" cm="1">
        <f t="array" aca="1" ref="G175" ca="1">INDIRECT("'"&amp;$C175&amp;"'!"&amp;"$"&amp;$D175&amp;$E$1&amp;"")</f>
        <v>6.5</v>
      </c>
      <c r="H175" s="300">
        <v>0.98</v>
      </c>
      <c r="I175" s="298">
        <v>0.4</v>
      </c>
      <c r="J175" s="299" t="str" cm="1">
        <f t="array" aca="1" ref="J175" ca="1">INDIRECT("'"&amp;$C175&amp;"'!"&amp;"$"&amp;$D175&amp;$J$1&amp;"")</f>
        <v>CMS</v>
      </c>
      <c r="K175" s="300"/>
      <c r="L175" s="300" t="s">
        <v>1</v>
      </c>
      <c r="M175" s="298" t="s">
        <v>1</v>
      </c>
      <c r="N175" s="299" cm="1">
        <f t="array" aca="1" ref="N175" ca="1">INDIRECT("'"&amp;$C175&amp;"'!"&amp;"$"&amp;$D175&amp;$N$1&amp;"")</f>
        <v>6.4</v>
      </c>
      <c r="O175" s="300"/>
      <c r="P175" s="300">
        <v>0.98</v>
      </c>
      <c r="Q175" s="298">
        <v>0.4</v>
      </c>
      <c r="R175" s="299" cm="1">
        <f t="array" aca="1" ref="R175" ca="1">INDIRECT("'"&amp;$C175&amp;"'!"&amp;"$"&amp;$D175&amp;$R$1&amp;"")</f>
        <v>6.4</v>
      </c>
      <c r="S175" s="300"/>
      <c r="T175" s="300">
        <v>0.98</v>
      </c>
      <c r="U175" s="298">
        <v>0.4</v>
      </c>
      <c r="V175" s="299" t="str" cm="1">
        <f t="array" aca="1" ref="V175" ca="1">INDIRECT("'"&amp;$C175&amp;"'!"&amp;"$"&amp;$D175&amp;$V$1&amp;"")</f>
        <v>CMS</v>
      </c>
      <c r="W175" s="300" t="s">
        <v>1</v>
      </c>
      <c r="X175" s="300" t="s">
        <v>1</v>
      </c>
      <c r="Y175" s="301" t="s">
        <v>1</v>
      </c>
      <c r="Z175" s="297" cm="1">
        <f t="array" aca="1" ref="Z175" ca="1">INDIRECT("'"&amp;$C175&amp;"'!"&amp;"$"&amp;$D175&amp;$Z$1&amp;"")</f>
        <v>0</v>
      </c>
      <c r="AA175" s="300" t="s">
        <v>1</v>
      </c>
      <c r="AB175" s="300" t="s">
        <v>1</v>
      </c>
      <c r="AC175" s="298" t="s">
        <v>1</v>
      </c>
      <c r="AD175" s="299" cm="1">
        <f t="array" aca="1" ref="AD175" ca="1">INDIRECT("'"&amp;$C175&amp;"'!"&amp;"$"&amp;$D175&amp;$AD$1&amp;"")</f>
        <v>3.3</v>
      </c>
      <c r="AE175" s="300">
        <f>3.63*3.8</f>
        <v>13.793999999999999</v>
      </c>
      <c r="AF175" s="300">
        <v>0.99</v>
      </c>
      <c r="AG175" s="298">
        <v>0.4</v>
      </c>
      <c r="AH175" s="297" cm="1">
        <f t="array" aca="1" ref="AH175" ca="1">INDIRECT("'"&amp;$C175&amp;"'!"&amp;"$"&amp;$D175&amp;$AH$1&amp;"")</f>
        <v>3.8</v>
      </c>
      <c r="AI175" s="300">
        <v>14</v>
      </c>
      <c r="AJ175" s="300">
        <v>0.97</v>
      </c>
      <c r="AK175" s="298">
        <v>0.93</v>
      </c>
      <c r="AL175" s="297">
        <v>11.9</v>
      </c>
      <c r="AM175" s="301">
        <v>70.599999999999994</v>
      </c>
      <c r="AN175" s="297" cm="1">
        <f t="array" aca="1" ref="AN175" ca="1">INDIRECT("'"&amp;$C175&amp;"'!"&amp;"$"&amp;$D175&amp;$AL$1&amp;"")</f>
        <v>4.3</v>
      </c>
      <c r="AO175" s="300">
        <v>0.98</v>
      </c>
      <c r="AP175" s="298">
        <v>0.63</v>
      </c>
      <c r="AQ175" s="299" cm="1">
        <f t="array" aca="1" ref="AQ175" ca="1">INDIRECT("'"&amp;$C175&amp;"'!"&amp;"$"&amp;$D175&amp;$AQ$1&amp;"")</f>
        <v>4.3</v>
      </c>
      <c r="AR175" s="300">
        <v>0.98</v>
      </c>
      <c r="AS175" s="298">
        <v>0.63</v>
      </c>
      <c r="AT175" s="302">
        <v>0</v>
      </c>
      <c r="AU175" s="301">
        <v>70.599999999999994</v>
      </c>
      <c r="AV175" s="297" t="str" cm="1">
        <f t="array" aca="1" ref="AV175" ca="1">INDIRECT("'"&amp;$C175&amp;"'!"&amp;"$"&amp;$D175&amp;$AT$1&amp;"")</f>
        <v>PMS</v>
      </c>
      <c r="AW175" s="300" t="s">
        <v>1</v>
      </c>
      <c r="AX175" s="298" t="s">
        <v>1</v>
      </c>
      <c r="AY175" s="303">
        <v>69.599999999999994</v>
      </c>
      <c r="AZ175" s="302" cm="1">
        <f t="array" aca="1" ref="AZ175" ca="1">INDIRECT("'"&amp;$C175&amp;"'!"&amp;"$"&amp;$D175&amp;$AY$1&amp;"")</f>
        <v>13.300000000000004</v>
      </c>
      <c r="BA175" s="300">
        <v>0.98</v>
      </c>
      <c r="BB175" s="298">
        <v>3.3</v>
      </c>
      <c r="BC175" s="299" cm="1">
        <f t="array" aca="1" ref="BC175" ca="1">INDIRECT("'"&amp;$C175&amp;"'!"&amp;"$"&amp;$D175&amp;$BC$1&amp;"")</f>
        <v>1.27</v>
      </c>
      <c r="BD175" s="300"/>
      <c r="BE175" s="300">
        <v>0.99</v>
      </c>
      <c r="BF175" s="298">
        <v>0.15</v>
      </c>
      <c r="BG175" s="299" cm="1">
        <f t="array" aca="1" ref="BG175" ca="1">INDIRECT("'"&amp;$C175&amp;"'!"&amp;"$"&amp;$D175&amp;$BG$1&amp;"")</f>
        <v>0.93</v>
      </c>
      <c r="BH175" s="300"/>
      <c r="BI175" s="300">
        <v>0.97</v>
      </c>
      <c r="BJ175" s="298">
        <v>0.24</v>
      </c>
      <c r="BK175" s="299" cm="1">
        <f t="array" aca="1" ref="BK175" ca="1">INDIRECT("'"&amp;$C175&amp;"'!"&amp;"$"&amp;$D175&amp;$BK$1&amp;"")</f>
        <v>4.1000000000000005</v>
      </c>
      <c r="BL175" s="300"/>
      <c r="BM175" s="300">
        <v>0.99</v>
      </c>
      <c r="BN175" s="298">
        <v>0.59</v>
      </c>
    </row>
    <row r="176" spans="1:66" ht="15.75" thickBot="1" x14ac:dyDescent="0.25">
      <c r="A176" s="368">
        <v>45695</v>
      </c>
      <c r="B176" s="365">
        <v>0.875000000000001</v>
      </c>
      <c r="C176" s="315">
        <v>7</v>
      </c>
      <c r="D176" s="319" t="s">
        <v>131</v>
      </c>
      <c r="E176" s="290">
        <v>14.2</v>
      </c>
      <c r="F176" s="291">
        <v>70.72</v>
      </c>
      <c r="G176" s="292" t="str" cm="1">
        <f t="array" aca="1" ref="G176" ca="1">INDIRECT("'"&amp;$C176&amp;"'!"&amp;"$"&amp;$D176&amp;$E$1&amp;"")</f>
        <v>CMS</v>
      </c>
      <c r="H176" s="293" t="s">
        <v>1</v>
      </c>
      <c r="I176" s="291" t="s">
        <v>1</v>
      </c>
      <c r="J176" s="292" t="str" cm="1">
        <f t="array" aca="1" ref="J176" ca="1">INDIRECT("'"&amp;$C176&amp;"'!"&amp;"$"&amp;$D176&amp;$J$1&amp;"")</f>
        <v>CMS</v>
      </c>
      <c r="K176" s="293"/>
      <c r="L176" s="293" t="s">
        <v>1</v>
      </c>
      <c r="M176" s="291" t="s">
        <v>1</v>
      </c>
      <c r="N176" s="292" cm="1">
        <f t="array" aca="1" ref="N176" ca="1">INDIRECT("'"&amp;$C176&amp;"'!"&amp;"$"&amp;$D176&amp;$N$1&amp;"")</f>
        <v>6</v>
      </c>
      <c r="O176" s="293"/>
      <c r="P176" s="293">
        <v>0.99</v>
      </c>
      <c r="Q176" s="291">
        <v>0.97</v>
      </c>
      <c r="R176" s="292" cm="1">
        <f t="array" aca="1" ref="R176" ca="1">INDIRECT("'"&amp;$C176&amp;"'!"&amp;"$"&amp;$D176&amp;$R$1&amp;"")</f>
        <v>6</v>
      </c>
      <c r="S176" s="293"/>
      <c r="T176" s="293">
        <v>0.99</v>
      </c>
      <c r="U176" s="291">
        <v>0.97</v>
      </c>
      <c r="V176" s="292" t="str" cm="1">
        <f t="array" aca="1" ref="V176" ca="1">INDIRECT("'"&amp;$C176&amp;"'!"&amp;"$"&amp;$D176&amp;$V$1&amp;"")</f>
        <v>CMS</v>
      </c>
      <c r="W176" s="293" t="s">
        <v>1</v>
      </c>
      <c r="X176" s="293" t="s">
        <v>1</v>
      </c>
      <c r="Y176" s="294" t="s">
        <v>1</v>
      </c>
      <c r="Z176" s="290" cm="1">
        <f t="array" aca="1" ref="Z176" ca="1">INDIRECT("'"&amp;$C176&amp;"'!"&amp;"$"&amp;$D176&amp;$Z$1&amp;"")</f>
        <v>0</v>
      </c>
      <c r="AA176" s="293" t="s">
        <v>1</v>
      </c>
      <c r="AB176" s="293" t="s">
        <v>1</v>
      </c>
      <c r="AC176" s="291" t="s">
        <v>1</v>
      </c>
      <c r="AD176" s="292" cm="1">
        <f t="array" aca="1" ref="AD176" ca="1">INDIRECT("'"&amp;$C176&amp;"'!"&amp;"$"&amp;$D176&amp;$AD$1&amp;"")</f>
        <v>3</v>
      </c>
      <c r="AE176" s="293">
        <f>3.63*3.8</f>
        <v>13.793999999999999</v>
      </c>
      <c r="AF176" s="293">
        <v>0.99</v>
      </c>
      <c r="AG176" s="291">
        <v>0.33</v>
      </c>
      <c r="AH176" s="290" cm="1">
        <f t="array" aca="1" ref="AH176" ca="1">INDIRECT("'"&amp;$C176&amp;"'!"&amp;"$"&amp;$D176&amp;$AH$1&amp;"")</f>
        <v>3.8</v>
      </c>
      <c r="AI176" s="293">
        <v>14.04</v>
      </c>
      <c r="AJ176" s="293">
        <v>0.98</v>
      </c>
      <c r="AK176" s="291">
        <v>0.75800000000000001</v>
      </c>
      <c r="AL176" s="290">
        <v>11.9</v>
      </c>
      <c r="AM176" s="294">
        <v>71.5</v>
      </c>
      <c r="AN176" s="290" cm="1">
        <f t="array" aca="1" ref="AN176" ca="1">INDIRECT("'"&amp;$C176&amp;"'!"&amp;"$"&amp;$D176&amp;$AL$1&amp;"")</f>
        <v>4.5</v>
      </c>
      <c r="AO176" s="293">
        <v>0.99</v>
      </c>
      <c r="AP176" s="291">
        <v>0.48</v>
      </c>
      <c r="AQ176" s="292" cm="1">
        <f t="array" aca="1" ref="AQ176" ca="1">INDIRECT("'"&amp;$C176&amp;"'!"&amp;"$"&amp;$D176&amp;$AQ$1&amp;"")</f>
        <v>4.5</v>
      </c>
      <c r="AR176" s="293">
        <v>0.99</v>
      </c>
      <c r="AS176" s="291">
        <v>0.48</v>
      </c>
      <c r="AT176" s="295">
        <v>0</v>
      </c>
      <c r="AU176" s="294">
        <v>0</v>
      </c>
      <c r="AV176" s="290" t="str" cm="1">
        <f t="array" aca="1" ref="AV176" ca="1">INDIRECT("'"&amp;$C176&amp;"'!"&amp;"$"&amp;$D176&amp;$AT$1&amp;"")</f>
        <v>PMS</v>
      </c>
      <c r="AW176" s="293" t="s">
        <v>1</v>
      </c>
      <c r="AX176" s="291" t="s">
        <v>1</v>
      </c>
      <c r="AY176" s="296">
        <v>69.8</v>
      </c>
      <c r="AZ176" s="295" cm="1">
        <f t="array" aca="1" ref="AZ176" ca="1">INDIRECT("'"&amp;$C176&amp;"'!"&amp;"$"&amp;$D176&amp;$AY$1&amp;"")</f>
        <v>14.200000000000005</v>
      </c>
      <c r="BA176" s="293">
        <v>0.98</v>
      </c>
      <c r="BB176" s="291">
        <v>2.8</v>
      </c>
      <c r="BC176" s="292" cm="1">
        <f t="array" aca="1" ref="BC176" ca="1">INDIRECT("'"&amp;$C176&amp;"'!"&amp;"$"&amp;$D176&amp;$BC$1&amp;"")</f>
        <v>1.1499999999999999</v>
      </c>
      <c r="BD176" s="293"/>
      <c r="BE176" s="293">
        <v>0.99</v>
      </c>
      <c r="BF176" s="291">
        <v>0.53</v>
      </c>
      <c r="BG176" s="292" cm="1">
        <f t="array" aca="1" ref="BG176" ca="1">INDIRECT("'"&amp;$C176&amp;"'!"&amp;"$"&amp;$D176&amp;$BG$1&amp;"")</f>
        <v>0.91</v>
      </c>
      <c r="BH176" s="293"/>
      <c r="BI176" s="293">
        <v>0.97</v>
      </c>
      <c r="BJ176" s="291">
        <v>0.23</v>
      </c>
      <c r="BK176" s="292" cm="1">
        <f t="array" aca="1" ref="BK176" ca="1">INDIRECT("'"&amp;$C176&amp;"'!"&amp;"$"&amp;$D176&amp;$BK$1&amp;"")</f>
        <v>4.4000000000000004</v>
      </c>
      <c r="BL176" s="293"/>
      <c r="BM176" s="293">
        <v>0.99</v>
      </c>
      <c r="BN176" s="291">
        <v>0.62</v>
      </c>
    </row>
    <row r="177" spans="1:66" ht="15.75" thickBot="1" x14ac:dyDescent="0.25">
      <c r="A177" s="368">
        <v>45695</v>
      </c>
      <c r="B177" s="365">
        <v>0.91666666666666696</v>
      </c>
      <c r="C177" s="315">
        <v>7</v>
      </c>
      <c r="D177" s="319" t="s">
        <v>132</v>
      </c>
      <c r="E177" s="297">
        <v>14.2</v>
      </c>
      <c r="F177" s="298">
        <v>70.8</v>
      </c>
      <c r="G177" s="299" t="str" cm="1">
        <f t="array" aca="1" ref="G177" ca="1">INDIRECT("'"&amp;$C177&amp;"'!"&amp;"$"&amp;$D177&amp;$E$1&amp;"")</f>
        <v>CMS</v>
      </c>
      <c r="H177" s="300" t="s">
        <v>1</v>
      </c>
      <c r="I177" s="298" t="s">
        <v>1</v>
      </c>
      <c r="J177" s="299" t="str" cm="1">
        <f t="array" aca="1" ref="J177" ca="1">INDIRECT("'"&amp;$C177&amp;"'!"&amp;"$"&amp;$D177&amp;$J$1&amp;"")</f>
        <v>CMS</v>
      </c>
      <c r="K177" s="300"/>
      <c r="L177" s="300" t="s">
        <v>1</v>
      </c>
      <c r="M177" s="298" t="s">
        <v>1</v>
      </c>
      <c r="N177" s="299" cm="1">
        <f t="array" aca="1" ref="N177" ca="1">INDIRECT("'"&amp;$C177&amp;"'!"&amp;"$"&amp;$D177&amp;$N$1&amp;"")</f>
        <v>6.5</v>
      </c>
      <c r="O177" s="300"/>
      <c r="P177" s="300">
        <v>1</v>
      </c>
      <c r="Q177" s="298">
        <v>0.6</v>
      </c>
      <c r="R177" s="299" cm="1">
        <f t="array" aca="1" ref="R177" ca="1">INDIRECT("'"&amp;$C177&amp;"'!"&amp;"$"&amp;$D177&amp;$R$1&amp;"")</f>
        <v>6.5</v>
      </c>
      <c r="S177" s="300"/>
      <c r="T177" s="300">
        <v>1</v>
      </c>
      <c r="U177" s="298">
        <v>0.6</v>
      </c>
      <c r="V177" s="299" t="str" cm="1">
        <f t="array" aca="1" ref="V177" ca="1">INDIRECT("'"&amp;$C177&amp;"'!"&amp;"$"&amp;$D177&amp;$V$1&amp;"")</f>
        <v>CMS</v>
      </c>
      <c r="W177" s="300" t="s">
        <v>1</v>
      </c>
      <c r="X177" s="300" t="s">
        <v>1</v>
      </c>
      <c r="Y177" s="301" t="s">
        <v>1</v>
      </c>
      <c r="Z177" s="297" cm="1">
        <f t="array" aca="1" ref="Z177" ca="1">INDIRECT("'"&amp;$C177&amp;"'!"&amp;"$"&amp;$D177&amp;$Z$1&amp;"")</f>
        <v>0</v>
      </c>
      <c r="AA177" s="300" t="s">
        <v>1</v>
      </c>
      <c r="AB177" s="300" t="s">
        <v>1</v>
      </c>
      <c r="AC177" s="298" t="s">
        <v>1</v>
      </c>
      <c r="AD177" s="299" cm="1">
        <f t="array" aca="1" ref="AD177" ca="1">INDIRECT("'"&amp;$C177&amp;"'!"&amp;"$"&amp;$D177&amp;$AD$1&amp;"")</f>
        <v>3.2</v>
      </c>
      <c r="AE177" s="300">
        <f>3.8*3.63</f>
        <v>13.793999999999999</v>
      </c>
      <c r="AF177" s="300">
        <v>0.99</v>
      </c>
      <c r="AG177" s="298">
        <v>0.36</v>
      </c>
      <c r="AH177" s="297" cm="1">
        <f t="array" aca="1" ref="AH177" ca="1">INDIRECT("'"&amp;$C177&amp;"'!"&amp;"$"&amp;$D177&amp;$AH$1&amp;"")</f>
        <v>3.8</v>
      </c>
      <c r="AI177" s="300">
        <v>14.04</v>
      </c>
      <c r="AJ177" s="300">
        <v>0.98</v>
      </c>
      <c r="AK177" s="298">
        <v>0.68600000000000005</v>
      </c>
      <c r="AL177" s="297">
        <v>11.9</v>
      </c>
      <c r="AM177" s="301">
        <v>71.2</v>
      </c>
      <c r="AN177" s="297" cm="1">
        <f t="array" aca="1" ref="AN177" ca="1">INDIRECT("'"&amp;$C177&amp;"'!"&amp;"$"&amp;$D177&amp;$AL$1&amp;"")</f>
        <v>4.2</v>
      </c>
      <c r="AO177" s="300">
        <v>0.99</v>
      </c>
      <c r="AP177" s="298">
        <v>0.28999999999999998</v>
      </c>
      <c r="AQ177" s="299" cm="1">
        <f t="array" aca="1" ref="AQ177" ca="1">INDIRECT("'"&amp;$C177&amp;"'!"&amp;"$"&amp;$D177&amp;$AQ$1&amp;"")</f>
        <v>4.2</v>
      </c>
      <c r="AR177" s="300">
        <v>0.99</v>
      </c>
      <c r="AS177" s="298">
        <v>0.28999999999999998</v>
      </c>
      <c r="AT177" s="302">
        <v>0</v>
      </c>
      <c r="AU177" s="301">
        <v>0</v>
      </c>
      <c r="AV177" s="297" t="str" cm="1">
        <f t="array" aca="1" ref="AV177" ca="1">INDIRECT("'"&amp;$C177&amp;"'!"&amp;"$"&amp;$D177&amp;$AT$1&amp;"")</f>
        <v>PMS</v>
      </c>
      <c r="AW177" s="300" t="s">
        <v>1</v>
      </c>
      <c r="AX177" s="298" t="s">
        <v>1</v>
      </c>
      <c r="AY177" s="303">
        <v>70</v>
      </c>
      <c r="AZ177" s="302" cm="1">
        <f t="array" aca="1" ref="AZ177" ca="1">INDIRECT("'"&amp;$C177&amp;"'!"&amp;"$"&amp;$D177&amp;$AY$1&amp;"")</f>
        <v>12.500000000000002</v>
      </c>
      <c r="BA177" s="300">
        <v>0.98</v>
      </c>
      <c r="BB177" s="298">
        <v>2.5</v>
      </c>
      <c r="BC177" s="299" cm="1">
        <f t="array" aca="1" ref="BC177" ca="1">INDIRECT("'"&amp;$C177&amp;"'!"&amp;"$"&amp;$D177&amp;$BC$1&amp;"")</f>
        <v>0.98</v>
      </c>
      <c r="BD177" s="300"/>
      <c r="BE177" s="300">
        <v>0.99</v>
      </c>
      <c r="BF177" s="298">
        <v>0.1</v>
      </c>
      <c r="BG177" s="299" cm="1">
        <f t="array" aca="1" ref="BG177" ca="1">INDIRECT("'"&amp;$C177&amp;"'!"&amp;"$"&amp;$D177&amp;$BG$1&amp;"")</f>
        <v>0.84</v>
      </c>
      <c r="BH177" s="300"/>
      <c r="BI177" s="300">
        <v>0.97</v>
      </c>
      <c r="BJ177" s="298">
        <v>0.22</v>
      </c>
      <c r="BK177" s="299" cm="1">
        <f t="array" aca="1" ref="BK177" ca="1">INDIRECT("'"&amp;$C177&amp;"'!"&amp;"$"&amp;$D177&amp;$BK$1&amp;"")</f>
        <v>3.6000000000000005</v>
      </c>
      <c r="BL177" s="300"/>
      <c r="BM177" s="300">
        <v>0.9</v>
      </c>
      <c r="BN177" s="298">
        <v>0.51</v>
      </c>
    </row>
    <row r="178" spans="1:66" ht="15.75" thickBot="1" x14ac:dyDescent="0.25">
      <c r="A178" s="369">
        <v>45695</v>
      </c>
      <c r="B178" s="366">
        <v>0.95833333333333404</v>
      </c>
      <c r="C178" s="315">
        <v>7</v>
      </c>
      <c r="D178" s="321" t="s">
        <v>133</v>
      </c>
      <c r="E178" s="305">
        <v>14</v>
      </c>
      <c r="F178" s="306">
        <v>70.77</v>
      </c>
      <c r="G178" s="307" t="str" cm="1">
        <f t="array" aca="1" ref="G178" ca="1">INDIRECT("'"&amp;$C178&amp;"'!"&amp;"$"&amp;$D178&amp;$E$1&amp;"")</f>
        <v>CMS</v>
      </c>
      <c r="H178" s="308" t="s">
        <v>1</v>
      </c>
      <c r="I178" s="306" t="s">
        <v>1</v>
      </c>
      <c r="J178" s="307" t="str" cm="1">
        <f t="array" aca="1" ref="J178" ca="1">INDIRECT("'"&amp;$C178&amp;"'!"&amp;"$"&amp;$D178&amp;$J$1&amp;"")</f>
        <v>CMS</v>
      </c>
      <c r="K178" s="308"/>
      <c r="L178" s="308" t="s">
        <v>1</v>
      </c>
      <c r="M178" s="306" t="s">
        <v>1</v>
      </c>
      <c r="N178" s="307" cm="1">
        <f t="array" aca="1" ref="N178" ca="1">INDIRECT("'"&amp;$C178&amp;"'!"&amp;"$"&amp;$D178&amp;$N$1&amp;"")</f>
        <v>6.4</v>
      </c>
      <c r="O178" s="308"/>
      <c r="P178" s="308">
        <v>1</v>
      </c>
      <c r="Q178" s="306">
        <v>0.56999999999999995</v>
      </c>
      <c r="R178" s="307" cm="1">
        <f t="array" aca="1" ref="R178" ca="1">INDIRECT("'"&amp;$C178&amp;"'!"&amp;"$"&amp;$D178&amp;$R$1&amp;"")</f>
        <v>6.4</v>
      </c>
      <c r="S178" s="308"/>
      <c r="T178" s="308">
        <v>1</v>
      </c>
      <c r="U178" s="306">
        <v>0.56999999999999995</v>
      </c>
      <c r="V178" s="307" t="str" cm="1">
        <f t="array" aca="1" ref="V178" ca="1">INDIRECT("'"&amp;$C178&amp;"'!"&amp;"$"&amp;$D178&amp;$V$1&amp;"")</f>
        <v>CMS</v>
      </c>
      <c r="W178" s="308" t="s">
        <v>1</v>
      </c>
      <c r="X178" s="308" t="s">
        <v>1</v>
      </c>
      <c r="Y178" s="309" t="s">
        <v>1</v>
      </c>
      <c r="Z178" s="305" cm="1">
        <f t="array" aca="1" ref="Z178" ca="1">INDIRECT("'"&amp;$C178&amp;"'!"&amp;"$"&amp;$D178&amp;$Z$1&amp;"")</f>
        <v>0</v>
      </c>
      <c r="AA178" s="308" t="s">
        <v>1</v>
      </c>
      <c r="AB178" s="308" t="s">
        <v>1</v>
      </c>
      <c r="AC178" s="306" t="s">
        <v>1</v>
      </c>
      <c r="AD178" s="307" cm="1">
        <f t="array" aca="1" ref="AD178" ca="1">INDIRECT("'"&amp;$C178&amp;"'!"&amp;"$"&amp;$D178&amp;$AD$1&amp;"")</f>
        <v>3.3</v>
      </c>
      <c r="AE178" s="308">
        <f>3.8*3.64</f>
        <v>13.831999999999999</v>
      </c>
      <c r="AF178" s="308">
        <v>0.99</v>
      </c>
      <c r="AG178" s="309">
        <v>0.37</v>
      </c>
      <c r="AH178" s="305" cm="1">
        <f t="array" aca="1" ref="AH178" ca="1">INDIRECT("'"&amp;$C178&amp;"'!"&amp;"$"&amp;$D178&amp;$AH$1&amp;"")</f>
        <v>3.8</v>
      </c>
      <c r="AI178" s="308">
        <v>14.04</v>
      </c>
      <c r="AJ178" s="308">
        <v>0.97</v>
      </c>
      <c r="AK178" s="306">
        <v>0.88200000000000001</v>
      </c>
      <c r="AL178" s="305">
        <v>11.9</v>
      </c>
      <c r="AM178" s="309">
        <v>71.3</v>
      </c>
      <c r="AN178" s="305" cm="1">
        <f t="array" aca="1" ref="AN178" ca="1">INDIRECT("'"&amp;$C178&amp;"'!"&amp;"$"&amp;$D178&amp;$AL$1&amp;"")</f>
        <v>4.2</v>
      </c>
      <c r="AO178" s="308">
        <v>0.99</v>
      </c>
      <c r="AP178" s="306">
        <v>0.39</v>
      </c>
      <c r="AQ178" s="307" cm="1">
        <f t="array" aca="1" ref="AQ178" ca="1">INDIRECT("'"&amp;$C178&amp;"'!"&amp;"$"&amp;$D178&amp;$AQ$1&amp;"")</f>
        <v>4.2</v>
      </c>
      <c r="AR178" s="308">
        <v>0.99</v>
      </c>
      <c r="AS178" s="306">
        <v>0.39</v>
      </c>
      <c r="AT178" s="310">
        <v>0</v>
      </c>
      <c r="AU178" s="309">
        <v>0</v>
      </c>
      <c r="AV178" s="305" t="str" cm="1">
        <f t="array" aca="1" ref="AV178" ca="1">INDIRECT("'"&amp;$C178&amp;"'!"&amp;"$"&amp;$D178&amp;$AT$1&amp;"")</f>
        <v>PMS</v>
      </c>
      <c r="AW178" s="308" t="s">
        <v>1</v>
      </c>
      <c r="AX178" s="306" t="s">
        <v>1</v>
      </c>
      <c r="AY178" s="311">
        <v>71.3</v>
      </c>
      <c r="AZ178" s="295" cm="1">
        <f t="array" aca="1" ref="AZ178" ca="1">INDIRECT("'"&amp;$C178&amp;"'!"&amp;"$"&amp;$D178&amp;$AY$1&amp;"")</f>
        <v>10.100000000000001</v>
      </c>
      <c r="BA178" s="308">
        <v>0.98</v>
      </c>
      <c r="BB178" s="306">
        <v>2</v>
      </c>
      <c r="BC178" s="307" cm="1">
        <f t="array" aca="1" ref="BC178" ca="1">INDIRECT("'"&amp;$C178&amp;"'!"&amp;"$"&amp;$D178&amp;$BC$1&amp;"")</f>
        <v>0.88</v>
      </c>
      <c r="BD178" s="308"/>
      <c r="BE178" s="308">
        <v>0.99</v>
      </c>
      <c r="BF178" s="306">
        <v>0.09</v>
      </c>
      <c r="BG178" s="307" cm="1">
        <f t="array" aca="1" ref="BG178" ca="1">INDIRECT("'"&amp;$C178&amp;"'!"&amp;"$"&amp;$D178&amp;$BG$1&amp;"")</f>
        <v>0.78</v>
      </c>
      <c r="BH178" s="308"/>
      <c r="BI178" s="308">
        <v>0.96</v>
      </c>
      <c r="BJ178" s="306">
        <v>0.21</v>
      </c>
      <c r="BK178" s="307" cm="1">
        <f t="array" aca="1" ref="BK178" ca="1">INDIRECT("'"&amp;$C178&amp;"'!"&amp;"$"&amp;$D178&amp;$BK$1&amp;"")</f>
        <v>4.0999999999999996</v>
      </c>
      <c r="BL178" s="308"/>
      <c r="BM178" s="308">
        <v>0.99</v>
      </c>
      <c r="BN178" s="306">
        <v>0.57999999999999996</v>
      </c>
    </row>
    <row r="179" spans="1:66" ht="8.1" customHeight="1" thickBot="1" x14ac:dyDescent="0.25">
      <c r="AY179" s="314"/>
      <c r="AZ179" s="314"/>
    </row>
    <row r="180" spans="1:66" ht="15.75" thickBot="1" x14ac:dyDescent="0.25">
      <c r="A180" s="367">
        <v>45696</v>
      </c>
      <c r="B180" s="364">
        <v>0</v>
      </c>
      <c r="C180" s="315">
        <v>8</v>
      </c>
      <c r="D180" s="316" t="s">
        <v>110</v>
      </c>
      <c r="E180" s="284">
        <v>14</v>
      </c>
      <c r="F180" s="285">
        <v>70.59</v>
      </c>
      <c r="G180" s="286" cm="1">
        <f t="array" aca="1" ref="G180" ca="1">INDIRECT("'"&amp;$C180&amp;"'!"&amp;"$"&amp;$D180&amp;$E$1&amp;"")</f>
        <v>6.5</v>
      </c>
      <c r="H180" s="287">
        <v>1</v>
      </c>
      <c r="I180" s="285">
        <v>0.59</v>
      </c>
      <c r="J180" s="286" t="str" cm="1">
        <f t="array" aca="1" ref="J180" ca="1">INDIRECT("'"&amp;$C180&amp;"'!"&amp;"$"&amp;$D180&amp;$J$1&amp;"")</f>
        <v>CMS</v>
      </c>
      <c r="K180" s="287"/>
      <c r="L180" s="287" t="s">
        <v>1</v>
      </c>
      <c r="M180" s="285" t="s">
        <v>1</v>
      </c>
      <c r="N180" s="286" cm="1">
        <f t="array" aca="1" ref="N180" ca="1">INDIRECT("'"&amp;$C180&amp;"'!"&amp;"$"&amp;$D180&amp;$N$1&amp;"")</f>
        <v>6.5</v>
      </c>
      <c r="O180" s="287"/>
      <c r="P180" s="287">
        <v>1</v>
      </c>
      <c r="Q180" s="285">
        <v>0.59</v>
      </c>
      <c r="R180" s="286" cm="1">
        <f t="array" aca="1" ref="R180" ca="1">INDIRECT("'"&amp;$C180&amp;"'!"&amp;"$"&amp;$D180&amp;$R$1&amp;"")</f>
        <v>6.5</v>
      </c>
      <c r="S180" s="287"/>
      <c r="T180" s="287">
        <v>1</v>
      </c>
      <c r="U180" s="285">
        <v>0.59</v>
      </c>
      <c r="V180" s="286" t="str" cm="1">
        <f t="array" aca="1" ref="V180" ca="1">INDIRECT("'"&amp;$C180&amp;"'!"&amp;"$"&amp;$D180&amp;$V$1&amp;"")</f>
        <v>CMS</v>
      </c>
      <c r="W180" s="287" t="s">
        <v>1</v>
      </c>
      <c r="X180" s="287" t="s">
        <v>1</v>
      </c>
      <c r="Y180" s="288" t="s">
        <v>1</v>
      </c>
      <c r="Z180" s="284" cm="1">
        <f t="array" aca="1" ref="Z180" ca="1">INDIRECT("'"&amp;$C180&amp;"'!"&amp;"$"&amp;$D180&amp;$Z$1&amp;"")</f>
        <v>0</v>
      </c>
      <c r="AA180" s="287" t="s">
        <v>1</v>
      </c>
      <c r="AB180" s="287" t="s">
        <v>1</v>
      </c>
      <c r="AC180" s="285" t="s">
        <v>1</v>
      </c>
      <c r="AD180" s="286" cm="1">
        <f t="array" aca="1" ref="AD180" ca="1">INDIRECT("'"&amp;$C180&amp;"'!"&amp;"$"&amp;$D180&amp;$AD$1&amp;"")</f>
        <v>3.3</v>
      </c>
      <c r="AE180" s="287">
        <f>3.8*3.64</f>
        <v>13.831999999999999</v>
      </c>
      <c r="AF180" s="287">
        <v>1</v>
      </c>
      <c r="AG180" s="285">
        <v>0.13</v>
      </c>
      <c r="AH180" s="284" cm="1">
        <f t="array" aca="1" ref="AH180" ca="1">INDIRECT("'"&amp;$C180&amp;"'!"&amp;"$"&amp;$D180&amp;$AH$1&amp;"")</f>
        <v>3.8</v>
      </c>
      <c r="AI180" s="287">
        <v>14.04</v>
      </c>
      <c r="AJ180" s="287">
        <v>0.97</v>
      </c>
      <c r="AK180" s="285">
        <v>0.92800000000000005</v>
      </c>
      <c r="AL180" s="284">
        <v>11.9</v>
      </c>
      <c r="AM180" s="288">
        <v>71.400000000000006</v>
      </c>
      <c r="AN180" s="284" cm="1">
        <f t="array" aca="1" ref="AN180" ca="1">INDIRECT("'"&amp;$C180&amp;"'!"&amp;"$"&amp;$D180&amp;$AL$1&amp;"")</f>
        <v>4</v>
      </c>
      <c r="AO180" s="287">
        <v>0.99</v>
      </c>
      <c r="AP180" s="285">
        <v>0.9</v>
      </c>
      <c r="AQ180" s="286" cm="1">
        <f t="array" aca="1" ref="AQ180" ca="1">INDIRECT("'"&amp;$C180&amp;"'!"&amp;"$"&amp;$D180&amp;$AQ$1&amp;"")</f>
        <v>4</v>
      </c>
      <c r="AR180" s="287">
        <v>0.99</v>
      </c>
      <c r="AS180" s="285">
        <v>0.28999999999999998</v>
      </c>
      <c r="AT180" s="289">
        <v>0</v>
      </c>
      <c r="AU180" s="288">
        <v>0</v>
      </c>
      <c r="AV180" s="284" t="str" cm="1">
        <f t="array" aca="1" ref="AV180" ca="1">INDIRECT("'"&amp;$C180&amp;"'!"&amp;"$"&amp;$D180&amp;$AT$1&amp;"")</f>
        <v>PMS</v>
      </c>
      <c r="AW180" s="287" t="s">
        <v>1</v>
      </c>
      <c r="AX180" s="285" t="s">
        <v>1</v>
      </c>
      <c r="AY180" s="317">
        <v>69.7</v>
      </c>
      <c r="AZ180" s="289" cm="1">
        <f t="array" aca="1" ref="AZ180" ca="1">INDIRECT("'"&amp;$C180&amp;"'!"&amp;"$"&amp;$D180&amp;$AY$1&amp;"")</f>
        <v>0</v>
      </c>
      <c r="BA180" s="287" t="s">
        <v>1</v>
      </c>
      <c r="BB180" s="285" t="s">
        <v>1</v>
      </c>
      <c r="BC180" s="286" cm="1">
        <f t="array" aca="1" ref="BC180" ca="1">INDIRECT("'"&amp;$C180&amp;"'!"&amp;"$"&amp;$D180&amp;$BC$1&amp;"")</f>
        <v>0.81</v>
      </c>
      <c r="BD180" s="287"/>
      <c r="BE180" s="287">
        <v>0.99</v>
      </c>
      <c r="BF180" s="285">
        <v>0.08</v>
      </c>
      <c r="BG180" s="286" cm="1">
        <f t="array" aca="1" ref="BG180" ca="1">INDIRECT("'"&amp;$C180&amp;"'!"&amp;"$"&amp;$D180&amp;$BG$1&amp;"")</f>
        <v>0.73</v>
      </c>
      <c r="BH180" s="287"/>
      <c r="BI180" s="287">
        <v>0.96</v>
      </c>
      <c r="BJ180" s="285">
        <v>0.2</v>
      </c>
      <c r="BK180" s="286" cm="1">
        <f t="array" aca="1" ref="BK180" ca="1">INDIRECT("'"&amp;$C180&amp;"'!"&amp;"$"&amp;$D180&amp;$BK$1&amp;"")</f>
        <v>3.9999999999999996</v>
      </c>
      <c r="BL180" s="287"/>
      <c r="BM180" s="287">
        <v>0.99</v>
      </c>
      <c r="BN180" s="285">
        <v>0.56000000000000005</v>
      </c>
    </row>
    <row r="181" spans="1:66" ht="15.75" thickBot="1" x14ac:dyDescent="0.25">
      <c r="A181" s="368">
        <v>45696</v>
      </c>
      <c r="B181" s="365">
        <v>4.1666666666666699E-2</v>
      </c>
      <c r="C181" s="315">
        <v>8</v>
      </c>
      <c r="D181" s="319" t="s">
        <v>111</v>
      </c>
      <c r="E181" s="290">
        <v>14.2</v>
      </c>
      <c r="F181" s="291">
        <v>71</v>
      </c>
      <c r="G181" s="292" cm="1">
        <f t="array" aca="1" ref="G181" ca="1">INDIRECT("'"&amp;$C181&amp;"'!"&amp;"$"&amp;$D181&amp;$E$1&amp;"")</f>
        <v>6.5</v>
      </c>
      <c r="H181" s="293">
        <v>1</v>
      </c>
      <c r="I181" s="291">
        <v>0.48</v>
      </c>
      <c r="J181" s="292" t="str" cm="1">
        <f t="array" aca="1" ref="J181" ca="1">INDIRECT("'"&amp;$C181&amp;"'!"&amp;"$"&amp;$D181&amp;$J$1&amp;"")</f>
        <v>CMS</v>
      </c>
      <c r="K181" s="293"/>
      <c r="L181" s="293" t="s">
        <v>1</v>
      </c>
      <c r="M181" s="291" t="s">
        <v>1</v>
      </c>
      <c r="N181" s="292" cm="1">
        <f t="array" aca="1" ref="N181" ca="1">INDIRECT("'"&amp;$C181&amp;"'!"&amp;"$"&amp;$D181&amp;$N$1&amp;"")</f>
        <v>6.5</v>
      </c>
      <c r="O181" s="293"/>
      <c r="P181" s="293">
        <v>1</v>
      </c>
      <c r="Q181" s="291">
        <v>0.48</v>
      </c>
      <c r="R181" s="292" cm="1">
        <f t="array" aca="1" ref="R181" ca="1">INDIRECT("'"&amp;$C181&amp;"'!"&amp;"$"&amp;$D181&amp;$R$1&amp;"")</f>
        <v>6.5</v>
      </c>
      <c r="S181" s="293"/>
      <c r="T181" s="293">
        <v>1</v>
      </c>
      <c r="U181" s="291">
        <v>0.48</v>
      </c>
      <c r="V181" s="292" t="str" cm="1">
        <f t="array" aca="1" ref="V181" ca="1">INDIRECT("'"&amp;$C181&amp;"'!"&amp;"$"&amp;$D181&amp;$V$1&amp;"")</f>
        <v>CMS</v>
      </c>
      <c r="W181" s="293" t="s">
        <v>1</v>
      </c>
      <c r="X181" s="293" t="s">
        <v>1</v>
      </c>
      <c r="Y181" s="294" t="s">
        <v>1</v>
      </c>
      <c r="Z181" s="290" cm="1">
        <f t="array" aca="1" ref="Z181" ca="1">INDIRECT("'"&amp;$C181&amp;"'!"&amp;"$"&amp;$D181&amp;$Z$1&amp;"")</f>
        <v>0</v>
      </c>
      <c r="AA181" s="293" t="s">
        <v>1</v>
      </c>
      <c r="AB181" s="293" t="s">
        <v>1</v>
      </c>
      <c r="AC181" s="291" t="s">
        <v>1</v>
      </c>
      <c r="AD181" s="292" cm="1">
        <f t="array" aca="1" ref="AD181" ca="1">INDIRECT("'"&amp;$C181&amp;"'!"&amp;"$"&amp;$D181&amp;$AD$1&amp;"")</f>
        <v>3.3</v>
      </c>
      <c r="AE181" s="293">
        <f>3.8*3.66</f>
        <v>13.907999999999999</v>
      </c>
      <c r="AF181" s="293">
        <v>1</v>
      </c>
      <c r="AG181" s="294">
        <v>0.12</v>
      </c>
      <c r="AH181" s="290" cm="1">
        <f t="array" aca="1" ref="AH181" ca="1">INDIRECT("'"&amp;$C181&amp;"'!"&amp;"$"&amp;$D181&amp;$AH$1&amp;"")</f>
        <v>3.8</v>
      </c>
      <c r="AI181" s="293">
        <v>14.04</v>
      </c>
      <c r="AJ181" s="293">
        <v>0.98</v>
      </c>
      <c r="AK181" s="291">
        <v>0.78400000000000003</v>
      </c>
      <c r="AL181" s="290">
        <v>11.9</v>
      </c>
      <c r="AM181" s="294">
        <v>71.3</v>
      </c>
      <c r="AN181" s="290" cm="1">
        <f t="array" aca="1" ref="AN181" ca="1">INDIRECT("'"&amp;$C181&amp;"'!"&amp;"$"&amp;$D181&amp;$AL$1&amp;"")</f>
        <v>3</v>
      </c>
      <c r="AO181" s="293">
        <v>0.99</v>
      </c>
      <c r="AP181" s="291">
        <v>0.33</v>
      </c>
      <c r="AQ181" s="292" cm="1">
        <f t="array" aca="1" ref="AQ181" ca="1">INDIRECT("'"&amp;$C181&amp;"'!"&amp;"$"&amp;$D181&amp;$AQ$1&amp;"")</f>
        <v>3</v>
      </c>
      <c r="AR181" s="293">
        <v>0.99</v>
      </c>
      <c r="AS181" s="291">
        <v>0.33</v>
      </c>
      <c r="AT181" s="295">
        <v>0</v>
      </c>
      <c r="AU181" s="294">
        <v>0</v>
      </c>
      <c r="AV181" s="290" t="str" cm="1">
        <f t="array" aca="1" ref="AV181" ca="1">INDIRECT("'"&amp;$C181&amp;"'!"&amp;"$"&amp;$D181&amp;$AT$1&amp;"")</f>
        <v>PMS</v>
      </c>
      <c r="AW181" s="293" t="s">
        <v>1</v>
      </c>
      <c r="AX181" s="291" t="s">
        <v>1</v>
      </c>
      <c r="AY181" s="296">
        <v>70.2</v>
      </c>
      <c r="AZ181" s="295" cm="1">
        <f t="array" aca="1" ref="AZ181" ca="1">INDIRECT("'"&amp;$C181&amp;"'!"&amp;"$"&amp;$D181&amp;$AY$1&amp;"")</f>
        <v>0</v>
      </c>
      <c r="BA181" s="293" t="s">
        <v>1</v>
      </c>
      <c r="BB181" s="291" t="s">
        <v>1</v>
      </c>
      <c r="BC181" s="292" cm="1">
        <f t="array" aca="1" ref="BC181" ca="1">INDIRECT("'"&amp;$C181&amp;"'!"&amp;"$"&amp;$D181&amp;$BC$1&amp;"")</f>
        <v>0.76</v>
      </c>
      <c r="BD181" s="293"/>
      <c r="BE181" s="293">
        <v>0.99</v>
      </c>
      <c r="BF181" s="291">
        <v>0.08</v>
      </c>
      <c r="BG181" s="292" cm="1">
        <f t="array" aca="1" ref="BG181" ca="1">INDIRECT("'"&amp;$C181&amp;"'!"&amp;"$"&amp;$D181&amp;$BG$1&amp;"")</f>
        <v>0.71</v>
      </c>
      <c r="BH181" s="293"/>
      <c r="BI181" s="293">
        <v>0.96</v>
      </c>
      <c r="BJ181" s="291">
        <v>0.18</v>
      </c>
      <c r="BK181" s="292" cm="1">
        <f t="array" aca="1" ref="BK181" ca="1">INDIRECT("'"&amp;$C181&amp;"'!"&amp;"$"&amp;$D181&amp;$BK$1&amp;"")</f>
        <v>3.6</v>
      </c>
      <c r="BL181" s="293"/>
      <c r="BM181" s="293">
        <v>0.99</v>
      </c>
      <c r="BN181" s="291">
        <v>0.51</v>
      </c>
    </row>
    <row r="182" spans="1:66" ht="15.75" thickBot="1" x14ac:dyDescent="0.25">
      <c r="A182" s="368">
        <v>45696</v>
      </c>
      <c r="B182" s="365">
        <v>8.3333333333333301E-2</v>
      </c>
      <c r="C182" s="315">
        <v>8</v>
      </c>
      <c r="D182" s="319" t="s">
        <v>112</v>
      </c>
      <c r="E182" s="297">
        <v>14.1</v>
      </c>
      <c r="F182" s="298">
        <v>71</v>
      </c>
      <c r="G182" s="299" cm="1">
        <f t="array" aca="1" ref="G182" ca="1">INDIRECT("'"&amp;$C182&amp;"'!"&amp;"$"&amp;$D182&amp;$E$1&amp;"")</f>
        <v>6.4</v>
      </c>
      <c r="H182" s="300">
        <v>1</v>
      </c>
      <c r="I182" s="298">
        <v>0.5</v>
      </c>
      <c r="J182" s="299" t="str" cm="1">
        <f t="array" aca="1" ref="J182" ca="1">INDIRECT("'"&amp;$C182&amp;"'!"&amp;"$"&amp;$D182&amp;$J$1&amp;"")</f>
        <v>CMS</v>
      </c>
      <c r="K182" s="300"/>
      <c r="L182" s="300" t="s">
        <v>1</v>
      </c>
      <c r="M182" s="298" t="s">
        <v>1</v>
      </c>
      <c r="N182" s="299" cm="1">
        <f t="array" aca="1" ref="N182" ca="1">INDIRECT("'"&amp;$C182&amp;"'!"&amp;"$"&amp;$D182&amp;$N$1&amp;"")</f>
        <v>6.4</v>
      </c>
      <c r="O182" s="300"/>
      <c r="P182" s="300">
        <v>1</v>
      </c>
      <c r="Q182" s="298">
        <v>0.5</v>
      </c>
      <c r="R182" s="299" cm="1">
        <f t="array" aca="1" ref="R182" ca="1">INDIRECT("'"&amp;$C182&amp;"'!"&amp;"$"&amp;$D182&amp;$R$1&amp;"")</f>
        <v>6.4</v>
      </c>
      <c r="S182" s="300"/>
      <c r="T182" s="300">
        <v>1</v>
      </c>
      <c r="U182" s="298">
        <v>0.5</v>
      </c>
      <c r="V182" s="299" t="str" cm="1">
        <f t="array" aca="1" ref="V182" ca="1">INDIRECT("'"&amp;$C182&amp;"'!"&amp;"$"&amp;$D182&amp;$V$1&amp;"")</f>
        <v>CMS</v>
      </c>
      <c r="W182" s="300" t="s">
        <v>1</v>
      </c>
      <c r="X182" s="300" t="s">
        <v>1</v>
      </c>
      <c r="Y182" s="301" t="s">
        <v>1</v>
      </c>
      <c r="Z182" s="290" cm="1">
        <f t="array" aca="1" ref="Z182" ca="1">INDIRECT("'"&amp;$C182&amp;"'!"&amp;"$"&amp;$D182&amp;$Z$1&amp;"")</f>
        <v>0</v>
      </c>
      <c r="AA182" s="300" t="s">
        <v>1</v>
      </c>
      <c r="AB182" s="300" t="s">
        <v>1</v>
      </c>
      <c r="AC182" s="298" t="s">
        <v>1</v>
      </c>
      <c r="AD182" s="299" cm="1">
        <f t="array" aca="1" ref="AD182" ca="1">INDIRECT("'"&amp;$C182&amp;"'!"&amp;"$"&amp;$D182&amp;$AD$1&amp;"")</f>
        <v>3.2</v>
      </c>
      <c r="AE182" s="300">
        <f>3.8*3.56</f>
        <v>13.527999999999999</v>
      </c>
      <c r="AF182" s="300">
        <v>1</v>
      </c>
      <c r="AG182" s="301">
        <v>0.11</v>
      </c>
      <c r="AH182" s="297" cm="1">
        <f t="array" aca="1" ref="AH182" ca="1">INDIRECT("'"&amp;$C182&amp;"'!"&amp;"$"&amp;$D182&amp;$AH$1&amp;"")</f>
        <v>3</v>
      </c>
      <c r="AI182" s="300">
        <v>14.04</v>
      </c>
      <c r="AJ182" s="300">
        <v>0.98</v>
      </c>
      <c r="AK182" s="298">
        <v>0.73499999999999999</v>
      </c>
      <c r="AL182" s="297">
        <v>11.8</v>
      </c>
      <c r="AM182" s="301">
        <v>70.5</v>
      </c>
      <c r="AN182" s="297" cm="1">
        <f t="array" aca="1" ref="AN182" ca="1">INDIRECT("'"&amp;$C182&amp;"'!"&amp;"$"&amp;$D182&amp;$AL$1&amp;"")</f>
        <v>2.5</v>
      </c>
      <c r="AO182" s="300">
        <v>0.99</v>
      </c>
      <c r="AP182" s="298">
        <v>0.55000000000000004</v>
      </c>
      <c r="AQ182" s="299" cm="1">
        <f t="array" aca="1" ref="AQ182" ca="1">INDIRECT("'"&amp;$C182&amp;"'!"&amp;"$"&amp;$D182&amp;$AQ$1&amp;"")</f>
        <v>2.5</v>
      </c>
      <c r="AR182" s="300">
        <v>0.99</v>
      </c>
      <c r="AS182" s="298">
        <v>0.55000000000000004</v>
      </c>
      <c r="AT182" s="302">
        <v>0</v>
      </c>
      <c r="AU182" s="301">
        <v>0</v>
      </c>
      <c r="AV182" s="297" t="str" cm="1">
        <f t="array" aca="1" ref="AV182" ca="1">INDIRECT("'"&amp;$C182&amp;"'!"&amp;"$"&amp;$D182&amp;$AT$1&amp;"")</f>
        <v>PMS</v>
      </c>
      <c r="AW182" s="300" t="s">
        <v>1</v>
      </c>
      <c r="AX182" s="298" t="s">
        <v>1</v>
      </c>
      <c r="AY182" s="303">
        <v>69.900000000000006</v>
      </c>
      <c r="AZ182" s="302" cm="1">
        <f t="array" aca="1" ref="AZ182" ca="1">INDIRECT("'"&amp;$C182&amp;"'!"&amp;"$"&amp;$D182&amp;$AY$1&amp;"")</f>
        <v>0</v>
      </c>
      <c r="BA182" s="300" t="s">
        <v>1</v>
      </c>
      <c r="BB182" s="298" t="s">
        <v>1</v>
      </c>
      <c r="BC182" s="299" cm="1">
        <f t="array" aca="1" ref="BC182" ca="1">INDIRECT("'"&amp;$C182&amp;"'!"&amp;"$"&amp;$D182&amp;$BC$1&amp;"")</f>
        <v>0.75</v>
      </c>
      <c r="BD182" s="300"/>
      <c r="BE182" s="300">
        <v>0.99</v>
      </c>
      <c r="BF182" s="298">
        <v>7.0000000000000007E-2</v>
      </c>
      <c r="BG182" s="299" cm="1">
        <f t="array" aca="1" ref="BG182" ca="1">INDIRECT("'"&amp;$C182&amp;"'!"&amp;"$"&amp;$D182&amp;$BG$1&amp;"")</f>
        <v>0.67</v>
      </c>
      <c r="BH182" s="300"/>
      <c r="BI182" s="300">
        <v>0.96</v>
      </c>
      <c r="BJ182" s="298">
        <v>0.18</v>
      </c>
      <c r="BK182" s="299" cm="1">
        <f t="array" aca="1" ref="BK182" ca="1">INDIRECT("'"&amp;$C182&amp;"'!"&amp;"$"&amp;$D182&amp;$BK$1&amp;"")</f>
        <v>3.6</v>
      </c>
      <c r="BL182" s="300"/>
      <c r="BM182" s="300">
        <v>0.99</v>
      </c>
      <c r="BN182" s="298">
        <v>0.51</v>
      </c>
    </row>
    <row r="183" spans="1:66" ht="15.75" thickBot="1" x14ac:dyDescent="0.25">
      <c r="A183" s="368">
        <v>45696</v>
      </c>
      <c r="B183" s="365">
        <v>0.125</v>
      </c>
      <c r="C183" s="315">
        <v>8</v>
      </c>
      <c r="D183" s="319" t="s">
        <v>113</v>
      </c>
      <c r="E183" s="290">
        <v>14.1</v>
      </c>
      <c r="F183" s="291">
        <v>70.900000000000006</v>
      </c>
      <c r="G183" s="292" cm="1">
        <f t="array" aca="1" ref="G183" ca="1">INDIRECT("'"&amp;$C183&amp;"'!"&amp;"$"&amp;$D183&amp;$E$1&amp;"")</f>
        <v>6.6</v>
      </c>
      <c r="H183" s="293">
        <v>1</v>
      </c>
      <c r="I183" s="291">
        <v>0.37</v>
      </c>
      <c r="J183" s="292" t="str" cm="1">
        <f t="array" aca="1" ref="J183" ca="1">INDIRECT("'"&amp;$C183&amp;"'!"&amp;"$"&amp;$D183&amp;$J$1&amp;"")</f>
        <v>CMS</v>
      </c>
      <c r="K183" s="293"/>
      <c r="L183" s="293" t="s">
        <v>1</v>
      </c>
      <c r="M183" s="291" t="s">
        <v>1</v>
      </c>
      <c r="N183" s="292" cm="1">
        <f t="array" aca="1" ref="N183" ca="1">INDIRECT("'"&amp;$C183&amp;"'!"&amp;"$"&amp;$D183&amp;$N$1&amp;"")</f>
        <v>0</v>
      </c>
      <c r="O183" s="293"/>
      <c r="P183" s="293" t="s">
        <v>1</v>
      </c>
      <c r="Q183" s="291" t="s">
        <v>1</v>
      </c>
      <c r="R183" s="292" cm="1">
        <f t="array" aca="1" ref="R183" ca="1">INDIRECT("'"&amp;$C183&amp;"'!"&amp;"$"&amp;$D183&amp;$R$1&amp;"")</f>
        <v>6.6</v>
      </c>
      <c r="S183" s="293"/>
      <c r="T183" s="293">
        <v>1</v>
      </c>
      <c r="U183" s="291">
        <v>0.37</v>
      </c>
      <c r="V183" s="292" t="str" cm="1">
        <f t="array" aca="1" ref="V183" ca="1">INDIRECT("'"&amp;$C183&amp;"'!"&amp;"$"&amp;$D183&amp;$V$1&amp;"")</f>
        <v>CMS</v>
      </c>
      <c r="W183" s="293" t="s">
        <v>1</v>
      </c>
      <c r="X183" s="293" t="s">
        <v>1</v>
      </c>
      <c r="Y183" s="294" t="s">
        <v>1</v>
      </c>
      <c r="Z183" s="290" cm="1">
        <f t="array" aca="1" ref="Z183" ca="1">INDIRECT("'"&amp;$C183&amp;"'!"&amp;"$"&amp;$D183&amp;$Z$1&amp;"")</f>
        <v>0</v>
      </c>
      <c r="AA183" s="293" t="s">
        <v>1</v>
      </c>
      <c r="AB183" s="293" t="s">
        <v>1</v>
      </c>
      <c r="AC183" s="291" t="s">
        <v>1</v>
      </c>
      <c r="AD183" s="292" cm="1">
        <f t="array" aca="1" ref="AD183" ca="1">INDIRECT("'"&amp;$C183&amp;"'!"&amp;"$"&amp;$D183&amp;$AD$1&amp;"")</f>
        <v>3.3</v>
      </c>
      <c r="AE183" s="293">
        <f>3.8*3.66</f>
        <v>13.907999999999999</v>
      </c>
      <c r="AF183" s="293">
        <v>1</v>
      </c>
      <c r="AG183" s="294">
        <v>0.14000000000000001</v>
      </c>
      <c r="AH183" s="290" cm="1">
        <f t="array" aca="1" ref="AH183" ca="1">INDIRECT("'"&amp;$C183&amp;"'!"&amp;"$"&amp;$D183&amp;$AH$1&amp;"")</f>
        <v>3.8</v>
      </c>
      <c r="AI183" s="293">
        <v>14.04</v>
      </c>
      <c r="AJ183" s="293">
        <v>0.98</v>
      </c>
      <c r="AK183" s="291">
        <v>0.69899999999999995</v>
      </c>
      <c r="AL183" s="290">
        <v>11.8</v>
      </c>
      <c r="AM183" s="294">
        <v>71</v>
      </c>
      <c r="AN183" s="290" cm="1">
        <f t="array" aca="1" ref="AN183" ca="1">INDIRECT("'"&amp;$C183&amp;"'!"&amp;"$"&amp;$D183&amp;$AL$1&amp;"")</f>
        <v>4</v>
      </c>
      <c r="AO183" s="293">
        <v>0.99</v>
      </c>
      <c r="AP183" s="291">
        <v>0.32</v>
      </c>
      <c r="AQ183" s="292" cm="1">
        <f t="array" aca="1" ref="AQ183" ca="1">INDIRECT("'"&amp;$C183&amp;"'!"&amp;"$"&amp;$D183&amp;$AQ$1&amp;"")</f>
        <v>4</v>
      </c>
      <c r="AR183" s="293">
        <v>0.99</v>
      </c>
      <c r="AS183" s="291">
        <v>0.32</v>
      </c>
      <c r="AT183" s="295">
        <v>0</v>
      </c>
      <c r="AU183" s="294">
        <v>0</v>
      </c>
      <c r="AV183" s="290" t="str" cm="1">
        <f t="array" aca="1" ref="AV183" ca="1">INDIRECT("'"&amp;$C183&amp;"'!"&amp;"$"&amp;$D183&amp;$AT$1&amp;"")</f>
        <v>PMS</v>
      </c>
      <c r="AW183" s="293" t="s">
        <v>1</v>
      </c>
      <c r="AX183" s="291" t="s">
        <v>1</v>
      </c>
      <c r="AY183" s="296">
        <v>70.2</v>
      </c>
      <c r="AZ183" s="295" cm="1">
        <f t="array" aca="1" ref="AZ183" ca="1">INDIRECT("'"&amp;$C183&amp;"'!"&amp;"$"&amp;$D183&amp;$AY$1&amp;"")</f>
        <v>2.34</v>
      </c>
      <c r="BA183" s="293">
        <v>0.98</v>
      </c>
      <c r="BB183" s="291">
        <v>0.47</v>
      </c>
      <c r="BC183" s="292" cm="1">
        <f t="array" aca="1" ref="BC183" ca="1">INDIRECT("'"&amp;$C183&amp;"'!"&amp;"$"&amp;$D183&amp;$BC$1&amp;"")</f>
        <v>0.7</v>
      </c>
      <c r="BD183" s="293"/>
      <c r="BE183" s="293">
        <v>0.99</v>
      </c>
      <c r="BF183" s="291">
        <v>0.05</v>
      </c>
      <c r="BG183" s="292" cm="1">
        <f t="array" aca="1" ref="BG183" ca="1">INDIRECT("'"&amp;$C183&amp;"'!"&amp;"$"&amp;$D183&amp;$BG$1&amp;"")</f>
        <v>0.69</v>
      </c>
      <c r="BH183" s="293"/>
      <c r="BI183" s="293">
        <v>0.96</v>
      </c>
      <c r="BJ183" s="291">
        <v>0.18</v>
      </c>
      <c r="BK183" s="292" cm="1">
        <f t="array" aca="1" ref="BK183" ca="1">INDIRECT("'"&amp;$C183&amp;"'!"&amp;"$"&amp;$D183&amp;$BK$1&amp;"")</f>
        <v>3.6</v>
      </c>
      <c r="BL183" s="293"/>
      <c r="BM183" s="293">
        <v>0.99</v>
      </c>
      <c r="BN183" s="291">
        <v>0.48</v>
      </c>
    </row>
    <row r="184" spans="1:66" ht="15.75" thickBot="1" x14ac:dyDescent="0.25">
      <c r="A184" s="368">
        <v>45696</v>
      </c>
      <c r="B184" s="365">
        <v>0.16666666666666699</v>
      </c>
      <c r="C184" s="315">
        <v>8</v>
      </c>
      <c r="D184" s="319" t="s">
        <v>114</v>
      </c>
      <c r="E184" s="297">
        <v>14</v>
      </c>
      <c r="F184" s="298">
        <v>70.599999999999994</v>
      </c>
      <c r="G184" s="299" cm="1">
        <f t="array" aca="1" ref="G184" ca="1">INDIRECT("'"&amp;$C184&amp;"'!"&amp;"$"&amp;$D184&amp;$E$1&amp;"")</f>
        <v>6.6</v>
      </c>
      <c r="H184" s="300">
        <v>1</v>
      </c>
      <c r="I184" s="298">
        <v>0.56000000000000005</v>
      </c>
      <c r="J184" s="299" t="str" cm="1">
        <f t="array" aca="1" ref="J184" ca="1">INDIRECT("'"&amp;$C184&amp;"'!"&amp;"$"&amp;$D184&amp;$J$1&amp;"")</f>
        <v>CMS</v>
      </c>
      <c r="K184" s="300"/>
      <c r="L184" s="300" t="s">
        <v>1</v>
      </c>
      <c r="M184" s="298" t="s">
        <v>1</v>
      </c>
      <c r="N184" s="299" cm="1">
        <f t="array" aca="1" ref="N184" ca="1">INDIRECT("'"&amp;$C184&amp;"'!"&amp;"$"&amp;$D184&amp;$N$1&amp;"")</f>
        <v>0</v>
      </c>
      <c r="O184" s="300"/>
      <c r="P184" s="300" t="s">
        <v>1</v>
      </c>
      <c r="Q184" s="298" t="s">
        <v>1</v>
      </c>
      <c r="R184" s="299" cm="1">
        <f t="array" aca="1" ref="R184" ca="1">INDIRECT("'"&amp;$C184&amp;"'!"&amp;"$"&amp;$D184&amp;$R$1&amp;"")</f>
        <v>6.6</v>
      </c>
      <c r="S184" s="300"/>
      <c r="T184" s="300">
        <v>1</v>
      </c>
      <c r="U184" s="298">
        <v>0.56000000000000005</v>
      </c>
      <c r="V184" s="299" t="str" cm="1">
        <f t="array" aca="1" ref="V184" ca="1">INDIRECT("'"&amp;$C184&amp;"'!"&amp;"$"&amp;$D184&amp;$V$1&amp;"")</f>
        <v>CMS</v>
      </c>
      <c r="W184" s="300" t="s">
        <v>1</v>
      </c>
      <c r="X184" s="300" t="s">
        <v>1</v>
      </c>
      <c r="Y184" s="301" t="s">
        <v>1</v>
      </c>
      <c r="Z184" s="297" cm="1">
        <f t="array" aca="1" ref="Z184" ca="1">INDIRECT("'"&amp;$C184&amp;"'!"&amp;"$"&amp;$D184&amp;$Z$1&amp;"")</f>
        <v>0</v>
      </c>
      <c r="AA184" s="300" t="s">
        <v>1</v>
      </c>
      <c r="AB184" s="300" t="s">
        <v>1</v>
      </c>
      <c r="AC184" s="298" t="s">
        <v>1</v>
      </c>
      <c r="AD184" s="299" cm="1">
        <f t="array" aca="1" ref="AD184" ca="1">INDIRECT("'"&amp;$C184&amp;"'!"&amp;"$"&amp;$D184&amp;$AD$1&amp;"")</f>
        <v>3.3</v>
      </c>
      <c r="AE184" s="300">
        <f>3.8*3.65</f>
        <v>13.87</v>
      </c>
      <c r="AF184" s="300">
        <v>1</v>
      </c>
      <c r="AG184" s="301">
        <v>0.15</v>
      </c>
      <c r="AH184" s="297" cm="1">
        <f t="array" aca="1" ref="AH184" ca="1">INDIRECT("'"&amp;$C184&amp;"'!"&amp;"$"&amp;$D184&amp;$AH$1&amp;"")</f>
        <v>3.8</v>
      </c>
      <c r="AI184" s="300">
        <v>14.04</v>
      </c>
      <c r="AJ184" s="300">
        <v>0.98</v>
      </c>
      <c r="AK184" s="298">
        <v>0.77100000000000002</v>
      </c>
      <c r="AL184" s="297">
        <v>11.8</v>
      </c>
      <c r="AM184" s="301">
        <v>71</v>
      </c>
      <c r="AN184" s="297" cm="1">
        <f t="array" aca="1" ref="AN184" ca="1">INDIRECT("'"&amp;$C184&amp;"'!"&amp;"$"&amp;$D184&amp;$AL$1&amp;"")</f>
        <v>4</v>
      </c>
      <c r="AO184" s="300">
        <v>0.99</v>
      </c>
      <c r="AP184" s="298">
        <v>0.32</v>
      </c>
      <c r="AQ184" s="299" cm="1">
        <f t="array" aca="1" ref="AQ184" ca="1">INDIRECT("'"&amp;$C184&amp;"'!"&amp;"$"&amp;$D184&amp;$AQ$1&amp;"")</f>
        <v>4</v>
      </c>
      <c r="AR184" s="300">
        <v>0.99</v>
      </c>
      <c r="AS184" s="298">
        <v>0.32</v>
      </c>
      <c r="AT184" s="302">
        <v>0</v>
      </c>
      <c r="AU184" s="301">
        <v>0</v>
      </c>
      <c r="AV184" s="297" t="str" cm="1">
        <f t="array" aca="1" ref="AV184" ca="1">INDIRECT("'"&amp;$C184&amp;"'!"&amp;"$"&amp;$D184&amp;$AT$1&amp;"")</f>
        <v>PMS</v>
      </c>
      <c r="AW184" s="300" t="s">
        <v>1</v>
      </c>
      <c r="AX184" s="298" t="s">
        <v>1</v>
      </c>
      <c r="AY184" s="303">
        <v>70</v>
      </c>
      <c r="AZ184" s="302" cm="1">
        <f t="array" aca="1" ref="AZ184" ca="1">INDIRECT("'"&amp;$C184&amp;"'!"&amp;"$"&amp;$D184&amp;$AY$1&amp;"")</f>
        <v>1.6</v>
      </c>
      <c r="BA184" s="300">
        <v>0.98</v>
      </c>
      <c r="BB184" s="298">
        <v>0.32</v>
      </c>
      <c r="BC184" s="299" cm="1">
        <f t="array" aca="1" ref="BC184" ca="1">INDIRECT("'"&amp;$C184&amp;"'!"&amp;"$"&amp;$D184&amp;$BC$1&amp;"")</f>
        <v>0.69</v>
      </c>
      <c r="BD184" s="300"/>
      <c r="BE184" s="300">
        <v>0.99</v>
      </c>
      <c r="BF184" s="298">
        <v>0.05</v>
      </c>
      <c r="BG184" s="299" cm="1">
        <f t="array" aca="1" ref="BG184" ca="1">INDIRECT("'"&amp;$C184&amp;"'!"&amp;"$"&amp;$D184&amp;$BG$1&amp;"")</f>
        <v>0.69</v>
      </c>
      <c r="BH184" s="300"/>
      <c r="BI184" s="300">
        <v>0.96</v>
      </c>
      <c r="BJ184" s="298">
        <v>0.19</v>
      </c>
      <c r="BK184" s="299" cm="1">
        <f t="array" aca="1" ref="BK184" ca="1">INDIRECT("'"&amp;$C184&amp;"'!"&amp;"$"&amp;$D184&amp;$BK$1&amp;"")</f>
        <v>3.7</v>
      </c>
      <c r="BL184" s="300"/>
      <c r="BM184" s="300">
        <v>0.99</v>
      </c>
      <c r="BN184" s="298">
        <v>0.52</v>
      </c>
    </row>
    <row r="185" spans="1:66" ht="15.75" thickBot="1" x14ac:dyDescent="0.25">
      <c r="A185" s="368">
        <v>45696</v>
      </c>
      <c r="B185" s="365">
        <v>0.20833333333333301</v>
      </c>
      <c r="C185" s="315">
        <v>8</v>
      </c>
      <c r="D185" s="319" t="s">
        <v>115</v>
      </c>
      <c r="E185" s="290">
        <v>14</v>
      </c>
      <c r="F185" s="291">
        <v>70.56</v>
      </c>
      <c r="G185" s="292" cm="1">
        <f t="array" aca="1" ref="G185" ca="1">INDIRECT("'"&amp;$C185&amp;"'!"&amp;"$"&amp;$D185&amp;$E$1&amp;"")</f>
        <v>6.7</v>
      </c>
      <c r="H185" s="293">
        <v>1</v>
      </c>
      <c r="I185" s="291">
        <v>0.51300000000000001</v>
      </c>
      <c r="J185" s="292" t="str" cm="1">
        <f t="array" aca="1" ref="J185" ca="1">INDIRECT("'"&amp;$C185&amp;"'!"&amp;"$"&amp;$D185&amp;$J$1&amp;"")</f>
        <v>CMS</v>
      </c>
      <c r="K185" s="293"/>
      <c r="L185" s="293" t="s">
        <v>1</v>
      </c>
      <c r="M185" s="291" t="s">
        <v>1</v>
      </c>
      <c r="N185" s="292" cm="1">
        <f t="array" aca="1" ref="N185" ca="1">INDIRECT("'"&amp;$C185&amp;"'!"&amp;"$"&amp;$D185&amp;$N$1&amp;"")</f>
        <v>0</v>
      </c>
      <c r="O185" s="293"/>
      <c r="P185" s="293" t="s">
        <v>1</v>
      </c>
      <c r="Q185" s="291" t="s">
        <v>1</v>
      </c>
      <c r="R185" s="292" cm="1">
        <f t="array" aca="1" ref="R185" ca="1">INDIRECT("'"&amp;$C185&amp;"'!"&amp;"$"&amp;$D185&amp;$R$1&amp;"")</f>
        <v>6.7</v>
      </c>
      <c r="S185" s="293"/>
      <c r="T185" s="293">
        <v>1</v>
      </c>
      <c r="U185" s="291">
        <v>0.51300000000000001</v>
      </c>
      <c r="V185" s="292" t="str" cm="1">
        <f t="array" aca="1" ref="V185" ca="1">INDIRECT("'"&amp;$C185&amp;"'!"&amp;"$"&amp;$D185&amp;$V$1&amp;"")</f>
        <v>CMS</v>
      </c>
      <c r="W185" s="293" t="s">
        <v>1</v>
      </c>
      <c r="X185" s="293" t="s">
        <v>1</v>
      </c>
      <c r="Y185" s="294" t="s">
        <v>1</v>
      </c>
      <c r="Z185" s="290" cm="1">
        <f t="array" aca="1" ref="Z185" ca="1">INDIRECT("'"&amp;$C185&amp;"'!"&amp;"$"&amp;$D185&amp;$Z$1&amp;"")</f>
        <v>0</v>
      </c>
      <c r="AA185" s="293" t="s">
        <v>1</v>
      </c>
      <c r="AB185" s="293" t="s">
        <v>1</v>
      </c>
      <c r="AC185" s="291" t="s">
        <v>1</v>
      </c>
      <c r="AD185" s="292" cm="1">
        <f t="array" aca="1" ref="AD185" ca="1">INDIRECT("'"&amp;$C185&amp;"'!"&amp;"$"&amp;$D185&amp;$AD$1&amp;"")</f>
        <v>3.3</v>
      </c>
      <c r="AE185" s="293">
        <f>3.8*3.64</f>
        <v>13.831999999999999</v>
      </c>
      <c r="AF185" s="293">
        <v>1</v>
      </c>
      <c r="AG185" s="294">
        <v>0.13</v>
      </c>
      <c r="AH185" s="290" cm="1">
        <f t="array" aca="1" ref="AH185" ca="1">INDIRECT("'"&amp;$C185&amp;"'!"&amp;"$"&amp;$D185&amp;$AH$1&amp;"")</f>
        <v>3.8</v>
      </c>
      <c r="AI185" s="293">
        <v>14.04</v>
      </c>
      <c r="AJ185" s="293">
        <v>0.98</v>
      </c>
      <c r="AK185" s="291">
        <v>0.69299999999999995</v>
      </c>
      <c r="AL185" s="290">
        <v>11.8</v>
      </c>
      <c r="AM185" s="294">
        <v>70.400000000000006</v>
      </c>
      <c r="AN185" s="290" cm="1">
        <f t="array" aca="1" ref="AN185" ca="1">INDIRECT("'"&amp;$C185&amp;"'!"&amp;"$"&amp;$D185&amp;$AL$1&amp;"")</f>
        <v>4</v>
      </c>
      <c r="AO185" s="293">
        <v>0.99</v>
      </c>
      <c r="AP185" s="291">
        <v>0.28000000000000003</v>
      </c>
      <c r="AQ185" s="292" cm="1">
        <f t="array" aca="1" ref="AQ185" ca="1">INDIRECT("'"&amp;$C185&amp;"'!"&amp;"$"&amp;$D185&amp;$AQ$1&amp;"")</f>
        <v>4</v>
      </c>
      <c r="AR185" s="293">
        <v>0.99</v>
      </c>
      <c r="AS185" s="291">
        <v>0.28000000000000003</v>
      </c>
      <c r="AT185" s="295">
        <v>0</v>
      </c>
      <c r="AU185" s="294">
        <v>0</v>
      </c>
      <c r="AV185" s="290" t="str" cm="1">
        <f t="array" aca="1" ref="AV185" ca="1">INDIRECT("'"&amp;$C185&amp;"'!"&amp;"$"&amp;$D185&amp;$AT$1&amp;"")</f>
        <v>PMS</v>
      </c>
      <c r="AW185" s="293" t="s">
        <v>1</v>
      </c>
      <c r="AX185" s="291" t="s">
        <v>1</v>
      </c>
      <c r="AY185" s="296">
        <v>69.7</v>
      </c>
      <c r="AZ185" s="295" cm="1">
        <f t="array" aca="1" ref="AZ185" ca="1">INDIRECT("'"&amp;$C185&amp;"'!"&amp;"$"&amp;$D185&amp;$AY$1&amp;"")</f>
        <v>1.6</v>
      </c>
      <c r="BA185" s="293">
        <v>0.98</v>
      </c>
      <c r="BB185" s="291">
        <v>0.33</v>
      </c>
      <c r="BC185" s="292" cm="1">
        <f t="array" aca="1" ref="BC185" ca="1">INDIRECT("'"&amp;$C185&amp;"'!"&amp;"$"&amp;$D185&amp;$BC$1&amp;"")</f>
        <v>0.67</v>
      </c>
      <c r="BD185" s="293"/>
      <c r="BE185" s="293">
        <v>1</v>
      </c>
      <c r="BF185" s="291">
        <v>0.04</v>
      </c>
      <c r="BG185" s="292" cm="1">
        <f t="array" aca="1" ref="BG185" ca="1">INDIRECT("'"&amp;$C185&amp;"'!"&amp;"$"&amp;$D185&amp;$BG$1&amp;"")</f>
        <v>0.71</v>
      </c>
      <c r="BH185" s="293"/>
      <c r="BI185" s="293">
        <v>0.96</v>
      </c>
      <c r="BJ185" s="291">
        <v>0.19</v>
      </c>
      <c r="BK185" s="292" cm="1">
        <f t="array" aca="1" ref="BK185" ca="1">INDIRECT("'"&amp;$C185&amp;"'!"&amp;"$"&amp;$D185&amp;$BK$1&amp;"")</f>
        <v>3.5999999999999996</v>
      </c>
      <c r="BL185" s="293"/>
      <c r="BM185" s="293">
        <v>0.99</v>
      </c>
      <c r="BN185" s="291">
        <v>0.51</v>
      </c>
    </row>
    <row r="186" spans="1:66" ht="15.75" thickBot="1" x14ac:dyDescent="0.25">
      <c r="A186" s="368">
        <v>45696</v>
      </c>
      <c r="B186" s="365">
        <v>0.25</v>
      </c>
      <c r="C186" s="315">
        <v>8</v>
      </c>
      <c r="D186" s="319" t="s">
        <v>116</v>
      </c>
      <c r="E186" s="297">
        <v>14</v>
      </c>
      <c r="F186" s="298">
        <v>70.644000000000005</v>
      </c>
      <c r="G186" s="299" cm="1">
        <f t="array" aca="1" ref="G186" ca="1">INDIRECT("'"&amp;$C186&amp;"'!"&amp;"$"&amp;$D186&amp;$E$1&amp;"")</f>
        <v>6.7</v>
      </c>
      <c r="H186" s="300">
        <v>1</v>
      </c>
      <c r="I186" s="298">
        <v>0.43</v>
      </c>
      <c r="J186" s="299" t="str" cm="1">
        <f t="array" aca="1" ref="J186" ca="1">INDIRECT("'"&amp;$C186&amp;"'!"&amp;"$"&amp;$D186&amp;$J$1&amp;"")</f>
        <v>CMS</v>
      </c>
      <c r="K186" s="300"/>
      <c r="L186" s="300" t="s">
        <v>1</v>
      </c>
      <c r="M186" s="298" t="s">
        <v>1</v>
      </c>
      <c r="N186" s="299" cm="1">
        <f t="array" aca="1" ref="N186" ca="1">INDIRECT("'"&amp;$C186&amp;"'!"&amp;"$"&amp;$D186&amp;$N$1&amp;"")</f>
        <v>0</v>
      </c>
      <c r="O186" s="300"/>
      <c r="P186" s="300" t="s">
        <v>1</v>
      </c>
      <c r="Q186" s="298" t="s">
        <v>1</v>
      </c>
      <c r="R186" s="299" cm="1">
        <f t="array" aca="1" ref="R186" ca="1">INDIRECT("'"&amp;$C186&amp;"'!"&amp;"$"&amp;$D186&amp;$R$1&amp;"")</f>
        <v>6.7</v>
      </c>
      <c r="S186" s="300"/>
      <c r="T186" s="300">
        <v>1</v>
      </c>
      <c r="U186" s="298">
        <v>0.43</v>
      </c>
      <c r="V186" s="299" t="str" cm="1">
        <f t="array" aca="1" ref="V186" ca="1">INDIRECT("'"&amp;$C186&amp;"'!"&amp;"$"&amp;$D186&amp;$V$1&amp;"")</f>
        <v>CMS</v>
      </c>
      <c r="W186" s="300" t="s">
        <v>1</v>
      </c>
      <c r="X186" s="300" t="s">
        <v>1</v>
      </c>
      <c r="Y186" s="301" t="s">
        <v>1</v>
      </c>
      <c r="Z186" s="297" cm="1">
        <f t="array" aca="1" ref="Z186" ca="1">INDIRECT("'"&amp;$C186&amp;"'!"&amp;"$"&amp;$D186&amp;$Z$1&amp;"")</f>
        <v>0</v>
      </c>
      <c r="AA186" s="300" t="s">
        <v>1</v>
      </c>
      <c r="AB186" s="300" t="s">
        <v>1</v>
      </c>
      <c r="AC186" s="298" t="s">
        <v>1</v>
      </c>
      <c r="AD186" s="299" cm="1">
        <f t="array" aca="1" ref="AD186" ca="1">INDIRECT("'"&amp;$C186&amp;"'!"&amp;"$"&amp;$D186&amp;$AD$1&amp;"")</f>
        <v>3.3</v>
      </c>
      <c r="AE186" s="300">
        <f>3.8*3.64</f>
        <v>13.831999999999999</v>
      </c>
      <c r="AF186" s="300">
        <v>1</v>
      </c>
      <c r="AG186" s="301">
        <v>0.16</v>
      </c>
      <c r="AH186" s="297" cm="1">
        <f t="array" aca="1" ref="AH186" ca="1">INDIRECT("'"&amp;$C186&amp;"'!"&amp;"$"&amp;$D186&amp;$AH$1&amp;"")</f>
        <v>3.8</v>
      </c>
      <c r="AI186" s="300">
        <v>14.04</v>
      </c>
      <c r="AJ186" s="300">
        <v>0.97</v>
      </c>
      <c r="AK186" s="298">
        <v>0.82599999999999996</v>
      </c>
      <c r="AL186" s="297">
        <v>11.8</v>
      </c>
      <c r="AM186" s="301">
        <v>70.400000000000006</v>
      </c>
      <c r="AN186" s="297" cm="1">
        <f t="array" aca="1" ref="AN186" ca="1">INDIRECT("'"&amp;$C186&amp;"'!"&amp;"$"&amp;$D186&amp;$AL$1&amp;"")</f>
        <v>4</v>
      </c>
      <c r="AO186" s="300">
        <v>0.99</v>
      </c>
      <c r="AP186" s="298">
        <v>0.32</v>
      </c>
      <c r="AQ186" s="299" cm="1">
        <f t="array" aca="1" ref="AQ186" ca="1">INDIRECT("'"&amp;$C186&amp;"'!"&amp;"$"&amp;$D186&amp;$AQ$1&amp;"")</f>
        <v>4</v>
      </c>
      <c r="AR186" s="300">
        <v>0.99</v>
      </c>
      <c r="AS186" s="298">
        <v>0.32</v>
      </c>
      <c r="AT186" s="302">
        <v>0</v>
      </c>
      <c r="AU186" s="301">
        <v>0</v>
      </c>
      <c r="AV186" s="297" t="str" cm="1">
        <f t="array" aca="1" ref="AV186" ca="1">INDIRECT("'"&amp;$C186&amp;"'!"&amp;"$"&amp;$D186&amp;$AT$1&amp;"")</f>
        <v>PMS</v>
      </c>
      <c r="AW186" s="300" t="s">
        <v>1</v>
      </c>
      <c r="AX186" s="298" t="s">
        <v>1</v>
      </c>
      <c r="AY186" s="303">
        <v>69.8</v>
      </c>
      <c r="AZ186" s="302" cm="1">
        <f t="array" aca="1" ref="AZ186" ca="1">INDIRECT("'"&amp;$C186&amp;"'!"&amp;"$"&amp;$D186&amp;$AY$1&amp;"")</f>
        <v>2.7</v>
      </c>
      <c r="BA186" s="300">
        <v>0.98</v>
      </c>
      <c r="BB186" s="298">
        <v>0.54</v>
      </c>
      <c r="BC186" s="299" cm="1">
        <f t="array" aca="1" ref="BC186" ca="1">INDIRECT("'"&amp;$C186&amp;"'!"&amp;"$"&amp;$D186&amp;$BC$1&amp;"")</f>
        <v>0.77</v>
      </c>
      <c r="BD186" s="300"/>
      <c r="BE186" s="300">
        <v>1</v>
      </c>
      <c r="BF186" s="298">
        <v>0.05</v>
      </c>
      <c r="BG186" s="299" cm="1">
        <f t="array" aca="1" ref="BG186" ca="1">INDIRECT("'"&amp;$C186&amp;"'!"&amp;"$"&amp;$D186&amp;$BG$1&amp;"")</f>
        <v>0.73</v>
      </c>
      <c r="BH186" s="300"/>
      <c r="BI186" s="300">
        <v>0.96</v>
      </c>
      <c r="BJ186" s="298">
        <v>0.19</v>
      </c>
      <c r="BK186" s="299" cm="1">
        <f t="array" aca="1" ref="BK186" ca="1">INDIRECT("'"&amp;$C186&amp;"'!"&amp;"$"&amp;$D186&amp;$BK$1&amp;"")</f>
        <v>3.7</v>
      </c>
      <c r="BL186" s="300"/>
      <c r="BM186" s="300">
        <v>0.99</v>
      </c>
      <c r="BN186" s="298">
        <v>0.52</v>
      </c>
    </row>
    <row r="187" spans="1:66" ht="15.75" thickBot="1" x14ac:dyDescent="0.25">
      <c r="A187" s="368">
        <v>45696</v>
      </c>
      <c r="B187" s="365">
        <v>0.29166666666666702</v>
      </c>
      <c r="C187" s="315">
        <v>8</v>
      </c>
      <c r="D187" s="319" t="s">
        <v>117</v>
      </c>
      <c r="E187" s="290">
        <v>14</v>
      </c>
      <c r="F187" s="291">
        <v>70.3</v>
      </c>
      <c r="G187" s="292" cm="1">
        <f t="array" aca="1" ref="G187" ca="1">INDIRECT("'"&amp;$C187&amp;"'!"&amp;"$"&amp;$D187&amp;$E$1&amp;"")</f>
        <v>6.7</v>
      </c>
      <c r="H187" s="293">
        <v>1</v>
      </c>
      <c r="I187" s="291">
        <v>0.54</v>
      </c>
      <c r="J187" s="292" t="str" cm="1">
        <f t="array" aca="1" ref="J187" ca="1">INDIRECT("'"&amp;$C187&amp;"'!"&amp;"$"&amp;$D187&amp;$J$1&amp;"")</f>
        <v>CMS</v>
      </c>
      <c r="K187" s="293"/>
      <c r="L187" s="293" t="s">
        <v>1</v>
      </c>
      <c r="M187" s="291" t="s">
        <v>1</v>
      </c>
      <c r="N187" s="292" cm="1">
        <f t="array" aca="1" ref="N187" ca="1">INDIRECT("'"&amp;$C187&amp;"'!"&amp;"$"&amp;$D187&amp;$N$1&amp;"")</f>
        <v>0</v>
      </c>
      <c r="O187" s="293"/>
      <c r="P187" s="293" t="s">
        <v>1</v>
      </c>
      <c r="Q187" s="291" t="s">
        <v>1</v>
      </c>
      <c r="R187" s="292" cm="1">
        <f t="array" aca="1" ref="R187" ca="1">INDIRECT("'"&amp;$C187&amp;"'!"&amp;"$"&amp;$D187&amp;$R$1&amp;"")</f>
        <v>6.7</v>
      </c>
      <c r="S187" s="293"/>
      <c r="T187" s="293">
        <v>1</v>
      </c>
      <c r="U187" s="291">
        <v>0.54</v>
      </c>
      <c r="V187" s="292" t="str" cm="1">
        <f t="array" aca="1" ref="V187" ca="1">INDIRECT("'"&amp;$C187&amp;"'!"&amp;"$"&amp;$D187&amp;$V$1&amp;"")</f>
        <v>CMS</v>
      </c>
      <c r="W187" s="293" t="s">
        <v>1</v>
      </c>
      <c r="X187" s="293" t="s">
        <v>1</v>
      </c>
      <c r="Y187" s="294" t="s">
        <v>1</v>
      </c>
      <c r="Z187" s="290" cm="1">
        <f t="array" aca="1" ref="Z187" ca="1">INDIRECT("'"&amp;$C187&amp;"'!"&amp;"$"&amp;$D187&amp;$Z$1&amp;"")</f>
        <v>0</v>
      </c>
      <c r="AA187" s="293" t="s">
        <v>1</v>
      </c>
      <c r="AB187" s="293" t="s">
        <v>1</v>
      </c>
      <c r="AC187" s="291" t="s">
        <v>1</v>
      </c>
      <c r="AD187" s="292" cm="1">
        <f t="array" aca="1" ref="AD187" ca="1">INDIRECT("'"&amp;$C187&amp;"'!"&amp;"$"&amp;$D187&amp;$AD$1&amp;"")</f>
        <v>3.3</v>
      </c>
      <c r="AE187" s="293">
        <f>3.8*3.62</f>
        <v>13.756</v>
      </c>
      <c r="AF187" s="293">
        <v>0.99</v>
      </c>
      <c r="AG187" s="294">
        <v>0.28000000000000003</v>
      </c>
      <c r="AH187" s="290" cm="1">
        <f t="array" aca="1" ref="AH187" ca="1">INDIRECT("'"&amp;$C187&amp;"'!"&amp;"$"&amp;$D187&amp;$AH$1&amp;"")</f>
        <v>3.8</v>
      </c>
      <c r="AI187" s="293">
        <v>14</v>
      </c>
      <c r="AJ187" s="293">
        <v>0.97</v>
      </c>
      <c r="AK187" s="291">
        <v>0.93</v>
      </c>
      <c r="AL187" s="290">
        <v>11.8</v>
      </c>
      <c r="AM187" s="294">
        <v>70.7</v>
      </c>
      <c r="AN187" s="290" cm="1">
        <f t="array" aca="1" ref="AN187" ca="1">INDIRECT("'"&amp;$C187&amp;"'!"&amp;"$"&amp;$D187&amp;$AL$1&amp;"")</f>
        <v>4</v>
      </c>
      <c r="AO187" s="293">
        <v>0.99</v>
      </c>
      <c r="AP187" s="291">
        <v>0.45</v>
      </c>
      <c r="AQ187" s="292" cm="1">
        <f t="array" aca="1" ref="AQ187" ca="1">INDIRECT("'"&amp;$C187&amp;"'!"&amp;"$"&amp;$D187&amp;$AQ$1&amp;"")</f>
        <v>4</v>
      </c>
      <c r="AR187" s="293">
        <v>0.99</v>
      </c>
      <c r="AS187" s="291">
        <v>0.45</v>
      </c>
      <c r="AT187" s="295">
        <v>0</v>
      </c>
      <c r="AU187" s="294">
        <v>0</v>
      </c>
      <c r="AV187" s="290" t="str" cm="1">
        <f t="array" aca="1" ref="AV187" ca="1">INDIRECT("'"&amp;$C187&amp;"'!"&amp;"$"&amp;$D187&amp;$AT$1&amp;"")</f>
        <v>PMS</v>
      </c>
      <c r="AW187" s="293" t="s">
        <v>1</v>
      </c>
      <c r="AX187" s="291" t="s">
        <v>1</v>
      </c>
      <c r="AY187" s="296">
        <v>69.5</v>
      </c>
      <c r="AZ187" s="295" cm="1">
        <f t="array" aca="1" ref="AZ187" ca="1">INDIRECT("'"&amp;$C187&amp;"'!"&amp;"$"&amp;$D187&amp;$AY$1&amp;"")</f>
        <v>3.7</v>
      </c>
      <c r="BA187" s="293">
        <v>0.97</v>
      </c>
      <c r="BB187" s="291">
        <v>0.92</v>
      </c>
      <c r="BC187" s="292" cm="1">
        <f t="array" aca="1" ref="BC187" ca="1">INDIRECT("'"&amp;$C187&amp;"'!"&amp;"$"&amp;$D187&amp;$BC$1&amp;"")</f>
        <v>0.88</v>
      </c>
      <c r="BD187" s="293"/>
      <c r="BE187" s="293">
        <v>1</v>
      </c>
      <c r="BF187" s="291">
        <v>7.0000000000000007E-2</v>
      </c>
      <c r="BG187" s="292" cm="1">
        <f t="array" aca="1" ref="BG187" ca="1">INDIRECT("'"&amp;$C187&amp;"'!"&amp;"$"&amp;$D187&amp;$BG$1&amp;"")</f>
        <v>0.75</v>
      </c>
      <c r="BH187" s="293"/>
      <c r="BI187" s="293">
        <v>0.96</v>
      </c>
      <c r="BJ187" s="291">
        <v>0.19</v>
      </c>
      <c r="BK187" s="292" cm="1">
        <f t="array" aca="1" ref="BK187" ca="1">INDIRECT("'"&amp;$C187&amp;"'!"&amp;"$"&amp;$D187&amp;$BK$1&amp;"")</f>
        <v>3.8</v>
      </c>
      <c r="BL187" s="293"/>
      <c r="BM187" s="293">
        <v>0.99</v>
      </c>
      <c r="BN187" s="291">
        <v>0.54</v>
      </c>
    </row>
    <row r="188" spans="1:66" ht="15.75" thickBot="1" x14ac:dyDescent="0.25">
      <c r="A188" s="368">
        <v>45696</v>
      </c>
      <c r="B188" s="365">
        <v>0.33333333333333398</v>
      </c>
      <c r="C188" s="315">
        <v>8</v>
      </c>
      <c r="D188" s="319" t="s">
        <v>118</v>
      </c>
      <c r="E188" s="297">
        <v>14.2</v>
      </c>
      <c r="F188" s="298">
        <v>70.56</v>
      </c>
      <c r="G188" s="299" cm="1">
        <f t="array" aca="1" ref="G188" ca="1">INDIRECT("'"&amp;$C188&amp;"'!"&amp;"$"&amp;$D188&amp;$E$1&amp;"")</f>
        <v>6.7</v>
      </c>
      <c r="H188" s="300">
        <v>0.99</v>
      </c>
      <c r="I188" s="298">
        <v>1.1499999999999999</v>
      </c>
      <c r="J188" s="299" t="str" cm="1">
        <f t="array" aca="1" ref="J188" ca="1">INDIRECT("'"&amp;$C188&amp;"'!"&amp;"$"&amp;$D188&amp;$J$1&amp;"")</f>
        <v>CMS</v>
      </c>
      <c r="K188" s="300"/>
      <c r="L188" s="300" t="s">
        <v>1</v>
      </c>
      <c r="M188" s="298" t="s">
        <v>1</v>
      </c>
      <c r="N188" s="299" cm="1">
        <f t="array" aca="1" ref="N188" ca="1">INDIRECT("'"&amp;$C188&amp;"'!"&amp;"$"&amp;$D188&amp;$N$1&amp;"")</f>
        <v>0</v>
      </c>
      <c r="O188" s="300"/>
      <c r="P188" s="300" t="s">
        <v>1</v>
      </c>
      <c r="Q188" s="298" t="s">
        <v>1</v>
      </c>
      <c r="R188" s="299" cm="1">
        <f t="array" aca="1" ref="R188" ca="1">INDIRECT("'"&amp;$C188&amp;"'!"&amp;"$"&amp;$D188&amp;$R$1&amp;"")</f>
        <v>6.7</v>
      </c>
      <c r="S188" s="300"/>
      <c r="T188" s="300">
        <v>0.99</v>
      </c>
      <c r="U188" s="298">
        <v>1.1499999999999999</v>
      </c>
      <c r="V188" s="299" t="str" cm="1">
        <f t="array" aca="1" ref="V188" ca="1">INDIRECT("'"&amp;$C188&amp;"'!"&amp;"$"&amp;$D188&amp;$V$1&amp;"")</f>
        <v>CMS</v>
      </c>
      <c r="W188" s="300" t="s">
        <v>1</v>
      </c>
      <c r="X188" s="300" t="s">
        <v>1</v>
      </c>
      <c r="Y188" s="301" t="s">
        <v>1</v>
      </c>
      <c r="Z188" s="297" cm="1">
        <f t="array" aca="1" ref="Z188" ca="1">INDIRECT("'"&amp;$C188&amp;"'!"&amp;"$"&amp;$D188&amp;$Z$1&amp;"")</f>
        <v>0</v>
      </c>
      <c r="AA188" s="300" t="s">
        <v>1</v>
      </c>
      <c r="AB188" s="300" t="s">
        <v>1</v>
      </c>
      <c r="AC188" s="298" t="s">
        <v>1</v>
      </c>
      <c r="AD188" s="299" cm="1">
        <f t="array" aca="1" ref="AD188" ca="1">INDIRECT("'"&amp;$C188&amp;"'!"&amp;"$"&amp;$D188&amp;$AD$1&amp;"")</f>
        <v>3.3</v>
      </c>
      <c r="AE188" s="300">
        <f>3.8*3.59</f>
        <v>13.641999999999999</v>
      </c>
      <c r="AF188" s="300">
        <v>0.98</v>
      </c>
      <c r="AG188" s="301">
        <v>0.64</v>
      </c>
      <c r="AH188" s="297" cm="1">
        <f t="array" aca="1" ref="AH188" ca="1">INDIRECT("'"&amp;$C188&amp;"'!"&amp;"$"&amp;$D188&amp;$AH$1&amp;"")</f>
        <v>3.8</v>
      </c>
      <c r="AI188" s="300">
        <v>13.96</v>
      </c>
      <c r="AJ188" s="300">
        <v>0.95</v>
      </c>
      <c r="AK188" s="298">
        <v>1.0900000000000001</v>
      </c>
      <c r="AL188" s="297">
        <v>11.8</v>
      </c>
      <c r="AM188" s="301">
        <v>70.599999999999994</v>
      </c>
      <c r="AN188" s="297" cm="1">
        <f t="array" aca="1" ref="AN188" ca="1">INDIRECT("'"&amp;$C188&amp;"'!"&amp;"$"&amp;$D188&amp;$AL$1&amp;"")</f>
        <v>4</v>
      </c>
      <c r="AO188" s="300">
        <v>0.99</v>
      </c>
      <c r="AP188" s="298">
        <v>0.46</v>
      </c>
      <c r="AQ188" s="299" cm="1">
        <f t="array" aca="1" ref="AQ188" ca="1">INDIRECT("'"&amp;$C188&amp;"'!"&amp;"$"&amp;$D188&amp;$AQ$1&amp;"")</f>
        <v>4</v>
      </c>
      <c r="AR188" s="300">
        <v>0.99</v>
      </c>
      <c r="AS188" s="298">
        <v>0.46</v>
      </c>
      <c r="AT188" s="302">
        <v>0</v>
      </c>
      <c r="AU188" s="301">
        <v>0</v>
      </c>
      <c r="AV188" s="297" t="str" cm="1">
        <f t="array" aca="1" ref="AV188" ca="1">INDIRECT("'"&amp;$C188&amp;"'!"&amp;"$"&amp;$D188&amp;$AT$1&amp;"")</f>
        <v>PMS</v>
      </c>
      <c r="AW188" s="300" t="s">
        <v>1</v>
      </c>
      <c r="AX188" s="298" t="s">
        <v>1</v>
      </c>
      <c r="AY188" s="303">
        <v>69.599999999999994</v>
      </c>
      <c r="AZ188" s="302" cm="1">
        <f t="array" aca="1" ref="AZ188" ca="1">INDIRECT("'"&amp;$C188&amp;"'!"&amp;"$"&amp;$D188&amp;$AY$1&amp;"")</f>
        <v>6.8999999999999995</v>
      </c>
      <c r="BA188" s="300">
        <v>0.97</v>
      </c>
      <c r="BB188" s="298">
        <v>1.7</v>
      </c>
      <c r="BC188" s="299" cm="1">
        <f t="array" aca="1" ref="BC188" ca="1">INDIRECT("'"&amp;$C188&amp;"'!"&amp;"$"&amp;$D188&amp;$BC$1&amp;"")</f>
        <v>0.93</v>
      </c>
      <c r="BD188" s="300"/>
      <c r="BE188" s="300">
        <v>0.99</v>
      </c>
      <c r="BF188" s="298">
        <v>0.1</v>
      </c>
      <c r="BG188" s="299" cm="1">
        <f t="array" aca="1" ref="BG188" ca="1">INDIRECT("'"&amp;$C188&amp;"'!"&amp;"$"&amp;$D188&amp;$BG$1&amp;"")</f>
        <v>0.76</v>
      </c>
      <c r="BH188" s="300"/>
      <c r="BI188" s="300">
        <v>0.96</v>
      </c>
      <c r="BJ188" s="298">
        <v>0.21</v>
      </c>
      <c r="BK188" s="299" cm="1">
        <f t="array" aca="1" ref="BK188" ca="1">INDIRECT("'"&amp;$C188&amp;"'!"&amp;"$"&amp;$D188&amp;$BK$1&amp;"")</f>
        <v>4.5</v>
      </c>
      <c r="BL188" s="300"/>
      <c r="BM188" s="300">
        <v>0.95</v>
      </c>
      <c r="BN188" s="300">
        <v>1.4</v>
      </c>
    </row>
    <row r="189" spans="1:66" ht="15.75" thickBot="1" x14ac:dyDescent="0.25">
      <c r="A189" s="368">
        <v>45696</v>
      </c>
      <c r="B189" s="365">
        <v>0.375</v>
      </c>
      <c r="C189" s="315">
        <v>8</v>
      </c>
      <c r="D189" s="319" t="s">
        <v>119</v>
      </c>
      <c r="E189" s="290">
        <v>14.2</v>
      </c>
      <c r="F189" s="291">
        <v>70.02</v>
      </c>
      <c r="G189" s="292" cm="1">
        <f t="array" aca="1" ref="G189" ca="1">INDIRECT("'"&amp;$C189&amp;"'!"&amp;"$"&amp;$D189&amp;$E$1&amp;"")</f>
        <v>6.7</v>
      </c>
      <c r="H189" s="293">
        <v>0.99</v>
      </c>
      <c r="I189" s="291">
        <v>1</v>
      </c>
      <c r="J189" s="292" t="str" cm="1">
        <f t="array" aca="1" ref="J189" ca="1">INDIRECT("'"&amp;$C189&amp;"'!"&amp;"$"&amp;$D189&amp;$J$1&amp;"")</f>
        <v>CMS</v>
      </c>
      <c r="K189" s="293"/>
      <c r="L189" s="293" t="s">
        <v>1</v>
      </c>
      <c r="M189" s="291" t="s">
        <v>1</v>
      </c>
      <c r="N189" s="292" cm="1">
        <f t="array" aca="1" ref="N189" ca="1">INDIRECT("'"&amp;$C189&amp;"'!"&amp;"$"&amp;$D189&amp;$N$1&amp;"")</f>
        <v>6.7</v>
      </c>
      <c r="O189" s="293"/>
      <c r="P189" s="293">
        <v>0.98</v>
      </c>
      <c r="Q189" s="291">
        <v>1.41</v>
      </c>
      <c r="R189" s="292" cm="1">
        <f t="array" aca="1" ref="R189" ca="1">INDIRECT("'"&amp;$C189&amp;"'!"&amp;"$"&amp;$D189&amp;$R$1&amp;"")</f>
        <v>6.7</v>
      </c>
      <c r="S189" s="293"/>
      <c r="T189" s="293">
        <v>0.98</v>
      </c>
      <c r="U189" s="291">
        <v>1.42</v>
      </c>
      <c r="V189" s="292" t="str" cm="1">
        <f t="array" aca="1" ref="V189" ca="1">INDIRECT("'"&amp;$C189&amp;"'!"&amp;"$"&amp;$D189&amp;$V$1&amp;"")</f>
        <v>CMS</v>
      </c>
      <c r="W189" s="293" t="s">
        <v>1</v>
      </c>
      <c r="X189" s="293" t="s">
        <v>1</v>
      </c>
      <c r="Y189" s="294" t="s">
        <v>1</v>
      </c>
      <c r="Z189" s="290" cm="1">
        <f t="array" aca="1" ref="Z189" ca="1">INDIRECT("'"&amp;$C189&amp;"'!"&amp;"$"&amp;$D189&amp;$Z$1&amp;"")</f>
        <v>0</v>
      </c>
      <c r="AA189" s="293" t="s">
        <v>1</v>
      </c>
      <c r="AB189" s="293" t="s">
        <v>1</v>
      </c>
      <c r="AC189" s="291" t="s">
        <v>1</v>
      </c>
      <c r="AD189" s="292" cm="1">
        <f t="array" aca="1" ref="AD189" ca="1">INDIRECT("'"&amp;$C189&amp;"'!"&amp;"$"&amp;$D189&amp;$AD$1&amp;"")</f>
        <v>3.3</v>
      </c>
      <c r="AE189" s="293">
        <f>3.8*3.58</f>
        <v>13.603999999999999</v>
      </c>
      <c r="AF189" s="293">
        <v>0.98</v>
      </c>
      <c r="AG189" s="294">
        <v>0.63</v>
      </c>
      <c r="AH189" s="290" cm="1">
        <f t="array" aca="1" ref="AH189" ca="1">INDIRECT("'"&amp;$C189&amp;"'!"&amp;"$"&amp;$D189&amp;$AH$1&amp;"")</f>
        <v>3.8</v>
      </c>
      <c r="AI189" s="293">
        <v>14</v>
      </c>
      <c r="AJ189" s="293">
        <v>0.97</v>
      </c>
      <c r="AK189" s="291">
        <v>0.879</v>
      </c>
      <c r="AL189" s="290">
        <v>11.9</v>
      </c>
      <c r="AM189" s="294">
        <v>70.5</v>
      </c>
      <c r="AN189" s="290" cm="1">
        <f t="array" aca="1" ref="AN189" ca="1">INDIRECT("'"&amp;$C189&amp;"'!"&amp;"$"&amp;$D189&amp;$AL$1&amp;"")</f>
        <v>4.0999999999999996</v>
      </c>
      <c r="AO189" s="293">
        <v>0.98</v>
      </c>
      <c r="AP189" s="291">
        <v>0.62</v>
      </c>
      <c r="AQ189" s="292" cm="1">
        <f t="array" aca="1" ref="AQ189" ca="1">INDIRECT("'"&amp;$C189&amp;"'!"&amp;"$"&amp;$D189&amp;$AQ$1&amp;"")</f>
        <v>4.0999999999999996</v>
      </c>
      <c r="AR189" s="293">
        <v>0.98</v>
      </c>
      <c r="AS189" s="291">
        <v>0.62</v>
      </c>
      <c r="AT189" s="295">
        <v>0</v>
      </c>
      <c r="AU189" s="294">
        <v>0</v>
      </c>
      <c r="AV189" s="290" t="str" cm="1">
        <f t="array" aca="1" ref="AV189" ca="1">INDIRECT("'"&amp;$C189&amp;"'!"&amp;"$"&amp;$D189&amp;$AT$1&amp;"")</f>
        <v>PMS</v>
      </c>
      <c r="AW189" s="293" t="s">
        <v>1</v>
      </c>
      <c r="AX189" s="291" t="s">
        <v>1</v>
      </c>
      <c r="AY189" s="296">
        <v>68.900000000000006</v>
      </c>
      <c r="AZ189" s="295" cm="1">
        <f t="array" aca="1" ref="AZ189" ca="1">INDIRECT("'"&amp;$C189&amp;"'!"&amp;"$"&amp;$D189&amp;$AY$1&amp;"")</f>
        <v>3.7</v>
      </c>
      <c r="BA189" s="293">
        <v>0.96</v>
      </c>
      <c r="BB189" s="291">
        <v>0.62</v>
      </c>
      <c r="BC189" s="292" cm="1">
        <f t="array" aca="1" ref="BC189" ca="1">INDIRECT("'"&amp;$C189&amp;"'!"&amp;"$"&amp;$D189&amp;$BC$1&amp;"")</f>
        <v>0.98</v>
      </c>
      <c r="BD189" s="293"/>
      <c r="BE189" s="293">
        <v>0.96</v>
      </c>
      <c r="BF189" s="291">
        <v>0.62</v>
      </c>
      <c r="BG189" s="292" cm="1">
        <f t="array" aca="1" ref="BG189" ca="1">INDIRECT("'"&amp;$C189&amp;"'!"&amp;"$"&amp;$D189&amp;$BG$1&amp;"")</f>
        <v>0.81</v>
      </c>
      <c r="BH189" s="293"/>
      <c r="BI189" s="293">
        <v>0.96</v>
      </c>
      <c r="BJ189" s="291">
        <v>0.23</v>
      </c>
      <c r="BK189" s="292" cm="1">
        <f t="array" aca="1" ref="BK189" ca="1">INDIRECT("'"&amp;$C189&amp;"'!"&amp;"$"&amp;$D189&amp;$BK$1&amp;"")</f>
        <v>3.3999999999999995</v>
      </c>
      <c r="BL189" s="293"/>
      <c r="BM189" s="293">
        <v>0.97</v>
      </c>
      <c r="BN189" s="291">
        <v>0.85</v>
      </c>
    </row>
    <row r="190" spans="1:66" ht="15.75" thickBot="1" x14ac:dyDescent="0.25">
      <c r="A190" s="368">
        <v>45696</v>
      </c>
      <c r="B190" s="365">
        <v>0.41666666666666702</v>
      </c>
      <c r="C190" s="315">
        <v>8</v>
      </c>
      <c r="D190" s="319" t="s">
        <v>120</v>
      </c>
      <c r="E190" s="297">
        <v>14.2</v>
      </c>
      <c r="F190" s="298">
        <v>70.37</v>
      </c>
      <c r="G190" s="299" cm="1">
        <f t="array" aca="1" ref="G190" ca="1">INDIRECT("'"&amp;$C190&amp;"'!"&amp;"$"&amp;$D190&amp;$E$1&amp;"")</f>
        <v>6.6</v>
      </c>
      <c r="H190" s="300">
        <v>0.99</v>
      </c>
      <c r="I190" s="298">
        <v>0.96</v>
      </c>
      <c r="J190" s="299" t="str" cm="1">
        <f t="array" aca="1" ref="J190" ca="1">INDIRECT("'"&amp;$C190&amp;"'!"&amp;"$"&amp;$D190&amp;$J$1&amp;"")</f>
        <v>CMS</v>
      </c>
      <c r="K190" s="300"/>
      <c r="L190" s="300" t="s">
        <v>1</v>
      </c>
      <c r="M190" s="298" t="s">
        <v>1</v>
      </c>
      <c r="N190" s="299" cm="1">
        <f t="array" aca="1" ref="N190" ca="1">INDIRECT("'"&amp;$C190&amp;"'!"&amp;"$"&amp;$D190&amp;$N$1&amp;"")</f>
        <v>6.5</v>
      </c>
      <c r="O190" s="300"/>
      <c r="P190" s="300">
        <v>0.97</v>
      </c>
      <c r="Q190" s="298">
        <v>1.72</v>
      </c>
      <c r="R190" s="299" cm="1">
        <f t="array" aca="1" ref="R190" ca="1">INDIRECT("'"&amp;$C190&amp;"'!"&amp;"$"&amp;$D190&amp;$R$1&amp;"")</f>
        <v>6.6</v>
      </c>
      <c r="S190" s="300"/>
      <c r="T190" s="300">
        <v>0.97</v>
      </c>
      <c r="U190" s="298">
        <v>1.1100000000000001</v>
      </c>
      <c r="V190" s="299" t="str" cm="1">
        <f t="array" aca="1" ref="V190" ca="1">INDIRECT("'"&amp;$C190&amp;"'!"&amp;"$"&amp;$D190&amp;$V$1&amp;"")</f>
        <v>CMS</v>
      </c>
      <c r="W190" s="300" t="s">
        <v>1</v>
      </c>
      <c r="X190" s="300" t="s">
        <v>1</v>
      </c>
      <c r="Y190" s="301" t="s">
        <v>1</v>
      </c>
      <c r="Z190" s="297" cm="1">
        <f t="array" aca="1" ref="Z190" ca="1">INDIRECT("'"&amp;$C190&amp;"'!"&amp;"$"&amp;$D190&amp;$Z$1&amp;"")</f>
        <v>0</v>
      </c>
      <c r="AA190" s="300" t="s">
        <v>1</v>
      </c>
      <c r="AB190" s="300" t="s">
        <v>1</v>
      </c>
      <c r="AC190" s="298" t="s">
        <v>1</v>
      </c>
      <c r="AD190" s="299" cm="1">
        <f t="array" aca="1" ref="AD190" ca="1">INDIRECT("'"&amp;$C190&amp;"'!"&amp;"$"&amp;$D190&amp;$AD$1&amp;"")</f>
        <v>3.3</v>
      </c>
      <c r="AE190" s="300">
        <f>3.8*3.59</f>
        <v>13.641999999999999</v>
      </c>
      <c r="AF190" s="300">
        <v>0.96</v>
      </c>
      <c r="AG190" s="301">
        <v>0.94</v>
      </c>
      <c r="AH190" s="297" cm="1">
        <f t="array" aca="1" ref="AH190" ca="1">INDIRECT("'"&amp;$C190&amp;"'!"&amp;"$"&amp;$D190&amp;$AH$1&amp;"")</f>
        <v>3.8</v>
      </c>
      <c r="AI190" s="300">
        <v>13.96</v>
      </c>
      <c r="AJ190" s="300">
        <v>0.93</v>
      </c>
      <c r="AK190" s="298">
        <v>1.29</v>
      </c>
      <c r="AL190" s="297">
        <v>11.9</v>
      </c>
      <c r="AM190" s="301">
        <v>70.5</v>
      </c>
      <c r="AN190" s="297" cm="1">
        <f t="array" aca="1" ref="AN190" ca="1">INDIRECT("'"&amp;$C190&amp;"'!"&amp;"$"&amp;$D190&amp;$AL$1&amp;"")</f>
        <v>4</v>
      </c>
      <c r="AO190" s="300">
        <v>0.98</v>
      </c>
      <c r="AP190" s="298">
        <v>0.65</v>
      </c>
      <c r="AQ190" s="299" cm="1">
        <f t="array" aca="1" ref="AQ190" ca="1">INDIRECT("'"&amp;$C190&amp;"'!"&amp;"$"&amp;$D190&amp;$AQ$1&amp;"")</f>
        <v>4</v>
      </c>
      <c r="AR190" s="300">
        <v>0.98</v>
      </c>
      <c r="AS190" s="298">
        <v>0.65</v>
      </c>
      <c r="AT190" s="302">
        <v>0</v>
      </c>
      <c r="AU190" s="301">
        <v>0</v>
      </c>
      <c r="AV190" s="297" t="str" cm="1">
        <f t="array" aca="1" ref="AV190" ca="1">INDIRECT("'"&amp;$C190&amp;"'!"&amp;"$"&amp;$D190&amp;$AT$1&amp;"")</f>
        <v>PMS</v>
      </c>
      <c r="AW190" s="300" t="s">
        <v>1</v>
      </c>
      <c r="AX190" s="298" t="s">
        <v>1</v>
      </c>
      <c r="AY190" s="303">
        <v>69.900000000000006</v>
      </c>
      <c r="AZ190" s="302" cm="1">
        <f t="array" aca="1" ref="AZ190" ca="1">INDIRECT("'"&amp;$C190&amp;"'!"&amp;"$"&amp;$D190&amp;$AY$1&amp;"")</f>
        <v>8.6</v>
      </c>
      <c r="BA190" s="300">
        <v>0.96</v>
      </c>
      <c r="BB190" s="298">
        <v>2.5</v>
      </c>
      <c r="BC190" s="299" cm="1">
        <f t="array" aca="1" ref="BC190" ca="1">INDIRECT("'"&amp;$C190&amp;"'!"&amp;"$"&amp;$D190&amp;$BC$1&amp;"")</f>
        <v>0.93</v>
      </c>
      <c r="BD190" s="300"/>
      <c r="BE190" s="300">
        <v>0.99</v>
      </c>
      <c r="BF190" s="298">
        <v>0.14000000000000001</v>
      </c>
      <c r="BG190" s="299" cm="1">
        <f t="array" aca="1" ref="BG190" ca="1">INDIRECT("'"&amp;$C190&amp;"'!"&amp;"$"&amp;$D190&amp;$BG$1&amp;"")</f>
        <v>0.84</v>
      </c>
      <c r="BH190" s="300"/>
      <c r="BI190" s="300">
        <v>0.96</v>
      </c>
      <c r="BJ190" s="298">
        <v>0.25</v>
      </c>
      <c r="BK190" s="299" cm="1">
        <f t="array" aca="1" ref="BK190" ca="1">INDIRECT("'"&amp;$C190&amp;"'!"&amp;"$"&amp;$D190&amp;$BK$1&amp;"")</f>
        <v>3.7</v>
      </c>
      <c r="BL190" s="300"/>
      <c r="BM190" s="300">
        <v>0.97</v>
      </c>
      <c r="BN190" s="298">
        <v>0.22</v>
      </c>
    </row>
    <row r="191" spans="1:66" ht="15.75" thickBot="1" x14ac:dyDescent="0.25">
      <c r="A191" s="368">
        <v>45696</v>
      </c>
      <c r="B191" s="365">
        <v>0.45833333333333398</v>
      </c>
      <c r="C191" s="315">
        <v>8</v>
      </c>
      <c r="D191" s="319" t="s">
        <v>121</v>
      </c>
      <c r="E191" s="290">
        <v>14.2</v>
      </c>
      <c r="F191" s="291">
        <v>70.19</v>
      </c>
      <c r="G191" s="292" cm="1">
        <f t="array" aca="1" ref="G191" ca="1">INDIRECT("'"&amp;$C191&amp;"'!"&amp;"$"&amp;$D191&amp;$E$1&amp;"")</f>
        <v>6.5</v>
      </c>
      <c r="H191" s="293">
        <v>0.99</v>
      </c>
      <c r="I191" s="291">
        <v>0.97</v>
      </c>
      <c r="J191" s="292" t="str" cm="1">
        <f t="array" aca="1" ref="J191" ca="1">INDIRECT("'"&amp;$C191&amp;"'!"&amp;"$"&amp;$D191&amp;$J$1&amp;"")</f>
        <v>CMS</v>
      </c>
      <c r="K191" s="293"/>
      <c r="L191" s="293" t="s">
        <v>1</v>
      </c>
      <c r="M191" s="291" t="s">
        <v>1</v>
      </c>
      <c r="N191" s="292" cm="1">
        <f t="array" aca="1" ref="N191" ca="1">INDIRECT("'"&amp;$C191&amp;"'!"&amp;"$"&amp;$D191&amp;$N$1&amp;"")</f>
        <v>6.6</v>
      </c>
      <c r="O191" s="293"/>
      <c r="P191" s="293">
        <v>0.97</v>
      </c>
      <c r="Q191" s="291">
        <v>1.71</v>
      </c>
      <c r="R191" s="292" cm="1">
        <f t="array" aca="1" ref="R191" ca="1">INDIRECT("'"&amp;$C191&amp;"'!"&amp;"$"&amp;$D191&amp;$R$1&amp;"")</f>
        <v>6.7</v>
      </c>
      <c r="S191" s="293"/>
      <c r="T191" s="293">
        <v>0.98</v>
      </c>
      <c r="U191" s="291">
        <v>1.27</v>
      </c>
      <c r="V191" s="292" t="str" cm="1">
        <f t="array" aca="1" ref="V191" ca="1">INDIRECT("'"&amp;$C191&amp;"'!"&amp;"$"&amp;$D191&amp;$V$1&amp;"")</f>
        <v>CMS</v>
      </c>
      <c r="W191" s="293" t="s">
        <v>1</v>
      </c>
      <c r="X191" s="293" t="s">
        <v>1</v>
      </c>
      <c r="Y191" s="294" t="s">
        <v>1</v>
      </c>
      <c r="Z191" s="290" cm="1">
        <f t="array" aca="1" ref="Z191" ca="1">INDIRECT("'"&amp;$C191&amp;"'!"&amp;"$"&amp;$D191&amp;$Z$1&amp;"")</f>
        <v>0</v>
      </c>
      <c r="AA191" s="293" t="s">
        <v>1</v>
      </c>
      <c r="AB191" s="293" t="s">
        <v>1</v>
      </c>
      <c r="AC191" s="291" t="s">
        <v>1</v>
      </c>
      <c r="AD191" s="292" cm="1">
        <f t="array" aca="1" ref="AD191" ca="1">INDIRECT("'"&amp;$C191&amp;"'!"&amp;"$"&amp;$D191&amp;$AD$1&amp;"")</f>
        <v>3.3</v>
      </c>
      <c r="AE191" s="293">
        <f>3.8*3.59</f>
        <v>13.641999999999999</v>
      </c>
      <c r="AF191" s="293">
        <v>0.96</v>
      </c>
      <c r="AG191" s="294">
        <v>0.93</v>
      </c>
      <c r="AH191" s="290" cm="1">
        <f t="array" aca="1" ref="AH191" ca="1">INDIRECT("'"&amp;$C191&amp;"'!"&amp;"$"&amp;$D191&amp;$AH$1&amp;"")</f>
        <v>3.8</v>
      </c>
      <c r="AI191" s="293">
        <v>13.92</v>
      </c>
      <c r="AJ191" s="293">
        <v>0.92</v>
      </c>
      <c r="AK191" s="291">
        <v>1.49</v>
      </c>
      <c r="AL191" s="290">
        <v>11.9</v>
      </c>
      <c r="AM191" s="294">
        <v>70.3</v>
      </c>
      <c r="AN191" s="290" cm="1">
        <f t="array" aca="1" ref="AN191" ca="1">INDIRECT("'"&amp;$C191&amp;"'!"&amp;"$"&amp;$D191&amp;$AL$1&amp;"")</f>
        <v>3.8</v>
      </c>
      <c r="AO191" s="293">
        <v>0.98</v>
      </c>
      <c r="AP191" s="291">
        <v>0.79</v>
      </c>
      <c r="AQ191" s="292" cm="1">
        <f t="array" aca="1" ref="AQ191" ca="1">INDIRECT("'"&amp;$C191&amp;"'!"&amp;"$"&amp;$D191&amp;$AQ$1&amp;"")</f>
        <v>3.8</v>
      </c>
      <c r="AR191" s="293">
        <v>0.98</v>
      </c>
      <c r="AS191" s="291">
        <v>0.79</v>
      </c>
      <c r="AT191" s="295">
        <v>0</v>
      </c>
      <c r="AU191" s="294">
        <v>0</v>
      </c>
      <c r="AV191" s="290" t="str" cm="1">
        <f t="array" aca="1" ref="AV191" ca="1">INDIRECT("'"&amp;$C191&amp;"'!"&amp;"$"&amp;$D191&amp;$AT$1&amp;"")</f>
        <v>PMS</v>
      </c>
      <c r="AW191" s="293" t="s">
        <v>1</v>
      </c>
      <c r="AX191" s="291" t="s">
        <v>1</v>
      </c>
      <c r="AY191" s="296">
        <v>69.099999999999994</v>
      </c>
      <c r="AZ191" s="295" cm="1">
        <f t="array" aca="1" ref="AZ191" ca="1">INDIRECT("'"&amp;$C191&amp;"'!"&amp;"$"&amp;$D191&amp;$AY$1&amp;"")</f>
        <v>6.9000000000000012</v>
      </c>
      <c r="BA191" s="293">
        <v>0.96</v>
      </c>
      <c r="BB191" s="291">
        <v>2</v>
      </c>
      <c r="BC191" s="292" cm="1">
        <f t="array" aca="1" ref="BC191" ca="1">INDIRECT("'"&amp;$C191&amp;"'!"&amp;"$"&amp;$D191&amp;$BC$1&amp;"")</f>
        <v>1.05</v>
      </c>
      <c r="BD191" s="293"/>
      <c r="BE191" s="293">
        <v>0.99</v>
      </c>
      <c r="BF191" s="291">
        <v>0.14000000000000001</v>
      </c>
      <c r="BG191" s="292" cm="1">
        <f t="array" aca="1" ref="BG191" ca="1">INDIRECT("'"&amp;$C191&amp;"'!"&amp;"$"&amp;$D191&amp;$BG$1&amp;"")</f>
        <v>0.85</v>
      </c>
      <c r="BH191" s="293"/>
      <c r="BI191" s="293">
        <v>0.96</v>
      </c>
      <c r="BJ191" s="291">
        <v>0.24</v>
      </c>
      <c r="BK191" s="292" cm="1">
        <f t="array" aca="1" ref="BK191" ca="1">INDIRECT("'"&amp;$C191&amp;"'!"&amp;"$"&amp;$D191&amp;$BK$1&amp;"")</f>
        <v>3.81</v>
      </c>
      <c r="BL191" s="293"/>
      <c r="BM191" s="293">
        <v>0.96</v>
      </c>
      <c r="BN191" s="291">
        <v>0.24</v>
      </c>
    </row>
    <row r="192" spans="1:66" ht="15.75" thickBot="1" x14ac:dyDescent="0.25">
      <c r="A192" s="368">
        <v>45696</v>
      </c>
      <c r="B192" s="365">
        <v>0.5</v>
      </c>
      <c r="C192" s="315">
        <v>8</v>
      </c>
      <c r="D192" s="319" t="s">
        <v>122</v>
      </c>
      <c r="E192" s="297">
        <v>14.2</v>
      </c>
      <c r="F192" s="298">
        <v>69.87</v>
      </c>
      <c r="G192" s="299" cm="1">
        <f t="array" aca="1" ref="G192" ca="1">INDIRECT("'"&amp;$C192&amp;"'!"&amp;"$"&amp;$D192&amp;$E$1&amp;"")</f>
        <v>6.7</v>
      </c>
      <c r="H192" s="300">
        <v>0.98</v>
      </c>
      <c r="I192" s="298">
        <v>1.29</v>
      </c>
      <c r="J192" s="299" t="str" cm="1">
        <f t="array" aca="1" ref="J192" ca="1">INDIRECT("'"&amp;$C192&amp;"'!"&amp;"$"&amp;$D192&amp;$J$1&amp;"")</f>
        <v>CMS</v>
      </c>
      <c r="K192" s="300"/>
      <c r="L192" s="300" t="s">
        <v>1</v>
      </c>
      <c r="M192" s="298" t="s">
        <v>1</v>
      </c>
      <c r="N192" s="299" cm="1">
        <f t="array" aca="1" ref="N192" ca="1">INDIRECT("'"&amp;$C192&amp;"'!"&amp;"$"&amp;$D192&amp;$N$1&amp;"")</f>
        <v>6.7</v>
      </c>
      <c r="O192" s="300"/>
      <c r="P192" s="300">
        <v>0.97</v>
      </c>
      <c r="Q192" s="298">
        <v>1.58</v>
      </c>
      <c r="R192" s="299" cm="1">
        <f t="array" aca="1" ref="R192" ca="1">INDIRECT("'"&amp;$C192&amp;"'!"&amp;"$"&amp;$D192&amp;$R$1&amp;"")</f>
        <v>6.7</v>
      </c>
      <c r="S192" s="300"/>
      <c r="T192" s="300">
        <v>0.97</v>
      </c>
      <c r="U192" s="298">
        <v>1.57</v>
      </c>
      <c r="V192" s="299" t="str" cm="1">
        <f t="array" aca="1" ref="V192" ca="1">INDIRECT("'"&amp;$C192&amp;"'!"&amp;"$"&amp;$D192&amp;$V$1&amp;"")</f>
        <v>CMS</v>
      </c>
      <c r="W192" s="300" t="s">
        <v>1</v>
      </c>
      <c r="X192" s="300" t="s">
        <v>1</v>
      </c>
      <c r="Y192" s="301" t="s">
        <v>1</v>
      </c>
      <c r="Z192" s="297" cm="1">
        <f t="array" aca="1" ref="Z192" ca="1">INDIRECT("'"&amp;$C192&amp;"'!"&amp;"$"&amp;$D192&amp;$Z$1&amp;"")</f>
        <v>0</v>
      </c>
      <c r="AA192" s="300" t="s">
        <v>1</v>
      </c>
      <c r="AB192" s="300" t="s">
        <v>1</v>
      </c>
      <c r="AC192" s="298" t="s">
        <v>1</v>
      </c>
      <c r="AD192" s="299" cm="1">
        <f t="array" aca="1" ref="AD192" ca="1">INDIRECT("'"&amp;$C192&amp;"'!"&amp;"$"&amp;$D192&amp;$AD$1&amp;"")</f>
        <v>3.3</v>
      </c>
      <c r="AE192" s="300">
        <f>3.8*3.57</f>
        <v>13.565999999999999</v>
      </c>
      <c r="AF192" s="300">
        <v>0.96</v>
      </c>
      <c r="AG192" s="301">
        <v>0.91</v>
      </c>
      <c r="AH192" s="297" cm="1">
        <f t="array" aca="1" ref="AH192" ca="1">INDIRECT("'"&amp;$C192&amp;"'!"&amp;"$"&amp;$D192&amp;$AH$1&amp;"")</f>
        <v>3.8</v>
      </c>
      <c r="AI192" s="300">
        <v>13.92</v>
      </c>
      <c r="AJ192" s="300">
        <v>0.91</v>
      </c>
      <c r="AK192" s="298">
        <v>1.58</v>
      </c>
      <c r="AL192" s="297">
        <v>11.9</v>
      </c>
      <c r="AM192" s="301">
        <v>70.3</v>
      </c>
      <c r="AN192" s="297" cm="1">
        <f t="array" aca="1" ref="AN192" ca="1">INDIRECT("'"&amp;$C192&amp;"'!"&amp;"$"&amp;$D192&amp;$AL$1&amp;"")</f>
        <v>3.8</v>
      </c>
      <c r="AO192" s="300">
        <v>0.97</v>
      </c>
      <c r="AP192" s="298">
        <v>0.92</v>
      </c>
      <c r="AQ192" s="299" cm="1">
        <f t="array" aca="1" ref="AQ192" ca="1">INDIRECT("'"&amp;$C192&amp;"'!"&amp;"$"&amp;$D192&amp;$AQ$1&amp;"")</f>
        <v>3.8</v>
      </c>
      <c r="AR192" s="300">
        <v>0.97</v>
      </c>
      <c r="AS192" s="298">
        <v>0.92</v>
      </c>
      <c r="AT192" s="302">
        <v>0</v>
      </c>
      <c r="AU192" s="301">
        <v>0</v>
      </c>
      <c r="AV192" s="297" t="str" cm="1">
        <f t="array" aca="1" ref="AV192" ca="1">INDIRECT("'"&amp;$C192&amp;"'!"&amp;"$"&amp;$D192&amp;$AT$1&amp;"")</f>
        <v>PMS</v>
      </c>
      <c r="AW192" s="300" t="s">
        <v>1</v>
      </c>
      <c r="AX192" s="298" t="s">
        <v>1</v>
      </c>
      <c r="AY192" s="303">
        <v>68.7</v>
      </c>
      <c r="AZ192" s="302" cm="1">
        <f t="array" aca="1" ref="AZ192" ca="1">INDIRECT("'"&amp;$C192&amp;"'!"&amp;"$"&amp;$D192&amp;$AY$1&amp;"")</f>
        <v>7.5999999999999988</v>
      </c>
      <c r="BA192" s="300">
        <v>0.96</v>
      </c>
      <c r="BB192" s="298">
        <v>2.2000000000000002</v>
      </c>
      <c r="BC192" s="299" cm="1">
        <f t="array" aca="1" ref="BC192" ca="1">INDIRECT("'"&amp;$C192&amp;"'!"&amp;"$"&amp;$D192&amp;$BC$1&amp;"")</f>
        <v>1.0900000000000001</v>
      </c>
      <c r="BD192" s="300"/>
      <c r="BE192" s="300">
        <v>0.99</v>
      </c>
      <c r="BF192" s="298">
        <v>0.14000000000000001</v>
      </c>
      <c r="BG192" s="299" cm="1">
        <f t="array" aca="1" ref="BG192" ca="1">INDIRECT("'"&amp;$C192&amp;"'!"&amp;"$"&amp;$D192&amp;$BG$1&amp;"")</f>
        <v>0.86</v>
      </c>
      <c r="BH192" s="300"/>
      <c r="BI192" s="300">
        <v>0.96</v>
      </c>
      <c r="BJ192" s="298">
        <v>0.24</v>
      </c>
      <c r="BK192" s="299" cm="1">
        <f t="array" aca="1" ref="BK192" ca="1">INDIRECT("'"&amp;$C192&amp;"'!"&amp;"$"&amp;$D192&amp;$BK$1&amp;"")</f>
        <v>3.89</v>
      </c>
      <c r="BL192" s="300"/>
      <c r="BM192" s="300">
        <v>0.95</v>
      </c>
      <c r="BN192" s="298">
        <v>1.2</v>
      </c>
    </row>
    <row r="193" spans="1:66" ht="15.75" thickBot="1" x14ac:dyDescent="0.25">
      <c r="A193" s="368">
        <v>45696</v>
      </c>
      <c r="B193" s="365">
        <v>0.54166666666666696</v>
      </c>
      <c r="C193" s="315">
        <v>8</v>
      </c>
      <c r="D193" s="319" t="s">
        <v>123</v>
      </c>
      <c r="E193" s="290">
        <v>14.2</v>
      </c>
      <c r="F193" s="291">
        <v>69.88</v>
      </c>
      <c r="G193" s="292" cm="1">
        <f t="array" aca="1" ref="G193" ca="1">INDIRECT("'"&amp;$C193&amp;"'!"&amp;"$"&amp;$D193&amp;$E$1&amp;"")</f>
        <v>6.7</v>
      </c>
      <c r="H193" s="293">
        <v>0.98</v>
      </c>
      <c r="I193" s="291">
        <v>1.45</v>
      </c>
      <c r="J193" s="292" t="str" cm="1">
        <f t="array" aca="1" ref="J193" ca="1">INDIRECT("'"&amp;$C193&amp;"'!"&amp;"$"&amp;$D193&amp;$J$1&amp;"")</f>
        <v>CMS</v>
      </c>
      <c r="K193" s="293"/>
      <c r="L193" s="293" t="s">
        <v>1</v>
      </c>
      <c r="M193" s="291" t="s">
        <v>1</v>
      </c>
      <c r="N193" s="292" cm="1">
        <f t="array" aca="1" ref="N193" ca="1">INDIRECT("'"&amp;$C193&amp;"'!"&amp;"$"&amp;$D193&amp;$N$1&amp;"")</f>
        <v>6.7</v>
      </c>
      <c r="O193" s="293"/>
      <c r="P193" s="293">
        <v>0.97</v>
      </c>
      <c r="Q193" s="291">
        <v>1.73</v>
      </c>
      <c r="R193" s="292" cm="1">
        <f t="array" aca="1" ref="R193" ca="1">INDIRECT("'"&amp;$C193&amp;"'!"&amp;"$"&amp;$D193&amp;$R$1&amp;"")</f>
        <v>6.7</v>
      </c>
      <c r="S193" s="293"/>
      <c r="T193" s="293">
        <v>0.97</v>
      </c>
      <c r="U193" s="291">
        <v>1.59</v>
      </c>
      <c r="V193" s="292" t="str" cm="1">
        <f t="array" aca="1" ref="V193" ca="1">INDIRECT("'"&amp;$C193&amp;"'!"&amp;"$"&amp;$D193&amp;$V$1&amp;"")</f>
        <v>CMS</v>
      </c>
      <c r="W193" s="293" t="s">
        <v>1</v>
      </c>
      <c r="X193" s="293" t="s">
        <v>1</v>
      </c>
      <c r="Y193" s="294" t="s">
        <v>1</v>
      </c>
      <c r="Z193" s="290" cm="1">
        <f t="array" aca="1" ref="Z193" ca="1">INDIRECT("'"&amp;$C193&amp;"'!"&amp;"$"&amp;$D193&amp;$Z$1&amp;"")</f>
        <v>0</v>
      </c>
      <c r="AA193" s="293" t="s">
        <v>1</v>
      </c>
      <c r="AB193" s="293" t="s">
        <v>1</v>
      </c>
      <c r="AC193" s="291" t="s">
        <v>1</v>
      </c>
      <c r="AD193" s="292" cm="1">
        <f t="array" aca="1" ref="AD193" ca="1">INDIRECT("'"&amp;$C193&amp;"'!"&amp;"$"&amp;$D193&amp;$AD$1&amp;"")</f>
        <v>3.3</v>
      </c>
      <c r="AE193" s="293">
        <f>3.8*3.56</f>
        <v>13.527999999999999</v>
      </c>
      <c r="AF193" s="293">
        <v>0.96</v>
      </c>
      <c r="AG193" s="294">
        <v>0.94</v>
      </c>
      <c r="AH193" s="290" cm="1">
        <f t="array" aca="1" ref="AH193" ca="1">INDIRECT("'"&amp;$C193&amp;"'!"&amp;"$"&amp;$D193&amp;$AH$1&amp;"")</f>
        <v>3.8</v>
      </c>
      <c r="AI193" s="293">
        <v>13.92</v>
      </c>
      <c r="AJ193" s="293">
        <v>0.91</v>
      </c>
      <c r="AK193" s="291">
        <v>1.54</v>
      </c>
      <c r="AL193" s="290">
        <v>11.8</v>
      </c>
      <c r="AM193" s="294">
        <v>70.2</v>
      </c>
      <c r="AN193" s="290" cm="1">
        <f t="array" aca="1" ref="AN193" ca="1">INDIRECT("'"&amp;$C193&amp;"'!"&amp;"$"&amp;$D193&amp;$AL$1&amp;"")</f>
        <v>3.8</v>
      </c>
      <c r="AO193" s="293">
        <v>0.97</v>
      </c>
      <c r="AP193" s="291">
        <v>0.9</v>
      </c>
      <c r="AQ193" s="292" cm="1">
        <f t="array" aca="1" ref="AQ193" ca="1">INDIRECT("'"&amp;$C193&amp;"'!"&amp;"$"&amp;$D193&amp;$AQ$1&amp;"")</f>
        <v>3.8</v>
      </c>
      <c r="AR193" s="293">
        <v>0.97</v>
      </c>
      <c r="AS193" s="291">
        <v>0.9</v>
      </c>
      <c r="AT193" s="295">
        <v>0</v>
      </c>
      <c r="AU193" s="294">
        <v>0</v>
      </c>
      <c r="AV193" s="290" t="str" cm="1">
        <f t="array" aca="1" ref="AV193" ca="1">INDIRECT("'"&amp;$C193&amp;"'!"&amp;"$"&amp;$D193&amp;$AT$1&amp;"")</f>
        <v>PMS</v>
      </c>
      <c r="AW193" s="293" t="s">
        <v>1</v>
      </c>
      <c r="AX193" s="291" t="s">
        <v>1</v>
      </c>
      <c r="AY193" s="296">
        <v>68.8</v>
      </c>
      <c r="AZ193" s="295" cm="1">
        <f t="array" aca="1" ref="AZ193" ca="1">INDIRECT("'"&amp;$C193&amp;"'!"&amp;"$"&amp;$D193&amp;$AY$1&amp;"")</f>
        <v>7.5999999999999988</v>
      </c>
      <c r="BA193" s="293">
        <v>0.96</v>
      </c>
      <c r="BB193" s="291">
        <v>2.2000000000000002</v>
      </c>
      <c r="BC193" s="292" cm="1">
        <f t="array" aca="1" ref="BC193" ca="1">INDIRECT("'"&amp;$C193&amp;"'!"&amp;"$"&amp;$D193&amp;$BC$1&amp;"")</f>
        <v>1.08</v>
      </c>
      <c r="BD193" s="293"/>
      <c r="BE193" s="293">
        <v>0.99</v>
      </c>
      <c r="BF193" s="291">
        <v>0.15</v>
      </c>
      <c r="BG193" s="292" cm="1">
        <f t="array" aca="1" ref="BG193" ca="1">INDIRECT("'"&amp;$C193&amp;"'!"&amp;"$"&amp;$D193&amp;$BG$1&amp;"")</f>
        <v>0.79</v>
      </c>
      <c r="BH193" s="293"/>
      <c r="BI193" s="293">
        <v>0.96</v>
      </c>
      <c r="BJ193" s="291">
        <v>0.22</v>
      </c>
      <c r="BK193" s="292" cm="1">
        <f t="array" aca="1" ref="BK193" ca="1">INDIRECT("'"&amp;$C193&amp;"'!"&amp;"$"&amp;$D193&amp;$BK$1&amp;"")</f>
        <v>3.73</v>
      </c>
      <c r="BL193" s="293"/>
      <c r="BM193" s="293">
        <v>0.95</v>
      </c>
      <c r="BN193" s="291">
        <v>1.2</v>
      </c>
    </row>
    <row r="194" spans="1:66" ht="15.75" thickBot="1" x14ac:dyDescent="0.25">
      <c r="A194" s="368">
        <v>45696</v>
      </c>
      <c r="B194" s="365">
        <v>0.58333333333333404</v>
      </c>
      <c r="C194" s="315">
        <v>8</v>
      </c>
      <c r="D194" s="319" t="s">
        <v>124</v>
      </c>
      <c r="E194" s="297">
        <v>14.2</v>
      </c>
      <c r="F194" s="298">
        <v>69.930000000000007</v>
      </c>
      <c r="G194" s="299" cm="1">
        <f t="array" aca="1" ref="G194" ca="1">INDIRECT("'"&amp;$C194&amp;"'!"&amp;"$"&amp;$D194&amp;$E$1&amp;"")</f>
        <v>6.5</v>
      </c>
      <c r="H194" s="300">
        <v>0.97</v>
      </c>
      <c r="I194" s="298">
        <v>1.54</v>
      </c>
      <c r="J194" s="299" t="str" cm="1">
        <f t="array" aca="1" ref="J194" ca="1">INDIRECT("'"&amp;$C194&amp;"'!"&amp;"$"&amp;$D194&amp;$J$1&amp;"")</f>
        <v>CMS</v>
      </c>
      <c r="K194" s="300"/>
      <c r="L194" s="300" t="s">
        <v>1</v>
      </c>
      <c r="M194" s="298" t="s">
        <v>1</v>
      </c>
      <c r="N194" s="299" cm="1">
        <f t="array" aca="1" ref="N194" ca="1">INDIRECT("'"&amp;$C194&amp;"'!"&amp;"$"&amp;$D194&amp;$N$1&amp;"")</f>
        <v>6.5</v>
      </c>
      <c r="O194" s="300"/>
      <c r="P194" s="300">
        <v>0.97</v>
      </c>
      <c r="Q194" s="298">
        <v>1.54</v>
      </c>
      <c r="R194" s="299" cm="1">
        <f t="array" aca="1" ref="R194" ca="1">INDIRECT("'"&amp;$C194&amp;"'!"&amp;"$"&amp;$D194&amp;$R$1&amp;"")</f>
        <v>6.5</v>
      </c>
      <c r="S194" s="300"/>
      <c r="T194" s="300">
        <v>0.97</v>
      </c>
      <c r="U194" s="298">
        <v>1.58</v>
      </c>
      <c r="V194" s="299" t="str" cm="1">
        <f t="array" aca="1" ref="V194" ca="1">INDIRECT("'"&amp;$C194&amp;"'!"&amp;"$"&amp;$D194&amp;$V$1&amp;"")</f>
        <v>CMS</v>
      </c>
      <c r="W194" s="300" t="s">
        <v>1</v>
      </c>
      <c r="X194" s="300" t="s">
        <v>1</v>
      </c>
      <c r="Y194" s="301" t="s">
        <v>1</v>
      </c>
      <c r="Z194" s="297" cm="1">
        <f t="array" aca="1" ref="Z194" ca="1">INDIRECT("'"&amp;$C194&amp;"'!"&amp;"$"&amp;$D194&amp;$Z$1&amp;"")</f>
        <v>0</v>
      </c>
      <c r="AA194" s="300" t="s">
        <v>1</v>
      </c>
      <c r="AB194" s="300" t="s">
        <v>1</v>
      </c>
      <c r="AC194" s="298" t="s">
        <v>1</v>
      </c>
      <c r="AD194" s="299" cm="1">
        <f t="array" aca="1" ref="AD194" ca="1">INDIRECT("'"&amp;$C194&amp;"'!"&amp;"$"&amp;$D194&amp;$AD$1&amp;"")</f>
        <v>3.3</v>
      </c>
      <c r="AE194" s="300">
        <f>3.8*3.56</f>
        <v>13.527999999999999</v>
      </c>
      <c r="AF194" s="300">
        <v>0.96</v>
      </c>
      <c r="AG194" s="301">
        <v>0.95</v>
      </c>
      <c r="AH194" s="297" cm="1">
        <f t="array" aca="1" ref="AH194" ca="1">INDIRECT("'"&amp;$C194&amp;"'!"&amp;"$"&amp;$D194&amp;$AH$1&amp;"")</f>
        <v>3.8</v>
      </c>
      <c r="AI194" s="300">
        <v>13.88</v>
      </c>
      <c r="AJ194" s="300">
        <v>0.9</v>
      </c>
      <c r="AK194" s="298">
        <v>1.65</v>
      </c>
      <c r="AL194" s="297">
        <v>11.9</v>
      </c>
      <c r="AM194" s="301">
        <v>70.400000000000006</v>
      </c>
      <c r="AN194" s="297" cm="1">
        <f t="array" aca="1" ref="AN194" ca="1">INDIRECT("'"&amp;$C194&amp;"'!"&amp;"$"&amp;$D194&amp;$AL$1&amp;"")</f>
        <v>3.2</v>
      </c>
      <c r="AO194" s="300">
        <v>0.96</v>
      </c>
      <c r="AP194" s="298">
        <v>0.95</v>
      </c>
      <c r="AQ194" s="299" cm="1">
        <f t="array" aca="1" ref="AQ194" ca="1">INDIRECT("'"&amp;$C194&amp;"'!"&amp;"$"&amp;$D194&amp;$AQ$1&amp;"")</f>
        <v>3.2</v>
      </c>
      <c r="AR194" s="300">
        <v>0.96</v>
      </c>
      <c r="AS194" s="298">
        <v>0.95</v>
      </c>
      <c r="AT194" s="302">
        <v>0</v>
      </c>
      <c r="AU194" s="301">
        <v>0</v>
      </c>
      <c r="AV194" s="297" t="str" cm="1">
        <f t="array" aca="1" ref="AV194" ca="1">INDIRECT("'"&amp;$C194&amp;"'!"&amp;"$"&amp;$D194&amp;$AT$1&amp;"")</f>
        <v>PMS</v>
      </c>
      <c r="AW194" s="300" t="s">
        <v>1</v>
      </c>
      <c r="AX194" s="298" t="s">
        <v>1</v>
      </c>
      <c r="AY194" s="303">
        <v>68.8</v>
      </c>
      <c r="AZ194" s="302" cm="1">
        <f t="array" aca="1" ref="AZ194" ca="1">INDIRECT("'"&amp;$C194&amp;"'!"&amp;"$"&amp;$D194&amp;$AY$1&amp;"")</f>
        <v>7.5999999999999988</v>
      </c>
      <c r="BA194" s="300">
        <v>0.96</v>
      </c>
      <c r="BB194" s="298">
        <v>2.1</v>
      </c>
      <c r="BC194" s="299" cm="1">
        <f t="array" aca="1" ref="BC194" ca="1">INDIRECT("'"&amp;$C194&amp;"'!"&amp;"$"&amp;$D194&amp;$BC$1&amp;"")</f>
        <v>1.07</v>
      </c>
      <c r="BD194" s="300"/>
      <c r="BE194" s="300">
        <v>0.99</v>
      </c>
      <c r="BF194" s="298">
        <v>0.15</v>
      </c>
      <c r="BG194" s="299" cm="1">
        <f t="array" aca="1" ref="BG194" ca="1">INDIRECT("'"&amp;$C194&amp;"'!"&amp;"$"&amp;$D194&amp;$BG$1&amp;"")</f>
        <v>0.78</v>
      </c>
      <c r="BH194" s="300"/>
      <c r="BI194" s="300">
        <v>0.96</v>
      </c>
      <c r="BJ194" s="298">
        <v>0.22</v>
      </c>
      <c r="BK194" s="299" cm="1">
        <f t="array" aca="1" ref="BK194" ca="1">INDIRECT("'"&amp;$C194&amp;"'!"&amp;"$"&amp;$D194&amp;$BK$1&amp;"")</f>
        <v>2.36</v>
      </c>
      <c r="BL194" s="300"/>
      <c r="BM194" s="300">
        <v>0.95</v>
      </c>
      <c r="BN194" s="298">
        <v>0.77</v>
      </c>
    </row>
    <row r="195" spans="1:66" ht="15.75" thickBot="1" x14ac:dyDescent="0.25">
      <c r="A195" s="368">
        <v>45696</v>
      </c>
      <c r="B195" s="365">
        <v>0.625</v>
      </c>
      <c r="C195" s="315">
        <v>8</v>
      </c>
      <c r="D195" s="319" t="s">
        <v>125</v>
      </c>
      <c r="E195" s="290">
        <v>14.2</v>
      </c>
      <c r="F195" s="291">
        <v>69.55</v>
      </c>
      <c r="G195" s="292" cm="1">
        <f t="array" aca="1" ref="G195" ca="1">INDIRECT("'"&amp;$C195&amp;"'!"&amp;"$"&amp;$D195&amp;$E$1&amp;"")</f>
        <v>6.7</v>
      </c>
      <c r="H195" s="293">
        <v>0.97</v>
      </c>
      <c r="I195" s="291">
        <v>1.71</v>
      </c>
      <c r="J195" s="292" t="str" cm="1">
        <f t="array" aca="1" ref="J195" ca="1">INDIRECT("'"&amp;$C195&amp;"'!"&amp;"$"&amp;$D195&amp;$J$1&amp;"")</f>
        <v>CMS</v>
      </c>
      <c r="K195" s="293"/>
      <c r="L195" s="293" t="s">
        <v>1</v>
      </c>
      <c r="M195" s="291" t="s">
        <v>1</v>
      </c>
      <c r="N195" s="292" cm="1">
        <f t="array" aca="1" ref="N195" ca="1">INDIRECT("'"&amp;$C195&amp;"'!"&amp;"$"&amp;$D195&amp;$N$1&amp;"")</f>
        <v>6.7</v>
      </c>
      <c r="O195" s="293"/>
      <c r="P195" s="293">
        <v>0.97</v>
      </c>
      <c r="Q195" s="291">
        <v>1.74</v>
      </c>
      <c r="R195" s="292" cm="1">
        <f t="array" aca="1" ref="R195" ca="1">INDIRECT("'"&amp;$C195&amp;"'!"&amp;"$"&amp;$D195&amp;$R$1&amp;"")</f>
        <v>6.8</v>
      </c>
      <c r="S195" s="293"/>
      <c r="T195" s="293">
        <v>0.96</v>
      </c>
      <c r="U195" s="291">
        <v>1.95</v>
      </c>
      <c r="V195" s="292" t="str" cm="1">
        <f t="array" aca="1" ref="V195" ca="1">INDIRECT("'"&amp;$C195&amp;"'!"&amp;"$"&amp;$D195&amp;$V$1&amp;"")</f>
        <v>CMS</v>
      </c>
      <c r="W195" s="293" t="s">
        <v>1</v>
      </c>
      <c r="X195" s="293" t="s">
        <v>1</v>
      </c>
      <c r="Y195" s="294" t="s">
        <v>1</v>
      </c>
      <c r="Z195" s="290" cm="1">
        <f t="array" aca="1" ref="Z195" ca="1">INDIRECT("'"&amp;$C195&amp;"'!"&amp;"$"&amp;$D195&amp;$Z$1&amp;"")</f>
        <v>0</v>
      </c>
      <c r="AA195" s="293" t="s">
        <v>1</v>
      </c>
      <c r="AB195" s="293" t="s">
        <v>1</v>
      </c>
      <c r="AC195" s="291" t="s">
        <v>1</v>
      </c>
      <c r="AD195" s="292" cm="1">
        <f t="array" aca="1" ref="AD195" ca="1">INDIRECT("'"&amp;$C195&amp;"'!"&amp;"$"&amp;$D195&amp;$AD$1&amp;"")</f>
        <v>3.3</v>
      </c>
      <c r="AE195" s="293">
        <f>3.8*3.55</f>
        <v>13.489999999999998</v>
      </c>
      <c r="AF195" s="293">
        <v>0.95</v>
      </c>
      <c r="AG195" s="291">
        <v>0.91</v>
      </c>
      <c r="AH195" s="290" cm="1">
        <f t="array" aca="1" ref="AH195" ca="1">INDIRECT("'"&amp;$C195&amp;"'!"&amp;"$"&amp;$D195&amp;$AH$1&amp;"")</f>
        <v>3.8</v>
      </c>
      <c r="AI195" s="293">
        <v>13.88</v>
      </c>
      <c r="AJ195" s="293">
        <v>0.88</v>
      </c>
      <c r="AK195" s="291">
        <v>1.72</v>
      </c>
      <c r="AL195" s="290">
        <v>11.8</v>
      </c>
      <c r="AM195" s="294">
        <v>70.3</v>
      </c>
      <c r="AN195" s="290" cm="1">
        <f t="array" aca="1" ref="AN195" ca="1">INDIRECT("'"&amp;$C195&amp;"'!"&amp;"$"&amp;$D195&amp;$AL$1&amp;"")</f>
        <v>3.8</v>
      </c>
      <c r="AO195" s="293">
        <v>0.98</v>
      </c>
      <c r="AP195" s="291">
        <v>0.67</v>
      </c>
      <c r="AQ195" s="292" cm="1">
        <f t="array" aca="1" ref="AQ195" ca="1">INDIRECT("'"&amp;$C195&amp;"'!"&amp;"$"&amp;$D195&amp;$AQ$1&amp;"")</f>
        <v>3.8</v>
      </c>
      <c r="AR195" s="293">
        <v>0.98</v>
      </c>
      <c r="AS195" s="291">
        <v>0.67</v>
      </c>
      <c r="AT195" s="295">
        <v>0</v>
      </c>
      <c r="AU195" s="294">
        <v>0</v>
      </c>
      <c r="AV195" s="290" t="str" cm="1">
        <f t="array" aca="1" ref="AV195" ca="1">INDIRECT("'"&amp;$C195&amp;"'!"&amp;"$"&amp;$D195&amp;$AT$1&amp;"")</f>
        <v>PMS</v>
      </c>
      <c r="AW195" s="293" t="s">
        <v>1</v>
      </c>
      <c r="AX195" s="291" t="s">
        <v>1</v>
      </c>
      <c r="AY195" s="296">
        <v>68.400000000000006</v>
      </c>
      <c r="AZ195" s="295" cm="1">
        <f t="array" aca="1" ref="AZ195" ca="1">INDIRECT("'"&amp;$C195&amp;"'!"&amp;"$"&amp;$D195&amp;$AY$1&amp;"")</f>
        <v>6.9000000000000012</v>
      </c>
      <c r="BA195" s="293">
        <v>0.96</v>
      </c>
      <c r="BB195" s="291">
        <v>2</v>
      </c>
      <c r="BC195" s="292" cm="1">
        <f t="array" aca="1" ref="BC195" ca="1">INDIRECT("'"&amp;$C195&amp;"'!"&amp;"$"&amp;$D195&amp;$BC$1&amp;"")</f>
        <v>1.05</v>
      </c>
      <c r="BD195" s="293"/>
      <c r="BE195" s="293">
        <v>0.99</v>
      </c>
      <c r="BF195" s="291">
        <v>0.16</v>
      </c>
      <c r="BG195" s="292" cm="1">
        <f t="array" aca="1" ref="BG195" ca="1">INDIRECT("'"&amp;$C195&amp;"'!"&amp;"$"&amp;$D195&amp;$BG$1&amp;"")</f>
        <v>0.75</v>
      </c>
      <c r="BH195" s="293"/>
      <c r="BI195" s="293">
        <v>0.96</v>
      </c>
      <c r="BJ195" s="291">
        <v>0.23</v>
      </c>
      <c r="BK195" s="292" cm="1">
        <f t="array" aca="1" ref="BK195" ca="1">INDIRECT("'"&amp;$C195&amp;"'!"&amp;"$"&amp;$D195&amp;$BK$1&amp;"")</f>
        <v>3.3999999999999995</v>
      </c>
      <c r="BL195" s="293"/>
      <c r="BM195" s="293">
        <v>0.95</v>
      </c>
      <c r="BN195" s="291">
        <v>0.75</v>
      </c>
    </row>
    <row r="196" spans="1:66" ht="15.75" thickBot="1" x14ac:dyDescent="0.25">
      <c r="A196" s="368">
        <v>45696</v>
      </c>
      <c r="B196" s="365">
        <v>0.66666666666666696</v>
      </c>
      <c r="C196" s="315">
        <v>8</v>
      </c>
      <c r="D196" s="319" t="s">
        <v>126</v>
      </c>
      <c r="E196" s="297">
        <v>14.2</v>
      </c>
      <c r="F196" s="298">
        <v>69.739999999999995</v>
      </c>
      <c r="G196" s="299" cm="1">
        <f t="array" aca="1" ref="G196" ca="1">INDIRECT("'"&amp;$C196&amp;"'!"&amp;"$"&amp;$D196&amp;$E$1&amp;"")</f>
        <v>6.7</v>
      </c>
      <c r="H196" s="300">
        <v>0.97</v>
      </c>
      <c r="I196" s="298">
        <v>1.74</v>
      </c>
      <c r="J196" s="299" t="str" cm="1">
        <f t="array" aca="1" ref="J196" ca="1">INDIRECT("'"&amp;$C196&amp;"'!"&amp;"$"&amp;$D196&amp;$J$1&amp;"")</f>
        <v>CMS</v>
      </c>
      <c r="K196" s="300"/>
      <c r="L196" s="300" t="s">
        <v>1</v>
      </c>
      <c r="M196" s="298" t="s">
        <v>1</v>
      </c>
      <c r="N196" s="299" cm="1">
        <f t="array" aca="1" ref="N196" ca="1">INDIRECT("'"&amp;$C196&amp;"'!"&amp;"$"&amp;$D196&amp;$N$1&amp;"")</f>
        <v>6.7</v>
      </c>
      <c r="O196" s="300"/>
      <c r="P196" s="300">
        <v>0.97</v>
      </c>
      <c r="Q196" s="298">
        <v>1.79</v>
      </c>
      <c r="R196" s="299" cm="1">
        <f t="array" aca="1" ref="R196" ca="1">INDIRECT("'"&amp;$C196&amp;"'!"&amp;"$"&amp;$D196&amp;$R$1&amp;"")</f>
        <v>6.8</v>
      </c>
      <c r="S196" s="300"/>
      <c r="T196" s="300">
        <v>0.97</v>
      </c>
      <c r="U196" s="298">
        <v>1.8</v>
      </c>
      <c r="V196" s="299" t="str" cm="1">
        <f t="array" aca="1" ref="V196" ca="1">INDIRECT("'"&amp;$C196&amp;"'!"&amp;"$"&amp;$D196&amp;$V$1&amp;"")</f>
        <v>CMS</v>
      </c>
      <c r="W196" s="300" t="s">
        <v>1</v>
      </c>
      <c r="X196" s="300" t="s">
        <v>1</v>
      </c>
      <c r="Y196" s="301" t="s">
        <v>1</v>
      </c>
      <c r="Z196" s="297" cm="1">
        <f t="array" aca="1" ref="Z196" ca="1">INDIRECT("'"&amp;$C196&amp;"'!"&amp;"$"&amp;$D196&amp;$Z$1&amp;"")</f>
        <v>0</v>
      </c>
      <c r="AA196" s="300" t="s">
        <v>1</v>
      </c>
      <c r="AB196" s="300" t="s">
        <v>1</v>
      </c>
      <c r="AC196" s="298" t="s">
        <v>1</v>
      </c>
      <c r="AD196" s="299" cm="1">
        <f t="array" aca="1" ref="AD196" ca="1">INDIRECT("'"&amp;$C196&amp;"'!"&amp;"$"&amp;$D196&amp;$AD$1&amp;"")</f>
        <v>3.3</v>
      </c>
      <c r="AE196" s="300">
        <v>13.489999999999998</v>
      </c>
      <c r="AF196" s="300">
        <v>0.96</v>
      </c>
      <c r="AG196" s="298">
        <v>0.93</v>
      </c>
      <c r="AH196" s="297" cm="1">
        <f t="array" aca="1" ref="AH196" ca="1">INDIRECT("'"&amp;$C196&amp;"'!"&amp;"$"&amp;$D196&amp;$AH$1&amp;"")</f>
        <v>3.8</v>
      </c>
      <c r="AI196" s="300">
        <v>13.88</v>
      </c>
      <c r="AJ196" s="300">
        <v>0.9</v>
      </c>
      <c r="AK196" s="298">
        <v>1.58</v>
      </c>
      <c r="AL196" s="297">
        <v>11.8</v>
      </c>
      <c r="AM196" s="301">
        <v>70</v>
      </c>
      <c r="AN196" s="297" cm="1">
        <f t="array" aca="1" ref="AN196" ca="1">INDIRECT("'"&amp;$C196&amp;"'!"&amp;"$"&amp;$D196&amp;$AL$1&amp;"")</f>
        <v>3.9</v>
      </c>
      <c r="AO196" s="300">
        <v>0.98</v>
      </c>
      <c r="AP196" s="298">
        <v>0.62</v>
      </c>
      <c r="AQ196" s="299" cm="1">
        <f t="array" aca="1" ref="AQ196" ca="1">INDIRECT("'"&amp;$C196&amp;"'!"&amp;"$"&amp;$D196&amp;$AQ$1&amp;"")</f>
        <v>3.9</v>
      </c>
      <c r="AR196" s="300">
        <v>0.98</v>
      </c>
      <c r="AS196" s="298">
        <v>0.62</v>
      </c>
      <c r="AT196" s="302">
        <v>0</v>
      </c>
      <c r="AU196" s="301">
        <v>0</v>
      </c>
      <c r="AV196" s="297" t="str" cm="1">
        <f t="array" aca="1" ref="AV196" ca="1">INDIRECT("'"&amp;$C196&amp;"'!"&amp;"$"&amp;$D196&amp;$AT$1&amp;"")</f>
        <v>PMS</v>
      </c>
      <c r="AW196" s="300" t="s">
        <v>1</v>
      </c>
      <c r="AX196" s="298" t="s">
        <v>1</v>
      </c>
      <c r="AY196" s="303">
        <v>68.599999999999994</v>
      </c>
      <c r="AZ196" s="302" cm="1">
        <f t="array" aca="1" ref="AZ196" ca="1">INDIRECT("'"&amp;$C196&amp;"'!"&amp;"$"&amp;$D196&amp;$AY$1&amp;"")</f>
        <v>6.1</v>
      </c>
      <c r="BA196" s="300">
        <v>0.96</v>
      </c>
      <c r="BB196" s="298">
        <v>1.7</v>
      </c>
      <c r="BC196" s="299" cm="1">
        <f t="array" aca="1" ref="BC196" ca="1">INDIRECT("'"&amp;$C196&amp;"'!"&amp;"$"&amp;$D196&amp;$BC$1&amp;"")</f>
        <v>1.05</v>
      </c>
      <c r="BD196" s="300"/>
      <c r="BE196" s="300">
        <v>0.99</v>
      </c>
      <c r="BF196" s="298">
        <v>0.13</v>
      </c>
      <c r="BG196" s="299" cm="1">
        <f t="array" aca="1" ref="BG196" ca="1">INDIRECT("'"&amp;$C196&amp;"'!"&amp;"$"&amp;$D196&amp;$BG$1&amp;"")</f>
        <v>0.77</v>
      </c>
      <c r="BH196" s="300"/>
      <c r="BI196" s="300">
        <v>0.96</v>
      </c>
      <c r="BJ196" s="298">
        <v>0.23</v>
      </c>
      <c r="BK196" s="299" cm="1">
        <f t="array" aca="1" ref="BK196" ca="1">INDIRECT("'"&amp;$C196&amp;"'!"&amp;"$"&amp;$D196&amp;$BK$1&amp;"")</f>
        <v>3.43</v>
      </c>
      <c r="BL196" s="300"/>
      <c r="BM196" s="300">
        <v>0.95</v>
      </c>
      <c r="BN196" s="298">
        <v>1.1000000000000001</v>
      </c>
    </row>
    <row r="197" spans="1:66" ht="15.75" thickBot="1" x14ac:dyDescent="0.25">
      <c r="A197" s="368">
        <v>45696</v>
      </c>
      <c r="B197" s="365">
        <v>0.70833333333333404</v>
      </c>
      <c r="C197" s="315">
        <v>8</v>
      </c>
      <c r="D197" s="319" t="s">
        <v>127</v>
      </c>
      <c r="E197" s="290">
        <v>14.3</v>
      </c>
      <c r="F197" s="291">
        <v>70.33</v>
      </c>
      <c r="G197" s="292" cm="1">
        <f t="array" aca="1" ref="G197" ca="1">INDIRECT("'"&amp;$C197&amp;"'!"&amp;"$"&amp;$D197&amp;$E$1&amp;"")</f>
        <v>6.7</v>
      </c>
      <c r="H197" s="293">
        <v>0.97</v>
      </c>
      <c r="I197" s="291">
        <v>1.69</v>
      </c>
      <c r="J197" s="292" t="str" cm="1">
        <f t="array" aca="1" ref="J197" ca="1">INDIRECT("'"&amp;$C197&amp;"'!"&amp;"$"&amp;$D197&amp;$J$1&amp;"")</f>
        <v>CMS</v>
      </c>
      <c r="K197" s="293"/>
      <c r="L197" s="293" t="s">
        <v>1</v>
      </c>
      <c r="M197" s="291" t="s">
        <v>1</v>
      </c>
      <c r="N197" s="292" cm="1">
        <f t="array" aca="1" ref="N197" ca="1">INDIRECT("'"&amp;$C197&amp;"'!"&amp;"$"&amp;$D197&amp;$N$1&amp;"")</f>
        <v>6.7</v>
      </c>
      <c r="O197" s="293"/>
      <c r="P197" s="293">
        <v>0.97</v>
      </c>
      <c r="Q197" s="291">
        <v>1.7</v>
      </c>
      <c r="R197" s="292" cm="1">
        <f t="array" aca="1" ref="R197" ca="1">INDIRECT("'"&amp;$C197&amp;"'!"&amp;"$"&amp;$D197&amp;$R$1&amp;"")</f>
        <v>6.7</v>
      </c>
      <c r="S197" s="293"/>
      <c r="T197" s="293">
        <v>0.99</v>
      </c>
      <c r="U197" s="291">
        <v>1.06</v>
      </c>
      <c r="V197" s="292" t="str" cm="1">
        <f t="array" aca="1" ref="V197" ca="1">INDIRECT("'"&amp;$C197&amp;"'!"&amp;"$"&amp;$D197&amp;$V$1&amp;"")</f>
        <v>CMS</v>
      </c>
      <c r="W197" s="293" t="s">
        <v>1</v>
      </c>
      <c r="X197" s="293" t="s">
        <v>1</v>
      </c>
      <c r="Y197" s="294" t="s">
        <v>1</v>
      </c>
      <c r="Z197" s="290" cm="1">
        <f t="array" aca="1" ref="Z197" ca="1">INDIRECT("'"&amp;$C197&amp;"'!"&amp;"$"&amp;$D197&amp;$Z$1&amp;"")</f>
        <v>0</v>
      </c>
      <c r="AA197" s="293" t="s">
        <v>1</v>
      </c>
      <c r="AB197" s="293" t="s">
        <v>1</v>
      </c>
      <c r="AC197" s="291" t="s">
        <v>1</v>
      </c>
      <c r="AD197" s="292" cm="1">
        <f t="array" aca="1" ref="AD197" ca="1">INDIRECT("'"&amp;$C197&amp;"'!"&amp;"$"&amp;$D197&amp;$AD$1&amp;"")</f>
        <v>3.3</v>
      </c>
      <c r="AE197" s="293">
        <f>3.8*3.58</f>
        <v>13.603999999999999</v>
      </c>
      <c r="AF197" s="293">
        <v>0.96</v>
      </c>
      <c r="AG197" s="291">
        <v>0.94</v>
      </c>
      <c r="AH197" s="290" cm="1">
        <f t="array" aca="1" ref="AH197" ca="1">INDIRECT("'"&amp;$C197&amp;"'!"&amp;"$"&amp;$D197&amp;$AH$1&amp;"")</f>
        <v>3.8</v>
      </c>
      <c r="AI197" s="293">
        <v>13.92</v>
      </c>
      <c r="AJ197" s="293">
        <v>0.92</v>
      </c>
      <c r="AK197" s="291">
        <v>1.37</v>
      </c>
      <c r="AL197" s="290">
        <v>11.8</v>
      </c>
      <c r="AM197" s="294">
        <v>70.3</v>
      </c>
      <c r="AN197" s="290" cm="1">
        <f t="array" aca="1" ref="AN197" ca="1">INDIRECT("'"&amp;$C197&amp;"'!"&amp;"$"&amp;$D197&amp;$AL$1&amp;"")</f>
        <v>4</v>
      </c>
      <c r="AO197" s="293">
        <v>0.99</v>
      </c>
      <c r="AP197" s="291">
        <v>0.35</v>
      </c>
      <c r="AQ197" s="292" cm="1">
        <f t="array" aca="1" ref="AQ197" ca="1">INDIRECT("'"&amp;$C197&amp;"'!"&amp;"$"&amp;$D197&amp;$AQ$1&amp;"")</f>
        <v>4</v>
      </c>
      <c r="AR197" s="293">
        <v>0.99</v>
      </c>
      <c r="AS197" s="291">
        <v>0.35</v>
      </c>
      <c r="AT197" s="295">
        <v>0</v>
      </c>
      <c r="AU197" s="294">
        <v>0</v>
      </c>
      <c r="AV197" s="290" t="str" cm="1">
        <f t="array" aca="1" ref="AV197" ca="1">INDIRECT("'"&amp;$C197&amp;"'!"&amp;"$"&amp;$D197&amp;$AT$1&amp;"")</f>
        <v>PMS</v>
      </c>
      <c r="AW197" s="293" t="s">
        <v>1</v>
      </c>
      <c r="AX197" s="291" t="s">
        <v>1</v>
      </c>
      <c r="AY197" s="296">
        <v>69.2</v>
      </c>
      <c r="AZ197" s="295" cm="1">
        <f t="array" aca="1" ref="AZ197" ca="1">INDIRECT("'"&amp;$C197&amp;"'!"&amp;"$"&amp;$D197&amp;$AY$1&amp;"")</f>
        <v>9.4</v>
      </c>
      <c r="BA197" s="293">
        <v>0.94</v>
      </c>
      <c r="BB197" s="291">
        <v>2.2999999999999998</v>
      </c>
      <c r="BC197" s="292" cm="1">
        <f t="array" aca="1" ref="BC197" ca="1">INDIRECT("'"&amp;$C197&amp;"'!"&amp;"$"&amp;$D197&amp;$BC$1&amp;"")</f>
        <v>1.02</v>
      </c>
      <c r="BD197" s="293"/>
      <c r="BE197" s="293">
        <v>0.99</v>
      </c>
      <c r="BF197" s="291">
        <v>0.13</v>
      </c>
      <c r="BG197" s="292" cm="1">
        <f t="array" aca="1" ref="BG197" ca="1">INDIRECT("'"&amp;$C197&amp;"'!"&amp;"$"&amp;$D197&amp;$BG$1&amp;"")</f>
        <v>0.79</v>
      </c>
      <c r="BH197" s="293"/>
      <c r="BI197" s="293">
        <v>0.96</v>
      </c>
      <c r="BJ197" s="291">
        <v>0.22</v>
      </c>
      <c r="BK197" s="292" cm="1">
        <f t="array" aca="1" ref="BK197" ca="1">INDIRECT("'"&amp;$C197&amp;"'!"&amp;"$"&amp;$D197&amp;$BK$1&amp;"")</f>
        <v>3.55</v>
      </c>
      <c r="BL197" s="293"/>
      <c r="BM197" s="293">
        <v>0.95</v>
      </c>
      <c r="BN197" s="291">
        <v>1.1000000000000001</v>
      </c>
    </row>
    <row r="198" spans="1:66" ht="15.75" thickBot="1" x14ac:dyDescent="0.25">
      <c r="A198" s="368">
        <v>45696</v>
      </c>
      <c r="B198" s="365">
        <v>0.750000000000001</v>
      </c>
      <c r="C198" s="315">
        <v>8</v>
      </c>
      <c r="D198" s="319" t="s">
        <v>128</v>
      </c>
      <c r="E198" s="297">
        <v>14.2</v>
      </c>
      <c r="F198" s="298">
        <v>70.2</v>
      </c>
      <c r="G198" s="299" cm="1">
        <f t="array" aca="1" ref="G198" ca="1">INDIRECT("'"&amp;$C198&amp;"'!"&amp;"$"&amp;$D198&amp;$E$1&amp;"")</f>
        <v>6.3</v>
      </c>
      <c r="H198" s="300">
        <v>0.98</v>
      </c>
      <c r="I198" s="298">
        <v>1.31</v>
      </c>
      <c r="J198" s="299" cm="1">
        <f t="array" aca="1" ref="J198" ca="1">INDIRECT("'"&amp;$C198&amp;"'!"&amp;"$"&amp;$D198&amp;$J$1&amp;"")</f>
        <v>1</v>
      </c>
      <c r="K198" s="300"/>
      <c r="L198" s="300">
        <v>0.98</v>
      </c>
      <c r="M198" s="298">
        <v>0.17</v>
      </c>
      <c r="N198" s="299" cm="1">
        <f t="array" aca="1" ref="N198" ca="1">INDIRECT("'"&amp;$C198&amp;"'!"&amp;"$"&amp;$D198&amp;$N$1&amp;"")</f>
        <v>6.4</v>
      </c>
      <c r="O198" s="300"/>
      <c r="P198" s="300">
        <v>0.99</v>
      </c>
      <c r="Q198" s="298">
        <v>1.0900000000000001</v>
      </c>
      <c r="R198" s="299" cm="1">
        <f t="array" aca="1" ref="R198" ca="1">INDIRECT("'"&amp;$C198&amp;"'!"&amp;"$"&amp;$D198&amp;$R$1&amp;"")</f>
        <v>6.3</v>
      </c>
      <c r="S198" s="300"/>
      <c r="T198" s="300">
        <v>0.99</v>
      </c>
      <c r="U198" s="298">
        <v>1.1000000000000001</v>
      </c>
      <c r="V198" s="299" t="str" cm="1">
        <f t="array" aca="1" ref="V198" ca="1">INDIRECT("'"&amp;$C198&amp;"'!"&amp;"$"&amp;$D198&amp;$V$1&amp;"")</f>
        <v>CMS</v>
      </c>
      <c r="W198" s="300" t="s">
        <v>1</v>
      </c>
      <c r="X198" s="300" t="s">
        <v>1</v>
      </c>
      <c r="Y198" s="301" t="s">
        <v>1</v>
      </c>
      <c r="Z198" s="297" cm="1">
        <f t="array" aca="1" ref="Z198" ca="1">INDIRECT("'"&amp;$C198&amp;"'!"&amp;"$"&amp;$D198&amp;$Z$1&amp;"")</f>
        <v>0</v>
      </c>
      <c r="AA198" s="300" t="s">
        <v>1</v>
      </c>
      <c r="AB198" s="300" t="s">
        <v>1</v>
      </c>
      <c r="AC198" s="298" t="s">
        <v>1</v>
      </c>
      <c r="AD198" s="299" cm="1">
        <f t="array" aca="1" ref="AD198" ca="1">INDIRECT("'"&amp;$C198&amp;"'!"&amp;"$"&amp;$D198&amp;$AD$1&amp;"")</f>
        <v>3.4</v>
      </c>
      <c r="AE198" s="300">
        <f>3.8*3.59</f>
        <v>13.641999999999999</v>
      </c>
      <c r="AF198" s="300">
        <v>0.96</v>
      </c>
      <c r="AG198" s="298">
        <v>0.97</v>
      </c>
      <c r="AH198" s="297" cm="1">
        <f t="array" aca="1" ref="AH198" ca="1">INDIRECT("'"&amp;$C198&amp;"'!"&amp;"$"&amp;$D198&amp;$AH$1&amp;"")</f>
        <v>3.8</v>
      </c>
      <c r="AI198" s="300">
        <v>13.96</v>
      </c>
      <c r="AJ198" s="300">
        <v>0.94</v>
      </c>
      <c r="AK198" s="298">
        <v>1.21</v>
      </c>
      <c r="AL198" s="297">
        <v>11.8</v>
      </c>
      <c r="AM198" s="301">
        <v>70.5</v>
      </c>
      <c r="AN198" s="297" cm="1">
        <f t="array" aca="1" ref="AN198" ca="1">INDIRECT("'"&amp;$C198&amp;"'!"&amp;"$"&amp;$D198&amp;$AL$1&amp;"")</f>
        <v>3.8</v>
      </c>
      <c r="AO198" s="300">
        <v>0.99</v>
      </c>
      <c r="AP198" s="298">
        <v>0.28999999999999998</v>
      </c>
      <c r="AQ198" s="299" cm="1">
        <f t="array" aca="1" ref="AQ198" ca="1">INDIRECT("'"&amp;$C198&amp;"'!"&amp;"$"&amp;$D198&amp;$AQ$1&amp;"")</f>
        <v>3.8</v>
      </c>
      <c r="AR198" s="300">
        <v>0.99</v>
      </c>
      <c r="AS198" s="298">
        <v>0.28999999999999998</v>
      </c>
      <c r="AT198" s="302">
        <v>0</v>
      </c>
      <c r="AU198" s="301">
        <v>0</v>
      </c>
      <c r="AV198" s="297" t="str" cm="1">
        <f t="array" aca="1" ref="AV198" ca="1">INDIRECT("'"&amp;$C198&amp;"'!"&amp;"$"&amp;$D198&amp;$AT$1&amp;"")</f>
        <v>PMS</v>
      </c>
      <c r="AW198" s="300" t="s">
        <v>1</v>
      </c>
      <c r="AX198" s="298" t="s">
        <v>1</v>
      </c>
      <c r="AY198" s="303">
        <v>69.400000000000006</v>
      </c>
      <c r="AZ198" s="302" cm="1">
        <f t="array" aca="1" ref="AZ198" ca="1">INDIRECT("'"&amp;$C198&amp;"'!"&amp;"$"&amp;$D198&amp;$AY$1&amp;"")</f>
        <v>9.4</v>
      </c>
      <c r="BA198" s="300">
        <v>0.97</v>
      </c>
      <c r="BB198" s="298">
        <v>2.2999999999999998</v>
      </c>
      <c r="BC198" s="299" cm="1">
        <f t="array" aca="1" ref="BC198" ca="1">INDIRECT("'"&amp;$C198&amp;"'!"&amp;"$"&amp;$D198&amp;$BC$1&amp;"")</f>
        <v>1.1000000000000001</v>
      </c>
      <c r="BD198" s="300"/>
      <c r="BE198" s="300">
        <v>0.99</v>
      </c>
      <c r="BF198" s="298">
        <v>0.12</v>
      </c>
      <c r="BG198" s="299" cm="1">
        <f t="array" aca="1" ref="BG198" ca="1">INDIRECT("'"&amp;$C198&amp;"'!"&amp;"$"&amp;$D198&amp;$BG$1&amp;"")</f>
        <v>0.79</v>
      </c>
      <c r="BH198" s="300"/>
      <c r="BI198" s="300">
        <v>0.96</v>
      </c>
      <c r="BJ198" s="298">
        <v>0.22</v>
      </c>
      <c r="BK198" s="299" cm="1">
        <f t="array" aca="1" ref="BK198" ca="1">INDIRECT("'"&amp;$C198&amp;"'!"&amp;"$"&amp;$D198&amp;$BK$1&amp;"")</f>
        <v>3.5</v>
      </c>
      <c r="BL198" s="300"/>
      <c r="BM198" s="300">
        <v>0.95</v>
      </c>
      <c r="BN198" s="298">
        <v>1.1000000000000001</v>
      </c>
    </row>
    <row r="199" spans="1:66" ht="15.75" thickBot="1" x14ac:dyDescent="0.25">
      <c r="A199" s="368">
        <v>45696</v>
      </c>
      <c r="B199" s="365">
        <v>0.79166666666666696</v>
      </c>
      <c r="C199" s="315">
        <v>8</v>
      </c>
      <c r="D199" s="319" t="s">
        <v>129</v>
      </c>
      <c r="E199" s="290">
        <v>14.2</v>
      </c>
      <c r="F199" s="291">
        <v>70.34</v>
      </c>
      <c r="G199" s="292" cm="1">
        <f t="array" aca="1" ref="G199" ca="1">INDIRECT("'"&amp;$C199&amp;"'!"&amp;"$"&amp;$D199&amp;$E$1&amp;"")</f>
        <v>4.4000000000000004</v>
      </c>
      <c r="H199" s="293">
        <v>0.99</v>
      </c>
      <c r="I199" s="291">
        <v>0.52</v>
      </c>
      <c r="J199" s="292" cm="1">
        <f t="array" aca="1" ref="J199" ca="1">INDIRECT("'"&amp;$C199&amp;"'!"&amp;"$"&amp;$D199&amp;$J$1&amp;"")</f>
        <v>6.4</v>
      </c>
      <c r="K199" s="304"/>
      <c r="L199" s="293">
        <v>0.97</v>
      </c>
      <c r="M199" s="291">
        <v>1.46</v>
      </c>
      <c r="N199" s="292" cm="1">
        <f t="array" aca="1" ref="N199" ca="1">INDIRECT("'"&amp;$C199&amp;"'!"&amp;"$"&amp;$D199&amp;$N$1&amp;"")</f>
        <v>4.4000000000000004</v>
      </c>
      <c r="O199" s="293"/>
      <c r="P199" s="293">
        <v>0.99</v>
      </c>
      <c r="Q199" s="291">
        <v>0.67</v>
      </c>
      <c r="R199" s="292" cm="1">
        <f t="array" aca="1" ref="R199" ca="1">INDIRECT("'"&amp;$C199&amp;"'!"&amp;"$"&amp;$D199&amp;$R$1&amp;"")</f>
        <v>4.4000000000000004</v>
      </c>
      <c r="S199" s="293"/>
      <c r="T199" s="293">
        <v>1</v>
      </c>
      <c r="U199" s="291">
        <v>0</v>
      </c>
      <c r="V199" s="292" t="str" cm="1">
        <f t="array" aca="1" ref="V199" ca="1">INDIRECT("'"&amp;$C199&amp;"'!"&amp;"$"&amp;$D199&amp;$V$1&amp;"")</f>
        <v>CMS</v>
      </c>
      <c r="W199" s="293" t="s">
        <v>1</v>
      </c>
      <c r="X199" s="293" t="s">
        <v>1</v>
      </c>
      <c r="Y199" s="294" t="s">
        <v>1</v>
      </c>
      <c r="Z199" s="290" cm="1">
        <f t="array" aca="1" ref="Z199" ca="1">INDIRECT("'"&amp;$C199&amp;"'!"&amp;"$"&amp;$D199&amp;$Z$1&amp;"")</f>
        <v>0</v>
      </c>
      <c r="AA199" s="293" t="s">
        <v>1</v>
      </c>
      <c r="AB199" s="293" t="s">
        <v>1</v>
      </c>
      <c r="AC199" s="291" t="s">
        <v>1</v>
      </c>
      <c r="AD199" s="292" cm="1">
        <f t="array" aca="1" ref="AD199" ca="1">INDIRECT("'"&amp;$C199&amp;"'!"&amp;"$"&amp;$D199&amp;$AD$1&amp;"")</f>
        <v>3.3</v>
      </c>
      <c r="AE199" s="293">
        <f>3.8*3.6</f>
        <v>13.68</v>
      </c>
      <c r="AF199" s="293">
        <v>0.98</v>
      </c>
      <c r="AG199" s="291">
        <v>0.61</v>
      </c>
      <c r="AH199" s="290" cm="1">
        <f t="array" aca="1" ref="AH199" ca="1">INDIRECT("'"&amp;$C199&amp;"'!"&amp;"$"&amp;$D199&amp;$AH$1&amp;"")</f>
        <v>3.8</v>
      </c>
      <c r="AI199" s="293">
        <v>13.96</v>
      </c>
      <c r="AJ199" s="293">
        <v>0.94</v>
      </c>
      <c r="AK199" s="291">
        <v>1.24</v>
      </c>
      <c r="AL199" s="290">
        <v>11.8</v>
      </c>
      <c r="AM199" s="294">
        <v>70.5</v>
      </c>
      <c r="AN199" s="290" cm="1">
        <f t="array" aca="1" ref="AN199" ca="1">INDIRECT("'"&amp;$C199&amp;"'!"&amp;"$"&amp;$D199&amp;$AL$1&amp;"")</f>
        <v>4.0999999999999996</v>
      </c>
      <c r="AO199" s="293">
        <v>0.99</v>
      </c>
      <c r="AP199" s="291">
        <v>0.28999999999999998</v>
      </c>
      <c r="AQ199" s="292" cm="1">
        <f t="array" aca="1" ref="AQ199" ca="1">INDIRECT("'"&amp;$C199&amp;"'!"&amp;"$"&amp;$D199&amp;$AQ$1&amp;"")</f>
        <v>4.0999999999999996</v>
      </c>
      <c r="AR199" s="293">
        <v>0.99</v>
      </c>
      <c r="AS199" s="291">
        <v>0.28999999999999998</v>
      </c>
      <c r="AT199" s="295">
        <v>0</v>
      </c>
      <c r="AU199" s="294">
        <v>0</v>
      </c>
      <c r="AV199" s="290" t="str" cm="1">
        <f t="array" aca="1" ref="AV199" ca="1">INDIRECT("'"&amp;$C199&amp;"'!"&amp;"$"&amp;$D199&amp;$AT$1&amp;"")</f>
        <v>PMS</v>
      </c>
      <c r="AW199" s="293" t="s">
        <v>1</v>
      </c>
      <c r="AX199" s="291" t="s">
        <v>1</v>
      </c>
      <c r="AY199" s="296">
        <v>69.2</v>
      </c>
      <c r="AZ199" s="295" cm="1">
        <f t="array" aca="1" ref="AZ199" ca="1">INDIRECT("'"&amp;$C199&amp;"'!"&amp;"$"&amp;$D199&amp;$AY$1&amp;"")</f>
        <v>9.4</v>
      </c>
      <c r="BA199" s="293">
        <v>0.98</v>
      </c>
      <c r="BB199" s="291">
        <v>1.9</v>
      </c>
      <c r="BC199" s="292" cm="1">
        <f t="array" aca="1" ref="BC199" ca="1">INDIRECT("'"&amp;$C199&amp;"'!"&amp;"$"&amp;$D199&amp;$BC$1&amp;"")</f>
        <v>1.17</v>
      </c>
      <c r="BD199" s="293"/>
      <c r="BE199" s="293">
        <v>0.99</v>
      </c>
      <c r="BF199" s="291">
        <v>0.11</v>
      </c>
      <c r="BG199" s="292" cm="1">
        <f t="array" aca="1" ref="BG199" ca="1">INDIRECT("'"&amp;$C199&amp;"'!"&amp;"$"&amp;$D199&amp;$BG$1&amp;"")</f>
        <v>0.92</v>
      </c>
      <c r="BH199" s="293"/>
      <c r="BI199" s="293">
        <v>0.96</v>
      </c>
      <c r="BJ199" s="291">
        <v>0.23</v>
      </c>
      <c r="BK199" s="292" cm="1">
        <f t="array" aca="1" ref="BK199" ca="1">INDIRECT("'"&amp;$C199&amp;"'!"&amp;"$"&amp;$D199&amp;$BK$1&amp;"")</f>
        <v>4.01</v>
      </c>
      <c r="BL199" s="293"/>
      <c r="BM199" s="293">
        <v>0.95</v>
      </c>
      <c r="BN199" s="291">
        <v>1.3</v>
      </c>
    </row>
    <row r="200" spans="1:66" ht="15.75" thickBot="1" x14ac:dyDescent="0.25">
      <c r="A200" s="368">
        <v>45696</v>
      </c>
      <c r="B200" s="365">
        <v>0.83333333333333337</v>
      </c>
      <c r="C200" s="315">
        <v>8</v>
      </c>
      <c r="D200" s="319" t="s">
        <v>130</v>
      </c>
      <c r="E200" s="297">
        <v>14.1</v>
      </c>
      <c r="F200" s="298">
        <v>70.099999999999994</v>
      </c>
      <c r="G200" s="299" cm="1">
        <f t="array" aca="1" ref="G200" ca="1">INDIRECT("'"&amp;$C200&amp;"'!"&amp;"$"&amp;$D200&amp;$E$1&amp;"")</f>
        <v>6.3</v>
      </c>
      <c r="H200" s="300">
        <v>0.99</v>
      </c>
      <c r="I200" s="298">
        <v>0.92</v>
      </c>
      <c r="J200" s="299" cm="1">
        <f t="array" aca="1" ref="J200" ca="1">INDIRECT("'"&amp;$C200&amp;"'!"&amp;"$"&amp;$D200&amp;$J$1&amp;"")</f>
        <v>6.3</v>
      </c>
      <c r="K200" s="300"/>
      <c r="L200" s="300">
        <v>0.99</v>
      </c>
      <c r="M200" s="298">
        <v>0.92</v>
      </c>
      <c r="N200" s="299" cm="1">
        <f t="array" aca="1" ref="N200" ca="1">INDIRECT("'"&amp;$C200&amp;"'!"&amp;"$"&amp;$D200&amp;$N$1&amp;"")</f>
        <v>6.3</v>
      </c>
      <c r="O200" s="300"/>
      <c r="P200" s="300">
        <v>0.99</v>
      </c>
      <c r="Q200" s="298">
        <v>0.92</v>
      </c>
      <c r="R200" s="299" cm="1">
        <f t="array" aca="1" ref="R200" ca="1">INDIRECT("'"&amp;$C200&amp;"'!"&amp;"$"&amp;$D200&amp;$R$1&amp;"")</f>
        <v>6.3</v>
      </c>
      <c r="S200" s="300"/>
      <c r="T200" s="300">
        <v>0.99</v>
      </c>
      <c r="U200" s="298">
        <v>0.92</v>
      </c>
      <c r="V200" s="299" t="str" cm="1">
        <f t="array" aca="1" ref="V200" ca="1">INDIRECT("'"&amp;$C200&amp;"'!"&amp;"$"&amp;$D200&amp;$V$1&amp;"")</f>
        <v>CMS</v>
      </c>
      <c r="W200" s="300" t="s">
        <v>1</v>
      </c>
      <c r="X200" s="300" t="s">
        <v>1</v>
      </c>
      <c r="Y200" s="301" t="s">
        <v>1</v>
      </c>
      <c r="Z200" s="297" cm="1">
        <f t="array" aca="1" ref="Z200" ca="1">INDIRECT("'"&amp;$C200&amp;"'!"&amp;"$"&amp;$D200&amp;$Z$1&amp;"")</f>
        <v>0</v>
      </c>
      <c r="AA200" s="300" t="s">
        <v>1</v>
      </c>
      <c r="AB200" s="300" t="s">
        <v>1</v>
      </c>
      <c r="AC200" s="298" t="s">
        <v>1</v>
      </c>
      <c r="AD200" s="299" cm="1">
        <f t="array" aca="1" ref="AD200" ca="1">INDIRECT("'"&amp;$C200&amp;"'!"&amp;"$"&amp;$D200&amp;$AD$1&amp;"")</f>
        <v>3.3</v>
      </c>
      <c r="AE200" s="300">
        <f t="shared" ref="AE200" si="3">3.8*3.59</f>
        <v>13.641999999999999</v>
      </c>
      <c r="AF200" s="300">
        <v>0.98</v>
      </c>
      <c r="AG200" s="298">
        <v>0.68</v>
      </c>
      <c r="AH200" s="297" cm="1">
        <f t="array" aca="1" ref="AH200" ca="1">INDIRECT("'"&amp;$C200&amp;"'!"&amp;"$"&amp;$D200&amp;$AH$1&amp;"")</f>
        <v>3.8</v>
      </c>
      <c r="AI200" s="300">
        <v>13.96</v>
      </c>
      <c r="AJ200" s="300">
        <v>0.95</v>
      </c>
      <c r="AK200" s="298">
        <v>1.2</v>
      </c>
      <c r="AL200" s="297">
        <v>11.8</v>
      </c>
      <c r="AM200" s="301">
        <v>70.900000000000006</v>
      </c>
      <c r="AN200" s="297" cm="1">
        <f t="array" aca="1" ref="AN200" ca="1">INDIRECT("'"&amp;$C200&amp;"'!"&amp;"$"&amp;$D200&amp;$AL$1&amp;"")</f>
        <v>4</v>
      </c>
      <c r="AO200" s="300">
        <v>0.99</v>
      </c>
      <c r="AP200" s="298">
        <v>0.28000000000000003</v>
      </c>
      <c r="AQ200" s="299" cm="1">
        <f t="array" aca="1" ref="AQ200" ca="1">INDIRECT("'"&amp;$C200&amp;"'!"&amp;"$"&amp;$D200&amp;$AQ$1&amp;"")</f>
        <v>4</v>
      </c>
      <c r="AR200" s="300">
        <v>0.99</v>
      </c>
      <c r="AS200" s="298">
        <v>0.28000000000000003</v>
      </c>
      <c r="AT200" s="302">
        <v>0</v>
      </c>
      <c r="AU200" s="301">
        <v>0</v>
      </c>
      <c r="AV200" s="297" t="str" cm="1">
        <f t="array" aca="1" ref="AV200" ca="1">INDIRECT("'"&amp;$C200&amp;"'!"&amp;"$"&amp;$D200&amp;$AT$1&amp;"")</f>
        <v>PMS</v>
      </c>
      <c r="AW200" s="300" t="s">
        <v>1</v>
      </c>
      <c r="AX200" s="298" t="s">
        <v>1</v>
      </c>
      <c r="AY200" s="303">
        <v>69</v>
      </c>
      <c r="AZ200" s="302" cm="1">
        <f t="array" aca="1" ref="AZ200" ca="1">INDIRECT("'"&amp;$C200&amp;"'!"&amp;"$"&amp;$D200&amp;$AY$1&amp;"")</f>
        <v>0</v>
      </c>
      <c r="BA200" s="300" t="s">
        <v>1</v>
      </c>
      <c r="BB200" s="298" t="s">
        <v>1</v>
      </c>
      <c r="BC200" s="299" cm="1">
        <f t="array" aca="1" ref="BC200" ca="1">INDIRECT("'"&amp;$C200&amp;"'!"&amp;"$"&amp;$D200&amp;$BC$1&amp;"")</f>
        <v>1.1599999999999999</v>
      </c>
      <c r="BD200" s="300"/>
      <c r="BE200" s="300">
        <v>0.99</v>
      </c>
      <c r="BF200" s="298">
        <v>0.11</v>
      </c>
      <c r="BG200" s="299" cm="1">
        <f t="array" aca="1" ref="BG200" ca="1">INDIRECT("'"&amp;$C200&amp;"'!"&amp;"$"&amp;$D200&amp;$BG$1&amp;"")</f>
        <v>0.91</v>
      </c>
      <c r="BH200" s="300"/>
      <c r="BI200" s="300">
        <v>0.97</v>
      </c>
      <c r="BJ200" s="298">
        <v>0.23</v>
      </c>
      <c r="BK200" s="299" cm="1">
        <f t="array" aca="1" ref="BK200" ca="1">INDIRECT("'"&amp;$C200&amp;"'!"&amp;"$"&amp;$D200&amp;$BK$1&amp;"")</f>
        <v>3.67</v>
      </c>
      <c r="BL200" s="300"/>
      <c r="BM200" s="300">
        <v>0.95</v>
      </c>
      <c r="BN200" s="298">
        <v>1.2</v>
      </c>
    </row>
    <row r="201" spans="1:66" ht="15.75" thickBot="1" x14ac:dyDescent="0.25">
      <c r="A201" s="368">
        <v>45696</v>
      </c>
      <c r="B201" s="365">
        <v>0.875000000000001</v>
      </c>
      <c r="C201" s="315">
        <v>8</v>
      </c>
      <c r="D201" s="319" t="s">
        <v>131</v>
      </c>
      <c r="E201" s="290">
        <v>14.2</v>
      </c>
      <c r="F201" s="291">
        <v>70.11</v>
      </c>
      <c r="G201" s="292" cm="1">
        <f t="array" aca="1" ref="G201" ca="1">INDIRECT("'"&amp;$C201&amp;"'!"&amp;"$"&amp;$D201&amp;$E$1&amp;"")</f>
        <v>5.9</v>
      </c>
      <c r="H201" s="293">
        <v>0.99</v>
      </c>
      <c r="I201" s="291">
        <v>0.83</v>
      </c>
      <c r="J201" s="292" cm="1">
        <f t="array" aca="1" ref="J201" ca="1">INDIRECT("'"&amp;$C201&amp;"'!"&amp;"$"&amp;$D201&amp;$J$1&amp;"")</f>
        <v>5.9</v>
      </c>
      <c r="K201" s="293"/>
      <c r="L201" s="293">
        <v>0.99</v>
      </c>
      <c r="M201" s="291">
        <v>0.83</v>
      </c>
      <c r="N201" s="292" cm="1">
        <f t="array" aca="1" ref="N201" ca="1">INDIRECT("'"&amp;$C201&amp;"'!"&amp;"$"&amp;$D201&amp;$N$1&amp;"")</f>
        <v>5.9</v>
      </c>
      <c r="O201" s="293"/>
      <c r="P201" s="293">
        <v>0.99</v>
      </c>
      <c r="Q201" s="291">
        <v>0.83</v>
      </c>
      <c r="R201" s="292" cm="1">
        <f t="array" aca="1" ref="R201" ca="1">INDIRECT("'"&amp;$C201&amp;"'!"&amp;"$"&amp;$D201&amp;$R$1&amp;"")</f>
        <v>5.9</v>
      </c>
      <c r="S201" s="293"/>
      <c r="T201" s="293">
        <v>0.99</v>
      </c>
      <c r="U201" s="291">
        <v>0.83</v>
      </c>
      <c r="V201" s="292" t="str" cm="1">
        <f t="array" aca="1" ref="V201" ca="1">INDIRECT("'"&amp;$C201&amp;"'!"&amp;"$"&amp;$D201&amp;$V$1&amp;"")</f>
        <v>CMS</v>
      </c>
      <c r="W201" s="293" t="s">
        <v>1</v>
      </c>
      <c r="X201" s="293" t="s">
        <v>1</v>
      </c>
      <c r="Y201" s="294" t="s">
        <v>1</v>
      </c>
      <c r="Z201" s="290" cm="1">
        <f t="array" aca="1" ref="Z201" ca="1">INDIRECT("'"&amp;$C201&amp;"'!"&amp;"$"&amp;$D201&amp;$Z$1&amp;"")</f>
        <v>0</v>
      </c>
      <c r="AA201" s="293" t="s">
        <v>1</v>
      </c>
      <c r="AB201" s="293" t="s">
        <v>1</v>
      </c>
      <c r="AC201" s="291" t="s">
        <v>1</v>
      </c>
      <c r="AD201" s="292" cm="1">
        <f t="array" aca="1" ref="AD201" ca="1">INDIRECT("'"&amp;$C201&amp;"'!"&amp;"$"&amp;$D201&amp;$AD$1&amp;"")</f>
        <v>3.3</v>
      </c>
      <c r="AE201" s="293">
        <f>3.8*3.59</f>
        <v>13.641999999999999</v>
      </c>
      <c r="AF201" s="293">
        <v>0.99</v>
      </c>
      <c r="AG201" s="291">
        <v>0.65</v>
      </c>
      <c r="AH201" s="290" cm="1">
        <f t="array" aca="1" ref="AH201" ca="1">INDIRECT("'"&amp;$C201&amp;"'!"&amp;"$"&amp;$D201&amp;$AH$1&amp;"")</f>
        <v>3.8</v>
      </c>
      <c r="AI201" s="293">
        <v>14</v>
      </c>
      <c r="AJ201" s="293">
        <v>0.97</v>
      </c>
      <c r="AK201" s="291">
        <v>0.95</v>
      </c>
      <c r="AL201" s="290">
        <v>11.8</v>
      </c>
      <c r="AM201" s="294">
        <v>70.599999999999994</v>
      </c>
      <c r="AN201" s="290" cm="1">
        <f t="array" aca="1" ref="AN201" ca="1">INDIRECT("'"&amp;$C201&amp;"'!"&amp;"$"&amp;$D201&amp;$AL$1&amp;"")</f>
        <v>3.7</v>
      </c>
      <c r="AO201" s="293">
        <v>1</v>
      </c>
      <c r="AP201" s="291">
        <v>0.19</v>
      </c>
      <c r="AQ201" s="292" cm="1">
        <f t="array" aca="1" ref="AQ201" ca="1">INDIRECT("'"&amp;$C201&amp;"'!"&amp;"$"&amp;$D201&amp;$AQ$1&amp;"")</f>
        <v>3.7</v>
      </c>
      <c r="AR201" s="293">
        <v>1</v>
      </c>
      <c r="AS201" s="291">
        <v>0.19</v>
      </c>
      <c r="AT201" s="295">
        <v>0</v>
      </c>
      <c r="AU201" s="294">
        <v>0</v>
      </c>
      <c r="AV201" s="290" t="str" cm="1">
        <f t="array" aca="1" ref="AV201" ca="1">INDIRECT("'"&amp;$C201&amp;"'!"&amp;"$"&amp;$D201&amp;$AT$1&amp;"")</f>
        <v>PMS</v>
      </c>
      <c r="AW201" s="293" t="s">
        <v>1</v>
      </c>
      <c r="AX201" s="291" t="s">
        <v>1</v>
      </c>
      <c r="AY201" s="296">
        <v>69</v>
      </c>
      <c r="AZ201" s="295" cm="1">
        <f t="array" aca="1" ref="AZ201" ca="1">INDIRECT("'"&amp;$C201&amp;"'!"&amp;"$"&amp;$D201&amp;$AY$1&amp;"")</f>
        <v>0</v>
      </c>
      <c r="BA201" s="293" t="s">
        <v>1</v>
      </c>
      <c r="BB201" s="291" t="s">
        <v>1</v>
      </c>
      <c r="BC201" s="292" cm="1">
        <f t="array" aca="1" ref="BC201" ca="1">INDIRECT("'"&amp;$C201&amp;"'!"&amp;"$"&amp;$D201&amp;$BC$1&amp;"")</f>
        <v>1.01</v>
      </c>
      <c r="BD201" s="293"/>
      <c r="BE201" s="293">
        <v>0.99</v>
      </c>
      <c r="BF201" s="291">
        <v>0.1</v>
      </c>
      <c r="BG201" s="292" cm="1">
        <f t="array" aca="1" ref="BG201" ca="1">INDIRECT("'"&amp;$C201&amp;"'!"&amp;"$"&amp;$D201&amp;$BG$1&amp;"")</f>
        <v>0.88</v>
      </c>
      <c r="BH201" s="293"/>
      <c r="BI201" s="293">
        <v>0.97</v>
      </c>
      <c r="BJ201" s="291">
        <v>0.23</v>
      </c>
      <c r="BK201" s="292" cm="1">
        <f t="array" aca="1" ref="BK201" ca="1">INDIRECT("'"&amp;$C201&amp;"'!"&amp;"$"&amp;$D201&amp;$BK$1&amp;"")</f>
        <v>3.5</v>
      </c>
      <c r="BL201" s="293"/>
      <c r="BM201" s="293">
        <v>0.95</v>
      </c>
      <c r="BN201" s="291">
        <v>1.1000000000000001</v>
      </c>
    </row>
    <row r="202" spans="1:66" ht="15.75" thickBot="1" x14ac:dyDescent="0.25">
      <c r="A202" s="368">
        <v>45696</v>
      </c>
      <c r="B202" s="365">
        <v>0.91666666666666696</v>
      </c>
      <c r="C202" s="315">
        <v>8</v>
      </c>
      <c r="D202" s="319" t="s">
        <v>132</v>
      </c>
      <c r="E202" s="297">
        <v>14.2</v>
      </c>
      <c r="F202" s="298">
        <v>70.650000000000006</v>
      </c>
      <c r="G202" s="299" cm="1">
        <f t="array" aca="1" ref="G202" ca="1">INDIRECT("'"&amp;$C202&amp;"'!"&amp;"$"&amp;$D202&amp;$E$1&amp;"")</f>
        <v>5.0999999999999996</v>
      </c>
      <c r="H202" s="300">
        <v>0.99</v>
      </c>
      <c r="I202" s="298">
        <v>0.68</v>
      </c>
      <c r="J202" s="299" cm="1">
        <f t="array" aca="1" ref="J202" ca="1">INDIRECT("'"&amp;$C202&amp;"'!"&amp;"$"&amp;$D202&amp;$J$1&amp;"")</f>
        <v>5.0999999999999996</v>
      </c>
      <c r="K202" s="300"/>
      <c r="L202" s="300">
        <v>0.99</v>
      </c>
      <c r="M202" s="298">
        <v>0.68</v>
      </c>
      <c r="N202" s="299" cm="1">
        <f t="array" aca="1" ref="N202" ca="1">INDIRECT("'"&amp;$C202&amp;"'!"&amp;"$"&amp;$D202&amp;$N$1&amp;"")</f>
        <v>5.0999999999999996</v>
      </c>
      <c r="O202" s="300"/>
      <c r="P202" s="300">
        <v>0.99</v>
      </c>
      <c r="Q202" s="298">
        <v>0.68</v>
      </c>
      <c r="R202" s="299" cm="1">
        <f t="array" aca="1" ref="R202" ca="1">INDIRECT("'"&amp;$C202&amp;"'!"&amp;"$"&amp;$D202&amp;$R$1&amp;"")</f>
        <v>5.0999999999999996</v>
      </c>
      <c r="S202" s="300"/>
      <c r="T202" s="300">
        <v>0.99</v>
      </c>
      <c r="U202" s="298">
        <v>0.68</v>
      </c>
      <c r="V202" s="299" t="str" cm="1">
        <f t="array" aca="1" ref="V202" ca="1">INDIRECT("'"&amp;$C202&amp;"'!"&amp;"$"&amp;$D202&amp;$V$1&amp;"")</f>
        <v>CMS</v>
      </c>
      <c r="W202" s="300" t="s">
        <v>1</v>
      </c>
      <c r="X202" s="300" t="s">
        <v>1</v>
      </c>
      <c r="Y202" s="301" t="s">
        <v>1</v>
      </c>
      <c r="Z202" s="297" cm="1">
        <f t="array" aca="1" ref="Z202" ca="1">INDIRECT("'"&amp;$C202&amp;"'!"&amp;"$"&amp;$D202&amp;$Z$1&amp;"")</f>
        <v>0</v>
      </c>
      <c r="AA202" s="300" t="s">
        <v>1</v>
      </c>
      <c r="AB202" s="300" t="s">
        <v>1</v>
      </c>
      <c r="AC202" s="298" t="s">
        <v>1</v>
      </c>
      <c r="AD202" s="299" cm="1">
        <f t="array" aca="1" ref="AD202" ca="1">INDIRECT("'"&amp;$C202&amp;"'!"&amp;"$"&amp;$D202&amp;$AD$1&amp;"")</f>
        <v>1.8</v>
      </c>
      <c r="AE202" s="300">
        <f>3.8*3.6</f>
        <v>13.68</v>
      </c>
      <c r="AF202" s="300">
        <v>0.99</v>
      </c>
      <c r="AG202" s="298">
        <v>0.81</v>
      </c>
      <c r="AH202" s="297" cm="1">
        <f t="array" aca="1" ref="AH202" ca="1">INDIRECT("'"&amp;$C202&amp;"'!"&amp;"$"&amp;$D202&amp;$AH$1&amp;"")</f>
        <v>3</v>
      </c>
      <c r="AI202" s="300">
        <v>14.04</v>
      </c>
      <c r="AJ202" s="300">
        <v>0.98</v>
      </c>
      <c r="AK202" s="298">
        <v>0.68600000000000005</v>
      </c>
      <c r="AL202" s="297">
        <v>11.9</v>
      </c>
      <c r="AM202" s="301">
        <v>71.099999999999994</v>
      </c>
      <c r="AN202" s="297" cm="1">
        <f t="array" aca="1" ref="AN202" ca="1">INDIRECT("'"&amp;$C202&amp;"'!"&amp;"$"&amp;$D202&amp;$AL$1&amp;"")</f>
        <v>1.1000000000000001</v>
      </c>
      <c r="AO202" s="300">
        <v>1</v>
      </c>
      <c r="AP202" s="298">
        <v>0.08</v>
      </c>
      <c r="AQ202" s="299" cm="1">
        <f t="array" aca="1" ref="AQ202" ca="1">INDIRECT("'"&amp;$C202&amp;"'!"&amp;"$"&amp;$D202&amp;$AQ$1&amp;"")</f>
        <v>1.1000000000000001</v>
      </c>
      <c r="AR202" s="300">
        <v>1</v>
      </c>
      <c r="AS202" s="298">
        <v>0.08</v>
      </c>
      <c r="AT202" s="302">
        <v>0</v>
      </c>
      <c r="AU202" s="301">
        <v>0</v>
      </c>
      <c r="AV202" s="297" t="str" cm="1">
        <f t="array" aca="1" ref="AV202" ca="1">INDIRECT("'"&amp;$C202&amp;"'!"&amp;"$"&amp;$D202&amp;$AT$1&amp;"")</f>
        <v>PMS</v>
      </c>
      <c r="AW202" s="300" t="s">
        <v>1</v>
      </c>
      <c r="AX202" s="298" t="s">
        <v>1</v>
      </c>
      <c r="AY202" s="303">
        <v>69.599999999999994</v>
      </c>
      <c r="AZ202" s="302" cm="1">
        <f t="array" aca="1" ref="AZ202" ca="1">INDIRECT("'"&amp;$C202&amp;"'!"&amp;"$"&amp;$D202&amp;$AY$1&amp;"")</f>
        <v>0</v>
      </c>
      <c r="BA202" s="300" t="s">
        <v>1</v>
      </c>
      <c r="BB202" s="298" t="s">
        <v>1</v>
      </c>
      <c r="BC202" s="299" cm="1">
        <f t="array" aca="1" ref="BC202" ca="1">INDIRECT("'"&amp;$C202&amp;"'!"&amp;"$"&amp;$D202&amp;$BC$1&amp;"")</f>
        <v>0.9</v>
      </c>
      <c r="BD202" s="300"/>
      <c r="BE202" s="300">
        <v>0.99</v>
      </c>
      <c r="BF202" s="298">
        <v>0.09</v>
      </c>
      <c r="BG202" s="299" cm="1">
        <f t="array" aca="1" ref="BG202" ca="1">INDIRECT("'"&amp;$C202&amp;"'!"&amp;"$"&amp;$D202&amp;$BG$1&amp;"")</f>
        <v>0.81</v>
      </c>
      <c r="BH202" s="300"/>
      <c r="BI202" s="300">
        <v>0.97</v>
      </c>
      <c r="BJ202" s="298">
        <v>0.2</v>
      </c>
      <c r="BK202" s="299" cm="1">
        <f t="array" aca="1" ref="BK202" ca="1">INDIRECT("'"&amp;$C202&amp;"'!"&amp;"$"&amp;$D202&amp;$BK$1&amp;"")</f>
        <v>3.4</v>
      </c>
      <c r="BL202" s="300"/>
      <c r="BM202" s="300">
        <v>0.95</v>
      </c>
      <c r="BN202" s="298">
        <v>1.1000000000000001</v>
      </c>
    </row>
    <row r="203" spans="1:66" ht="15.75" thickBot="1" x14ac:dyDescent="0.25">
      <c r="A203" s="369">
        <v>45696</v>
      </c>
      <c r="B203" s="366">
        <v>0.95833333333333404</v>
      </c>
      <c r="C203" s="315">
        <v>8</v>
      </c>
      <c r="D203" s="321" t="s">
        <v>133</v>
      </c>
      <c r="E203" s="305">
        <v>14.3</v>
      </c>
      <c r="F203" s="306">
        <v>71.150000000000006</v>
      </c>
      <c r="G203" s="307" cm="1">
        <f t="array" aca="1" ref="G203" ca="1">INDIRECT("'"&amp;$C203&amp;"'!"&amp;"$"&amp;$D203&amp;$E$1&amp;"")</f>
        <v>6</v>
      </c>
      <c r="H203" s="308">
        <v>0.99</v>
      </c>
      <c r="I203" s="306">
        <v>0.76</v>
      </c>
      <c r="J203" s="307" cm="1">
        <f t="array" aca="1" ref="J203" ca="1">INDIRECT("'"&amp;$C203&amp;"'!"&amp;"$"&amp;$D203&amp;$J$1&amp;"")</f>
        <v>6</v>
      </c>
      <c r="K203" s="308"/>
      <c r="L203" s="308">
        <v>0.99</v>
      </c>
      <c r="M203" s="306">
        <v>0.76</v>
      </c>
      <c r="N203" s="307" cm="1">
        <f t="array" aca="1" ref="N203" ca="1">INDIRECT("'"&amp;$C203&amp;"'!"&amp;"$"&amp;$D203&amp;$N$1&amp;"")</f>
        <v>7</v>
      </c>
      <c r="O203" s="308"/>
      <c r="P203" s="308">
        <v>0.99</v>
      </c>
      <c r="Q203" s="306">
        <v>1.02</v>
      </c>
      <c r="R203" s="307" cm="1">
        <f t="array" aca="1" ref="R203" ca="1">INDIRECT("'"&amp;$C203&amp;"'!"&amp;"$"&amp;$D203&amp;$R$1&amp;"")</f>
        <v>6</v>
      </c>
      <c r="S203" s="308"/>
      <c r="T203" s="308">
        <v>0.99</v>
      </c>
      <c r="U203" s="306">
        <v>0.76</v>
      </c>
      <c r="V203" s="307" t="str" cm="1">
        <f t="array" aca="1" ref="V203" ca="1">INDIRECT("'"&amp;$C203&amp;"'!"&amp;"$"&amp;$D203&amp;$V$1&amp;"")</f>
        <v>CMS</v>
      </c>
      <c r="W203" s="308" t="s">
        <v>1</v>
      </c>
      <c r="X203" s="308" t="s">
        <v>1</v>
      </c>
      <c r="Y203" s="309" t="s">
        <v>1</v>
      </c>
      <c r="Z203" s="305" cm="1">
        <f t="array" aca="1" ref="Z203" ca="1">INDIRECT("'"&amp;$C203&amp;"'!"&amp;"$"&amp;$D203&amp;$Z$1&amp;"")</f>
        <v>0</v>
      </c>
      <c r="AA203" s="308" t="s">
        <v>1</v>
      </c>
      <c r="AB203" s="308" t="s">
        <v>1</v>
      </c>
      <c r="AC203" s="306" t="s">
        <v>1</v>
      </c>
      <c r="AD203" s="307" cm="1">
        <f t="array" aca="1" ref="AD203" ca="1">INDIRECT("'"&amp;$C203&amp;"'!"&amp;"$"&amp;$D203&amp;$AD$1&amp;"")</f>
        <v>0</v>
      </c>
      <c r="AE203" s="308" t="s">
        <v>1</v>
      </c>
      <c r="AF203" s="308" t="s">
        <v>1</v>
      </c>
      <c r="AG203" s="309" t="s">
        <v>1</v>
      </c>
      <c r="AH203" s="305" cm="1">
        <f t="array" aca="1" ref="AH203" ca="1">INDIRECT("'"&amp;$C203&amp;"'!"&amp;"$"&amp;$D203&amp;$AH$1&amp;"")</f>
        <v>3.8</v>
      </c>
      <c r="AI203" s="308">
        <v>14.04</v>
      </c>
      <c r="AJ203" s="308">
        <v>0.98</v>
      </c>
      <c r="AK203" s="306">
        <v>0.67</v>
      </c>
      <c r="AL203" s="305">
        <v>11.9</v>
      </c>
      <c r="AM203" s="309">
        <v>71.099999999999994</v>
      </c>
      <c r="AN203" s="305" cm="1">
        <f t="array" aca="1" ref="AN203" ca="1">INDIRECT("'"&amp;$C203&amp;"'!"&amp;"$"&amp;$D203&amp;$AL$1&amp;"")</f>
        <v>2.5</v>
      </c>
      <c r="AO203" s="308">
        <v>1</v>
      </c>
      <c r="AP203" s="306">
        <v>0.18</v>
      </c>
      <c r="AQ203" s="307" cm="1">
        <f t="array" aca="1" ref="AQ203" ca="1">INDIRECT("'"&amp;$C203&amp;"'!"&amp;"$"&amp;$D203&amp;$AQ$1&amp;"")</f>
        <v>2.5</v>
      </c>
      <c r="AR203" s="308">
        <v>1</v>
      </c>
      <c r="AS203" s="306">
        <v>0.16</v>
      </c>
      <c r="AT203" s="310">
        <v>0</v>
      </c>
      <c r="AU203" s="309">
        <v>0</v>
      </c>
      <c r="AV203" s="305" t="str" cm="1">
        <f t="array" aca="1" ref="AV203" ca="1">INDIRECT("'"&amp;$C203&amp;"'!"&amp;"$"&amp;$D203&amp;$AT$1&amp;"")</f>
        <v>PMS</v>
      </c>
      <c r="AW203" s="308" t="s">
        <v>1</v>
      </c>
      <c r="AX203" s="306" t="s">
        <v>1</v>
      </c>
      <c r="AY203" s="311">
        <v>70</v>
      </c>
      <c r="AZ203" s="310" cm="1">
        <f t="array" aca="1" ref="AZ203" ca="1">INDIRECT("'"&amp;$C203&amp;"'!"&amp;"$"&amp;$D203&amp;$AY$1&amp;"")</f>
        <v>0</v>
      </c>
      <c r="BA203" s="308" t="s">
        <v>1</v>
      </c>
      <c r="BB203" s="306" t="s">
        <v>1</v>
      </c>
      <c r="BC203" s="307" cm="1">
        <f t="array" aca="1" ref="BC203" ca="1">INDIRECT("'"&amp;$C203&amp;"'!"&amp;"$"&amp;$D203&amp;$BC$1&amp;"")</f>
        <v>0.8</v>
      </c>
      <c r="BD203" s="308"/>
      <c r="BE203" s="308">
        <v>0.99</v>
      </c>
      <c r="BF203" s="306">
        <v>0.08</v>
      </c>
      <c r="BG203" s="307" cm="1">
        <f t="array" aca="1" ref="BG203" ca="1">INDIRECT("'"&amp;$C203&amp;"'!"&amp;"$"&amp;$D203&amp;$BG$1&amp;"")</f>
        <v>0.81</v>
      </c>
      <c r="BH203" s="308"/>
      <c r="BI203" s="308">
        <v>0.97</v>
      </c>
      <c r="BJ203" s="306">
        <v>0.18</v>
      </c>
      <c r="BK203" s="307" cm="1">
        <f t="array" aca="1" ref="BK203" ca="1">INDIRECT("'"&amp;$C203&amp;"'!"&amp;"$"&amp;$D203&amp;$BK$1&amp;"")</f>
        <v>2.7399999999999998</v>
      </c>
      <c r="BL203" s="308"/>
      <c r="BM203" s="308">
        <v>0.95</v>
      </c>
      <c r="BN203" s="306">
        <v>0.9</v>
      </c>
    </row>
    <row r="204" spans="1:66" ht="15" thickBot="1" x14ac:dyDescent="0.25"/>
    <row r="205" spans="1:66" ht="15.75" thickBot="1" x14ac:dyDescent="0.25">
      <c r="A205" s="367">
        <v>45697</v>
      </c>
      <c r="B205" s="364">
        <v>0</v>
      </c>
      <c r="C205" s="383">
        <v>9</v>
      </c>
      <c r="D205" s="316" t="s">
        <v>110</v>
      </c>
      <c r="E205" s="284">
        <v>14.1</v>
      </c>
      <c r="F205" s="285">
        <v>70.260000000000005</v>
      </c>
      <c r="G205" s="286" cm="1">
        <f t="array" aca="1" ref="G205" ca="1">INDIRECT("'"&amp;$C205&amp;"'!"&amp;"$"&amp;$D205&amp;$E$1&amp;"")</f>
        <v>6.6</v>
      </c>
      <c r="H205" s="287">
        <v>1</v>
      </c>
      <c r="I205" s="285">
        <v>0</v>
      </c>
      <c r="J205" s="286" cm="1">
        <f t="array" aca="1" ref="J205" ca="1">INDIRECT("'"&amp;$C205&amp;"'!"&amp;"$"&amp;$D205&amp;$J$1&amp;"")</f>
        <v>6.6</v>
      </c>
      <c r="K205" s="287"/>
      <c r="L205" s="287">
        <v>1</v>
      </c>
      <c r="M205" s="285">
        <v>0</v>
      </c>
      <c r="N205" s="286" cm="1">
        <f t="array" aca="1" ref="N205" ca="1">INDIRECT("'"&amp;$C205&amp;"'!"&amp;"$"&amp;$D205&amp;$N$1&amp;"")</f>
        <v>0</v>
      </c>
      <c r="O205" s="287"/>
      <c r="P205" s="287" t="s">
        <v>1</v>
      </c>
      <c r="Q205" s="285" t="s">
        <v>1</v>
      </c>
      <c r="R205" s="286" cm="1">
        <f t="array" aca="1" ref="R205" ca="1">INDIRECT("'"&amp;$C205&amp;"'!"&amp;"$"&amp;$D205&amp;$R$1&amp;"")</f>
        <v>6.6</v>
      </c>
      <c r="S205" s="287"/>
      <c r="T205" s="287">
        <v>1</v>
      </c>
      <c r="U205" s="285">
        <v>0</v>
      </c>
      <c r="V205" s="286" t="str" cm="1">
        <f t="array" aca="1" ref="V205" ca="1">INDIRECT("'"&amp;$C205&amp;"'!"&amp;"$"&amp;$D205&amp;$V$1&amp;"")</f>
        <v>CMS</v>
      </c>
      <c r="W205" s="287" t="s">
        <v>1</v>
      </c>
      <c r="X205" s="287" t="s">
        <v>1</v>
      </c>
      <c r="Y205" s="288" t="s">
        <v>1</v>
      </c>
      <c r="Z205" s="385" cm="1">
        <f t="array" aca="1" ref="Z205" ca="1">INDIRECT("'"&amp;$C205&amp;"'!"&amp;"$"&amp;$D205&amp;$Z$1&amp;"")</f>
        <v>0</v>
      </c>
      <c r="AA205" s="286" t="s">
        <v>1</v>
      </c>
      <c r="AB205" s="287" t="s">
        <v>1</v>
      </c>
      <c r="AC205" s="285" t="s">
        <v>1</v>
      </c>
      <c r="AD205" s="286" cm="1">
        <f t="array" aca="1" ref="AD205" ca="1">INDIRECT("'"&amp;$C205&amp;"'!"&amp;"$"&amp;$D205&amp;$AD$1&amp;"")</f>
        <v>0</v>
      </c>
      <c r="AE205" s="287" t="s">
        <v>1</v>
      </c>
      <c r="AF205" s="287" t="s">
        <v>1</v>
      </c>
      <c r="AG205" s="285" t="s">
        <v>1</v>
      </c>
      <c r="AH205" s="284" cm="1">
        <f t="array" aca="1" ref="AH205" ca="1">INDIRECT("'"&amp;$C205&amp;"'!"&amp;"$"&amp;$D205&amp;$AH$1&amp;"")</f>
        <v>3.8</v>
      </c>
      <c r="AI205" s="287">
        <v>14.04</v>
      </c>
      <c r="AJ205" s="287">
        <v>0.97</v>
      </c>
      <c r="AK205" s="285">
        <v>0.81</v>
      </c>
      <c r="AL205" s="284">
        <v>11.8</v>
      </c>
      <c r="AM205" s="288">
        <v>70.7</v>
      </c>
      <c r="AN205" s="284" cm="1">
        <f t="array" aca="1" ref="AN205" ca="1">INDIRECT("'"&amp;$C205&amp;"'!"&amp;"$"&amp;$D205&amp;$AL$1&amp;"")</f>
        <v>3.8</v>
      </c>
      <c r="AO205" s="287">
        <v>1</v>
      </c>
      <c r="AP205" s="285">
        <v>0.28000000000000003</v>
      </c>
      <c r="AQ205" s="286" cm="1">
        <f t="array" aca="1" ref="AQ205" ca="1">INDIRECT("'"&amp;$C205&amp;"'!"&amp;"$"&amp;$D205&amp;$AQ$1&amp;"")</f>
        <v>3.8</v>
      </c>
      <c r="AR205" s="287">
        <v>1</v>
      </c>
      <c r="AS205" s="285">
        <v>0.17</v>
      </c>
      <c r="AT205" s="289">
        <v>0</v>
      </c>
      <c r="AU205" s="288">
        <v>70.099999999999994</v>
      </c>
      <c r="AV205" s="284" t="str" cm="1">
        <f t="array" aca="1" ref="AV205" ca="1">INDIRECT("'"&amp;$C205&amp;"'!"&amp;"$"&amp;$D205&amp;$AT$1&amp;"")</f>
        <v>PMS</v>
      </c>
      <c r="AW205" s="287" t="s">
        <v>1</v>
      </c>
      <c r="AX205" s="288" t="s">
        <v>1</v>
      </c>
      <c r="AY205" s="385">
        <v>69.400000000000006</v>
      </c>
      <c r="AZ205" s="381" cm="1">
        <f t="array" aca="1" ref="AZ205" ca="1">INDIRECT("'"&amp;$C205&amp;"'!"&amp;"$"&amp;$D205&amp;$AY$1&amp;"")</f>
        <v>0</v>
      </c>
      <c r="BA205" s="287" t="s">
        <v>1</v>
      </c>
      <c r="BB205" s="285" t="s">
        <v>1</v>
      </c>
      <c r="BC205" s="286" cm="1">
        <f t="array" aca="1" ref="BC205" ca="1">INDIRECT("'"&amp;$C205&amp;"'!"&amp;"$"&amp;$D205&amp;$BC$1&amp;"")</f>
        <v>0.75</v>
      </c>
      <c r="BD205" s="287"/>
      <c r="BE205" s="287">
        <v>0.99</v>
      </c>
      <c r="BF205" s="285">
        <v>0.08</v>
      </c>
      <c r="BG205" s="286" cm="1">
        <f t="array" aca="1" ref="BG205" ca="1">INDIRECT("'"&amp;$C205&amp;"'!"&amp;"$"&amp;$D205&amp;$BG$1&amp;"")</f>
        <v>0.7</v>
      </c>
      <c r="BH205" s="287"/>
      <c r="BI205" s="287">
        <v>0.96</v>
      </c>
      <c r="BJ205" s="285">
        <v>0.18</v>
      </c>
      <c r="BK205" s="286" cm="1">
        <f t="array" aca="1" ref="BK205" ca="1">INDIRECT("'"&amp;$C205&amp;"'!"&amp;"$"&amp;$D205&amp;$BK$1&amp;"")</f>
        <v>2.64</v>
      </c>
      <c r="BL205" s="287"/>
      <c r="BM205" s="287">
        <v>0.95</v>
      </c>
      <c r="BN205" s="285">
        <v>0.86</v>
      </c>
    </row>
    <row r="206" spans="1:66" ht="15.75" thickBot="1" x14ac:dyDescent="0.25">
      <c r="A206" s="368">
        <v>45697</v>
      </c>
      <c r="B206" s="365">
        <v>4.1666666666666699E-2</v>
      </c>
      <c r="C206" s="383">
        <v>9</v>
      </c>
      <c r="D206" s="319" t="s">
        <v>111</v>
      </c>
      <c r="E206" s="290">
        <v>14.2</v>
      </c>
      <c r="F206" s="291">
        <v>70.67</v>
      </c>
      <c r="G206" s="292" cm="1">
        <f t="array" aca="1" ref="G206" ca="1">INDIRECT("'"&amp;$C206&amp;"'!"&amp;"$"&amp;$D206&amp;$E$1&amp;"")</f>
        <v>6.6</v>
      </c>
      <c r="H206" s="293">
        <v>1</v>
      </c>
      <c r="I206" s="291">
        <v>0</v>
      </c>
      <c r="J206" s="292" cm="1">
        <f t="array" aca="1" ref="J206" ca="1">INDIRECT("'"&amp;$C206&amp;"'!"&amp;"$"&amp;$D206&amp;$J$1&amp;"")</f>
        <v>6.6</v>
      </c>
      <c r="K206" s="293"/>
      <c r="L206" s="293">
        <v>1</v>
      </c>
      <c r="M206" s="291">
        <v>0</v>
      </c>
      <c r="N206" s="292" cm="1">
        <f t="array" aca="1" ref="N206" ca="1">INDIRECT("'"&amp;$C206&amp;"'!"&amp;"$"&amp;$D206&amp;$N$1&amp;"")</f>
        <v>0</v>
      </c>
      <c r="O206" s="293"/>
      <c r="P206" s="293" t="s">
        <v>1</v>
      </c>
      <c r="Q206" s="291" t="s">
        <v>1</v>
      </c>
      <c r="R206" s="292" cm="1">
        <f t="array" aca="1" ref="R206" ca="1">INDIRECT("'"&amp;$C206&amp;"'!"&amp;"$"&amp;$D206&amp;$R$1&amp;"")</f>
        <v>6.6</v>
      </c>
      <c r="S206" s="293"/>
      <c r="T206" s="293">
        <v>1</v>
      </c>
      <c r="U206" s="291">
        <v>0</v>
      </c>
      <c r="V206" s="292" t="str" cm="1">
        <f t="array" aca="1" ref="V206" ca="1">INDIRECT("'"&amp;$C206&amp;"'!"&amp;"$"&amp;$D206&amp;$V$1&amp;"")</f>
        <v>CMS</v>
      </c>
      <c r="W206" s="293" t="s">
        <v>1</v>
      </c>
      <c r="X206" s="293" t="s">
        <v>1</v>
      </c>
      <c r="Y206" s="294" t="s">
        <v>1</v>
      </c>
      <c r="Z206" s="386" cm="1">
        <f t="array" aca="1" ref="Z206" ca="1">INDIRECT("'"&amp;$C206&amp;"'!"&amp;"$"&amp;$D206&amp;$Z$1&amp;"")</f>
        <v>0</v>
      </c>
      <c r="AA206" s="292" t="s">
        <v>1</v>
      </c>
      <c r="AB206" s="293" t="s">
        <v>1</v>
      </c>
      <c r="AC206" s="291" t="s">
        <v>1</v>
      </c>
      <c r="AD206" s="292" cm="1">
        <f t="array" aca="1" ref="AD206" ca="1">INDIRECT("'"&amp;$C206&amp;"'!"&amp;"$"&amp;$D206&amp;$AD$1&amp;"")</f>
        <v>0</v>
      </c>
      <c r="AE206" s="293" t="s">
        <v>1</v>
      </c>
      <c r="AF206" s="293" t="s">
        <v>1</v>
      </c>
      <c r="AG206" s="294" t="s">
        <v>1</v>
      </c>
      <c r="AH206" s="290" cm="1">
        <f t="array" aca="1" ref="AH206" ca="1">INDIRECT("'"&amp;$C206&amp;"'!"&amp;"$"&amp;$D206&amp;$AH$1&amp;"")</f>
        <v>3.8</v>
      </c>
      <c r="AI206" s="293">
        <v>14.04</v>
      </c>
      <c r="AJ206" s="293">
        <v>0.98</v>
      </c>
      <c r="AK206" s="291">
        <v>0.63700000000000001</v>
      </c>
      <c r="AL206" s="290">
        <v>11.8</v>
      </c>
      <c r="AM206" s="294">
        <v>71.099999999999994</v>
      </c>
      <c r="AN206" s="290" cm="1">
        <f t="array" aca="1" ref="AN206" ca="1">INDIRECT("'"&amp;$C206&amp;"'!"&amp;"$"&amp;$D206&amp;$AL$1&amp;"")</f>
        <v>3</v>
      </c>
      <c r="AO206" s="293">
        <v>1</v>
      </c>
      <c r="AP206" s="291">
        <v>0.03</v>
      </c>
      <c r="AQ206" s="292" cm="1">
        <f t="array" aca="1" ref="AQ206" ca="1">INDIRECT("'"&amp;$C206&amp;"'!"&amp;"$"&amp;$D206&amp;$AQ$1&amp;"")</f>
        <v>3</v>
      </c>
      <c r="AR206" s="293">
        <v>1</v>
      </c>
      <c r="AS206" s="291">
        <v>0.09</v>
      </c>
      <c r="AT206" s="295">
        <v>0</v>
      </c>
      <c r="AU206" s="294">
        <v>70</v>
      </c>
      <c r="AV206" s="290" t="str" cm="1">
        <f t="array" aca="1" ref="AV206" ca="1">INDIRECT("'"&amp;$C206&amp;"'!"&amp;"$"&amp;$D206&amp;$AT$1&amp;"")</f>
        <v>PMS</v>
      </c>
      <c r="AW206" s="293" t="s">
        <v>1</v>
      </c>
      <c r="AX206" s="294" t="s">
        <v>1</v>
      </c>
      <c r="AY206" s="386">
        <v>69.900000000000006</v>
      </c>
      <c r="AZ206" s="296" cm="1">
        <f t="array" aca="1" ref="AZ206" ca="1">INDIRECT("'"&amp;$C206&amp;"'!"&amp;"$"&amp;$D206&amp;$AY$1&amp;"")</f>
        <v>0</v>
      </c>
      <c r="BA206" s="293" t="s">
        <v>1</v>
      </c>
      <c r="BB206" s="291" t="s">
        <v>1</v>
      </c>
      <c r="BC206" s="292" cm="1">
        <f t="array" aca="1" ref="BC206" ca="1">INDIRECT("'"&amp;$C206&amp;"'!"&amp;"$"&amp;$D206&amp;$BC$1&amp;"")</f>
        <v>0.7</v>
      </c>
      <c r="BD206" s="293"/>
      <c r="BE206" s="293">
        <v>1</v>
      </c>
      <c r="BF206" s="291">
        <v>0.06</v>
      </c>
      <c r="BG206" s="292" cm="1">
        <f t="array" aca="1" ref="BG206" ca="1">INDIRECT("'"&amp;$C206&amp;"'!"&amp;"$"&amp;$D206&amp;$BG$1&amp;"")</f>
        <v>0.69</v>
      </c>
      <c r="BH206" s="293"/>
      <c r="BI206" s="293">
        <v>0.96</v>
      </c>
      <c r="BJ206" s="291">
        <v>0.17</v>
      </c>
      <c r="BK206" s="292" cm="1">
        <f t="array" aca="1" ref="BK206" ca="1">INDIRECT("'"&amp;$C206&amp;"'!"&amp;"$"&amp;$D206&amp;$BK$1&amp;"")</f>
        <v>2.5</v>
      </c>
      <c r="BL206" s="293"/>
      <c r="BM206" s="293">
        <v>0.95</v>
      </c>
      <c r="BN206" s="291">
        <v>0.82</v>
      </c>
    </row>
    <row r="207" spans="1:66" ht="15.75" thickBot="1" x14ac:dyDescent="0.25">
      <c r="A207" s="368">
        <v>45697</v>
      </c>
      <c r="B207" s="365">
        <v>8.3333333333333301E-2</v>
      </c>
      <c r="C207" s="383">
        <v>9</v>
      </c>
      <c r="D207" s="319" t="s">
        <v>112</v>
      </c>
      <c r="E207" s="297">
        <v>14.3</v>
      </c>
      <c r="F207" s="298">
        <v>71.05</v>
      </c>
      <c r="G207" s="299" cm="1">
        <f t="array" aca="1" ref="G207" ca="1">INDIRECT("'"&amp;$C207&amp;"'!"&amp;"$"&amp;$D207&amp;$E$1&amp;"")</f>
        <v>6.3</v>
      </c>
      <c r="H207" s="300">
        <v>1</v>
      </c>
      <c r="I207" s="298">
        <v>0</v>
      </c>
      <c r="J207" s="299" cm="1">
        <f t="array" aca="1" ref="J207" ca="1">INDIRECT("'"&amp;$C207&amp;"'!"&amp;"$"&amp;$D207&amp;$J$1&amp;"")</f>
        <v>6.3</v>
      </c>
      <c r="K207" s="300"/>
      <c r="L207" s="300">
        <v>1</v>
      </c>
      <c r="M207" s="298">
        <v>0</v>
      </c>
      <c r="N207" s="299" cm="1">
        <f t="array" aca="1" ref="N207" ca="1">INDIRECT("'"&amp;$C207&amp;"'!"&amp;"$"&amp;$D207&amp;$N$1&amp;"")</f>
        <v>0</v>
      </c>
      <c r="O207" s="300"/>
      <c r="P207" s="300" t="s">
        <v>1</v>
      </c>
      <c r="Q207" s="298" t="s">
        <v>1</v>
      </c>
      <c r="R207" s="299" cm="1">
        <f t="array" aca="1" ref="R207" ca="1">INDIRECT("'"&amp;$C207&amp;"'!"&amp;"$"&amp;$D207&amp;$R$1&amp;"")</f>
        <v>6.3</v>
      </c>
      <c r="S207" s="300"/>
      <c r="T207" s="300">
        <v>1</v>
      </c>
      <c r="U207" s="298">
        <v>0</v>
      </c>
      <c r="V207" s="299" t="str" cm="1">
        <f t="array" aca="1" ref="V207" ca="1">INDIRECT("'"&amp;$C207&amp;"'!"&amp;"$"&amp;$D207&amp;$V$1&amp;"")</f>
        <v>CMS</v>
      </c>
      <c r="W207" s="300" t="s">
        <v>1</v>
      </c>
      <c r="X207" s="300" t="s">
        <v>1</v>
      </c>
      <c r="Y207" s="301" t="s">
        <v>1</v>
      </c>
      <c r="Z207" s="387" cm="1">
        <f t="array" aca="1" ref="Z207" ca="1">INDIRECT("'"&amp;$C207&amp;"'!"&amp;"$"&amp;$D207&amp;$Z$1&amp;"")</f>
        <v>0</v>
      </c>
      <c r="AA207" s="299" t="s">
        <v>1</v>
      </c>
      <c r="AB207" s="300" t="s">
        <v>1</v>
      </c>
      <c r="AC207" s="298" t="s">
        <v>1</v>
      </c>
      <c r="AD207" s="299" cm="1">
        <f t="array" aca="1" ref="AD207" ca="1">INDIRECT("'"&amp;$C207&amp;"'!"&amp;"$"&amp;$D207&amp;$AD$1&amp;"")</f>
        <v>0</v>
      </c>
      <c r="AE207" s="300" t="s">
        <v>1</v>
      </c>
      <c r="AF207" s="300" t="s">
        <v>1</v>
      </c>
      <c r="AG207" s="301" t="s">
        <v>1</v>
      </c>
      <c r="AH207" s="297" cm="1">
        <f t="array" aca="1" ref="AH207" ca="1">INDIRECT("'"&amp;$C207&amp;"'!"&amp;"$"&amp;$D207&amp;$AH$1&amp;"")</f>
        <v>3.8</v>
      </c>
      <c r="AI207" s="300">
        <v>14.04</v>
      </c>
      <c r="AJ207" s="300">
        <v>0.98</v>
      </c>
      <c r="AK207" s="298">
        <v>0.58699999999999997</v>
      </c>
      <c r="AL207" s="297">
        <v>11.9</v>
      </c>
      <c r="AM207" s="301">
        <v>71.400000000000006</v>
      </c>
      <c r="AN207" s="297" cm="1">
        <f t="array" aca="1" ref="AN207" ca="1">INDIRECT("'"&amp;$C207&amp;"'!"&amp;"$"&amp;$D207&amp;$AL$1&amp;"")</f>
        <v>3</v>
      </c>
      <c r="AO207" s="300">
        <v>1</v>
      </c>
      <c r="AP207" s="298">
        <v>0.02</v>
      </c>
      <c r="AQ207" s="299" cm="1">
        <f t="array" aca="1" ref="AQ207" ca="1">INDIRECT("'"&amp;$C207&amp;"'!"&amp;"$"&amp;$D207&amp;$AQ$1&amp;"")</f>
        <v>3</v>
      </c>
      <c r="AR207" s="300">
        <v>1</v>
      </c>
      <c r="AS207" s="298">
        <v>0.01</v>
      </c>
      <c r="AT207" s="302">
        <v>0</v>
      </c>
      <c r="AU207" s="301">
        <v>70</v>
      </c>
      <c r="AV207" s="297" t="str" cm="1">
        <f t="array" aca="1" ref="AV207" ca="1">INDIRECT("'"&amp;$C207&amp;"'!"&amp;"$"&amp;$D207&amp;$AT$1&amp;"")</f>
        <v>PMS</v>
      </c>
      <c r="AW207" s="300" t="s">
        <v>1</v>
      </c>
      <c r="AX207" s="301" t="s">
        <v>1</v>
      </c>
      <c r="AY207" s="387">
        <v>70.400000000000006</v>
      </c>
      <c r="AZ207" s="303" cm="1">
        <f t="array" aca="1" ref="AZ207" ca="1">INDIRECT("'"&amp;$C207&amp;"'!"&amp;"$"&amp;$D207&amp;$AY$1&amp;"")</f>
        <v>0</v>
      </c>
      <c r="BA207" s="300" t="s">
        <v>1</v>
      </c>
      <c r="BB207" s="298" t="s">
        <v>1</v>
      </c>
      <c r="BC207" s="299" cm="1">
        <f t="array" aca="1" ref="BC207" ca="1">INDIRECT("'"&amp;$C207&amp;"'!"&amp;"$"&amp;$D207&amp;$BC$1&amp;"")</f>
        <v>0.69</v>
      </c>
      <c r="BD207" s="300"/>
      <c r="BE207" s="300">
        <v>1</v>
      </c>
      <c r="BF207" s="298">
        <v>0.06</v>
      </c>
      <c r="BG207" s="299" cm="1">
        <f t="array" aca="1" ref="BG207" ca="1">INDIRECT("'"&amp;$C207&amp;"'!"&amp;"$"&amp;$D207&amp;$BG$1&amp;"")</f>
        <v>0.66</v>
      </c>
      <c r="BH207" s="300"/>
      <c r="BI207" s="300">
        <v>0.96</v>
      </c>
      <c r="BJ207" s="298">
        <v>0.18</v>
      </c>
      <c r="BK207" s="299" cm="1">
        <f t="array" aca="1" ref="BK207" ca="1">INDIRECT("'"&amp;$C207&amp;"'!"&amp;"$"&amp;$D207&amp;$BK$1&amp;"")</f>
        <v>2.4300000000000002</v>
      </c>
      <c r="BL207" s="300"/>
      <c r="BM207" s="300">
        <v>0.95</v>
      </c>
      <c r="BN207" s="298">
        <v>0.79</v>
      </c>
    </row>
    <row r="208" spans="1:66" ht="15.75" thickBot="1" x14ac:dyDescent="0.25">
      <c r="A208" s="368">
        <v>45697</v>
      </c>
      <c r="B208" s="365">
        <v>0.125</v>
      </c>
      <c r="C208" s="383">
        <v>9</v>
      </c>
      <c r="D208" s="319" t="s">
        <v>113</v>
      </c>
      <c r="E208" s="290">
        <v>14.2</v>
      </c>
      <c r="F208" s="291">
        <v>70.790000000000006</v>
      </c>
      <c r="G208" s="292" cm="1">
        <f t="array" aca="1" ref="G208" ca="1">INDIRECT("'"&amp;$C208&amp;"'!"&amp;"$"&amp;$D208&amp;$E$1&amp;"")</f>
        <v>6.5</v>
      </c>
      <c r="H208" s="293">
        <v>1</v>
      </c>
      <c r="I208" s="291">
        <v>0</v>
      </c>
      <c r="J208" s="292" cm="1">
        <f t="array" aca="1" ref="J208" ca="1">INDIRECT("'"&amp;$C208&amp;"'!"&amp;"$"&amp;$D208&amp;$J$1&amp;"")</f>
        <v>0</v>
      </c>
      <c r="K208" s="293"/>
      <c r="L208" s="293" t="s">
        <v>1</v>
      </c>
      <c r="M208" s="291" t="s">
        <v>1</v>
      </c>
      <c r="N208" s="292" cm="1">
        <f t="array" aca="1" ref="N208" ca="1">INDIRECT("'"&amp;$C208&amp;"'!"&amp;"$"&amp;$D208&amp;$N$1&amp;"")</f>
        <v>0</v>
      </c>
      <c r="O208" s="293"/>
      <c r="P208" s="293" t="s">
        <v>1</v>
      </c>
      <c r="Q208" s="291" t="s">
        <v>1</v>
      </c>
      <c r="R208" s="292" cm="1">
        <f t="array" aca="1" ref="R208" ca="1">INDIRECT("'"&amp;$C208&amp;"'!"&amp;"$"&amp;$D208&amp;$R$1&amp;"")</f>
        <v>6.5</v>
      </c>
      <c r="S208" s="293"/>
      <c r="T208" s="293">
        <v>1</v>
      </c>
      <c r="U208" s="291">
        <v>0</v>
      </c>
      <c r="V208" s="292" t="str" cm="1">
        <f t="array" aca="1" ref="V208" ca="1">INDIRECT("'"&amp;$C208&amp;"'!"&amp;"$"&amp;$D208&amp;$V$1&amp;"")</f>
        <v>CMS</v>
      </c>
      <c r="W208" s="293" t="s">
        <v>1</v>
      </c>
      <c r="X208" s="293" t="s">
        <v>1</v>
      </c>
      <c r="Y208" s="294" t="s">
        <v>1</v>
      </c>
      <c r="Z208" s="386" cm="1">
        <f t="array" aca="1" ref="Z208" ca="1">INDIRECT("'"&amp;$C208&amp;"'!"&amp;"$"&amp;$D208&amp;$Z$1&amp;"")</f>
        <v>0</v>
      </c>
      <c r="AA208" s="292" t="s">
        <v>1</v>
      </c>
      <c r="AB208" s="293" t="s">
        <v>1</v>
      </c>
      <c r="AC208" s="291" t="s">
        <v>1</v>
      </c>
      <c r="AD208" s="292" cm="1">
        <f t="array" aca="1" ref="AD208" ca="1">INDIRECT("'"&amp;$C208&amp;"'!"&amp;"$"&amp;$D208&amp;$AD$1&amp;"")</f>
        <v>0</v>
      </c>
      <c r="AE208" s="293" t="s">
        <v>1</v>
      </c>
      <c r="AF208" s="293" t="s">
        <v>1</v>
      </c>
      <c r="AG208" s="294" t="s">
        <v>1</v>
      </c>
      <c r="AH208" s="290" cm="1">
        <f t="array" aca="1" ref="AH208" ca="1">INDIRECT("'"&amp;$C208&amp;"'!"&amp;"$"&amp;$D208&amp;$AH$1&amp;"")</f>
        <v>3.8</v>
      </c>
      <c r="AI208" s="293">
        <v>14.08</v>
      </c>
      <c r="AJ208" s="293">
        <v>0.99</v>
      </c>
      <c r="AK208" s="291">
        <v>0.45400000000000001</v>
      </c>
      <c r="AL208" s="290">
        <v>11.9</v>
      </c>
      <c r="AM208" s="294">
        <v>71.400000000000006</v>
      </c>
      <c r="AN208" s="290" cm="1">
        <f t="array" aca="1" ref="AN208" ca="1">INDIRECT("'"&amp;$C208&amp;"'!"&amp;"$"&amp;$D208&amp;$AL$1&amp;"")</f>
        <v>4</v>
      </c>
      <c r="AO208" s="293">
        <v>1</v>
      </c>
      <c r="AP208" s="291">
        <v>0.02</v>
      </c>
      <c r="AQ208" s="292" cm="1">
        <f t="array" aca="1" ref="AQ208" ca="1">INDIRECT("'"&amp;$C208&amp;"'!"&amp;"$"&amp;$D208&amp;$AQ$1&amp;"")</f>
        <v>4</v>
      </c>
      <c r="AR208" s="293">
        <v>1</v>
      </c>
      <c r="AS208" s="291">
        <v>0.23</v>
      </c>
      <c r="AT208" s="295">
        <v>0</v>
      </c>
      <c r="AU208" s="294">
        <v>71</v>
      </c>
      <c r="AV208" s="290" t="str" cm="1">
        <f t="array" aca="1" ref="AV208" ca="1">INDIRECT("'"&amp;$C208&amp;"'!"&amp;"$"&amp;$D208&amp;$AT$1&amp;"")</f>
        <v>PMS</v>
      </c>
      <c r="AW208" s="293" t="s">
        <v>1</v>
      </c>
      <c r="AX208" s="294" t="s">
        <v>1</v>
      </c>
      <c r="AY208" s="386">
        <v>70.099999999999994</v>
      </c>
      <c r="AZ208" s="296" cm="1">
        <f t="array" aca="1" ref="AZ208" ca="1">INDIRECT("'"&amp;$C208&amp;"'!"&amp;"$"&amp;$D208&amp;$AY$1&amp;"")</f>
        <v>2.4000000000000004</v>
      </c>
      <c r="BA208" s="293">
        <v>0.98</v>
      </c>
      <c r="BB208" s="291">
        <v>0.48</v>
      </c>
      <c r="BC208" s="292" cm="1">
        <f t="array" aca="1" ref="BC208" ca="1">INDIRECT("'"&amp;$C208&amp;"'!"&amp;"$"&amp;$D208&amp;$BC$1&amp;"")</f>
        <v>0.68</v>
      </c>
      <c r="BD208" s="293"/>
      <c r="BE208" s="293">
        <v>1</v>
      </c>
      <c r="BF208" s="291">
        <v>0.06</v>
      </c>
      <c r="BG208" s="292" cm="1">
        <f t="array" aca="1" ref="BG208" ca="1">INDIRECT("'"&amp;$C208&amp;"'!"&amp;"$"&amp;$D208&amp;$BG$1&amp;"")</f>
        <v>0.65</v>
      </c>
      <c r="BH208" s="293"/>
      <c r="BI208" s="293">
        <v>0.96</v>
      </c>
      <c r="BJ208" s="291">
        <v>0.17</v>
      </c>
      <c r="BK208" s="292" cm="1">
        <f t="array" aca="1" ref="BK208" ca="1">INDIRECT("'"&amp;$C208&amp;"'!"&amp;"$"&amp;$D208&amp;$BK$1&amp;"")</f>
        <v>2.39</v>
      </c>
      <c r="BL208" s="293"/>
      <c r="BM208" s="293">
        <v>0.95</v>
      </c>
      <c r="BN208" s="291">
        <v>0.75</v>
      </c>
    </row>
    <row r="209" spans="1:66" ht="15.75" thickBot="1" x14ac:dyDescent="0.25">
      <c r="A209" s="368">
        <v>45697</v>
      </c>
      <c r="B209" s="365">
        <v>0.16666666666666699</v>
      </c>
      <c r="C209" s="383">
        <v>9</v>
      </c>
      <c r="D209" s="319" t="s">
        <v>114</v>
      </c>
      <c r="E209" s="297">
        <v>14.2</v>
      </c>
      <c r="F209" s="298">
        <v>70.87</v>
      </c>
      <c r="G209" s="299" cm="1">
        <f t="array" aca="1" ref="G209" ca="1">INDIRECT("'"&amp;$C209&amp;"'!"&amp;"$"&amp;$D209&amp;$E$1&amp;"")</f>
        <v>6.7</v>
      </c>
      <c r="H209" s="300">
        <v>1</v>
      </c>
      <c r="I209" s="298">
        <v>0</v>
      </c>
      <c r="J209" s="299" cm="1">
        <f t="array" aca="1" ref="J209" ca="1">INDIRECT("'"&amp;$C209&amp;"'!"&amp;"$"&amp;$D209&amp;$J$1&amp;"")</f>
        <v>0</v>
      </c>
      <c r="K209" s="300"/>
      <c r="L209" s="300" t="s">
        <v>1</v>
      </c>
      <c r="M209" s="298" t="s">
        <v>1</v>
      </c>
      <c r="N209" s="299" cm="1">
        <f t="array" aca="1" ref="N209" ca="1">INDIRECT("'"&amp;$C209&amp;"'!"&amp;"$"&amp;$D209&amp;$N$1&amp;"")</f>
        <v>0</v>
      </c>
      <c r="O209" s="300"/>
      <c r="P209" s="300" t="s">
        <v>1</v>
      </c>
      <c r="Q209" s="298" t="s">
        <v>1</v>
      </c>
      <c r="R209" s="299" cm="1">
        <f t="array" aca="1" ref="R209" ca="1">INDIRECT("'"&amp;$C209&amp;"'!"&amp;"$"&amp;$D209&amp;$R$1&amp;"")</f>
        <v>6.7</v>
      </c>
      <c r="S209" s="300"/>
      <c r="T209" s="300">
        <v>1</v>
      </c>
      <c r="U209" s="298">
        <v>0</v>
      </c>
      <c r="V209" s="299" t="str" cm="1">
        <f t="array" aca="1" ref="V209" ca="1">INDIRECT("'"&amp;$C209&amp;"'!"&amp;"$"&amp;$D209&amp;$V$1&amp;"")</f>
        <v>CMS</v>
      </c>
      <c r="W209" s="300" t="s">
        <v>1</v>
      </c>
      <c r="X209" s="300" t="s">
        <v>1</v>
      </c>
      <c r="Y209" s="301" t="s">
        <v>1</v>
      </c>
      <c r="Z209" s="387" cm="1">
        <f t="array" aca="1" ref="Z209" ca="1">INDIRECT("'"&amp;$C209&amp;"'!"&amp;"$"&amp;$D209&amp;$Z$1&amp;"")</f>
        <v>0</v>
      </c>
      <c r="AA209" s="299" t="s">
        <v>1</v>
      </c>
      <c r="AB209" s="300" t="s">
        <v>1</v>
      </c>
      <c r="AC209" s="298" t="s">
        <v>1</v>
      </c>
      <c r="AD209" s="299" cm="1">
        <f t="array" aca="1" ref="AD209" ca="1">INDIRECT("'"&amp;$C209&amp;"'!"&amp;"$"&amp;$D209&amp;$AD$1&amp;"")</f>
        <v>0</v>
      </c>
      <c r="AE209" s="300" t="s">
        <v>1</v>
      </c>
      <c r="AF209" s="300" t="s">
        <v>1</v>
      </c>
      <c r="AG209" s="301" t="s">
        <v>1</v>
      </c>
      <c r="AH209" s="297" cm="1">
        <f t="array" aca="1" ref="AH209" ca="1">INDIRECT("'"&amp;$C209&amp;"'!"&amp;"$"&amp;$D209&amp;$AH$1&amp;"")</f>
        <v>3.8</v>
      </c>
      <c r="AI209" s="300">
        <v>14.04</v>
      </c>
      <c r="AJ209" s="300">
        <v>0.98</v>
      </c>
      <c r="AK209" s="298">
        <v>0.56200000000000006</v>
      </c>
      <c r="AL209" s="297">
        <v>11.9</v>
      </c>
      <c r="AM209" s="301">
        <v>71.099999999999994</v>
      </c>
      <c r="AN209" s="297" cm="1">
        <f t="array" aca="1" ref="AN209" ca="1">INDIRECT("'"&amp;$C209&amp;"'!"&amp;"$"&amp;$D209&amp;$AL$1&amp;"")</f>
        <v>4</v>
      </c>
      <c r="AO209" s="300">
        <v>1</v>
      </c>
      <c r="AP209" s="298">
        <v>0.36</v>
      </c>
      <c r="AQ209" s="299" cm="1">
        <f t="array" aca="1" ref="AQ209" ca="1">INDIRECT("'"&amp;$C209&amp;"'!"&amp;"$"&amp;$D209&amp;$AQ$1&amp;"")</f>
        <v>4</v>
      </c>
      <c r="AR209" s="300">
        <v>1</v>
      </c>
      <c r="AS209" s="298">
        <v>0.1</v>
      </c>
      <c r="AT209" s="302">
        <v>0</v>
      </c>
      <c r="AU209" s="301">
        <v>71</v>
      </c>
      <c r="AV209" s="297" t="str" cm="1">
        <f t="array" aca="1" ref="AV209" ca="1">INDIRECT("'"&amp;$C209&amp;"'!"&amp;"$"&amp;$D209&amp;$AT$1&amp;"")</f>
        <v>PMS</v>
      </c>
      <c r="AW209" s="300" t="s">
        <v>1</v>
      </c>
      <c r="AX209" s="301" t="s">
        <v>1</v>
      </c>
      <c r="AY209" s="387">
        <v>70.099999999999994</v>
      </c>
      <c r="AZ209" s="303" cm="1">
        <f t="array" aca="1" ref="AZ209" ca="1">INDIRECT("'"&amp;$C209&amp;"'!"&amp;"$"&amp;$D209&amp;$AY$1&amp;"")</f>
        <v>2.4000000000000004</v>
      </c>
      <c r="BA209" s="300">
        <v>0.98</v>
      </c>
      <c r="BB209" s="298">
        <v>0.48</v>
      </c>
      <c r="BC209" s="299" cm="1">
        <f t="array" aca="1" ref="BC209" ca="1">INDIRECT("'"&amp;$C209&amp;"'!"&amp;"$"&amp;$D209&amp;$BC$1&amp;"")</f>
        <v>0.65</v>
      </c>
      <c r="BD209" s="300"/>
      <c r="BE209" s="300">
        <v>1</v>
      </c>
      <c r="BF209" s="298">
        <v>0.06</v>
      </c>
      <c r="BG209" s="299" cm="1">
        <f t="array" aca="1" ref="BG209" ca="1">INDIRECT("'"&amp;$C209&amp;"'!"&amp;"$"&amp;$D209&amp;$BG$1&amp;"")</f>
        <v>0.63</v>
      </c>
      <c r="BH209" s="300"/>
      <c r="BI209" s="300">
        <v>0.96</v>
      </c>
      <c r="BJ209" s="298">
        <v>0.17</v>
      </c>
      <c r="BK209" s="299" cm="1">
        <f t="array" aca="1" ref="BK209" ca="1">INDIRECT("'"&amp;$C209&amp;"'!"&amp;"$"&amp;$D209&amp;$BK$1&amp;"")</f>
        <v>2.42</v>
      </c>
      <c r="BL209" s="300"/>
      <c r="BM209" s="300">
        <v>0.95</v>
      </c>
      <c r="BN209" s="298">
        <v>0.79</v>
      </c>
    </row>
    <row r="210" spans="1:66" ht="15.75" thickBot="1" x14ac:dyDescent="0.25">
      <c r="A210" s="368">
        <v>45697</v>
      </c>
      <c r="B210" s="365">
        <v>0.20833333333333301</v>
      </c>
      <c r="C210" s="383">
        <v>9</v>
      </c>
      <c r="D210" s="319" t="s">
        <v>115</v>
      </c>
      <c r="E210" s="290">
        <v>14.1</v>
      </c>
      <c r="F210" s="291">
        <v>70.36</v>
      </c>
      <c r="G210" s="292" cm="1">
        <f t="array" aca="1" ref="G210" ca="1">INDIRECT("'"&amp;$C210&amp;"'!"&amp;"$"&amp;$D210&amp;$E$1&amp;"")</f>
        <v>6.7</v>
      </c>
      <c r="H210" s="293">
        <v>1</v>
      </c>
      <c r="I210" s="291">
        <v>0</v>
      </c>
      <c r="J210" s="292" cm="1">
        <f t="array" aca="1" ref="J210" ca="1">INDIRECT("'"&amp;$C210&amp;"'!"&amp;"$"&amp;$D210&amp;$J$1&amp;"")</f>
        <v>0</v>
      </c>
      <c r="K210" s="293"/>
      <c r="L210" s="293" t="s">
        <v>1</v>
      </c>
      <c r="M210" s="291" t="s">
        <v>1</v>
      </c>
      <c r="N210" s="292" cm="1">
        <f t="array" aca="1" ref="N210" ca="1">INDIRECT("'"&amp;$C210&amp;"'!"&amp;"$"&amp;$D210&amp;$N$1&amp;"")</f>
        <v>0</v>
      </c>
      <c r="O210" s="293"/>
      <c r="P210" s="293" t="s">
        <v>1</v>
      </c>
      <c r="Q210" s="291" t="s">
        <v>1</v>
      </c>
      <c r="R210" s="292" cm="1">
        <f t="array" aca="1" ref="R210" ca="1">INDIRECT("'"&amp;$C210&amp;"'!"&amp;"$"&amp;$D210&amp;$R$1&amp;"")</f>
        <v>6.7</v>
      </c>
      <c r="S210" s="293"/>
      <c r="T210" s="293">
        <v>1</v>
      </c>
      <c r="U210" s="291">
        <v>0</v>
      </c>
      <c r="V210" s="292" t="str" cm="1">
        <f t="array" aca="1" ref="V210" ca="1">INDIRECT("'"&amp;$C210&amp;"'!"&amp;"$"&amp;$D210&amp;$V$1&amp;"")</f>
        <v>CMS</v>
      </c>
      <c r="W210" s="293" t="s">
        <v>1</v>
      </c>
      <c r="X210" s="293" t="s">
        <v>1</v>
      </c>
      <c r="Y210" s="294" t="s">
        <v>1</v>
      </c>
      <c r="Z210" s="386" cm="1">
        <f t="array" aca="1" ref="Z210" ca="1">INDIRECT("'"&amp;$C210&amp;"'!"&amp;"$"&amp;$D210&amp;$Z$1&amp;"")</f>
        <v>0</v>
      </c>
      <c r="AA210" s="292" t="s">
        <v>1</v>
      </c>
      <c r="AB210" s="293" t="s">
        <v>1</v>
      </c>
      <c r="AC210" s="291" t="s">
        <v>1</v>
      </c>
      <c r="AD210" s="292" cm="1">
        <f t="array" aca="1" ref="AD210" ca="1">INDIRECT("'"&amp;$C210&amp;"'!"&amp;"$"&amp;$D210&amp;$AD$1&amp;"")</f>
        <v>0</v>
      </c>
      <c r="AE210" s="293" t="s">
        <v>1</v>
      </c>
      <c r="AF210" s="293" t="s">
        <v>1</v>
      </c>
      <c r="AG210" s="294" t="s">
        <v>1</v>
      </c>
      <c r="AH210" s="290" cm="1">
        <f t="array" aca="1" ref="AH210" ca="1">INDIRECT("'"&amp;$C210&amp;"'!"&amp;"$"&amp;$D210&amp;$AH$1&amp;"")</f>
        <v>3.8</v>
      </c>
      <c r="AI210" s="293">
        <v>14.04</v>
      </c>
      <c r="AJ210" s="293">
        <v>0.98</v>
      </c>
      <c r="AK210" s="291">
        <v>0.72199999999999998</v>
      </c>
      <c r="AL210" s="290">
        <v>11.9</v>
      </c>
      <c r="AM210" s="294">
        <v>70</v>
      </c>
      <c r="AN210" s="290" cm="1">
        <f t="array" aca="1" ref="AN210" ca="1">INDIRECT("'"&amp;$C210&amp;"'!"&amp;"$"&amp;$D210&amp;$AL$1&amp;"")</f>
        <v>4</v>
      </c>
      <c r="AO210" s="293">
        <v>1</v>
      </c>
      <c r="AP210" s="291">
        <v>0.36</v>
      </c>
      <c r="AQ210" s="292" cm="1">
        <f t="array" aca="1" ref="AQ210" ca="1">INDIRECT("'"&amp;$C210&amp;"'!"&amp;"$"&amp;$D210&amp;$AQ$1&amp;"")</f>
        <v>4</v>
      </c>
      <c r="AR210" s="293">
        <v>1</v>
      </c>
      <c r="AS210" s="291">
        <v>0.1</v>
      </c>
      <c r="AT210" s="295">
        <v>0</v>
      </c>
      <c r="AU210" s="294">
        <v>70</v>
      </c>
      <c r="AV210" s="290" t="str" cm="1">
        <f t="array" aca="1" ref="AV210" ca="1">INDIRECT("'"&amp;$C210&amp;"'!"&amp;"$"&amp;$D210&amp;$AT$1&amp;"")</f>
        <v>PMS</v>
      </c>
      <c r="AW210" s="293" t="s">
        <v>1</v>
      </c>
      <c r="AX210" s="294" t="s">
        <v>1</v>
      </c>
      <c r="AY210" s="386">
        <v>69.900000000000006</v>
      </c>
      <c r="AZ210" s="296" cm="1">
        <f t="array" aca="1" ref="AZ210" ca="1">INDIRECT("'"&amp;$C210&amp;"'!"&amp;"$"&amp;$D210&amp;$AY$1&amp;"")</f>
        <v>2.9</v>
      </c>
      <c r="BA210" s="293">
        <v>0.97</v>
      </c>
      <c r="BB210" s="291">
        <v>0.7</v>
      </c>
      <c r="BC210" s="292" cm="1">
        <f t="array" aca="1" ref="BC210" ca="1">INDIRECT("'"&amp;$C210&amp;"'!"&amp;"$"&amp;$D210&amp;$BC$1&amp;"")</f>
        <v>0.66</v>
      </c>
      <c r="BD210" s="293"/>
      <c r="BE210" s="293">
        <v>1</v>
      </c>
      <c r="BF210" s="291">
        <v>0.06</v>
      </c>
      <c r="BG210" s="292" cm="1">
        <f t="array" aca="1" ref="BG210" ca="1">INDIRECT("'"&amp;$C210&amp;"'!"&amp;"$"&amp;$D210&amp;$BG$1&amp;"")</f>
        <v>0.65</v>
      </c>
      <c r="BH210" s="293"/>
      <c r="BI210" s="293">
        <v>0.96</v>
      </c>
      <c r="BJ210" s="291">
        <v>0.13</v>
      </c>
      <c r="BK210" s="292" cm="1">
        <f t="array" aca="1" ref="BK210" ca="1">INDIRECT("'"&amp;$C210&amp;"'!"&amp;"$"&amp;$D210&amp;$BK$1&amp;"")</f>
        <v>2.3499999999999996</v>
      </c>
      <c r="BL210" s="293"/>
      <c r="BM210" s="293">
        <v>0.95</v>
      </c>
      <c r="BN210" s="291">
        <v>0.77</v>
      </c>
    </row>
    <row r="211" spans="1:66" ht="15.75" thickBot="1" x14ac:dyDescent="0.25">
      <c r="A211" s="368">
        <v>45697</v>
      </c>
      <c r="B211" s="365">
        <v>0.25</v>
      </c>
      <c r="C211" s="383">
        <v>9</v>
      </c>
      <c r="D211" s="319" t="s">
        <v>116</v>
      </c>
      <c r="E211" s="297">
        <v>14.1</v>
      </c>
      <c r="F211" s="298">
        <v>70.150000000000006</v>
      </c>
      <c r="G211" s="299" cm="1">
        <f t="array" aca="1" ref="G211" ca="1">INDIRECT("'"&amp;$C211&amp;"'!"&amp;"$"&amp;$D211&amp;$E$1&amp;"")</f>
        <v>6.7</v>
      </c>
      <c r="H211" s="300">
        <v>1</v>
      </c>
      <c r="I211" s="298">
        <v>0</v>
      </c>
      <c r="J211" s="299" cm="1">
        <f t="array" aca="1" ref="J211" ca="1">INDIRECT("'"&amp;$C211&amp;"'!"&amp;"$"&amp;$D211&amp;$J$1&amp;"")</f>
        <v>0</v>
      </c>
      <c r="K211" s="300"/>
      <c r="L211" s="300" t="s">
        <v>1</v>
      </c>
      <c r="M211" s="298" t="s">
        <v>1</v>
      </c>
      <c r="N211" s="299" cm="1">
        <f t="array" aca="1" ref="N211" ca="1">INDIRECT("'"&amp;$C211&amp;"'!"&amp;"$"&amp;$D211&amp;$N$1&amp;"")</f>
        <v>0</v>
      </c>
      <c r="O211" s="300"/>
      <c r="P211" s="300" t="s">
        <v>1</v>
      </c>
      <c r="Q211" s="298" t="s">
        <v>1</v>
      </c>
      <c r="R211" s="299" cm="1">
        <f t="array" aca="1" ref="R211" ca="1">INDIRECT("'"&amp;$C211&amp;"'!"&amp;"$"&amp;$D211&amp;$R$1&amp;"")</f>
        <v>6.7</v>
      </c>
      <c r="S211" s="300"/>
      <c r="T211" s="300">
        <v>1</v>
      </c>
      <c r="U211" s="298">
        <v>0</v>
      </c>
      <c r="V211" s="299" t="str" cm="1">
        <f t="array" aca="1" ref="V211" ca="1">INDIRECT("'"&amp;$C211&amp;"'!"&amp;"$"&amp;$D211&amp;$V$1&amp;"")</f>
        <v>CMS</v>
      </c>
      <c r="W211" s="300" t="s">
        <v>1</v>
      </c>
      <c r="X211" s="300" t="s">
        <v>1</v>
      </c>
      <c r="Y211" s="301" t="s">
        <v>1</v>
      </c>
      <c r="Z211" s="387" cm="1">
        <f t="array" aca="1" ref="Z211" ca="1">INDIRECT("'"&amp;$C211&amp;"'!"&amp;"$"&amp;$D211&amp;$Z$1&amp;"")</f>
        <v>0</v>
      </c>
      <c r="AA211" s="299" t="s">
        <v>1</v>
      </c>
      <c r="AB211" s="300" t="s">
        <v>1</v>
      </c>
      <c r="AC211" s="298" t="s">
        <v>1</v>
      </c>
      <c r="AD211" s="299" cm="1">
        <f t="array" aca="1" ref="AD211" ca="1">INDIRECT("'"&amp;$C211&amp;"'!"&amp;"$"&amp;$D211&amp;$AD$1&amp;"")</f>
        <v>0</v>
      </c>
      <c r="AE211" s="300" t="s">
        <v>1</v>
      </c>
      <c r="AF211" s="300" t="s">
        <v>1</v>
      </c>
      <c r="AG211" s="301" t="s">
        <v>1</v>
      </c>
      <c r="AH211" s="297" cm="1">
        <f t="array" aca="1" ref="AH211" ca="1">INDIRECT("'"&amp;$C211&amp;"'!"&amp;"$"&amp;$D211&amp;$AH$1&amp;"")</f>
        <v>3.8</v>
      </c>
      <c r="AI211" s="300">
        <v>14.004</v>
      </c>
      <c r="AJ211" s="300">
        <v>0.98</v>
      </c>
      <c r="AK211" s="298">
        <v>0.745</v>
      </c>
      <c r="AL211" s="297">
        <v>11.9</v>
      </c>
      <c r="AM211" s="301">
        <v>70.8</v>
      </c>
      <c r="AN211" s="297" cm="1">
        <f t="array" aca="1" ref="AN211" ca="1">INDIRECT("'"&amp;$C211&amp;"'!"&amp;"$"&amp;$D211&amp;$AL$1&amp;"")</f>
        <v>4.0999999999999996</v>
      </c>
      <c r="AO211" s="300">
        <v>0.98</v>
      </c>
      <c r="AP211" s="298">
        <v>0.62</v>
      </c>
      <c r="AQ211" s="299" cm="1">
        <f t="array" aca="1" ref="AQ211" ca="1">INDIRECT("'"&amp;$C211&amp;"'!"&amp;"$"&amp;$D211&amp;$AQ$1&amp;"")</f>
        <v>4.0999999999999996</v>
      </c>
      <c r="AR211" s="300">
        <v>0.98</v>
      </c>
      <c r="AS211" s="298">
        <v>0.36</v>
      </c>
      <c r="AT211" s="302">
        <v>0</v>
      </c>
      <c r="AU211" s="301">
        <v>70.900000000000006</v>
      </c>
      <c r="AV211" s="297" t="str" cm="1">
        <f t="array" aca="1" ref="AV211" ca="1">INDIRECT("'"&amp;$C211&amp;"'!"&amp;"$"&amp;$D211&amp;$AT$1&amp;"")</f>
        <v>PMS</v>
      </c>
      <c r="AW211" s="300" t="s">
        <v>1</v>
      </c>
      <c r="AX211" s="301" t="s">
        <v>1</v>
      </c>
      <c r="AY211" s="387">
        <v>69.5</v>
      </c>
      <c r="AZ211" s="303" cm="1">
        <f t="array" aca="1" ref="AZ211" ca="1">INDIRECT("'"&amp;$C211&amp;"'!"&amp;"$"&amp;$D211&amp;$AY$1&amp;"")</f>
        <v>3.6</v>
      </c>
      <c r="BA211" s="300">
        <v>0.997</v>
      </c>
      <c r="BB211" s="298">
        <v>0.98</v>
      </c>
      <c r="BC211" s="299" cm="1">
        <f t="array" aca="1" ref="BC211" ca="1">INDIRECT("'"&amp;$C211&amp;"'!"&amp;"$"&amp;$D211&amp;$BC$1&amp;"")</f>
        <v>0.72</v>
      </c>
      <c r="BD211" s="300"/>
      <c r="BE211" s="300">
        <v>1</v>
      </c>
      <c r="BF211" s="298">
        <v>0.06</v>
      </c>
      <c r="BG211" s="299" cm="1">
        <f t="array" aca="1" ref="BG211" ca="1">INDIRECT("'"&amp;$C211&amp;"'!"&amp;"$"&amp;$D211&amp;$BG$1&amp;"")</f>
        <v>0.63</v>
      </c>
      <c r="BH211" s="300"/>
      <c r="BI211" s="300">
        <v>0.98</v>
      </c>
      <c r="BJ211" s="298">
        <v>0.17</v>
      </c>
      <c r="BK211" s="299" cm="1">
        <f t="array" aca="1" ref="BK211" ca="1">INDIRECT("'"&amp;$C211&amp;"'!"&amp;"$"&amp;$D211&amp;$BK$1&amp;"")</f>
        <v>2.2999999999999998</v>
      </c>
      <c r="BL211" s="300"/>
      <c r="BM211" s="300">
        <v>0.95</v>
      </c>
      <c r="BN211" s="298">
        <v>0.75</v>
      </c>
    </row>
    <row r="212" spans="1:66" ht="15.75" thickBot="1" x14ac:dyDescent="0.25">
      <c r="A212" s="368">
        <v>45697</v>
      </c>
      <c r="B212" s="365">
        <v>0.29166666666666702</v>
      </c>
      <c r="C212" s="383">
        <v>9</v>
      </c>
      <c r="D212" s="319" t="s">
        <v>117</v>
      </c>
      <c r="E212" s="290">
        <v>14.2</v>
      </c>
      <c r="F212" s="291">
        <v>70.47</v>
      </c>
      <c r="G212" s="292" cm="1">
        <f t="array" aca="1" ref="G212" ca="1">INDIRECT("'"&amp;$C212&amp;"'!"&amp;"$"&amp;$D212&amp;$E$1&amp;"")</f>
        <v>6.6</v>
      </c>
      <c r="H212" s="293">
        <v>1</v>
      </c>
      <c r="I212" s="291">
        <v>0</v>
      </c>
      <c r="J212" s="292" cm="1">
        <f t="array" aca="1" ref="J212" ca="1">INDIRECT("'"&amp;$C212&amp;"'!"&amp;"$"&amp;$D212&amp;$J$1&amp;"")</f>
        <v>0</v>
      </c>
      <c r="K212" s="293"/>
      <c r="L212" s="293" t="s">
        <v>1</v>
      </c>
      <c r="M212" s="291" t="s">
        <v>1</v>
      </c>
      <c r="N212" s="292" cm="1">
        <f t="array" aca="1" ref="N212" ca="1">INDIRECT("'"&amp;$C212&amp;"'!"&amp;"$"&amp;$D212&amp;$N$1&amp;"")</f>
        <v>0</v>
      </c>
      <c r="O212" s="293"/>
      <c r="P212" s="293" t="s">
        <v>1</v>
      </c>
      <c r="Q212" s="291" t="s">
        <v>1</v>
      </c>
      <c r="R212" s="292" cm="1">
        <f t="array" aca="1" ref="R212" ca="1">INDIRECT("'"&amp;$C212&amp;"'!"&amp;"$"&amp;$D212&amp;$R$1&amp;"")</f>
        <v>6.6</v>
      </c>
      <c r="S212" s="293"/>
      <c r="T212" s="293">
        <v>1</v>
      </c>
      <c r="U212" s="291">
        <v>0</v>
      </c>
      <c r="V212" s="292" t="str" cm="1">
        <f t="array" aca="1" ref="V212" ca="1">INDIRECT("'"&amp;$C212&amp;"'!"&amp;"$"&amp;$D212&amp;$V$1&amp;"")</f>
        <v>CMS</v>
      </c>
      <c r="W212" s="293" t="s">
        <v>1</v>
      </c>
      <c r="X212" s="293" t="s">
        <v>1</v>
      </c>
      <c r="Y212" s="294" t="s">
        <v>1</v>
      </c>
      <c r="Z212" s="386" cm="1">
        <f t="array" aca="1" ref="Z212" ca="1">INDIRECT("'"&amp;$C212&amp;"'!"&amp;"$"&amp;$D212&amp;$Z$1&amp;"")</f>
        <v>0</v>
      </c>
      <c r="AA212" s="292" t="s">
        <v>1</v>
      </c>
      <c r="AB212" s="293" t="s">
        <v>1</v>
      </c>
      <c r="AC212" s="291" t="s">
        <v>1</v>
      </c>
      <c r="AD212" s="292" cm="1">
        <f t="array" aca="1" ref="AD212" ca="1">INDIRECT("'"&amp;$C212&amp;"'!"&amp;"$"&amp;$D212&amp;$AD$1&amp;"")</f>
        <v>0</v>
      </c>
      <c r="AE212" s="293"/>
      <c r="AF212" s="293"/>
      <c r="AG212" s="294"/>
      <c r="AH212" s="290" cm="1">
        <f t="array" aca="1" ref="AH212" ca="1">INDIRECT("'"&amp;$C212&amp;"'!"&amp;"$"&amp;$D212&amp;$AH$1&amp;"")</f>
        <v>3.8</v>
      </c>
      <c r="AI212" s="293">
        <v>14.08</v>
      </c>
      <c r="AJ212" s="293">
        <v>0.98</v>
      </c>
      <c r="AK212" s="291">
        <v>0.46100000000000002</v>
      </c>
      <c r="AL212" s="290">
        <v>11.9</v>
      </c>
      <c r="AM212" s="294">
        <v>71.2</v>
      </c>
      <c r="AN212" s="290" cm="1">
        <f t="array" aca="1" ref="AN212" ca="1">INDIRECT("'"&amp;$C212&amp;"'!"&amp;"$"&amp;$D212&amp;$AL$1&amp;"")</f>
        <v>3.8</v>
      </c>
      <c r="AO212" s="293">
        <v>0.99</v>
      </c>
      <c r="AP212" s="291">
        <v>0.38</v>
      </c>
      <c r="AQ212" s="292" cm="1">
        <f t="array" aca="1" ref="AQ212" ca="1">INDIRECT("'"&amp;$C212&amp;"'!"&amp;"$"&amp;$D212&amp;$AQ$1&amp;"")</f>
        <v>3.8</v>
      </c>
      <c r="AR212" s="293">
        <v>0.99</v>
      </c>
      <c r="AS212" s="291">
        <v>0.38</v>
      </c>
      <c r="AT212" s="295">
        <v>0</v>
      </c>
      <c r="AU212" s="294">
        <v>71</v>
      </c>
      <c r="AV212" s="290" t="str" cm="1">
        <f t="array" aca="1" ref="AV212" ca="1">INDIRECT("'"&amp;$C212&amp;"'!"&amp;"$"&amp;$D212&amp;$AT$1&amp;"")</f>
        <v>PMS</v>
      </c>
      <c r="AW212" s="293" t="s">
        <v>1</v>
      </c>
      <c r="AX212" s="294" t="s">
        <v>1</v>
      </c>
      <c r="AY212" s="386">
        <v>70</v>
      </c>
      <c r="AZ212" s="296" cm="1">
        <f t="array" aca="1" ref="AZ212" ca="1">INDIRECT("'"&amp;$C212&amp;"'!"&amp;"$"&amp;$D212&amp;$AY$1&amp;"")</f>
        <v>5.0999999999999996</v>
      </c>
      <c r="BA212" s="293">
        <v>0.99</v>
      </c>
      <c r="BB212" s="291">
        <v>1.2</v>
      </c>
      <c r="BC212" s="292" cm="1">
        <f t="array" aca="1" ref="BC212" ca="1">INDIRECT("'"&amp;$C212&amp;"'!"&amp;"$"&amp;$D212&amp;$BC$1&amp;"")</f>
        <v>0.95</v>
      </c>
      <c r="BD212" s="293"/>
      <c r="BE212" s="293">
        <v>0.99</v>
      </c>
      <c r="BF212" s="291">
        <v>0.1</v>
      </c>
      <c r="BG212" s="292" cm="1">
        <f t="array" aca="1" ref="BG212" ca="1">INDIRECT("'"&amp;$C212&amp;"'!"&amp;"$"&amp;$D212&amp;$BG$1&amp;"")</f>
        <v>0.64</v>
      </c>
      <c r="BH212" s="293"/>
      <c r="BI212" s="293">
        <v>0.96</v>
      </c>
      <c r="BJ212" s="291">
        <v>0.17</v>
      </c>
      <c r="BK212" s="292" cm="1">
        <f t="array" aca="1" ref="BK212" ca="1">INDIRECT("'"&amp;$C212&amp;"'!"&amp;"$"&amp;$D212&amp;$BK$1&amp;"")</f>
        <v>2.3199999999999998</v>
      </c>
      <c r="BL212" s="293"/>
      <c r="BM212" s="293">
        <v>0.95</v>
      </c>
      <c r="BN212" s="291">
        <v>0.77</v>
      </c>
    </row>
    <row r="213" spans="1:66" ht="15.75" thickBot="1" x14ac:dyDescent="0.25">
      <c r="A213" s="368">
        <v>45697</v>
      </c>
      <c r="B213" s="365">
        <v>0.33333333333333398</v>
      </c>
      <c r="C213" s="383">
        <v>9</v>
      </c>
      <c r="D213" s="319" t="s">
        <v>118</v>
      </c>
      <c r="E213" s="297">
        <v>14.1</v>
      </c>
      <c r="F213" s="298">
        <v>70.53</v>
      </c>
      <c r="G213" s="299" cm="1">
        <f t="array" aca="1" ref="G213" ca="1">INDIRECT("'"&amp;$C213&amp;"'!"&amp;"$"&amp;$D213&amp;$E$1&amp;"")</f>
        <v>6.5</v>
      </c>
      <c r="H213" s="300">
        <v>1</v>
      </c>
      <c r="I213" s="298">
        <v>0</v>
      </c>
      <c r="J213" s="299" cm="1">
        <f t="array" aca="1" ref="J213" ca="1">INDIRECT("'"&amp;$C213&amp;"'!"&amp;"$"&amp;$D213&amp;$J$1&amp;"")</f>
        <v>0</v>
      </c>
      <c r="K213" s="300"/>
      <c r="L213" s="300" t="s">
        <v>1</v>
      </c>
      <c r="M213" s="298" t="s">
        <v>1</v>
      </c>
      <c r="N213" s="299" cm="1">
        <f t="array" aca="1" ref="N213" ca="1">INDIRECT("'"&amp;$C213&amp;"'!"&amp;"$"&amp;$D213&amp;$N$1&amp;"")</f>
        <v>0</v>
      </c>
      <c r="O213" s="300"/>
      <c r="P213" s="300" t="s">
        <v>1</v>
      </c>
      <c r="Q213" s="298" t="s">
        <v>1</v>
      </c>
      <c r="R213" s="299" cm="1">
        <f t="array" aca="1" ref="R213" ca="1">INDIRECT("'"&amp;$C213&amp;"'!"&amp;"$"&amp;$D213&amp;$R$1&amp;"")</f>
        <v>6.5</v>
      </c>
      <c r="S213" s="300"/>
      <c r="T213" s="300">
        <v>1</v>
      </c>
      <c r="U213" s="298">
        <v>0</v>
      </c>
      <c r="V213" s="299" t="str" cm="1">
        <f t="array" aca="1" ref="V213" ca="1">INDIRECT("'"&amp;$C213&amp;"'!"&amp;"$"&amp;$D213&amp;$V$1&amp;"")</f>
        <v>CMS</v>
      </c>
      <c r="W213" s="300" t="s">
        <v>1</v>
      </c>
      <c r="X213" s="300" t="s">
        <v>1</v>
      </c>
      <c r="Y213" s="301" t="s">
        <v>1</v>
      </c>
      <c r="Z213" s="387" cm="1">
        <f t="array" aca="1" ref="Z213" ca="1">INDIRECT("'"&amp;$C213&amp;"'!"&amp;"$"&amp;$D213&amp;$Z$1&amp;"")</f>
        <v>0</v>
      </c>
      <c r="AA213" s="299" t="s">
        <v>1</v>
      </c>
      <c r="AB213" s="300" t="s">
        <v>1</v>
      </c>
      <c r="AC213" s="298" t="s">
        <v>1</v>
      </c>
      <c r="AD213" s="299" cm="1">
        <f t="array" aca="1" ref="AD213" ca="1">INDIRECT("'"&amp;$C213&amp;"'!"&amp;"$"&amp;$D213&amp;$AD$1&amp;"")</f>
        <v>3</v>
      </c>
      <c r="AE213" s="300">
        <f>3.8*3.61</f>
        <v>13.717999999999998</v>
      </c>
      <c r="AF213" s="300">
        <v>0.99</v>
      </c>
      <c r="AG213" s="301">
        <v>0.24</v>
      </c>
      <c r="AH213" s="297" cm="1">
        <f t="array" aca="1" ref="AH213" ca="1">INDIRECT("'"&amp;$C213&amp;"'!"&amp;"$"&amp;$D213&amp;$AH$1&amp;"")</f>
        <v>3.8</v>
      </c>
      <c r="AI213" s="300">
        <v>13.96</v>
      </c>
      <c r="AJ213" s="300">
        <v>0.98</v>
      </c>
      <c r="AK213" s="298">
        <v>0.48699999999999999</v>
      </c>
      <c r="AL213" s="297">
        <v>11.9</v>
      </c>
      <c r="AM213" s="301">
        <v>70.8</v>
      </c>
      <c r="AN213" s="297" cm="1">
        <f t="array" aca="1" ref="AN213" ca="1">INDIRECT("'"&amp;$C213&amp;"'!"&amp;"$"&amp;$D213&amp;$AL$1&amp;"")</f>
        <v>3.8</v>
      </c>
      <c r="AO213" s="300">
        <v>0.99</v>
      </c>
      <c r="AP213" s="298">
        <v>0.61</v>
      </c>
      <c r="AQ213" s="299" cm="1">
        <f t="array" aca="1" ref="AQ213" ca="1">INDIRECT("'"&amp;$C213&amp;"'!"&amp;"$"&amp;$D213&amp;$AQ$1&amp;"")</f>
        <v>3.8</v>
      </c>
      <c r="AR213" s="300">
        <v>0.99</v>
      </c>
      <c r="AS213" s="298">
        <v>0.37</v>
      </c>
      <c r="AT213" s="302">
        <v>0</v>
      </c>
      <c r="AU213" s="301">
        <v>69.900000000000006</v>
      </c>
      <c r="AV213" s="297" t="str" cm="1">
        <f t="array" aca="1" ref="AV213" ca="1">INDIRECT("'"&amp;$C213&amp;"'!"&amp;"$"&amp;$D213&amp;$AT$1&amp;"")</f>
        <v>PMS</v>
      </c>
      <c r="AW213" s="300" t="s">
        <v>1</v>
      </c>
      <c r="AX213" s="301" t="s">
        <v>1</v>
      </c>
      <c r="AY213" s="387">
        <v>69.599999999999994</v>
      </c>
      <c r="AZ213" s="303" cm="1">
        <f t="array" aca="1" ref="AZ213" ca="1">INDIRECT("'"&amp;$C213&amp;"'!"&amp;"$"&amp;$D213&amp;$AY$1&amp;"")</f>
        <v>5.0999999999999996</v>
      </c>
      <c r="BA213" s="300">
        <v>0.97</v>
      </c>
      <c r="BB213" s="298">
        <v>1.2</v>
      </c>
      <c r="BC213" s="299" cm="1">
        <f t="array" aca="1" ref="BC213" ca="1">INDIRECT("'"&amp;$C213&amp;"'!"&amp;"$"&amp;$D213&amp;$BC$1&amp;"")</f>
        <v>0.94</v>
      </c>
      <c r="BD213" s="300"/>
      <c r="BE213" s="300">
        <v>0.99</v>
      </c>
      <c r="BF213" s="298">
        <v>0.11</v>
      </c>
      <c r="BG213" s="299" cm="1">
        <f t="array" aca="1" ref="BG213" ca="1">INDIRECT("'"&amp;$C213&amp;"'!"&amp;"$"&amp;$D213&amp;$BG$1&amp;"")</f>
        <v>0.69</v>
      </c>
      <c r="BH213" s="300"/>
      <c r="BI213" s="300">
        <v>0.99</v>
      </c>
      <c r="BJ213" s="298">
        <v>0.17</v>
      </c>
      <c r="BK213" s="299" cm="1">
        <f t="array" aca="1" ref="BK213" ca="1">INDIRECT("'"&amp;$C213&amp;"'!"&amp;"$"&amp;$D213&amp;$BK$1&amp;"")</f>
        <v>2.59</v>
      </c>
      <c r="BL213" s="300"/>
      <c r="BM213" s="300">
        <v>0.95</v>
      </c>
      <c r="BN213" s="300">
        <v>0.85</v>
      </c>
    </row>
    <row r="214" spans="1:66" ht="15.75" thickBot="1" x14ac:dyDescent="0.25">
      <c r="A214" s="368">
        <v>45697</v>
      </c>
      <c r="B214" s="365">
        <v>0.375</v>
      </c>
      <c r="C214" s="383">
        <v>9</v>
      </c>
      <c r="D214" s="319" t="s">
        <v>119</v>
      </c>
      <c r="E214" s="290">
        <v>14.2</v>
      </c>
      <c r="F214" s="291">
        <v>70.239999999999995</v>
      </c>
      <c r="G214" s="292" cm="1">
        <f t="array" aca="1" ref="G214" ca="1">INDIRECT("'"&amp;$C214&amp;"'!"&amp;"$"&amp;$D214&amp;$E$1&amp;"")</f>
        <v>6.5</v>
      </c>
      <c r="H214" s="293">
        <v>0.99</v>
      </c>
      <c r="I214" s="291">
        <v>0.84</v>
      </c>
      <c r="J214" s="292" cm="1">
        <f t="array" aca="1" ref="J214" ca="1">INDIRECT("'"&amp;$C214&amp;"'!"&amp;"$"&amp;$D214&amp;$J$1&amp;"")</f>
        <v>0</v>
      </c>
      <c r="K214" s="293"/>
      <c r="L214" s="293" t="s">
        <v>1</v>
      </c>
      <c r="M214" s="291" t="s">
        <v>1</v>
      </c>
      <c r="N214" s="292" cm="1">
        <f t="array" aca="1" ref="N214" ca="1">INDIRECT("'"&amp;$C214&amp;"'!"&amp;"$"&amp;$D214&amp;$N$1&amp;"")</f>
        <v>0</v>
      </c>
      <c r="O214" s="293"/>
      <c r="P214" s="293" t="s">
        <v>1</v>
      </c>
      <c r="Q214" s="291" t="s">
        <v>1</v>
      </c>
      <c r="R214" s="292" cm="1">
        <f t="array" aca="1" ref="R214" ca="1">INDIRECT("'"&amp;$C214&amp;"'!"&amp;"$"&amp;$D214&amp;$R$1&amp;"")</f>
        <v>6.6</v>
      </c>
      <c r="S214" s="293"/>
      <c r="T214" s="293">
        <v>0.99</v>
      </c>
      <c r="U214" s="291">
        <v>0.66</v>
      </c>
      <c r="V214" s="292" t="str" cm="1">
        <f t="array" aca="1" ref="V214" ca="1">INDIRECT("'"&amp;$C214&amp;"'!"&amp;"$"&amp;$D214&amp;$V$1&amp;"")</f>
        <v>CMS</v>
      </c>
      <c r="W214" s="293" t="s">
        <v>1</v>
      </c>
      <c r="X214" s="293" t="s">
        <v>1</v>
      </c>
      <c r="Y214" s="294" t="s">
        <v>1</v>
      </c>
      <c r="Z214" s="386" cm="1">
        <f t="array" aca="1" ref="Z214" ca="1">INDIRECT("'"&amp;$C214&amp;"'!"&amp;"$"&amp;$D214&amp;$Z$1&amp;"")</f>
        <v>0</v>
      </c>
      <c r="AA214" s="292" t="s">
        <v>1</v>
      </c>
      <c r="AB214" s="293" t="s">
        <v>1</v>
      </c>
      <c r="AC214" s="291" t="s">
        <v>1</v>
      </c>
      <c r="AD214" s="292" cm="1">
        <f t="array" aca="1" ref="AD214" ca="1">INDIRECT("'"&amp;$C214&amp;"'!"&amp;"$"&amp;$D214&amp;$AD$1&amp;"")</f>
        <v>3.3</v>
      </c>
      <c r="AE214" s="293">
        <f>3.8*3.61</f>
        <v>13.717999999999998</v>
      </c>
      <c r="AF214" s="293">
        <v>0.98</v>
      </c>
      <c r="AG214" s="294">
        <v>0.61</v>
      </c>
      <c r="AH214" s="290" cm="1">
        <f t="array" aca="1" ref="AH214" ca="1">INDIRECT("'"&amp;$C214&amp;"'!"&amp;"$"&amp;$D214&amp;$AH$1&amp;"")</f>
        <v>3.8</v>
      </c>
      <c r="AI214" s="293">
        <v>13.96</v>
      </c>
      <c r="AJ214" s="293">
        <v>0.99</v>
      </c>
      <c r="AK214" s="291">
        <v>0.35299999999999998</v>
      </c>
      <c r="AL214" s="290">
        <v>11.9</v>
      </c>
      <c r="AM214" s="294">
        <v>70.8</v>
      </c>
      <c r="AN214" s="290" cm="1">
        <f t="array" aca="1" ref="AN214" ca="1">INDIRECT("'"&amp;$C214&amp;"'!"&amp;"$"&amp;$D214&amp;$AL$1&amp;"")</f>
        <v>3.9</v>
      </c>
      <c r="AO214" s="293">
        <v>0.98</v>
      </c>
      <c r="AP214" s="291">
        <v>0.69</v>
      </c>
      <c r="AQ214" s="292" cm="1">
        <f t="array" aca="1" ref="AQ214" ca="1">INDIRECT("'"&amp;$C214&amp;"'!"&amp;"$"&amp;$D214&amp;$AQ$1&amp;"")</f>
        <v>3.9</v>
      </c>
      <c r="AR214" s="293">
        <v>0.98</v>
      </c>
      <c r="AS214" s="291">
        <v>0.42</v>
      </c>
      <c r="AT214" s="295">
        <v>0</v>
      </c>
      <c r="AU214" s="294">
        <v>70.5</v>
      </c>
      <c r="AV214" s="290" t="str" cm="1">
        <f t="array" aca="1" ref="AV214" ca="1">INDIRECT("'"&amp;$C214&amp;"'!"&amp;"$"&amp;$D214&amp;$AT$1&amp;"")</f>
        <v>PMS</v>
      </c>
      <c r="AW214" s="293" t="s">
        <v>1</v>
      </c>
      <c r="AX214" s="294" t="s">
        <v>1</v>
      </c>
      <c r="AY214" s="386">
        <v>69.2</v>
      </c>
      <c r="AZ214" s="296" cm="1">
        <f t="array" aca="1" ref="AZ214" ca="1">INDIRECT("'"&amp;$C214&amp;"'!"&amp;"$"&amp;$D214&amp;$AY$1&amp;"")</f>
        <v>5.3000000000000007</v>
      </c>
      <c r="BA214" s="293">
        <v>0.96</v>
      </c>
      <c r="BB214" s="291">
        <v>1.5</v>
      </c>
      <c r="BC214" s="292" cm="1">
        <f t="array" aca="1" ref="BC214" ca="1">INDIRECT("'"&amp;$C214&amp;"'!"&amp;"$"&amp;$D214&amp;$BC$1&amp;"")</f>
        <v>1.02</v>
      </c>
      <c r="BD214" s="293"/>
      <c r="BE214" s="293">
        <v>0.99</v>
      </c>
      <c r="BF214" s="291">
        <v>0.13</v>
      </c>
      <c r="BG214" s="292" cm="1">
        <f t="array" aca="1" ref="BG214" ca="1">INDIRECT("'"&amp;$C214&amp;"'!"&amp;"$"&amp;$D214&amp;$BG$1&amp;"")</f>
        <v>0.74</v>
      </c>
      <c r="BH214" s="293"/>
      <c r="BI214" s="293">
        <v>0.96</v>
      </c>
      <c r="BJ214" s="291">
        <v>0.22</v>
      </c>
      <c r="BK214" s="292" cm="1">
        <f t="array" aca="1" ref="BK214" ca="1">INDIRECT("'"&amp;$C214&amp;"'!"&amp;"$"&amp;$D214&amp;$BK$1&amp;"")</f>
        <v>2.87</v>
      </c>
      <c r="BL214" s="293"/>
      <c r="BM214" s="293">
        <v>0.95</v>
      </c>
      <c r="BN214" s="291">
        <v>0.94</v>
      </c>
    </row>
    <row r="215" spans="1:66" ht="15.75" thickBot="1" x14ac:dyDescent="0.25">
      <c r="A215" s="368">
        <v>45697</v>
      </c>
      <c r="B215" s="365">
        <v>0.41666666666666702</v>
      </c>
      <c r="C215" s="383">
        <v>9</v>
      </c>
      <c r="D215" s="319" t="s">
        <v>120</v>
      </c>
      <c r="E215" s="297">
        <v>14.2</v>
      </c>
      <c r="F215" s="298">
        <v>70.040000000000006</v>
      </c>
      <c r="G215" s="299" cm="1">
        <f t="array" aca="1" ref="G215" ca="1">INDIRECT("'"&amp;$C215&amp;"'!"&amp;"$"&amp;$D215&amp;$E$1&amp;"")</f>
        <v>6.7</v>
      </c>
      <c r="H215" s="300">
        <v>0.99</v>
      </c>
      <c r="I215" s="298">
        <v>0.85</v>
      </c>
      <c r="J215" s="299" cm="1">
        <f t="array" aca="1" ref="J215" ca="1">INDIRECT("'"&amp;$C215&amp;"'!"&amp;"$"&amp;$D215&amp;$J$1&amp;"")</f>
        <v>0</v>
      </c>
      <c r="K215" s="300"/>
      <c r="L215" s="300" t="s">
        <v>1</v>
      </c>
      <c r="M215" s="298" t="s">
        <v>1</v>
      </c>
      <c r="N215" s="299" cm="1">
        <f t="array" aca="1" ref="N215" ca="1">INDIRECT("'"&amp;$C215&amp;"'!"&amp;"$"&amp;$D215&amp;$N$1&amp;"")</f>
        <v>6.6</v>
      </c>
      <c r="O215" s="300"/>
      <c r="P215" s="300">
        <v>0.97</v>
      </c>
      <c r="Q215" s="298">
        <v>1.72</v>
      </c>
      <c r="R215" s="299" cm="1">
        <f t="array" aca="1" ref="R215" ca="1">INDIRECT("'"&amp;$C215&amp;"'!"&amp;"$"&amp;$D215&amp;$R$1&amp;"")</f>
        <v>6.5</v>
      </c>
      <c r="S215" s="300"/>
      <c r="T215" s="300">
        <v>0.99</v>
      </c>
      <c r="U215" s="298">
        <v>1.05</v>
      </c>
      <c r="V215" s="299" t="str" cm="1">
        <f t="array" aca="1" ref="V215" ca="1">INDIRECT("'"&amp;$C215&amp;"'!"&amp;"$"&amp;$D215&amp;$V$1&amp;"")</f>
        <v>CMS</v>
      </c>
      <c r="W215" s="300" t="s">
        <v>1</v>
      </c>
      <c r="X215" s="300" t="s">
        <v>1</v>
      </c>
      <c r="Y215" s="301" t="s">
        <v>1</v>
      </c>
      <c r="Z215" s="387" cm="1">
        <f t="array" aca="1" ref="Z215" ca="1">INDIRECT("'"&amp;$C215&amp;"'!"&amp;"$"&amp;$D215&amp;$Z$1&amp;"")</f>
        <v>0</v>
      </c>
      <c r="AA215" s="299" t="s">
        <v>1</v>
      </c>
      <c r="AB215" s="300" t="s">
        <v>1</v>
      </c>
      <c r="AC215" s="298" t="s">
        <v>1</v>
      </c>
      <c r="AD215" s="299" cm="1">
        <f t="array" aca="1" ref="AD215" ca="1">INDIRECT("'"&amp;$C215&amp;"'!"&amp;"$"&amp;$D215&amp;$AD$1&amp;"")</f>
        <v>3.3</v>
      </c>
      <c r="AE215" s="300">
        <f>3.8*3.59</f>
        <v>13.641999999999999</v>
      </c>
      <c r="AF215" s="300">
        <v>0.96</v>
      </c>
      <c r="AG215" s="301">
        <v>0.94</v>
      </c>
      <c r="AH215" s="297" cm="1">
        <f t="array" aca="1" ref="AH215" ca="1">INDIRECT("'"&amp;$C215&amp;"'!"&amp;"$"&amp;$D215&amp;$AH$1&amp;"")</f>
        <v>3.8</v>
      </c>
      <c r="AI215" s="300">
        <v>13.96</v>
      </c>
      <c r="AJ215" s="300">
        <v>0.98</v>
      </c>
      <c r="AK215" s="298">
        <v>0.51600000000000001</v>
      </c>
      <c r="AL215" s="297">
        <v>11.9</v>
      </c>
      <c r="AM215" s="301">
        <v>70.7</v>
      </c>
      <c r="AN215" s="297" cm="1">
        <f t="array" aca="1" ref="AN215" ca="1">INDIRECT("'"&amp;$C215&amp;"'!"&amp;"$"&amp;$D215&amp;$AL$1&amp;"")</f>
        <v>3.9</v>
      </c>
      <c r="AO215" s="300">
        <v>0.98</v>
      </c>
      <c r="AP215" s="298">
        <v>0.78</v>
      </c>
      <c r="AQ215" s="299" cm="1">
        <f t="array" aca="1" ref="AQ215" ca="1">INDIRECT("'"&amp;$C215&amp;"'!"&amp;"$"&amp;$D215&amp;$AQ$1&amp;"")</f>
        <v>3.9</v>
      </c>
      <c r="AR215" s="300">
        <v>0.98</v>
      </c>
      <c r="AS215" s="298">
        <v>0.78</v>
      </c>
      <c r="AT215" s="302">
        <v>0</v>
      </c>
      <c r="AU215" s="301">
        <v>70.5</v>
      </c>
      <c r="AV215" s="297" t="str" cm="1">
        <f t="array" aca="1" ref="AV215" ca="1">INDIRECT("'"&amp;$C215&amp;"'!"&amp;"$"&amp;$D215&amp;$AT$1&amp;"")</f>
        <v>PMS</v>
      </c>
      <c r="AW215" s="300" t="s">
        <v>1</v>
      </c>
      <c r="AX215" s="301" t="s">
        <v>1</v>
      </c>
      <c r="AY215" s="387">
        <v>69</v>
      </c>
      <c r="AZ215" s="303" cm="1">
        <f t="array" aca="1" ref="AZ215" ca="1">INDIRECT("'"&amp;$C215&amp;"'!"&amp;"$"&amp;$D215&amp;$AY$1&amp;"")</f>
        <v>0.8</v>
      </c>
      <c r="BA215" s="300">
        <v>0.96</v>
      </c>
      <c r="BB215" s="298">
        <v>0.23</v>
      </c>
      <c r="BC215" s="299" cm="1">
        <f t="array" aca="1" ref="BC215" ca="1">INDIRECT("'"&amp;$C215&amp;"'!"&amp;"$"&amp;$D215&amp;$BC$1&amp;"")</f>
        <v>0.78</v>
      </c>
      <c r="BD215" s="300"/>
      <c r="BE215" s="300">
        <v>0.99</v>
      </c>
      <c r="BF215" s="298">
        <v>0.4</v>
      </c>
      <c r="BG215" s="299" cm="1">
        <f t="array" aca="1" ref="BG215" ca="1">INDIRECT("'"&amp;$C215&amp;"'!"&amp;"$"&amp;$D215&amp;$BG$1&amp;"")</f>
        <v>0.79</v>
      </c>
      <c r="BH215" s="300"/>
      <c r="BI215" s="300">
        <v>0.96</v>
      </c>
      <c r="BJ215" s="298">
        <v>0.23</v>
      </c>
      <c r="BK215" s="299" cm="1">
        <f t="array" aca="1" ref="BK215" ca="1">INDIRECT("'"&amp;$C215&amp;"'!"&amp;"$"&amp;$D215&amp;$BK$1&amp;"")</f>
        <v>2.86</v>
      </c>
      <c r="BL215" s="300"/>
      <c r="BM215" s="300">
        <v>0.95</v>
      </c>
      <c r="BN215" s="298">
        <v>0.94</v>
      </c>
    </row>
    <row r="216" spans="1:66" ht="15.75" thickBot="1" x14ac:dyDescent="0.25">
      <c r="A216" s="368">
        <v>45697</v>
      </c>
      <c r="B216" s="365">
        <v>0.45833333333333398</v>
      </c>
      <c r="C216" s="383">
        <v>9</v>
      </c>
      <c r="D216" s="319" t="s">
        <v>121</v>
      </c>
      <c r="E216" s="290">
        <v>14.1</v>
      </c>
      <c r="F216" s="291">
        <v>69.760000000000005</v>
      </c>
      <c r="G216" s="292" cm="1">
        <f t="array" aca="1" ref="G216" ca="1">INDIRECT("'"&amp;$C216&amp;"'!"&amp;"$"&amp;$D216&amp;$E$1&amp;"")</f>
        <v>6.7</v>
      </c>
      <c r="H216" s="293">
        <v>0.99</v>
      </c>
      <c r="I216" s="291">
        <v>0.8</v>
      </c>
      <c r="J216" s="292" cm="1">
        <f t="array" aca="1" ref="J216" ca="1">INDIRECT("'"&amp;$C216&amp;"'!"&amp;"$"&amp;$D216&amp;$J$1&amp;"")</f>
        <v>0</v>
      </c>
      <c r="K216" s="293"/>
      <c r="L216" s="293" t="s">
        <v>1</v>
      </c>
      <c r="M216" s="291" t="s">
        <v>1</v>
      </c>
      <c r="N216" s="292" cm="1">
        <f t="array" aca="1" ref="N216" ca="1">INDIRECT("'"&amp;$C216&amp;"'!"&amp;"$"&amp;$D216&amp;$N$1&amp;"")</f>
        <v>6.7</v>
      </c>
      <c r="O216" s="293"/>
      <c r="P216" s="293">
        <v>0.98</v>
      </c>
      <c r="Q216" s="291">
        <v>1.52</v>
      </c>
      <c r="R216" s="292" cm="1">
        <f t="array" aca="1" ref="R216" ca="1">INDIRECT("'"&amp;$C216&amp;"'!"&amp;"$"&amp;$D216&amp;$R$1&amp;"")</f>
        <v>6.7</v>
      </c>
      <c r="S216" s="293"/>
      <c r="T216" s="293">
        <v>0.99</v>
      </c>
      <c r="U216" s="291">
        <v>1.1200000000000001</v>
      </c>
      <c r="V216" s="292" t="str" cm="1">
        <f t="array" aca="1" ref="V216" ca="1">INDIRECT("'"&amp;$C216&amp;"'!"&amp;"$"&amp;$D216&amp;$V$1&amp;"")</f>
        <v>CMS</v>
      </c>
      <c r="W216" s="293" t="s">
        <v>1</v>
      </c>
      <c r="X216" s="293" t="s">
        <v>1</v>
      </c>
      <c r="Y216" s="294" t="s">
        <v>1</v>
      </c>
      <c r="Z216" s="386" cm="1">
        <f t="array" aca="1" ref="Z216" ca="1">INDIRECT("'"&amp;$C216&amp;"'!"&amp;"$"&amp;$D216&amp;$Z$1&amp;"")</f>
        <v>0</v>
      </c>
      <c r="AA216" s="292" t="s">
        <v>1</v>
      </c>
      <c r="AB216" s="293" t="s">
        <v>1</v>
      </c>
      <c r="AC216" s="291" t="s">
        <v>1</v>
      </c>
      <c r="AD216" s="292" cm="1">
        <f t="array" aca="1" ref="AD216" ca="1">INDIRECT("'"&amp;$C216&amp;"'!"&amp;"$"&amp;$D216&amp;$AD$1&amp;"")</f>
        <v>3.3</v>
      </c>
      <c r="AE216" s="293">
        <f>3.8*3.58</f>
        <v>13.603999999999999</v>
      </c>
      <c r="AF216" s="293">
        <v>0.96</v>
      </c>
      <c r="AG216" s="294">
        <v>0.91</v>
      </c>
      <c r="AH216" s="290" cm="1">
        <f t="array" aca="1" ref="AH216" ca="1">INDIRECT("'"&amp;$C216&amp;"'!"&amp;"$"&amp;$D216&amp;$AH$1&amp;"")</f>
        <v>3.8</v>
      </c>
      <c r="AI216" s="293">
        <v>13.96</v>
      </c>
      <c r="AJ216" s="293">
        <v>0.98</v>
      </c>
      <c r="AK216" s="291">
        <v>0.627</v>
      </c>
      <c r="AL216" s="290">
        <v>11.9</v>
      </c>
      <c r="AM216" s="294">
        <v>70.400000000000006</v>
      </c>
      <c r="AN216" s="290" cm="1">
        <f t="array" aca="1" ref="AN216" ca="1">INDIRECT("'"&amp;$C216&amp;"'!"&amp;"$"&amp;$D216&amp;$AL$1&amp;"")</f>
        <v>4.2</v>
      </c>
      <c r="AO216" s="293">
        <v>0.98</v>
      </c>
      <c r="AP216" s="291">
        <v>0.91</v>
      </c>
      <c r="AQ216" s="292" cm="1">
        <f t="array" aca="1" ref="AQ216" ca="1">INDIRECT("'"&amp;$C216&amp;"'!"&amp;"$"&amp;$D216&amp;$AQ$1&amp;"")</f>
        <v>4.2</v>
      </c>
      <c r="AR216" s="293">
        <v>0.98</v>
      </c>
      <c r="AS216" s="291">
        <v>0.62</v>
      </c>
      <c r="AT216" s="295">
        <v>0</v>
      </c>
      <c r="AU216" s="294">
        <v>70.5</v>
      </c>
      <c r="AV216" s="290" t="str" cm="1">
        <f t="array" aca="1" ref="AV216" ca="1">INDIRECT("'"&amp;$C216&amp;"'!"&amp;"$"&amp;$D216&amp;$AT$1&amp;"")</f>
        <v>PMS</v>
      </c>
      <c r="AW216" s="293" t="s">
        <v>1</v>
      </c>
      <c r="AX216" s="294" t="s">
        <v>1</v>
      </c>
      <c r="AY216" s="386">
        <v>68.8</v>
      </c>
      <c r="AZ216" s="296" cm="1">
        <f t="array" aca="1" ref="AZ216" ca="1">INDIRECT("'"&amp;$C216&amp;"'!"&amp;"$"&amp;$D216&amp;$AY$1&amp;"")</f>
        <v>0</v>
      </c>
      <c r="BA216" s="293" t="s">
        <v>1</v>
      </c>
      <c r="BB216" s="291" t="s">
        <v>1</v>
      </c>
      <c r="BC216" s="292" cm="1">
        <f t="array" aca="1" ref="BC216" ca="1">INDIRECT("'"&amp;$C216&amp;"'!"&amp;"$"&amp;$D216&amp;$BC$1&amp;"")</f>
        <v>0.98</v>
      </c>
      <c r="BD216" s="293"/>
      <c r="BE216" s="293">
        <v>0.99</v>
      </c>
      <c r="BF216" s="291">
        <v>0.13</v>
      </c>
      <c r="BG216" s="292" cm="1">
        <f t="array" aca="1" ref="BG216" ca="1">INDIRECT("'"&amp;$C216&amp;"'!"&amp;"$"&amp;$D216&amp;$BG$1&amp;"")</f>
        <v>0.79</v>
      </c>
      <c r="BH216" s="293"/>
      <c r="BI216" s="293">
        <v>0.96</v>
      </c>
      <c r="BJ216" s="291">
        <v>0.23</v>
      </c>
      <c r="BK216" s="292" cm="1">
        <f t="array" aca="1" ref="BK216" ca="1">INDIRECT("'"&amp;$C216&amp;"'!"&amp;"$"&amp;$D216&amp;$BK$1&amp;"")</f>
        <v>2.93</v>
      </c>
      <c r="BL216" s="293"/>
      <c r="BM216" s="293">
        <v>0.95</v>
      </c>
      <c r="BN216" s="291">
        <v>0.96</v>
      </c>
    </row>
    <row r="217" spans="1:66" ht="15.75" thickBot="1" x14ac:dyDescent="0.25">
      <c r="A217" s="368">
        <v>45697</v>
      </c>
      <c r="B217" s="365">
        <v>0.5</v>
      </c>
      <c r="C217" s="383">
        <v>9</v>
      </c>
      <c r="D217" s="319" t="s">
        <v>122</v>
      </c>
      <c r="E217" s="297">
        <v>14.2</v>
      </c>
      <c r="F217" s="298">
        <v>70.180000000000007</v>
      </c>
      <c r="G217" s="299" cm="1">
        <f t="array" aca="1" ref="G217" ca="1">INDIRECT("'"&amp;$C217&amp;"'!"&amp;"$"&amp;$D217&amp;$E$1&amp;"")</f>
        <v>6.6</v>
      </c>
      <c r="H217" s="300">
        <v>0.99</v>
      </c>
      <c r="I217" s="298">
        <v>1.08</v>
      </c>
      <c r="J217" s="299" cm="1">
        <f t="array" aca="1" ref="J217" ca="1">INDIRECT("'"&amp;$C217&amp;"'!"&amp;"$"&amp;$D217&amp;$J$1&amp;"")</f>
        <v>0</v>
      </c>
      <c r="K217" s="300"/>
      <c r="L217" s="300" t="s">
        <v>1</v>
      </c>
      <c r="M217" s="298" t="s">
        <v>1</v>
      </c>
      <c r="N217" s="299" cm="1">
        <f t="array" aca="1" ref="N217" ca="1">INDIRECT("'"&amp;$C217&amp;"'!"&amp;"$"&amp;$D217&amp;$N$1&amp;"")</f>
        <v>6.6</v>
      </c>
      <c r="O217" s="300"/>
      <c r="P217" s="300">
        <v>0.99</v>
      </c>
      <c r="Q217" s="298">
        <v>1.07</v>
      </c>
      <c r="R217" s="299" cm="1">
        <f t="array" aca="1" ref="R217" ca="1">INDIRECT("'"&amp;$C217&amp;"'!"&amp;"$"&amp;$D217&amp;$R$1&amp;"")</f>
        <v>6.6</v>
      </c>
      <c r="S217" s="300"/>
      <c r="T217" s="300">
        <v>0.99</v>
      </c>
      <c r="U217" s="298">
        <v>1.07</v>
      </c>
      <c r="V217" s="299" t="str" cm="1">
        <f t="array" aca="1" ref="V217" ca="1">INDIRECT("'"&amp;$C217&amp;"'!"&amp;"$"&amp;$D217&amp;$V$1&amp;"")</f>
        <v>CMS</v>
      </c>
      <c r="W217" s="300" t="s">
        <v>1</v>
      </c>
      <c r="X217" s="300" t="s">
        <v>1</v>
      </c>
      <c r="Y217" s="301" t="s">
        <v>1</v>
      </c>
      <c r="Z217" s="387" cm="1">
        <f t="array" aca="1" ref="Z217" ca="1">INDIRECT("'"&amp;$C217&amp;"'!"&amp;"$"&amp;$D217&amp;$Z$1&amp;"")</f>
        <v>0</v>
      </c>
      <c r="AA217" s="299" t="s">
        <v>1</v>
      </c>
      <c r="AB217" s="300" t="s">
        <v>1</v>
      </c>
      <c r="AC217" s="298" t="s">
        <v>1</v>
      </c>
      <c r="AD217" s="299" cm="1">
        <f t="array" aca="1" ref="AD217" ca="1">INDIRECT("'"&amp;$C217&amp;"'!"&amp;"$"&amp;$D217&amp;$AD$1&amp;"")</f>
        <v>3.3</v>
      </c>
      <c r="AE217" s="300">
        <f>3.8*3.58</f>
        <v>13.603999999999999</v>
      </c>
      <c r="AF217" s="300">
        <v>0.97</v>
      </c>
      <c r="AG217" s="301">
        <v>0.83</v>
      </c>
      <c r="AH217" s="297" cm="1">
        <f t="array" aca="1" ref="AH217" ca="1">INDIRECT("'"&amp;$C217&amp;"'!"&amp;"$"&amp;$D217&amp;$AH$1&amp;"")</f>
        <v>3.8</v>
      </c>
      <c r="AI217" s="300">
        <v>13.92</v>
      </c>
      <c r="AJ217" s="300">
        <v>0.97</v>
      </c>
      <c r="AK217" s="298">
        <v>0.70199999999999996</v>
      </c>
      <c r="AL217" s="297">
        <v>11.9</v>
      </c>
      <c r="AM217" s="301">
        <v>70.5</v>
      </c>
      <c r="AN217" s="297" cm="1">
        <f t="array" aca="1" ref="AN217" ca="1">INDIRECT("'"&amp;$C217&amp;"'!"&amp;"$"&amp;$D217&amp;$AL$1&amp;"")</f>
        <v>4</v>
      </c>
      <c r="AO217" s="300">
        <v>0.97</v>
      </c>
      <c r="AP217" s="298">
        <v>0.84</v>
      </c>
      <c r="AQ217" s="299" cm="1">
        <f t="array" aca="1" ref="AQ217" ca="1">INDIRECT("'"&amp;$C217&amp;"'!"&amp;"$"&amp;$D217&amp;$AQ$1&amp;"")</f>
        <v>4</v>
      </c>
      <c r="AR217" s="300">
        <v>0.97</v>
      </c>
      <c r="AS217" s="298">
        <v>0.59</v>
      </c>
      <c r="AT217" s="302">
        <v>0</v>
      </c>
      <c r="AU217" s="301">
        <v>70.5</v>
      </c>
      <c r="AV217" s="297" t="str" cm="1">
        <f t="array" aca="1" ref="AV217" ca="1">INDIRECT("'"&amp;$C217&amp;"'!"&amp;"$"&amp;$D217&amp;$AT$1&amp;"")</f>
        <v>PMS</v>
      </c>
      <c r="AW217" s="300" t="s">
        <v>1</v>
      </c>
      <c r="AX217" s="301" t="s">
        <v>1</v>
      </c>
      <c r="AY217" s="387">
        <v>69.2</v>
      </c>
      <c r="AZ217" s="303" cm="1">
        <f t="array" aca="1" ref="AZ217" ca="1">INDIRECT("'"&amp;$C217&amp;"'!"&amp;"$"&amp;$D217&amp;$AY$1&amp;"")</f>
        <v>1.5</v>
      </c>
      <c r="BA217" s="300">
        <v>0.96</v>
      </c>
      <c r="BB217" s="298">
        <v>0.43</v>
      </c>
      <c r="BC217" s="299" cm="1">
        <f t="array" aca="1" ref="BC217" ca="1">INDIRECT("'"&amp;$C217&amp;"'!"&amp;"$"&amp;$D217&amp;$BC$1&amp;"")</f>
        <v>1.06</v>
      </c>
      <c r="BD217" s="300"/>
      <c r="BE217" s="300">
        <v>0.99</v>
      </c>
      <c r="BF217" s="298">
        <v>0.12</v>
      </c>
      <c r="BG217" s="299" cm="1">
        <f t="array" aca="1" ref="BG217" ca="1">INDIRECT("'"&amp;$C217&amp;"'!"&amp;"$"&amp;$D217&amp;$BG$1&amp;"")</f>
        <v>0.78</v>
      </c>
      <c r="BH217" s="300"/>
      <c r="BI217" s="300">
        <v>0.96</v>
      </c>
      <c r="BJ217" s="298">
        <v>0.23</v>
      </c>
      <c r="BK217" s="299" cm="1">
        <f t="array" aca="1" ref="BK217" ca="1">INDIRECT("'"&amp;$C217&amp;"'!"&amp;"$"&amp;$D217&amp;$BK$1&amp;"")</f>
        <v>2.93</v>
      </c>
      <c r="BL217" s="300"/>
      <c r="BM217" s="300">
        <v>0.95</v>
      </c>
      <c r="BN217" s="298">
        <v>0.96</v>
      </c>
    </row>
    <row r="218" spans="1:66" ht="15.75" thickBot="1" x14ac:dyDescent="0.25">
      <c r="A218" s="368">
        <v>45697</v>
      </c>
      <c r="B218" s="365">
        <v>0.54166666666666696</v>
      </c>
      <c r="C218" s="383">
        <v>9</v>
      </c>
      <c r="D218" s="319" t="s">
        <v>123</v>
      </c>
      <c r="E218" s="290">
        <v>14.2</v>
      </c>
      <c r="F218" s="291">
        <v>70.33</v>
      </c>
      <c r="G218" s="292" cm="1">
        <f t="array" aca="1" ref="G218" ca="1">INDIRECT("'"&amp;$C218&amp;"'!"&amp;"$"&amp;$D218&amp;$E$1&amp;"")</f>
        <v>6.6</v>
      </c>
      <c r="H218" s="293">
        <v>0.99</v>
      </c>
      <c r="I218" s="291">
        <v>1.07</v>
      </c>
      <c r="J218" s="292" cm="1">
        <f t="array" aca="1" ref="J218" ca="1">INDIRECT("'"&amp;$C218&amp;"'!"&amp;"$"&amp;$D218&amp;$J$1&amp;"")</f>
        <v>0</v>
      </c>
      <c r="K218" s="293"/>
      <c r="L218" s="293" t="s">
        <v>1</v>
      </c>
      <c r="M218" s="291" t="s">
        <v>1</v>
      </c>
      <c r="N218" s="292" cm="1">
        <f t="array" aca="1" ref="N218" ca="1">INDIRECT("'"&amp;$C218&amp;"'!"&amp;"$"&amp;$D218&amp;$N$1&amp;"")</f>
        <v>6.6</v>
      </c>
      <c r="O218" s="293"/>
      <c r="P218" s="293">
        <v>0.98</v>
      </c>
      <c r="Q218" s="291">
        <v>1.1100000000000001</v>
      </c>
      <c r="R218" s="292" cm="1">
        <f t="array" aca="1" ref="R218" ca="1">INDIRECT("'"&amp;$C218&amp;"'!"&amp;"$"&amp;$D218&amp;$R$1&amp;"")</f>
        <v>6.6</v>
      </c>
      <c r="S218" s="293"/>
      <c r="T218" s="293">
        <v>0.98</v>
      </c>
      <c r="U218" s="291">
        <v>1.1100000000000001</v>
      </c>
      <c r="V218" s="292" t="str" cm="1">
        <f t="array" aca="1" ref="V218" ca="1">INDIRECT("'"&amp;$C218&amp;"'!"&amp;"$"&amp;$D218&amp;$V$1&amp;"")</f>
        <v>CMS</v>
      </c>
      <c r="W218" s="293" t="s">
        <v>1</v>
      </c>
      <c r="X218" s="293" t="s">
        <v>1</v>
      </c>
      <c r="Y218" s="294" t="s">
        <v>1</v>
      </c>
      <c r="Z218" s="386" cm="1">
        <f t="array" aca="1" ref="Z218" ca="1">INDIRECT("'"&amp;$C218&amp;"'!"&amp;"$"&amp;$D218&amp;$Z$1&amp;"")</f>
        <v>0</v>
      </c>
      <c r="AA218" s="292" t="s">
        <v>1</v>
      </c>
      <c r="AB218" s="293" t="s">
        <v>1</v>
      </c>
      <c r="AC218" s="291" t="s">
        <v>1</v>
      </c>
      <c r="AD218" s="292" cm="1">
        <f t="array" aca="1" ref="AD218" ca="1">INDIRECT("'"&amp;$C218&amp;"'!"&amp;"$"&amp;$D218&amp;$AD$1&amp;"")</f>
        <v>3.2</v>
      </c>
      <c r="AE218" s="293">
        <f>3.8*3.59</f>
        <v>13.641999999999999</v>
      </c>
      <c r="AF218" s="293">
        <v>0.97</v>
      </c>
      <c r="AG218" s="294">
        <v>0.78</v>
      </c>
      <c r="AH218" s="290" cm="1">
        <f t="array" aca="1" ref="AH218" ca="1">INDIRECT("'"&amp;$C218&amp;"'!"&amp;"$"&amp;$D218&amp;$AH$1&amp;"")</f>
        <v>3.8</v>
      </c>
      <c r="AI218" s="293">
        <v>13.92</v>
      </c>
      <c r="AJ218" s="293">
        <v>0.97</v>
      </c>
      <c r="AK218" s="291">
        <v>0.67</v>
      </c>
      <c r="AL218" s="290">
        <v>11.9</v>
      </c>
      <c r="AM218" s="294">
        <v>70.5</v>
      </c>
      <c r="AN218" s="290" cm="1">
        <f t="array" aca="1" ref="AN218" ca="1">INDIRECT("'"&amp;$C218&amp;"'!"&amp;"$"&amp;$D218&amp;$AL$1&amp;"")</f>
        <v>3.9</v>
      </c>
      <c r="AO218" s="293">
        <v>0.98</v>
      </c>
      <c r="AP218" s="291">
        <v>0.79</v>
      </c>
      <c r="AQ218" s="292" cm="1">
        <f t="array" aca="1" ref="AQ218" ca="1">INDIRECT("'"&amp;$C218&amp;"'!"&amp;"$"&amp;$D218&amp;$AQ$1&amp;"")</f>
        <v>3.9</v>
      </c>
      <c r="AR218" s="293">
        <v>0.98</v>
      </c>
      <c r="AS218" s="291">
        <v>0.53</v>
      </c>
      <c r="AT218" s="295">
        <v>0</v>
      </c>
      <c r="AU218" s="294">
        <v>70.5</v>
      </c>
      <c r="AV218" s="290" t="str" cm="1">
        <f t="array" aca="1" ref="AV218" ca="1">INDIRECT("'"&amp;$C218&amp;"'!"&amp;"$"&amp;$D218&amp;$AT$1&amp;"")</f>
        <v>PMS</v>
      </c>
      <c r="AW218" s="293" t="s">
        <v>1</v>
      </c>
      <c r="AX218" s="294" t="s">
        <v>1</v>
      </c>
      <c r="AY218" s="386">
        <v>69.099999999999994</v>
      </c>
      <c r="AZ218" s="296" cm="1">
        <f t="array" aca="1" ref="AZ218" ca="1">INDIRECT("'"&amp;$C218&amp;"'!"&amp;"$"&amp;$D218&amp;$AY$1&amp;"")</f>
        <v>0</v>
      </c>
      <c r="BA218" s="293" t="s">
        <v>1</v>
      </c>
      <c r="BB218" s="291" t="s">
        <v>1</v>
      </c>
      <c r="BC218" s="292" cm="1">
        <f t="array" aca="1" ref="BC218" ca="1">INDIRECT("'"&amp;$C218&amp;"'!"&amp;"$"&amp;$D218&amp;$BC$1&amp;"")</f>
        <v>0.95</v>
      </c>
      <c r="BD218" s="293"/>
      <c r="BE218" s="293">
        <v>0.99</v>
      </c>
      <c r="BF218" s="291">
        <v>0.11</v>
      </c>
      <c r="BG218" s="292" cm="1">
        <f t="array" aca="1" ref="BG218" ca="1">INDIRECT("'"&amp;$C218&amp;"'!"&amp;"$"&amp;$D218&amp;$BG$1&amp;"")</f>
        <v>0.82</v>
      </c>
      <c r="BH218" s="293"/>
      <c r="BI218" s="293">
        <v>0.96</v>
      </c>
      <c r="BJ218" s="291">
        <v>0.24</v>
      </c>
      <c r="BK218" s="292" cm="1">
        <f t="array" aca="1" ref="BK218" ca="1">INDIRECT("'"&amp;$C218&amp;"'!"&amp;"$"&amp;$D218&amp;$BK$1&amp;"")</f>
        <v>3</v>
      </c>
      <c r="BL218" s="293"/>
      <c r="BM218" s="293">
        <v>0.95</v>
      </c>
      <c r="BN218" s="291">
        <v>0.98</v>
      </c>
    </row>
    <row r="219" spans="1:66" ht="15.75" thickBot="1" x14ac:dyDescent="0.25">
      <c r="A219" s="368">
        <v>45697</v>
      </c>
      <c r="B219" s="365">
        <v>0.58333333333333404</v>
      </c>
      <c r="C219" s="383">
        <v>9</v>
      </c>
      <c r="D219" s="319" t="s">
        <v>124</v>
      </c>
      <c r="E219" s="297">
        <v>14.2</v>
      </c>
      <c r="F219" s="298">
        <v>70.53</v>
      </c>
      <c r="G219" s="299" cm="1">
        <f t="array" aca="1" ref="G219" ca="1">INDIRECT("'"&amp;$C219&amp;"'!"&amp;"$"&amp;$D219&amp;$E$1&amp;"")</f>
        <v>6.3</v>
      </c>
      <c r="H219" s="300">
        <v>0.99</v>
      </c>
      <c r="I219" s="298">
        <v>1.04</v>
      </c>
      <c r="J219" s="299" cm="1">
        <f t="array" aca="1" ref="J219" ca="1">INDIRECT("'"&amp;$C219&amp;"'!"&amp;"$"&amp;$D219&amp;$J$1&amp;"")</f>
        <v>0</v>
      </c>
      <c r="K219" s="300"/>
      <c r="L219" s="300" t="s">
        <v>1</v>
      </c>
      <c r="M219" s="298" t="s">
        <v>1</v>
      </c>
      <c r="N219" s="299" cm="1">
        <f t="array" aca="1" ref="N219" ca="1">INDIRECT("'"&amp;$C219&amp;"'!"&amp;"$"&amp;$D219&amp;$N$1&amp;"")</f>
        <v>6.4</v>
      </c>
      <c r="O219" s="300"/>
      <c r="P219" s="300">
        <v>0.99</v>
      </c>
      <c r="Q219" s="298">
        <v>0.81</v>
      </c>
      <c r="R219" s="299" cm="1">
        <f t="array" aca="1" ref="R219" ca="1">INDIRECT("'"&amp;$C219&amp;"'!"&amp;"$"&amp;$D219&amp;$R$1&amp;"")</f>
        <v>6.4</v>
      </c>
      <c r="S219" s="300"/>
      <c r="T219" s="300">
        <v>0.99</v>
      </c>
      <c r="U219" s="298">
        <v>0.8</v>
      </c>
      <c r="V219" s="299" t="str" cm="1">
        <f t="array" aca="1" ref="V219" ca="1">INDIRECT("'"&amp;$C219&amp;"'!"&amp;"$"&amp;$D219&amp;$V$1&amp;"")</f>
        <v>CMS</v>
      </c>
      <c r="W219" s="300" t="s">
        <v>1</v>
      </c>
      <c r="X219" s="300" t="s">
        <v>1</v>
      </c>
      <c r="Y219" s="301" t="s">
        <v>1</v>
      </c>
      <c r="Z219" s="387" cm="1">
        <f t="array" aca="1" ref="Z219" ca="1">INDIRECT("'"&amp;$C219&amp;"'!"&amp;"$"&amp;$D219&amp;$Z$1&amp;"")</f>
        <v>0</v>
      </c>
      <c r="AA219" s="299" t="s">
        <v>1</v>
      </c>
      <c r="AB219" s="300" t="s">
        <v>1</v>
      </c>
      <c r="AC219" s="298" t="s">
        <v>1</v>
      </c>
      <c r="AD219" s="299" cm="1">
        <f t="array" aca="1" ref="AD219" ca="1">INDIRECT("'"&amp;$C219&amp;"'!"&amp;"$"&amp;$D219&amp;$AD$1&amp;"")</f>
        <v>3</v>
      </c>
      <c r="AE219" s="300">
        <f>3.8*3.61</f>
        <v>13.717999999999998</v>
      </c>
      <c r="AF219" s="300">
        <v>0.98</v>
      </c>
      <c r="AG219" s="301">
        <v>0.56999999999999995</v>
      </c>
      <c r="AH219" s="297" cm="1">
        <f t="array" aca="1" ref="AH219" ca="1">INDIRECT("'"&amp;$C219&amp;"'!"&amp;"$"&amp;$D219&amp;$AH$1&amp;"")</f>
        <v>3.5</v>
      </c>
      <c r="AI219" s="300">
        <v>13.96</v>
      </c>
      <c r="AJ219" s="300">
        <v>0.98</v>
      </c>
      <c r="AK219" s="298">
        <v>0.52900000000000003</v>
      </c>
      <c r="AL219" s="297">
        <v>11.9</v>
      </c>
      <c r="AM219" s="301">
        <v>70.8</v>
      </c>
      <c r="AN219" s="297" cm="1">
        <f t="array" aca="1" ref="AN219" ca="1">INDIRECT("'"&amp;$C219&amp;"'!"&amp;"$"&amp;$D219&amp;$AL$1&amp;"")</f>
        <v>3</v>
      </c>
      <c r="AO219" s="300">
        <v>0.98</v>
      </c>
      <c r="AP219" s="298">
        <v>0.67</v>
      </c>
      <c r="AQ219" s="299" cm="1">
        <f t="array" aca="1" ref="AQ219" ca="1">INDIRECT("'"&amp;$C219&amp;"'!"&amp;"$"&amp;$D219&amp;$AQ$1&amp;"")</f>
        <v>3</v>
      </c>
      <c r="AR219" s="300">
        <v>0.98</v>
      </c>
      <c r="AS219" s="298">
        <v>0.42</v>
      </c>
      <c r="AT219" s="302">
        <v>0</v>
      </c>
      <c r="AU219" s="301">
        <v>70.5</v>
      </c>
      <c r="AV219" s="297" t="str" cm="1">
        <f t="array" aca="1" ref="AV219" ca="1">INDIRECT("'"&amp;$C219&amp;"'!"&amp;"$"&amp;$D219&amp;$AT$1&amp;"")</f>
        <v>PMS</v>
      </c>
      <c r="AW219" s="300" t="s">
        <v>1</v>
      </c>
      <c r="AX219" s="301" t="s">
        <v>1</v>
      </c>
      <c r="AY219" s="387">
        <v>69.599999999999994</v>
      </c>
      <c r="AZ219" s="303" cm="1">
        <f t="array" aca="1" ref="AZ219" ca="1">INDIRECT("'"&amp;$C219&amp;"'!"&amp;"$"&amp;$D219&amp;$AY$1&amp;"")</f>
        <v>0</v>
      </c>
      <c r="BA219" s="300" t="s">
        <v>1</v>
      </c>
      <c r="BB219" s="298" t="s">
        <v>1</v>
      </c>
      <c r="BC219" s="299" cm="1">
        <f t="array" aca="1" ref="BC219" ca="1">INDIRECT("'"&amp;$C219&amp;"'!"&amp;"$"&amp;$D219&amp;$BC$1&amp;"")</f>
        <v>0.92</v>
      </c>
      <c r="BD219" s="300"/>
      <c r="BE219" s="300">
        <v>0.99</v>
      </c>
      <c r="BF219" s="298">
        <v>0.1</v>
      </c>
      <c r="BG219" s="299" cm="1">
        <f t="array" aca="1" ref="BG219" ca="1">INDIRECT("'"&amp;$C219&amp;"'!"&amp;"$"&amp;$D219&amp;$BG$1&amp;"")</f>
        <v>0.84</v>
      </c>
      <c r="BH219" s="300"/>
      <c r="BI219" s="300">
        <v>0.96</v>
      </c>
      <c r="BJ219" s="298">
        <v>0.24</v>
      </c>
      <c r="BK219" s="299" cm="1">
        <f t="array" aca="1" ref="BK219" ca="1">INDIRECT("'"&amp;$C219&amp;"'!"&amp;"$"&amp;$D219&amp;$BK$1&amp;"")</f>
        <v>2.89</v>
      </c>
      <c r="BL219" s="300"/>
      <c r="BM219" s="300">
        <v>0.95</v>
      </c>
      <c r="BN219" s="298">
        <v>0.94</v>
      </c>
    </row>
    <row r="220" spans="1:66" ht="15.75" thickBot="1" x14ac:dyDescent="0.25">
      <c r="A220" s="368">
        <v>45697</v>
      </c>
      <c r="B220" s="365">
        <v>0.625</v>
      </c>
      <c r="C220" s="383">
        <v>9</v>
      </c>
      <c r="D220" s="319" t="s">
        <v>125</v>
      </c>
      <c r="E220" s="290">
        <v>14.2</v>
      </c>
      <c r="F220" s="291">
        <v>70.59</v>
      </c>
      <c r="G220" s="292" cm="1">
        <f t="array" aca="1" ref="G220" ca="1">INDIRECT("'"&amp;$C220&amp;"'!"&amp;"$"&amp;$D220&amp;$E$1&amp;"")</f>
        <v>6.3</v>
      </c>
      <c r="H220" s="293">
        <v>0.99</v>
      </c>
      <c r="I220" s="291">
        <v>1.06</v>
      </c>
      <c r="J220" s="292" cm="1">
        <f t="array" aca="1" ref="J220" ca="1">INDIRECT("'"&amp;$C220&amp;"'!"&amp;"$"&amp;$D220&amp;$J$1&amp;"")</f>
        <v>0</v>
      </c>
      <c r="K220" s="293"/>
      <c r="L220" s="293" t="s">
        <v>1</v>
      </c>
      <c r="M220" s="291" t="s">
        <v>1</v>
      </c>
      <c r="N220" s="292" cm="1">
        <f t="array" aca="1" ref="N220" ca="1">INDIRECT("'"&amp;$C220&amp;"'!"&amp;"$"&amp;$D220&amp;$N$1&amp;"")</f>
        <v>6.3</v>
      </c>
      <c r="O220" s="293"/>
      <c r="P220" s="293">
        <v>0.99</v>
      </c>
      <c r="Q220" s="291">
        <v>1.05</v>
      </c>
      <c r="R220" s="292" cm="1">
        <f t="array" aca="1" ref="R220" ca="1">INDIRECT("'"&amp;$C220&amp;"'!"&amp;"$"&amp;$D220&amp;$R$1&amp;"")</f>
        <v>6.3</v>
      </c>
      <c r="S220" s="293"/>
      <c r="T220" s="293">
        <v>0.99</v>
      </c>
      <c r="U220" s="291">
        <v>0.69</v>
      </c>
      <c r="V220" s="292" t="str" cm="1">
        <f t="array" aca="1" ref="V220" ca="1">INDIRECT("'"&amp;$C220&amp;"'!"&amp;"$"&amp;$D220&amp;$V$1&amp;"")</f>
        <v>CMS</v>
      </c>
      <c r="W220" s="293" t="s">
        <v>1</v>
      </c>
      <c r="X220" s="293" t="s">
        <v>1</v>
      </c>
      <c r="Y220" s="294" t="s">
        <v>1</v>
      </c>
      <c r="Z220" s="386" cm="1">
        <f t="array" aca="1" ref="Z220" ca="1">INDIRECT("'"&amp;$C220&amp;"'!"&amp;"$"&amp;$D220&amp;$Z$1&amp;"")</f>
        <v>0</v>
      </c>
      <c r="AA220" s="292" t="s">
        <v>1</v>
      </c>
      <c r="AB220" s="293" t="s">
        <v>1</v>
      </c>
      <c r="AC220" s="291" t="s">
        <v>1</v>
      </c>
      <c r="AD220" s="292" cm="1">
        <f t="array" aca="1" ref="AD220" ca="1">INDIRECT("'"&amp;$C220&amp;"'!"&amp;"$"&amp;$D220&amp;$AD$1&amp;"")</f>
        <v>3</v>
      </c>
      <c r="AE220" s="293">
        <f>3.8*3.61</f>
        <v>13.717999999999998</v>
      </c>
      <c r="AF220" s="293">
        <v>0.98</v>
      </c>
      <c r="AG220" s="291">
        <v>0.54</v>
      </c>
      <c r="AH220" s="290" cm="1">
        <f t="array" aca="1" ref="AH220" ca="1">INDIRECT("'"&amp;$C220&amp;"'!"&amp;"$"&amp;$D220&amp;$AH$1&amp;"")</f>
        <v>3</v>
      </c>
      <c r="AI220" s="293">
        <v>13.96</v>
      </c>
      <c r="AJ220" s="293">
        <v>0.97</v>
      </c>
      <c r="AK220" s="291">
        <v>0.64700000000000002</v>
      </c>
      <c r="AL220" s="290">
        <v>11.9</v>
      </c>
      <c r="AM220" s="294">
        <v>70.7</v>
      </c>
      <c r="AN220" s="290" cm="1">
        <f t="array" aca="1" ref="AN220" ca="1">INDIRECT("'"&amp;$C220&amp;"'!"&amp;"$"&amp;$D220&amp;$AL$1&amp;"")</f>
        <v>2.7</v>
      </c>
      <c r="AO220" s="293">
        <v>0.98</v>
      </c>
      <c r="AP220" s="291">
        <v>0.62</v>
      </c>
      <c r="AQ220" s="292" cm="1">
        <f t="array" aca="1" ref="AQ220" ca="1">INDIRECT("'"&amp;$C220&amp;"'!"&amp;"$"&amp;$D220&amp;$AQ$1&amp;"")</f>
        <v>2.7</v>
      </c>
      <c r="AR220" s="293">
        <v>0.98</v>
      </c>
      <c r="AS220" s="291">
        <v>0.4</v>
      </c>
      <c r="AT220" s="295">
        <v>0</v>
      </c>
      <c r="AU220" s="294">
        <v>70.5</v>
      </c>
      <c r="AV220" s="290" t="str" cm="1">
        <f t="array" aca="1" ref="AV220" ca="1">INDIRECT("'"&amp;$C220&amp;"'!"&amp;"$"&amp;$D220&amp;$AT$1&amp;"")</f>
        <v>PMS</v>
      </c>
      <c r="AW220" s="293" t="s">
        <v>1</v>
      </c>
      <c r="AX220" s="294" t="s">
        <v>1</v>
      </c>
      <c r="AY220" s="386">
        <v>69.8</v>
      </c>
      <c r="AZ220" s="296" cm="1">
        <f t="array" aca="1" ref="AZ220" ca="1">INDIRECT("'"&amp;$C220&amp;"'!"&amp;"$"&amp;$D220&amp;$AY$1&amp;"")</f>
        <v>0</v>
      </c>
      <c r="BA220" s="293" t="s">
        <v>1</v>
      </c>
      <c r="BB220" s="291" t="s">
        <v>1</v>
      </c>
      <c r="BC220" s="292" cm="1">
        <f t="array" aca="1" ref="BC220" ca="1">INDIRECT("'"&amp;$C220&amp;"'!"&amp;"$"&amp;$D220&amp;$BC$1&amp;"")</f>
        <v>0.87</v>
      </c>
      <c r="BD220" s="293"/>
      <c r="BE220" s="293">
        <v>0.99</v>
      </c>
      <c r="BF220" s="291">
        <v>0.09</v>
      </c>
      <c r="BG220" s="292" cm="1">
        <f t="array" aca="1" ref="BG220" ca="1">INDIRECT("'"&amp;$C220&amp;"'!"&amp;"$"&amp;$D220&amp;$BG$1&amp;"")</f>
        <v>0.85</v>
      </c>
      <c r="BH220" s="293"/>
      <c r="BI220" s="293">
        <v>0.96</v>
      </c>
      <c r="BJ220" s="291">
        <v>0.25</v>
      </c>
      <c r="BK220" s="292" cm="1">
        <f t="array" aca="1" ref="BK220" ca="1">INDIRECT("'"&amp;$C220&amp;"'!"&amp;"$"&amp;$D220&amp;$BK$1&amp;"")</f>
        <v>2.89</v>
      </c>
      <c r="BL220" s="293"/>
      <c r="BM220" s="293">
        <v>0.95</v>
      </c>
      <c r="BN220" s="291">
        <v>0.94</v>
      </c>
    </row>
    <row r="221" spans="1:66" ht="15.75" thickBot="1" x14ac:dyDescent="0.25">
      <c r="A221" s="368">
        <v>45697</v>
      </c>
      <c r="B221" s="365">
        <v>0.66666666666666696</v>
      </c>
      <c r="C221" s="383">
        <v>9</v>
      </c>
      <c r="D221" s="319" t="s">
        <v>126</v>
      </c>
      <c r="E221" s="297">
        <v>14.2</v>
      </c>
      <c r="F221" s="298">
        <v>70.16</v>
      </c>
      <c r="G221" s="299" cm="1">
        <f t="array" aca="1" ref="G221" ca="1">INDIRECT("'"&amp;$C221&amp;"'!"&amp;"$"&amp;$D221&amp;$E$1&amp;"")</f>
        <v>6.7</v>
      </c>
      <c r="H221" s="300">
        <v>0.97</v>
      </c>
      <c r="I221" s="298">
        <v>1.22</v>
      </c>
      <c r="J221" s="299" cm="1">
        <f t="array" aca="1" ref="J221" ca="1">INDIRECT("'"&amp;$C221&amp;"'!"&amp;"$"&amp;$D221&amp;$J$1&amp;"")</f>
        <v>0</v>
      </c>
      <c r="K221" s="300"/>
      <c r="L221" s="300" t="s">
        <v>1</v>
      </c>
      <c r="M221" s="298" t="s">
        <v>1</v>
      </c>
      <c r="N221" s="299" cm="1">
        <f t="array" aca="1" ref="N221" ca="1">INDIRECT("'"&amp;$C221&amp;"'!"&amp;"$"&amp;$D221&amp;$N$1&amp;"")</f>
        <v>6.7</v>
      </c>
      <c r="O221" s="300"/>
      <c r="P221" s="300">
        <v>0.97</v>
      </c>
      <c r="Q221" s="298">
        <v>1.23</v>
      </c>
      <c r="R221" s="299" cm="1">
        <f t="array" aca="1" ref="R221" ca="1">INDIRECT("'"&amp;$C221&amp;"'!"&amp;"$"&amp;$D221&amp;$R$1&amp;"")</f>
        <v>6.7</v>
      </c>
      <c r="S221" s="300"/>
      <c r="T221" s="300">
        <v>0.97</v>
      </c>
      <c r="U221" s="298">
        <v>1.22</v>
      </c>
      <c r="V221" s="299" t="str" cm="1">
        <f t="array" aca="1" ref="V221" ca="1">INDIRECT("'"&amp;$C221&amp;"'!"&amp;"$"&amp;$D221&amp;$V$1&amp;"")</f>
        <v>CMS</v>
      </c>
      <c r="W221" s="300" t="s">
        <v>1</v>
      </c>
      <c r="X221" s="300" t="s">
        <v>1</v>
      </c>
      <c r="Y221" s="301" t="s">
        <v>1</v>
      </c>
      <c r="Z221" s="387" cm="1">
        <f t="array" aca="1" ref="Z221" ca="1">INDIRECT("'"&amp;$C221&amp;"'!"&amp;"$"&amp;$D221&amp;$Z$1&amp;"")</f>
        <v>0</v>
      </c>
      <c r="AA221" s="299" t="s">
        <v>1</v>
      </c>
      <c r="AB221" s="300" t="s">
        <v>1</v>
      </c>
      <c r="AC221" s="298" t="s">
        <v>1</v>
      </c>
      <c r="AD221" s="299" cm="1">
        <f t="array" aca="1" ref="AD221" ca="1">INDIRECT("'"&amp;$C221&amp;"'!"&amp;"$"&amp;$D221&amp;$AD$1&amp;"")</f>
        <v>3.3</v>
      </c>
      <c r="AE221" s="300">
        <f>3.8*3.58</f>
        <v>13.603999999999999</v>
      </c>
      <c r="AF221" s="300">
        <v>0.96</v>
      </c>
      <c r="AG221" s="298">
        <v>0.93</v>
      </c>
      <c r="AH221" s="297" cm="1">
        <f t="array" aca="1" ref="AH221" ca="1">INDIRECT("'"&amp;$C221&amp;"'!"&amp;"$"&amp;$D221&amp;$AH$1&amp;"")</f>
        <v>3.8</v>
      </c>
      <c r="AI221" s="300">
        <v>13.96</v>
      </c>
      <c r="AJ221" s="300">
        <v>0.97</v>
      </c>
      <c r="AK221" s="298">
        <v>0.64</v>
      </c>
      <c r="AL221" s="297">
        <v>11.9</v>
      </c>
      <c r="AM221" s="301">
        <v>70.599999999999994</v>
      </c>
      <c r="AN221" s="297" cm="1">
        <f t="array" aca="1" ref="AN221" ca="1">INDIRECT("'"&amp;$C221&amp;"'!"&amp;"$"&amp;$D221&amp;$AL$1&amp;"")</f>
        <v>4.2</v>
      </c>
      <c r="AO221" s="300">
        <v>0.98</v>
      </c>
      <c r="AP221" s="298">
        <v>0.77</v>
      </c>
      <c r="AQ221" s="299" cm="1">
        <f t="array" aca="1" ref="AQ221" ca="1">INDIRECT("'"&amp;$C221&amp;"'!"&amp;"$"&amp;$D221&amp;$AQ$1&amp;"")</f>
        <v>4.2</v>
      </c>
      <c r="AR221" s="300">
        <v>0.99</v>
      </c>
      <c r="AS221" s="298">
        <v>0.54</v>
      </c>
      <c r="AT221" s="302">
        <v>0</v>
      </c>
      <c r="AU221" s="301">
        <v>70.5</v>
      </c>
      <c r="AV221" s="297" t="str" cm="1">
        <f t="array" aca="1" ref="AV221" ca="1">INDIRECT("'"&amp;$C221&amp;"'!"&amp;"$"&amp;$D221&amp;$AT$1&amp;"")</f>
        <v>PMS</v>
      </c>
      <c r="AW221" s="300" t="s">
        <v>1</v>
      </c>
      <c r="AX221" s="301" t="s">
        <v>1</v>
      </c>
      <c r="AY221" s="387">
        <v>69.2</v>
      </c>
      <c r="AZ221" s="303" cm="1">
        <f t="array" aca="1" ref="AZ221" ca="1">INDIRECT("'"&amp;$C221&amp;"'!"&amp;"$"&amp;$D221&amp;$AY$1&amp;"")</f>
        <v>0</v>
      </c>
      <c r="BA221" s="300">
        <v>0</v>
      </c>
      <c r="BB221" s="298">
        <v>0</v>
      </c>
      <c r="BC221" s="299" cm="1">
        <f t="array" aca="1" ref="BC221" ca="1">INDIRECT("'"&amp;$C221&amp;"'!"&amp;"$"&amp;$D221&amp;$BC$1&amp;"")</f>
        <v>0.89</v>
      </c>
      <c r="BD221" s="300"/>
      <c r="BE221" s="300">
        <v>0.99</v>
      </c>
      <c r="BF221" s="298">
        <v>0.08</v>
      </c>
      <c r="BG221" s="299" cm="1">
        <f t="array" aca="1" ref="BG221" ca="1">INDIRECT("'"&amp;$C221&amp;"'!"&amp;"$"&amp;$D221&amp;$BG$1&amp;"")</f>
        <v>0.86</v>
      </c>
      <c r="BH221" s="300"/>
      <c r="BI221" s="300">
        <v>0.96</v>
      </c>
      <c r="BJ221" s="298">
        <v>0.25</v>
      </c>
      <c r="BK221" s="299" cm="1">
        <f t="array" aca="1" ref="BK221" ca="1">INDIRECT("'"&amp;$C221&amp;"'!"&amp;"$"&amp;$D221&amp;$BK$1&amp;"")</f>
        <v>2.77</v>
      </c>
      <c r="BL221" s="300"/>
      <c r="BM221" s="300">
        <v>0.95</v>
      </c>
      <c r="BN221" s="298">
        <v>0.91</v>
      </c>
    </row>
    <row r="222" spans="1:66" ht="15.75" thickBot="1" x14ac:dyDescent="0.25">
      <c r="A222" s="368">
        <v>45697</v>
      </c>
      <c r="B222" s="365">
        <v>0.70833333333333404</v>
      </c>
      <c r="C222" s="383">
        <v>9</v>
      </c>
      <c r="D222" s="319" t="s">
        <v>127</v>
      </c>
      <c r="E222" s="290">
        <v>14.2</v>
      </c>
      <c r="F222" s="291">
        <v>70.58</v>
      </c>
      <c r="G222" s="292" cm="1">
        <f t="array" aca="1" ref="G222" ca="1">INDIRECT("'"&amp;$C222&amp;"'!"&amp;"$"&amp;$D222&amp;$E$1&amp;"")</f>
        <v>6.7</v>
      </c>
      <c r="H222" s="293">
        <v>0.99</v>
      </c>
      <c r="I222" s="291">
        <v>1.1200000000000001</v>
      </c>
      <c r="J222" s="292" cm="1">
        <f t="array" aca="1" ref="J222" ca="1">INDIRECT("'"&amp;$C222&amp;"'!"&amp;"$"&amp;$D222&amp;$J$1&amp;"")</f>
        <v>0</v>
      </c>
      <c r="K222" s="293"/>
      <c r="L222" s="293" t="s">
        <v>1</v>
      </c>
      <c r="M222" s="291" t="s">
        <v>1</v>
      </c>
      <c r="N222" s="292" cm="1">
        <f t="array" aca="1" ref="N222" ca="1">INDIRECT("'"&amp;$C222&amp;"'!"&amp;"$"&amp;$D222&amp;$N$1&amp;"")</f>
        <v>6.7</v>
      </c>
      <c r="O222" s="293"/>
      <c r="P222" s="293">
        <v>0.99</v>
      </c>
      <c r="Q222" s="291">
        <v>1.1299999999999999</v>
      </c>
      <c r="R222" s="292" cm="1">
        <f t="array" aca="1" ref="R222" ca="1">INDIRECT("'"&amp;$C222&amp;"'!"&amp;"$"&amp;$D222&amp;$R$1&amp;"")</f>
        <v>6.7</v>
      </c>
      <c r="S222" s="293"/>
      <c r="T222" s="293">
        <v>0.99</v>
      </c>
      <c r="U222" s="291">
        <v>1.21</v>
      </c>
      <c r="V222" s="292" t="str" cm="1">
        <f t="array" aca="1" ref="V222" ca="1">INDIRECT("'"&amp;$C222&amp;"'!"&amp;"$"&amp;$D222&amp;$V$1&amp;"")</f>
        <v>CMS</v>
      </c>
      <c r="W222" s="293" t="s">
        <v>1</v>
      </c>
      <c r="X222" s="293" t="s">
        <v>1</v>
      </c>
      <c r="Y222" s="294" t="s">
        <v>1</v>
      </c>
      <c r="Z222" s="386" cm="1">
        <f t="array" aca="1" ref="Z222" ca="1">INDIRECT("'"&amp;$C222&amp;"'!"&amp;"$"&amp;$D222&amp;$Z$1&amp;"")</f>
        <v>0</v>
      </c>
      <c r="AA222" s="292" t="s">
        <v>1</v>
      </c>
      <c r="AB222" s="293" t="s">
        <v>1</v>
      </c>
      <c r="AC222" s="291" t="s">
        <v>1</v>
      </c>
      <c r="AD222" s="292" cm="1">
        <f t="array" aca="1" ref="AD222" ca="1">INDIRECT("'"&amp;$C222&amp;"'!"&amp;"$"&amp;$D222&amp;$AD$1&amp;"")</f>
        <v>3.3</v>
      </c>
      <c r="AE222" s="293">
        <f>3.8*3.6</f>
        <v>13.68</v>
      </c>
      <c r="AF222" s="293">
        <v>0.96</v>
      </c>
      <c r="AG222" s="291">
        <v>0.91</v>
      </c>
      <c r="AH222" s="290" cm="1">
        <f t="array" aca="1" ref="AH222" ca="1">INDIRECT("'"&amp;$C222&amp;"'!"&amp;"$"&amp;$D222&amp;$AH$1&amp;"")</f>
        <v>3.8</v>
      </c>
      <c r="AI222" s="293">
        <v>13.96</v>
      </c>
      <c r="AJ222" s="293">
        <v>0.98</v>
      </c>
      <c r="AK222" s="291">
        <v>0.51500000000000001</v>
      </c>
      <c r="AL222" s="290">
        <v>11.9</v>
      </c>
      <c r="AM222" s="294">
        <v>70.8</v>
      </c>
      <c r="AN222" s="290" cm="1">
        <f t="array" aca="1" ref="AN222" ca="1">INDIRECT("'"&amp;$C222&amp;"'!"&amp;"$"&amp;$D222&amp;$AL$1&amp;"")</f>
        <v>4.3</v>
      </c>
      <c r="AO222" s="293">
        <v>0.99</v>
      </c>
      <c r="AP222" s="291">
        <v>0.67</v>
      </c>
      <c r="AQ222" s="292" cm="1">
        <f t="array" aca="1" ref="AQ222" ca="1">INDIRECT("'"&amp;$C222&amp;"'!"&amp;"$"&amp;$D222&amp;$AQ$1&amp;"")</f>
        <v>4.3</v>
      </c>
      <c r="AR222" s="293">
        <v>0.99</v>
      </c>
      <c r="AS222" s="291">
        <v>0.42</v>
      </c>
      <c r="AT222" s="295">
        <v>0</v>
      </c>
      <c r="AU222" s="294">
        <v>70.5</v>
      </c>
      <c r="AV222" s="290" t="str" cm="1">
        <f t="array" aca="1" ref="AV222" ca="1">INDIRECT("'"&amp;$C222&amp;"'!"&amp;"$"&amp;$D222&amp;$AT$1&amp;"")</f>
        <v>PMS</v>
      </c>
      <c r="AW222" s="293" t="s">
        <v>1</v>
      </c>
      <c r="AX222" s="294" t="s">
        <v>1</v>
      </c>
      <c r="AY222" s="386">
        <v>69.7</v>
      </c>
      <c r="AZ222" s="296" cm="1">
        <f t="array" aca="1" ref="AZ222" ca="1">INDIRECT("'"&amp;$C222&amp;"'!"&amp;"$"&amp;$D222&amp;$AY$1&amp;"")</f>
        <v>2.2999999999999998</v>
      </c>
      <c r="BA222" s="293">
        <v>0.96</v>
      </c>
      <c r="BB222" s="291">
        <v>0.67</v>
      </c>
      <c r="BC222" s="292" cm="1">
        <f t="array" aca="1" ref="BC222" ca="1">INDIRECT("'"&amp;$C222&amp;"'!"&amp;"$"&amp;$D222&amp;$BC$1&amp;"")</f>
        <v>0.98</v>
      </c>
      <c r="BD222" s="293"/>
      <c r="BE222" s="293">
        <v>0.99</v>
      </c>
      <c r="BF222" s="291">
        <v>0.08</v>
      </c>
      <c r="BG222" s="292" cm="1">
        <f t="array" aca="1" ref="BG222" ca="1">INDIRECT("'"&amp;$C222&amp;"'!"&amp;"$"&amp;$D222&amp;$BG$1&amp;"")</f>
        <v>0.82</v>
      </c>
      <c r="BH222" s="293"/>
      <c r="BI222" s="293">
        <v>0.96</v>
      </c>
      <c r="BJ222" s="291">
        <v>0.24</v>
      </c>
      <c r="BK222" s="292" cm="1">
        <f t="array" aca="1" ref="BK222" ca="1">INDIRECT("'"&amp;$C222&amp;"'!"&amp;"$"&amp;$D222&amp;$BK$1&amp;"")</f>
        <v>2.9</v>
      </c>
      <c r="BL222" s="293"/>
      <c r="BM222" s="293">
        <v>0.95</v>
      </c>
      <c r="BN222" s="291">
        <v>0.95</v>
      </c>
    </row>
    <row r="223" spans="1:66" ht="15.75" thickBot="1" x14ac:dyDescent="0.25">
      <c r="A223" s="368">
        <v>45697</v>
      </c>
      <c r="B223" s="365">
        <v>0.750000000000001</v>
      </c>
      <c r="C223" s="383">
        <v>9</v>
      </c>
      <c r="D223" s="319" t="s">
        <v>128</v>
      </c>
      <c r="E223" s="297">
        <v>14.2</v>
      </c>
      <c r="F223" s="298">
        <v>70.34</v>
      </c>
      <c r="G223" s="299" cm="1">
        <f t="array" aca="1" ref="G223" ca="1">INDIRECT("'"&amp;$C223&amp;"'!"&amp;"$"&amp;$D223&amp;$E$1&amp;"")</f>
        <v>6.7</v>
      </c>
      <c r="H223" s="300">
        <v>0.99</v>
      </c>
      <c r="I223" s="298">
        <v>1.0900000000000001</v>
      </c>
      <c r="J223" s="299" cm="1">
        <f t="array" aca="1" ref="J223" ca="1">INDIRECT("'"&amp;$C223&amp;"'!"&amp;"$"&amp;$D223&amp;$J$1&amp;"")</f>
        <v>0</v>
      </c>
      <c r="K223" s="300"/>
      <c r="L223" s="300" t="s">
        <v>1</v>
      </c>
      <c r="M223" s="298" t="s">
        <v>1</v>
      </c>
      <c r="N223" s="299" cm="1">
        <f t="array" aca="1" ref="N223" ca="1">INDIRECT("'"&amp;$C223&amp;"'!"&amp;"$"&amp;$D223&amp;$N$1&amp;"")</f>
        <v>6.7</v>
      </c>
      <c r="O223" s="300"/>
      <c r="P223" s="300">
        <v>0.99</v>
      </c>
      <c r="Q223" s="298">
        <v>1.1200000000000001</v>
      </c>
      <c r="R223" s="299" cm="1">
        <f t="array" aca="1" ref="R223" ca="1">INDIRECT("'"&amp;$C223&amp;"'!"&amp;"$"&amp;$D223&amp;$R$1&amp;"")</f>
        <v>6.7</v>
      </c>
      <c r="S223" s="300"/>
      <c r="T223" s="300">
        <v>0.99</v>
      </c>
      <c r="U223" s="298">
        <v>1.1200000000000001</v>
      </c>
      <c r="V223" s="299" t="str" cm="1">
        <f t="array" aca="1" ref="V223" ca="1">INDIRECT("'"&amp;$C223&amp;"'!"&amp;"$"&amp;$D223&amp;$V$1&amp;"")</f>
        <v>CMS</v>
      </c>
      <c r="W223" s="300" t="s">
        <v>1</v>
      </c>
      <c r="X223" s="300" t="s">
        <v>1</v>
      </c>
      <c r="Y223" s="301" t="s">
        <v>1</v>
      </c>
      <c r="Z223" s="387" cm="1">
        <f t="array" aca="1" ref="Z223" ca="1">INDIRECT("'"&amp;$C223&amp;"'!"&amp;"$"&amp;$D223&amp;$Z$1&amp;"")</f>
        <v>0</v>
      </c>
      <c r="AA223" s="299" t="s">
        <v>1</v>
      </c>
      <c r="AB223" s="300" t="s">
        <v>1</v>
      </c>
      <c r="AC223" s="298" t="s">
        <v>1</v>
      </c>
      <c r="AD223" s="299" cm="1">
        <f t="array" aca="1" ref="AD223" ca="1">INDIRECT("'"&amp;$C223&amp;"'!"&amp;"$"&amp;$D223&amp;$AD$1&amp;"")</f>
        <v>3.3</v>
      </c>
      <c r="AE223" s="300">
        <f>3.8*3.58</f>
        <v>13.603999999999999</v>
      </c>
      <c r="AF223" s="300">
        <v>0.96</v>
      </c>
      <c r="AG223" s="298">
        <v>0.92</v>
      </c>
      <c r="AH223" s="297" cm="1">
        <f t="array" aca="1" ref="AH223" ca="1">INDIRECT("'"&amp;$C223&amp;"'!"&amp;"$"&amp;$D223&amp;$AH$1&amp;"")</f>
        <v>3.8</v>
      </c>
      <c r="AI223" s="300">
        <v>13.96</v>
      </c>
      <c r="AJ223" s="300">
        <v>0.98</v>
      </c>
      <c r="AK223" s="298">
        <v>0.53</v>
      </c>
      <c r="AL223" s="297">
        <v>11.9</v>
      </c>
      <c r="AM223" s="301">
        <v>70.599999999999994</v>
      </c>
      <c r="AN223" s="297" cm="1">
        <f t="array" aca="1" ref="AN223" ca="1">INDIRECT("'"&amp;$C223&amp;"'!"&amp;"$"&amp;$D223&amp;$AL$1&amp;"")</f>
        <v>4</v>
      </c>
      <c r="AO223" s="300">
        <v>0.99</v>
      </c>
      <c r="AP223" s="298">
        <v>0.74</v>
      </c>
      <c r="AQ223" s="299" cm="1">
        <f t="array" aca="1" ref="AQ223" ca="1">INDIRECT("'"&amp;$C223&amp;"'!"&amp;"$"&amp;$D223&amp;$AQ$1&amp;"")</f>
        <v>4</v>
      </c>
      <c r="AR223" s="300">
        <v>0.99</v>
      </c>
      <c r="AS223" s="298">
        <v>0.56000000000000005</v>
      </c>
      <c r="AT223" s="302">
        <v>0</v>
      </c>
      <c r="AU223" s="301">
        <v>70.5</v>
      </c>
      <c r="AV223" s="297" t="str" cm="1">
        <f t="array" aca="1" ref="AV223" ca="1">INDIRECT("'"&amp;$C223&amp;"'!"&amp;"$"&amp;$D223&amp;$AT$1&amp;"")</f>
        <v>PMS</v>
      </c>
      <c r="AW223" s="300" t="s">
        <v>1</v>
      </c>
      <c r="AX223" s="301" t="s">
        <v>1</v>
      </c>
      <c r="AY223" s="387">
        <v>69.2</v>
      </c>
      <c r="AZ223" s="303" cm="1">
        <f t="array" aca="1" ref="AZ223" ca="1">INDIRECT("'"&amp;$C223&amp;"'!"&amp;"$"&amp;$D223&amp;$AY$1&amp;"")</f>
        <v>3.7</v>
      </c>
      <c r="BA223" s="300">
        <v>0.97</v>
      </c>
      <c r="BB223" s="298">
        <v>0.92</v>
      </c>
      <c r="BC223" s="299" cm="1">
        <f t="array" aca="1" ref="BC223" ca="1">INDIRECT("'"&amp;$C223&amp;"'!"&amp;"$"&amp;$D223&amp;$BC$1&amp;"")</f>
        <v>1.07</v>
      </c>
      <c r="BD223" s="300"/>
      <c r="BE223" s="300">
        <v>0.99</v>
      </c>
      <c r="BF223" s="298">
        <v>0.1</v>
      </c>
      <c r="BG223" s="299" cm="1">
        <f t="array" aca="1" ref="BG223" ca="1">INDIRECT("'"&amp;$C223&amp;"'!"&amp;"$"&amp;$D223&amp;$BG$1&amp;"")</f>
        <v>0.84</v>
      </c>
      <c r="BH223" s="300"/>
      <c r="BI223" s="300">
        <v>0.96</v>
      </c>
      <c r="BJ223" s="298">
        <v>0.24</v>
      </c>
      <c r="BK223" s="299" cm="1">
        <f t="array" aca="1" ref="BK223" ca="1">INDIRECT("'"&amp;$C223&amp;"'!"&amp;"$"&amp;$D223&amp;$BK$1&amp;"")</f>
        <v>2.7</v>
      </c>
      <c r="BL223" s="300"/>
      <c r="BM223" s="300">
        <v>0.95</v>
      </c>
      <c r="BN223" s="298">
        <v>0.88</v>
      </c>
    </row>
    <row r="224" spans="1:66" ht="15.75" thickBot="1" x14ac:dyDescent="0.25">
      <c r="A224" s="368">
        <v>45697</v>
      </c>
      <c r="B224" s="365">
        <v>0.79166666666666696</v>
      </c>
      <c r="C224" s="383">
        <v>9</v>
      </c>
      <c r="D224" s="319" t="s">
        <v>129</v>
      </c>
      <c r="E224" s="290">
        <v>14.2</v>
      </c>
      <c r="F224" s="291">
        <v>70.78</v>
      </c>
      <c r="G224" s="292" cm="1">
        <f t="array" aca="1" ref="G224" ca="1">INDIRECT("'"&amp;$C224&amp;"'!"&amp;"$"&amp;$D224&amp;$E$1&amp;"")</f>
        <v>6.5</v>
      </c>
      <c r="H224" s="293">
        <v>0.99</v>
      </c>
      <c r="I224" s="291">
        <v>0.94</v>
      </c>
      <c r="J224" s="292" cm="1">
        <f t="array" aca="1" ref="J224" ca="1">INDIRECT("'"&amp;$C224&amp;"'!"&amp;"$"&amp;$D224&amp;$J$1&amp;"")</f>
        <v>0</v>
      </c>
      <c r="K224" s="304"/>
      <c r="L224" s="293" t="s">
        <v>1</v>
      </c>
      <c r="M224" s="291" t="s">
        <v>1</v>
      </c>
      <c r="N224" s="292" cm="1">
        <f t="array" aca="1" ref="N224" ca="1">INDIRECT("'"&amp;$C224&amp;"'!"&amp;"$"&amp;$D224&amp;$N$1&amp;"")</f>
        <v>6.6</v>
      </c>
      <c r="O224" s="293"/>
      <c r="P224" s="293">
        <v>0.99</v>
      </c>
      <c r="Q224" s="291">
        <v>0.98</v>
      </c>
      <c r="R224" s="292" cm="1">
        <f t="array" aca="1" ref="R224" ca="1">INDIRECT("'"&amp;$C224&amp;"'!"&amp;"$"&amp;$D224&amp;$R$1&amp;"")</f>
        <v>6.5</v>
      </c>
      <c r="S224" s="293"/>
      <c r="T224" s="293">
        <v>0.99</v>
      </c>
      <c r="U224" s="291">
        <v>0.73</v>
      </c>
      <c r="V224" s="292" t="str" cm="1">
        <f t="array" aca="1" ref="V224" ca="1">INDIRECT("'"&amp;$C224&amp;"'!"&amp;"$"&amp;$D224&amp;$V$1&amp;"")</f>
        <v>CMS</v>
      </c>
      <c r="W224" s="293" t="s">
        <v>1</v>
      </c>
      <c r="X224" s="293" t="s">
        <v>1</v>
      </c>
      <c r="Y224" s="294" t="s">
        <v>1</v>
      </c>
      <c r="Z224" s="386" cm="1">
        <f t="array" aca="1" ref="Z224" ca="1">INDIRECT("'"&amp;$C224&amp;"'!"&amp;"$"&amp;$D224&amp;$Z$1&amp;"")</f>
        <v>0</v>
      </c>
      <c r="AA224" s="292" t="s">
        <v>1</v>
      </c>
      <c r="AB224" s="293" t="s">
        <v>1</v>
      </c>
      <c r="AC224" s="291" t="s">
        <v>1</v>
      </c>
      <c r="AD224" s="292" cm="1">
        <f t="array" aca="1" ref="AD224" ca="1">INDIRECT("'"&amp;$C224&amp;"'!"&amp;"$"&amp;$D224&amp;$AD$1&amp;"")</f>
        <v>3.3</v>
      </c>
      <c r="AE224" s="293">
        <f>3.8*3.61</f>
        <v>13.717999999999998</v>
      </c>
      <c r="AF224" s="293">
        <v>0.98</v>
      </c>
      <c r="AG224" s="291">
        <v>0.61099999999999999</v>
      </c>
      <c r="AH224" s="290" cm="1">
        <f t="array" aca="1" ref="AH224" ca="1">INDIRECT("'"&amp;$C224&amp;"'!"&amp;"$"&amp;$D224&amp;$AH$1&amp;"")</f>
        <v>3.8</v>
      </c>
      <c r="AI224" s="293">
        <v>14</v>
      </c>
      <c r="AJ224" s="293">
        <v>0.99</v>
      </c>
      <c r="AK224" s="291">
        <v>0.38900000000000001</v>
      </c>
      <c r="AL224" s="290">
        <v>11.9</v>
      </c>
      <c r="AM224" s="294">
        <v>70.8</v>
      </c>
      <c r="AN224" s="290" cm="1">
        <f t="array" aca="1" ref="AN224" ca="1">INDIRECT("'"&amp;$C224&amp;"'!"&amp;"$"&amp;$D224&amp;$AL$1&amp;"")</f>
        <v>3.8</v>
      </c>
      <c r="AO224" s="293">
        <v>0.98</v>
      </c>
      <c r="AP224" s="291">
        <v>0.51</v>
      </c>
      <c r="AQ224" s="292" cm="1">
        <f t="array" aca="1" ref="AQ224" ca="1">INDIRECT("'"&amp;$C224&amp;"'!"&amp;"$"&amp;$D224&amp;$AQ$1&amp;"")</f>
        <v>3.8</v>
      </c>
      <c r="AR224" s="293">
        <v>0.99</v>
      </c>
      <c r="AS224" s="291">
        <v>0.33</v>
      </c>
      <c r="AT224" s="295">
        <v>0</v>
      </c>
      <c r="AU224" s="294">
        <v>70.5</v>
      </c>
      <c r="AV224" s="290" t="str" cm="1">
        <f t="array" aca="1" ref="AV224" ca="1">INDIRECT("'"&amp;$C224&amp;"'!"&amp;"$"&amp;$D224&amp;$AT$1&amp;"")</f>
        <v>PMS</v>
      </c>
      <c r="AW224" s="293" t="s">
        <v>1</v>
      </c>
      <c r="AX224" s="294" t="s">
        <v>1</v>
      </c>
      <c r="AY224" s="386">
        <v>69.8</v>
      </c>
      <c r="AZ224" s="296" cm="1">
        <f t="array" aca="1" ref="AZ224" ca="1">INDIRECT("'"&amp;$C224&amp;"'!"&amp;"$"&amp;$D224&amp;$AY$1&amp;"")</f>
        <v>6.7999999999999989</v>
      </c>
      <c r="BA224" s="293">
        <v>0.97</v>
      </c>
      <c r="BB224" s="291">
        <v>1.7</v>
      </c>
      <c r="BC224" s="292" cm="1">
        <f t="array" aca="1" ref="BC224" ca="1">INDIRECT("'"&amp;$C224&amp;"'!"&amp;"$"&amp;$D224&amp;$BC$1&amp;"")</f>
        <v>1.1399999999999999</v>
      </c>
      <c r="BD224" s="293"/>
      <c r="BE224" s="293">
        <v>0.99</v>
      </c>
      <c r="BF224" s="291">
        <v>0.1</v>
      </c>
      <c r="BG224" s="292" cm="1">
        <f t="array" aca="1" ref="BG224" ca="1">INDIRECT("'"&amp;$C224&amp;"'!"&amp;"$"&amp;$D224&amp;$BG$1&amp;"")</f>
        <v>0.98</v>
      </c>
      <c r="BH224" s="293"/>
      <c r="BI224" s="293">
        <v>0.97</v>
      </c>
      <c r="BJ224" s="291">
        <v>0.25</v>
      </c>
      <c r="BK224" s="292" cm="1">
        <f t="array" aca="1" ref="BK224" ca="1">INDIRECT("'"&amp;$C224&amp;"'!"&amp;"$"&amp;$D224&amp;$BK$1&amp;"")</f>
        <v>3.35</v>
      </c>
      <c r="BL224" s="293"/>
      <c r="BM224" s="293">
        <v>0.95</v>
      </c>
      <c r="BN224" s="291">
        <v>1.1000000000000001</v>
      </c>
    </row>
    <row r="225" spans="1:66" ht="15.75" thickBot="1" x14ac:dyDescent="0.25">
      <c r="A225" s="368">
        <v>45697</v>
      </c>
      <c r="B225" s="365">
        <v>0.83333333333333337</v>
      </c>
      <c r="C225" s="383">
        <v>9</v>
      </c>
      <c r="D225" s="319" t="s">
        <v>130</v>
      </c>
      <c r="E225" s="297">
        <v>14.2</v>
      </c>
      <c r="F225" s="298">
        <v>70.010000000000005</v>
      </c>
      <c r="G225" s="299" cm="1">
        <f t="array" aca="1" ref="G225" ca="1">INDIRECT("'"&amp;$C225&amp;"'!"&amp;"$"&amp;$D225&amp;$E$1&amp;"")</f>
        <v>6.7</v>
      </c>
      <c r="H225" s="300">
        <v>0.99</v>
      </c>
      <c r="I225" s="298">
        <v>1.01</v>
      </c>
      <c r="J225" s="299" cm="1">
        <f t="array" aca="1" ref="J225" ca="1">INDIRECT("'"&amp;$C225&amp;"'!"&amp;"$"&amp;$D225&amp;$J$1&amp;"")</f>
        <v>0</v>
      </c>
      <c r="K225" s="300"/>
      <c r="L225" s="300" t="s">
        <v>1</v>
      </c>
      <c r="M225" s="298" t="s">
        <v>1</v>
      </c>
      <c r="N225" s="299" cm="1">
        <f t="array" aca="1" ref="N225" ca="1">INDIRECT("'"&amp;$C225&amp;"'!"&amp;"$"&amp;$D225&amp;$N$1&amp;"")</f>
        <v>6.7</v>
      </c>
      <c r="O225" s="300"/>
      <c r="P225" s="300">
        <v>0.99</v>
      </c>
      <c r="Q225" s="298">
        <v>1</v>
      </c>
      <c r="R225" s="299" cm="1">
        <f t="array" aca="1" ref="R225" ca="1">INDIRECT("'"&amp;$C225&amp;"'!"&amp;"$"&amp;$D225&amp;$R$1&amp;"")</f>
        <v>6.7</v>
      </c>
      <c r="S225" s="300"/>
      <c r="T225" s="300">
        <v>0.99</v>
      </c>
      <c r="U225" s="298">
        <v>1.02</v>
      </c>
      <c r="V225" s="299" t="str" cm="1">
        <f t="array" aca="1" ref="V225" ca="1">INDIRECT("'"&amp;$C225&amp;"'!"&amp;"$"&amp;$D225&amp;$V$1&amp;"")</f>
        <v>CMS</v>
      </c>
      <c r="W225" s="300" t="s">
        <v>1</v>
      </c>
      <c r="X225" s="300" t="s">
        <v>1</v>
      </c>
      <c r="Y225" s="301" t="s">
        <v>1</v>
      </c>
      <c r="Z225" s="387" cm="1">
        <f t="array" aca="1" ref="Z225" ca="1">INDIRECT("'"&amp;$C225&amp;"'!"&amp;"$"&amp;$D225&amp;$Z$1&amp;"")</f>
        <v>0</v>
      </c>
      <c r="AA225" s="299" t="s">
        <v>1</v>
      </c>
      <c r="AB225" s="300" t="s">
        <v>1</v>
      </c>
      <c r="AC225" s="298" t="s">
        <v>1</v>
      </c>
      <c r="AD225" s="299" cm="1">
        <f t="array" aca="1" ref="AD225" ca="1">INDIRECT("'"&amp;$C225&amp;"'!"&amp;"$"&amp;$D225&amp;$AD$1&amp;"")</f>
        <v>3.3</v>
      </c>
      <c r="AE225" s="300">
        <f>3.8*3.61</f>
        <v>13.717999999999998</v>
      </c>
      <c r="AF225" s="300">
        <v>0.98</v>
      </c>
      <c r="AG225" s="298">
        <v>0.59</v>
      </c>
      <c r="AH225" s="297" cm="1">
        <f t="array" aca="1" ref="AH225" ca="1">INDIRECT("'"&amp;$C225&amp;"'!"&amp;"$"&amp;$D225&amp;$AH$1&amp;"")</f>
        <v>3.8</v>
      </c>
      <c r="AI225" s="300">
        <v>14</v>
      </c>
      <c r="AJ225" s="300">
        <v>0.99</v>
      </c>
      <c r="AK225" s="298">
        <v>0.441</v>
      </c>
      <c r="AL225" s="297">
        <v>11.9</v>
      </c>
      <c r="AM225" s="301">
        <v>70.8</v>
      </c>
      <c r="AN225" s="297" cm="1">
        <f t="array" aca="1" ref="AN225" ca="1">INDIRECT("'"&amp;$C225&amp;"'!"&amp;"$"&amp;$D225&amp;$AL$1&amp;"")</f>
        <v>3.9</v>
      </c>
      <c r="AO225" s="300">
        <v>0.99</v>
      </c>
      <c r="AP225" s="298">
        <v>0.52</v>
      </c>
      <c r="AQ225" s="299" cm="1">
        <f t="array" aca="1" ref="AQ225" ca="1">INDIRECT("'"&amp;$C225&amp;"'!"&amp;"$"&amp;$D225&amp;$AQ$1&amp;"")</f>
        <v>3.9</v>
      </c>
      <c r="AR225" s="300">
        <v>0.99</v>
      </c>
      <c r="AS225" s="298">
        <v>0.3</v>
      </c>
      <c r="AT225" s="302">
        <v>0</v>
      </c>
      <c r="AU225" s="301">
        <v>70.5</v>
      </c>
      <c r="AV225" s="297" t="str" cm="1">
        <f t="array" aca="1" ref="AV225" ca="1">INDIRECT("'"&amp;$C225&amp;"'!"&amp;"$"&amp;$D225&amp;$AT$1&amp;"")</f>
        <v>PMS</v>
      </c>
      <c r="AW225" s="300" t="s">
        <v>1</v>
      </c>
      <c r="AX225" s="301" t="s">
        <v>1</v>
      </c>
      <c r="AY225" s="387">
        <v>69.7</v>
      </c>
      <c r="AZ225" s="303" cm="1">
        <f t="array" aca="1" ref="AZ225" ca="1">INDIRECT("'"&amp;$C225&amp;"'!"&amp;"$"&amp;$D225&amp;$AY$1&amp;"")</f>
        <v>3.5999999999999996</v>
      </c>
      <c r="BA225" s="300">
        <v>0.97</v>
      </c>
      <c r="BB225" s="298">
        <v>0.9</v>
      </c>
      <c r="BC225" s="299" cm="1">
        <f t="array" aca="1" ref="BC225" ca="1">INDIRECT("'"&amp;$C225&amp;"'!"&amp;"$"&amp;$D225&amp;$BC$1&amp;"")</f>
        <v>1.05</v>
      </c>
      <c r="BD225" s="300"/>
      <c r="BE225" s="300">
        <v>1</v>
      </c>
      <c r="BF225" s="298">
        <v>0.09</v>
      </c>
      <c r="BG225" s="299" cm="1">
        <f t="array" aca="1" ref="BG225" ca="1">INDIRECT("'"&amp;$C225&amp;"'!"&amp;"$"&amp;$D225&amp;$BG$1&amp;"")</f>
        <v>0.95</v>
      </c>
      <c r="BH225" s="300"/>
      <c r="BI225" s="300">
        <v>0.97</v>
      </c>
      <c r="BJ225" s="298">
        <v>0.25</v>
      </c>
      <c r="BK225" s="299" cm="1">
        <f t="array" aca="1" ref="BK225" ca="1">INDIRECT("'"&amp;$C225&amp;"'!"&amp;"$"&amp;$D225&amp;$BK$1&amp;"")</f>
        <v>3.24</v>
      </c>
      <c r="BL225" s="300"/>
      <c r="BM225" s="300">
        <v>0.95</v>
      </c>
      <c r="BN225" s="298">
        <v>1</v>
      </c>
    </row>
    <row r="226" spans="1:66" ht="15.75" thickBot="1" x14ac:dyDescent="0.25">
      <c r="A226" s="368">
        <v>45697</v>
      </c>
      <c r="B226" s="365">
        <v>0.875000000000001</v>
      </c>
      <c r="C226" s="383">
        <v>9</v>
      </c>
      <c r="D226" s="319" t="s">
        <v>131</v>
      </c>
      <c r="E226" s="290" t="s">
        <v>1</v>
      </c>
      <c r="F226" s="291" t="s">
        <v>1</v>
      </c>
      <c r="G226" s="292" cm="1">
        <f t="array" aca="1" ref="G226" ca="1">INDIRECT("'"&amp;$C226&amp;"'!"&amp;"$"&amp;$D226&amp;$E$1&amp;"")</f>
        <v>0</v>
      </c>
      <c r="H226" s="293" t="s">
        <v>1</v>
      </c>
      <c r="I226" s="291" t="s">
        <v>1</v>
      </c>
      <c r="J226" s="292" cm="1">
        <f t="array" aca="1" ref="J226" ca="1">INDIRECT("'"&amp;$C226&amp;"'!"&amp;"$"&amp;$D226&amp;$J$1&amp;"")</f>
        <v>0</v>
      </c>
      <c r="K226" s="293"/>
      <c r="L226" s="293" t="s">
        <v>1</v>
      </c>
      <c r="M226" s="291" t="s">
        <v>1</v>
      </c>
      <c r="N226" s="292" cm="1">
        <f t="array" aca="1" ref="N226" ca="1">INDIRECT("'"&amp;$C226&amp;"'!"&amp;"$"&amp;$D226&amp;$N$1&amp;"")</f>
        <v>0</v>
      </c>
      <c r="O226" s="293"/>
      <c r="P226" s="293" t="s">
        <v>1</v>
      </c>
      <c r="Q226" s="291" t="s">
        <v>1</v>
      </c>
      <c r="R226" s="292" cm="1">
        <f t="array" aca="1" ref="R226" ca="1">INDIRECT("'"&amp;$C226&amp;"'!"&amp;"$"&amp;$D226&amp;$R$1&amp;"")</f>
        <v>0</v>
      </c>
      <c r="S226" s="293"/>
      <c r="T226" s="293" t="s">
        <v>1</v>
      </c>
      <c r="U226" s="291" t="s">
        <v>1</v>
      </c>
      <c r="V226" s="292" t="str" cm="1">
        <f t="array" aca="1" ref="V226" ca="1">INDIRECT("'"&amp;$C226&amp;"'!"&amp;"$"&amp;$D226&amp;$V$1&amp;"")</f>
        <v>CMS</v>
      </c>
      <c r="W226" s="293" t="s">
        <v>1</v>
      </c>
      <c r="X226" s="293" t="s">
        <v>1</v>
      </c>
      <c r="Y226" s="294" t="s">
        <v>1</v>
      </c>
      <c r="Z226" s="386" cm="1">
        <f t="array" aca="1" ref="Z226" ca="1">INDIRECT("'"&amp;$C226&amp;"'!"&amp;"$"&amp;$D226&amp;$Z$1&amp;"")</f>
        <v>0</v>
      </c>
      <c r="AA226" s="292" t="s">
        <v>1</v>
      </c>
      <c r="AB226" s="293" t="s">
        <v>1</v>
      </c>
      <c r="AC226" s="291" t="s">
        <v>1</v>
      </c>
      <c r="AD226" s="292" cm="1">
        <f t="array" aca="1" ref="AD226" ca="1">INDIRECT("'"&amp;$C226&amp;"'!"&amp;"$"&amp;$D226&amp;$AD$1&amp;"")</f>
        <v>0</v>
      </c>
      <c r="AE226" s="293" t="s">
        <v>1</v>
      </c>
      <c r="AF226" s="293" t="s">
        <v>1</v>
      </c>
      <c r="AG226" s="291" t="s">
        <v>1</v>
      </c>
      <c r="AH226" s="290" cm="1">
        <f t="array" aca="1" ref="AH226" ca="1">INDIRECT("'"&amp;$C226&amp;"'!"&amp;"$"&amp;$D226&amp;$AH$1&amp;"")</f>
        <v>0</v>
      </c>
      <c r="AI226" s="293" t="s">
        <v>1</v>
      </c>
      <c r="AJ226" s="293" t="s">
        <v>1</v>
      </c>
      <c r="AK226" s="291" t="s">
        <v>1</v>
      </c>
      <c r="AL226" s="290">
        <v>12</v>
      </c>
      <c r="AM226" s="294">
        <v>72.2</v>
      </c>
      <c r="AN226" s="290" cm="1">
        <f t="array" aca="1" ref="AN226" ca="1">INDIRECT("'"&amp;$C226&amp;"'!"&amp;"$"&amp;$D226&amp;$AL$1&amp;"")</f>
        <v>2.1</v>
      </c>
      <c r="AO226" s="293">
        <v>1</v>
      </c>
      <c r="AP226" s="291">
        <v>0</v>
      </c>
      <c r="AQ226" s="292" cm="1">
        <f t="array" aca="1" ref="AQ226" ca="1">INDIRECT("'"&amp;$C226&amp;"'!"&amp;"$"&amp;$D226&amp;$AQ$1&amp;"")</f>
        <v>2.1</v>
      </c>
      <c r="AR226" s="293">
        <v>1</v>
      </c>
      <c r="AS226" s="291">
        <v>0</v>
      </c>
      <c r="AT226" s="295">
        <v>0</v>
      </c>
      <c r="AU226" s="294">
        <v>71.3</v>
      </c>
      <c r="AV226" s="290" t="str" cm="1">
        <f t="array" aca="1" ref="AV226" ca="1">INDIRECT("'"&amp;$C226&amp;"'!"&amp;"$"&amp;$D226&amp;$AT$1&amp;"")</f>
        <v>PMS</v>
      </c>
      <c r="AW226" s="293" t="s">
        <v>1</v>
      </c>
      <c r="AX226" s="294" t="s">
        <v>1</v>
      </c>
      <c r="AY226" s="386">
        <v>0</v>
      </c>
      <c r="AZ226" s="296" cm="1">
        <f t="array" aca="1" ref="AZ226" ca="1">INDIRECT("'"&amp;$C226&amp;"'!"&amp;"$"&amp;$D226&amp;$AY$1&amp;"")</f>
        <v>0</v>
      </c>
      <c r="BA226" s="293" t="s">
        <v>1</v>
      </c>
      <c r="BB226" s="291" t="s">
        <v>1</v>
      </c>
      <c r="BC226" s="292" cm="1">
        <f t="array" aca="1" ref="BC226" ca="1">INDIRECT("'"&amp;$C226&amp;"'!"&amp;"$"&amp;$D226&amp;$BC$1&amp;"")</f>
        <v>0.98</v>
      </c>
      <c r="BD226" s="293"/>
      <c r="BE226" s="293">
        <v>1</v>
      </c>
      <c r="BF226" s="291">
        <v>0.08</v>
      </c>
      <c r="BG226" s="292" cm="1">
        <f t="array" aca="1" ref="BG226" ca="1">INDIRECT("'"&amp;$C226&amp;"'!"&amp;"$"&amp;$D226&amp;$BG$1&amp;"")</f>
        <v>0.91</v>
      </c>
      <c r="BH226" s="293"/>
      <c r="BI226" s="293">
        <v>0.97</v>
      </c>
      <c r="BJ226" s="291">
        <v>0.24</v>
      </c>
      <c r="BK226" s="292" cm="1">
        <f t="array" aca="1" ref="BK226" ca="1">INDIRECT("'"&amp;$C226&amp;"'!"&amp;"$"&amp;$D226&amp;$BK$1&amp;"")</f>
        <v>2.89</v>
      </c>
      <c r="BL226" s="293"/>
      <c r="BM226" s="293">
        <v>0.95</v>
      </c>
      <c r="BN226" s="291">
        <v>0.94</v>
      </c>
    </row>
    <row r="227" spans="1:66" ht="15.75" thickBot="1" x14ac:dyDescent="0.25">
      <c r="A227" s="368">
        <v>45697</v>
      </c>
      <c r="B227" s="365">
        <v>0.91666666666666696</v>
      </c>
      <c r="C227" s="383">
        <v>9</v>
      </c>
      <c r="D227" s="319" t="s">
        <v>132</v>
      </c>
      <c r="E227" s="297">
        <v>14.1</v>
      </c>
      <c r="F227" s="298">
        <v>69.900000000000006</v>
      </c>
      <c r="G227" s="299" cm="1">
        <f t="array" aca="1" ref="G227" ca="1">INDIRECT("'"&amp;$C227&amp;"'!"&amp;"$"&amp;$D227&amp;$E$1&amp;"")</f>
        <v>0.6</v>
      </c>
      <c r="H227" s="300">
        <v>0.9</v>
      </c>
      <c r="I227" s="298">
        <v>1.1599999999999999</v>
      </c>
      <c r="J227" s="299" cm="1">
        <f t="array" aca="1" ref="J227" ca="1">INDIRECT("'"&amp;$C227&amp;"'!"&amp;"$"&amp;$D227&amp;$J$1&amp;"")</f>
        <v>0</v>
      </c>
      <c r="K227" s="300"/>
      <c r="L227" s="300" t="s">
        <v>1</v>
      </c>
      <c r="M227" s="298" t="s">
        <v>1</v>
      </c>
      <c r="N227" s="299" cm="1">
        <f t="array" aca="1" ref="N227" ca="1">INDIRECT("'"&amp;$C227&amp;"'!"&amp;"$"&amp;$D227&amp;$N$1&amp;"")</f>
        <v>1.1000000000000001</v>
      </c>
      <c r="O227" s="300"/>
      <c r="P227" s="300">
        <v>0.97</v>
      </c>
      <c r="Q227" s="298">
        <v>0.21</v>
      </c>
      <c r="R227" s="299" cm="1">
        <f t="array" aca="1" ref="R227" ca="1">INDIRECT("'"&amp;$C227&amp;"'!"&amp;"$"&amp;$D227&amp;$R$1&amp;"")</f>
        <v>1.1000000000000001</v>
      </c>
      <c r="S227" s="300"/>
      <c r="T227" s="300">
        <v>0.97</v>
      </c>
      <c r="U227" s="298">
        <v>0.21</v>
      </c>
      <c r="V227" s="299" t="str" cm="1">
        <f t="array" aca="1" ref="V227" ca="1">INDIRECT("'"&amp;$C227&amp;"'!"&amp;"$"&amp;$D227&amp;$V$1&amp;"")</f>
        <v>CMS</v>
      </c>
      <c r="W227" s="300" t="s">
        <v>1</v>
      </c>
      <c r="X227" s="300" t="s">
        <v>1</v>
      </c>
      <c r="Y227" s="301" t="s">
        <v>1</v>
      </c>
      <c r="Z227" s="387" cm="1">
        <f t="array" aca="1" ref="Z227" ca="1">INDIRECT("'"&amp;$C227&amp;"'!"&amp;"$"&amp;$D227&amp;$Z$1&amp;"")</f>
        <v>0</v>
      </c>
      <c r="AA227" s="299" t="s">
        <v>1</v>
      </c>
      <c r="AB227" s="300" t="s">
        <v>1</v>
      </c>
      <c r="AC227" s="298" t="s">
        <v>1</v>
      </c>
      <c r="AD227" s="299" cm="1">
        <f t="array" aca="1" ref="AD227" ca="1">INDIRECT("'"&amp;$C227&amp;"'!"&amp;"$"&amp;$D227&amp;$AD$1&amp;"")</f>
        <v>0</v>
      </c>
      <c r="AE227" s="300" t="s">
        <v>1</v>
      </c>
      <c r="AF227" s="300" t="s">
        <v>1</v>
      </c>
      <c r="AG227" s="298" t="s">
        <v>1</v>
      </c>
      <c r="AH227" s="297" cm="1">
        <f t="array" aca="1" ref="AH227" ca="1">INDIRECT("'"&amp;$C227&amp;"'!"&amp;"$"&amp;$D227&amp;$AH$1&amp;"")</f>
        <v>0</v>
      </c>
      <c r="AI227" s="300" t="s">
        <v>1</v>
      </c>
      <c r="AJ227" s="300" t="s">
        <v>1</v>
      </c>
      <c r="AK227" s="298" t="s">
        <v>1</v>
      </c>
      <c r="AL227" s="297">
        <v>12</v>
      </c>
      <c r="AM227" s="301">
        <v>72.2</v>
      </c>
      <c r="AN227" s="297" cm="1">
        <f t="array" aca="1" ref="AN227" ca="1">INDIRECT("'"&amp;$C227&amp;"'!"&amp;"$"&amp;$D227&amp;$AL$1&amp;"")</f>
        <v>2.2999999999999998</v>
      </c>
      <c r="AO227" s="300">
        <v>1</v>
      </c>
      <c r="AP227" s="298">
        <v>0</v>
      </c>
      <c r="AQ227" s="299" cm="1">
        <f t="array" aca="1" ref="AQ227" ca="1">INDIRECT("'"&amp;$C227&amp;"'!"&amp;"$"&amp;$D227&amp;$AQ$1&amp;"")</f>
        <v>2.2999999999999998</v>
      </c>
      <c r="AR227" s="300">
        <v>1</v>
      </c>
      <c r="AS227" s="298">
        <v>0</v>
      </c>
      <c r="AT227" s="302">
        <v>0</v>
      </c>
      <c r="AU227" s="301">
        <v>71</v>
      </c>
      <c r="AV227" s="297" t="str" cm="1">
        <f t="array" aca="1" ref="AV227" ca="1">INDIRECT("'"&amp;$C227&amp;"'!"&amp;"$"&amp;$D227&amp;$AT$1&amp;"")</f>
        <v>PMS</v>
      </c>
      <c r="AW227" s="300" t="s">
        <v>1</v>
      </c>
      <c r="AX227" s="301" t="s">
        <v>1</v>
      </c>
      <c r="AY227" s="388">
        <v>0</v>
      </c>
      <c r="AZ227" s="303" cm="1">
        <f t="array" aca="1" ref="AZ227" ca="1">INDIRECT("'"&amp;$C227&amp;"'!"&amp;"$"&amp;$D227&amp;$AY$1&amp;"")</f>
        <v>0</v>
      </c>
      <c r="BA227" s="300" t="s">
        <v>1</v>
      </c>
      <c r="BB227" s="298" t="s">
        <v>1</v>
      </c>
      <c r="BC227" s="299" cm="1">
        <f t="array" aca="1" ref="BC227" ca="1">INDIRECT("'"&amp;$C227&amp;"'!"&amp;"$"&amp;$D227&amp;$BC$1&amp;"")</f>
        <v>0.87</v>
      </c>
      <c r="BD227" s="300"/>
      <c r="BE227" s="300">
        <v>1</v>
      </c>
      <c r="BF227" s="298">
        <v>7.0000000000000007E-2</v>
      </c>
      <c r="BG227" s="299" cm="1">
        <f t="array" aca="1" ref="BG227" ca="1">INDIRECT("'"&amp;$C227&amp;"'!"&amp;"$"&amp;$D227&amp;$BG$1&amp;"")</f>
        <v>0.88</v>
      </c>
      <c r="BH227" s="300"/>
      <c r="BI227" s="300">
        <v>0.97</v>
      </c>
      <c r="BJ227" s="298">
        <v>0.23</v>
      </c>
      <c r="BK227" s="299" cm="1">
        <f t="array" aca="1" ref="BK227" ca="1">INDIRECT("'"&amp;$C227&amp;"'!"&amp;"$"&amp;$D227&amp;$BK$1&amp;"")</f>
        <v>2.7199999999999998</v>
      </c>
      <c r="BL227" s="300"/>
      <c r="BM227" s="300">
        <v>0.95</v>
      </c>
      <c r="BN227" s="298">
        <v>0.89</v>
      </c>
    </row>
    <row r="228" spans="1:66" ht="15.75" thickBot="1" x14ac:dyDescent="0.25">
      <c r="A228" s="369">
        <v>45697</v>
      </c>
      <c r="B228" s="366">
        <v>0.95833333333333404</v>
      </c>
      <c r="C228" s="383">
        <v>9</v>
      </c>
      <c r="D228" s="321" t="s">
        <v>133</v>
      </c>
      <c r="E228" s="305">
        <v>14.3</v>
      </c>
      <c r="F228" s="306">
        <v>71.94</v>
      </c>
      <c r="G228" s="307" cm="1">
        <f t="array" aca="1" ref="G228" ca="1">INDIRECT("'"&amp;$C228&amp;"'!"&amp;"$"&amp;$D228&amp;$E$1&amp;"")</f>
        <v>6.7</v>
      </c>
      <c r="H228" s="308">
        <v>1</v>
      </c>
      <c r="I228" s="306">
        <v>0</v>
      </c>
      <c r="J228" s="307" cm="1">
        <f t="array" aca="1" ref="J228" ca="1">INDIRECT("'"&amp;$C228&amp;"'!"&amp;"$"&amp;$D228&amp;$J$1&amp;"")</f>
        <v>0</v>
      </c>
      <c r="K228" s="308"/>
      <c r="L228" s="308" t="s">
        <v>1</v>
      </c>
      <c r="M228" s="306" t="s">
        <v>1</v>
      </c>
      <c r="N228" s="307" cm="1">
        <f t="array" aca="1" ref="N228" ca="1">INDIRECT("'"&amp;$C228&amp;"'!"&amp;"$"&amp;$D228&amp;$N$1&amp;"")</f>
        <v>6.7</v>
      </c>
      <c r="O228" s="308"/>
      <c r="P228" s="308">
        <v>1</v>
      </c>
      <c r="Q228" s="306">
        <v>0</v>
      </c>
      <c r="R228" s="307" cm="1">
        <f t="array" aca="1" ref="R228" ca="1">INDIRECT("'"&amp;$C228&amp;"'!"&amp;"$"&amp;$D228&amp;$R$1&amp;"")</f>
        <v>6.7</v>
      </c>
      <c r="S228" s="308"/>
      <c r="T228" s="308">
        <v>1</v>
      </c>
      <c r="U228" s="306">
        <v>0</v>
      </c>
      <c r="V228" s="307" t="str" cm="1">
        <f t="array" aca="1" ref="V228" ca="1">INDIRECT("'"&amp;$C228&amp;"'!"&amp;"$"&amp;$D228&amp;$V$1&amp;"")</f>
        <v>CMS</v>
      </c>
      <c r="W228" s="308" t="s">
        <v>1</v>
      </c>
      <c r="X228" s="308" t="s">
        <v>1</v>
      </c>
      <c r="Y228" s="309" t="s">
        <v>1</v>
      </c>
      <c r="Z228" s="389" cm="1">
        <f t="array" aca="1" ref="Z228" ca="1">INDIRECT("'"&amp;$C228&amp;"'!"&amp;"$"&amp;$D228&amp;$Z$1&amp;"")</f>
        <v>0</v>
      </c>
      <c r="AA228" s="307" t="s">
        <v>1</v>
      </c>
      <c r="AB228" s="308" t="s">
        <v>1</v>
      </c>
      <c r="AC228" s="306" t="s">
        <v>1</v>
      </c>
      <c r="AD228" s="307" cm="1">
        <f t="array" aca="1" ref="AD228" ca="1">INDIRECT("'"&amp;$C228&amp;"'!"&amp;"$"&amp;$D228&amp;$AD$1&amp;"")</f>
        <v>3.2</v>
      </c>
      <c r="AE228" s="308">
        <f>3.67*3.8</f>
        <v>13.946</v>
      </c>
      <c r="AF228" s="308">
        <v>0.99</v>
      </c>
      <c r="AG228" s="309">
        <v>0.41</v>
      </c>
      <c r="AH228" s="305" cm="1">
        <f t="array" aca="1" ref="AH228" ca="1">INDIRECT("'"&amp;$C228&amp;"'!"&amp;"$"&amp;$D228&amp;$AH$1&amp;"")</f>
        <v>0</v>
      </c>
      <c r="AI228" s="308" t="s">
        <v>1</v>
      </c>
      <c r="AJ228" s="308" t="s">
        <v>1</v>
      </c>
      <c r="AK228" s="306" t="s">
        <v>1</v>
      </c>
      <c r="AL228" s="305">
        <v>12</v>
      </c>
      <c r="AM228" s="309">
        <v>72.099999999999994</v>
      </c>
      <c r="AN228" s="305" cm="1">
        <f t="array" aca="1" ref="AN228" ca="1">INDIRECT("'"&amp;$C228&amp;"'!"&amp;"$"&amp;$D228&amp;$AL$1&amp;"")</f>
        <v>2.1</v>
      </c>
      <c r="AO228" s="308">
        <v>1</v>
      </c>
      <c r="AP228" s="306">
        <v>0</v>
      </c>
      <c r="AQ228" s="307" cm="1">
        <f t="array" aca="1" ref="AQ228" ca="1">INDIRECT("'"&amp;$C228&amp;"'!"&amp;"$"&amp;$D228&amp;$AQ$1&amp;"")</f>
        <v>2.1</v>
      </c>
      <c r="AR228" s="308">
        <v>1</v>
      </c>
      <c r="AS228" s="306">
        <v>0</v>
      </c>
      <c r="AT228" s="310">
        <v>0</v>
      </c>
      <c r="AU228" s="309">
        <v>70</v>
      </c>
      <c r="AV228" s="305" t="str" cm="1">
        <f t="array" aca="1" ref="AV228" ca="1">INDIRECT("'"&amp;$C228&amp;"'!"&amp;"$"&amp;$D228&amp;$AT$1&amp;"")</f>
        <v>PMS</v>
      </c>
      <c r="AW228" s="308" t="s">
        <v>1</v>
      </c>
      <c r="AX228" s="306" t="s">
        <v>1</v>
      </c>
      <c r="AY228" s="384">
        <v>70.2</v>
      </c>
      <c r="AZ228" s="310" cm="1">
        <f t="array" aca="1" ref="AZ228" ca="1">INDIRECT("'"&amp;$C228&amp;"'!"&amp;"$"&amp;$D228&amp;$AY$1&amp;"")</f>
        <v>0</v>
      </c>
      <c r="BA228" s="308" t="s">
        <v>1</v>
      </c>
      <c r="BB228" s="306" t="s">
        <v>1</v>
      </c>
      <c r="BC228" s="307" cm="1">
        <f t="array" aca="1" ref="BC228" ca="1">INDIRECT("'"&amp;$C228&amp;"'!"&amp;"$"&amp;$D228&amp;$BC$1&amp;"")</f>
        <v>0.75</v>
      </c>
      <c r="BD228" s="308"/>
      <c r="BE228" s="308">
        <v>1</v>
      </c>
      <c r="BF228" s="306">
        <v>0.06</v>
      </c>
      <c r="BG228" s="307" cm="1">
        <f t="array" aca="1" ref="BG228" ca="1">INDIRECT("'"&amp;$C228&amp;"'!"&amp;"$"&amp;$D228&amp;$BG$1&amp;"")</f>
        <v>0.84</v>
      </c>
      <c r="BH228" s="308"/>
      <c r="BI228" s="308">
        <v>0.97</v>
      </c>
      <c r="BJ228" s="306">
        <v>0.22</v>
      </c>
      <c r="BK228" s="307" cm="1">
        <f t="array" aca="1" ref="BK228" ca="1">INDIRECT("'"&amp;$C228&amp;"'!"&amp;"$"&amp;$D228&amp;$BK$1&amp;"")</f>
        <v>2.5099999999999998</v>
      </c>
      <c r="BL228" s="308"/>
      <c r="BM228" s="308">
        <v>0.95</v>
      </c>
      <c r="BN228" s="306">
        <v>0.82</v>
      </c>
    </row>
    <row r="229" spans="1:66" ht="15" thickBot="1" x14ac:dyDescent="0.25"/>
    <row r="230" spans="1:66" ht="15.75" thickBot="1" x14ac:dyDescent="0.25">
      <c r="A230" s="367">
        <v>45698</v>
      </c>
      <c r="B230" s="364">
        <v>0</v>
      </c>
      <c r="C230" s="383">
        <v>10</v>
      </c>
      <c r="D230" s="316" t="s">
        <v>110</v>
      </c>
      <c r="E230" s="284">
        <v>14.3</v>
      </c>
      <c r="F230" s="285">
        <v>71.25</v>
      </c>
      <c r="G230" s="286" cm="1">
        <f t="array" aca="1" ref="G230" ca="1">INDIRECT("'"&amp;$C230&amp;"'!"&amp;"$"&amp;$D230&amp;$E$1&amp;"")</f>
        <v>6.3</v>
      </c>
      <c r="H230" s="287">
        <v>1</v>
      </c>
      <c r="I230" s="285">
        <v>0</v>
      </c>
      <c r="J230" s="286" cm="1">
        <f t="array" aca="1" ref="J230" ca="1">INDIRECT("'"&amp;$C230&amp;"'!"&amp;"$"&amp;$D230&amp;$J$1&amp;"")</f>
        <v>0</v>
      </c>
      <c r="K230" s="287"/>
      <c r="L230" s="287" t="s">
        <v>1</v>
      </c>
      <c r="M230" s="285" t="s">
        <v>1</v>
      </c>
      <c r="N230" s="286" cm="1">
        <f t="array" aca="1" ref="N230" ca="1">INDIRECT("'"&amp;$C230&amp;"'!"&amp;"$"&amp;$D230&amp;$N$1&amp;"")</f>
        <v>6.3</v>
      </c>
      <c r="O230" s="287"/>
      <c r="P230" s="287">
        <v>1</v>
      </c>
      <c r="Q230" s="285">
        <v>0</v>
      </c>
      <c r="R230" s="286" cm="1">
        <f t="array" aca="1" ref="R230" ca="1">INDIRECT("'"&amp;$C230&amp;"'!"&amp;"$"&amp;$D230&amp;$R$1&amp;"")</f>
        <v>6.3</v>
      </c>
      <c r="S230" s="287"/>
      <c r="T230" s="287">
        <v>1</v>
      </c>
      <c r="U230" s="285">
        <v>0</v>
      </c>
      <c r="V230" s="286" t="str" cm="1">
        <f t="array" aca="1" ref="V230" ca="1">INDIRECT("'"&amp;$C230&amp;"'!"&amp;"$"&amp;$D230&amp;$V$1&amp;"")</f>
        <v>CMS</v>
      </c>
      <c r="W230" s="287" t="s">
        <v>1</v>
      </c>
      <c r="X230" s="287" t="s">
        <v>1</v>
      </c>
      <c r="Y230" s="288" t="s">
        <v>1</v>
      </c>
      <c r="Z230" s="385" cm="1">
        <f t="array" aca="1" ref="Z230" ca="1">INDIRECT("'"&amp;$C230&amp;"'!"&amp;"$"&amp;$D230&amp;$Z$1&amp;"")</f>
        <v>0</v>
      </c>
      <c r="AA230" s="286" t="s">
        <v>1</v>
      </c>
      <c r="AB230" s="287" t="s">
        <v>1</v>
      </c>
      <c r="AC230" s="285" t="s">
        <v>1</v>
      </c>
      <c r="AD230" s="286" cm="1">
        <f t="array" aca="1" ref="AD230" ca="1">INDIRECT("'"&amp;$C230&amp;"'!"&amp;"$"&amp;$D230&amp;$AD$1&amp;"")</f>
        <v>3.2</v>
      </c>
      <c r="AE230" s="287">
        <f>3.67*3.8</f>
        <v>13.946</v>
      </c>
      <c r="AF230" s="287">
        <v>1</v>
      </c>
      <c r="AG230" s="285">
        <v>0.09</v>
      </c>
      <c r="AH230" s="284" cm="1">
        <f t="array" aca="1" ref="AH230" ca="1">INDIRECT("'"&amp;$C230&amp;"'!"&amp;"$"&amp;$D230&amp;$AH$1&amp;"")</f>
        <v>0</v>
      </c>
      <c r="AI230" s="287" t="s">
        <v>1</v>
      </c>
      <c r="AJ230" s="287" t="s">
        <v>1</v>
      </c>
      <c r="AK230" s="285" t="s">
        <v>1</v>
      </c>
      <c r="AL230" s="284">
        <v>11.9</v>
      </c>
      <c r="AM230" s="288">
        <v>71</v>
      </c>
      <c r="AN230" s="284" cm="1">
        <f t="array" aca="1" ref="AN230" ca="1">INDIRECT("'"&amp;$C230&amp;"'!"&amp;"$"&amp;$D230&amp;$AL$1&amp;"")</f>
        <v>3</v>
      </c>
      <c r="AO230" s="287">
        <v>0.99</v>
      </c>
      <c r="AP230" s="285">
        <v>0.25</v>
      </c>
      <c r="AQ230" s="286" cm="1">
        <f t="array" aca="1" ref="AQ230" ca="1">INDIRECT("'"&amp;$C230&amp;"'!"&amp;"$"&amp;$D230&amp;$AQ$1&amp;"")</f>
        <v>3</v>
      </c>
      <c r="AR230" s="287">
        <v>0.99</v>
      </c>
      <c r="AS230" s="285">
        <v>0.42</v>
      </c>
      <c r="AT230" s="289">
        <v>0</v>
      </c>
      <c r="AU230" s="288">
        <v>70.3</v>
      </c>
      <c r="AV230" s="284" t="str" cm="1">
        <f t="array" aca="1" ref="AV230" ca="1">INDIRECT("'"&amp;$C230&amp;"'!"&amp;"$"&amp;$D230&amp;$AT$1&amp;"")</f>
        <v>PMS</v>
      </c>
      <c r="AW230" s="287" t="s">
        <v>1</v>
      </c>
      <c r="AX230" s="288" t="s">
        <v>1</v>
      </c>
      <c r="AY230" s="385">
        <v>70.2</v>
      </c>
      <c r="AZ230" s="381" cm="1">
        <f t="array" aca="1" ref="AZ230" ca="1">INDIRECT("'"&amp;$C230&amp;"'!"&amp;"$"&amp;$D230&amp;$AY$1&amp;"")</f>
        <v>0</v>
      </c>
      <c r="BA230" s="287" t="s">
        <v>1</v>
      </c>
      <c r="BB230" s="285" t="s">
        <v>1</v>
      </c>
      <c r="BC230" s="286" cm="1">
        <f t="array" aca="1" ref="BC230" ca="1">INDIRECT("'"&amp;$C230&amp;"'!"&amp;"$"&amp;$D230&amp;$BC$1&amp;"")</f>
        <v>0.68</v>
      </c>
      <c r="BD230" s="287"/>
      <c r="BE230" s="287">
        <v>1</v>
      </c>
      <c r="BF230" s="285">
        <v>0.06</v>
      </c>
      <c r="BG230" s="286" cm="1">
        <f t="array" aca="1" ref="BG230" ca="1">INDIRECT("'"&amp;$C230&amp;"'!"&amp;"$"&amp;$D230&amp;$BG$1&amp;"")</f>
        <v>0.78</v>
      </c>
      <c r="BH230" s="287"/>
      <c r="BI230" s="287">
        <v>0.97</v>
      </c>
      <c r="BJ230" s="285">
        <v>0.2</v>
      </c>
      <c r="BK230" s="286" cm="1">
        <f t="array" aca="1" ref="BK230" ca="1">INDIRECT("'"&amp;$C230&amp;"'!"&amp;"$"&amp;$D230&amp;$BK$1&amp;"")</f>
        <v>0</v>
      </c>
      <c r="BL230" s="287"/>
      <c r="BM230" s="287" t="s">
        <v>1</v>
      </c>
      <c r="BN230" s="285" t="s">
        <v>1</v>
      </c>
    </row>
    <row r="231" spans="1:66" ht="15.75" thickBot="1" x14ac:dyDescent="0.25">
      <c r="A231" s="368">
        <v>45698</v>
      </c>
      <c r="B231" s="365">
        <v>4.1666666666666699E-2</v>
      </c>
      <c r="C231" s="383">
        <v>10</v>
      </c>
      <c r="D231" s="319" t="s">
        <v>111</v>
      </c>
      <c r="E231" s="290">
        <v>14.3</v>
      </c>
      <c r="F231" s="291">
        <v>70.31</v>
      </c>
      <c r="G231" s="292" cm="1">
        <f t="array" aca="1" ref="G231" ca="1">INDIRECT("'"&amp;$C231&amp;"'!"&amp;"$"&amp;$D231&amp;$E$1&amp;"")</f>
        <v>5.5</v>
      </c>
      <c r="H231" s="293">
        <v>1</v>
      </c>
      <c r="I231" s="291">
        <v>0</v>
      </c>
      <c r="J231" s="292" cm="1">
        <f t="array" aca="1" ref="J231" ca="1">INDIRECT("'"&amp;$C231&amp;"'!"&amp;"$"&amp;$D231&amp;$J$1&amp;"")</f>
        <v>0</v>
      </c>
      <c r="K231" s="293"/>
      <c r="L231" s="293" t="s">
        <v>1</v>
      </c>
      <c r="M231" s="291" t="s">
        <v>1</v>
      </c>
      <c r="N231" s="292" cm="1">
        <f t="array" aca="1" ref="N231" ca="1">INDIRECT("'"&amp;$C231&amp;"'!"&amp;"$"&amp;$D231&amp;$N$1&amp;"")</f>
        <v>7</v>
      </c>
      <c r="O231" s="293"/>
      <c r="P231" s="293">
        <v>1</v>
      </c>
      <c r="Q231" s="291">
        <v>0</v>
      </c>
      <c r="R231" s="292" cm="1">
        <f t="array" aca="1" ref="R231" ca="1">INDIRECT("'"&amp;$C231&amp;"'!"&amp;"$"&amp;$D231&amp;$R$1&amp;"")</f>
        <v>5.5</v>
      </c>
      <c r="S231" s="293"/>
      <c r="T231" s="293">
        <v>1</v>
      </c>
      <c r="U231" s="291">
        <v>0</v>
      </c>
      <c r="V231" s="292" t="str" cm="1">
        <f t="array" aca="1" ref="V231" ca="1">INDIRECT("'"&amp;$C231&amp;"'!"&amp;"$"&amp;$D231&amp;$V$1&amp;"")</f>
        <v>CMS</v>
      </c>
      <c r="W231" s="293" t="s">
        <v>1</v>
      </c>
      <c r="X231" s="293" t="s">
        <v>1</v>
      </c>
      <c r="Y231" s="294" t="s">
        <v>1</v>
      </c>
      <c r="Z231" s="386" cm="1">
        <f t="array" aca="1" ref="Z231" ca="1">INDIRECT("'"&amp;$C231&amp;"'!"&amp;"$"&amp;$D231&amp;$Z$1&amp;"")</f>
        <v>0</v>
      </c>
      <c r="AA231" s="292" t="s">
        <v>1</v>
      </c>
      <c r="AB231" s="293" t="s">
        <v>1</v>
      </c>
      <c r="AC231" s="291" t="s">
        <v>1</v>
      </c>
      <c r="AD231" s="292" cm="1">
        <f t="array" aca="1" ref="AD231" ca="1">INDIRECT("'"&amp;$C231&amp;"'!"&amp;"$"&amp;$D231&amp;$AD$1&amp;"")</f>
        <v>3</v>
      </c>
      <c r="AE231" s="293">
        <f>3.67*3.8</f>
        <v>13.946</v>
      </c>
      <c r="AF231" s="293">
        <v>1</v>
      </c>
      <c r="AG231" s="294">
        <v>0</v>
      </c>
      <c r="AH231" s="290" cm="1">
        <f t="array" aca="1" ref="AH231" ca="1">INDIRECT("'"&amp;$C231&amp;"'!"&amp;"$"&amp;$D231&amp;$AH$1&amp;"")</f>
        <v>0</v>
      </c>
      <c r="AI231" s="293" t="s">
        <v>1</v>
      </c>
      <c r="AJ231" s="293" t="s">
        <v>1</v>
      </c>
      <c r="AK231" s="291" t="s">
        <v>1</v>
      </c>
      <c r="AL231" s="290">
        <v>11.9</v>
      </c>
      <c r="AM231" s="294">
        <v>71</v>
      </c>
      <c r="AN231" s="290" cm="1">
        <f t="array" aca="1" ref="AN231" ca="1">INDIRECT("'"&amp;$C231&amp;"'!"&amp;"$"&amp;$D231&amp;$AL$1&amp;"")</f>
        <v>3</v>
      </c>
      <c r="AO231" s="293">
        <v>0.99</v>
      </c>
      <c r="AP231" s="291">
        <v>0.31</v>
      </c>
      <c r="AQ231" s="292" cm="1">
        <f t="array" aca="1" ref="AQ231" ca="1">INDIRECT("'"&amp;$C231&amp;"'!"&amp;"$"&amp;$D231&amp;$AQ$1&amp;"")</f>
        <v>3</v>
      </c>
      <c r="AR231" s="293">
        <v>0.99</v>
      </c>
      <c r="AS231" s="291">
        <v>0.37</v>
      </c>
      <c r="AT231" s="295">
        <v>0</v>
      </c>
      <c r="AU231" s="294">
        <v>70.3</v>
      </c>
      <c r="AV231" s="290" t="str" cm="1">
        <f t="array" aca="1" ref="AV231" ca="1">INDIRECT("'"&amp;$C231&amp;"'!"&amp;"$"&amp;$D231&amp;$AT$1&amp;"")</f>
        <v>PMS</v>
      </c>
      <c r="AW231" s="293" t="s">
        <v>1</v>
      </c>
      <c r="AX231" s="294" t="s">
        <v>1</v>
      </c>
      <c r="AY231" s="386">
        <v>70.3</v>
      </c>
      <c r="AZ231" s="296" cm="1">
        <f t="array" aca="1" ref="AZ231" ca="1">INDIRECT("'"&amp;$C231&amp;"'!"&amp;"$"&amp;$D231&amp;$AY$1&amp;"")</f>
        <v>0</v>
      </c>
      <c r="BA231" s="293" t="s">
        <v>1</v>
      </c>
      <c r="BB231" s="291" t="s">
        <v>1</v>
      </c>
      <c r="BC231" s="292" cm="1">
        <f t="array" aca="1" ref="BC231" ca="1">INDIRECT("'"&amp;$C231&amp;"'!"&amp;"$"&amp;$D231&amp;$BC$1&amp;"")</f>
        <v>0.64</v>
      </c>
      <c r="BD231" s="293"/>
      <c r="BE231" s="293">
        <v>1</v>
      </c>
      <c r="BF231" s="291">
        <v>0.04</v>
      </c>
      <c r="BG231" s="292" cm="1">
        <f t="array" aca="1" ref="BG231" ca="1">INDIRECT("'"&amp;$C231&amp;"'!"&amp;"$"&amp;$D231&amp;$BG$1&amp;"")</f>
        <v>0.77</v>
      </c>
      <c r="BH231" s="293"/>
      <c r="BI231" s="293">
        <v>0.97</v>
      </c>
      <c r="BJ231" s="291">
        <v>0.2</v>
      </c>
      <c r="BK231" s="292" cm="1">
        <f t="array" aca="1" ref="BK231" ca="1">INDIRECT("'"&amp;$C231&amp;"'!"&amp;"$"&amp;$D231&amp;$BK$1&amp;"")</f>
        <v>0</v>
      </c>
      <c r="BL231" s="293"/>
      <c r="BM231" s="293" t="s">
        <v>1</v>
      </c>
      <c r="BN231" s="291" t="s">
        <v>1</v>
      </c>
    </row>
    <row r="232" spans="1:66" ht="15.75" thickBot="1" x14ac:dyDescent="0.25">
      <c r="A232" s="368">
        <v>45698</v>
      </c>
      <c r="B232" s="365">
        <v>8.3333333333333301E-2</v>
      </c>
      <c r="C232" s="383">
        <v>10</v>
      </c>
      <c r="D232" s="319" t="s">
        <v>112</v>
      </c>
      <c r="E232" s="297">
        <v>14.3</v>
      </c>
      <c r="F232" s="298">
        <v>81.27</v>
      </c>
      <c r="G232" s="299" cm="1">
        <f t="array" aca="1" ref="G232" ca="1">INDIRECT("'"&amp;$C232&amp;"'!"&amp;"$"&amp;$D232&amp;$E$1&amp;"")</f>
        <v>0</v>
      </c>
      <c r="H232" s="300" t="s">
        <v>1</v>
      </c>
      <c r="I232" s="298" t="s">
        <v>1</v>
      </c>
      <c r="J232" s="299" cm="1">
        <f t="array" aca="1" ref="J232" ca="1">INDIRECT("'"&amp;$C232&amp;"'!"&amp;"$"&amp;$D232&amp;$J$1&amp;"")</f>
        <v>0</v>
      </c>
      <c r="K232" s="300"/>
      <c r="L232" s="300" t="s">
        <v>1</v>
      </c>
      <c r="M232" s="298" t="s">
        <v>1</v>
      </c>
      <c r="N232" s="299" cm="1">
        <f t="array" aca="1" ref="N232" ca="1">INDIRECT("'"&amp;$C232&amp;"'!"&amp;"$"&amp;$D232&amp;$N$1&amp;"")</f>
        <v>6.6</v>
      </c>
      <c r="O232" s="300"/>
      <c r="P232" s="300">
        <v>1</v>
      </c>
      <c r="Q232" s="298">
        <v>0</v>
      </c>
      <c r="R232" s="299" cm="1">
        <f t="array" aca="1" ref="R232" ca="1">INDIRECT("'"&amp;$C232&amp;"'!"&amp;"$"&amp;$D232&amp;$R$1&amp;"")</f>
        <v>6.6</v>
      </c>
      <c r="S232" s="300"/>
      <c r="T232" s="300">
        <v>1</v>
      </c>
      <c r="U232" s="298">
        <v>0</v>
      </c>
      <c r="V232" s="299" t="str" cm="1">
        <f t="array" aca="1" ref="V232" ca="1">INDIRECT("'"&amp;$C232&amp;"'!"&amp;"$"&amp;$D232&amp;$V$1&amp;"")</f>
        <v>CMS</v>
      </c>
      <c r="W232" s="300" t="s">
        <v>1</v>
      </c>
      <c r="X232" s="300" t="s">
        <v>1</v>
      </c>
      <c r="Y232" s="301" t="s">
        <v>1</v>
      </c>
      <c r="Z232" s="387" cm="1">
        <f t="array" aca="1" ref="Z232" ca="1">INDIRECT("'"&amp;$C232&amp;"'!"&amp;"$"&amp;$D232&amp;$Z$1&amp;"")</f>
        <v>0</v>
      </c>
      <c r="AA232" s="299" t="s">
        <v>1</v>
      </c>
      <c r="AB232" s="300" t="s">
        <v>1</v>
      </c>
      <c r="AC232" s="298" t="s">
        <v>1</v>
      </c>
      <c r="AD232" s="299" cm="1">
        <f t="array" aca="1" ref="AD232" ca="1">INDIRECT("'"&amp;$C232&amp;"'!"&amp;"$"&amp;$D232&amp;$AD$1&amp;"")</f>
        <v>3.3</v>
      </c>
      <c r="AE232" s="300">
        <f>3.67*3.8</f>
        <v>13.946</v>
      </c>
      <c r="AF232" s="300">
        <v>1</v>
      </c>
      <c r="AG232" s="301">
        <v>0</v>
      </c>
      <c r="AH232" s="297" cm="1">
        <f t="array" aca="1" ref="AH232" ca="1">INDIRECT("'"&amp;$C232&amp;"'!"&amp;"$"&amp;$D232&amp;$AH$1&amp;"")</f>
        <v>0</v>
      </c>
      <c r="AI232" s="300" t="s">
        <v>1</v>
      </c>
      <c r="AJ232" s="300" t="s">
        <v>1</v>
      </c>
      <c r="AK232" s="298" t="s">
        <v>1</v>
      </c>
      <c r="AL232" s="297">
        <v>11.9</v>
      </c>
      <c r="AM232" s="301">
        <v>70.8</v>
      </c>
      <c r="AN232" s="297" cm="1">
        <f t="array" aca="1" ref="AN232" ca="1">INDIRECT("'"&amp;$C232&amp;"'!"&amp;"$"&amp;$D232&amp;$AL$1&amp;"")</f>
        <v>2.9</v>
      </c>
      <c r="AO232" s="300">
        <v>0.99</v>
      </c>
      <c r="AP232" s="298">
        <v>0.28999999999999998</v>
      </c>
      <c r="AQ232" s="299" cm="1">
        <f t="array" aca="1" ref="AQ232" ca="1">INDIRECT("'"&amp;$C232&amp;"'!"&amp;"$"&amp;$D232&amp;$AQ$1&amp;"")</f>
        <v>2.9</v>
      </c>
      <c r="AR232" s="300">
        <v>0.99</v>
      </c>
      <c r="AS232" s="298">
        <v>0.35</v>
      </c>
      <c r="AT232" s="302">
        <v>0</v>
      </c>
      <c r="AU232" s="301">
        <v>69.900000000000006</v>
      </c>
      <c r="AV232" s="297" t="str" cm="1">
        <f t="array" aca="1" ref="AV232" ca="1">INDIRECT("'"&amp;$C232&amp;"'!"&amp;"$"&amp;$D232&amp;$AT$1&amp;"")</f>
        <v>PMS</v>
      </c>
      <c r="AW232" s="300" t="s">
        <v>1</v>
      </c>
      <c r="AX232" s="301" t="s">
        <v>1</v>
      </c>
      <c r="AY232" s="387">
        <v>70.2</v>
      </c>
      <c r="AZ232" s="303" cm="1">
        <f t="array" aca="1" ref="AZ232" ca="1">INDIRECT("'"&amp;$C232&amp;"'!"&amp;"$"&amp;$D232&amp;$AY$1&amp;"")</f>
        <v>3.7</v>
      </c>
      <c r="BA232" s="300">
        <v>0.99</v>
      </c>
      <c r="BB232" s="298">
        <v>0.52</v>
      </c>
      <c r="BC232" s="299" cm="1">
        <f t="array" aca="1" ref="BC232" ca="1">INDIRECT("'"&amp;$C232&amp;"'!"&amp;"$"&amp;$D232&amp;$BC$1&amp;"")</f>
        <v>0.63</v>
      </c>
      <c r="BD232" s="300"/>
      <c r="BE232" s="300">
        <v>1</v>
      </c>
      <c r="BF232" s="298">
        <v>0.04</v>
      </c>
      <c r="BG232" s="299" cm="1">
        <f t="array" aca="1" ref="BG232" ca="1">INDIRECT("'"&amp;$C232&amp;"'!"&amp;"$"&amp;$D232&amp;$BG$1&amp;"")</f>
        <v>0.76</v>
      </c>
      <c r="BH232" s="300"/>
      <c r="BI232" s="300">
        <v>0.97</v>
      </c>
      <c r="BJ232" s="298">
        <v>0.2</v>
      </c>
      <c r="BK232" s="299" cm="1">
        <f t="array" aca="1" ref="BK232" ca="1">INDIRECT("'"&amp;$C232&amp;"'!"&amp;"$"&amp;$D232&amp;$BK$1&amp;"")</f>
        <v>0</v>
      </c>
      <c r="BL232" s="300"/>
      <c r="BM232" s="300" t="s">
        <v>1</v>
      </c>
      <c r="BN232" s="298" t="s">
        <v>1</v>
      </c>
    </row>
    <row r="233" spans="1:66" ht="15.75" thickBot="1" x14ac:dyDescent="0.25">
      <c r="A233" s="368">
        <v>45698</v>
      </c>
      <c r="B233" s="365">
        <v>0.125</v>
      </c>
      <c r="C233" s="383">
        <v>10</v>
      </c>
      <c r="D233" s="319" t="s">
        <v>113</v>
      </c>
      <c r="E233" s="290">
        <v>14.2</v>
      </c>
      <c r="F233" s="291">
        <v>71.12</v>
      </c>
      <c r="G233" s="292" cm="1">
        <f t="array" aca="1" ref="G233" ca="1">INDIRECT("'"&amp;$C233&amp;"'!"&amp;"$"&amp;$D233&amp;$E$1&amp;"")</f>
        <v>0</v>
      </c>
      <c r="H233" s="293" t="s">
        <v>1</v>
      </c>
      <c r="I233" s="291" t="s">
        <v>1</v>
      </c>
      <c r="J233" s="292" cm="1">
        <f t="array" aca="1" ref="J233" ca="1">INDIRECT("'"&amp;$C233&amp;"'!"&amp;"$"&amp;$D233&amp;$J$1&amp;"")</f>
        <v>0</v>
      </c>
      <c r="K233" s="293"/>
      <c r="L233" s="293" t="s">
        <v>1</v>
      </c>
      <c r="M233" s="291" t="s">
        <v>1</v>
      </c>
      <c r="N233" s="292" cm="1">
        <f t="array" aca="1" ref="N233" ca="1">INDIRECT("'"&amp;$C233&amp;"'!"&amp;"$"&amp;$D233&amp;$N$1&amp;"")</f>
        <v>6.8</v>
      </c>
      <c r="O233" s="293"/>
      <c r="P233" s="293">
        <v>1</v>
      </c>
      <c r="Q233" s="291">
        <v>0</v>
      </c>
      <c r="R233" s="292" cm="1">
        <f t="array" aca="1" ref="R233" ca="1">INDIRECT("'"&amp;$C233&amp;"'!"&amp;"$"&amp;$D233&amp;$R$1&amp;"")</f>
        <v>6.8</v>
      </c>
      <c r="S233" s="293"/>
      <c r="T233" s="293">
        <v>1</v>
      </c>
      <c r="U233" s="291">
        <v>0</v>
      </c>
      <c r="V233" s="292" t="str" cm="1">
        <f t="array" aca="1" ref="V233" ca="1">INDIRECT("'"&amp;$C233&amp;"'!"&amp;"$"&amp;$D233&amp;$V$1&amp;"")</f>
        <v>CMS</v>
      </c>
      <c r="W233" s="293" t="s">
        <v>1</v>
      </c>
      <c r="X233" s="293" t="s">
        <v>1</v>
      </c>
      <c r="Y233" s="294" t="s">
        <v>1</v>
      </c>
      <c r="Z233" s="386" cm="1">
        <f t="array" aca="1" ref="Z233" ca="1">INDIRECT("'"&amp;$C233&amp;"'!"&amp;"$"&amp;$D233&amp;$Z$1&amp;"")</f>
        <v>0</v>
      </c>
      <c r="AA233" s="292" t="s">
        <v>1</v>
      </c>
      <c r="AB233" s="293" t="s">
        <v>1</v>
      </c>
      <c r="AC233" s="291" t="s">
        <v>1</v>
      </c>
      <c r="AD233" s="292" cm="1">
        <f t="array" aca="1" ref="AD233" ca="1">INDIRECT("'"&amp;$C233&amp;"'!"&amp;"$"&amp;$D233&amp;$AD$1&amp;"")</f>
        <v>3.3</v>
      </c>
      <c r="AE233" s="293">
        <f>3.67*3.8</f>
        <v>13.946</v>
      </c>
      <c r="AF233" s="293">
        <v>1</v>
      </c>
      <c r="AG233" s="294">
        <v>0</v>
      </c>
      <c r="AH233" s="290" cm="1">
        <f t="array" aca="1" ref="AH233" ca="1">INDIRECT("'"&amp;$C233&amp;"'!"&amp;"$"&amp;$D233&amp;$AH$1&amp;"")</f>
        <v>0</v>
      </c>
      <c r="AI233" s="293" t="s">
        <v>1</v>
      </c>
      <c r="AJ233" s="293" t="s">
        <v>1</v>
      </c>
      <c r="AK233" s="291" t="s">
        <v>1</v>
      </c>
      <c r="AL233" s="290">
        <v>11.9</v>
      </c>
      <c r="AM233" s="294">
        <v>71.3</v>
      </c>
      <c r="AN233" s="290" cm="1">
        <f t="array" aca="1" ref="AN233" ca="1">INDIRECT("'"&amp;$C233&amp;"'!"&amp;"$"&amp;$D233&amp;$AL$1&amp;"")</f>
        <v>2.9</v>
      </c>
      <c r="AO233" s="293">
        <v>0.99</v>
      </c>
      <c r="AP233" s="291">
        <v>0.22</v>
      </c>
      <c r="AQ233" s="292" cm="1">
        <f t="array" aca="1" ref="AQ233" ca="1">INDIRECT("'"&amp;$C233&amp;"'!"&amp;"$"&amp;$D233&amp;$AQ$1&amp;"")</f>
        <v>2.9</v>
      </c>
      <c r="AR233" s="293">
        <v>0.99</v>
      </c>
      <c r="AS233" s="291">
        <v>0.3</v>
      </c>
      <c r="AT233" s="295">
        <v>0</v>
      </c>
      <c r="AU233" s="294">
        <v>69.900000000000006</v>
      </c>
      <c r="AV233" s="290" t="str" cm="1">
        <f t="array" aca="1" ref="AV233" ca="1">INDIRECT("'"&amp;$C233&amp;"'!"&amp;"$"&amp;$D233&amp;$AT$1&amp;"")</f>
        <v>PMS</v>
      </c>
      <c r="AW233" s="293" t="s">
        <v>1</v>
      </c>
      <c r="AX233" s="294" t="s">
        <v>1</v>
      </c>
      <c r="AY233" s="386">
        <v>70.3</v>
      </c>
      <c r="AZ233" s="296" cm="1">
        <f t="array" aca="1" ref="AZ233" ca="1">INDIRECT("'"&amp;$C233&amp;"'!"&amp;"$"&amp;$D233&amp;$AY$1&amp;"")</f>
        <v>2.9</v>
      </c>
      <c r="BA233" s="293">
        <v>0.99</v>
      </c>
      <c r="BB233" s="291">
        <v>0.22</v>
      </c>
      <c r="BC233" s="292" cm="1">
        <f t="array" aca="1" ref="BC233" ca="1">INDIRECT("'"&amp;$C233&amp;"'!"&amp;"$"&amp;$D233&amp;$BC$1&amp;"")</f>
        <v>0.63</v>
      </c>
      <c r="BD233" s="293"/>
      <c r="BE233" s="293">
        <v>1</v>
      </c>
      <c r="BF233" s="291">
        <v>0.05</v>
      </c>
      <c r="BG233" s="292" cm="1">
        <f t="array" aca="1" ref="BG233" ca="1">INDIRECT("'"&amp;$C233&amp;"'!"&amp;"$"&amp;$D233&amp;$BG$1&amp;"")</f>
        <v>0.7</v>
      </c>
      <c r="BH233" s="293"/>
      <c r="BI233" s="293">
        <v>0.97</v>
      </c>
      <c r="BJ233" s="291">
        <v>0.19</v>
      </c>
      <c r="BK233" s="292" cm="1">
        <f t="array" aca="1" ref="BK233" ca="1">INDIRECT("'"&amp;$C233&amp;"'!"&amp;"$"&amp;$D233&amp;$BK$1&amp;"")</f>
        <v>0</v>
      </c>
      <c r="BL233" s="293"/>
      <c r="BM233" s="293" t="s">
        <v>1</v>
      </c>
      <c r="BN233" s="291" t="s">
        <v>1</v>
      </c>
    </row>
    <row r="234" spans="1:66" ht="15.75" thickBot="1" x14ac:dyDescent="0.25">
      <c r="A234" s="368">
        <v>45698</v>
      </c>
      <c r="B234" s="365">
        <v>0.16666666666666699</v>
      </c>
      <c r="C234" s="383">
        <v>10</v>
      </c>
      <c r="D234" s="319" t="s">
        <v>114</v>
      </c>
      <c r="E234" s="297">
        <v>14.3</v>
      </c>
      <c r="F234" s="298">
        <v>71.319999999999993</v>
      </c>
      <c r="G234" s="299" cm="1">
        <f t="array" aca="1" ref="G234" ca="1">INDIRECT("'"&amp;$C234&amp;"'!"&amp;"$"&amp;$D234&amp;$E$1&amp;"")</f>
        <v>0</v>
      </c>
      <c r="H234" s="300" t="s">
        <v>1</v>
      </c>
      <c r="I234" s="298" t="s">
        <v>1</v>
      </c>
      <c r="J234" s="299" cm="1">
        <f t="array" aca="1" ref="J234" ca="1">INDIRECT("'"&amp;$C234&amp;"'!"&amp;"$"&amp;$D234&amp;$J$1&amp;"")</f>
        <v>0</v>
      </c>
      <c r="K234" s="300"/>
      <c r="L234" s="300" t="s">
        <v>1</v>
      </c>
      <c r="M234" s="298" t="s">
        <v>1</v>
      </c>
      <c r="N234" s="299" cm="1">
        <f t="array" aca="1" ref="N234" ca="1">INDIRECT("'"&amp;$C234&amp;"'!"&amp;"$"&amp;$D234&amp;$N$1&amp;"")</f>
        <v>6.6</v>
      </c>
      <c r="O234" s="300"/>
      <c r="P234" s="300">
        <v>1</v>
      </c>
      <c r="Q234" s="298">
        <v>0</v>
      </c>
      <c r="R234" s="299" cm="1">
        <f t="array" aca="1" ref="R234" ca="1">INDIRECT("'"&amp;$C234&amp;"'!"&amp;"$"&amp;$D234&amp;$R$1&amp;"")</f>
        <v>6.6</v>
      </c>
      <c r="S234" s="300"/>
      <c r="T234" s="300">
        <v>1</v>
      </c>
      <c r="U234" s="298">
        <v>0</v>
      </c>
      <c r="V234" s="299" t="str" cm="1">
        <f t="array" aca="1" ref="V234" ca="1">INDIRECT("'"&amp;$C234&amp;"'!"&amp;"$"&amp;$D234&amp;$V$1&amp;"")</f>
        <v>CMS</v>
      </c>
      <c r="W234" s="300" t="s">
        <v>1</v>
      </c>
      <c r="X234" s="300" t="s">
        <v>1</v>
      </c>
      <c r="Y234" s="301" t="s">
        <v>1</v>
      </c>
      <c r="Z234" s="387" cm="1">
        <f t="array" aca="1" ref="Z234" ca="1">INDIRECT("'"&amp;$C234&amp;"'!"&amp;"$"&amp;$D234&amp;$Z$1&amp;"")</f>
        <v>0</v>
      </c>
      <c r="AA234" s="299" t="s">
        <v>1</v>
      </c>
      <c r="AB234" s="300" t="s">
        <v>1</v>
      </c>
      <c r="AC234" s="298" t="s">
        <v>1</v>
      </c>
      <c r="AD234" s="299" cm="1">
        <f t="array" aca="1" ref="AD234" ca="1">INDIRECT("'"&amp;$C234&amp;"'!"&amp;"$"&amp;$D234&amp;$AD$1&amp;"")</f>
        <v>3.3</v>
      </c>
      <c r="AE234" s="300">
        <f>13.95</f>
        <v>13.95</v>
      </c>
      <c r="AF234" s="300">
        <v>1</v>
      </c>
      <c r="AG234" s="301">
        <v>0</v>
      </c>
      <c r="AH234" s="297" cm="1">
        <f t="array" aca="1" ref="AH234" ca="1">INDIRECT("'"&amp;$C234&amp;"'!"&amp;"$"&amp;$D234&amp;$AH$1&amp;"")</f>
        <v>0</v>
      </c>
      <c r="AI234" s="300" t="s">
        <v>1</v>
      </c>
      <c r="AJ234" s="300" t="s">
        <v>1</v>
      </c>
      <c r="AK234" s="298" t="s">
        <v>1</v>
      </c>
      <c r="AL234" s="297">
        <v>11.8</v>
      </c>
      <c r="AM234" s="301">
        <v>70.3</v>
      </c>
      <c r="AN234" s="297" cm="1">
        <f t="array" aca="1" ref="AN234" ca="1">INDIRECT("'"&amp;$C234&amp;"'!"&amp;"$"&amp;$D234&amp;$AL$1&amp;"")</f>
        <v>2.8</v>
      </c>
      <c r="AO234" s="300">
        <v>0.99</v>
      </c>
      <c r="AP234" s="298">
        <v>0.15</v>
      </c>
      <c r="AQ234" s="299" cm="1">
        <f t="array" aca="1" ref="AQ234" ca="1">INDIRECT("'"&amp;$C234&amp;"'!"&amp;"$"&amp;$D234&amp;$AQ$1&amp;"")</f>
        <v>2.8</v>
      </c>
      <c r="AR234" s="300">
        <v>0.99</v>
      </c>
      <c r="AS234" s="298">
        <v>0.31</v>
      </c>
      <c r="AT234" s="302">
        <v>0</v>
      </c>
      <c r="AU234" s="301">
        <v>70.099999999999994</v>
      </c>
      <c r="AV234" s="297" t="str" cm="1">
        <f t="array" aca="1" ref="AV234" ca="1">INDIRECT("'"&amp;$C234&amp;"'!"&amp;"$"&amp;$D234&amp;$AT$1&amp;"")</f>
        <v>PMS</v>
      </c>
      <c r="AW234" s="300" t="s">
        <v>1</v>
      </c>
      <c r="AX234" s="301" t="s">
        <v>1</v>
      </c>
      <c r="AY234" s="387">
        <v>70.099999999999994</v>
      </c>
      <c r="AZ234" s="303" cm="1">
        <f t="array" aca="1" ref="AZ234" ca="1">INDIRECT("'"&amp;$C234&amp;"'!"&amp;"$"&amp;$D234&amp;$AY$1&amp;"")</f>
        <v>2.9</v>
      </c>
      <c r="BA234" s="300">
        <v>0.99</v>
      </c>
      <c r="BB234" s="298">
        <v>0.44</v>
      </c>
      <c r="BC234" s="299" cm="1">
        <f t="array" aca="1" ref="BC234" ca="1">INDIRECT("'"&amp;$C234&amp;"'!"&amp;"$"&amp;$D234&amp;$BC$1&amp;"")</f>
        <v>0.63</v>
      </c>
      <c r="BD234" s="300"/>
      <c r="BE234" s="300">
        <v>1</v>
      </c>
      <c r="BF234" s="298">
        <v>0.05</v>
      </c>
      <c r="BG234" s="299" cm="1">
        <f t="array" aca="1" ref="BG234" ca="1">INDIRECT("'"&amp;$C234&amp;"'!"&amp;"$"&amp;$D234&amp;$BG$1&amp;"")</f>
        <v>0.68</v>
      </c>
      <c r="BH234" s="300"/>
      <c r="BI234" s="300">
        <v>0.96</v>
      </c>
      <c r="BJ234" s="298">
        <v>0.19</v>
      </c>
      <c r="BK234" s="299" cm="1">
        <f t="array" aca="1" ref="BK234" ca="1">INDIRECT("'"&amp;$C234&amp;"'!"&amp;"$"&amp;$D234&amp;$BK$1&amp;"")</f>
        <v>0</v>
      </c>
      <c r="BL234" s="300"/>
      <c r="BM234" s="300" t="s">
        <v>1</v>
      </c>
      <c r="BN234" s="298" t="s">
        <v>1</v>
      </c>
    </row>
    <row r="235" spans="1:66" ht="15.75" thickBot="1" x14ac:dyDescent="0.25">
      <c r="A235" s="368">
        <v>45698</v>
      </c>
      <c r="B235" s="365">
        <v>0.20833333333333301</v>
      </c>
      <c r="C235" s="383">
        <v>10</v>
      </c>
      <c r="D235" s="319" t="s">
        <v>115</v>
      </c>
      <c r="E235" s="290">
        <v>14.2</v>
      </c>
      <c r="F235" s="291">
        <v>71.180000000000007</v>
      </c>
      <c r="G235" s="292" cm="1">
        <f t="array" aca="1" ref="G235" ca="1">INDIRECT("'"&amp;$C235&amp;"'!"&amp;"$"&amp;$D235&amp;$E$1&amp;"")</f>
        <v>0</v>
      </c>
      <c r="H235" s="293" t="s">
        <v>1</v>
      </c>
      <c r="I235" s="291" t="s">
        <v>1</v>
      </c>
      <c r="J235" s="292" cm="1">
        <f t="array" aca="1" ref="J235" ca="1">INDIRECT("'"&amp;$C235&amp;"'!"&amp;"$"&amp;$D235&amp;$J$1&amp;"")</f>
        <v>0</v>
      </c>
      <c r="K235" s="293"/>
      <c r="L235" s="293" t="s">
        <v>1</v>
      </c>
      <c r="M235" s="291" t="s">
        <v>1</v>
      </c>
      <c r="N235" s="292" cm="1">
        <f t="array" aca="1" ref="N235" ca="1">INDIRECT("'"&amp;$C235&amp;"'!"&amp;"$"&amp;$D235&amp;$N$1&amp;"")</f>
        <v>6.5</v>
      </c>
      <c r="O235" s="293"/>
      <c r="P235" s="293">
        <v>1</v>
      </c>
      <c r="Q235" s="291">
        <v>0</v>
      </c>
      <c r="R235" s="292" cm="1">
        <f t="array" aca="1" ref="R235" ca="1">INDIRECT("'"&amp;$C235&amp;"'!"&amp;"$"&amp;$D235&amp;$R$1&amp;"")</f>
        <v>6.5</v>
      </c>
      <c r="S235" s="293"/>
      <c r="T235" s="293">
        <v>1</v>
      </c>
      <c r="U235" s="291">
        <v>0</v>
      </c>
      <c r="V235" s="292" t="str" cm="1">
        <f t="array" aca="1" ref="V235" ca="1">INDIRECT("'"&amp;$C235&amp;"'!"&amp;"$"&amp;$D235&amp;$V$1&amp;"")</f>
        <v>CMS</v>
      </c>
      <c r="W235" s="293" t="s">
        <v>1</v>
      </c>
      <c r="X235" s="293" t="s">
        <v>1</v>
      </c>
      <c r="Y235" s="294" t="s">
        <v>1</v>
      </c>
      <c r="Z235" s="386" cm="1">
        <f t="array" aca="1" ref="Z235" ca="1">INDIRECT("'"&amp;$C235&amp;"'!"&amp;"$"&amp;$D235&amp;$Z$1&amp;"")</f>
        <v>0</v>
      </c>
      <c r="AA235" s="292" t="s">
        <v>1</v>
      </c>
      <c r="AB235" s="293" t="s">
        <v>1</v>
      </c>
      <c r="AC235" s="291" t="s">
        <v>1</v>
      </c>
      <c r="AD235" s="292" cm="1">
        <f t="array" aca="1" ref="AD235" ca="1">INDIRECT("'"&amp;$C235&amp;"'!"&amp;"$"&amp;$D235&amp;$AD$1&amp;"")</f>
        <v>3.3</v>
      </c>
      <c r="AE235" s="293">
        <f>3.67*3.8</f>
        <v>13.946</v>
      </c>
      <c r="AF235" s="293">
        <v>1</v>
      </c>
      <c r="AG235" s="294">
        <v>0</v>
      </c>
      <c r="AH235" s="290" cm="1">
        <f t="array" aca="1" ref="AH235" ca="1">INDIRECT("'"&amp;$C235&amp;"'!"&amp;"$"&amp;$D235&amp;$AH$1&amp;"")</f>
        <v>0</v>
      </c>
      <c r="AI235" s="293" t="s">
        <v>1</v>
      </c>
      <c r="AJ235" s="293" t="s">
        <v>1</v>
      </c>
      <c r="AK235" s="291" t="s">
        <v>1</v>
      </c>
      <c r="AL235" s="290" t="s">
        <v>1</v>
      </c>
      <c r="AM235" s="294" t="s">
        <v>1</v>
      </c>
      <c r="AN235" s="290" cm="1">
        <f t="array" aca="1" ref="AN235" ca="1">INDIRECT("'"&amp;$C235&amp;"'!"&amp;"$"&amp;$D235&amp;$AL$1&amp;"")</f>
        <v>0</v>
      </c>
      <c r="AO235" s="293" t="s">
        <v>1</v>
      </c>
      <c r="AP235" s="291" t="s">
        <v>1</v>
      </c>
      <c r="AQ235" s="292" cm="1">
        <f t="array" aca="1" ref="AQ235" ca="1">INDIRECT("'"&amp;$C235&amp;"'!"&amp;"$"&amp;$D235&amp;$AQ$1&amp;"")</f>
        <v>0</v>
      </c>
      <c r="AR235" s="293" t="s">
        <v>1</v>
      </c>
      <c r="AS235" s="291" t="s">
        <v>1</v>
      </c>
      <c r="AT235" s="295" t="s">
        <v>1</v>
      </c>
      <c r="AU235" s="294" t="s">
        <v>1</v>
      </c>
      <c r="AV235" s="290" t="str" cm="1">
        <f t="array" aca="1" ref="AV235" ca="1">INDIRECT("'"&amp;$C235&amp;"'!"&amp;"$"&amp;$D235&amp;$AT$1&amp;"")</f>
        <v>PMS</v>
      </c>
      <c r="AW235" s="293" t="s">
        <v>1</v>
      </c>
      <c r="AX235" s="294" t="s">
        <v>1</v>
      </c>
      <c r="AY235" s="386">
        <v>70.3</v>
      </c>
      <c r="AZ235" s="296" cm="1">
        <f t="array" aca="1" ref="AZ235" ca="1">INDIRECT("'"&amp;$C235&amp;"'!"&amp;"$"&amp;$D235&amp;$AY$1&amp;"")</f>
        <v>1.9</v>
      </c>
      <c r="BA235" s="293">
        <v>0.99</v>
      </c>
      <c r="BB235" s="291">
        <v>0.28000000000000003</v>
      </c>
      <c r="BC235" s="292" cm="1">
        <f t="array" aca="1" ref="BC235" ca="1">INDIRECT("'"&amp;$C235&amp;"'!"&amp;"$"&amp;$D235&amp;$BC$1&amp;"")</f>
        <v>0.7</v>
      </c>
      <c r="BD235" s="293"/>
      <c r="BE235" s="293">
        <v>1</v>
      </c>
      <c r="BF235" s="291">
        <v>0.04</v>
      </c>
      <c r="BG235" s="292" cm="1">
        <f t="array" aca="1" ref="BG235" ca="1">INDIRECT("'"&amp;$C235&amp;"'!"&amp;"$"&amp;$D235&amp;$BG$1&amp;"")</f>
        <v>0.68</v>
      </c>
      <c r="BH235" s="293"/>
      <c r="BI235" s="293">
        <v>0.96</v>
      </c>
      <c r="BJ235" s="291">
        <v>0.19</v>
      </c>
      <c r="BK235" s="292" cm="1">
        <f t="array" aca="1" ref="BK235" ca="1">INDIRECT("'"&amp;$C235&amp;"'!"&amp;"$"&amp;$D235&amp;$BK$1&amp;"")</f>
        <v>0</v>
      </c>
      <c r="BL235" s="293"/>
      <c r="BM235" s="293" t="s">
        <v>1</v>
      </c>
      <c r="BN235" s="291" t="s">
        <v>1</v>
      </c>
    </row>
    <row r="236" spans="1:66" ht="15.75" thickBot="1" x14ac:dyDescent="0.25">
      <c r="A236" s="368">
        <v>45698</v>
      </c>
      <c r="B236" s="365">
        <v>0.25</v>
      </c>
      <c r="C236" s="383">
        <v>10</v>
      </c>
      <c r="D236" s="319" t="s">
        <v>116</v>
      </c>
      <c r="E236" s="297">
        <v>14.2</v>
      </c>
      <c r="F236" s="298">
        <v>71.22</v>
      </c>
      <c r="G236" s="299" cm="1">
        <f t="array" aca="1" ref="G236" ca="1">INDIRECT("'"&amp;$C236&amp;"'!"&amp;"$"&amp;$D236&amp;$E$1&amp;"")</f>
        <v>1.5</v>
      </c>
      <c r="H236" s="300">
        <v>1</v>
      </c>
      <c r="I236" s="298">
        <v>0</v>
      </c>
      <c r="J236" s="299" cm="1">
        <f t="array" aca="1" ref="J236" ca="1">INDIRECT("'"&amp;$C236&amp;"'!"&amp;"$"&amp;$D236&amp;$J$1&amp;"")</f>
        <v>0</v>
      </c>
      <c r="K236" s="300"/>
      <c r="L236" s="300" t="s">
        <v>1</v>
      </c>
      <c r="M236" s="298" t="s">
        <v>1</v>
      </c>
      <c r="N236" s="299" cm="1">
        <f t="array" aca="1" ref="N236" ca="1">INDIRECT("'"&amp;$C236&amp;"'!"&amp;"$"&amp;$D236&amp;$N$1&amp;"")</f>
        <v>6.4</v>
      </c>
      <c r="O236" s="300"/>
      <c r="P236" s="300">
        <v>1</v>
      </c>
      <c r="Q236" s="298">
        <v>0</v>
      </c>
      <c r="R236" s="299" cm="1">
        <f t="array" aca="1" ref="R236" ca="1">INDIRECT("'"&amp;$C236&amp;"'!"&amp;"$"&amp;$D236&amp;$R$1&amp;"")</f>
        <v>6.4</v>
      </c>
      <c r="S236" s="300"/>
      <c r="T236" s="300">
        <v>1</v>
      </c>
      <c r="U236" s="298">
        <v>0</v>
      </c>
      <c r="V236" s="299" t="str" cm="1">
        <f t="array" aca="1" ref="V236" ca="1">INDIRECT("'"&amp;$C236&amp;"'!"&amp;"$"&amp;$D236&amp;$V$1&amp;"")</f>
        <v>CMS</v>
      </c>
      <c r="W236" s="300" t="s">
        <v>1</v>
      </c>
      <c r="X236" s="300" t="s">
        <v>1</v>
      </c>
      <c r="Y236" s="301" t="s">
        <v>1</v>
      </c>
      <c r="Z236" s="387" cm="1">
        <f t="array" aca="1" ref="Z236" ca="1">INDIRECT("'"&amp;$C236&amp;"'!"&amp;"$"&amp;$D236&amp;$Z$1&amp;"")</f>
        <v>0</v>
      </c>
      <c r="AA236" s="299" t="s">
        <v>1</v>
      </c>
      <c r="AB236" s="300" t="s">
        <v>1</v>
      </c>
      <c r="AC236" s="298" t="s">
        <v>1</v>
      </c>
      <c r="AD236" s="299" cm="1">
        <f t="array" aca="1" ref="AD236" ca="1">INDIRECT("'"&amp;$C236&amp;"'!"&amp;"$"&amp;$D236&amp;$AD$1&amp;"")</f>
        <v>3.3</v>
      </c>
      <c r="AE236" s="300">
        <f>3.8*3.67</f>
        <v>13.946</v>
      </c>
      <c r="AF236" s="300">
        <v>1</v>
      </c>
      <c r="AG236" s="301">
        <v>0</v>
      </c>
      <c r="AH236" s="297" cm="1">
        <f t="array" aca="1" ref="AH236" ca="1">INDIRECT("'"&amp;$C236&amp;"'!"&amp;"$"&amp;$D236&amp;$AH$1&amp;"")</f>
        <v>0</v>
      </c>
      <c r="AI236" s="300" t="s">
        <v>1</v>
      </c>
      <c r="AJ236" s="300" t="s">
        <v>1</v>
      </c>
      <c r="AK236" s="298" t="s">
        <v>1</v>
      </c>
      <c r="AL236" s="297" t="s">
        <v>1</v>
      </c>
      <c r="AM236" s="301" t="s">
        <v>1</v>
      </c>
      <c r="AN236" s="297" cm="1">
        <f t="array" aca="1" ref="AN236" ca="1">INDIRECT("'"&amp;$C236&amp;"'!"&amp;"$"&amp;$D236&amp;$AL$1&amp;"")</f>
        <v>0</v>
      </c>
      <c r="AO236" s="300" t="s">
        <v>1</v>
      </c>
      <c r="AP236" s="298" t="s">
        <v>1</v>
      </c>
      <c r="AQ236" s="299" cm="1">
        <f t="array" aca="1" ref="AQ236" ca="1">INDIRECT("'"&amp;$C236&amp;"'!"&amp;"$"&amp;$D236&amp;$AQ$1&amp;"")</f>
        <v>0</v>
      </c>
      <c r="AR236" s="300" t="s">
        <v>1</v>
      </c>
      <c r="AS236" s="298" t="s">
        <v>1</v>
      </c>
      <c r="AT236" s="302" t="s">
        <v>1</v>
      </c>
      <c r="AU236" s="301" t="s">
        <v>1</v>
      </c>
      <c r="AV236" s="297" t="str" cm="1">
        <f t="array" aca="1" ref="AV236" ca="1">INDIRECT("'"&amp;$C236&amp;"'!"&amp;"$"&amp;$D236&amp;$AT$1&amp;"")</f>
        <v>PMS</v>
      </c>
      <c r="AW236" s="300" t="s">
        <v>1</v>
      </c>
      <c r="AX236" s="301" t="s">
        <v>1</v>
      </c>
      <c r="AY236" s="387">
        <v>70.400000000000006</v>
      </c>
      <c r="AZ236" s="303" cm="1">
        <f t="array" aca="1" ref="AZ236" ca="1">INDIRECT("'"&amp;$C236&amp;"'!"&amp;"$"&amp;$D236&amp;$AY$1&amp;"")</f>
        <v>4.3999999999999995</v>
      </c>
      <c r="BA236" s="300">
        <v>0.98</v>
      </c>
      <c r="BB236" s="298">
        <v>0.89</v>
      </c>
      <c r="BC236" s="299" cm="1">
        <f t="array" aca="1" ref="BC236" ca="1">INDIRECT("'"&amp;$C236&amp;"'!"&amp;"$"&amp;$D236&amp;$BC$1&amp;"")</f>
        <v>0.86</v>
      </c>
      <c r="BD236" s="300"/>
      <c r="BE236" s="300">
        <v>1</v>
      </c>
      <c r="BF236" s="298">
        <v>0.06</v>
      </c>
      <c r="BG236" s="299" cm="1">
        <f t="array" aca="1" ref="BG236" ca="1">INDIRECT("'"&amp;$C236&amp;"'!"&amp;"$"&amp;$D236&amp;$BG$1&amp;"")</f>
        <v>0.68</v>
      </c>
      <c r="BH236" s="300"/>
      <c r="BI236" s="300">
        <v>0.96</v>
      </c>
      <c r="BJ236" s="298">
        <v>0.19</v>
      </c>
      <c r="BK236" s="299" cm="1">
        <f t="array" aca="1" ref="BK236" ca="1">INDIRECT("'"&amp;$C236&amp;"'!"&amp;"$"&amp;$D236&amp;$BK$1&amp;"")</f>
        <v>0</v>
      </c>
      <c r="BL236" s="300"/>
      <c r="BM236" s="300" t="s">
        <v>1</v>
      </c>
      <c r="BN236" s="298" t="s">
        <v>1</v>
      </c>
    </row>
    <row r="237" spans="1:66" ht="15.75" thickBot="1" x14ac:dyDescent="0.25">
      <c r="A237" s="368">
        <v>45698</v>
      </c>
      <c r="B237" s="365">
        <v>0.29166666666666702</v>
      </c>
      <c r="C237" s="383">
        <v>10</v>
      </c>
      <c r="D237" s="319" t="s">
        <v>117</v>
      </c>
      <c r="E237" s="290">
        <v>14.2</v>
      </c>
      <c r="F237" s="291">
        <v>70.77</v>
      </c>
      <c r="G237" s="292" cm="1">
        <f t="array" aca="1" ref="G237" ca="1">INDIRECT("'"&amp;$C237&amp;"'!"&amp;"$"&amp;$D237&amp;$E$1&amp;"")</f>
        <v>6.5</v>
      </c>
      <c r="H237" s="293">
        <v>0.99</v>
      </c>
      <c r="I237" s="291">
        <v>1.08</v>
      </c>
      <c r="J237" s="292" cm="1">
        <f t="array" aca="1" ref="J237" ca="1">INDIRECT("'"&amp;$C237&amp;"'!"&amp;"$"&amp;$D237&amp;$J$1&amp;"")</f>
        <v>0</v>
      </c>
      <c r="K237" s="293"/>
      <c r="L237" s="293" t="s">
        <v>1</v>
      </c>
      <c r="M237" s="291" t="s">
        <v>1</v>
      </c>
      <c r="N237" s="292" cm="1">
        <f t="array" aca="1" ref="N237" ca="1">INDIRECT("'"&amp;$C237&amp;"'!"&amp;"$"&amp;$D237&amp;$N$1&amp;"")</f>
        <v>6.5</v>
      </c>
      <c r="O237" s="293"/>
      <c r="P237" s="293">
        <v>0.99</v>
      </c>
      <c r="Q237" s="291">
        <v>1.08</v>
      </c>
      <c r="R237" s="292" cm="1">
        <f t="array" aca="1" ref="R237" ca="1">INDIRECT("'"&amp;$C237&amp;"'!"&amp;"$"&amp;$D237&amp;$R$1&amp;"")</f>
        <v>6.5</v>
      </c>
      <c r="S237" s="293"/>
      <c r="T237" s="293">
        <v>0.99</v>
      </c>
      <c r="U237" s="291">
        <v>1.08</v>
      </c>
      <c r="V237" s="292" t="str" cm="1">
        <f t="array" aca="1" ref="V237" ca="1">INDIRECT("'"&amp;$C237&amp;"'!"&amp;"$"&amp;$D237&amp;$V$1&amp;"")</f>
        <v>CMS</v>
      </c>
      <c r="W237" s="293" t="s">
        <v>1</v>
      </c>
      <c r="X237" s="293" t="s">
        <v>1</v>
      </c>
      <c r="Y237" s="294" t="s">
        <v>1</v>
      </c>
      <c r="Z237" s="386" cm="1">
        <f t="array" aca="1" ref="Z237" ca="1">INDIRECT("'"&amp;$C237&amp;"'!"&amp;"$"&amp;$D237&amp;$Z$1&amp;"")</f>
        <v>0</v>
      </c>
      <c r="AA237" s="292" t="s">
        <v>1</v>
      </c>
      <c r="AB237" s="293" t="s">
        <v>1</v>
      </c>
      <c r="AC237" s="291" t="s">
        <v>1</v>
      </c>
      <c r="AD237" s="292" cm="1">
        <f t="array" aca="1" ref="AD237" ca="1">INDIRECT("'"&amp;$C237&amp;"'!"&amp;"$"&amp;$D237&amp;$AD$1&amp;"")</f>
        <v>3.3</v>
      </c>
      <c r="AE237" s="293">
        <f>3.8*3.63</f>
        <v>13.793999999999999</v>
      </c>
      <c r="AF237" s="293">
        <v>0.98</v>
      </c>
      <c r="AG237" s="294">
        <v>0.61</v>
      </c>
      <c r="AH237" s="290" cm="1">
        <f t="array" aca="1" ref="AH237" ca="1">INDIRECT("'"&amp;$C237&amp;"'!"&amp;"$"&amp;$D237&amp;$AH$1&amp;"")</f>
        <v>0</v>
      </c>
      <c r="AI237" s="293" t="s">
        <v>1</v>
      </c>
      <c r="AJ237" s="293" t="s">
        <v>1</v>
      </c>
      <c r="AK237" s="291" t="s">
        <v>1</v>
      </c>
      <c r="AL237" s="290">
        <v>11.6</v>
      </c>
      <c r="AM237" s="294">
        <v>0</v>
      </c>
      <c r="AN237" s="290" cm="1">
        <f t="array" aca="1" ref="AN237" ca="1">INDIRECT("'"&amp;$C237&amp;"'!"&amp;"$"&amp;$D237&amp;$AL$1&amp;"")</f>
        <v>0</v>
      </c>
      <c r="AO237" s="293" t="s">
        <v>1</v>
      </c>
      <c r="AP237" s="291" t="s">
        <v>1</v>
      </c>
      <c r="AQ237" s="292" cm="1">
        <f t="array" aca="1" ref="AQ237" ca="1">INDIRECT("'"&amp;$C237&amp;"'!"&amp;"$"&amp;$D237&amp;$AQ$1&amp;"")</f>
        <v>0.2</v>
      </c>
      <c r="AR237" s="293">
        <v>0.28999999999999998</v>
      </c>
      <c r="AS237" s="291">
        <v>0</v>
      </c>
      <c r="AT237" s="295" t="s">
        <v>1</v>
      </c>
      <c r="AU237" s="294" t="s">
        <v>1</v>
      </c>
      <c r="AV237" s="290" t="str" cm="1">
        <f t="array" aca="1" ref="AV237" ca="1">INDIRECT("'"&amp;$C237&amp;"'!"&amp;"$"&amp;$D237&amp;$AT$1&amp;"")</f>
        <v>PMS</v>
      </c>
      <c r="AW237" s="293" t="s">
        <v>1</v>
      </c>
      <c r="AX237" s="294" t="s">
        <v>1</v>
      </c>
      <c r="AY237" s="386">
        <v>69.8</v>
      </c>
      <c r="AZ237" s="296" cm="1">
        <f t="array" aca="1" ref="AZ237" ca="1">INDIRECT("'"&amp;$C237&amp;"'!"&amp;"$"&amp;$D237&amp;$AY$1&amp;"")</f>
        <v>0.8</v>
      </c>
      <c r="BA237" s="293">
        <v>0.97</v>
      </c>
      <c r="BB237" s="291">
        <v>0.2</v>
      </c>
      <c r="BC237" s="292" cm="1">
        <f t="array" aca="1" ref="BC237" ca="1">INDIRECT("'"&amp;$C237&amp;"'!"&amp;"$"&amp;$D237&amp;$BC$1&amp;"")</f>
        <v>0.93</v>
      </c>
      <c r="BD237" s="293"/>
      <c r="BE237" s="293">
        <v>0.99</v>
      </c>
      <c r="BF237" s="291">
        <v>0.08</v>
      </c>
      <c r="BG237" s="292" cm="1">
        <f t="array" aca="1" ref="BG237" ca="1">INDIRECT("'"&amp;$C237&amp;"'!"&amp;"$"&amp;$D237&amp;$BG$1&amp;"")</f>
        <v>0.7</v>
      </c>
      <c r="BH237" s="293"/>
      <c r="BI237" s="293">
        <v>0.96</v>
      </c>
      <c r="BJ237" s="291">
        <v>0.18</v>
      </c>
      <c r="BK237" s="292" cm="1">
        <f t="array" aca="1" ref="BK237" ca="1">INDIRECT("'"&amp;$C237&amp;"'!"&amp;"$"&amp;$D237&amp;$BK$1&amp;"")</f>
        <v>2.27</v>
      </c>
      <c r="BL237" s="293"/>
      <c r="BM237" s="293">
        <v>0.95</v>
      </c>
      <c r="BN237" s="291">
        <v>0.74</v>
      </c>
    </row>
    <row r="238" spans="1:66" ht="15.75" thickBot="1" x14ac:dyDescent="0.25">
      <c r="A238" s="368">
        <v>45698</v>
      </c>
      <c r="B238" s="365">
        <v>0.33333333333333398</v>
      </c>
      <c r="C238" s="383">
        <v>10</v>
      </c>
      <c r="D238" s="319" t="s">
        <v>118</v>
      </c>
      <c r="E238" s="297">
        <v>14.2</v>
      </c>
      <c r="F238" s="298">
        <v>70.209999999999994</v>
      </c>
      <c r="G238" s="299" cm="1">
        <f t="array" aca="1" ref="G238" ca="1">INDIRECT("'"&amp;$C238&amp;"'!"&amp;"$"&amp;$D238&amp;$E$1&amp;"")</f>
        <v>6.7</v>
      </c>
      <c r="H238" s="300">
        <v>0.99</v>
      </c>
      <c r="I238" s="298">
        <v>1.1399999999999999</v>
      </c>
      <c r="J238" s="299" cm="1">
        <f t="array" aca="1" ref="J238" ca="1">INDIRECT("'"&amp;$C238&amp;"'!"&amp;"$"&amp;$D238&amp;$J$1&amp;"")</f>
        <v>0</v>
      </c>
      <c r="K238" s="300"/>
      <c r="L238" s="300" t="s">
        <v>1</v>
      </c>
      <c r="M238" s="298" t="s">
        <v>1</v>
      </c>
      <c r="N238" s="299" cm="1">
        <f t="array" aca="1" ref="N238" ca="1">INDIRECT("'"&amp;$C238&amp;"'!"&amp;"$"&amp;$D238&amp;$N$1&amp;"")</f>
        <v>6.7</v>
      </c>
      <c r="O238" s="300"/>
      <c r="P238" s="300">
        <v>0.99</v>
      </c>
      <c r="Q238" s="298">
        <v>1.1399999999999999</v>
      </c>
      <c r="R238" s="299" cm="1">
        <f t="array" aca="1" ref="R238" ca="1">INDIRECT("'"&amp;$C238&amp;"'!"&amp;"$"&amp;$D238&amp;$R$1&amp;"")</f>
        <v>6.7</v>
      </c>
      <c r="S238" s="300"/>
      <c r="T238" s="300">
        <v>0.99</v>
      </c>
      <c r="U238" s="298">
        <v>1.1399999999999999</v>
      </c>
      <c r="V238" s="299" t="str" cm="1">
        <f t="array" aca="1" ref="V238" ca="1">INDIRECT("'"&amp;$C238&amp;"'!"&amp;"$"&amp;$D238&amp;$V$1&amp;"")</f>
        <v>CMS</v>
      </c>
      <c r="W238" s="300" t="s">
        <v>1</v>
      </c>
      <c r="X238" s="300" t="s">
        <v>1</v>
      </c>
      <c r="Y238" s="301" t="s">
        <v>1</v>
      </c>
      <c r="Z238" s="387" cm="1">
        <f t="array" aca="1" ref="Z238" ca="1">INDIRECT("'"&amp;$C238&amp;"'!"&amp;"$"&amp;$D238&amp;$Z$1&amp;"")</f>
        <v>0</v>
      </c>
      <c r="AA238" s="299" t="s">
        <v>1</v>
      </c>
      <c r="AB238" s="300" t="s">
        <v>1</v>
      </c>
      <c r="AC238" s="298" t="s">
        <v>1</v>
      </c>
      <c r="AD238" s="299" cm="1">
        <f t="array" aca="1" ref="AD238" ca="1">INDIRECT("'"&amp;$C238&amp;"'!"&amp;"$"&amp;$D238&amp;$AD$1&amp;"")</f>
        <v>3.3</v>
      </c>
      <c r="AE238" s="300">
        <f>3.8*3.61</f>
        <v>13.717999999999998</v>
      </c>
      <c r="AF238" s="300">
        <v>0.98</v>
      </c>
      <c r="AG238" s="301">
        <v>0.62</v>
      </c>
      <c r="AH238" s="297" cm="1">
        <f t="array" aca="1" ref="AH238" ca="1">INDIRECT("'"&amp;$C238&amp;"'!"&amp;"$"&amp;$D238&amp;$AH$1&amp;"")</f>
        <v>1.9</v>
      </c>
      <c r="AI238" s="300">
        <v>13.8</v>
      </c>
      <c r="AJ238" s="300">
        <v>0.97</v>
      </c>
      <c r="AK238" s="298">
        <v>0.47</v>
      </c>
      <c r="AL238" s="297">
        <v>11.3</v>
      </c>
      <c r="AM238" s="301">
        <v>70.3</v>
      </c>
      <c r="AN238" s="297" t="str" cm="1">
        <f t="array" aca="1" ref="AN238" ca="1">INDIRECT("'"&amp;$C238&amp;"'!"&amp;"$"&amp;$D238&amp;$AL$1&amp;"")</f>
        <v>CMS</v>
      </c>
      <c r="AO238" s="300" t="s">
        <v>1</v>
      </c>
      <c r="AP238" s="298" t="s">
        <v>1</v>
      </c>
      <c r="AQ238" s="299" cm="1">
        <f t="array" aca="1" ref="AQ238" ca="1">INDIRECT("'"&amp;$C238&amp;"'!"&amp;"$"&amp;$D238&amp;$AQ$1&amp;"")</f>
        <v>1.6</v>
      </c>
      <c r="AR238" s="300">
        <v>1</v>
      </c>
      <c r="AS238" s="298">
        <v>0</v>
      </c>
      <c r="AT238" s="302" t="s">
        <v>1</v>
      </c>
      <c r="AU238" s="301" t="s">
        <v>1</v>
      </c>
      <c r="AV238" s="297" t="str" cm="1">
        <f t="array" aca="1" ref="AV238" ca="1">INDIRECT("'"&amp;$C238&amp;"'!"&amp;"$"&amp;$D238&amp;$AT$1&amp;"")</f>
        <v>PMS</v>
      </c>
      <c r="AW238" s="300" t="s">
        <v>1</v>
      </c>
      <c r="AX238" s="301" t="s">
        <v>1</v>
      </c>
      <c r="AY238" s="387">
        <v>69.2</v>
      </c>
      <c r="AZ238" s="303" cm="1">
        <f t="array" aca="1" ref="AZ238" ca="1">INDIRECT("'"&amp;$C238&amp;"'!"&amp;"$"&amp;$D238&amp;$AY$1&amp;"")</f>
        <v>2.4000000000000004</v>
      </c>
      <c r="BA238" s="300">
        <v>0.97</v>
      </c>
      <c r="BB238" s="298">
        <v>0.6</v>
      </c>
      <c r="BC238" s="299" cm="1">
        <f t="array" aca="1" ref="BC238" ca="1">INDIRECT("'"&amp;$C238&amp;"'!"&amp;"$"&amp;$D238&amp;$BC$1&amp;"")</f>
        <v>0.91</v>
      </c>
      <c r="BD238" s="300"/>
      <c r="BE238" s="300">
        <v>0.99</v>
      </c>
      <c r="BF238" s="298">
        <v>0.08</v>
      </c>
      <c r="BG238" s="299" cm="1">
        <f t="array" aca="1" ref="BG238" ca="1">INDIRECT("'"&amp;$C238&amp;"'!"&amp;"$"&amp;$D238&amp;$BG$1&amp;"")</f>
        <v>0.68</v>
      </c>
      <c r="BH238" s="300"/>
      <c r="BI238" s="300">
        <v>0.96</v>
      </c>
      <c r="BJ238" s="298">
        <v>0.18</v>
      </c>
      <c r="BK238" s="299" cm="1">
        <f t="array" aca="1" ref="BK238" ca="1">INDIRECT("'"&amp;$C238&amp;"'!"&amp;"$"&amp;$D238&amp;$BK$1&amp;"")</f>
        <v>3.61</v>
      </c>
      <c r="BL238" s="300"/>
      <c r="BM238" s="300">
        <v>0.95</v>
      </c>
      <c r="BN238" s="300">
        <v>1.1000000000000001</v>
      </c>
    </row>
    <row r="239" spans="1:66" ht="15.75" thickBot="1" x14ac:dyDescent="0.25">
      <c r="A239" s="368">
        <v>45698</v>
      </c>
      <c r="B239" s="365">
        <v>0.375</v>
      </c>
      <c r="C239" s="383">
        <v>10</v>
      </c>
      <c r="D239" s="319" t="s">
        <v>119</v>
      </c>
      <c r="E239" s="290">
        <v>14</v>
      </c>
      <c r="F239" s="291">
        <v>70.2</v>
      </c>
      <c r="G239" s="292" cm="1">
        <f t="array" aca="1" ref="G239" ca="1">INDIRECT("'"&amp;$C239&amp;"'!"&amp;"$"&amp;$D239&amp;$E$1&amp;"")</f>
        <v>5.8</v>
      </c>
      <c r="H239" s="293">
        <v>0.98</v>
      </c>
      <c r="I239" s="291">
        <v>1.26</v>
      </c>
      <c r="J239" s="292" cm="1">
        <f t="array" aca="1" ref="J239" ca="1">INDIRECT("'"&amp;$C239&amp;"'!"&amp;"$"&amp;$D239&amp;$J$1&amp;"")</f>
        <v>5.8</v>
      </c>
      <c r="K239" s="293"/>
      <c r="L239" s="293">
        <v>0.98</v>
      </c>
      <c r="M239" s="291">
        <v>1.26</v>
      </c>
      <c r="N239" s="292" cm="1">
        <f t="array" aca="1" ref="N239" ca="1">INDIRECT("'"&amp;$C239&amp;"'!"&amp;"$"&amp;$D239&amp;$N$1&amp;"")</f>
        <v>5.8</v>
      </c>
      <c r="O239" s="293"/>
      <c r="P239" s="293">
        <v>0.98</v>
      </c>
      <c r="Q239" s="291">
        <v>1.26</v>
      </c>
      <c r="R239" s="292" cm="1">
        <f t="array" aca="1" ref="R239" ca="1">INDIRECT("'"&amp;$C239&amp;"'!"&amp;"$"&amp;$D239&amp;$R$1&amp;"")</f>
        <v>5.8</v>
      </c>
      <c r="S239" s="293"/>
      <c r="T239" s="293">
        <v>0.98</v>
      </c>
      <c r="U239" s="291">
        <v>1.26</v>
      </c>
      <c r="V239" s="292" t="str" cm="1">
        <f t="array" aca="1" ref="V239" ca="1">INDIRECT("'"&amp;$C239&amp;"'!"&amp;"$"&amp;$D239&amp;$V$1&amp;"")</f>
        <v>CMS</v>
      </c>
      <c r="W239" s="293" t="s">
        <v>1</v>
      </c>
      <c r="X239" s="293" t="s">
        <v>1</v>
      </c>
      <c r="Y239" s="294" t="s">
        <v>1</v>
      </c>
      <c r="Z239" s="386" cm="1">
        <f t="array" aca="1" ref="Z239" ca="1">INDIRECT("'"&amp;$C239&amp;"'!"&amp;"$"&amp;$D239&amp;$Z$1&amp;"")</f>
        <v>0</v>
      </c>
      <c r="AA239" s="292" t="s">
        <v>1</v>
      </c>
      <c r="AB239" s="293" t="s">
        <v>1</v>
      </c>
      <c r="AC239" s="291" t="s">
        <v>1</v>
      </c>
      <c r="AD239" s="292" cm="1">
        <f t="array" aca="1" ref="AD239" ca="1">INDIRECT("'"&amp;$C239&amp;"'!"&amp;"$"&amp;$D239&amp;$AD$1&amp;"")</f>
        <v>3</v>
      </c>
      <c r="AE239" s="293">
        <f>3.8*3.57</f>
        <v>13.565999999999999</v>
      </c>
      <c r="AF239" s="293">
        <v>0.96</v>
      </c>
      <c r="AG239" s="294">
        <v>0.87</v>
      </c>
      <c r="AH239" s="290" cm="1">
        <f t="array" aca="1" ref="AH239" ca="1">INDIRECT("'"&amp;$C239&amp;"'!"&amp;"$"&amp;$D239&amp;$AH$1&amp;"")</f>
        <v>3</v>
      </c>
      <c r="AI239" s="293">
        <v>13.8</v>
      </c>
      <c r="AJ239" s="293">
        <v>0.98</v>
      </c>
      <c r="AK239" s="291">
        <v>0.47399999999999998</v>
      </c>
      <c r="AL239" s="290">
        <v>11.8</v>
      </c>
      <c r="AM239" s="294">
        <v>70.8</v>
      </c>
      <c r="AN239" s="290" t="str" cm="1">
        <f t="array" aca="1" ref="AN239" ca="1">INDIRECT("'"&amp;$C239&amp;"'!"&amp;"$"&amp;$D239&amp;$AL$1&amp;"")</f>
        <v>CMS</v>
      </c>
      <c r="AO239" s="293" t="s">
        <v>1</v>
      </c>
      <c r="AP239" s="291" t="s">
        <v>1</v>
      </c>
      <c r="AQ239" s="292" cm="1">
        <f t="array" aca="1" ref="AQ239" ca="1">INDIRECT("'"&amp;$C239&amp;"'!"&amp;"$"&amp;$D239&amp;$AQ$1&amp;"")</f>
        <v>1.8</v>
      </c>
      <c r="AR239" s="293">
        <v>0.99</v>
      </c>
      <c r="AS239" s="291">
        <v>0.21</v>
      </c>
      <c r="AT239" s="295" t="s">
        <v>1</v>
      </c>
      <c r="AU239" s="294" t="s">
        <v>1</v>
      </c>
      <c r="AV239" s="290" t="str" cm="1">
        <f t="array" aca="1" ref="AV239" ca="1">INDIRECT("'"&amp;$C239&amp;"'!"&amp;"$"&amp;$D239&amp;$AT$1&amp;"")</f>
        <v>PMS</v>
      </c>
      <c r="AW239" s="293" t="s">
        <v>1</v>
      </c>
      <c r="AX239" s="294" t="s">
        <v>1</v>
      </c>
      <c r="AY239" s="386">
        <v>68.400000000000006</v>
      </c>
      <c r="AZ239" s="296" cm="1">
        <f t="array" aca="1" ref="AZ239" ca="1">INDIRECT("'"&amp;$C239&amp;"'!"&amp;"$"&amp;$D239&amp;$AY$1&amp;"")</f>
        <v>0.8</v>
      </c>
      <c r="BA239" s="293">
        <v>0.97</v>
      </c>
      <c r="BB239" s="291">
        <v>0.2</v>
      </c>
      <c r="BC239" s="292" cm="1">
        <f t="array" aca="1" ref="BC239" ca="1">INDIRECT("'"&amp;$C239&amp;"'!"&amp;"$"&amp;$D239&amp;$BC$1&amp;"")</f>
        <v>0.97</v>
      </c>
      <c r="BD239" s="293"/>
      <c r="BE239" s="293">
        <v>0.99</v>
      </c>
      <c r="BF239" s="291">
        <v>0.09</v>
      </c>
      <c r="BG239" s="292" cm="1">
        <f t="array" aca="1" ref="BG239" ca="1">INDIRECT("'"&amp;$C239&amp;"'!"&amp;"$"&amp;$D239&amp;$BG$1&amp;"")</f>
        <v>0.68</v>
      </c>
      <c r="BH239" s="293"/>
      <c r="BI239" s="293">
        <v>0.96</v>
      </c>
      <c r="BJ239" s="291">
        <v>0.17</v>
      </c>
      <c r="BK239" s="292" cm="1">
        <f t="array" aca="1" ref="BK239" ca="1">INDIRECT("'"&amp;$C239&amp;"'!"&amp;"$"&amp;$D239&amp;$BK$1&amp;"")</f>
        <v>3.4399999999999995</v>
      </c>
      <c r="BL239" s="293"/>
      <c r="BM239" s="293">
        <v>0.95</v>
      </c>
      <c r="BN239" s="291">
        <v>1.1000000000000001</v>
      </c>
    </row>
    <row r="240" spans="1:66" ht="15.75" thickBot="1" x14ac:dyDescent="0.25">
      <c r="A240" s="368">
        <v>45698</v>
      </c>
      <c r="B240" s="365">
        <v>0.41666666666666702</v>
      </c>
      <c r="C240" s="383">
        <v>10</v>
      </c>
      <c r="D240" s="319" t="s">
        <v>120</v>
      </c>
      <c r="E240" s="297">
        <v>14.2</v>
      </c>
      <c r="F240" s="298">
        <v>69.45</v>
      </c>
      <c r="G240" s="299" cm="1">
        <f t="array" aca="1" ref="G240" ca="1">INDIRECT("'"&amp;$C240&amp;"'!"&amp;"$"&amp;$D240&amp;$E$1&amp;"")</f>
        <v>6.5</v>
      </c>
      <c r="H240" s="300">
        <v>0.96</v>
      </c>
      <c r="I240" s="298">
        <v>1.8</v>
      </c>
      <c r="J240" s="299" cm="1">
        <f t="array" aca="1" ref="J240" ca="1">INDIRECT("'"&amp;$C240&amp;"'!"&amp;"$"&amp;$D240&amp;$J$1&amp;"")</f>
        <v>6.5</v>
      </c>
      <c r="K240" s="300"/>
      <c r="L240" s="300">
        <v>0.96</v>
      </c>
      <c r="M240" s="298">
        <v>1.8</v>
      </c>
      <c r="N240" s="299" cm="1">
        <f t="array" aca="1" ref="N240" ca="1">INDIRECT("'"&amp;$C240&amp;"'!"&amp;"$"&amp;$D240&amp;$N$1&amp;"")</f>
        <v>6.5</v>
      </c>
      <c r="O240" s="300"/>
      <c r="P240" s="300">
        <v>0.96</v>
      </c>
      <c r="Q240" s="298">
        <v>1.8</v>
      </c>
      <c r="R240" s="299" cm="1">
        <f t="array" aca="1" ref="R240" ca="1">INDIRECT("'"&amp;$C240&amp;"'!"&amp;"$"&amp;$D240&amp;$R$1&amp;"")</f>
        <v>6.5</v>
      </c>
      <c r="S240" s="300"/>
      <c r="T240" s="300">
        <v>0.96</v>
      </c>
      <c r="U240" s="298">
        <v>1.8</v>
      </c>
      <c r="V240" s="299" t="str" cm="1">
        <f t="array" aca="1" ref="V240" ca="1">INDIRECT("'"&amp;$C240&amp;"'!"&amp;"$"&amp;$D240&amp;$V$1&amp;"")</f>
        <v>CMS</v>
      </c>
      <c r="W240" s="300" t="s">
        <v>1</v>
      </c>
      <c r="X240" s="300" t="s">
        <v>1</v>
      </c>
      <c r="Y240" s="301" t="s">
        <v>1</v>
      </c>
      <c r="Z240" s="387" cm="1">
        <f t="array" aca="1" ref="Z240" ca="1">INDIRECT("'"&amp;$C240&amp;"'!"&amp;"$"&amp;$D240&amp;$Z$1&amp;"")</f>
        <v>0</v>
      </c>
      <c r="AA240" s="299" t="s">
        <v>1</v>
      </c>
      <c r="AB240" s="300" t="s">
        <v>1</v>
      </c>
      <c r="AC240" s="298" t="s">
        <v>1</v>
      </c>
      <c r="AD240" s="299" cm="1">
        <f t="array" aca="1" ref="AD240" ca="1">INDIRECT("'"&amp;$C240&amp;"'!"&amp;"$"&amp;$D240&amp;$AD$1&amp;"")</f>
        <v>3.3</v>
      </c>
      <c r="AE240" s="300">
        <f>3.8*3.54</f>
        <v>13.452</v>
      </c>
      <c r="AF240" s="300">
        <v>0.95</v>
      </c>
      <c r="AG240" s="301">
        <v>1.08</v>
      </c>
      <c r="AH240" s="297" cm="1">
        <f t="array" aca="1" ref="AH240" ca="1">INDIRECT("'"&amp;$C240&amp;"'!"&amp;"$"&amp;$D240&amp;$AH$1&amp;"")</f>
        <v>2.1</v>
      </c>
      <c r="AI240" s="300">
        <v>13.84</v>
      </c>
      <c r="AJ240" s="300">
        <v>0.97</v>
      </c>
      <c r="AK240" s="298">
        <v>0.498</v>
      </c>
      <c r="AL240" s="297">
        <v>11.8</v>
      </c>
      <c r="AM240" s="301">
        <v>70.2</v>
      </c>
      <c r="AN240" s="297" t="str" cm="1">
        <f t="array" aca="1" ref="AN240" ca="1">INDIRECT("'"&amp;$C240&amp;"'!"&amp;"$"&amp;$D240&amp;$AL$1&amp;"")</f>
        <v>CMS</v>
      </c>
      <c r="AO240" s="300" t="s">
        <v>1</v>
      </c>
      <c r="AP240" s="298" t="s">
        <v>1</v>
      </c>
      <c r="AQ240" s="299" cm="1">
        <f t="array" aca="1" ref="AQ240" ca="1">INDIRECT("'"&amp;$C240&amp;"'!"&amp;"$"&amp;$D240&amp;$AQ$1&amp;"")</f>
        <v>2.2000000000000002</v>
      </c>
      <c r="AR240" s="300">
        <v>0.99</v>
      </c>
      <c r="AS240" s="298">
        <v>0.23</v>
      </c>
      <c r="AT240" s="302" t="s">
        <v>1</v>
      </c>
      <c r="AU240" s="301" t="s">
        <v>1</v>
      </c>
      <c r="AV240" s="297" t="str" cm="1">
        <f t="array" aca="1" ref="AV240" ca="1">INDIRECT("'"&amp;$C240&amp;"'!"&amp;"$"&amp;$D240&amp;$AT$1&amp;"")</f>
        <v>PMS</v>
      </c>
      <c r="AW240" s="300" t="s">
        <v>1</v>
      </c>
      <c r="AX240" s="301" t="s">
        <v>1</v>
      </c>
      <c r="AY240" s="387">
        <v>68.2</v>
      </c>
      <c r="AZ240" s="303" cm="1">
        <f t="array" aca="1" ref="AZ240" ca="1">INDIRECT("'"&amp;$C240&amp;"'!"&amp;"$"&amp;$D240&amp;$AY$1&amp;"")</f>
        <v>2.39</v>
      </c>
      <c r="BA240" s="300">
        <v>0.97</v>
      </c>
      <c r="BB240" s="298">
        <v>0.59</v>
      </c>
      <c r="BC240" s="299" cm="1">
        <f t="array" aca="1" ref="BC240" ca="1">INDIRECT("'"&amp;$C240&amp;"'!"&amp;"$"&amp;$D240&amp;$BC$1&amp;"")</f>
        <v>0.99</v>
      </c>
      <c r="BD240" s="300"/>
      <c r="BE240" s="300">
        <v>0.99</v>
      </c>
      <c r="BF240" s="298">
        <v>0.1</v>
      </c>
      <c r="BG240" s="299" cm="1">
        <f t="array" aca="1" ref="BG240" ca="1">INDIRECT("'"&amp;$C240&amp;"'!"&amp;"$"&amp;$D240&amp;$BG$1&amp;"")</f>
        <v>0.7</v>
      </c>
      <c r="BH240" s="300"/>
      <c r="BI240" s="300">
        <v>0.97</v>
      </c>
      <c r="BJ240" s="298">
        <v>0.17</v>
      </c>
      <c r="BK240" s="299" cm="1">
        <f t="array" aca="1" ref="BK240" ca="1">INDIRECT("'"&amp;$C240&amp;"'!"&amp;"$"&amp;$D240&amp;$BK$1&amp;"")</f>
        <v>3.5500000000000003</v>
      </c>
      <c r="BL240" s="300"/>
      <c r="BM240" s="300">
        <v>0.95</v>
      </c>
      <c r="BN240" s="298">
        <v>1.1000000000000001</v>
      </c>
    </row>
    <row r="241" spans="1:66" ht="15.75" thickBot="1" x14ac:dyDescent="0.25">
      <c r="A241" s="368">
        <v>45698</v>
      </c>
      <c r="B241" s="365">
        <v>0.45833333333333398</v>
      </c>
      <c r="C241" s="383">
        <v>10</v>
      </c>
      <c r="D241" s="319" t="s">
        <v>121</v>
      </c>
      <c r="E241" s="290">
        <v>14.1</v>
      </c>
      <c r="F241" s="291">
        <v>69.790000000000006</v>
      </c>
      <c r="G241" s="292" t="str" cm="1">
        <f t="array" aca="1" ref="G241" ca="1">INDIRECT("'"&amp;$C241&amp;"'!"&amp;"$"&amp;$D241&amp;$E$1&amp;"")</f>
        <v>CMS</v>
      </c>
      <c r="H241" s="293" t="s">
        <v>1</v>
      </c>
      <c r="I241" s="291" t="s">
        <v>1</v>
      </c>
      <c r="J241" s="292" cm="1">
        <f t="array" aca="1" ref="J241" ca="1">INDIRECT("'"&amp;$C241&amp;"'!"&amp;"$"&amp;$D241&amp;$J$1&amp;"")</f>
        <v>6.3</v>
      </c>
      <c r="K241" s="293"/>
      <c r="L241" s="293">
        <v>0.99</v>
      </c>
      <c r="M241" s="291">
        <v>1.66</v>
      </c>
      <c r="N241" s="292" cm="1">
        <f t="array" aca="1" ref="N241" ca="1">INDIRECT("'"&amp;$C241&amp;"'!"&amp;"$"&amp;$D241&amp;$N$1&amp;"")</f>
        <v>6.3</v>
      </c>
      <c r="O241" s="293"/>
      <c r="P241" s="293">
        <v>0.99</v>
      </c>
      <c r="Q241" s="291">
        <v>1.66</v>
      </c>
      <c r="R241" s="292" cm="1">
        <f t="array" aca="1" ref="R241" ca="1">INDIRECT("'"&amp;$C241&amp;"'!"&amp;"$"&amp;$D241&amp;$R$1&amp;"")</f>
        <v>6.3</v>
      </c>
      <c r="S241" s="293"/>
      <c r="T241" s="293">
        <v>0.99</v>
      </c>
      <c r="U241" s="291">
        <v>1.66</v>
      </c>
      <c r="V241" s="292" t="str" cm="1">
        <f t="array" aca="1" ref="V241" ca="1">INDIRECT("'"&amp;$C241&amp;"'!"&amp;"$"&amp;$D241&amp;$V$1&amp;"")</f>
        <v>CMS</v>
      </c>
      <c r="W241" s="293" t="s">
        <v>1</v>
      </c>
      <c r="X241" s="293" t="s">
        <v>1</v>
      </c>
      <c r="Y241" s="294" t="s">
        <v>1</v>
      </c>
      <c r="Z241" s="386" cm="1">
        <f t="array" aca="1" ref="Z241" ca="1">INDIRECT("'"&amp;$C241&amp;"'!"&amp;"$"&amp;$D241&amp;$Z$1&amp;"")</f>
        <v>0</v>
      </c>
      <c r="AA241" s="292" t="s">
        <v>1</v>
      </c>
      <c r="AB241" s="293" t="s">
        <v>1</v>
      </c>
      <c r="AC241" s="291" t="s">
        <v>1</v>
      </c>
      <c r="AD241" s="292" cm="1">
        <f t="array" aca="1" ref="AD241" ca="1">INDIRECT("'"&amp;$C241&amp;"'!"&amp;"$"&amp;$D241&amp;$AD$1&amp;"")</f>
        <v>2.8</v>
      </c>
      <c r="AE241" s="293">
        <f>3.8*3.59</f>
        <v>13.641999999999999</v>
      </c>
      <c r="AF241" s="293">
        <v>0.98</v>
      </c>
      <c r="AG241" s="294">
        <v>0.49</v>
      </c>
      <c r="AH241" s="290" t="str" cm="1">
        <f t="array" aca="1" ref="AH241" ca="1">INDIRECT("'"&amp;$C241&amp;"'!"&amp;"$"&amp;$D241&amp;$AH$1&amp;"")</f>
        <v>CMS</v>
      </c>
      <c r="AI241" s="293" t="s">
        <v>1</v>
      </c>
      <c r="AJ241" s="293" t="s">
        <v>1</v>
      </c>
      <c r="AK241" s="291" t="s">
        <v>1</v>
      </c>
      <c r="AL241" s="290">
        <v>11.9</v>
      </c>
      <c r="AM241" s="294">
        <v>71.3</v>
      </c>
      <c r="AN241" s="290" t="str" cm="1">
        <f t="array" aca="1" ref="AN241" ca="1">INDIRECT("'"&amp;$C241&amp;"'!"&amp;"$"&amp;$D241&amp;$AL$1&amp;"")</f>
        <v>CMS</v>
      </c>
      <c r="AO241" s="293" t="s">
        <v>1</v>
      </c>
      <c r="AP241" s="291" t="s">
        <v>1</v>
      </c>
      <c r="AQ241" s="292" cm="1">
        <f t="array" aca="1" ref="AQ241" ca="1">INDIRECT("'"&amp;$C241&amp;"'!"&amp;"$"&amp;$D241&amp;$AQ$1&amp;"")</f>
        <v>3.3</v>
      </c>
      <c r="AR241" s="293">
        <v>1</v>
      </c>
      <c r="AS241" s="291">
        <v>0</v>
      </c>
      <c r="AT241" s="295" t="s">
        <v>1</v>
      </c>
      <c r="AU241" s="294" t="s">
        <v>1</v>
      </c>
      <c r="AV241" s="290" t="str" cm="1">
        <f t="array" aca="1" ref="AV241" ca="1">INDIRECT("'"&amp;$C241&amp;"'!"&amp;"$"&amp;$D241&amp;$AT$1&amp;"")</f>
        <v>PMS</v>
      </c>
      <c r="AW241" s="293" t="s">
        <v>1</v>
      </c>
      <c r="AX241" s="294" t="s">
        <v>1</v>
      </c>
      <c r="AY241" s="386">
        <v>69.7</v>
      </c>
      <c r="AZ241" s="296" cm="1">
        <f t="array" aca="1" ref="AZ241" ca="1">INDIRECT("'"&amp;$C241&amp;"'!"&amp;"$"&amp;$D241&amp;$AY$1&amp;"")</f>
        <v>2.7</v>
      </c>
      <c r="BA241" s="293">
        <v>0.97</v>
      </c>
      <c r="BB241" s="291">
        <v>0.68</v>
      </c>
      <c r="BC241" s="292" cm="1">
        <f t="array" aca="1" ref="BC241" ca="1">INDIRECT("'"&amp;$C241&amp;"'!"&amp;"$"&amp;$D241&amp;$BC$1&amp;"")</f>
        <v>1</v>
      </c>
      <c r="BD241" s="293"/>
      <c r="BE241" s="293">
        <v>0.99</v>
      </c>
      <c r="BF241" s="291">
        <v>0.1</v>
      </c>
      <c r="BG241" s="292" cm="1">
        <f t="array" aca="1" ref="BG241" ca="1">INDIRECT("'"&amp;$C241&amp;"'!"&amp;"$"&amp;$D241&amp;$BG$1&amp;"")</f>
        <v>0.69</v>
      </c>
      <c r="BH241" s="293"/>
      <c r="BI241" s="293">
        <v>0.97</v>
      </c>
      <c r="BJ241" s="291">
        <v>0.18</v>
      </c>
      <c r="BK241" s="292" cm="1">
        <f t="array" aca="1" ref="BK241" ca="1">INDIRECT("'"&amp;$C241&amp;"'!"&amp;"$"&amp;$D241&amp;$BK$1&amp;"")</f>
        <v>0</v>
      </c>
      <c r="BL241" s="293"/>
      <c r="BM241" s="293" t="s">
        <v>1</v>
      </c>
      <c r="BN241" s="291" t="s">
        <v>1</v>
      </c>
    </row>
    <row r="242" spans="1:66" ht="15.75" thickBot="1" x14ac:dyDescent="0.25">
      <c r="A242" s="368">
        <v>45698</v>
      </c>
      <c r="B242" s="365">
        <v>0.5</v>
      </c>
      <c r="C242" s="383">
        <v>10</v>
      </c>
      <c r="D242" s="319" t="s">
        <v>122</v>
      </c>
      <c r="E242" s="297">
        <v>14.1</v>
      </c>
      <c r="F242" s="298">
        <v>69.790000000000006</v>
      </c>
      <c r="G242" s="299" t="str" cm="1">
        <f t="array" aca="1" ref="G242" ca="1">INDIRECT("'"&amp;$C242&amp;"'!"&amp;"$"&amp;$D242&amp;$E$1&amp;"")</f>
        <v>CMS</v>
      </c>
      <c r="H242" s="300" t="s">
        <v>1</v>
      </c>
      <c r="I242" s="298" t="s">
        <v>1</v>
      </c>
      <c r="J242" s="299" cm="1">
        <f t="array" aca="1" ref="J242" ca="1">INDIRECT("'"&amp;$C242&amp;"'!"&amp;"$"&amp;$D242&amp;$J$1&amp;"")</f>
        <v>6.2</v>
      </c>
      <c r="K242" s="300"/>
      <c r="L242" s="300">
        <v>0.99</v>
      </c>
      <c r="M242" s="298">
        <v>1.07</v>
      </c>
      <c r="N242" s="299" cm="1">
        <f t="array" aca="1" ref="N242" ca="1">INDIRECT("'"&amp;$C242&amp;"'!"&amp;"$"&amp;$D242&amp;$N$1&amp;"")</f>
        <v>6.2</v>
      </c>
      <c r="O242" s="300"/>
      <c r="P242" s="300">
        <v>0.99</v>
      </c>
      <c r="Q242" s="298">
        <v>1.07</v>
      </c>
      <c r="R242" s="299" cm="1">
        <f t="array" aca="1" ref="R242" ca="1">INDIRECT("'"&amp;$C242&amp;"'!"&amp;"$"&amp;$D242&amp;$R$1&amp;"")</f>
        <v>6.2</v>
      </c>
      <c r="S242" s="300"/>
      <c r="T242" s="300">
        <v>0.99</v>
      </c>
      <c r="U242" s="298">
        <v>1.07</v>
      </c>
      <c r="V242" s="299" t="str" cm="1">
        <f t="array" aca="1" ref="V242" ca="1">INDIRECT("'"&amp;$C242&amp;"'!"&amp;"$"&amp;$D242&amp;$V$1&amp;"")</f>
        <v>CMS</v>
      </c>
      <c r="W242" s="300" t="s">
        <v>1</v>
      </c>
      <c r="X242" s="300" t="s">
        <v>1</v>
      </c>
      <c r="Y242" s="301" t="s">
        <v>1</v>
      </c>
      <c r="Z242" s="387" cm="1">
        <f t="array" aca="1" ref="Z242" ca="1">INDIRECT("'"&amp;$C242&amp;"'!"&amp;"$"&amp;$D242&amp;$Z$1&amp;"")</f>
        <v>0</v>
      </c>
      <c r="AA242" s="299" t="s">
        <v>1</v>
      </c>
      <c r="AB242" s="300" t="s">
        <v>1</v>
      </c>
      <c r="AC242" s="298" t="s">
        <v>1</v>
      </c>
      <c r="AD242" s="299" cm="1">
        <f t="array" aca="1" ref="AD242" ca="1">INDIRECT("'"&amp;$C242&amp;"'!"&amp;"$"&amp;$D242&amp;$AD$1&amp;"")</f>
        <v>3</v>
      </c>
      <c r="AE242" s="300">
        <f>3.8*3.59</f>
        <v>13.641999999999999</v>
      </c>
      <c r="AF242" s="300">
        <v>0.98</v>
      </c>
      <c r="AG242" s="301">
        <v>0.52</v>
      </c>
      <c r="AH242" s="297" t="str" cm="1">
        <f t="array" aca="1" ref="AH242" ca="1">INDIRECT("'"&amp;$C242&amp;"'!"&amp;"$"&amp;$D242&amp;$AH$1&amp;"")</f>
        <v>CMS</v>
      </c>
      <c r="AI242" s="300" t="s">
        <v>1</v>
      </c>
      <c r="AJ242" s="300" t="s">
        <v>1</v>
      </c>
      <c r="AK242" s="298" t="s">
        <v>1</v>
      </c>
      <c r="AL242" s="297">
        <v>11.9</v>
      </c>
      <c r="AM242" s="301">
        <v>70.2</v>
      </c>
      <c r="AN242" s="297" t="str" cm="1">
        <f t="array" aca="1" ref="AN242" ca="1">INDIRECT("'"&amp;$C242&amp;"'!"&amp;"$"&amp;$D242&amp;$AL$1&amp;"")</f>
        <v>CMS</v>
      </c>
      <c r="AO242" s="300" t="s">
        <v>1</v>
      </c>
      <c r="AP242" s="298" t="s">
        <v>1</v>
      </c>
      <c r="AQ242" s="299" cm="1">
        <f t="array" aca="1" ref="AQ242" ca="1">INDIRECT("'"&amp;$C242&amp;"'!"&amp;"$"&amp;$D242&amp;$AQ$1&amp;"")</f>
        <v>1</v>
      </c>
      <c r="AR242" s="300">
        <v>1</v>
      </c>
      <c r="AS242" s="298">
        <v>0</v>
      </c>
      <c r="AT242" s="302" t="s">
        <v>1</v>
      </c>
      <c r="AU242" s="301" t="s">
        <v>1</v>
      </c>
      <c r="AV242" s="297" t="str" cm="1">
        <f t="array" aca="1" ref="AV242" ca="1">INDIRECT("'"&amp;$C242&amp;"'!"&amp;"$"&amp;$D242&amp;$AT$1&amp;"")</f>
        <v>PMS</v>
      </c>
      <c r="AW242" s="300" t="s">
        <v>1</v>
      </c>
      <c r="AX242" s="301" t="s">
        <v>1</v>
      </c>
      <c r="AY242" s="387">
        <v>70.400000000000006</v>
      </c>
      <c r="AZ242" s="303" cm="1">
        <f t="array" aca="1" ref="AZ242" ca="1">INDIRECT("'"&amp;$C242&amp;"'!"&amp;"$"&amp;$D242&amp;$AY$1&amp;"")</f>
        <v>6.0999999999999988</v>
      </c>
      <c r="BA242" s="300">
        <v>0.99</v>
      </c>
      <c r="BB242" s="298">
        <v>0.86</v>
      </c>
      <c r="BC242" s="299" cm="1">
        <f t="array" aca="1" ref="BC242" ca="1">INDIRECT("'"&amp;$C242&amp;"'!"&amp;"$"&amp;$D242&amp;$BC$1&amp;"")</f>
        <v>0.77</v>
      </c>
      <c r="BD242" s="300"/>
      <c r="BE242" s="300">
        <v>0.99</v>
      </c>
      <c r="BF242" s="298">
        <v>0.06</v>
      </c>
      <c r="BG242" s="299" cm="1">
        <f t="array" aca="1" ref="BG242" ca="1">INDIRECT("'"&amp;$C242&amp;"'!"&amp;"$"&amp;$D242&amp;$BG$1&amp;"")</f>
        <v>0.68</v>
      </c>
      <c r="BH242" s="300"/>
      <c r="BI242" s="300">
        <v>0.96</v>
      </c>
      <c r="BJ242" s="298">
        <v>0.17</v>
      </c>
      <c r="BK242" s="299" cm="1">
        <f t="array" aca="1" ref="BK242" ca="1">INDIRECT("'"&amp;$C242&amp;"'!"&amp;"$"&amp;$D242&amp;$BK$1&amp;"")</f>
        <v>0</v>
      </c>
      <c r="BL242" s="300"/>
      <c r="BM242" s="300" t="s">
        <v>1</v>
      </c>
      <c r="BN242" s="298" t="s">
        <v>1</v>
      </c>
    </row>
    <row r="243" spans="1:66" ht="15.75" thickBot="1" x14ac:dyDescent="0.25">
      <c r="A243" s="368">
        <v>45698</v>
      </c>
      <c r="B243" s="365">
        <v>0.54166666666666696</v>
      </c>
      <c r="C243" s="383">
        <v>10</v>
      </c>
      <c r="D243" s="319" t="s">
        <v>123</v>
      </c>
      <c r="E243" s="290">
        <v>14.2</v>
      </c>
      <c r="F243" s="291">
        <v>70.599999999999994</v>
      </c>
      <c r="G243" s="292" t="str" cm="1">
        <f t="array" aca="1" ref="G243" ca="1">INDIRECT("'"&amp;$C243&amp;"'!"&amp;"$"&amp;$D243&amp;$E$1&amp;"")</f>
        <v>CMS</v>
      </c>
      <c r="H243" s="293" t="s">
        <v>1</v>
      </c>
      <c r="I243" s="291" t="s">
        <v>1</v>
      </c>
      <c r="J243" s="292" cm="1">
        <f t="array" aca="1" ref="J243" ca="1">INDIRECT("'"&amp;$C243&amp;"'!"&amp;"$"&amp;$D243&amp;$J$1&amp;"")</f>
        <v>6</v>
      </c>
      <c r="K243" s="293"/>
      <c r="L243" s="293">
        <v>0.98</v>
      </c>
      <c r="M243" s="291">
        <v>1.05</v>
      </c>
      <c r="N243" s="292" cm="1">
        <f t="array" aca="1" ref="N243" ca="1">INDIRECT("'"&amp;$C243&amp;"'!"&amp;"$"&amp;$D243&amp;$N$1&amp;"")</f>
        <v>6</v>
      </c>
      <c r="O243" s="293"/>
      <c r="P243" s="293">
        <v>0.98</v>
      </c>
      <c r="Q243" s="291">
        <v>1.05</v>
      </c>
      <c r="R243" s="292" cm="1">
        <f t="array" aca="1" ref="R243" ca="1">INDIRECT("'"&amp;$C243&amp;"'!"&amp;"$"&amp;$D243&amp;$R$1&amp;"")</f>
        <v>6</v>
      </c>
      <c r="S243" s="293"/>
      <c r="T243" s="293">
        <v>0.98</v>
      </c>
      <c r="U243" s="291">
        <v>1.05</v>
      </c>
      <c r="V243" s="292" t="str" cm="1">
        <f t="array" aca="1" ref="V243" ca="1">INDIRECT("'"&amp;$C243&amp;"'!"&amp;"$"&amp;$D243&amp;$V$1&amp;"")</f>
        <v>CMS</v>
      </c>
      <c r="W243" s="293" t="s">
        <v>1</v>
      </c>
      <c r="X243" s="293" t="s">
        <v>1</v>
      </c>
      <c r="Y243" s="294" t="s">
        <v>1</v>
      </c>
      <c r="Z243" s="386" cm="1">
        <f t="array" aca="1" ref="Z243" ca="1">INDIRECT("'"&amp;$C243&amp;"'!"&amp;"$"&amp;$D243&amp;$Z$1&amp;"")</f>
        <v>0</v>
      </c>
      <c r="AA243" s="292" t="s">
        <v>1</v>
      </c>
      <c r="AB243" s="293" t="s">
        <v>1</v>
      </c>
      <c r="AC243" s="291" t="s">
        <v>1</v>
      </c>
      <c r="AD243" s="292" cm="1">
        <f t="array" aca="1" ref="AD243" ca="1">INDIRECT("'"&amp;$C243&amp;"'!"&amp;"$"&amp;$D243&amp;$AD$1&amp;"")</f>
        <v>2.8</v>
      </c>
      <c r="AE243" s="293">
        <f>3.8*3.59</f>
        <v>13.641999999999999</v>
      </c>
      <c r="AF243" s="293">
        <v>0.98</v>
      </c>
      <c r="AG243" s="294">
        <v>0.46</v>
      </c>
      <c r="AH243" s="290" t="str" cm="1">
        <f t="array" aca="1" ref="AH243" ca="1">INDIRECT("'"&amp;$C243&amp;"'!"&amp;"$"&amp;$D243&amp;$AH$1&amp;"")</f>
        <v>CMS</v>
      </c>
      <c r="AI243" s="293" t="s">
        <v>1</v>
      </c>
      <c r="AJ243" s="293" t="s">
        <v>1</v>
      </c>
      <c r="AK243" s="291" t="s">
        <v>1</v>
      </c>
      <c r="AL243" s="290">
        <v>11.7</v>
      </c>
      <c r="AM243" s="294">
        <v>70.099999999999994</v>
      </c>
      <c r="AN243" s="290" t="str" cm="1">
        <f t="array" aca="1" ref="AN243" ca="1">INDIRECT("'"&amp;$C243&amp;"'!"&amp;"$"&amp;$D243&amp;$AL$1&amp;"")</f>
        <v>CMS</v>
      </c>
      <c r="AO243" s="293" t="s">
        <v>1</v>
      </c>
      <c r="AP243" s="291" t="s">
        <v>1</v>
      </c>
      <c r="AQ243" s="292" cm="1">
        <f t="array" aca="1" ref="AQ243" ca="1">INDIRECT("'"&amp;$C243&amp;"'!"&amp;"$"&amp;$D243&amp;$AQ$1&amp;"")</f>
        <v>3.3</v>
      </c>
      <c r="AR243" s="293">
        <v>0.98</v>
      </c>
      <c r="AS243" s="291">
        <v>0.59</v>
      </c>
      <c r="AT243" s="295" t="s">
        <v>1</v>
      </c>
      <c r="AU243" s="294" t="s">
        <v>1</v>
      </c>
      <c r="AV243" s="290" t="str" cm="1">
        <f t="array" aca="1" ref="AV243" ca="1">INDIRECT("'"&amp;$C243&amp;"'!"&amp;"$"&amp;$D243&amp;$AT$1&amp;"")</f>
        <v>PMS</v>
      </c>
      <c r="AW243" s="293" t="s">
        <v>1</v>
      </c>
      <c r="AX243" s="294" t="s">
        <v>1</v>
      </c>
      <c r="AY243" s="386">
        <v>69.900000000000006</v>
      </c>
      <c r="AZ243" s="296" cm="1">
        <f t="array" aca="1" ref="AZ243" ca="1">INDIRECT("'"&amp;$C243&amp;"'!"&amp;"$"&amp;$D243&amp;$AY$1&amp;"")</f>
        <v>10.100000000000001</v>
      </c>
      <c r="BA243" s="293">
        <v>0.98</v>
      </c>
      <c r="BB243" s="291">
        <v>2.1</v>
      </c>
      <c r="BC243" s="292" cm="1">
        <f t="array" aca="1" ref="BC243" ca="1">INDIRECT("'"&amp;$C243&amp;"'!"&amp;"$"&amp;$D243&amp;$BC$1&amp;"")</f>
        <v>0.67</v>
      </c>
      <c r="BD243" s="293"/>
      <c r="BE243" s="293">
        <v>1</v>
      </c>
      <c r="BF243" s="291">
        <v>0.05</v>
      </c>
      <c r="BG243" s="292" cm="1">
        <f t="array" aca="1" ref="BG243" ca="1">INDIRECT("'"&amp;$C243&amp;"'!"&amp;"$"&amp;$D243&amp;$BG$1&amp;"")</f>
        <v>0.69</v>
      </c>
      <c r="BH243" s="293"/>
      <c r="BI243" s="293">
        <v>0.96</v>
      </c>
      <c r="BJ243" s="291">
        <v>0.17</v>
      </c>
      <c r="BK243" s="292" cm="1">
        <f t="array" aca="1" ref="BK243" ca="1">INDIRECT("'"&amp;$C243&amp;"'!"&amp;"$"&amp;$D243&amp;$BK$1&amp;"")</f>
        <v>0</v>
      </c>
      <c r="BL243" s="293"/>
      <c r="BM243" s="293" t="s">
        <v>1</v>
      </c>
      <c r="BN243" s="291" t="s">
        <v>1</v>
      </c>
    </row>
    <row r="244" spans="1:66" ht="15.75" thickBot="1" x14ac:dyDescent="0.25">
      <c r="A244" s="368">
        <v>45698</v>
      </c>
      <c r="B244" s="365">
        <v>0.58333333333333404</v>
      </c>
      <c r="C244" s="383">
        <v>10</v>
      </c>
      <c r="D244" s="319" t="s">
        <v>124</v>
      </c>
      <c r="E244" s="297">
        <v>14.1</v>
      </c>
      <c r="F244" s="298">
        <v>69.92</v>
      </c>
      <c r="G244" s="299" cm="1">
        <f t="array" aca="1" ref="G244" ca="1">INDIRECT("'"&amp;$C244&amp;"'!"&amp;"$"&amp;$D244&amp;$E$1&amp;"")</f>
        <v>2.6</v>
      </c>
      <c r="H244" s="300">
        <v>0.97</v>
      </c>
      <c r="I244" s="298">
        <v>0.66</v>
      </c>
      <c r="J244" s="299" cm="1">
        <f t="array" aca="1" ref="J244" ca="1">INDIRECT("'"&amp;$C244&amp;"'!"&amp;"$"&amp;$D244&amp;$J$1&amp;"")</f>
        <v>5.8</v>
      </c>
      <c r="K244" s="300"/>
      <c r="L244" s="300">
        <v>0.98</v>
      </c>
      <c r="M244" s="298">
        <v>1.07</v>
      </c>
      <c r="N244" s="299" cm="1">
        <f t="array" aca="1" ref="N244" ca="1">INDIRECT("'"&amp;$C244&amp;"'!"&amp;"$"&amp;$D244&amp;$N$1&amp;"")</f>
        <v>5.8</v>
      </c>
      <c r="O244" s="300"/>
      <c r="P244" s="300">
        <v>0.98</v>
      </c>
      <c r="Q244" s="298">
        <v>1.07</v>
      </c>
      <c r="R244" s="299" cm="1">
        <f t="array" aca="1" ref="R244" ca="1">INDIRECT("'"&amp;$C244&amp;"'!"&amp;"$"&amp;$D244&amp;$R$1&amp;"")</f>
        <v>5.8</v>
      </c>
      <c r="S244" s="300"/>
      <c r="T244" s="300">
        <v>0.98</v>
      </c>
      <c r="U244" s="298">
        <v>1.07</v>
      </c>
      <c r="V244" s="299" t="str" cm="1">
        <f t="array" aca="1" ref="V244" ca="1">INDIRECT("'"&amp;$C244&amp;"'!"&amp;"$"&amp;$D244&amp;$V$1&amp;"")</f>
        <v>CMS</v>
      </c>
      <c r="W244" s="300" t="s">
        <v>1</v>
      </c>
      <c r="X244" s="300" t="s">
        <v>1</v>
      </c>
      <c r="Y244" s="301" t="s">
        <v>1</v>
      </c>
      <c r="Z244" s="387" cm="1">
        <f t="array" aca="1" ref="Z244" ca="1">INDIRECT("'"&amp;$C244&amp;"'!"&amp;"$"&amp;$D244&amp;$Z$1&amp;"")</f>
        <v>0</v>
      </c>
      <c r="AA244" s="299" t="s">
        <v>1</v>
      </c>
      <c r="AB244" s="300" t="s">
        <v>1</v>
      </c>
      <c r="AC244" s="298" t="s">
        <v>1</v>
      </c>
      <c r="AD244" s="299" cm="1">
        <f t="array" aca="1" ref="AD244" ca="1">INDIRECT("'"&amp;$C244&amp;"'!"&amp;"$"&amp;$D244&amp;$AD$1&amp;"")</f>
        <v>3.3</v>
      </c>
      <c r="AE244" s="300">
        <f>3.8*3.56</f>
        <v>13.527999999999999</v>
      </c>
      <c r="AF244" s="300">
        <v>0.96</v>
      </c>
      <c r="AG244" s="301">
        <v>0.93</v>
      </c>
      <c r="AH244" s="297" t="str" cm="1">
        <f t="array" aca="1" ref="AH244" ca="1">INDIRECT("'"&amp;$C244&amp;"'!"&amp;"$"&amp;$D244&amp;$AH$1&amp;"")</f>
        <v>CMS</v>
      </c>
      <c r="AI244" s="300" t="s">
        <v>1</v>
      </c>
      <c r="AJ244" s="300" t="s">
        <v>1</v>
      </c>
      <c r="AK244" s="298" t="s">
        <v>1</v>
      </c>
      <c r="AL244" s="297">
        <v>11.7</v>
      </c>
      <c r="AM244" s="301">
        <v>69.2</v>
      </c>
      <c r="AN244" s="297" t="str" cm="1">
        <f t="array" aca="1" ref="AN244" ca="1">INDIRECT("'"&amp;$C244&amp;"'!"&amp;"$"&amp;$D244&amp;$AL$1&amp;"")</f>
        <v>CMS</v>
      </c>
      <c r="AO244" s="300" t="s">
        <v>1</v>
      </c>
      <c r="AP244" s="298" t="s">
        <v>1</v>
      </c>
      <c r="AQ244" s="299" cm="1">
        <f t="array" aca="1" ref="AQ244" ca="1">INDIRECT("'"&amp;$C244&amp;"'!"&amp;"$"&amp;$D244&amp;$AQ$1&amp;"")</f>
        <v>3.7</v>
      </c>
      <c r="AR244" s="300">
        <v>0.93</v>
      </c>
      <c r="AS244" s="298">
        <v>1.24</v>
      </c>
      <c r="AT244" s="302" t="s">
        <v>1</v>
      </c>
      <c r="AU244" s="301" t="s">
        <v>1</v>
      </c>
      <c r="AV244" s="297" t="str" cm="1">
        <f t="array" aca="1" ref="AV244" ca="1">INDIRECT("'"&amp;$C244&amp;"'!"&amp;"$"&amp;$D244&amp;$AT$1&amp;"")</f>
        <v>PMS</v>
      </c>
      <c r="AW244" s="300" t="s">
        <v>1</v>
      </c>
      <c r="AX244" s="301" t="s">
        <v>1</v>
      </c>
      <c r="AY244" s="387">
        <v>69.400000000000006</v>
      </c>
      <c r="AZ244" s="303" cm="1">
        <f t="array" aca="1" ref="AZ244" ca="1">INDIRECT("'"&amp;$C244&amp;"'!"&amp;"$"&amp;$D244&amp;$AY$1&amp;"")</f>
        <v>12.000000000000002</v>
      </c>
      <c r="BA244" s="300">
        <v>0.98</v>
      </c>
      <c r="BB244" s="298">
        <v>2.4</v>
      </c>
      <c r="BC244" s="299" cm="1">
        <f t="array" aca="1" ref="BC244" ca="1">INDIRECT("'"&amp;$C244&amp;"'!"&amp;"$"&amp;$D244&amp;$BC$1&amp;"")</f>
        <v>0.75</v>
      </c>
      <c r="BD244" s="300"/>
      <c r="BE244" s="300">
        <v>1</v>
      </c>
      <c r="BF244" s="298">
        <v>0.06</v>
      </c>
      <c r="BG244" s="299" cm="1">
        <f t="array" aca="1" ref="BG244" ca="1">INDIRECT("'"&amp;$C244&amp;"'!"&amp;"$"&amp;$D244&amp;$BG$1&amp;"")</f>
        <v>0.7</v>
      </c>
      <c r="BH244" s="300"/>
      <c r="BI244" s="300">
        <v>0.96</v>
      </c>
      <c r="BJ244" s="298">
        <v>0.2</v>
      </c>
      <c r="BK244" s="299" cm="1">
        <f t="array" aca="1" ref="BK244" ca="1">INDIRECT("'"&amp;$C244&amp;"'!"&amp;"$"&amp;$D244&amp;$BK$1&amp;"")</f>
        <v>3</v>
      </c>
      <c r="BL244" s="300"/>
      <c r="BM244" s="300">
        <v>0.95</v>
      </c>
      <c r="BN244" s="298">
        <v>1</v>
      </c>
    </row>
    <row r="245" spans="1:66" ht="15.75" thickBot="1" x14ac:dyDescent="0.25">
      <c r="A245" s="368">
        <v>45698</v>
      </c>
      <c r="B245" s="365">
        <v>0.625</v>
      </c>
      <c r="C245" s="383">
        <v>10</v>
      </c>
      <c r="D245" s="319" t="s">
        <v>125</v>
      </c>
      <c r="E245" s="290">
        <v>14.1</v>
      </c>
      <c r="F245" s="291">
        <v>70.28</v>
      </c>
      <c r="G245" s="292" cm="1">
        <f t="array" aca="1" ref="G245" ca="1">INDIRECT("'"&amp;$C245&amp;"'!"&amp;"$"&amp;$D245&amp;$E$1&amp;"")</f>
        <v>5.8</v>
      </c>
      <c r="H245" s="293">
        <v>0.98</v>
      </c>
      <c r="I245" s="291">
        <v>1.38</v>
      </c>
      <c r="J245" s="292" cm="1">
        <f t="array" aca="1" ref="J245" ca="1">INDIRECT("'"&amp;$C245&amp;"'!"&amp;"$"&amp;$D245&amp;$J$1&amp;"")</f>
        <v>5.8</v>
      </c>
      <c r="K245" s="293"/>
      <c r="L245" s="293">
        <v>0.98</v>
      </c>
      <c r="M245" s="291">
        <v>1.38</v>
      </c>
      <c r="N245" s="292" cm="1">
        <f t="array" aca="1" ref="N245" ca="1">INDIRECT("'"&amp;$C245&amp;"'!"&amp;"$"&amp;$D245&amp;$N$1&amp;"")</f>
        <v>5.8</v>
      </c>
      <c r="O245" s="293"/>
      <c r="P245" s="293">
        <v>0.98</v>
      </c>
      <c r="Q245" s="291">
        <v>1.38</v>
      </c>
      <c r="R245" s="292" cm="1">
        <f t="array" aca="1" ref="R245" ca="1">INDIRECT("'"&amp;$C245&amp;"'!"&amp;"$"&amp;$D245&amp;$R$1&amp;"")</f>
        <v>5.8</v>
      </c>
      <c r="S245" s="293"/>
      <c r="T245" s="293">
        <v>0.98</v>
      </c>
      <c r="U245" s="291">
        <v>1.38</v>
      </c>
      <c r="V245" s="292" t="str" cm="1">
        <f t="array" aca="1" ref="V245" ca="1">INDIRECT("'"&amp;$C245&amp;"'!"&amp;"$"&amp;$D245&amp;$V$1&amp;"")</f>
        <v>CMS</v>
      </c>
      <c r="W245" s="293" t="s">
        <v>1</v>
      </c>
      <c r="X245" s="293" t="s">
        <v>1</v>
      </c>
      <c r="Y245" s="294" t="s">
        <v>1</v>
      </c>
      <c r="Z245" s="386" cm="1">
        <f t="array" aca="1" ref="Z245" ca="1">INDIRECT("'"&amp;$C245&amp;"'!"&amp;"$"&amp;$D245&amp;$Z$1&amp;"")</f>
        <v>0</v>
      </c>
      <c r="AA245" s="292" t="s">
        <v>1</v>
      </c>
      <c r="AB245" s="293" t="s">
        <v>1</v>
      </c>
      <c r="AC245" s="291" t="s">
        <v>1</v>
      </c>
      <c r="AD245" s="292" cm="1">
        <f t="array" aca="1" ref="AD245" ca="1">INDIRECT("'"&amp;$C245&amp;"'!"&amp;"$"&amp;$D245&amp;$AD$1&amp;"")</f>
        <v>3.3</v>
      </c>
      <c r="AE245" s="293">
        <f>3.8*3.58</f>
        <v>13.603999999999999</v>
      </c>
      <c r="AF245" s="293">
        <v>0.96</v>
      </c>
      <c r="AG245" s="291">
        <v>0.91</v>
      </c>
      <c r="AH245" s="290" t="str" cm="1">
        <f t="array" aca="1" ref="AH245" ca="1">INDIRECT("'"&amp;$C245&amp;"'!"&amp;"$"&amp;$D245&amp;$AH$1&amp;"")</f>
        <v>CMS</v>
      </c>
      <c r="AI245" s="293" t="s">
        <v>1</v>
      </c>
      <c r="AJ245" s="293" t="s">
        <v>1</v>
      </c>
      <c r="AK245" s="291" t="s">
        <v>1</v>
      </c>
      <c r="AL245" s="290">
        <v>11.7</v>
      </c>
      <c r="AM245" s="294">
        <v>69.599999999999994</v>
      </c>
      <c r="AN245" s="290" t="str" cm="1">
        <f t="array" aca="1" ref="AN245" ca="1">INDIRECT("'"&amp;$C245&amp;"'!"&amp;"$"&amp;$D245&amp;$AL$1&amp;"")</f>
        <v>CMS</v>
      </c>
      <c r="AO245" s="293" t="s">
        <v>1</v>
      </c>
      <c r="AP245" s="291" t="s">
        <v>1</v>
      </c>
      <c r="AQ245" s="292" cm="1">
        <f t="array" aca="1" ref="AQ245" ca="1">INDIRECT("'"&amp;$C245&amp;"'!"&amp;"$"&amp;$D245&amp;$AQ$1&amp;"")</f>
        <v>3.7</v>
      </c>
      <c r="AR245" s="293">
        <v>0.95</v>
      </c>
      <c r="AS245" s="291">
        <v>1.1100000000000001</v>
      </c>
      <c r="AT245" s="295" t="s">
        <v>1</v>
      </c>
      <c r="AU245" s="294" t="s">
        <v>1</v>
      </c>
      <c r="AV245" s="290" t="str" cm="1">
        <f t="array" aca="1" ref="AV245" ca="1">INDIRECT("'"&amp;$C245&amp;"'!"&amp;"$"&amp;$D245&amp;$AT$1&amp;"")</f>
        <v>PMS</v>
      </c>
      <c r="AW245" s="293" t="s">
        <v>1</v>
      </c>
      <c r="AX245" s="294" t="s">
        <v>1</v>
      </c>
      <c r="AY245" s="386">
        <v>69.400000000000006</v>
      </c>
      <c r="AZ245" s="296" cm="1">
        <f t="array" aca="1" ref="AZ245" ca="1">INDIRECT("'"&amp;$C245&amp;"'!"&amp;"$"&amp;$D245&amp;$AY$1&amp;"")</f>
        <v>8.6</v>
      </c>
      <c r="BA245" s="293">
        <v>0.98</v>
      </c>
      <c r="BB245" s="291">
        <v>1.7</v>
      </c>
      <c r="BC245" s="292" cm="1">
        <f t="array" aca="1" ref="BC245" ca="1">INDIRECT("'"&amp;$C245&amp;"'!"&amp;"$"&amp;$D245&amp;$BC$1&amp;"")</f>
        <v>0.86</v>
      </c>
      <c r="BD245" s="293"/>
      <c r="BE245" s="293">
        <v>1</v>
      </c>
      <c r="BF245" s="291">
        <v>0.08</v>
      </c>
      <c r="BG245" s="292" cm="1">
        <f t="array" aca="1" ref="BG245" ca="1">INDIRECT("'"&amp;$C245&amp;"'!"&amp;"$"&amp;$D245&amp;$BG$1&amp;"")</f>
        <v>0.66</v>
      </c>
      <c r="BH245" s="293"/>
      <c r="BI245" s="293">
        <v>0.96</v>
      </c>
      <c r="BJ245" s="291">
        <v>0.17</v>
      </c>
      <c r="BK245" s="292" cm="1">
        <f t="array" aca="1" ref="BK245" ca="1">INDIRECT("'"&amp;$C245&amp;"'!"&amp;"$"&amp;$D245&amp;$BK$1&amp;"")</f>
        <v>2.4700000000000002</v>
      </c>
      <c r="BL245" s="293"/>
      <c r="BM245" s="293">
        <v>0.95</v>
      </c>
      <c r="BN245" s="291">
        <v>0.81</v>
      </c>
    </row>
    <row r="246" spans="1:66" ht="15.75" thickBot="1" x14ac:dyDescent="0.25">
      <c r="A246" s="368">
        <v>45698</v>
      </c>
      <c r="B246" s="365">
        <v>0.66666666666666696</v>
      </c>
      <c r="C246" s="383">
        <v>10</v>
      </c>
      <c r="D246" s="319" t="s">
        <v>126</v>
      </c>
      <c r="E246" s="297">
        <v>14.1</v>
      </c>
      <c r="F246" s="298">
        <v>70.08</v>
      </c>
      <c r="G246" s="299" cm="1">
        <f t="array" aca="1" ref="G246" ca="1">INDIRECT("'"&amp;$C246&amp;"'!"&amp;"$"&amp;$D246&amp;$E$1&amp;"")</f>
        <v>6.4</v>
      </c>
      <c r="H246" s="300">
        <v>0.97</v>
      </c>
      <c r="I246" s="298">
        <v>1.5</v>
      </c>
      <c r="J246" s="299" cm="1">
        <f t="array" aca="1" ref="J246" ca="1">INDIRECT("'"&amp;$C246&amp;"'!"&amp;"$"&amp;$D246&amp;$J$1&amp;"")</f>
        <v>6.4</v>
      </c>
      <c r="K246" s="300"/>
      <c r="L246" s="300">
        <v>0.97</v>
      </c>
      <c r="M246" s="298">
        <v>1.5</v>
      </c>
      <c r="N246" s="299" cm="1">
        <f t="array" aca="1" ref="N246" ca="1">INDIRECT("'"&amp;$C246&amp;"'!"&amp;"$"&amp;$D246&amp;$N$1&amp;"")</f>
        <v>6.4</v>
      </c>
      <c r="O246" s="300"/>
      <c r="P246" s="300">
        <v>0.97</v>
      </c>
      <c r="Q246" s="298">
        <v>1.5</v>
      </c>
      <c r="R246" s="299" cm="1">
        <f t="array" aca="1" ref="R246" ca="1">INDIRECT("'"&amp;$C246&amp;"'!"&amp;"$"&amp;$D246&amp;$R$1&amp;"")</f>
        <v>6.4</v>
      </c>
      <c r="S246" s="300"/>
      <c r="T246" s="300">
        <v>0.97</v>
      </c>
      <c r="U246" s="298">
        <v>1.5</v>
      </c>
      <c r="V246" s="299" t="str" cm="1">
        <f t="array" aca="1" ref="V246" ca="1">INDIRECT("'"&amp;$C246&amp;"'!"&amp;"$"&amp;$D246&amp;$V$1&amp;"")</f>
        <v>CMS</v>
      </c>
      <c r="W246" s="300" t="s">
        <v>1</v>
      </c>
      <c r="X246" s="300" t="s">
        <v>1</v>
      </c>
      <c r="Y246" s="301" t="s">
        <v>1</v>
      </c>
      <c r="Z246" s="387" cm="1">
        <f t="array" aca="1" ref="Z246" ca="1">INDIRECT("'"&amp;$C246&amp;"'!"&amp;"$"&amp;$D246&amp;$Z$1&amp;"")</f>
        <v>0</v>
      </c>
      <c r="AA246" s="299" t="s">
        <v>1</v>
      </c>
      <c r="AB246" s="300" t="s">
        <v>1</v>
      </c>
      <c r="AC246" s="298" t="s">
        <v>1</v>
      </c>
      <c r="AD246" s="299" cm="1">
        <f t="array" aca="1" ref="AD246" ca="1">INDIRECT("'"&amp;$C246&amp;"'!"&amp;"$"&amp;$D246&amp;$AD$1&amp;"")</f>
        <v>3.3</v>
      </c>
      <c r="AE246" s="300">
        <f>3.8*3.57</f>
        <v>13.565999999999999</v>
      </c>
      <c r="AF246" s="300">
        <v>0.97</v>
      </c>
      <c r="AG246" s="298">
        <v>0.82</v>
      </c>
      <c r="AH246" s="297" t="str" cm="1">
        <f t="array" aca="1" ref="AH246" ca="1">INDIRECT("'"&amp;$C246&amp;"'!"&amp;"$"&amp;$D246&amp;$AH$1&amp;"")</f>
        <v>CMS</v>
      </c>
      <c r="AI246" s="300" t="s">
        <v>1</v>
      </c>
      <c r="AJ246" s="300" t="s">
        <v>1</v>
      </c>
      <c r="AK246" s="298" t="s">
        <v>1</v>
      </c>
      <c r="AL246" s="297">
        <v>11.7</v>
      </c>
      <c r="AM246" s="301">
        <v>69.7</v>
      </c>
      <c r="AN246" s="297" t="str" cm="1">
        <f t="array" aca="1" ref="AN246" ca="1">INDIRECT("'"&amp;$C246&amp;"'!"&amp;"$"&amp;$D246&amp;$AL$1&amp;"")</f>
        <v>CMS</v>
      </c>
      <c r="AO246" s="300" t="s">
        <v>1</v>
      </c>
      <c r="AP246" s="298" t="s">
        <v>1</v>
      </c>
      <c r="AQ246" s="299" cm="1">
        <f t="array" aca="1" ref="AQ246" ca="1">INDIRECT("'"&amp;$C246&amp;"'!"&amp;"$"&amp;$D246&amp;$AQ$1&amp;"")</f>
        <v>3.7</v>
      </c>
      <c r="AR246" s="300">
        <v>0.94</v>
      </c>
      <c r="AS246" s="298">
        <v>1.2</v>
      </c>
      <c r="AT246" s="302" t="s">
        <v>1</v>
      </c>
      <c r="AU246" s="301" t="s">
        <v>1</v>
      </c>
      <c r="AV246" s="297" t="str" cm="1">
        <f t="array" aca="1" ref="AV246" ca="1">INDIRECT("'"&amp;$C246&amp;"'!"&amp;"$"&amp;$D246&amp;$AT$1&amp;"")</f>
        <v>PMS</v>
      </c>
      <c r="AW246" s="300" t="s">
        <v>1</v>
      </c>
      <c r="AX246" s="301" t="s">
        <v>1</v>
      </c>
      <c r="AY246" s="387">
        <v>69.099999999999994</v>
      </c>
      <c r="AZ246" s="303" cm="1">
        <f t="array" aca="1" ref="AZ246" ca="1">INDIRECT("'"&amp;$C246&amp;"'!"&amp;"$"&amp;$D246&amp;$AY$1&amp;"")</f>
        <v>3.3</v>
      </c>
      <c r="BA246" s="300">
        <v>0.98</v>
      </c>
      <c r="BB246" s="298">
        <v>0.97</v>
      </c>
      <c r="BC246" s="299" cm="1">
        <f t="array" aca="1" ref="BC246" ca="1">INDIRECT("'"&amp;$C246&amp;"'!"&amp;"$"&amp;$D246&amp;$BC$1&amp;"")</f>
        <v>0.91</v>
      </c>
      <c r="BD246" s="300"/>
      <c r="BE246" s="300">
        <v>0.99</v>
      </c>
      <c r="BF246" s="298">
        <v>0.08</v>
      </c>
      <c r="BG246" s="299" cm="1">
        <f t="array" aca="1" ref="BG246" ca="1">INDIRECT("'"&amp;$C246&amp;"'!"&amp;"$"&amp;$D246&amp;$BG$1&amp;"")</f>
        <v>0.71</v>
      </c>
      <c r="BH246" s="300"/>
      <c r="BI246" s="300">
        <v>0.96</v>
      </c>
      <c r="BJ246" s="298">
        <v>0.19</v>
      </c>
      <c r="BK246" s="299" cm="1">
        <f t="array" aca="1" ref="BK246" ca="1">INDIRECT("'"&amp;$C246&amp;"'!"&amp;"$"&amp;$D246&amp;$BK$1&amp;"")</f>
        <v>2.5299999999999998</v>
      </c>
      <c r="BL246" s="300"/>
      <c r="BM246" s="300">
        <v>0.95</v>
      </c>
      <c r="BN246" s="298">
        <v>0.83</v>
      </c>
    </row>
    <row r="247" spans="1:66" ht="15.75" thickBot="1" x14ac:dyDescent="0.25">
      <c r="A247" s="368">
        <v>45698</v>
      </c>
      <c r="B247" s="365">
        <v>0.70833333333333404</v>
      </c>
      <c r="C247" s="383">
        <v>10</v>
      </c>
      <c r="D247" s="319" t="s">
        <v>127</v>
      </c>
      <c r="E247" s="290">
        <v>14.1</v>
      </c>
      <c r="F247" s="291">
        <v>70.349999999999994</v>
      </c>
      <c r="G247" s="292" cm="1">
        <f t="array" aca="1" ref="G247" ca="1">INDIRECT("'"&amp;$C247&amp;"'!"&amp;"$"&amp;$D247&amp;$E$1&amp;"")</f>
        <v>6.2</v>
      </c>
      <c r="H247" s="293">
        <v>0.97</v>
      </c>
      <c r="I247" s="291">
        <v>1.6</v>
      </c>
      <c r="J247" s="292" cm="1">
        <f t="array" aca="1" ref="J247" ca="1">INDIRECT("'"&amp;$C247&amp;"'!"&amp;"$"&amp;$D247&amp;$J$1&amp;"")</f>
        <v>6.2</v>
      </c>
      <c r="K247" s="293"/>
      <c r="L247" s="293">
        <v>0.97</v>
      </c>
      <c r="M247" s="291">
        <v>1.6</v>
      </c>
      <c r="N247" s="292" cm="1">
        <f t="array" aca="1" ref="N247" ca="1">INDIRECT("'"&amp;$C247&amp;"'!"&amp;"$"&amp;$D247&amp;$N$1&amp;"")</f>
        <v>6.2</v>
      </c>
      <c r="O247" s="293"/>
      <c r="P247" s="293">
        <v>0.97</v>
      </c>
      <c r="Q247" s="291">
        <v>1.6</v>
      </c>
      <c r="R247" s="292" cm="1">
        <f t="array" aca="1" ref="R247" ca="1">INDIRECT("'"&amp;$C247&amp;"'!"&amp;"$"&amp;$D247&amp;$R$1&amp;"")</f>
        <v>6.2</v>
      </c>
      <c r="S247" s="293"/>
      <c r="T247" s="293">
        <v>0.97</v>
      </c>
      <c r="U247" s="291">
        <v>1.6</v>
      </c>
      <c r="V247" s="292" t="str" cm="1">
        <f t="array" aca="1" ref="V247" ca="1">INDIRECT("'"&amp;$C247&amp;"'!"&amp;"$"&amp;$D247&amp;$V$1&amp;"")</f>
        <v>CMS</v>
      </c>
      <c r="W247" s="293" t="s">
        <v>1</v>
      </c>
      <c r="X247" s="293" t="s">
        <v>1</v>
      </c>
      <c r="Y247" s="294" t="s">
        <v>1</v>
      </c>
      <c r="Z247" s="386" cm="1">
        <f t="array" aca="1" ref="Z247" ca="1">INDIRECT("'"&amp;$C247&amp;"'!"&amp;"$"&amp;$D247&amp;$Z$1&amp;"")</f>
        <v>0</v>
      </c>
      <c r="AA247" s="292" t="s">
        <v>1</v>
      </c>
      <c r="AB247" s="293" t="s">
        <v>1</v>
      </c>
      <c r="AC247" s="291" t="s">
        <v>1</v>
      </c>
      <c r="AD247" s="292" cm="1">
        <f t="array" aca="1" ref="AD247" ca="1">INDIRECT("'"&amp;$C247&amp;"'!"&amp;"$"&amp;$D247&amp;$AD$1&amp;"")</f>
        <v>3</v>
      </c>
      <c r="AE247" s="293">
        <f>3.8*3.58</f>
        <v>13.603999999999999</v>
      </c>
      <c r="AF247" s="293">
        <v>0.98</v>
      </c>
      <c r="AG247" s="291">
        <v>0.69</v>
      </c>
      <c r="AH247" s="290" t="str" cm="1">
        <f t="array" aca="1" ref="AH247" ca="1">INDIRECT("'"&amp;$C247&amp;"'!"&amp;"$"&amp;$D247&amp;$AH$1&amp;"")</f>
        <v>CMS</v>
      </c>
      <c r="AI247" s="293" t="s">
        <v>1</v>
      </c>
      <c r="AJ247" s="293" t="s">
        <v>1</v>
      </c>
      <c r="AK247" s="291" t="s">
        <v>1</v>
      </c>
      <c r="AL247" s="290">
        <v>11.7</v>
      </c>
      <c r="AM247" s="294">
        <v>69.900000000000006</v>
      </c>
      <c r="AN247" s="290" t="str" cm="1">
        <f t="array" aca="1" ref="AN247" ca="1">INDIRECT("'"&amp;$C247&amp;"'!"&amp;"$"&amp;$D247&amp;$AL$1&amp;"")</f>
        <v>CMS</v>
      </c>
      <c r="AO247" s="293" t="s">
        <v>1</v>
      </c>
      <c r="AP247" s="291" t="s">
        <v>1</v>
      </c>
      <c r="AQ247" s="292" cm="1">
        <f t="array" aca="1" ref="AQ247" ca="1">INDIRECT("'"&amp;$C247&amp;"'!"&amp;"$"&amp;$D247&amp;$AQ$1&amp;"")</f>
        <v>3.7</v>
      </c>
      <c r="AR247" s="293">
        <v>0.94</v>
      </c>
      <c r="AS247" s="291">
        <v>1.2</v>
      </c>
      <c r="AT247" s="295" t="s">
        <v>1</v>
      </c>
      <c r="AU247" s="294" t="s">
        <v>1</v>
      </c>
      <c r="AV247" s="290" t="str" cm="1">
        <f t="array" aca="1" ref="AV247" ca="1">INDIRECT("'"&amp;$C247&amp;"'!"&amp;"$"&amp;$D247&amp;$AT$1&amp;"")</f>
        <v>PMS</v>
      </c>
      <c r="AW247" s="293" t="s">
        <v>1</v>
      </c>
      <c r="AX247" s="294" t="s">
        <v>1</v>
      </c>
      <c r="AY247" s="386">
        <v>69</v>
      </c>
      <c r="AZ247" s="296" cm="1">
        <f t="array" aca="1" ref="AZ247" ca="1">INDIRECT("'"&amp;$C247&amp;"'!"&amp;"$"&amp;$D247&amp;$AY$1&amp;"")</f>
        <v>2.7</v>
      </c>
      <c r="BA247" s="293">
        <v>0.98</v>
      </c>
      <c r="BB247" s="291">
        <v>0.54</v>
      </c>
      <c r="BC247" s="292" cm="1">
        <f t="array" aca="1" ref="BC247" ca="1">INDIRECT("'"&amp;$C247&amp;"'!"&amp;"$"&amp;$D247&amp;$BC$1&amp;"")</f>
        <v>0.95</v>
      </c>
      <c r="BD247" s="293"/>
      <c r="BE247" s="293">
        <v>0.99</v>
      </c>
      <c r="BF247" s="291">
        <v>0.08</v>
      </c>
      <c r="BG247" s="292" cm="1">
        <f t="array" aca="1" ref="BG247" ca="1">INDIRECT("'"&amp;$C247&amp;"'!"&amp;"$"&amp;$D247&amp;$BG$1&amp;"")</f>
        <v>0.72</v>
      </c>
      <c r="BH247" s="293"/>
      <c r="BI247" s="293">
        <v>0.96</v>
      </c>
      <c r="BJ247" s="291">
        <v>0.2</v>
      </c>
      <c r="BK247" s="292" cm="1">
        <f t="array" aca="1" ref="BK247" ca="1">INDIRECT("'"&amp;$C247&amp;"'!"&amp;"$"&amp;$D247&amp;$BK$1&amp;"")</f>
        <v>3.4399999999999995</v>
      </c>
      <c r="BL247" s="293"/>
      <c r="BM247" s="293">
        <v>0.95</v>
      </c>
      <c r="BN247" s="291">
        <v>1</v>
      </c>
    </row>
    <row r="248" spans="1:66" ht="15.75" thickBot="1" x14ac:dyDescent="0.25">
      <c r="A248" s="368">
        <v>45698</v>
      </c>
      <c r="B248" s="365">
        <v>0.750000000000001</v>
      </c>
      <c r="C248" s="383">
        <v>10</v>
      </c>
      <c r="D248" s="319" t="s">
        <v>128</v>
      </c>
      <c r="E248" s="297">
        <v>14.1</v>
      </c>
      <c r="F248" s="298">
        <v>69.97</v>
      </c>
      <c r="G248" s="299" cm="1">
        <f t="array" aca="1" ref="G248" ca="1">INDIRECT("'"&amp;$C248&amp;"'!"&amp;"$"&amp;$D248&amp;$E$1&amp;"")</f>
        <v>6.7</v>
      </c>
      <c r="H248" s="300">
        <v>0.98</v>
      </c>
      <c r="I248" s="298">
        <v>1.48</v>
      </c>
      <c r="J248" s="299" cm="1">
        <f t="array" aca="1" ref="J248" ca="1">INDIRECT("'"&amp;$C248&amp;"'!"&amp;"$"&amp;$D248&amp;$J$1&amp;"")</f>
        <v>6.7</v>
      </c>
      <c r="K248" s="300"/>
      <c r="L248" s="300">
        <v>0.98</v>
      </c>
      <c r="M248" s="298">
        <v>1.48</v>
      </c>
      <c r="N248" s="299" cm="1">
        <f t="array" aca="1" ref="N248" ca="1">INDIRECT("'"&amp;$C248&amp;"'!"&amp;"$"&amp;$D248&amp;$N$1&amp;"")</f>
        <v>6.7</v>
      </c>
      <c r="O248" s="300"/>
      <c r="P248" s="300">
        <v>0.98</v>
      </c>
      <c r="Q248" s="298">
        <v>1.48</v>
      </c>
      <c r="R248" s="299" cm="1">
        <f t="array" aca="1" ref="R248" ca="1">INDIRECT("'"&amp;$C248&amp;"'!"&amp;"$"&amp;$D248&amp;$R$1&amp;"")</f>
        <v>6.7</v>
      </c>
      <c r="S248" s="300"/>
      <c r="T248" s="300">
        <v>0.98</v>
      </c>
      <c r="U248" s="298">
        <v>1.48</v>
      </c>
      <c r="V248" s="299" t="str" cm="1">
        <f t="array" aca="1" ref="V248" ca="1">INDIRECT("'"&amp;$C248&amp;"'!"&amp;"$"&amp;$D248&amp;$V$1&amp;"")</f>
        <v>CMS</v>
      </c>
      <c r="W248" s="300" t="s">
        <v>1</v>
      </c>
      <c r="X248" s="300" t="s">
        <v>1</v>
      </c>
      <c r="Y248" s="301" t="s">
        <v>1</v>
      </c>
      <c r="Z248" s="387" cm="1">
        <f t="array" aca="1" ref="Z248" ca="1">INDIRECT("'"&amp;$C248&amp;"'!"&amp;"$"&amp;$D248&amp;$Z$1&amp;"")</f>
        <v>0</v>
      </c>
      <c r="AA248" s="299" t="s">
        <v>1</v>
      </c>
      <c r="AB248" s="300" t="s">
        <v>1</v>
      </c>
      <c r="AC248" s="298" t="s">
        <v>1</v>
      </c>
      <c r="AD248" s="299" cm="1">
        <f t="array" aca="1" ref="AD248" ca="1">INDIRECT("'"&amp;$C248&amp;"'!"&amp;"$"&amp;$D248&amp;$AD$1&amp;"")</f>
        <v>3.3</v>
      </c>
      <c r="AE248" s="300">
        <f>3.8*3.56</f>
        <v>13.527999999999999</v>
      </c>
      <c r="AF248" s="300">
        <v>0.98</v>
      </c>
      <c r="AG248" s="298">
        <v>0.65</v>
      </c>
      <c r="AH248" s="297" t="str" cm="1">
        <f t="array" aca="1" ref="AH248" ca="1">INDIRECT("'"&amp;$C248&amp;"'!"&amp;"$"&amp;$D248&amp;$AH$1&amp;"")</f>
        <v>CMS</v>
      </c>
      <c r="AI248" s="300" t="s">
        <v>1</v>
      </c>
      <c r="AJ248" s="300" t="s">
        <v>1</v>
      </c>
      <c r="AK248" s="298" t="s">
        <v>1</v>
      </c>
      <c r="AL248" s="297">
        <v>11.6</v>
      </c>
      <c r="AM248" s="301">
        <v>69.5</v>
      </c>
      <c r="AN248" s="297" cm="1">
        <f t="array" aca="1" ref="AN248" ca="1">INDIRECT("'"&amp;$C248&amp;"'!"&amp;"$"&amp;$D248&amp;$AL$1&amp;"")</f>
        <v>3.5</v>
      </c>
      <c r="AO248" s="300">
        <v>0.98</v>
      </c>
      <c r="AP248" s="298">
        <v>0.74</v>
      </c>
      <c r="AQ248" s="299" cm="1">
        <f t="array" aca="1" ref="AQ248" ca="1">INDIRECT("'"&amp;$C248&amp;"'!"&amp;"$"&amp;$D248&amp;$AQ$1&amp;"")</f>
        <v>3.5</v>
      </c>
      <c r="AR248" s="300">
        <v>0.98</v>
      </c>
      <c r="AS248" s="298">
        <v>0.74</v>
      </c>
      <c r="AT248" s="302" t="s">
        <v>1</v>
      </c>
      <c r="AU248" s="301" t="s">
        <v>1</v>
      </c>
      <c r="AV248" s="297" t="str" cm="1">
        <f t="array" aca="1" ref="AV248" ca="1">INDIRECT("'"&amp;$C248&amp;"'!"&amp;"$"&amp;$D248&amp;$AT$1&amp;"")</f>
        <v>PMS</v>
      </c>
      <c r="AW248" s="300" t="s">
        <v>1</v>
      </c>
      <c r="AX248" s="301" t="s">
        <v>1</v>
      </c>
      <c r="AY248" s="387">
        <v>69</v>
      </c>
      <c r="AZ248" s="303" cm="1">
        <f t="array" aca="1" ref="AZ248" ca="1">INDIRECT("'"&amp;$C248&amp;"'!"&amp;"$"&amp;$D248&amp;$AY$1&amp;"")</f>
        <v>0.84</v>
      </c>
      <c r="BA248" s="300">
        <v>0.98</v>
      </c>
      <c r="BB248" s="298">
        <v>1.7</v>
      </c>
      <c r="BC248" s="299" cm="1">
        <f t="array" aca="1" ref="BC248" ca="1">INDIRECT("'"&amp;$C248&amp;"'!"&amp;"$"&amp;$D248&amp;$BC$1&amp;"")</f>
        <v>1</v>
      </c>
      <c r="BD248" s="300"/>
      <c r="BE248" s="300">
        <v>1</v>
      </c>
      <c r="BF248" s="298">
        <v>7.0000000000000007E-2</v>
      </c>
      <c r="BG248" s="299" cm="1">
        <f t="array" aca="1" ref="BG248" ca="1">INDIRECT("'"&amp;$C248&amp;"'!"&amp;"$"&amp;$D248&amp;$BG$1&amp;"")</f>
        <v>0.74</v>
      </c>
      <c r="BH248" s="300"/>
      <c r="BI248" s="300">
        <v>0.96</v>
      </c>
      <c r="BJ248" s="298">
        <v>0.21</v>
      </c>
      <c r="BK248" s="299" cm="1">
        <f t="array" aca="1" ref="BK248" ca="1">INDIRECT("'"&amp;$C248&amp;"'!"&amp;"$"&amp;$D248&amp;$BK$1&amp;"")</f>
        <v>3.25</v>
      </c>
      <c r="BL248" s="300"/>
      <c r="BM248" s="300">
        <v>0.95</v>
      </c>
      <c r="BN248" s="298">
        <v>1</v>
      </c>
    </row>
    <row r="249" spans="1:66" ht="15.75" thickBot="1" x14ac:dyDescent="0.25">
      <c r="A249" s="368">
        <v>45698</v>
      </c>
      <c r="B249" s="365">
        <v>0.79166666666666696</v>
      </c>
      <c r="C249" s="383">
        <v>10</v>
      </c>
      <c r="D249" s="319" t="s">
        <v>129</v>
      </c>
      <c r="E249" s="290">
        <v>14.1</v>
      </c>
      <c r="F249" s="291">
        <v>69.930000000000007</v>
      </c>
      <c r="G249" s="292" cm="1">
        <f t="array" aca="1" ref="G249" ca="1">INDIRECT("'"&amp;$C249&amp;"'!"&amp;"$"&amp;$D249&amp;$E$1&amp;"")</f>
        <v>6.5</v>
      </c>
      <c r="H249" s="293">
        <v>0.98</v>
      </c>
      <c r="I249" s="291">
        <v>1.41</v>
      </c>
      <c r="J249" s="292" cm="1">
        <f t="array" aca="1" ref="J249" ca="1">INDIRECT("'"&amp;$C249&amp;"'!"&amp;"$"&amp;$D249&amp;$J$1&amp;"")</f>
        <v>6.5</v>
      </c>
      <c r="K249" s="304"/>
      <c r="L249" s="293">
        <v>0.98</v>
      </c>
      <c r="M249" s="291">
        <v>1.41</v>
      </c>
      <c r="N249" s="292" cm="1">
        <f t="array" aca="1" ref="N249" ca="1">INDIRECT("'"&amp;$C249&amp;"'!"&amp;"$"&amp;$D249&amp;$N$1&amp;"")</f>
        <v>6.5</v>
      </c>
      <c r="O249" s="293"/>
      <c r="P249" s="293">
        <v>0.98</v>
      </c>
      <c r="Q249" s="291">
        <v>1.41</v>
      </c>
      <c r="R249" s="292" cm="1">
        <f t="array" aca="1" ref="R249" ca="1">INDIRECT("'"&amp;$C249&amp;"'!"&amp;"$"&amp;$D249&amp;$R$1&amp;"")</f>
        <v>6.5</v>
      </c>
      <c r="S249" s="293"/>
      <c r="T249" s="293">
        <v>0.98</v>
      </c>
      <c r="U249" s="291">
        <v>1.41</v>
      </c>
      <c r="V249" s="292" t="str" cm="1">
        <f t="array" aca="1" ref="V249" ca="1">INDIRECT("'"&amp;$C249&amp;"'!"&amp;"$"&amp;$D249&amp;$V$1&amp;"")</f>
        <v>CMS</v>
      </c>
      <c r="W249" s="293" t="s">
        <v>1</v>
      </c>
      <c r="X249" s="293" t="s">
        <v>1</v>
      </c>
      <c r="Y249" s="294" t="s">
        <v>1</v>
      </c>
      <c r="Z249" s="386" cm="1">
        <f t="array" aca="1" ref="Z249" ca="1">INDIRECT("'"&amp;$C249&amp;"'!"&amp;"$"&amp;$D249&amp;$Z$1&amp;"")</f>
        <v>0</v>
      </c>
      <c r="AA249" s="292" t="s">
        <v>1</v>
      </c>
      <c r="AB249" s="293" t="s">
        <v>1</v>
      </c>
      <c r="AC249" s="291" t="s">
        <v>1</v>
      </c>
      <c r="AD249" s="292" cm="1">
        <f t="array" aca="1" ref="AD249" ca="1">INDIRECT("'"&amp;$C249&amp;"'!"&amp;"$"&amp;$D249&amp;$AD$1&amp;"")</f>
        <v>3.3</v>
      </c>
      <c r="AE249" s="293">
        <f>3.8*3.56</f>
        <v>13.527999999999999</v>
      </c>
      <c r="AF249" s="293">
        <v>0.98</v>
      </c>
      <c r="AG249" s="291">
        <v>0.63</v>
      </c>
      <c r="AH249" s="290" t="str" cm="1">
        <f t="array" aca="1" ref="AH249" ca="1">INDIRECT("'"&amp;$C249&amp;"'!"&amp;"$"&amp;$D249&amp;$AH$1&amp;"")</f>
        <v>CMS</v>
      </c>
      <c r="AI249" s="293" t="s">
        <v>1</v>
      </c>
      <c r="AJ249" s="293" t="s">
        <v>1</v>
      </c>
      <c r="AK249" s="291" t="s">
        <v>1</v>
      </c>
      <c r="AL249" s="290">
        <v>11.6</v>
      </c>
      <c r="AM249" s="294">
        <v>69.5</v>
      </c>
      <c r="AN249" s="290" cm="1">
        <f t="array" aca="1" ref="AN249" ca="1">INDIRECT("'"&amp;$C249&amp;"'!"&amp;"$"&amp;$D249&amp;$AL$1&amp;"")</f>
        <v>4</v>
      </c>
      <c r="AO249" s="293">
        <v>0.98</v>
      </c>
      <c r="AP249" s="291">
        <v>0.7</v>
      </c>
      <c r="AQ249" s="292" cm="1">
        <f t="array" aca="1" ref="AQ249" ca="1">INDIRECT("'"&amp;$C249&amp;"'!"&amp;"$"&amp;$D249&amp;$AQ$1&amp;"")</f>
        <v>4</v>
      </c>
      <c r="AR249" s="293">
        <v>0.98</v>
      </c>
      <c r="AS249" s="291">
        <v>0.7</v>
      </c>
      <c r="AT249" s="295" t="s">
        <v>1</v>
      </c>
      <c r="AU249" s="294" t="s">
        <v>1</v>
      </c>
      <c r="AV249" s="290" t="str" cm="1">
        <f t="array" aca="1" ref="AV249" ca="1">INDIRECT("'"&amp;$C249&amp;"'!"&amp;"$"&amp;$D249&amp;$AT$1&amp;"")</f>
        <v>PMS</v>
      </c>
      <c r="AW249" s="293" t="s">
        <v>1</v>
      </c>
      <c r="AX249" s="294" t="s">
        <v>1</v>
      </c>
      <c r="AY249" s="386">
        <v>68.900000000000006</v>
      </c>
      <c r="AZ249" s="296" cm="1">
        <f t="array" aca="1" ref="AZ249" ca="1">INDIRECT("'"&amp;$C249&amp;"'!"&amp;"$"&amp;$D249&amp;$AY$1&amp;"")</f>
        <v>1.88</v>
      </c>
      <c r="BA249" s="293">
        <v>0.98</v>
      </c>
      <c r="BB249" s="291">
        <v>0.38</v>
      </c>
      <c r="BC249" s="292" cm="1">
        <f t="array" aca="1" ref="BC249" ca="1">INDIRECT("'"&amp;$C249&amp;"'!"&amp;"$"&amp;$D249&amp;$BC$1&amp;"")</f>
        <v>1.1299999999999999</v>
      </c>
      <c r="BD249" s="293"/>
      <c r="BE249" s="293">
        <v>0.99</v>
      </c>
      <c r="BF249" s="291">
        <v>0.09</v>
      </c>
      <c r="BG249" s="292" cm="1">
        <f t="array" aca="1" ref="BG249" ca="1">INDIRECT("'"&amp;$C249&amp;"'!"&amp;"$"&amp;$D249&amp;$BG$1&amp;"")</f>
        <v>0.78</v>
      </c>
      <c r="BH249" s="293"/>
      <c r="BI249" s="293">
        <v>0.96</v>
      </c>
      <c r="BJ249" s="291">
        <v>0.22</v>
      </c>
      <c r="BK249" s="292" cm="1">
        <f t="array" aca="1" ref="BK249" ca="1">INDIRECT("'"&amp;$C249&amp;"'!"&amp;"$"&amp;$D249&amp;$BK$1&amp;"")</f>
        <v>4.13</v>
      </c>
      <c r="BL249" s="293"/>
      <c r="BM249" s="293">
        <v>0.95</v>
      </c>
      <c r="BN249" s="291">
        <v>1.3</v>
      </c>
    </row>
    <row r="250" spans="1:66" ht="15.75" thickBot="1" x14ac:dyDescent="0.25">
      <c r="A250" s="368">
        <v>45698</v>
      </c>
      <c r="B250" s="365">
        <v>0.83333333333333337</v>
      </c>
      <c r="C250" s="383">
        <v>10</v>
      </c>
      <c r="D250" s="319" t="s">
        <v>130</v>
      </c>
      <c r="E250" s="297">
        <v>14.3</v>
      </c>
      <c r="F250" s="298">
        <v>70.25</v>
      </c>
      <c r="G250" s="299" cm="1">
        <f t="array" aca="1" ref="G250" ca="1">INDIRECT("'"&amp;$C250&amp;"'!"&amp;"$"&amp;$D250&amp;$E$1&amp;"")</f>
        <v>6.4</v>
      </c>
      <c r="H250" s="300">
        <v>0.98</v>
      </c>
      <c r="I250" s="298">
        <v>1.38</v>
      </c>
      <c r="J250" s="299" cm="1">
        <f t="array" aca="1" ref="J250" ca="1">INDIRECT("'"&amp;$C250&amp;"'!"&amp;"$"&amp;$D250&amp;$J$1&amp;"")</f>
        <v>6.4</v>
      </c>
      <c r="K250" s="300"/>
      <c r="L250" s="300">
        <v>0.98</v>
      </c>
      <c r="M250" s="298">
        <v>1.39</v>
      </c>
      <c r="N250" s="299" cm="1">
        <f t="array" aca="1" ref="N250" ca="1">INDIRECT("'"&amp;$C250&amp;"'!"&amp;"$"&amp;$D250&amp;$N$1&amp;"")</f>
        <v>6.4</v>
      </c>
      <c r="O250" s="300"/>
      <c r="P250" s="300">
        <v>0.98</v>
      </c>
      <c r="Q250" s="298">
        <v>1.39</v>
      </c>
      <c r="R250" s="299" cm="1">
        <f t="array" aca="1" ref="R250" ca="1">INDIRECT("'"&amp;$C250&amp;"'!"&amp;"$"&amp;$D250&amp;$R$1&amp;"")</f>
        <v>6.4</v>
      </c>
      <c r="S250" s="300"/>
      <c r="T250" s="300">
        <v>0.98</v>
      </c>
      <c r="U250" s="298">
        <v>1.34</v>
      </c>
      <c r="V250" s="299" t="str" cm="1">
        <f t="array" aca="1" ref="V250" ca="1">INDIRECT("'"&amp;$C250&amp;"'!"&amp;"$"&amp;$D250&amp;$V$1&amp;"")</f>
        <v>CMS</v>
      </c>
      <c r="W250" s="300" t="s">
        <v>1</v>
      </c>
      <c r="X250" s="300" t="s">
        <v>1</v>
      </c>
      <c r="Y250" s="301" t="s">
        <v>1</v>
      </c>
      <c r="Z250" s="387" cm="1">
        <f t="array" aca="1" ref="Z250" ca="1">INDIRECT("'"&amp;$C250&amp;"'!"&amp;"$"&amp;$D250&amp;$Z$1&amp;"")</f>
        <v>0</v>
      </c>
      <c r="AA250" s="299" t="s">
        <v>1</v>
      </c>
      <c r="AB250" s="300" t="s">
        <v>1</v>
      </c>
      <c r="AC250" s="298" t="s">
        <v>1</v>
      </c>
      <c r="AD250" s="299" cm="1">
        <f t="array" aca="1" ref="AD250" ca="1">INDIRECT("'"&amp;$C250&amp;"'!"&amp;"$"&amp;$D250&amp;$AD$1&amp;"")</f>
        <v>3.3</v>
      </c>
      <c r="AE250" s="300">
        <f>3.8*3.59</f>
        <v>13.641999999999999</v>
      </c>
      <c r="AF250" s="300">
        <v>0.98</v>
      </c>
      <c r="AG250" s="298">
        <v>0.64</v>
      </c>
      <c r="AH250" s="297" t="str" cm="1">
        <f t="array" aca="1" ref="AH250" ca="1">INDIRECT("'"&amp;$C250&amp;"'!"&amp;"$"&amp;$D250&amp;$AH$1&amp;"")</f>
        <v>CMS</v>
      </c>
      <c r="AI250" s="300" t="s">
        <v>1</v>
      </c>
      <c r="AJ250" s="300" t="s">
        <v>1</v>
      </c>
      <c r="AK250" s="298" t="s">
        <v>1</v>
      </c>
      <c r="AL250" s="297">
        <v>11.7</v>
      </c>
      <c r="AM250" s="301">
        <v>70</v>
      </c>
      <c r="AN250" s="297" cm="1">
        <f t="array" aca="1" ref="AN250" ca="1">INDIRECT("'"&amp;$C250&amp;"'!"&amp;"$"&amp;$D250&amp;$AL$1&amp;"")</f>
        <v>3.9</v>
      </c>
      <c r="AO250" s="300">
        <v>0.99</v>
      </c>
      <c r="AP250" s="298">
        <v>0.53</v>
      </c>
      <c r="AQ250" s="299" cm="1">
        <f t="array" aca="1" ref="AQ250" ca="1">INDIRECT("'"&amp;$C250&amp;"'!"&amp;"$"&amp;$D250&amp;$AQ$1&amp;"")</f>
        <v>3.9</v>
      </c>
      <c r="AR250" s="300">
        <v>0.99</v>
      </c>
      <c r="AS250" s="298">
        <v>0.22</v>
      </c>
      <c r="AT250" s="302" t="s">
        <v>1</v>
      </c>
      <c r="AU250" s="301" t="s">
        <v>1</v>
      </c>
      <c r="AV250" s="297" t="str" cm="1">
        <f t="array" aca="1" ref="AV250" ca="1">INDIRECT("'"&amp;$C250&amp;"'!"&amp;"$"&amp;$D250&amp;$AT$1&amp;"")</f>
        <v>PMS</v>
      </c>
      <c r="AW250" s="300" t="s">
        <v>1</v>
      </c>
      <c r="AX250" s="301" t="s">
        <v>1</v>
      </c>
      <c r="AY250" s="387">
        <v>69.099999999999994</v>
      </c>
      <c r="AZ250" s="303" cm="1">
        <f t="array" aca="1" ref="AZ250" ca="1">INDIRECT("'"&amp;$C250&amp;"'!"&amp;"$"&amp;$D250&amp;$AY$1&amp;"")</f>
        <v>0</v>
      </c>
      <c r="BA250" s="300" t="s">
        <v>1</v>
      </c>
      <c r="BB250" s="298" t="s">
        <v>1</v>
      </c>
      <c r="BC250" s="299" cm="1">
        <f t="array" aca="1" ref="BC250" ca="1">INDIRECT("'"&amp;$C250&amp;"'!"&amp;"$"&amp;$D250&amp;$BC$1&amp;"")</f>
        <v>1</v>
      </c>
      <c r="BD250" s="300"/>
      <c r="BE250" s="300">
        <v>0.99</v>
      </c>
      <c r="BF250" s="298">
        <v>0.09</v>
      </c>
      <c r="BG250" s="299" cm="1">
        <f t="array" aca="1" ref="BG250" ca="1">INDIRECT("'"&amp;$C250&amp;"'!"&amp;"$"&amp;$D250&amp;$BG$1&amp;"")</f>
        <v>0.87</v>
      </c>
      <c r="BH250" s="300"/>
      <c r="BI250" s="300">
        <v>0.97</v>
      </c>
      <c r="BJ250" s="298">
        <v>0.21</v>
      </c>
      <c r="BK250" s="299" cm="1">
        <f t="array" aca="1" ref="BK250" ca="1">INDIRECT("'"&amp;$C250&amp;"'!"&amp;"$"&amp;$D250&amp;$BK$1&amp;"")</f>
        <v>3.84</v>
      </c>
      <c r="BL250" s="300"/>
      <c r="BM250" s="300">
        <v>0.95</v>
      </c>
      <c r="BN250" s="298">
        <v>1.2</v>
      </c>
    </row>
    <row r="251" spans="1:66" ht="15.75" thickBot="1" x14ac:dyDescent="0.25">
      <c r="A251" s="368">
        <v>45698</v>
      </c>
      <c r="B251" s="365">
        <v>0.875000000000001</v>
      </c>
      <c r="C251" s="383">
        <v>10</v>
      </c>
      <c r="D251" s="319" t="s">
        <v>131</v>
      </c>
      <c r="E251" s="290">
        <v>14.3</v>
      </c>
      <c r="F251" s="291">
        <v>71.08</v>
      </c>
      <c r="G251" s="292" cm="1">
        <f t="array" aca="1" ref="G251" ca="1">INDIRECT("'"&amp;$C251&amp;"'!"&amp;"$"&amp;$D251&amp;$E$1&amp;"")</f>
        <v>2.5</v>
      </c>
      <c r="H251" s="293">
        <v>0.98</v>
      </c>
      <c r="I251" s="291">
        <v>0.4</v>
      </c>
      <c r="J251" s="292" cm="1">
        <f t="array" aca="1" ref="J251" ca="1">INDIRECT("'"&amp;$C251&amp;"'!"&amp;"$"&amp;$D251&amp;$J$1&amp;"")</f>
        <v>6.7</v>
      </c>
      <c r="K251" s="293"/>
      <c r="L251" s="293">
        <v>0.98</v>
      </c>
      <c r="M251" s="291">
        <v>1.61</v>
      </c>
      <c r="N251" s="292" cm="1">
        <f t="array" aca="1" ref="N251" ca="1">INDIRECT("'"&amp;$C251&amp;"'!"&amp;"$"&amp;$D251&amp;$N$1&amp;"")</f>
        <v>6.7</v>
      </c>
      <c r="O251" s="293"/>
      <c r="P251" s="293">
        <v>0.98</v>
      </c>
      <c r="Q251" s="291">
        <v>1.31</v>
      </c>
      <c r="R251" s="292" cm="1">
        <f t="array" aca="1" ref="R251" ca="1">INDIRECT("'"&amp;$C251&amp;"'!"&amp;"$"&amp;$D251&amp;$R$1&amp;"")</f>
        <v>6.8</v>
      </c>
      <c r="S251" s="293"/>
      <c r="T251" s="293">
        <v>0.98</v>
      </c>
      <c r="U251" s="291">
        <v>1.1399999999999999</v>
      </c>
      <c r="V251" s="292" t="str" cm="1">
        <f t="array" aca="1" ref="V251" ca="1">INDIRECT("'"&amp;$C251&amp;"'!"&amp;"$"&amp;$D251&amp;$V$1&amp;"")</f>
        <v>CMS</v>
      </c>
      <c r="W251" s="293" t="s">
        <v>1</v>
      </c>
      <c r="X251" s="293" t="s">
        <v>1</v>
      </c>
      <c r="Y251" s="294" t="s">
        <v>1</v>
      </c>
      <c r="Z251" s="386" cm="1">
        <f t="array" aca="1" ref="Z251" ca="1">INDIRECT("'"&amp;$C251&amp;"'!"&amp;"$"&amp;$D251&amp;$Z$1&amp;"")</f>
        <v>0</v>
      </c>
      <c r="AA251" s="292" t="s">
        <v>1</v>
      </c>
      <c r="AB251" s="293" t="s">
        <v>1</v>
      </c>
      <c r="AC251" s="291" t="s">
        <v>1</v>
      </c>
      <c r="AD251" s="292" cm="1">
        <f t="array" aca="1" ref="AD251" ca="1">INDIRECT("'"&amp;$C251&amp;"'!"&amp;"$"&amp;$D251&amp;$AD$1&amp;"")</f>
        <v>3.3</v>
      </c>
      <c r="AE251" s="293">
        <f>3.8*3.6</f>
        <v>13.68</v>
      </c>
      <c r="AF251" s="293">
        <v>0.99</v>
      </c>
      <c r="AG251" s="291">
        <v>0.39</v>
      </c>
      <c r="AH251" s="290" t="str" cm="1">
        <f t="array" aca="1" ref="AH251" ca="1">INDIRECT("'"&amp;$C251&amp;"'!"&amp;"$"&amp;$D251&amp;$AH$1&amp;"")</f>
        <v>CMS</v>
      </c>
      <c r="AI251" s="293" t="s">
        <v>1</v>
      </c>
      <c r="AJ251" s="293" t="s">
        <v>1</v>
      </c>
      <c r="AK251" s="291" t="s">
        <v>1</v>
      </c>
      <c r="AL251" s="290">
        <v>11.8</v>
      </c>
      <c r="AM251" s="294">
        <v>70.400000000000006</v>
      </c>
      <c r="AN251" s="290" cm="1">
        <f t="array" aca="1" ref="AN251" ca="1">INDIRECT("'"&amp;$C251&amp;"'!"&amp;"$"&amp;$D251&amp;$AL$1&amp;"")</f>
        <v>4.2</v>
      </c>
      <c r="AO251" s="293">
        <v>0.99</v>
      </c>
      <c r="AP251" s="291">
        <v>0.52</v>
      </c>
      <c r="AQ251" s="292" cm="1">
        <f t="array" aca="1" ref="AQ251" ca="1">INDIRECT("'"&amp;$C251&amp;"'!"&amp;"$"&amp;$D251&amp;$AQ$1&amp;"")</f>
        <v>4.2</v>
      </c>
      <c r="AR251" s="293">
        <v>0.99</v>
      </c>
      <c r="AS251" s="291">
        <v>0.31</v>
      </c>
      <c r="AT251" s="295" t="s">
        <v>1</v>
      </c>
      <c r="AU251" s="294" t="s">
        <v>1</v>
      </c>
      <c r="AV251" s="290" t="str" cm="1">
        <f t="array" aca="1" ref="AV251" ca="1">INDIRECT("'"&amp;$C251&amp;"'!"&amp;"$"&amp;$D251&amp;$AT$1&amp;"")</f>
        <v>PMS</v>
      </c>
      <c r="AW251" s="293" t="s">
        <v>1</v>
      </c>
      <c r="AX251" s="294" t="s">
        <v>1</v>
      </c>
      <c r="AY251" s="386">
        <v>69.400000000000006</v>
      </c>
      <c r="AZ251" s="296" cm="1">
        <f t="array" aca="1" ref="AZ251" ca="1">INDIRECT("'"&amp;$C251&amp;"'!"&amp;"$"&amp;$D251&amp;$AY$1&amp;"")</f>
        <v>0</v>
      </c>
      <c r="BA251" s="293" t="s">
        <v>1</v>
      </c>
      <c r="BB251" s="291" t="s">
        <v>1</v>
      </c>
      <c r="BC251" s="292" cm="1">
        <f t="array" aca="1" ref="BC251" ca="1">INDIRECT("'"&amp;$C251&amp;"'!"&amp;"$"&amp;$D251&amp;$BC$1&amp;"")</f>
        <v>0.92</v>
      </c>
      <c r="BD251" s="293"/>
      <c r="BE251" s="293">
        <v>0.99</v>
      </c>
      <c r="BF251" s="291">
        <v>7.0000000000000007E-2</v>
      </c>
      <c r="BG251" s="292" cm="1">
        <f t="array" aca="1" ref="BG251" ca="1">INDIRECT("'"&amp;$C251&amp;"'!"&amp;"$"&amp;$D251&amp;$BG$1&amp;"")</f>
        <v>0.83</v>
      </c>
      <c r="BH251" s="293"/>
      <c r="BI251" s="293">
        <v>0.97</v>
      </c>
      <c r="BJ251" s="291">
        <v>0.21</v>
      </c>
      <c r="BK251" s="292" cm="1">
        <f t="array" aca="1" ref="BK251" ca="1">INDIRECT("'"&amp;$C251&amp;"'!"&amp;"$"&amp;$D251&amp;$BK$1&amp;"")</f>
        <v>3.62</v>
      </c>
      <c r="BL251" s="293"/>
      <c r="BM251" s="293">
        <v>0.95</v>
      </c>
      <c r="BN251" s="291">
        <v>1.1000000000000001</v>
      </c>
    </row>
    <row r="252" spans="1:66" ht="15.75" thickBot="1" x14ac:dyDescent="0.25">
      <c r="A252" s="368">
        <v>45698</v>
      </c>
      <c r="B252" s="365">
        <v>0.91666666666666696</v>
      </c>
      <c r="C252" s="383">
        <v>10</v>
      </c>
      <c r="D252" s="319" t="s">
        <v>132</v>
      </c>
      <c r="E252" s="297">
        <v>14.2</v>
      </c>
      <c r="F252" s="298">
        <v>70.73</v>
      </c>
      <c r="G252" s="299" cm="1">
        <f t="array" aca="1" ref="G252" ca="1">INDIRECT("'"&amp;$C252&amp;"'!"&amp;"$"&amp;$D252&amp;$E$1&amp;"")</f>
        <v>0</v>
      </c>
      <c r="H252" s="300" t="s">
        <v>1</v>
      </c>
      <c r="I252" s="298" t="s">
        <v>1</v>
      </c>
      <c r="J252" s="299" cm="1">
        <f t="array" aca="1" ref="J252" ca="1">INDIRECT("'"&amp;$C252&amp;"'!"&amp;"$"&amp;$D252&amp;$J$1&amp;"")</f>
        <v>6.6</v>
      </c>
      <c r="K252" s="300"/>
      <c r="L252" s="300">
        <v>1</v>
      </c>
      <c r="M252" s="298">
        <v>0</v>
      </c>
      <c r="N252" s="299" cm="1">
        <f t="array" aca="1" ref="N252" ca="1">INDIRECT("'"&amp;$C252&amp;"'!"&amp;"$"&amp;$D252&amp;$N$1&amp;"")</f>
        <v>6.5</v>
      </c>
      <c r="O252" s="300"/>
      <c r="P252" s="300">
        <v>0.99</v>
      </c>
      <c r="Q252" s="298">
        <v>0.77</v>
      </c>
      <c r="R252" s="299" cm="1">
        <f t="array" aca="1" ref="R252" ca="1">INDIRECT("'"&amp;$C252&amp;"'!"&amp;"$"&amp;$D252&amp;$R$1&amp;"")</f>
        <v>6.5</v>
      </c>
      <c r="S252" s="300"/>
      <c r="T252" s="300">
        <v>0.99</v>
      </c>
      <c r="U252" s="298">
        <v>0.82</v>
      </c>
      <c r="V252" s="299" t="str" cm="1">
        <f t="array" aca="1" ref="V252" ca="1">INDIRECT("'"&amp;$C252&amp;"'!"&amp;"$"&amp;$D252&amp;$V$1&amp;"")</f>
        <v>CMS</v>
      </c>
      <c r="W252" s="300" t="s">
        <v>1</v>
      </c>
      <c r="X252" s="300" t="s">
        <v>1</v>
      </c>
      <c r="Y252" s="301" t="s">
        <v>1</v>
      </c>
      <c r="Z252" s="387" cm="1">
        <f t="array" aca="1" ref="Z252" ca="1">INDIRECT("'"&amp;$C252&amp;"'!"&amp;"$"&amp;$D252&amp;$Z$1&amp;"")</f>
        <v>0</v>
      </c>
      <c r="AA252" s="299" t="s">
        <v>1</v>
      </c>
      <c r="AB252" s="300" t="s">
        <v>1</v>
      </c>
      <c r="AC252" s="298" t="s">
        <v>1</v>
      </c>
      <c r="AD252" s="299" cm="1">
        <f t="array" aca="1" ref="AD252" ca="1">INDIRECT("'"&amp;$C252&amp;"'!"&amp;"$"&amp;$D252&amp;$AD$1&amp;"")</f>
        <v>3.3</v>
      </c>
      <c r="AE252" s="300">
        <f>3.8*3.55</f>
        <v>13.489999999999998</v>
      </c>
      <c r="AF252" s="300">
        <v>1</v>
      </c>
      <c r="AG252" s="298">
        <v>0.12</v>
      </c>
      <c r="AH252" s="297" cm="1">
        <f t="array" aca="1" ref="AH252" ca="1">INDIRECT("'"&amp;$C252&amp;"'!"&amp;"$"&amp;$D252&amp;$AH$1&amp;"")</f>
        <v>0.5</v>
      </c>
      <c r="AI252" s="300">
        <v>13.76</v>
      </c>
      <c r="AJ252" s="300">
        <v>0.95</v>
      </c>
      <c r="AK252" s="298">
        <v>0.28399999999999997</v>
      </c>
      <c r="AL252" s="297">
        <v>11.7</v>
      </c>
      <c r="AM252" s="301">
        <v>70.2</v>
      </c>
      <c r="AN252" s="297" cm="1">
        <f t="array" aca="1" ref="AN252" ca="1">INDIRECT("'"&amp;$C252&amp;"'!"&amp;"$"&amp;$D252&amp;$AL$1&amp;"")</f>
        <v>3.5</v>
      </c>
      <c r="AO252" s="300">
        <v>0.99</v>
      </c>
      <c r="AP252" s="298">
        <v>0.17</v>
      </c>
      <c r="AQ252" s="299" cm="1">
        <f t="array" aca="1" ref="AQ252" ca="1">INDIRECT("'"&amp;$C252&amp;"'!"&amp;"$"&amp;$D252&amp;$AQ$1&amp;"")</f>
        <v>3.5</v>
      </c>
      <c r="AR252" s="300">
        <v>0.99</v>
      </c>
      <c r="AS252" s="298">
        <v>0.22</v>
      </c>
      <c r="AT252" s="302" t="s">
        <v>1</v>
      </c>
      <c r="AU252" s="301" t="s">
        <v>1</v>
      </c>
      <c r="AV252" s="297" t="str" cm="1">
        <f t="array" aca="1" ref="AV252" ca="1">INDIRECT("'"&amp;$C252&amp;"'!"&amp;"$"&amp;$D252&amp;$AT$1&amp;"")</f>
        <v>PMS</v>
      </c>
      <c r="AW252" s="300" t="s">
        <v>1</v>
      </c>
      <c r="AX252" s="301" t="s">
        <v>1</v>
      </c>
      <c r="AY252" s="388">
        <v>69.7</v>
      </c>
      <c r="AZ252" s="303" cm="1">
        <f t="array" aca="1" ref="AZ252" ca="1">INDIRECT("'"&amp;$C252&amp;"'!"&amp;"$"&amp;$D252&amp;$AY$1&amp;"")</f>
        <v>0</v>
      </c>
      <c r="BA252" s="300" t="s">
        <v>1</v>
      </c>
      <c r="BB252" s="298" t="s">
        <v>1</v>
      </c>
      <c r="BC252" s="299" cm="1">
        <f t="array" aca="1" ref="BC252" ca="1">INDIRECT("'"&amp;$C252&amp;"'!"&amp;"$"&amp;$D252&amp;$BC$1&amp;"")</f>
        <v>0.79</v>
      </c>
      <c r="BD252" s="300"/>
      <c r="BE252" s="300">
        <v>0.99</v>
      </c>
      <c r="BF252" s="298">
        <v>0.05</v>
      </c>
      <c r="BG252" s="299" cm="1">
        <f t="array" aca="1" ref="BG252" ca="1">INDIRECT("'"&amp;$C252&amp;"'!"&amp;"$"&amp;$D252&amp;$BG$1&amp;"")</f>
        <v>0.77</v>
      </c>
      <c r="BH252" s="300"/>
      <c r="BI252" s="300">
        <v>0.97</v>
      </c>
      <c r="BJ252" s="298">
        <v>0.2</v>
      </c>
      <c r="BK252" s="299" cm="1">
        <f t="array" aca="1" ref="BK252" ca="1">INDIRECT("'"&amp;$C252&amp;"'!"&amp;"$"&amp;$D252&amp;$BK$1&amp;"")</f>
        <v>3.1</v>
      </c>
      <c r="BL252" s="300"/>
      <c r="BM252" s="300">
        <v>0.95</v>
      </c>
      <c r="BN252" s="298">
        <v>1</v>
      </c>
    </row>
    <row r="253" spans="1:66" ht="15.75" thickBot="1" x14ac:dyDescent="0.25">
      <c r="A253" s="369">
        <v>45698</v>
      </c>
      <c r="B253" s="366">
        <v>0.95833333333333404</v>
      </c>
      <c r="C253" s="383">
        <v>10</v>
      </c>
      <c r="D253" s="321" t="s">
        <v>133</v>
      </c>
      <c r="E253" s="305">
        <v>14.3</v>
      </c>
      <c r="F253" s="306">
        <v>71.45</v>
      </c>
      <c r="G253" s="307" cm="1">
        <f t="array" aca="1" ref="G253" ca="1">INDIRECT("'"&amp;$C253&amp;"'!"&amp;"$"&amp;$D253&amp;$E$1&amp;"")</f>
        <v>0</v>
      </c>
      <c r="H253" s="308" t="s">
        <v>1</v>
      </c>
      <c r="I253" s="306" t="s">
        <v>1</v>
      </c>
      <c r="J253" s="307" cm="1">
        <f t="array" aca="1" ref="J253" ca="1">INDIRECT("'"&amp;$C253&amp;"'!"&amp;"$"&amp;$D253&amp;$J$1&amp;"")</f>
        <v>0</v>
      </c>
      <c r="K253" s="308"/>
      <c r="L253" s="308" t="s">
        <v>1</v>
      </c>
      <c r="M253" s="306" t="s">
        <v>1</v>
      </c>
      <c r="N253" s="307" cm="1">
        <f t="array" aca="1" ref="N253" ca="1">INDIRECT("'"&amp;$C253&amp;"'!"&amp;"$"&amp;$D253&amp;$N$1&amp;"")</f>
        <v>6.6</v>
      </c>
      <c r="O253" s="308"/>
      <c r="P253" s="308">
        <v>0.99</v>
      </c>
      <c r="Q253" s="306">
        <v>0.79</v>
      </c>
      <c r="R253" s="307" cm="1">
        <f t="array" aca="1" ref="R253" ca="1">INDIRECT("'"&amp;$C253&amp;"'!"&amp;"$"&amp;$D253&amp;$R$1&amp;"")</f>
        <v>6.4</v>
      </c>
      <c r="S253" s="308"/>
      <c r="T253" s="308">
        <v>0.99</v>
      </c>
      <c r="U253" s="306">
        <v>0.73</v>
      </c>
      <c r="V253" s="307" t="str" cm="1">
        <f t="array" aca="1" ref="V253" ca="1">INDIRECT("'"&amp;$C253&amp;"'!"&amp;"$"&amp;$D253&amp;$V$1&amp;"")</f>
        <v>CMS</v>
      </c>
      <c r="W253" s="308" t="s">
        <v>1</v>
      </c>
      <c r="X253" s="308" t="s">
        <v>1</v>
      </c>
      <c r="Y253" s="309" t="s">
        <v>1</v>
      </c>
      <c r="Z253" s="389" cm="1">
        <f t="array" aca="1" ref="Z253" ca="1">INDIRECT("'"&amp;$C253&amp;"'!"&amp;"$"&amp;$D253&amp;$Z$1&amp;"")</f>
        <v>0</v>
      </c>
      <c r="AA253" s="307" t="s">
        <v>1</v>
      </c>
      <c r="AB253" s="308" t="s">
        <v>1</v>
      </c>
      <c r="AC253" s="306" t="s">
        <v>1</v>
      </c>
      <c r="AD253" s="307" cm="1">
        <f t="array" aca="1" ref="AD253" ca="1">INDIRECT("'"&amp;$C253&amp;"'!"&amp;"$"&amp;$D253&amp;$AD$1&amp;"")</f>
        <v>4</v>
      </c>
      <c r="AE253" s="293">
        <f>3.8*3.68</f>
        <v>13.984</v>
      </c>
      <c r="AF253" s="308">
        <v>1</v>
      </c>
      <c r="AG253" s="309">
        <v>0</v>
      </c>
      <c r="AH253" s="305" cm="1">
        <f t="array" aca="1" ref="AH253" ca="1">INDIRECT("'"&amp;$C253&amp;"'!"&amp;"$"&amp;$D253&amp;$AH$1&amp;"")</f>
        <v>0.5</v>
      </c>
      <c r="AI253" s="308">
        <v>13.88</v>
      </c>
      <c r="AJ253" s="308">
        <v>0.99</v>
      </c>
      <c r="AK253" s="306">
        <v>0.157</v>
      </c>
      <c r="AL253" s="305">
        <v>11.8</v>
      </c>
      <c r="AM253" s="309">
        <v>70.7</v>
      </c>
      <c r="AN253" s="305" cm="1">
        <f t="array" aca="1" ref="AN253" ca="1">INDIRECT("'"&amp;$C253&amp;"'!"&amp;"$"&amp;$D253&amp;$AL$1&amp;"")</f>
        <v>4</v>
      </c>
      <c r="AO253" s="308">
        <v>1</v>
      </c>
      <c r="AP253" s="306">
        <v>0</v>
      </c>
      <c r="AQ253" s="307" cm="1">
        <f t="array" aca="1" ref="AQ253" ca="1">INDIRECT("'"&amp;$C253&amp;"'!"&amp;"$"&amp;$D253&amp;$AQ$1&amp;"")</f>
        <v>4</v>
      </c>
      <c r="AR253" s="308">
        <v>1</v>
      </c>
      <c r="AS253" s="306">
        <v>0</v>
      </c>
      <c r="AT253" s="310" t="s">
        <v>1</v>
      </c>
      <c r="AU253" s="306" t="s">
        <v>1</v>
      </c>
      <c r="AV253" s="305" t="str" cm="1">
        <f t="array" aca="1" ref="AV253" ca="1">INDIRECT("'"&amp;$C253&amp;"'!"&amp;"$"&amp;$D253&amp;$AT$1&amp;"")</f>
        <v>PMS</v>
      </c>
      <c r="AW253" s="308" t="s">
        <v>1</v>
      </c>
      <c r="AX253" s="306" t="s">
        <v>1</v>
      </c>
      <c r="AY253" s="384">
        <v>70.099999999999994</v>
      </c>
      <c r="AZ253" s="310" cm="1">
        <f t="array" aca="1" ref="AZ253" ca="1">INDIRECT("'"&amp;$C253&amp;"'!"&amp;"$"&amp;$D253&amp;$AY$1&amp;"")</f>
        <v>0.8</v>
      </c>
      <c r="BA253" s="308">
        <v>0.97</v>
      </c>
      <c r="BB253" s="306">
        <v>0.2</v>
      </c>
      <c r="BC253" s="307" cm="1">
        <f t="array" aca="1" ref="BC253" ca="1">INDIRECT("'"&amp;$C253&amp;"'!"&amp;"$"&amp;$D253&amp;$BC$1&amp;"")</f>
        <v>0.76</v>
      </c>
      <c r="BD253" s="308"/>
      <c r="BE253" s="308">
        <v>0.99</v>
      </c>
      <c r="BF253" s="306">
        <v>0.06</v>
      </c>
      <c r="BG253" s="307" cm="1">
        <f t="array" aca="1" ref="BG253" ca="1">INDIRECT("'"&amp;$C253&amp;"'!"&amp;"$"&amp;$D253&amp;$BG$1&amp;"")</f>
        <v>0.75</v>
      </c>
      <c r="BH253" s="308"/>
      <c r="BI253" s="308">
        <v>0.97</v>
      </c>
      <c r="BJ253" s="306">
        <v>0.19</v>
      </c>
      <c r="BK253" s="307" cm="1">
        <f t="array" aca="1" ref="BK253" ca="1">INDIRECT("'"&amp;$C253&amp;"'!"&amp;"$"&amp;$D253&amp;$BK$1&amp;"")</f>
        <v>2.9</v>
      </c>
      <c r="BL253" s="308"/>
      <c r="BM253" s="308">
        <v>0.95</v>
      </c>
      <c r="BN253" s="306">
        <v>0.95</v>
      </c>
    </row>
    <row r="254" spans="1:66" ht="15" thickBot="1" x14ac:dyDescent="0.25"/>
    <row r="255" spans="1:66" ht="15.75" thickBot="1" x14ac:dyDescent="0.25">
      <c r="A255" s="367">
        <v>45699</v>
      </c>
      <c r="B255" s="364">
        <v>0</v>
      </c>
      <c r="C255" s="383">
        <v>11</v>
      </c>
      <c r="D255" s="316" t="s">
        <v>110</v>
      </c>
      <c r="E255" s="284">
        <v>14.3</v>
      </c>
      <c r="F255" s="285">
        <v>70.14</v>
      </c>
      <c r="G255" s="286" cm="1">
        <f t="array" aca="1" ref="G255" ca="1">INDIRECT("'"&amp;$C255&amp;"'!"&amp;"$"&amp;$D255&amp;$E$1&amp;"")</f>
        <v>0</v>
      </c>
      <c r="H255" s="287" t="s">
        <v>1</v>
      </c>
      <c r="I255" s="285" t="s">
        <v>1</v>
      </c>
      <c r="J255" s="286" cm="1">
        <f t="array" aca="1" ref="J255" ca="1">INDIRECT("'"&amp;$C255&amp;"'!"&amp;"$"&amp;$D255&amp;$J$1&amp;"")</f>
        <v>0</v>
      </c>
      <c r="K255" s="287"/>
      <c r="L255" s="287" t="s">
        <v>1</v>
      </c>
      <c r="M255" s="285" t="s">
        <v>1</v>
      </c>
      <c r="N255" s="286" cm="1">
        <f t="array" aca="1" ref="N255" ca="1">INDIRECT("'"&amp;$C255&amp;"'!"&amp;"$"&amp;$D255&amp;$N$1&amp;"")</f>
        <v>6.5</v>
      </c>
      <c r="O255" s="287"/>
      <c r="P255" s="287">
        <v>1</v>
      </c>
      <c r="Q255" s="285">
        <v>0</v>
      </c>
      <c r="R255" s="286" cm="1">
        <f t="array" aca="1" ref="R255" ca="1">INDIRECT("'"&amp;$C255&amp;"'!"&amp;"$"&amp;$D255&amp;$R$1&amp;"")</f>
        <v>6.5</v>
      </c>
      <c r="S255" s="287"/>
      <c r="T255" s="287">
        <v>1</v>
      </c>
      <c r="U255" s="285">
        <v>0</v>
      </c>
      <c r="V255" s="286" t="str" cm="1">
        <f t="array" aca="1" ref="V255" ca="1">INDIRECT("'"&amp;$C255&amp;"'!"&amp;"$"&amp;$D255&amp;$V$1&amp;"")</f>
        <v>CMS</v>
      </c>
      <c r="W255" s="287" t="s">
        <v>1</v>
      </c>
      <c r="X255" s="287" t="s">
        <v>1</v>
      </c>
      <c r="Y255" s="288" t="s">
        <v>1</v>
      </c>
      <c r="Z255" s="385" cm="1">
        <f t="array" aca="1" ref="Z255" ca="1">INDIRECT("'"&amp;$C255&amp;"'!"&amp;"$"&amp;$D255&amp;$Z$1&amp;"")</f>
        <v>0</v>
      </c>
      <c r="AA255" s="286" t="s">
        <v>1</v>
      </c>
      <c r="AB255" s="287" t="s">
        <v>1</v>
      </c>
      <c r="AC255" s="285" t="s">
        <v>1</v>
      </c>
      <c r="AD255" s="286" cm="1">
        <f t="array" aca="1" ref="AD255" ca="1">INDIRECT("'"&amp;$C255&amp;"'!"&amp;"$"&amp;$D255&amp;$AD$1&amp;"")</f>
        <v>3.3</v>
      </c>
      <c r="AE255" s="287">
        <v>13.946</v>
      </c>
      <c r="AF255" s="287">
        <v>1</v>
      </c>
      <c r="AG255" s="285">
        <v>7.0000000000000007E-2</v>
      </c>
      <c r="AH255" s="284" t="str" cm="1">
        <f t="array" aca="1" ref="AH255" ca="1">INDIRECT("'"&amp;$C255&amp;"'!"&amp;"$"&amp;$D255&amp;$AH$1&amp;"")</f>
        <v>CMS</v>
      </c>
      <c r="AI255" s="287" t="s">
        <v>1</v>
      </c>
      <c r="AJ255" s="287" t="s">
        <v>1</v>
      </c>
      <c r="AK255" s="285" t="s">
        <v>1</v>
      </c>
      <c r="AL255" s="284">
        <v>11.8</v>
      </c>
      <c r="AM255" s="288">
        <v>70.5</v>
      </c>
      <c r="AN255" s="284" cm="1">
        <f t="array" aca="1" ref="AN255" ca="1">INDIRECT("'"&amp;$C255&amp;"'!"&amp;"$"&amp;$D255&amp;$AL$1&amp;"")</f>
        <v>3.9</v>
      </c>
      <c r="AO255" s="287">
        <v>1</v>
      </c>
      <c r="AP255" s="285">
        <v>0</v>
      </c>
      <c r="AQ255" s="286" cm="1">
        <f t="array" aca="1" ref="AQ255" ca="1">INDIRECT("'"&amp;$C255&amp;"'!"&amp;"$"&amp;$D255&amp;$AQ$1&amp;"")</f>
        <v>3.9</v>
      </c>
      <c r="AR255" s="287">
        <v>1</v>
      </c>
      <c r="AS255" s="285">
        <v>0</v>
      </c>
      <c r="AT255" s="284">
        <v>0</v>
      </c>
      <c r="AU255" s="381">
        <v>0</v>
      </c>
      <c r="AV255" s="284" t="str" cm="1">
        <f t="array" aca="1" ref="AV255" ca="1">INDIRECT("'"&amp;$C255&amp;"'!"&amp;"$"&amp;$D255&amp;$AT$1&amp;"")</f>
        <v>PMS</v>
      </c>
      <c r="AW255" s="287" t="s">
        <v>1</v>
      </c>
      <c r="AX255" s="288" t="s">
        <v>1</v>
      </c>
      <c r="AY255" s="385">
        <v>70.099999999999994</v>
      </c>
      <c r="AZ255" s="381" cm="1">
        <f t="array" aca="1" ref="AZ255" ca="1">INDIRECT("'"&amp;$C255&amp;"'!"&amp;"$"&amp;$D255&amp;$AY$1&amp;"")</f>
        <v>1.7</v>
      </c>
      <c r="BA255" s="287">
        <v>0.97</v>
      </c>
      <c r="BB255" s="285">
        <v>1.7</v>
      </c>
      <c r="BC255" s="286" cm="1">
        <f t="array" aca="1" ref="BC255" ca="1">INDIRECT("'"&amp;$C255&amp;"'!"&amp;"$"&amp;$D255&amp;$BC$1&amp;"")</f>
        <v>0.76</v>
      </c>
      <c r="BD255" s="287"/>
      <c r="BE255" s="287">
        <v>1</v>
      </c>
      <c r="BF255" s="285">
        <v>0.03</v>
      </c>
      <c r="BG255" s="286" cm="1">
        <f t="array" aca="1" ref="BG255" ca="1">INDIRECT("'"&amp;$C255&amp;"'!"&amp;"$"&amp;$D255&amp;$BG$1&amp;"")</f>
        <v>0.69</v>
      </c>
      <c r="BH255" s="287"/>
      <c r="BI255" s="287">
        <v>0.96</v>
      </c>
      <c r="BJ255" s="285">
        <v>0.18</v>
      </c>
      <c r="BK255" s="286" cm="1">
        <f t="array" aca="1" ref="BK255" ca="1">INDIRECT("'"&amp;$C255&amp;"'!"&amp;"$"&amp;$D255&amp;$BK$1&amp;"")</f>
        <v>2.67</v>
      </c>
      <c r="BL255" s="287"/>
      <c r="BM255" s="287">
        <v>0.95</v>
      </c>
      <c r="BN255" s="285">
        <v>0.87</v>
      </c>
    </row>
    <row r="256" spans="1:66" ht="15.75" thickBot="1" x14ac:dyDescent="0.25">
      <c r="A256" s="368">
        <v>45699</v>
      </c>
      <c r="B256" s="365">
        <v>4.1666666666666699E-2</v>
      </c>
      <c r="C256" s="383">
        <v>11</v>
      </c>
      <c r="D256" s="319" t="s">
        <v>111</v>
      </c>
      <c r="E256" s="290">
        <v>14.2</v>
      </c>
      <c r="F256" s="291">
        <v>71.06</v>
      </c>
      <c r="G256" s="292" cm="1">
        <f t="array" aca="1" ref="G256" ca="1">INDIRECT("'"&amp;$C256&amp;"'!"&amp;"$"&amp;$D256&amp;$E$1&amp;"")</f>
        <v>0</v>
      </c>
      <c r="H256" s="293" t="s">
        <v>1</v>
      </c>
      <c r="I256" s="291" t="s">
        <v>1</v>
      </c>
      <c r="J256" s="292" cm="1">
        <f t="array" aca="1" ref="J256" ca="1">INDIRECT("'"&amp;$C256&amp;"'!"&amp;"$"&amp;$D256&amp;$J$1&amp;"")</f>
        <v>0</v>
      </c>
      <c r="K256" s="293"/>
      <c r="L256" s="293" t="s">
        <v>1</v>
      </c>
      <c r="M256" s="291" t="s">
        <v>1</v>
      </c>
      <c r="N256" s="292" cm="1">
        <f t="array" aca="1" ref="N256" ca="1">INDIRECT("'"&amp;$C256&amp;"'!"&amp;"$"&amp;$D256&amp;$N$1&amp;"")</f>
        <v>6.5</v>
      </c>
      <c r="O256" s="293"/>
      <c r="P256" s="293">
        <v>1</v>
      </c>
      <c r="Q256" s="291">
        <v>0</v>
      </c>
      <c r="R256" s="292" cm="1">
        <f t="array" aca="1" ref="R256" ca="1">INDIRECT("'"&amp;$C256&amp;"'!"&amp;"$"&amp;$D256&amp;$R$1&amp;"")</f>
        <v>6.5</v>
      </c>
      <c r="S256" s="293"/>
      <c r="T256" s="293">
        <v>1</v>
      </c>
      <c r="U256" s="291">
        <v>0</v>
      </c>
      <c r="V256" s="292" t="str" cm="1">
        <f t="array" aca="1" ref="V256" ca="1">INDIRECT("'"&amp;$C256&amp;"'!"&amp;"$"&amp;$D256&amp;$V$1&amp;"")</f>
        <v>CMS</v>
      </c>
      <c r="W256" s="293" t="s">
        <v>1</v>
      </c>
      <c r="X256" s="293" t="s">
        <v>1</v>
      </c>
      <c r="Y256" s="294" t="s">
        <v>1</v>
      </c>
      <c r="Z256" s="386" cm="1">
        <f t="array" aca="1" ref="Z256" ca="1">INDIRECT("'"&amp;$C256&amp;"'!"&amp;"$"&amp;$D256&amp;$Z$1&amp;"")</f>
        <v>0</v>
      </c>
      <c r="AA256" s="292" t="s">
        <v>1</v>
      </c>
      <c r="AB256" s="293" t="s">
        <v>1</v>
      </c>
      <c r="AC256" s="291" t="s">
        <v>1</v>
      </c>
      <c r="AD256" s="292" cm="1">
        <f t="array" aca="1" ref="AD256" ca="1">INDIRECT("'"&amp;$C256&amp;"'!"&amp;"$"&amp;$D256&amp;$AD$1&amp;"")</f>
        <v>3.3</v>
      </c>
      <c r="AE256" s="293">
        <v>13.946</v>
      </c>
      <c r="AF256" s="293">
        <v>1</v>
      </c>
      <c r="AG256" s="294">
        <v>0</v>
      </c>
      <c r="AH256" s="290" t="str" cm="1">
        <f t="array" aca="1" ref="AH256" ca="1">INDIRECT("'"&amp;$C256&amp;"'!"&amp;"$"&amp;$D256&amp;$AH$1&amp;"")</f>
        <v>CMS</v>
      </c>
      <c r="AI256" s="293" t="s">
        <v>1</v>
      </c>
      <c r="AJ256" s="293" t="s">
        <v>1</v>
      </c>
      <c r="AK256" s="291" t="s">
        <v>1</v>
      </c>
      <c r="AL256" s="290">
        <v>11.8</v>
      </c>
      <c r="AM256" s="294">
        <v>70.7</v>
      </c>
      <c r="AN256" s="290" cm="1">
        <f t="array" aca="1" ref="AN256" ca="1">INDIRECT("'"&amp;$C256&amp;"'!"&amp;"$"&amp;$D256&amp;$AL$1&amp;"")</f>
        <v>3.8</v>
      </c>
      <c r="AO256" s="293">
        <v>1</v>
      </c>
      <c r="AP256" s="291">
        <v>0</v>
      </c>
      <c r="AQ256" s="292" cm="1">
        <f t="array" aca="1" ref="AQ256" ca="1">INDIRECT("'"&amp;$C256&amp;"'!"&amp;"$"&amp;$D256&amp;$AQ$1&amp;"")</f>
        <v>3.8</v>
      </c>
      <c r="AR256" s="293">
        <v>1</v>
      </c>
      <c r="AS256" s="291">
        <v>0</v>
      </c>
      <c r="AT256" s="290">
        <v>0</v>
      </c>
      <c r="AU256" s="296">
        <v>0</v>
      </c>
      <c r="AV256" s="290" t="str" cm="1">
        <f t="array" aca="1" ref="AV256" ca="1">INDIRECT("'"&amp;$C256&amp;"'!"&amp;"$"&amp;$D256&amp;$AT$1&amp;"")</f>
        <v>PMS</v>
      </c>
      <c r="AW256" s="293" t="s">
        <v>1</v>
      </c>
      <c r="AX256" s="294" t="s">
        <v>1</v>
      </c>
      <c r="AY256" s="386">
        <v>70.400000000000006</v>
      </c>
      <c r="AZ256" s="296" cm="1">
        <f t="array" aca="1" ref="AZ256" ca="1">INDIRECT("'"&amp;$C256&amp;"'!"&amp;"$"&amp;$D256&amp;$AY$1&amp;"")</f>
        <v>0</v>
      </c>
      <c r="BA256" s="293" t="s">
        <v>1</v>
      </c>
      <c r="BB256" s="291" t="s">
        <v>1</v>
      </c>
      <c r="BC256" s="292" cm="1">
        <f t="array" aca="1" ref="BC256" ca="1">INDIRECT("'"&amp;$C256&amp;"'!"&amp;"$"&amp;$D256&amp;$BC$1&amp;"")</f>
        <v>0.56999999999999995</v>
      </c>
      <c r="BD256" s="293"/>
      <c r="BE256" s="293">
        <v>1</v>
      </c>
      <c r="BF256" s="291">
        <v>0.03</v>
      </c>
      <c r="BG256" s="292" cm="1">
        <f t="array" aca="1" ref="BG256" ca="1">INDIRECT("'"&amp;$C256&amp;"'!"&amp;"$"&amp;$D256&amp;$BG$1&amp;"")</f>
        <v>0.67</v>
      </c>
      <c r="BH256" s="293"/>
      <c r="BI256" s="293">
        <v>0.96</v>
      </c>
      <c r="BJ256" s="291">
        <v>0.18</v>
      </c>
      <c r="BK256" s="292" cm="1">
        <f t="array" aca="1" ref="BK256" ca="1">INDIRECT("'"&amp;$C256&amp;"'!"&amp;"$"&amp;$D256&amp;$BK$1&amp;"")</f>
        <v>2.59</v>
      </c>
      <c r="BL256" s="293"/>
      <c r="BM256" s="293">
        <v>0.95</v>
      </c>
      <c r="BN256" s="291">
        <v>0.85</v>
      </c>
    </row>
    <row r="257" spans="1:66" ht="15.75" thickBot="1" x14ac:dyDescent="0.25">
      <c r="A257" s="368">
        <v>45699</v>
      </c>
      <c r="B257" s="365">
        <v>8.3333333333333301E-2</v>
      </c>
      <c r="C257" s="383">
        <v>11</v>
      </c>
      <c r="D257" s="319" t="s">
        <v>112</v>
      </c>
      <c r="E257" s="297">
        <v>14.2</v>
      </c>
      <c r="F257" s="298">
        <v>71.150000000000006</v>
      </c>
      <c r="G257" s="299" cm="1">
        <f t="array" aca="1" ref="G257" ca="1">INDIRECT("'"&amp;$C257&amp;"'!"&amp;"$"&amp;$D257&amp;$E$1&amp;"")</f>
        <v>0</v>
      </c>
      <c r="H257" s="300" t="s">
        <v>1</v>
      </c>
      <c r="I257" s="298" t="s">
        <v>1</v>
      </c>
      <c r="J257" s="299" cm="1">
        <f t="array" aca="1" ref="J257" ca="1">INDIRECT("'"&amp;$C257&amp;"'!"&amp;"$"&amp;$D257&amp;$J$1&amp;"")</f>
        <v>0</v>
      </c>
      <c r="K257" s="300"/>
      <c r="L257" s="300" t="s">
        <v>1</v>
      </c>
      <c r="M257" s="298" t="s">
        <v>1</v>
      </c>
      <c r="N257" s="299" cm="1">
        <f t="array" aca="1" ref="N257" ca="1">INDIRECT("'"&amp;$C257&amp;"'!"&amp;"$"&amp;$D257&amp;$N$1&amp;"")</f>
        <v>6.6</v>
      </c>
      <c r="O257" s="300"/>
      <c r="P257" s="300">
        <v>1</v>
      </c>
      <c r="Q257" s="298">
        <v>0</v>
      </c>
      <c r="R257" s="299" cm="1">
        <f t="array" aca="1" ref="R257" ca="1">INDIRECT("'"&amp;$C257&amp;"'!"&amp;"$"&amp;$D257&amp;$R$1&amp;"")</f>
        <v>6.5</v>
      </c>
      <c r="S257" s="300"/>
      <c r="T257" s="300">
        <v>1</v>
      </c>
      <c r="U257" s="298">
        <v>0</v>
      </c>
      <c r="V257" s="299" t="str" cm="1">
        <f t="array" aca="1" ref="V257" ca="1">INDIRECT("'"&amp;$C257&amp;"'!"&amp;"$"&amp;$D257&amp;$V$1&amp;"")</f>
        <v>CMS</v>
      </c>
      <c r="W257" s="300" t="s">
        <v>1</v>
      </c>
      <c r="X257" s="300" t="s">
        <v>1</v>
      </c>
      <c r="Y257" s="301" t="s">
        <v>1</v>
      </c>
      <c r="Z257" s="387" cm="1">
        <f t="array" aca="1" ref="Z257" ca="1">INDIRECT("'"&amp;$C257&amp;"'!"&amp;"$"&amp;$D257&amp;$Z$1&amp;"")</f>
        <v>0</v>
      </c>
      <c r="AA257" s="299" t="s">
        <v>1</v>
      </c>
      <c r="AB257" s="300" t="s">
        <v>1</v>
      </c>
      <c r="AC257" s="298" t="s">
        <v>1</v>
      </c>
      <c r="AD257" s="299" cm="1">
        <f t="array" aca="1" ref="AD257" ca="1">INDIRECT("'"&amp;$C257&amp;"'!"&amp;"$"&amp;$D257&amp;$AD$1&amp;"")</f>
        <v>3.3</v>
      </c>
      <c r="AE257" s="300">
        <v>13.946</v>
      </c>
      <c r="AF257" s="300">
        <v>1</v>
      </c>
      <c r="AG257" s="301">
        <v>0</v>
      </c>
      <c r="AH257" s="297" t="str" cm="1">
        <f t="array" aca="1" ref="AH257" ca="1">INDIRECT("'"&amp;$C257&amp;"'!"&amp;"$"&amp;$D257&amp;$AH$1&amp;"")</f>
        <v>CMS</v>
      </c>
      <c r="AI257" s="300" t="s">
        <v>1</v>
      </c>
      <c r="AJ257" s="300" t="s">
        <v>1</v>
      </c>
      <c r="AK257" s="298" t="s">
        <v>1</v>
      </c>
      <c r="AL257" s="297">
        <v>11.8</v>
      </c>
      <c r="AM257" s="301">
        <v>70.599999999999994</v>
      </c>
      <c r="AN257" s="297" cm="1">
        <f t="array" aca="1" ref="AN257" ca="1">INDIRECT("'"&amp;$C257&amp;"'!"&amp;"$"&amp;$D257&amp;$AL$1&amp;"")</f>
        <v>3.5</v>
      </c>
      <c r="AO257" s="300">
        <v>1</v>
      </c>
      <c r="AP257" s="298">
        <v>0.03</v>
      </c>
      <c r="AQ257" s="299" cm="1">
        <f t="array" aca="1" ref="AQ257" ca="1">INDIRECT("'"&amp;$C257&amp;"'!"&amp;"$"&amp;$D257&amp;$AQ$1&amp;"")</f>
        <v>3.5</v>
      </c>
      <c r="AR257" s="300">
        <v>1</v>
      </c>
      <c r="AS257" s="298">
        <v>0.02</v>
      </c>
      <c r="AT257" s="297">
        <v>0</v>
      </c>
      <c r="AU257" s="303">
        <v>0</v>
      </c>
      <c r="AV257" s="297" t="str" cm="1">
        <f t="array" aca="1" ref="AV257" ca="1">INDIRECT("'"&amp;$C257&amp;"'!"&amp;"$"&amp;$D257&amp;$AT$1&amp;"")</f>
        <v>PMS</v>
      </c>
      <c r="AW257" s="300" t="s">
        <v>1</v>
      </c>
      <c r="AX257" s="301" t="s">
        <v>1</v>
      </c>
      <c r="AY257" s="387">
        <v>70.2</v>
      </c>
      <c r="AZ257" s="303" cm="1">
        <f t="array" aca="1" ref="AZ257" ca="1">INDIRECT("'"&amp;$C257&amp;"'!"&amp;"$"&amp;$D257&amp;$AY$1&amp;"")</f>
        <v>0</v>
      </c>
      <c r="BA257" s="300" t="s">
        <v>1</v>
      </c>
      <c r="BB257" s="298" t="s">
        <v>1</v>
      </c>
      <c r="BC257" s="299" cm="1">
        <f t="array" aca="1" ref="BC257" ca="1">INDIRECT("'"&amp;$C257&amp;"'!"&amp;"$"&amp;$D257&amp;$BC$1&amp;"")</f>
        <v>0.65</v>
      </c>
      <c r="BD257" s="300"/>
      <c r="BE257" s="300">
        <v>1</v>
      </c>
      <c r="BF257" s="298">
        <v>0.03</v>
      </c>
      <c r="BG257" s="299" cm="1">
        <f t="array" aca="1" ref="BG257" ca="1">INDIRECT("'"&amp;$C257&amp;"'!"&amp;"$"&amp;$D257&amp;$BG$1&amp;"")</f>
        <v>0.64</v>
      </c>
      <c r="BH257" s="300"/>
      <c r="BI257" s="300">
        <v>0.96</v>
      </c>
      <c r="BJ257" s="298">
        <v>0.17</v>
      </c>
      <c r="BK257" s="299" cm="1">
        <f t="array" aca="1" ref="BK257" ca="1">INDIRECT("'"&amp;$C257&amp;"'!"&amp;"$"&amp;$D257&amp;$BK$1&amp;"")</f>
        <v>2.48</v>
      </c>
      <c r="BL257" s="300"/>
      <c r="BM257" s="300">
        <v>0.95</v>
      </c>
      <c r="BN257" s="298">
        <v>0.81</v>
      </c>
    </row>
    <row r="258" spans="1:66" ht="15.75" thickBot="1" x14ac:dyDescent="0.25">
      <c r="A258" s="368">
        <v>45699</v>
      </c>
      <c r="B258" s="365">
        <v>0.125</v>
      </c>
      <c r="C258" s="383">
        <v>11</v>
      </c>
      <c r="D258" s="319" t="s">
        <v>113</v>
      </c>
      <c r="E258" s="290">
        <v>14.3</v>
      </c>
      <c r="F258" s="291">
        <v>71.27</v>
      </c>
      <c r="G258" s="292" cm="1">
        <f t="array" aca="1" ref="G258" ca="1">INDIRECT("'"&amp;$C258&amp;"'!"&amp;"$"&amp;$D258&amp;$E$1&amp;"")</f>
        <v>0</v>
      </c>
      <c r="H258" s="293" t="s">
        <v>1</v>
      </c>
      <c r="I258" s="291" t="s">
        <v>1</v>
      </c>
      <c r="J258" s="292" cm="1">
        <f t="array" aca="1" ref="J258" ca="1">INDIRECT("'"&amp;$C258&amp;"'!"&amp;"$"&amp;$D258&amp;$J$1&amp;"")</f>
        <v>0</v>
      </c>
      <c r="K258" s="293"/>
      <c r="L258" s="293" t="s">
        <v>1</v>
      </c>
      <c r="M258" s="291" t="s">
        <v>1</v>
      </c>
      <c r="N258" s="292" cm="1">
        <f t="array" aca="1" ref="N258" ca="1">INDIRECT("'"&amp;$C258&amp;"'!"&amp;"$"&amp;$D258&amp;$N$1&amp;"")</f>
        <v>6.4</v>
      </c>
      <c r="O258" s="293"/>
      <c r="P258" s="293">
        <v>1</v>
      </c>
      <c r="Q258" s="291">
        <v>0</v>
      </c>
      <c r="R258" s="292" cm="1">
        <f t="array" aca="1" ref="R258" ca="1">INDIRECT("'"&amp;$C258&amp;"'!"&amp;"$"&amp;$D258&amp;$R$1&amp;"")</f>
        <v>6.4</v>
      </c>
      <c r="S258" s="293"/>
      <c r="T258" s="293">
        <v>1</v>
      </c>
      <c r="U258" s="291">
        <v>0</v>
      </c>
      <c r="V258" s="292" t="str" cm="1">
        <f t="array" aca="1" ref="V258" ca="1">INDIRECT("'"&amp;$C258&amp;"'!"&amp;"$"&amp;$D258&amp;$V$1&amp;"")</f>
        <v>CMS</v>
      </c>
      <c r="W258" s="293" t="s">
        <v>1</v>
      </c>
      <c r="X258" s="293" t="s">
        <v>1</v>
      </c>
      <c r="Y258" s="294" t="s">
        <v>1</v>
      </c>
      <c r="Z258" s="386" cm="1">
        <f t="array" aca="1" ref="Z258" ca="1">INDIRECT("'"&amp;$C258&amp;"'!"&amp;"$"&amp;$D258&amp;$Z$1&amp;"")</f>
        <v>0</v>
      </c>
      <c r="AA258" s="292" t="s">
        <v>1</v>
      </c>
      <c r="AB258" s="293" t="s">
        <v>1</v>
      </c>
      <c r="AC258" s="291" t="s">
        <v>1</v>
      </c>
      <c r="AD258" s="292" cm="1">
        <f t="array" aca="1" ref="AD258" ca="1">INDIRECT("'"&amp;$C258&amp;"'!"&amp;"$"&amp;$D258&amp;$AD$1&amp;"")</f>
        <v>3.3</v>
      </c>
      <c r="AE258" s="293">
        <f>3.67*3.8</f>
        <v>13.946</v>
      </c>
      <c r="AF258" s="293">
        <v>1</v>
      </c>
      <c r="AG258" s="294">
        <v>0</v>
      </c>
      <c r="AH258" s="290" t="str" cm="1">
        <f t="array" aca="1" ref="AH258" ca="1">INDIRECT("'"&amp;$C258&amp;"'!"&amp;"$"&amp;$D258&amp;$AH$1&amp;"")</f>
        <v>CMS</v>
      </c>
      <c r="AI258" s="293" t="s">
        <v>1</v>
      </c>
      <c r="AJ258" s="293" t="s">
        <v>1</v>
      </c>
      <c r="AK258" s="291" t="s">
        <v>1</v>
      </c>
      <c r="AL258" s="290">
        <v>11.8</v>
      </c>
      <c r="AM258" s="294">
        <v>70.900000000000006</v>
      </c>
      <c r="AN258" s="290" cm="1">
        <f t="array" aca="1" ref="AN258" ca="1">INDIRECT("'"&amp;$C258&amp;"'!"&amp;"$"&amp;$D258&amp;$AL$1&amp;"")</f>
        <v>3.4</v>
      </c>
      <c r="AO258" s="293">
        <v>1</v>
      </c>
      <c r="AP258" s="291">
        <v>0.12</v>
      </c>
      <c r="AQ258" s="292" cm="1">
        <f t="array" aca="1" ref="AQ258" ca="1">INDIRECT("'"&amp;$C258&amp;"'!"&amp;"$"&amp;$D258&amp;$AQ$1&amp;"")</f>
        <v>3.4</v>
      </c>
      <c r="AR258" s="293">
        <v>1</v>
      </c>
      <c r="AS258" s="291">
        <v>0.1</v>
      </c>
      <c r="AT258" s="290">
        <v>0</v>
      </c>
      <c r="AU258" s="296">
        <v>0</v>
      </c>
      <c r="AV258" s="290" t="str" cm="1">
        <f t="array" aca="1" ref="AV258" ca="1">INDIRECT("'"&amp;$C258&amp;"'!"&amp;"$"&amp;$D258&amp;$AT$1&amp;"")</f>
        <v>PMS</v>
      </c>
      <c r="AW258" s="293" t="s">
        <v>1</v>
      </c>
      <c r="AX258" s="294" t="s">
        <v>1</v>
      </c>
      <c r="AY258" s="386">
        <v>70.400000000000006</v>
      </c>
      <c r="AZ258" s="296" cm="1">
        <f t="array" aca="1" ref="AZ258" ca="1">INDIRECT("'"&amp;$C258&amp;"'!"&amp;"$"&amp;$D258&amp;$AY$1&amp;"")</f>
        <v>0</v>
      </c>
      <c r="BA258" s="293" t="s">
        <v>1</v>
      </c>
      <c r="BB258" s="291" t="s">
        <v>1</v>
      </c>
      <c r="BC258" s="292" cm="1">
        <f t="array" aca="1" ref="BC258" ca="1">INDIRECT("'"&amp;$C258&amp;"'!"&amp;"$"&amp;$D258&amp;$BC$1&amp;"")</f>
        <v>0.64</v>
      </c>
      <c r="BD258" s="293"/>
      <c r="BE258" s="293">
        <v>1</v>
      </c>
      <c r="BF258" s="291">
        <v>0.02</v>
      </c>
      <c r="BG258" s="292" cm="1">
        <f t="array" aca="1" ref="BG258" ca="1">INDIRECT("'"&amp;$C258&amp;"'!"&amp;"$"&amp;$D258&amp;$BG$1&amp;"")</f>
        <v>0.63</v>
      </c>
      <c r="BH258" s="293"/>
      <c r="BI258" s="293">
        <v>0.96</v>
      </c>
      <c r="BJ258" s="291">
        <v>0.17</v>
      </c>
      <c r="BK258" s="292" cm="1">
        <f t="array" aca="1" ref="BK258" ca="1">INDIRECT("'"&amp;$C258&amp;"'!"&amp;"$"&amp;$D258&amp;$BK$1&amp;"")</f>
        <v>2.46</v>
      </c>
      <c r="BL258" s="293"/>
      <c r="BM258" s="293">
        <v>0.95</v>
      </c>
      <c r="BN258" s="291">
        <v>0.79</v>
      </c>
    </row>
    <row r="259" spans="1:66" ht="15.75" thickBot="1" x14ac:dyDescent="0.25">
      <c r="A259" s="368">
        <v>45699</v>
      </c>
      <c r="B259" s="365">
        <v>0.16666666666666699</v>
      </c>
      <c r="C259" s="383">
        <v>11</v>
      </c>
      <c r="D259" s="319" t="s">
        <v>114</v>
      </c>
      <c r="E259" s="297">
        <v>14.3</v>
      </c>
      <c r="F259" s="298">
        <v>71.13</v>
      </c>
      <c r="G259" s="299" cm="1">
        <f t="array" aca="1" ref="G259" ca="1">INDIRECT("'"&amp;$C259&amp;"'!"&amp;"$"&amp;$D259&amp;$E$1&amp;"")</f>
        <v>0</v>
      </c>
      <c r="H259" s="300" t="s">
        <v>1</v>
      </c>
      <c r="I259" s="298" t="s">
        <v>1</v>
      </c>
      <c r="J259" s="299" cm="1">
        <f t="array" aca="1" ref="J259" ca="1">INDIRECT("'"&amp;$C259&amp;"'!"&amp;"$"&amp;$D259&amp;$J$1&amp;"")</f>
        <v>0</v>
      </c>
      <c r="K259" s="300"/>
      <c r="L259" s="300" t="s">
        <v>1</v>
      </c>
      <c r="M259" s="298" t="s">
        <v>1</v>
      </c>
      <c r="N259" s="299" cm="1">
        <f t="array" aca="1" ref="N259" ca="1">INDIRECT("'"&amp;$C259&amp;"'!"&amp;"$"&amp;$D259&amp;$N$1&amp;"")</f>
        <v>6.7</v>
      </c>
      <c r="O259" s="300"/>
      <c r="P259" s="300">
        <v>1</v>
      </c>
      <c r="Q259" s="298">
        <v>0</v>
      </c>
      <c r="R259" s="299" cm="1">
        <f t="array" aca="1" ref="R259" ca="1">INDIRECT("'"&amp;$C259&amp;"'!"&amp;"$"&amp;$D259&amp;$R$1&amp;"")</f>
        <v>6.7</v>
      </c>
      <c r="S259" s="300"/>
      <c r="T259" s="300">
        <v>1</v>
      </c>
      <c r="U259" s="298">
        <v>0</v>
      </c>
      <c r="V259" s="299" t="str" cm="1">
        <f t="array" aca="1" ref="V259" ca="1">INDIRECT("'"&amp;$C259&amp;"'!"&amp;"$"&amp;$D259&amp;$V$1&amp;"")</f>
        <v>CMS</v>
      </c>
      <c r="W259" s="300" t="s">
        <v>1</v>
      </c>
      <c r="X259" s="300" t="s">
        <v>1</v>
      </c>
      <c r="Y259" s="301" t="s">
        <v>1</v>
      </c>
      <c r="Z259" s="387" cm="1">
        <f t="array" aca="1" ref="Z259" ca="1">INDIRECT("'"&amp;$C259&amp;"'!"&amp;"$"&amp;$D259&amp;$Z$1&amp;"")</f>
        <v>0</v>
      </c>
      <c r="AA259" s="299" t="s">
        <v>1</v>
      </c>
      <c r="AB259" s="300" t="s">
        <v>1</v>
      </c>
      <c r="AC259" s="298" t="s">
        <v>1</v>
      </c>
      <c r="AD259" s="299" cm="1">
        <f t="array" aca="1" ref="AD259" ca="1">INDIRECT("'"&amp;$C259&amp;"'!"&amp;"$"&amp;$D259&amp;$AD$1&amp;"")</f>
        <v>3.3</v>
      </c>
      <c r="AE259" s="300">
        <f>13.95</f>
        <v>13.95</v>
      </c>
      <c r="AF259" s="300">
        <v>1</v>
      </c>
      <c r="AG259" s="301">
        <v>0</v>
      </c>
      <c r="AH259" s="297" t="str" cm="1">
        <f t="array" aca="1" ref="AH259" ca="1">INDIRECT("'"&amp;$C259&amp;"'!"&amp;"$"&amp;$D259&amp;$AH$1&amp;"")</f>
        <v>CMS</v>
      </c>
      <c r="AI259" s="300" t="s">
        <v>1</v>
      </c>
      <c r="AJ259" s="300" t="s">
        <v>1</v>
      </c>
      <c r="AK259" s="298" t="s">
        <v>1</v>
      </c>
      <c r="AL259" s="297">
        <v>11.8</v>
      </c>
      <c r="AM259" s="301">
        <v>70.7</v>
      </c>
      <c r="AN259" s="297" cm="1">
        <f t="array" aca="1" ref="AN259" ca="1">INDIRECT("'"&amp;$C259&amp;"'!"&amp;"$"&amp;$D259&amp;$AL$1&amp;"")</f>
        <v>3</v>
      </c>
      <c r="AO259" s="300">
        <v>1</v>
      </c>
      <c r="AP259" s="298">
        <v>0.19</v>
      </c>
      <c r="AQ259" s="299" cm="1">
        <f t="array" aca="1" ref="AQ259" ca="1">INDIRECT("'"&amp;$C259&amp;"'!"&amp;"$"&amp;$D259&amp;$AQ$1&amp;"")</f>
        <v>3</v>
      </c>
      <c r="AR259" s="300">
        <v>1</v>
      </c>
      <c r="AS259" s="298">
        <v>0.05</v>
      </c>
      <c r="AT259" s="297">
        <v>0</v>
      </c>
      <c r="AU259" s="303">
        <v>0</v>
      </c>
      <c r="AV259" s="297" t="str" cm="1">
        <f t="array" aca="1" ref="AV259" ca="1">INDIRECT("'"&amp;$C259&amp;"'!"&amp;"$"&amp;$D259&amp;$AT$1&amp;"")</f>
        <v>PMS</v>
      </c>
      <c r="AW259" s="300" t="s">
        <v>1</v>
      </c>
      <c r="AX259" s="301" t="s">
        <v>1</v>
      </c>
      <c r="AY259" s="387">
        <v>70.349999999999994</v>
      </c>
      <c r="AZ259" s="303" cm="1">
        <f t="array" aca="1" ref="AZ259" ca="1">INDIRECT("'"&amp;$C259&amp;"'!"&amp;"$"&amp;$D259&amp;$AY$1&amp;"")</f>
        <v>0</v>
      </c>
      <c r="BA259" s="300" t="s">
        <v>1</v>
      </c>
      <c r="BB259" s="298" t="s">
        <v>1</v>
      </c>
      <c r="BC259" s="299" cm="1">
        <f t="array" aca="1" ref="BC259" ca="1">INDIRECT("'"&amp;$C259&amp;"'!"&amp;"$"&amp;$D259&amp;$BC$1&amp;"")</f>
        <v>0.62</v>
      </c>
      <c r="BD259" s="300"/>
      <c r="BE259" s="300">
        <v>1</v>
      </c>
      <c r="BF259" s="298">
        <v>0.02</v>
      </c>
      <c r="BG259" s="299" cm="1">
        <f t="array" aca="1" ref="BG259" ca="1">INDIRECT("'"&amp;$C259&amp;"'!"&amp;"$"&amp;$D259&amp;$BG$1&amp;"")</f>
        <v>0.63</v>
      </c>
      <c r="BH259" s="300"/>
      <c r="BI259" s="300">
        <v>0.96</v>
      </c>
      <c r="BJ259" s="298">
        <v>0.16</v>
      </c>
      <c r="BK259" s="299" cm="1">
        <f t="array" aca="1" ref="BK259" ca="1">INDIRECT("'"&amp;$C259&amp;"'!"&amp;"$"&amp;$D259&amp;$BK$1&amp;"")</f>
        <v>2.4499999999999997</v>
      </c>
      <c r="BL259" s="300"/>
      <c r="BM259" s="300">
        <v>0.95</v>
      </c>
      <c r="BN259" s="298">
        <v>0.79</v>
      </c>
    </row>
    <row r="260" spans="1:66" ht="15.75" thickBot="1" x14ac:dyDescent="0.25">
      <c r="A260" s="368">
        <v>45699</v>
      </c>
      <c r="B260" s="365">
        <v>0.20833333333333301</v>
      </c>
      <c r="C260" s="383">
        <v>11</v>
      </c>
      <c r="D260" s="319" t="s">
        <v>115</v>
      </c>
      <c r="E260" s="290">
        <v>14.2</v>
      </c>
      <c r="F260" s="291">
        <v>70.17</v>
      </c>
      <c r="G260" s="292" cm="1">
        <f t="array" aca="1" ref="G260" ca="1">INDIRECT("'"&amp;$C260&amp;"'!"&amp;"$"&amp;$D260&amp;$E$1&amp;"")</f>
        <v>0</v>
      </c>
      <c r="H260" s="293" t="s">
        <v>1</v>
      </c>
      <c r="I260" s="291" t="s">
        <v>1</v>
      </c>
      <c r="J260" s="292" cm="1">
        <f t="array" aca="1" ref="J260" ca="1">INDIRECT("'"&amp;$C260&amp;"'!"&amp;"$"&amp;$D260&amp;$J$1&amp;"")</f>
        <v>0</v>
      </c>
      <c r="K260" s="293"/>
      <c r="L260" s="293" t="s">
        <v>1</v>
      </c>
      <c r="M260" s="291" t="s">
        <v>1</v>
      </c>
      <c r="N260" s="292" cm="1">
        <f t="array" aca="1" ref="N260" ca="1">INDIRECT("'"&amp;$C260&amp;"'!"&amp;"$"&amp;$D260&amp;$N$1&amp;"")</f>
        <v>6.6</v>
      </c>
      <c r="O260" s="293"/>
      <c r="P260" s="293">
        <v>1</v>
      </c>
      <c r="Q260" s="291">
        <v>0</v>
      </c>
      <c r="R260" s="292" cm="1">
        <f t="array" aca="1" ref="R260" ca="1">INDIRECT("'"&amp;$C260&amp;"'!"&amp;"$"&amp;$D260&amp;$R$1&amp;"")</f>
        <v>6.6</v>
      </c>
      <c r="S260" s="293"/>
      <c r="T260" s="293">
        <v>1</v>
      </c>
      <c r="U260" s="291">
        <v>0</v>
      </c>
      <c r="V260" s="292" t="str" cm="1">
        <f t="array" aca="1" ref="V260" ca="1">INDIRECT("'"&amp;$C260&amp;"'!"&amp;"$"&amp;$D260&amp;$V$1&amp;"")</f>
        <v>CMS</v>
      </c>
      <c r="W260" s="293" t="s">
        <v>1</v>
      </c>
      <c r="X260" s="293" t="s">
        <v>1</v>
      </c>
      <c r="Y260" s="294" t="s">
        <v>1</v>
      </c>
      <c r="Z260" s="386" cm="1">
        <f t="array" aca="1" ref="Z260" ca="1">INDIRECT("'"&amp;$C260&amp;"'!"&amp;"$"&amp;$D260&amp;$Z$1&amp;"")</f>
        <v>0</v>
      </c>
      <c r="AA260" s="292" t="s">
        <v>1</v>
      </c>
      <c r="AB260" s="293" t="s">
        <v>1</v>
      </c>
      <c r="AC260" s="291" t="s">
        <v>1</v>
      </c>
      <c r="AD260" s="292" cm="1">
        <f t="array" aca="1" ref="AD260" ca="1">INDIRECT("'"&amp;$C260&amp;"'!"&amp;"$"&amp;$D260&amp;$AD$1&amp;"")</f>
        <v>3.4</v>
      </c>
      <c r="AE260" s="293">
        <f>3.67*3.8</f>
        <v>13.946</v>
      </c>
      <c r="AF260" s="293">
        <v>1</v>
      </c>
      <c r="AG260" s="294">
        <v>0</v>
      </c>
      <c r="AH260" s="290" t="str" cm="1">
        <f t="array" aca="1" ref="AH260" ca="1">INDIRECT("'"&amp;$C260&amp;"'!"&amp;"$"&amp;$D260&amp;$AH$1&amp;"")</f>
        <v>CMS</v>
      </c>
      <c r="AI260" s="293" t="s">
        <v>1</v>
      </c>
      <c r="AJ260" s="293" t="s">
        <v>1</v>
      </c>
      <c r="AK260" s="291" t="s">
        <v>1</v>
      </c>
      <c r="AL260" s="290">
        <v>11.8</v>
      </c>
      <c r="AM260" s="294">
        <v>70.8</v>
      </c>
      <c r="AN260" s="290" cm="1">
        <f t="array" aca="1" ref="AN260" ca="1">INDIRECT("'"&amp;$C260&amp;"'!"&amp;"$"&amp;$D260&amp;$AL$1&amp;"")</f>
        <v>3.9</v>
      </c>
      <c r="AO260" s="293">
        <v>1</v>
      </c>
      <c r="AP260" s="291">
        <v>0.1</v>
      </c>
      <c r="AQ260" s="292" cm="1">
        <f t="array" aca="1" ref="AQ260" ca="1">INDIRECT("'"&amp;$C260&amp;"'!"&amp;"$"&amp;$D260&amp;$AQ$1&amp;"")</f>
        <v>3.9</v>
      </c>
      <c r="AR260" s="293">
        <v>1</v>
      </c>
      <c r="AS260" s="291">
        <v>0.24</v>
      </c>
      <c r="AT260" s="290">
        <v>0</v>
      </c>
      <c r="AU260" s="296">
        <v>0</v>
      </c>
      <c r="AV260" s="290" t="str" cm="1">
        <f t="array" aca="1" ref="AV260" ca="1">INDIRECT("'"&amp;$C260&amp;"'!"&amp;"$"&amp;$D260&amp;$AT$1&amp;"")</f>
        <v>PMS</v>
      </c>
      <c r="AW260" s="293" t="s">
        <v>1</v>
      </c>
      <c r="AX260" s="294" t="s">
        <v>1</v>
      </c>
      <c r="AY260" s="386">
        <v>70.17</v>
      </c>
      <c r="AZ260" s="296" cm="1">
        <f t="array" aca="1" ref="AZ260" ca="1">INDIRECT("'"&amp;$C260&amp;"'!"&amp;"$"&amp;$D260&amp;$AY$1&amp;"")</f>
        <v>0</v>
      </c>
      <c r="BA260" s="293" t="s">
        <v>1</v>
      </c>
      <c r="BB260" s="291" t="s">
        <v>1</v>
      </c>
      <c r="BC260" s="292" cm="1">
        <f t="array" aca="1" ref="BC260" ca="1">INDIRECT("'"&amp;$C260&amp;"'!"&amp;"$"&amp;$D260&amp;$BC$1&amp;"")</f>
        <v>0.65</v>
      </c>
      <c r="BD260" s="293"/>
      <c r="BE260" s="293">
        <v>1</v>
      </c>
      <c r="BF260" s="291">
        <v>0.02</v>
      </c>
      <c r="BG260" s="292" cm="1">
        <f t="array" aca="1" ref="BG260" ca="1">INDIRECT("'"&amp;$C260&amp;"'!"&amp;"$"&amp;$D260&amp;$BG$1&amp;"")</f>
        <v>0.66</v>
      </c>
      <c r="BH260" s="293"/>
      <c r="BI260" s="293">
        <v>0.96</v>
      </c>
      <c r="BJ260" s="291">
        <v>0.17</v>
      </c>
      <c r="BK260" s="292" cm="1">
        <f t="array" aca="1" ref="BK260" ca="1">INDIRECT("'"&amp;$C260&amp;"'!"&amp;"$"&amp;$D260&amp;$BK$1&amp;"")</f>
        <v>2.4849999999999999</v>
      </c>
      <c r="BL260" s="293"/>
      <c r="BM260" s="293">
        <v>0.95</v>
      </c>
      <c r="BN260" s="291">
        <v>0.82</v>
      </c>
    </row>
    <row r="261" spans="1:66" ht="15.75" thickBot="1" x14ac:dyDescent="0.25">
      <c r="A261" s="368">
        <v>45699</v>
      </c>
      <c r="B261" s="365">
        <v>0.25</v>
      </c>
      <c r="C261" s="383">
        <v>11</v>
      </c>
      <c r="D261" s="319" t="s">
        <v>116</v>
      </c>
      <c r="E261" s="297">
        <v>14.3</v>
      </c>
      <c r="F261" s="298">
        <v>71.25</v>
      </c>
      <c r="G261" s="299" cm="1">
        <f t="array" aca="1" ref="G261" ca="1">INDIRECT("'"&amp;$C261&amp;"'!"&amp;"$"&amp;$D261&amp;$E$1&amp;"")</f>
        <v>0</v>
      </c>
      <c r="H261" s="300" t="s">
        <v>1</v>
      </c>
      <c r="I261" s="298" t="s">
        <v>1</v>
      </c>
      <c r="J261" s="299" cm="1">
        <f t="array" aca="1" ref="J261" ca="1">INDIRECT("'"&amp;$C261&amp;"'!"&amp;"$"&amp;$D261&amp;$J$1&amp;"")</f>
        <v>0</v>
      </c>
      <c r="K261" s="300"/>
      <c r="L261" s="300" t="s">
        <v>1</v>
      </c>
      <c r="M261" s="298" t="s">
        <v>1</v>
      </c>
      <c r="N261" s="299" cm="1">
        <f t="array" aca="1" ref="N261" ca="1">INDIRECT("'"&amp;$C261&amp;"'!"&amp;"$"&amp;$D261&amp;$N$1&amp;"")</f>
        <v>6.7</v>
      </c>
      <c r="O261" s="300"/>
      <c r="P261" s="300">
        <v>1</v>
      </c>
      <c r="Q261" s="298">
        <v>0</v>
      </c>
      <c r="R261" s="299" cm="1">
        <f t="array" aca="1" ref="R261" ca="1">INDIRECT("'"&amp;$C261&amp;"'!"&amp;"$"&amp;$D261&amp;$R$1&amp;"")</f>
        <v>6.7</v>
      </c>
      <c r="S261" s="300"/>
      <c r="T261" s="300">
        <v>1</v>
      </c>
      <c r="U261" s="298">
        <v>0</v>
      </c>
      <c r="V261" s="299" t="str" cm="1">
        <f t="array" aca="1" ref="V261" ca="1">INDIRECT("'"&amp;$C261&amp;"'!"&amp;"$"&amp;$D261&amp;$V$1&amp;"")</f>
        <v>CMS</v>
      </c>
      <c r="W261" s="300" t="s">
        <v>1</v>
      </c>
      <c r="X261" s="300" t="s">
        <v>1</v>
      </c>
      <c r="Y261" s="301" t="s">
        <v>1</v>
      </c>
      <c r="Z261" s="387" cm="1">
        <f t="array" aca="1" ref="Z261" ca="1">INDIRECT("'"&amp;$C261&amp;"'!"&amp;"$"&amp;$D261&amp;$Z$1&amp;"")</f>
        <v>0</v>
      </c>
      <c r="AA261" s="299" t="s">
        <v>1</v>
      </c>
      <c r="AB261" s="300" t="s">
        <v>1</v>
      </c>
      <c r="AC261" s="298" t="s">
        <v>1</v>
      </c>
      <c r="AD261" s="299" cm="1">
        <f t="array" aca="1" ref="AD261" ca="1">INDIRECT("'"&amp;$C261&amp;"'!"&amp;"$"&amp;$D261&amp;$AD$1&amp;"")</f>
        <v>3.3</v>
      </c>
      <c r="AE261" s="300">
        <f>3.8*3.66</f>
        <v>13.907999999999999</v>
      </c>
      <c r="AF261" s="300">
        <v>1</v>
      </c>
      <c r="AG261" s="301">
        <v>0</v>
      </c>
      <c r="AH261" s="297" t="str" cm="1">
        <f t="array" aca="1" ref="AH261" ca="1">INDIRECT("'"&amp;$C261&amp;"'!"&amp;"$"&amp;$D261&amp;$AH$1&amp;"")</f>
        <v>CMS</v>
      </c>
      <c r="AI261" s="300" t="s">
        <v>1</v>
      </c>
      <c r="AJ261" s="300" t="s">
        <v>1</v>
      </c>
      <c r="AK261" s="298" t="s">
        <v>1</v>
      </c>
      <c r="AL261" s="297">
        <v>11.8</v>
      </c>
      <c r="AM261" s="301">
        <v>70.8</v>
      </c>
      <c r="AN261" s="297" cm="1">
        <f t="array" aca="1" ref="AN261" ca="1">INDIRECT("'"&amp;$C261&amp;"'!"&amp;"$"&amp;$D261&amp;$AL$1&amp;"")</f>
        <v>3.7</v>
      </c>
      <c r="AO261" s="300">
        <v>1</v>
      </c>
      <c r="AP261" s="298">
        <v>0.1</v>
      </c>
      <c r="AQ261" s="299" cm="1">
        <f t="array" aca="1" ref="AQ261" ca="1">INDIRECT("'"&amp;$C261&amp;"'!"&amp;"$"&amp;$D261&amp;$AQ$1&amp;"")</f>
        <v>3.7</v>
      </c>
      <c r="AR261" s="300">
        <v>1</v>
      </c>
      <c r="AS261" s="298">
        <v>0.1</v>
      </c>
      <c r="AT261" s="297" t="s">
        <v>1</v>
      </c>
      <c r="AU261" s="301" t="s">
        <v>1</v>
      </c>
      <c r="AV261" s="297" t="str" cm="1">
        <f t="array" aca="1" ref="AV261" ca="1">INDIRECT("'"&amp;$C261&amp;"'!"&amp;"$"&amp;$D261&amp;$AT$1&amp;"")</f>
        <v>PMS</v>
      </c>
      <c r="AW261" s="300" t="s">
        <v>1</v>
      </c>
      <c r="AX261" s="301" t="s">
        <v>1</v>
      </c>
      <c r="AY261" s="387">
        <v>70.3</v>
      </c>
      <c r="AZ261" s="303" cm="1">
        <f t="array" aca="1" ref="AZ261" ca="1">INDIRECT("'"&amp;$C261&amp;"'!"&amp;"$"&amp;$D261&amp;$AY$1&amp;"")</f>
        <v>2.8</v>
      </c>
      <c r="BA261" s="300" t="s">
        <v>1</v>
      </c>
      <c r="BB261" s="298" t="s">
        <v>1</v>
      </c>
      <c r="BC261" s="299" cm="1">
        <f t="array" aca="1" ref="BC261" ca="1">INDIRECT("'"&amp;$C261&amp;"'!"&amp;"$"&amp;$D261&amp;$BC$1&amp;"")</f>
        <v>0.78</v>
      </c>
      <c r="BD261" s="300"/>
      <c r="BE261" s="300">
        <v>1</v>
      </c>
      <c r="BF261" s="298">
        <v>0.03</v>
      </c>
      <c r="BG261" s="299" cm="1">
        <f t="array" aca="1" ref="BG261" ca="1">INDIRECT("'"&amp;$C261&amp;"'!"&amp;"$"&amp;$D261&amp;$BG$1&amp;"")</f>
        <v>0.73</v>
      </c>
      <c r="BH261" s="300"/>
      <c r="BI261" s="300">
        <v>0.97</v>
      </c>
      <c r="BJ261" s="298">
        <v>0.18</v>
      </c>
      <c r="BK261" s="299" cm="1">
        <f t="array" aca="1" ref="BK261" ca="1">INDIRECT("'"&amp;$C261&amp;"'!"&amp;"$"&amp;$D261&amp;$BK$1&amp;"")</f>
        <v>2.8</v>
      </c>
      <c r="BL261" s="300"/>
      <c r="BM261" s="300">
        <v>0.95</v>
      </c>
      <c r="BN261" s="298">
        <v>0.93</v>
      </c>
    </row>
    <row r="262" spans="1:66" ht="15.75" thickBot="1" x14ac:dyDescent="0.25">
      <c r="A262" s="368">
        <v>45699</v>
      </c>
      <c r="B262" s="365">
        <v>0.29166666666666702</v>
      </c>
      <c r="C262" s="383">
        <v>11</v>
      </c>
      <c r="D262" s="319" t="s">
        <v>117</v>
      </c>
      <c r="E262" s="290">
        <v>14.2</v>
      </c>
      <c r="F262" s="291">
        <v>70.78</v>
      </c>
      <c r="G262" s="292" cm="1">
        <f t="array" aca="1" ref="G262" ca="1">INDIRECT("'"&amp;$C262&amp;"'!"&amp;"$"&amp;$D262&amp;$E$1&amp;"")</f>
        <v>0</v>
      </c>
      <c r="H262" s="293" t="s">
        <v>1</v>
      </c>
      <c r="I262" s="291" t="s">
        <v>1</v>
      </c>
      <c r="J262" s="292" cm="1">
        <f t="array" aca="1" ref="J262" ca="1">INDIRECT("'"&amp;$C262&amp;"'!"&amp;"$"&amp;$D262&amp;$J$1&amp;"")</f>
        <v>0</v>
      </c>
      <c r="K262" s="293"/>
      <c r="L262" s="293" t="s">
        <v>1</v>
      </c>
      <c r="M262" s="291" t="s">
        <v>1</v>
      </c>
      <c r="N262" s="292" cm="1">
        <f t="array" aca="1" ref="N262" ca="1">INDIRECT("'"&amp;$C262&amp;"'!"&amp;"$"&amp;$D262&amp;$N$1&amp;"")</f>
        <v>6.3</v>
      </c>
      <c r="O262" s="293"/>
      <c r="P262" s="293">
        <v>1</v>
      </c>
      <c r="Q262" s="291">
        <v>0</v>
      </c>
      <c r="R262" s="292" cm="1">
        <f t="array" aca="1" ref="R262" ca="1">INDIRECT("'"&amp;$C262&amp;"'!"&amp;"$"&amp;$D262&amp;$R$1&amp;"")</f>
        <v>6.1</v>
      </c>
      <c r="S262" s="293"/>
      <c r="T262" s="293">
        <v>1</v>
      </c>
      <c r="U262" s="291">
        <v>0</v>
      </c>
      <c r="V262" s="292" t="str" cm="1">
        <f t="array" aca="1" ref="V262" ca="1">INDIRECT("'"&amp;$C262&amp;"'!"&amp;"$"&amp;$D262&amp;$V$1&amp;"")</f>
        <v>CMS</v>
      </c>
      <c r="W262" s="293" t="s">
        <v>1</v>
      </c>
      <c r="X262" s="293" t="s">
        <v>1</v>
      </c>
      <c r="Y262" s="294" t="s">
        <v>1</v>
      </c>
      <c r="Z262" s="386" cm="1">
        <f t="array" aca="1" ref="Z262" ca="1">INDIRECT("'"&amp;$C262&amp;"'!"&amp;"$"&amp;$D262&amp;$Z$1&amp;"")</f>
        <v>0</v>
      </c>
      <c r="AA262" s="292" t="s">
        <v>1</v>
      </c>
      <c r="AB262" s="293" t="s">
        <v>1</v>
      </c>
      <c r="AC262" s="291" t="s">
        <v>1</v>
      </c>
      <c r="AD262" s="292" cm="1">
        <f t="array" aca="1" ref="AD262" ca="1">INDIRECT("'"&amp;$C262&amp;"'!"&amp;"$"&amp;$D262&amp;$AD$1&amp;"")</f>
        <v>3.2</v>
      </c>
      <c r="AE262" s="293">
        <f>3.8*3.64</f>
        <v>13.831999999999999</v>
      </c>
      <c r="AF262" s="293">
        <v>0.99</v>
      </c>
      <c r="AG262" s="294">
        <v>0.37</v>
      </c>
      <c r="AH262" s="290" t="str" cm="1">
        <f t="array" aca="1" ref="AH262" ca="1">INDIRECT("'"&amp;$C262&amp;"'!"&amp;"$"&amp;$D262&amp;$AH$1&amp;"")</f>
        <v>CMS</v>
      </c>
      <c r="AI262" s="293" t="s">
        <v>1</v>
      </c>
      <c r="AJ262" s="293" t="s">
        <v>1</v>
      </c>
      <c r="AK262" s="291" t="s">
        <v>1</v>
      </c>
      <c r="AL262" s="290">
        <v>11.8</v>
      </c>
      <c r="AM262" s="294">
        <v>70.5</v>
      </c>
      <c r="AN262" s="290" cm="1">
        <f t="array" aca="1" ref="AN262" ca="1">INDIRECT("'"&amp;$C262&amp;"'!"&amp;"$"&amp;$D262&amp;$AL$1&amp;"")</f>
        <v>3.6</v>
      </c>
      <c r="AO262" s="293">
        <v>1</v>
      </c>
      <c r="AP262" s="291">
        <v>0.14000000000000001</v>
      </c>
      <c r="AQ262" s="292" cm="1">
        <f t="array" aca="1" ref="AQ262" ca="1">INDIRECT("'"&amp;$C262&amp;"'!"&amp;"$"&amp;$D262&amp;$AQ$1&amp;"")</f>
        <v>3.6</v>
      </c>
      <c r="AR262" s="293">
        <v>1</v>
      </c>
      <c r="AS262" s="291">
        <v>0.26</v>
      </c>
      <c r="AT262" s="290" t="s">
        <v>1</v>
      </c>
      <c r="AU262" s="294" t="s">
        <v>1</v>
      </c>
      <c r="AV262" s="290" t="str" cm="1">
        <f t="array" aca="1" ref="AV262" ca="1">INDIRECT("'"&amp;$C262&amp;"'!"&amp;"$"&amp;$D262&amp;$AT$1&amp;"")</f>
        <v>PMS</v>
      </c>
      <c r="AW262" s="293" t="s">
        <v>1</v>
      </c>
      <c r="AX262" s="294" t="s">
        <v>1</v>
      </c>
      <c r="AY262" s="386">
        <v>70.2</v>
      </c>
      <c r="AZ262" s="296" cm="1">
        <f t="array" aca="1" ref="AZ262" ca="1">INDIRECT("'"&amp;$C262&amp;"'!"&amp;"$"&amp;$D262&amp;$AY$1&amp;"")</f>
        <v>5.0999999999999996</v>
      </c>
      <c r="BA262" s="293">
        <v>0.98</v>
      </c>
      <c r="BB262" s="291">
        <v>1</v>
      </c>
      <c r="BC262" s="292" cm="1">
        <f t="array" aca="1" ref="BC262" ca="1">INDIRECT("'"&amp;$C262&amp;"'!"&amp;"$"&amp;$D262&amp;$BC$1&amp;"")</f>
        <v>0.99</v>
      </c>
      <c r="BD262" s="293"/>
      <c r="BE262" s="293">
        <v>1</v>
      </c>
      <c r="BF262" s="291">
        <v>7.0000000000000007E-2</v>
      </c>
      <c r="BG262" s="292" cm="1">
        <f t="array" aca="1" ref="BG262" ca="1">INDIRECT("'"&amp;$C262&amp;"'!"&amp;"$"&amp;$D262&amp;$BG$1&amp;"")</f>
        <v>0.73</v>
      </c>
      <c r="BH262" s="293"/>
      <c r="BI262" s="293">
        <v>1</v>
      </c>
      <c r="BJ262" s="291">
        <v>7.0000000000000007E-2</v>
      </c>
      <c r="BK262" s="292" cm="1">
        <f t="array" aca="1" ref="BK262" ca="1">INDIRECT("'"&amp;$C262&amp;"'!"&amp;"$"&amp;$D262&amp;$BK$1&amp;"")</f>
        <v>3.19</v>
      </c>
      <c r="BL262" s="293"/>
      <c r="BM262" s="293">
        <v>0.95</v>
      </c>
      <c r="BN262" s="291">
        <v>1</v>
      </c>
    </row>
    <row r="263" spans="1:66" ht="15.75" thickBot="1" x14ac:dyDescent="0.25">
      <c r="A263" s="368">
        <v>45699</v>
      </c>
      <c r="B263" s="365">
        <v>0.33333333333333398</v>
      </c>
      <c r="C263" s="383">
        <v>11</v>
      </c>
      <c r="D263" s="319" t="s">
        <v>118</v>
      </c>
      <c r="E263" s="297">
        <v>14.1</v>
      </c>
      <c r="F263" s="298">
        <v>70.569999999999993</v>
      </c>
      <c r="G263" s="299" cm="1">
        <f t="array" aca="1" ref="G263" ca="1">INDIRECT("'"&amp;$C263&amp;"'!"&amp;"$"&amp;$D263&amp;$E$1&amp;"")</f>
        <v>7.2</v>
      </c>
      <c r="H263" s="300">
        <v>0.99</v>
      </c>
      <c r="I263" s="298">
        <v>1.1399999999999999</v>
      </c>
      <c r="J263" s="299" cm="1">
        <f t="array" aca="1" ref="J263" ca="1">INDIRECT("'"&amp;$C263&amp;"'!"&amp;"$"&amp;$D263&amp;$J$1&amp;"")</f>
        <v>0</v>
      </c>
      <c r="K263" s="300"/>
      <c r="L263" s="300" t="s">
        <v>1</v>
      </c>
      <c r="M263" s="298" t="s">
        <v>1</v>
      </c>
      <c r="N263" s="299" cm="1">
        <f t="array" aca="1" ref="N263" ca="1">INDIRECT("'"&amp;$C263&amp;"'!"&amp;"$"&amp;$D263&amp;$N$1&amp;"")</f>
        <v>4.2</v>
      </c>
      <c r="O263" s="300"/>
      <c r="P263" s="300">
        <v>0.99</v>
      </c>
      <c r="Q263" s="298">
        <v>0.53</v>
      </c>
      <c r="R263" s="299" cm="1">
        <f t="array" aca="1" ref="R263" ca="1">INDIRECT("'"&amp;$C263&amp;"'!"&amp;"$"&amp;$D263&amp;$R$1&amp;"")</f>
        <v>4.2</v>
      </c>
      <c r="S263" s="300"/>
      <c r="T263" s="300">
        <v>0.99</v>
      </c>
      <c r="U263" s="298">
        <v>0.53</v>
      </c>
      <c r="V263" s="299" t="str" cm="1">
        <f t="array" aca="1" ref="V263" ca="1">INDIRECT("'"&amp;$C263&amp;"'!"&amp;"$"&amp;$D263&amp;$V$1&amp;"")</f>
        <v>CMS</v>
      </c>
      <c r="W263" s="300" t="s">
        <v>1</v>
      </c>
      <c r="X263" s="300" t="s">
        <v>1</v>
      </c>
      <c r="Y263" s="301" t="s">
        <v>1</v>
      </c>
      <c r="Z263" s="387" cm="1">
        <f t="array" aca="1" ref="Z263" ca="1">INDIRECT("'"&amp;$C263&amp;"'!"&amp;"$"&amp;$D263&amp;$Z$1&amp;"")</f>
        <v>0</v>
      </c>
      <c r="AA263" s="299" t="s">
        <v>1</v>
      </c>
      <c r="AB263" s="300" t="s">
        <v>1</v>
      </c>
      <c r="AC263" s="298" t="s">
        <v>1</v>
      </c>
      <c r="AD263" s="299" cm="1">
        <f t="array" aca="1" ref="AD263" ca="1">INDIRECT("'"&amp;$C263&amp;"'!"&amp;"$"&amp;$D263&amp;$AD$1&amp;"")</f>
        <v>3.3</v>
      </c>
      <c r="AE263" s="300">
        <f>3.8*3.59</f>
        <v>13.641999999999999</v>
      </c>
      <c r="AF263" s="300">
        <v>0.99</v>
      </c>
      <c r="AG263" s="301">
        <v>0.34</v>
      </c>
      <c r="AH263" s="297" t="str" cm="1">
        <f t="array" aca="1" ref="AH263" ca="1">INDIRECT("'"&amp;$C263&amp;"'!"&amp;"$"&amp;$D263&amp;$AH$1&amp;"")</f>
        <v>CMS</v>
      </c>
      <c r="AI263" s="300" t="s">
        <v>1</v>
      </c>
      <c r="AJ263" s="300" t="s">
        <v>1</v>
      </c>
      <c r="AK263" s="298" t="s">
        <v>1</v>
      </c>
      <c r="AL263" s="297">
        <v>11.8</v>
      </c>
      <c r="AM263" s="301">
        <v>70.2</v>
      </c>
      <c r="AN263" s="297" cm="1">
        <f t="array" aca="1" ref="AN263" ca="1">INDIRECT("'"&amp;$C263&amp;"'!"&amp;"$"&amp;$D263&amp;$AL$1&amp;"")</f>
        <v>3.7</v>
      </c>
      <c r="AO263" s="300">
        <v>0.99</v>
      </c>
      <c r="AP263" s="298">
        <v>0.41</v>
      </c>
      <c r="AQ263" s="299" cm="1">
        <f t="array" aca="1" ref="AQ263" ca="1">INDIRECT("'"&amp;$C263&amp;"'!"&amp;"$"&amp;$D263&amp;$AQ$1&amp;"")</f>
        <v>3.7</v>
      </c>
      <c r="AR263" s="300">
        <v>0.99</v>
      </c>
      <c r="AS263" s="298">
        <v>0.54</v>
      </c>
      <c r="AT263" s="297" t="s">
        <v>1</v>
      </c>
      <c r="AU263" s="301" t="s">
        <v>1</v>
      </c>
      <c r="AV263" s="297" t="str" cm="1">
        <f t="array" aca="1" ref="AV263" ca="1">INDIRECT("'"&amp;$C263&amp;"'!"&amp;"$"&amp;$D263&amp;$AT$1&amp;"")</f>
        <v>PMS</v>
      </c>
      <c r="AW263" s="300" t="s">
        <v>1</v>
      </c>
      <c r="AX263" s="301" t="s">
        <v>1</v>
      </c>
      <c r="AY263" s="387">
        <v>69.8</v>
      </c>
      <c r="AZ263" s="303" cm="1">
        <f t="array" aca="1" ref="AZ263" ca="1">INDIRECT("'"&amp;$C263&amp;"'!"&amp;"$"&amp;$D263&amp;$AY$1&amp;"")</f>
        <v>5.8999999999999995</v>
      </c>
      <c r="BA263" s="300">
        <v>0.96</v>
      </c>
      <c r="BB263" s="298">
        <v>1.7</v>
      </c>
      <c r="BC263" s="299" cm="1">
        <f t="array" aca="1" ref="BC263" ca="1">INDIRECT("'"&amp;$C263&amp;"'!"&amp;"$"&amp;$D263&amp;$BC$1&amp;"")</f>
        <v>1.1100000000000001</v>
      </c>
      <c r="BD263" s="300"/>
      <c r="BE263" s="300">
        <v>0.99</v>
      </c>
      <c r="BF263" s="298">
        <v>0.14000000000000001</v>
      </c>
      <c r="BG263" s="299" cm="1">
        <f t="array" aca="1" ref="BG263" ca="1">INDIRECT("'"&amp;$C263&amp;"'!"&amp;"$"&amp;$D263&amp;$BG$1&amp;"")</f>
        <v>0.73</v>
      </c>
      <c r="BH263" s="300"/>
      <c r="BI263" s="300">
        <v>0.96</v>
      </c>
      <c r="BJ263" s="298">
        <v>0.22</v>
      </c>
      <c r="BK263" s="299" cm="1">
        <f t="array" aca="1" ref="BK263" ca="1">INDIRECT("'"&amp;$C263&amp;"'!"&amp;"$"&amp;$D263&amp;$BK$1&amp;"")</f>
        <v>3.41</v>
      </c>
      <c r="BL263" s="300"/>
      <c r="BM263" s="300">
        <v>0.95</v>
      </c>
      <c r="BN263" s="300">
        <v>1.1000000000000001</v>
      </c>
    </row>
    <row r="264" spans="1:66" ht="15.75" thickBot="1" x14ac:dyDescent="0.25">
      <c r="A264" s="368">
        <v>45699</v>
      </c>
      <c r="B264" s="365">
        <v>0.375</v>
      </c>
      <c r="C264" s="383">
        <v>11</v>
      </c>
      <c r="D264" s="319" t="s">
        <v>119</v>
      </c>
      <c r="E264" s="290">
        <v>14</v>
      </c>
      <c r="F264" s="291">
        <v>69.5</v>
      </c>
      <c r="G264" s="292" cm="1">
        <f t="array" aca="1" ref="G264" ca="1">INDIRECT("'"&amp;$C264&amp;"'!"&amp;"$"&amp;$D264&amp;$E$1&amp;"")</f>
        <v>6.5</v>
      </c>
      <c r="H264" s="293">
        <v>0.99</v>
      </c>
      <c r="I264" s="291">
        <v>0.21</v>
      </c>
      <c r="J264" s="292" cm="1">
        <f t="array" aca="1" ref="J264" ca="1">INDIRECT("'"&amp;$C264&amp;"'!"&amp;"$"&amp;$D264&amp;$J$1&amp;"")</f>
        <v>1.5</v>
      </c>
      <c r="K264" s="293"/>
      <c r="L264" s="293">
        <v>0.99</v>
      </c>
      <c r="M264" s="291">
        <v>0.21</v>
      </c>
      <c r="N264" s="292" cm="1">
        <f t="array" aca="1" ref="N264" ca="1">INDIRECT("'"&amp;$C264&amp;"'!"&amp;"$"&amp;$D264&amp;$N$1&amp;"")</f>
        <v>6.5</v>
      </c>
      <c r="O264" s="293"/>
      <c r="P264" s="293">
        <v>0.97</v>
      </c>
      <c r="Q264" s="291">
        <v>1.55</v>
      </c>
      <c r="R264" s="292" cm="1">
        <f t="array" aca="1" ref="R264" ca="1">INDIRECT("'"&amp;$C264&amp;"'!"&amp;"$"&amp;$D264&amp;$R$1&amp;"")</f>
        <v>6.5</v>
      </c>
      <c r="S264" s="293"/>
      <c r="T264" s="293">
        <v>0.97</v>
      </c>
      <c r="U264" s="291">
        <v>1.55</v>
      </c>
      <c r="V264" s="292" t="str" cm="1">
        <f t="array" aca="1" ref="V264" ca="1">INDIRECT("'"&amp;$C264&amp;"'!"&amp;"$"&amp;$D264&amp;$V$1&amp;"")</f>
        <v>CMS</v>
      </c>
      <c r="W264" s="293" t="s">
        <v>1</v>
      </c>
      <c r="X264" s="293" t="s">
        <v>1</v>
      </c>
      <c r="Y264" s="294" t="s">
        <v>1</v>
      </c>
      <c r="Z264" s="386" cm="1">
        <f t="array" aca="1" ref="Z264" ca="1">INDIRECT("'"&amp;$C264&amp;"'!"&amp;"$"&amp;$D264&amp;$Z$1&amp;"")</f>
        <v>0</v>
      </c>
      <c r="AA264" s="292" t="s">
        <v>1</v>
      </c>
      <c r="AB264" s="293" t="s">
        <v>1</v>
      </c>
      <c r="AC264" s="291" t="s">
        <v>1</v>
      </c>
      <c r="AD264" s="292" cm="1">
        <f t="array" aca="1" ref="AD264" ca="1">INDIRECT("'"&amp;$C264&amp;"'!"&amp;"$"&amp;$D264&amp;$AD$1&amp;"")</f>
        <v>2</v>
      </c>
      <c r="AE264" s="293">
        <f>3.8*3.53</f>
        <v>13.413999999999998</v>
      </c>
      <c r="AF264" s="293">
        <v>0.96</v>
      </c>
      <c r="AG264" s="294">
        <v>0.41</v>
      </c>
      <c r="AH264" s="290" cm="1">
        <f t="array" aca="1" ref="AH264" ca="1">INDIRECT("'"&amp;$C264&amp;"'!"&amp;"$"&amp;$D264&amp;$AH$1&amp;"")</f>
        <v>1.5</v>
      </c>
      <c r="AI264" s="293">
        <v>13.52</v>
      </c>
      <c r="AJ264" s="293">
        <v>0.99</v>
      </c>
      <c r="AK264" s="291">
        <v>0.13400000000000001</v>
      </c>
      <c r="AL264" s="290">
        <v>11.8</v>
      </c>
      <c r="AM264" s="294">
        <v>70.2</v>
      </c>
      <c r="AN264" s="290" cm="1">
        <f t="array" aca="1" ref="AN264" ca="1">INDIRECT("'"&amp;$C264&amp;"'!"&amp;"$"&amp;$D264&amp;$AL$1&amp;"")</f>
        <v>3.8</v>
      </c>
      <c r="AO264" s="293">
        <v>0.99</v>
      </c>
      <c r="AP264" s="291">
        <v>0.41</v>
      </c>
      <c r="AQ264" s="292" cm="1">
        <f t="array" aca="1" ref="AQ264" ca="1">INDIRECT("'"&amp;$C264&amp;"'!"&amp;"$"&amp;$D264&amp;$AQ$1&amp;"")</f>
        <v>3.8</v>
      </c>
      <c r="AR264" s="293">
        <v>0.99</v>
      </c>
      <c r="AS264" s="291">
        <v>0.54</v>
      </c>
      <c r="AT264" s="290" t="s">
        <v>1</v>
      </c>
      <c r="AU264" s="294" t="s">
        <v>1</v>
      </c>
      <c r="AV264" s="290" t="str" cm="1">
        <f t="array" aca="1" ref="AV264" ca="1">INDIRECT("'"&amp;$C264&amp;"'!"&amp;"$"&amp;$D264&amp;$AT$1&amp;"")</f>
        <v>PMS</v>
      </c>
      <c r="AW264" s="293" t="s">
        <v>1</v>
      </c>
      <c r="AX264" s="294" t="s">
        <v>1</v>
      </c>
      <c r="AY264" s="386">
        <v>68.599999999999994</v>
      </c>
      <c r="AZ264" s="296" cm="1">
        <f t="array" aca="1" ref="AZ264" ca="1">INDIRECT("'"&amp;$C264&amp;"'!"&amp;"$"&amp;$D264&amp;$AY$1&amp;"")</f>
        <v>6.1</v>
      </c>
      <c r="BA264" s="293">
        <v>0.96</v>
      </c>
      <c r="BB264" s="291">
        <v>1.77</v>
      </c>
      <c r="BC264" s="292" cm="1">
        <f t="array" aca="1" ref="BC264" ca="1">INDIRECT("'"&amp;$C264&amp;"'!"&amp;"$"&amp;$D264&amp;$BC$1&amp;"")</f>
        <v>1.25</v>
      </c>
      <c r="BD264" s="293"/>
      <c r="BE264" s="293">
        <v>0.99</v>
      </c>
      <c r="BF264" s="291">
        <v>0.16</v>
      </c>
      <c r="BG264" s="292" cm="1">
        <f t="array" aca="1" ref="BG264" ca="1">INDIRECT("'"&amp;$C264&amp;"'!"&amp;"$"&amp;$D264&amp;$BG$1&amp;"")</f>
        <v>0.74</v>
      </c>
      <c r="BH264" s="293"/>
      <c r="BI264" s="293">
        <v>0.96</v>
      </c>
      <c r="BJ264" s="291">
        <v>0.22</v>
      </c>
      <c r="BK264" s="292" cm="1">
        <f t="array" aca="1" ref="BK264" ca="1">INDIRECT("'"&amp;$C264&amp;"'!"&amp;"$"&amp;$D264&amp;$BK$1&amp;"")</f>
        <v>3.88</v>
      </c>
      <c r="BL264" s="293"/>
      <c r="BM264" s="293">
        <v>0.95</v>
      </c>
      <c r="BN264" s="291">
        <v>1.27</v>
      </c>
    </row>
    <row r="265" spans="1:66" ht="15.75" thickBot="1" x14ac:dyDescent="0.25">
      <c r="A265" s="368">
        <v>45699</v>
      </c>
      <c r="B265" s="365">
        <v>0.41666666666666702</v>
      </c>
      <c r="C265" s="383">
        <v>11</v>
      </c>
      <c r="D265" s="319" t="s">
        <v>120</v>
      </c>
      <c r="E265" s="297">
        <v>14.1</v>
      </c>
      <c r="F265" s="298">
        <v>69.66</v>
      </c>
      <c r="G265" s="299" cm="1">
        <f t="array" aca="1" ref="G265" ca="1">INDIRECT("'"&amp;$C265&amp;"'!"&amp;"$"&amp;$D265&amp;$E$1&amp;"")</f>
        <v>6.6</v>
      </c>
      <c r="H265" s="300">
        <v>0.96</v>
      </c>
      <c r="I265" s="298">
        <v>1.95</v>
      </c>
      <c r="J265" s="299" cm="1">
        <f t="array" aca="1" ref="J265" ca="1">INDIRECT("'"&amp;$C265&amp;"'!"&amp;"$"&amp;$D265&amp;$J$1&amp;"")</f>
        <v>6.6</v>
      </c>
      <c r="K265" s="300"/>
      <c r="L265" s="300">
        <v>0.96</v>
      </c>
      <c r="M265" s="298">
        <v>1.95</v>
      </c>
      <c r="N265" s="299" cm="1">
        <f t="array" aca="1" ref="N265" ca="1">INDIRECT("'"&amp;$C265&amp;"'!"&amp;"$"&amp;$D265&amp;$N$1&amp;"")</f>
        <v>6.6</v>
      </c>
      <c r="O265" s="300"/>
      <c r="P265" s="300">
        <v>0.96</v>
      </c>
      <c r="Q265" s="298">
        <v>1.95</v>
      </c>
      <c r="R265" s="299" cm="1">
        <f t="array" aca="1" ref="R265" ca="1">INDIRECT("'"&amp;$C265&amp;"'!"&amp;"$"&amp;$D265&amp;$R$1&amp;"")</f>
        <v>6.6</v>
      </c>
      <c r="S265" s="300"/>
      <c r="T265" s="300">
        <v>0.96</v>
      </c>
      <c r="U265" s="298">
        <v>1.95</v>
      </c>
      <c r="V265" s="299" t="str" cm="1">
        <f t="array" aca="1" ref="V265" ca="1">INDIRECT("'"&amp;$C265&amp;"'!"&amp;"$"&amp;$D265&amp;$V$1&amp;"")</f>
        <v>CMS</v>
      </c>
      <c r="W265" s="300" t="s">
        <v>1</v>
      </c>
      <c r="X265" s="300" t="s">
        <v>1</v>
      </c>
      <c r="Y265" s="301" t="s">
        <v>1</v>
      </c>
      <c r="Z265" s="387" cm="1">
        <f t="array" aca="1" ref="Z265" ca="1">INDIRECT("'"&amp;$C265&amp;"'!"&amp;"$"&amp;$D265&amp;$Z$1&amp;"")</f>
        <v>0</v>
      </c>
      <c r="AA265" s="299" t="s">
        <v>1</v>
      </c>
      <c r="AB265" s="300" t="s">
        <v>1</v>
      </c>
      <c r="AC265" s="298" t="s">
        <v>1</v>
      </c>
      <c r="AD265" s="299" cm="1">
        <f t="array" aca="1" ref="AD265" ca="1">INDIRECT("'"&amp;$C265&amp;"'!"&amp;"$"&amp;$D265&amp;$AD$1&amp;"")</f>
        <v>3.3</v>
      </c>
      <c r="AE265" s="300">
        <f>3.8*3.54</f>
        <v>13.452</v>
      </c>
      <c r="AF265" s="300">
        <v>0.95</v>
      </c>
      <c r="AG265" s="301">
        <v>1.1000000000000001</v>
      </c>
      <c r="AH265" s="297" cm="1">
        <f t="array" aca="1" ref="AH265" ca="1">INDIRECT("'"&amp;$C265&amp;"'!"&amp;"$"&amp;$D265&amp;$AH$1&amp;"")</f>
        <v>3.8</v>
      </c>
      <c r="AI265" s="300">
        <v>13.52</v>
      </c>
      <c r="AJ265" s="300">
        <v>0.99</v>
      </c>
      <c r="AK265" s="298">
        <v>0.127</v>
      </c>
      <c r="AL265" s="297">
        <v>11.8</v>
      </c>
      <c r="AM265" s="301">
        <v>69.900000000000006</v>
      </c>
      <c r="AN265" s="297" cm="1">
        <f t="array" aca="1" ref="AN265" ca="1">INDIRECT("'"&amp;$C265&amp;"'!"&amp;"$"&amp;$D265&amp;$AL$1&amp;"")</f>
        <v>3.8</v>
      </c>
      <c r="AO265" s="300">
        <v>0.94</v>
      </c>
      <c r="AP265" s="298">
        <v>1.3</v>
      </c>
      <c r="AQ265" s="299" cm="1">
        <f t="array" aca="1" ref="AQ265" ca="1">INDIRECT("'"&amp;$C265&amp;"'!"&amp;"$"&amp;$D265&amp;$AQ$1&amp;"")</f>
        <v>3.8</v>
      </c>
      <c r="AR265" s="300">
        <v>0.94</v>
      </c>
      <c r="AS265" s="298">
        <v>1.3</v>
      </c>
      <c r="AT265" s="297" t="s">
        <v>1</v>
      </c>
      <c r="AU265" s="301" t="s">
        <v>1</v>
      </c>
      <c r="AV265" s="297" t="str" cm="1">
        <f t="array" aca="1" ref="AV265" ca="1">INDIRECT("'"&amp;$C265&amp;"'!"&amp;"$"&amp;$D265&amp;$AT$1&amp;"")</f>
        <v>PMS</v>
      </c>
      <c r="AW265" s="300" t="s">
        <v>1</v>
      </c>
      <c r="AX265" s="301" t="s">
        <v>1</v>
      </c>
      <c r="AY265" s="387">
        <v>68.599999999999994</v>
      </c>
      <c r="AZ265" s="303" cm="1">
        <f t="array" aca="1" ref="AZ265" ca="1">INDIRECT("'"&amp;$C265&amp;"'!"&amp;"$"&amp;$D265&amp;$AY$1&amp;"")</f>
        <v>0.9</v>
      </c>
      <c r="BA265" s="300">
        <v>0.96</v>
      </c>
      <c r="BB265" s="298">
        <v>0.26</v>
      </c>
      <c r="BC265" s="299" cm="1">
        <f t="array" aca="1" ref="BC265" ca="1">INDIRECT("'"&amp;$C265&amp;"'!"&amp;"$"&amp;$D265&amp;$BC$1&amp;"")</f>
        <v>1.27</v>
      </c>
      <c r="BD265" s="300"/>
      <c r="BE265" s="300">
        <v>0.99</v>
      </c>
      <c r="BF265" s="298">
        <v>0.16</v>
      </c>
      <c r="BG265" s="299" cm="1">
        <f t="array" aca="1" ref="BG265" ca="1">INDIRECT("'"&amp;$C265&amp;"'!"&amp;"$"&amp;$D265&amp;$BG$1&amp;"")</f>
        <v>0.77</v>
      </c>
      <c r="BH265" s="300"/>
      <c r="BI265" s="300">
        <v>0.96</v>
      </c>
      <c r="BJ265" s="298">
        <v>0.23</v>
      </c>
      <c r="BK265" s="299" cm="1">
        <f t="array" aca="1" ref="BK265" ca="1">INDIRECT("'"&amp;$C265&amp;"'!"&amp;"$"&amp;$D265&amp;$BK$1&amp;"")</f>
        <v>4.2</v>
      </c>
      <c r="BL265" s="300"/>
      <c r="BM265" s="300">
        <v>0.95</v>
      </c>
      <c r="BN265" s="298">
        <v>1.3</v>
      </c>
    </row>
    <row r="266" spans="1:66" ht="15.75" thickBot="1" x14ac:dyDescent="0.25">
      <c r="A266" s="368">
        <v>45699</v>
      </c>
      <c r="B266" s="365">
        <v>0.45833333333333398</v>
      </c>
      <c r="C266" s="383">
        <v>11</v>
      </c>
      <c r="D266" s="319" t="s">
        <v>121</v>
      </c>
      <c r="E266" s="290">
        <v>14</v>
      </c>
      <c r="F266" s="291">
        <v>69.36</v>
      </c>
      <c r="G266" s="292" cm="1">
        <f t="array" aca="1" ref="G266" ca="1">INDIRECT("'"&amp;$C266&amp;"'!"&amp;"$"&amp;$D266&amp;$E$1&amp;"")</f>
        <v>6.6</v>
      </c>
      <c r="H266" s="293">
        <v>0.96</v>
      </c>
      <c r="I266" s="291">
        <v>1.9</v>
      </c>
      <c r="J266" s="292" cm="1">
        <f t="array" aca="1" ref="J266" ca="1">INDIRECT("'"&amp;$C266&amp;"'!"&amp;"$"&amp;$D266&amp;$J$1&amp;"")</f>
        <v>6.6</v>
      </c>
      <c r="K266" s="293"/>
      <c r="L266" s="293">
        <v>0.96</v>
      </c>
      <c r="M266" s="291">
        <v>1.9</v>
      </c>
      <c r="N266" s="292" cm="1">
        <f t="array" aca="1" ref="N266" ca="1">INDIRECT("'"&amp;$C266&amp;"'!"&amp;"$"&amp;$D266&amp;$N$1&amp;"")</f>
        <v>6.6</v>
      </c>
      <c r="O266" s="293"/>
      <c r="P266" s="293">
        <v>0.96</v>
      </c>
      <c r="Q266" s="291">
        <v>1.9</v>
      </c>
      <c r="R266" s="292" cm="1">
        <f t="array" aca="1" ref="R266" ca="1">INDIRECT("'"&amp;$C266&amp;"'!"&amp;"$"&amp;$D266&amp;$R$1&amp;"")</f>
        <v>6.6</v>
      </c>
      <c r="S266" s="293"/>
      <c r="T266" s="293">
        <v>0.96</v>
      </c>
      <c r="U266" s="291">
        <v>1.9</v>
      </c>
      <c r="V266" s="292" t="str" cm="1">
        <f t="array" aca="1" ref="V266" ca="1">INDIRECT("'"&amp;$C266&amp;"'!"&amp;"$"&amp;$D266&amp;$V$1&amp;"")</f>
        <v>CMS</v>
      </c>
      <c r="W266" s="293" t="s">
        <v>1</v>
      </c>
      <c r="X266" s="293" t="s">
        <v>1</v>
      </c>
      <c r="Y266" s="294" t="s">
        <v>1</v>
      </c>
      <c r="Z266" s="386" cm="1">
        <f t="array" aca="1" ref="Z266" ca="1">INDIRECT("'"&amp;$C266&amp;"'!"&amp;"$"&amp;$D266&amp;$Z$1&amp;"")</f>
        <v>0</v>
      </c>
      <c r="AA266" s="292" t="s">
        <v>1</v>
      </c>
      <c r="AB266" s="293" t="s">
        <v>1</v>
      </c>
      <c r="AC266" s="291" t="s">
        <v>1</v>
      </c>
      <c r="AD266" s="292" cm="1">
        <f t="array" aca="1" ref="AD266" ca="1">INDIRECT("'"&amp;$C266&amp;"'!"&amp;"$"&amp;$D266&amp;$AD$1&amp;"")</f>
        <v>3.3</v>
      </c>
      <c r="AE266" s="293">
        <f>3.8*3.52</f>
        <v>13.375999999999999</v>
      </c>
      <c r="AF266" s="293">
        <v>0.94</v>
      </c>
      <c r="AG266" s="294">
        <v>1.22</v>
      </c>
      <c r="AH266" s="290" cm="1">
        <f t="array" aca="1" ref="AH266" ca="1">INDIRECT("'"&amp;$C266&amp;"'!"&amp;"$"&amp;$D266&amp;$AH$1&amp;"")</f>
        <v>3.8</v>
      </c>
      <c r="AI266" s="293">
        <v>13.6</v>
      </c>
      <c r="AJ266" s="293">
        <v>0.98</v>
      </c>
      <c r="AK266" s="291">
        <v>0.53600000000000003</v>
      </c>
      <c r="AL266" s="290">
        <v>11.7</v>
      </c>
      <c r="AM266" s="294">
        <v>69.400000000000006</v>
      </c>
      <c r="AN266" s="290" cm="1">
        <f t="array" aca="1" ref="AN266" ca="1">INDIRECT("'"&amp;$C266&amp;"'!"&amp;"$"&amp;$D266&amp;$AL$1&amp;"")</f>
        <v>3.8</v>
      </c>
      <c r="AO266" s="293">
        <v>0.94</v>
      </c>
      <c r="AP266" s="291">
        <v>1.2</v>
      </c>
      <c r="AQ266" s="292" cm="1">
        <f t="array" aca="1" ref="AQ266" ca="1">INDIRECT("'"&amp;$C266&amp;"'!"&amp;"$"&amp;$D266&amp;$AQ$1&amp;"")</f>
        <v>3.8</v>
      </c>
      <c r="AR266" s="293">
        <v>0.94</v>
      </c>
      <c r="AS266" s="291">
        <v>1.2</v>
      </c>
      <c r="AT266" s="290" t="s">
        <v>1</v>
      </c>
      <c r="AU266" s="294" t="s">
        <v>1</v>
      </c>
      <c r="AV266" s="290" t="str" cm="1">
        <f t="array" aca="1" ref="AV266" ca="1">INDIRECT("'"&amp;$C266&amp;"'!"&amp;"$"&amp;$D266&amp;$AT$1&amp;"")</f>
        <v>PMS</v>
      </c>
      <c r="AW266" s="293" t="s">
        <v>1</v>
      </c>
      <c r="AX266" s="294" t="s">
        <v>1</v>
      </c>
      <c r="AY266" s="386">
        <v>68.3</v>
      </c>
      <c r="AZ266" s="296" cm="1">
        <f t="array" aca="1" ref="AZ266" ca="1">INDIRECT("'"&amp;$C266&amp;"'!"&amp;"$"&amp;$D266&amp;$AY$1&amp;"")</f>
        <v>2.8</v>
      </c>
      <c r="BA266" s="293">
        <v>0.96</v>
      </c>
      <c r="BB266" s="291">
        <v>0.81</v>
      </c>
      <c r="BC266" s="292" cm="1">
        <f t="array" aca="1" ref="BC266" ca="1">INDIRECT("'"&amp;$C266&amp;"'!"&amp;"$"&amp;$D266&amp;$BC$1&amp;"")</f>
        <v>1.0900000000000001</v>
      </c>
      <c r="BD266" s="293"/>
      <c r="BE266" s="293">
        <v>1</v>
      </c>
      <c r="BF266" s="291">
        <v>0.08</v>
      </c>
      <c r="BG266" s="292" cm="1">
        <f t="array" aca="1" ref="BG266" ca="1">INDIRECT("'"&amp;$C266&amp;"'!"&amp;"$"&amp;$D266&amp;$BG$1&amp;"")</f>
        <v>0.78</v>
      </c>
      <c r="BH266" s="293"/>
      <c r="BI266" s="293">
        <v>0.96</v>
      </c>
      <c r="BJ266" s="291">
        <v>0.23</v>
      </c>
      <c r="BK266" s="292" cm="1">
        <f t="array" aca="1" ref="BK266" ca="1">INDIRECT("'"&amp;$C266&amp;"'!"&amp;"$"&amp;$D266&amp;$BK$1&amp;"")</f>
        <v>4.0999999999999996</v>
      </c>
      <c r="BL266" s="293"/>
      <c r="BM266" s="293">
        <v>0.95</v>
      </c>
      <c r="BN266" s="291">
        <v>1.3</v>
      </c>
    </row>
    <row r="267" spans="1:66" ht="15.75" thickBot="1" x14ac:dyDescent="0.25">
      <c r="A267" s="368">
        <v>45699</v>
      </c>
      <c r="B267" s="365">
        <v>0.5</v>
      </c>
      <c r="C267" s="383">
        <v>11</v>
      </c>
      <c r="D267" s="319" t="s">
        <v>122</v>
      </c>
      <c r="E267" s="297">
        <v>14.2</v>
      </c>
      <c r="F267" s="298">
        <v>69.2</v>
      </c>
      <c r="G267" s="299" cm="1">
        <f t="array" aca="1" ref="G267" ca="1">INDIRECT("'"&amp;$C267&amp;"'!"&amp;"$"&amp;$D267&amp;$E$1&amp;"")</f>
        <v>6.6</v>
      </c>
      <c r="H267" s="300">
        <v>0.96</v>
      </c>
      <c r="I267" s="298">
        <v>1.89</v>
      </c>
      <c r="J267" s="299" cm="1">
        <f t="array" aca="1" ref="J267" ca="1">INDIRECT("'"&amp;$C267&amp;"'!"&amp;"$"&amp;$D267&amp;$J$1&amp;"")</f>
        <v>6.6</v>
      </c>
      <c r="K267" s="300"/>
      <c r="L267" s="300">
        <v>0.96</v>
      </c>
      <c r="M267" s="298">
        <v>1.89</v>
      </c>
      <c r="N267" s="299" cm="1">
        <f t="array" aca="1" ref="N267" ca="1">INDIRECT("'"&amp;$C267&amp;"'!"&amp;"$"&amp;$D267&amp;$N$1&amp;"")</f>
        <v>6.6</v>
      </c>
      <c r="O267" s="300"/>
      <c r="P267" s="300">
        <v>0.96</v>
      </c>
      <c r="Q267" s="298">
        <v>1.89</v>
      </c>
      <c r="R267" s="299" cm="1">
        <f t="array" aca="1" ref="R267" ca="1">INDIRECT("'"&amp;$C267&amp;"'!"&amp;"$"&amp;$D267&amp;$R$1&amp;"")</f>
        <v>6.6</v>
      </c>
      <c r="S267" s="300"/>
      <c r="T267" s="300">
        <v>0.96</v>
      </c>
      <c r="U267" s="298">
        <v>1.89</v>
      </c>
      <c r="V267" s="299" t="str" cm="1">
        <f t="array" aca="1" ref="V267" ca="1">INDIRECT("'"&amp;$C267&amp;"'!"&amp;"$"&amp;$D267&amp;$V$1&amp;"")</f>
        <v>CMS</v>
      </c>
      <c r="W267" s="300" t="s">
        <v>1</v>
      </c>
      <c r="X267" s="300" t="s">
        <v>1</v>
      </c>
      <c r="Y267" s="301" t="s">
        <v>1</v>
      </c>
      <c r="Z267" s="387" cm="1">
        <f t="array" aca="1" ref="Z267" ca="1">INDIRECT("'"&amp;$C267&amp;"'!"&amp;"$"&amp;$D267&amp;$Z$1&amp;"")</f>
        <v>0</v>
      </c>
      <c r="AA267" s="299" t="s">
        <v>1</v>
      </c>
      <c r="AB267" s="300" t="s">
        <v>1</v>
      </c>
      <c r="AC267" s="298" t="s">
        <v>1</v>
      </c>
      <c r="AD267" s="299" cm="1">
        <f t="array" aca="1" ref="AD267" ca="1">INDIRECT("'"&amp;$C267&amp;"'!"&amp;"$"&amp;$D267&amp;$AD$1&amp;"")</f>
        <v>3.3</v>
      </c>
      <c r="AE267" s="300">
        <f>3.8*3.52</f>
        <v>13.375999999999999</v>
      </c>
      <c r="AF267" s="300">
        <v>0.94</v>
      </c>
      <c r="AG267" s="301">
        <v>1.21</v>
      </c>
      <c r="AH267" s="297" cm="1">
        <f t="array" aca="1" ref="AH267" ca="1">INDIRECT("'"&amp;$C267&amp;"'!"&amp;"$"&amp;$D267&amp;$AH$1&amp;"")</f>
        <v>3.8</v>
      </c>
      <c r="AI267" s="300">
        <v>13.6</v>
      </c>
      <c r="AJ267" s="300">
        <v>0.99</v>
      </c>
      <c r="AK267" s="298">
        <v>0.35299999999999998</v>
      </c>
      <c r="AL267" s="297">
        <v>11.7</v>
      </c>
      <c r="AM267" s="301">
        <v>69.400000000000006</v>
      </c>
      <c r="AN267" s="297" cm="1">
        <f t="array" aca="1" ref="AN267" ca="1">INDIRECT("'"&amp;$C267&amp;"'!"&amp;"$"&amp;$D267&amp;$AL$1&amp;"")</f>
        <v>3.8</v>
      </c>
      <c r="AO267" s="300">
        <v>0.94</v>
      </c>
      <c r="AP267" s="298">
        <v>1.2</v>
      </c>
      <c r="AQ267" s="299" cm="1">
        <f t="array" aca="1" ref="AQ267" ca="1">INDIRECT("'"&amp;$C267&amp;"'!"&amp;"$"&amp;$D267&amp;$AQ$1&amp;"")</f>
        <v>3.8</v>
      </c>
      <c r="AR267" s="300">
        <v>0.94</v>
      </c>
      <c r="AS267" s="298">
        <v>1.2</v>
      </c>
      <c r="AT267" s="297" t="s">
        <v>1</v>
      </c>
      <c r="AU267" s="301" t="s">
        <v>1</v>
      </c>
      <c r="AV267" s="297" t="str" cm="1">
        <f t="array" aca="1" ref="AV267" ca="1">INDIRECT("'"&amp;$C267&amp;"'!"&amp;"$"&amp;$D267&amp;$AT$1&amp;"")</f>
        <v>PMS</v>
      </c>
      <c r="AW267" s="300" t="s">
        <v>1</v>
      </c>
      <c r="AX267" s="301" t="s">
        <v>1</v>
      </c>
      <c r="AY267" s="387">
        <v>67.900000000000006</v>
      </c>
      <c r="AZ267" s="303" cm="1">
        <f t="array" aca="1" ref="AZ267" ca="1">INDIRECT("'"&amp;$C267&amp;"'!"&amp;"$"&amp;$D267&amp;$AY$1&amp;"")</f>
        <v>0.9</v>
      </c>
      <c r="BA267" s="300">
        <v>0.96</v>
      </c>
      <c r="BB267" s="298">
        <v>0.26</v>
      </c>
      <c r="BC267" s="299" cm="1">
        <f t="array" aca="1" ref="BC267" ca="1">INDIRECT("'"&amp;$C267&amp;"'!"&amp;"$"&amp;$D267&amp;$BC$1&amp;"")</f>
        <v>1.1599999999999999</v>
      </c>
      <c r="BD267" s="300"/>
      <c r="BE267" s="300">
        <v>1</v>
      </c>
      <c r="BF267" s="298">
        <v>0.14000000000000001</v>
      </c>
      <c r="BG267" s="299" cm="1">
        <f t="array" aca="1" ref="BG267" ca="1">INDIRECT("'"&amp;$C267&amp;"'!"&amp;"$"&amp;$D267&amp;$BG$1&amp;"")</f>
        <v>0.71</v>
      </c>
      <c r="BH267" s="300"/>
      <c r="BI267" s="300">
        <v>0.95</v>
      </c>
      <c r="BJ267" s="298">
        <v>0.2</v>
      </c>
      <c r="BK267" s="299" cm="1">
        <f t="array" aca="1" ref="BK267" ca="1">INDIRECT("'"&amp;$C267&amp;"'!"&amp;"$"&amp;$D267&amp;$BK$1&amp;"")</f>
        <v>4</v>
      </c>
      <c r="BL267" s="300"/>
      <c r="BM267" s="300">
        <v>0.95</v>
      </c>
      <c r="BN267" s="298">
        <v>1.3</v>
      </c>
    </row>
    <row r="268" spans="1:66" ht="15.75" thickBot="1" x14ac:dyDescent="0.25">
      <c r="A268" s="368">
        <v>45699</v>
      </c>
      <c r="B268" s="365">
        <v>0.54166666666666696</v>
      </c>
      <c r="C268" s="383">
        <v>11</v>
      </c>
      <c r="D268" s="319" t="s">
        <v>123</v>
      </c>
      <c r="E268" s="290">
        <v>14.1</v>
      </c>
      <c r="F268" s="291">
        <v>69.3</v>
      </c>
      <c r="G268" s="292" cm="1">
        <f t="array" aca="1" ref="G268" ca="1">INDIRECT("'"&amp;$C268&amp;"'!"&amp;"$"&amp;$D268&amp;$E$1&amp;"")</f>
        <v>6.7</v>
      </c>
      <c r="H268" s="293">
        <v>0.96</v>
      </c>
      <c r="I268" s="291">
        <v>1.93</v>
      </c>
      <c r="J268" s="292" cm="1">
        <f t="array" aca="1" ref="J268" ca="1">INDIRECT("'"&amp;$C268&amp;"'!"&amp;"$"&amp;$D268&amp;$J$1&amp;"")</f>
        <v>6.7</v>
      </c>
      <c r="K268" s="293"/>
      <c r="L268" s="293">
        <v>0.96</v>
      </c>
      <c r="M268" s="291">
        <v>1.93</v>
      </c>
      <c r="N268" s="292" cm="1">
        <f t="array" aca="1" ref="N268" ca="1">INDIRECT("'"&amp;$C268&amp;"'!"&amp;"$"&amp;$D268&amp;$N$1&amp;"")</f>
        <v>6.7</v>
      </c>
      <c r="O268" s="293"/>
      <c r="P268" s="293">
        <v>0.96</v>
      </c>
      <c r="Q268" s="291">
        <v>1.93</v>
      </c>
      <c r="R268" s="292" cm="1">
        <f t="array" aca="1" ref="R268" ca="1">INDIRECT("'"&amp;$C268&amp;"'!"&amp;"$"&amp;$D268&amp;$R$1&amp;"")</f>
        <v>6.7</v>
      </c>
      <c r="S268" s="293"/>
      <c r="T268" s="293">
        <v>0.96</v>
      </c>
      <c r="U268" s="291">
        <v>1.93</v>
      </c>
      <c r="V268" s="292" t="str" cm="1">
        <f t="array" aca="1" ref="V268" ca="1">INDIRECT("'"&amp;$C268&amp;"'!"&amp;"$"&amp;$D268&amp;$V$1&amp;"")</f>
        <v>CMS</v>
      </c>
      <c r="W268" s="293" t="s">
        <v>1</v>
      </c>
      <c r="X268" s="293" t="s">
        <v>1</v>
      </c>
      <c r="Y268" s="294" t="s">
        <v>1</v>
      </c>
      <c r="Z268" s="386" cm="1">
        <f t="array" aca="1" ref="Z268" ca="1">INDIRECT("'"&amp;$C268&amp;"'!"&amp;"$"&amp;$D268&amp;$Z$1&amp;"")</f>
        <v>0</v>
      </c>
      <c r="AA268" s="292" t="s">
        <v>1</v>
      </c>
      <c r="AB268" s="293" t="s">
        <v>1</v>
      </c>
      <c r="AC268" s="291" t="s">
        <v>1</v>
      </c>
      <c r="AD268" s="292" cm="1">
        <f t="array" aca="1" ref="AD268" ca="1">INDIRECT("'"&amp;$C268&amp;"'!"&amp;"$"&amp;$D268&amp;$AD$1&amp;"")</f>
        <v>3.3</v>
      </c>
      <c r="AE268" s="293">
        <f>3.8*3.51</f>
        <v>13.337999999999999</v>
      </c>
      <c r="AF268" s="293">
        <v>0.94</v>
      </c>
      <c r="AG268" s="294">
        <v>1.24</v>
      </c>
      <c r="AH268" s="290" cm="1">
        <f t="array" aca="1" ref="AH268" ca="1">INDIRECT("'"&amp;$C268&amp;"'!"&amp;"$"&amp;$D268&amp;$AH$1&amp;"")</f>
        <v>3.8</v>
      </c>
      <c r="AI268" s="293">
        <v>13.6</v>
      </c>
      <c r="AJ268" s="293">
        <v>0.98</v>
      </c>
      <c r="AK268" s="291">
        <v>0.503</v>
      </c>
      <c r="AL268" s="290">
        <v>11.7</v>
      </c>
      <c r="AM268" s="294">
        <v>69.400000000000006</v>
      </c>
      <c r="AN268" s="290" cm="1">
        <f t="array" aca="1" ref="AN268" ca="1">INDIRECT("'"&amp;$C268&amp;"'!"&amp;"$"&amp;$D268&amp;$AL$1&amp;"")</f>
        <v>3.8</v>
      </c>
      <c r="AO268" s="293">
        <v>0.94</v>
      </c>
      <c r="AP268" s="291">
        <v>1.2</v>
      </c>
      <c r="AQ268" s="292" cm="1">
        <f t="array" aca="1" ref="AQ268" ca="1">INDIRECT("'"&amp;$C268&amp;"'!"&amp;"$"&amp;$D268&amp;$AQ$1&amp;"")</f>
        <v>3.8</v>
      </c>
      <c r="AR268" s="293">
        <v>0.94</v>
      </c>
      <c r="AS268" s="291">
        <v>1.2</v>
      </c>
      <c r="AT268" s="290" t="s">
        <v>1</v>
      </c>
      <c r="AU268" s="294" t="s">
        <v>1</v>
      </c>
      <c r="AV268" s="290" t="str" cm="1">
        <f t="array" aca="1" ref="AV268" ca="1">INDIRECT("'"&amp;$C268&amp;"'!"&amp;"$"&amp;$D268&amp;$AT$1&amp;"")</f>
        <v>PMS</v>
      </c>
      <c r="AW268" s="293" t="s">
        <v>1</v>
      </c>
      <c r="AX268" s="294" t="s">
        <v>1</v>
      </c>
      <c r="AY268" s="386">
        <v>68.2</v>
      </c>
      <c r="AZ268" s="296" cm="1">
        <f t="array" aca="1" ref="AZ268" ca="1">INDIRECT("'"&amp;$C268&amp;"'!"&amp;"$"&amp;$D268&amp;$AY$1&amp;"")</f>
        <v>1.9</v>
      </c>
      <c r="BA268" s="293">
        <v>0.96</v>
      </c>
      <c r="BB268" s="291">
        <v>0.55000000000000004</v>
      </c>
      <c r="BC268" s="292" cm="1">
        <f t="array" aca="1" ref="BC268" ca="1">INDIRECT("'"&amp;$C268&amp;"'!"&amp;"$"&amp;$D268&amp;$BC$1&amp;"")</f>
        <v>0.95</v>
      </c>
      <c r="BD268" s="293"/>
      <c r="BE268" s="293">
        <v>0.99</v>
      </c>
      <c r="BF268" s="291">
        <v>0.11</v>
      </c>
      <c r="BG268" s="292" cm="1">
        <f t="array" aca="1" ref="BG268" ca="1">INDIRECT("'"&amp;$C268&amp;"'!"&amp;"$"&amp;$D268&amp;$BG$1&amp;"")</f>
        <v>0.73</v>
      </c>
      <c r="BH268" s="293"/>
      <c r="BI268" s="293">
        <v>0.95</v>
      </c>
      <c r="BJ268" s="291">
        <v>0.31</v>
      </c>
      <c r="BK268" s="292" cm="1">
        <f t="array" aca="1" ref="BK268" ca="1">INDIRECT("'"&amp;$C268&amp;"'!"&amp;"$"&amp;$D268&amp;$BK$1&amp;"")</f>
        <v>3.92</v>
      </c>
      <c r="BL268" s="293"/>
      <c r="BM268" s="293">
        <v>0.95</v>
      </c>
      <c r="BN268" s="291">
        <v>1.2</v>
      </c>
    </row>
    <row r="269" spans="1:66" ht="15.75" thickBot="1" x14ac:dyDescent="0.25">
      <c r="A269" s="368">
        <v>45699</v>
      </c>
      <c r="B269" s="365">
        <v>0.58333333333333404</v>
      </c>
      <c r="C269" s="383">
        <v>11</v>
      </c>
      <c r="D269" s="319" t="s">
        <v>124</v>
      </c>
      <c r="E269" s="297">
        <v>14.1</v>
      </c>
      <c r="F269" s="298">
        <v>69.8</v>
      </c>
      <c r="G269" s="299" cm="1">
        <f t="array" aca="1" ref="G269" ca="1">INDIRECT("'"&amp;$C269&amp;"'!"&amp;"$"&amp;$D269&amp;$E$1&amp;"")</f>
        <v>6.4</v>
      </c>
      <c r="H269" s="300">
        <v>0.96</v>
      </c>
      <c r="I269" s="298">
        <v>1.83</v>
      </c>
      <c r="J269" s="299" cm="1">
        <f t="array" aca="1" ref="J269" ca="1">INDIRECT("'"&amp;$C269&amp;"'!"&amp;"$"&amp;$D269&amp;$J$1&amp;"")</f>
        <v>6.4</v>
      </c>
      <c r="K269" s="300"/>
      <c r="L269" s="300">
        <v>0.96</v>
      </c>
      <c r="M269" s="298">
        <v>1.83</v>
      </c>
      <c r="N269" s="299" cm="1">
        <f t="array" aca="1" ref="N269" ca="1">INDIRECT("'"&amp;$C269&amp;"'!"&amp;"$"&amp;$D269&amp;$N$1&amp;"")</f>
        <v>6.4</v>
      </c>
      <c r="O269" s="300"/>
      <c r="P269" s="300">
        <v>0.96</v>
      </c>
      <c r="Q269" s="298">
        <v>1.83</v>
      </c>
      <c r="R269" s="299" cm="1">
        <f t="array" aca="1" ref="R269" ca="1">INDIRECT("'"&amp;$C269&amp;"'!"&amp;"$"&amp;$D269&amp;$R$1&amp;"")</f>
        <v>6.4</v>
      </c>
      <c r="S269" s="300"/>
      <c r="T269" s="300">
        <v>0.96</v>
      </c>
      <c r="U269" s="298">
        <v>1.83</v>
      </c>
      <c r="V269" s="299" t="str" cm="1">
        <f t="array" aca="1" ref="V269" ca="1">INDIRECT("'"&amp;$C269&amp;"'!"&amp;"$"&amp;$D269&amp;$V$1&amp;"")</f>
        <v>CMS</v>
      </c>
      <c r="W269" s="300" t="s">
        <v>1</v>
      </c>
      <c r="X269" s="300" t="s">
        <v>1</v>
      </c>
      <c r="Y269" s="301" t="s">
        <v>1</v>
      </c>
      <c r="Z269" s="387" cm="1">
        <f t="array" aca="1" ref="Z269" ca="1">INDIRECT("'"&amp;$C269&amp;"'!"&amp;"$"&amp;$D269&amp;$Z$1&amp;"")</f>
        <v>0</v>
      </c>
      <c r="AA269" s="299" t="s">
        <v>1</v>
      </c>
      <c r="AB269" s="300" t="s">
        <v>1</v>
      </c>
      <c r="AC269" s="298" t="s">
        <v>1</v>
      </c>
      <c r="AD269" s="299" cm="1">
        <f t="array" aca="1" ref="AD269" ca="1">INDIRECT("'"&amp;$C269&amp;"'!"&amp;"$"&amp;$D269&amp;$AD$1&amp;"")</f>
        <v>3.3</v>
      </c>
      <c r="AE269" s="300">
        <f>3.8*3.55</f>
        <v>13.489999999999998</v>
      </c>
      <c r="AF269" s="300">
        <v>0.94</v>
      </c>
      <c r="AG269" s="301">
        <v>1.21</v>
      </c>
      <c r="AH269" s="297" cm="1">
        <f t="array" aca="1" ref="AH269" ca="1">INDIRECT("'"&amp;$C269&amp;"'!"&amp;"$"&amp;$D269&amp;$AH$1&amp;"")</f>
        <v>3.8</v>
      </c>
      <c r="AI269" s="300">
        <v>13.56</v>
      </c>
      <c r="AJ269" s="300">
        <v>0.98</v>
      </c>
      <c r="AK269" s="298">
        <v>0.60040000000000004</v>
      </c>
      <c r="AL269" s="297">
        <v>11.7</v>
      </c>
      <c r="AM269" s="301">
        <v>69.400000000000006</v>
      </c>
      <c r="AN269" s="297" cm="1">
        <f t="array" aca="1" ref="AN269" ca="1">INDIRECT("'"&amp;$C269&amp;"'!"&amp;"$"&amp;$D269&amp;$AL$1&amp;"")</f>
        <v>3.8</v>
      </c>
      <c r="AO269" s="300">
        <v>0.94</v>
      </c>
      <c r="AP269" s="298">
        <v>1.2</v>
      </c>
      <c r="AQ269" s="299" cm="1">
        <f t="array" aca="1" ref="AQ269" ca="1">INDIRECT("'"&amp;$C269&amp;"'!"&amp;"$"&amp;$D269&amp;$AQ$1&amp;"")</f>
        <v>3.8</v>
      </c>
      <c r="AR269" s="300">
        <v>0.94</v>
      </c>
      <c r="AS269" s="298">
        <v>1.2</v>
      </c>
      <c r="AT269" s="297" t="s">
        <v>1</v>
      </c>
      <c r="AU269" s="301" t="s">
        <v>1</v>
      </c>
      <c r="AV269" s="297" t="str" cm="1">
        <f t="array" aca="1" ref="AV269" ca="1">INDIRECT("'"&amp;$C269&amp;"'!"&amp;"$"&amp;$D269&amp;$AT$1&amp;"")</f>
        <v>PMS</v>
      </c>
      <c r="AW269" s="300" t="s">
        <v>1</v>
      </c>
      <c r="AX269" s="301" t="s">
        <v>1</v>
      </c>
      <c r="AY269" s="387">
        <v>68.5</v>
      </c>
      <c r="AZ269" s="303" cm="1">
        <f t="array" aca="1" ref="AZ269" ca="1">INDIRECT("'"&amp;$C269&amp;"'!"&amp;"$"&amp;$D269&amp;$AY$1&amp;"")</f>
        <v>4.3</v>
      </c>
      <c r="BA269" s="300">
        <v>0.96</v>
      </c>
      <c r="BB269" s="298">
        <v>1.25</v>
      </c>
      <c r="BC269" s="299" cm="1">
        <f t="array" aca="1" ref="BC269" ca="1">INDIRECT("'"&amp;$C269&amp;"'!"&amp;"$"&amp;$D269&amp;$BC$1&amp;"")</f>
        <v>1.1399999999999999</v>
      </c>
      <c r="BD269" s="300"/>
      <c r="BE269" s="300">
        <v>0.99</v>
      </c>
      <c r="BF269" s="298">
        <v>0.13</v>
      </c>
      <c r="BG269" s="299" cm="1">
        <f t="array" aca="1" ref="BG269" ca="1">INDIRECT("'"&amp;$C269&amp;"'!"&amp;"$"&amp;$D269&amp;$BG$1&amp;"")</f>
        <v>0.71</v>
      </c>
      <c r="BH269" s="300"/>
      <c r="BI269" s="300">
        <v>0.95</v>
      </c>
      <c r="BJ269" s="298">
        <v>0.22</v>
      </c>
      <c r="BK269" s="299" cm="1">
        <f t="array" aca="1" ref="BK269" ca="1">INDIRECT("'"&amp;$C269&amp;"'!"&amp;"$"&amp;$D269&amp;$BK$1&amp;"")</f>
        <v>3.41</v>
      </c>
      <c r="BL269" s="300"/>
      <c r="BM269" s="300">
        <v>0.95</v>
      </c>
      <c r="BN269" s="298">
        <v>1.1000000000000001</v>
      </c>
    </row>
    <row r="270" spans="1:66" ht="15.75" thickBot="1" x14ac:dyDescent="0.25">
      <c r="A270" s="368">
        <v>45699</v>
      </c>
      <c r="B270" s="365">
        <v>0.625</v>
      </c>
      <c r="C270" s="383">
        <v>11</v>
      </c>
      <c r="D270" s="319" t="s">
        <v>125</v>
      </c>
      <c r="E270" s="290">
        <v>14.2</v>
      </c>
      <c r="F270" s="291">
        <v>69.569999999999993</v>
      </c>
      <c r="G270" s="292" cm="1">
        <f t="array" aca="1" ref="G270" ca="1">INDIRECT("'"&amp;$C270&amp;"'!"&amp;"$"&amp;$D270&amp;$E$1&amp;"")</f>
        <v>6.6</v>
      </c>
      <c r="H270" s="293">
        <v>0.96</v>
      </c>
      <c r="I270" s="291">
        <v>1.97</v>
      </c>
      <c r="J270" s="292" cm="1">
        <f t="array" aca="1" ref="J270" ca="1">INDIRECT("'"&amp;$C270&amp;"'!"&amp;"$"&amp;$D270&amp;$J$1&amp;"")</f>
        <v>6.6</v>
      </c>
      <c r="K270" s="293"/>
      <c r="L270" s="293">
        <v>0.96</v>
      </c>
      <c r="M270" s="291">
        <v>1.97</v>
      </c>
      <c r="N270" s="292" cm="1">
        <f t="array" aca="1" ref="N270" ca="1">INDIRECT("'"&amp;$C270&amp;"'!"&amp;"$"&amp;$D270&amp;$N$1&amp;"")</f>
        <v>6.6</v>
      </c>
      <c r="O270" s="293"/>
      <c r="P270" s="293">
        <v>0.96</v>
      </c>
      <c r="Q270" s="291">
        <v>1.97</v>
      </c>
      <c r="R270" s="292" cm="1">
        <f t="array" aca="1" ref="R270" ca="1">INDIRECT("'"&amp;$C270&amp;"'!"&amp;"$"&amp;$D270&amp;$R$1&amp;"")</f>
        <v>6.6</v>
      </c>
      <c r="S270" s="293"/>
      <c r="T270" s="293">
        <v>0.96</v>
      </c>
      <c r="U270" s="291">
        <v>1.97</v>
      </c>
      <c r="V270" s="292" t="str" cm="1">
        <f t="array" aca="1" ref="V270" ca="1">INDIRECT("'"&amp;$C270&amp;"'!"&amp;"$"&amp;$D270&amp;$V$1&amp;"")</f>
        <v>CMS</v>
      </c>
      <c r="W270" s="293" t="s">
        <v>1</v>
      </c>
      <c r="X270" s="293" t="s">
        <v>1</v>
      </c>
      <c r="Y270" s="294" t="s">
        <v>1</v>
      </c>
      <c r="Z270" s="386" cm="1">
        <f t="array" aca="1" ref="Z270" ca="1">INDIRECT("'"&amp;$C270&amp;"'!"&amp;"$"&amp;$D270&amp;$Z$1&amp;"")</f>
        <v>0</v>
      </c>
      <c r="AA270" s="292" t="s">
        <v>1</v>
      </c>
      <c r="AB270" s="293" t="s">
        <v>1</v>
      </c>
      <c r="AC270" s="291" t="s">
        <v>1</v>
      </c>
      <c r="AD270" s="292" cm="1">
        <f t="array" aca="1" ref="AD270" ca="1">INDIRECT("'"&amp;$C270&amp;"'!"&amp;"$"&amp;$D270&amp;$AD$1&amp;"")</f>
        <v>3.3</v>
      </c>
      <c r="AE270" s="293">
        <f>3.8*3.54</f>
        <v>13.452</v>
      </c>
      <c r="AF270" s="293">
        <v>0.94</v>
      </c>
      <c r="AG270" s="291">
        <v>1.22</v>
      </c>
      <c r="AH270" s="290" cm="1">
        <f t="array" aca="1" ref="AH270" ca="1">INDIRECT("'"&amp;$C270&amp;"'!"&amp;"$"&amp;$D270&amp;$AH$1&amp;"")</f>
        <v>3.8</v>
      </c>
      <c r="AI270" s="293">
        <v>13.56</v>
      </c>
      <c r="AJ270" s="293">
        <v>0.98</v>
      </c>
      <c r="AK270" s="291">
        <v>0.60799999999999998</v>
      </c>
      <c r="AL270" s="290">
        <v>11.8</v>
      </c>
      <c r="AM270" s="294">
        <v>69.400000000000006</v>
      </c>
      <c r="AN270" s="290" cm="1">
        <f t="array" aca="1" ref="AN270" ca="1">INDIRECT("'"&amp;$C270&amp;"'!"&amp;"$"&amp;$D270&amp;$AL$1&amp;"")</f>
        <v>3.8</v>
      </c>
      <c r="AO270" s="293">
        <v>0.94</v>
      </c>
      <c r="AP270" s="291">
        <v>1.3</v>
      </c>
      <c r="AQ270" s="292" cm="1">
        <f t="array" aca="1" ref="AQ270" ca="1">INDIRECT("'"&amp;$C270&amp;"'!"&amp;"$"&amp;$D270&amp;$AQ$1&amp;"")</f>
        <v>3.8</v>
      </c>
      <c r="AR270" s="293">
        <v>0.94</v>
      </c>
      <c r="AS270" s="291">
        <v>1.3</v>
      </c>
      <c r="AT270" s="290">
        <v>0</v>
      </c>
      <c r="AU270" s="294">
        <v>68.8</v>
      </c>
      <c r="AV270" s="290" t="str" cm="1">
        <f t="array" aca="1" ref="AV270" ca="1">INDIRECT("'"&amp;$C270&amp;"'!"&amp;"$"&amp;$D270&amp;$AT$1&amp;"")</f>
        <v>PMS</v>
      </c>
      <c r="AW270" s="293" t="s">
        <v>1</v>
      </c>
      <c r="AX270" s="294" t="s">
        <v>1</v>
      </c>
      <c r="AY270" s="386">
        <v>68.3</v>
      </c>
      <c r="AZ270" s="296" cm="1">
        <f t="array" aca="1" ref="AZ270" ca="1">INDIRECT("'"&amp;$C270&amp;"'!"&amp;"$"&amp;$D270&amp;$AY$1&amp;"")</f>
        <v>0.8</v>
      </c>
      <c r="BA270" s="293">
        <v>0.96</v>
      </c>
      <c r="BB270" s="291">
        <v>0.23</v>
      </c>
      <c r="BC270" s="292" cm="1">
        <f t="array" aca="1" ref="BC270" ca="1">INDIRECT("'"&amp;$C270&amp;"'!"&amp;"$"&amp;$D270&amp;$BC$1&amp;"")</f>
        <v>1.1499999999999999</v>
      </c>
      <c r="BD270" s="293"/>
      <c r="BE270" s="293">
        <v>0.99</v>
      </c>
      <c r="BF270" s="291">
        <v>0.13</v>
      </c>
      <c r="BG270" s="292" cm="1">
        <f t="array" aca="1" ref="BG270" ca="1">INDIRECT("'"&amp;$C270&amp;"'!"&amp;"$"&amp;$D270&amp;$BG$1&amp;"")</f>
        <v>0.72</v>
      </c>
      <c r="BH270" s="293"/>
      <c r="BI270" s="293">
        <v>0.95</v>
      </c>
      <c r="BJ270" s="291">
        <v>0.22</v>
      </c>
      <c r="BK270" s="292" cm="1">
        <f t="array" aca="1" ref="BK270" ca="1">INDIRECT("'"&amp;$C270&amp;"'!"&amp;"$"&amp;$D270&amp;$BK$1&amp;"")</f>
        <v>4.2</v>
      </c>
      <c r="BL270" s="293"/>
      <c r="BM270" s="293">
        <v>0.95</v>
      </c>
      <c r="BN270" s="291">
        <v>1.38</v>
      </c>
    </row>
    <row r="271" spans="1:66" ht="15.75" thickBot="1" x14ac:dyDescent="0.25">
      <c r="A271" s="368">
        <v>45699</v>
      </c>
      <c r="B271" s="365">
        <v>0.66666666666666696</v>
      </c>
      <c r="C271" s="383">
        <v>11</v>
      </c>
      <c r="D271" s="319" t="s">
        <v>126</v>
      </c>
      <c r="E271" s="297">
        <v>14.1</v>
      </c>
      <c r="F271" s="298">
        <v>69.75</v>
      </c>
      <c r="G271" s="299" cm="1">
        <f t="array" aca="1" ref="G271" ca="1">INDIRECT("'"&amp;$C271&amp;"'!"&amp;"$"&amp;$D271&amp;$E$1&amp;"")</f>
        <v>6.6</v>
      </c>
      <c r="H271" s="300">
        <v>0.96</v>
      </c>
      <c r="I271" s="298">
        <v>1.89</v>
      </c>
      <c r="J271" s="299" cm="1">
        <f t="array" aca="1" ref="J271" ca="1">INDIRECT("'"&amp;$C271&amp;"'!"&amp;"$"&amp;$D271&amp;$J$1&amp;"")</f>
        <v>6.6</v>
      </c>
      <c r="K271" s="300"/>
      <c r="L271" s="300">
        <v>0.96</v>
      </c>
      <c r="M271" s="298">
        <v>1.89</v>
      </c>
      <c r="N271" s="299" cm="1">
        <f t="array" aca="1" ref="N271" ca="1">INDIRECT("'"&amp;$C271&amp;"'!"&amp;"$"&amp;$D271&amp;$N$1&amp;"")</f>
        <v>6.6</v>
      </c>
      <c r="O271" s="300"/>
      <c r="P271" s="300">
        <v>0.96</v>
      </c>
      <c r="Q271" s="298">
        <v>1.89</v>
      </c>
      <c r="R271" s="299" cm="1">
        <f t="array" aca="1" ref="R271" ca="1">INDIRECT("'"&amp;$C271&amp;"'!"&amp;"$"&amp;$D271&amp;$R$1&amp;"")</f>
        <v>6.6</v>
      </c>
      <c r="S271" s="300"/>
      <c r="T271" s="300">
        <v>0.96</v>
      </c>
      <c r="U271" s="298">
        <v>1.89</v>
      </c>
      <c r="V271" s="299" t="str" cm="1">
        <f t="array" aca="1" ref="V271" ca="1">INDIRECT("'"&amp;$C271&amp;"'!"&amp;"$"&amp;$D271&amp;$V$1&amp;"")</f>
        <v>CMS</v>
      </c>
      <c r="W271" s="300" t="s">
        <v>1</v>
      </c>
      <c r="X271" s="300" t="s">
        <v>1</v>
      </c>
      <c r="Y271" s="301" t="s">
        <v>1</v>
      </c>
      <c r="Z271" s="387" cm="1">
        <f t="array" aca="1" ref="Z271" ca="1">INDIRECT("'"&amp;$C271&amp;"'!"&amp;"$"&amp;$D271&amp;$Z$1&amp;"")</f>
        <v>0</v>
      </c>
      <c r="AA271" s="299" t="s">
        <v>1</v>
      </c>
      <c r="AB271" s="300" t="s">
        <v>1</v>
      </c>
      <c r="AC271" s="298" t="s">
        <v>1</v>
      </c>
      <c r="AD271" s="299" cm="1">
        <f t="array" aca="1" ref="AD271" ca="1">INDIRECT("'"&amp;$C271&amp;"'!"&amp;"$"&amp;$D271&amp;$AD$1&amp;"")</f>
        <v>3.3</v>
      </c>
      <c r="AE271" s="300">
        <f>3.8*3.54</f>
        <v>13.452</v>
      </c>
      <c r="AF271" s="300">
        <v>0.94</v>
      </c>
      <c r="AG271" s="298">
        <v>1.24</v>
      </c>
      <c r="AH271" s="297" cm="1">
        <f t="array" aca="1" ref="AH271" ca="1">INDIRECT("'"&amp;$C271&amp;"'!"&amp;"$"&amp;$D271&amp;$AH$1&amp;"")</f>
        <v>3.8</v>
      </c>
      <c r="AI271" s="300">
        <v>13.6</v>
      </c>
      <c r="AJ271" s="300">
        <v>0.98</v>
      </c>
      <c r="AK271" s="298">
        <v>0.51300000000000001</v>
      </c>
      <c r="AL271" s="297">
        <v>11.8</v>
      </c>
      <c r="AM271" s="301">
        <v>69.400000000000006</v>
      </c>
      <c r="AN271" s="297" cm="1">
        <f t="array" aca="1" ref="AN271" ca="1">INDIRECT("'"&amp;$C271&amp;"'!"&amp;"$"&amp;$D271&amp;$AL$1&amp;"")</f>
        <v>3.8</v>
      </c>
      <c r="AO271" s="300">
        <v>0.95</v>
      </c>
      <c r="AP271" s="298">
        <v>1.2</v>
      </c>
      <c r="AQ271" s="299" cm="1">
        <f t="array" aca="1" ref="AQ271" ca="1">INDIRECT("'"&amp;$C271&amp;"'!"&amp;"$"&amp;$D271&amp;$AQ$1&amp;"")</f>
        <v>3.8</v>
      </c>
      <c r="AR271" s="300">
        <v>0.95</v>
      </c>
      <c r="AS271" s="298">
        <v>1.2</v>
      </c>
      <c r="AT271" s="297">
        <v>0</v>
      </c>
      <c r="AU271" s="301">
        <v>68.8</v>
      </c>
      <c r="AV271" s="297" t="str" cm="1">
        <f t="array" aca="1" ref="AV271" ca="1">INDIRECT("'"&amp;$C271&amp;"'!"&amp;"$"&amp;$D271&amp;$AT$1&amp;"")</f>
        <v>PMS</v>
      </c>
      <c r="AW271" s="300" t="s">
        <v>1</v>
      </c>
      <c r="AX271" s="301" t="s">
        <v>1</v>
      </c>
      <c r="AY271" s="387">
        <v>68.5</v>
      </c>
      <c r="AZ271" s="303" cm="1">
        <f t="array" aca="1" ref="AZ271" ca="1">INDIRECT("'"&amp;$C271&amp;"'!"&amp;"$"&amp;$D271&amp;$AY$1&amp;"")</f>
        <v>1.8</v>
      </c>
      <c r="BA271" s="300">
        <v>0.96</v>
      </c>
      <c r="BB271" s="298">
        <v>0.52</v>
      </c>
      <c r="BC271" s="299" cm="1">
        <f t="array" aca="1" ref="BC271" ca="1">INDIRECT("'"&amp;$C271&amp;"'!"&amp;"$"&amp;$D271&amp;$BC$1&amp;"")</f>
        <v>1.08</v>
      </c>
      <c r="BD271" s="300"/>
      <c r="BE271" s="300">
        <v>0.99</v>
      </c>
      <c r="BF271" s="298">
        <v>0.12</v>
      </c>
      <c r="BG271" s="299" cm="1">
        <f t="array" aca="1" ref="BG271" ca="1">INDIRECT("'"&amp;$C271&amp;"'!"&amp;"$"&amp;$D271&amp;$BG$1&amp;"")</f>
        <v>0.76</v>
      </c>
      <c r="BH271" s="300"/>
      <c r="BI271" s="300">
        <v>0.96</v>
      </c>
      <c r="BJ271" s="298">
        <v>0.23</v>
      </c>
      <c r="BK271" s="299" cm="1">
        <f t="array" aca="1" ref="BK271" ca="1">INDIRECT("'"&amp;$C271&amp;"'!"&amp;"$"&amp;$D271&amp;$BK$1&amp;"")</f>
        <v>4.26</v>
      </c>
      <c r="BL271" s="300"/>
      <c r="BM271" s="300">
        <v>0.95</v>
      </c>
      <c r="BN271" s="298">
        <v>1.4</v>
      </c>
    </row>
    <row r="272" spans="1:66" ht="15.75" thickBot="1" x14ac:dyDescent="0.25">
      <c r="A272" s="368">
        <v>45699</v>
      </c>
      <c r="B272" s="365">
        <v>0.70833333333333404</v>
      </c>
      <c r="C272" s="383">
        <v>11</v>
      </c>
      <c r="D272" s="319" t="s">
        <v>127</v>
      </c>
      <c r="E272" s="290">
        <v>14.1</v>
      </c>
      <c r="F272" s="291">
        <v>70</v>
      </c>
      <c r="G272" s="292" cm="1">
        <f t="array" aca="1" ref="G272" ca="1">INDIRECT("'"&amp;$C272&amp;"'!"&amp;"$"&amp;$D272&amp;$E$1&amp;"")</f>
        <v>6.6</v>
      </c>
      <c r="H272" s="293">
        <v>0.96</v>
      </c>
      <c r="I272" s="291">
        <v>1.93</v>
      </c>
      <c r="J272" s="292" cm="1">
        <f t="array" aca="1" ref="J272" ca="1">INDIRECT("'"&amp;$C272&amp;"'!"&amp;"$"&amp;$D272&amp;$J$1&amp;"")</f>
        <v>6.6</v>
      </c>
      <c r="K272" s="293"/>
      <c r="L272" s="293">
        <v>0.96</v>
      </c>
      <c r="M272" s="291">
        <v>1.93</v>
      </c>
      <c r="N272" s="292" cm="1">
        <f t="array" aca="1" ref="N272" ca="1">INDIRECT("'"&amp;$C272&amp;"'!"&amp;"$"&amp;$D272&amp;$N$1&amp;"")</f>
        <v>6.6</v>
      </c>
      <c r="O272" s="293"/>
      <c r="P272" s="293">
        <v>0.96</v>
      </c>
      <c r="Q272" s="291">
        <v>1.93</v>
      </c>
      <c r="R272" s="292" cm="1">
        <f t="array" aca="1" ref="R272" ca="1">INDIRECT("'"&amp;$C272&amp;"'!"&amp;"$"&amp;$D272&amp;$R$1&amp;"")</f>
        <v>6.6</v>
      </c>
      <c r="S272" s="293"/>
      <c r="T272" s="293">
        <v>0.96</v>
      </c>
      <c r="U272" s="291">
        <v>1.93</v>
      </c>
      <c r="V272" s="292" t="str" cm="1">
        <f t="array" aca="1" ref="V272" ca="1">INDIRECT("'"&amp;$C272&amp;"'!"&amp;"$"&amp;$D272&amp;$V$1&amp;"")</f>
        <v>CMS</v>
      </c>
      <c r="W272" s="293" t="s">
        <v>1</v>
      </c>
      <c r="X272" s="293" t="s">
        <v>1</v>
      </c>
      <c r="Y272" s="294" t="s">
        <v>1</v>
      </c>
      <c r="Z272" s="386" cm="1">
        <f t="array" aca="1" ref="Z272" ca="1">INDIRECT("'"&amp;$C272&amp;"'!"&amp;"$"&amp;$D272&amp;$Z$1&amp;"")</f>
        <v>0</v>
      </c>
      <c r="AA272" s="292" t="s">
        <v>1</v>
      </c>
      <c r="AB272" s="293" t="s">
        <v>1</v>
      </c>
      <c r="AC272" s="291" t="s">
        <v>1</v>
      </c>
      <c r="AD272" s="292" cm="1">
        <f t="array" aca="1" ref="AD272" ca="1">INDIRECT("'"&amp;$C272&amp;"'!"&amp;"$"&amp;$D272&amp;$AD$1&amp;"")</f>
        <v>3.3</v>
      </c>
      <c r="AE272" s="293">
        <f>3.8*3.56</f>
        <v>13.527999999999999</v>
      </c>
      <c r="AF272" s="293">
        <v>0.94</v>
      </c>
      <c r="AG272" s="291">
        <v>1.21</v>
      </c>
      <c r="AH272" s="290" cm="1">
        <f t="array" aca="1" ref="AH272" ca="1">INDIRECT("'"&amp;$C272&amp;"'!"&amp;"$"&amp;$D272&amp;$AH$1&amp;"")</f>
        <v>3.8</v>
      </c>
      <c r="AI272" s="293">
        <v>13.64</v>
      </c>
      <c r="AJ272" s="293">
        <v>0.99</v>
      </c>
      <c r="AK272" s="291">
        <v>0.29699999999999999</v>
      </c>
      <c r="AL272" s="290">
        <v>11.8</v>
      </c>
      <c r="AM272" s="294">
        <v>69.400000000000006</v>
      </c>
      <c r="AN272" s="290" cm="1">
        <f t="array" aca="1" ref="AN272" ca="1">INDIRECT("'"&amp;$C272&amp;"'!"&amp;"$"&amp;$D272&amp;$AL$1&amp;"")</f>
        <v>3.8</v>
      </c>
      <c r="AO272" s="293">
        <v>0.95</v>
      </c>
      <c r="AP272" s="291">
        <v>1.1000000000000001</v>
      </c>
      <c r="AQ272" s="292" cm="1">
        <f t="array" aca="1" ref="AQ272" ca="1">INDIRECT("'"&amp;$C272&amp;"'!"&amp;"$"&amp;$D272&amp;$AQ$1&amp;"")</f>
        <v>3.8</v>
      </c>
      <c r="AR272" s="293">
        <v>0.95</v>
      </c>
      <c r="AS272" s="291">
        <v>1.1000000000000001</v>
      </c>
      <c r="AT272" s="290">
        <v>0</v>
      </c>
      <c r="AU272" s="294">
        <v>69.3</v>
      </c>
      <c r="AV272" s="290" t="str" cm="1">
        <f t="array" aca="1" ref="AV272" ca="1">INDIRECT("'"&amp;$C272&amp;"'!"&amp;"$"&amp;$D272&amp;$AT$1&amp;"")</f>
        <v>PMS</v>
      </c>
      <c r="AW272" s="293" t="s">
        <v>1</v>
      </c>
      <c r="AX272" s="294" t="s">
        <v>1</v>
      </c>
      <c r="AY272" s="386">
        <v>68.599999999999994</v>
      </c>
      <c r="AZ272" s="296" cm="1">
        <f t="array" aca="1" ref="AZ272" ca="1">INDIRECT("'"&amp;$C272&amp;"'!"&amp;"$"&amp;$D272&amp;$AY$1&amp;"")</f>
        <v>1.8</v>
      </c>
      <c r="BA272" s="293">
        <v>0.96</v>
      </c>
      <c r="BB272" s="291">
        <v>0.52</v>
      </c>
      <c r="BC272" s="292" cm="1">
        <f t="array" aca="1" ref="BC272" ca="1">INDIRECT("'"&amp;$C272&amp;"'!"&amp;"$"&amp;$D272&amp;$BC$1&amp;"")</f>
        <v>1.1599999999999999</v>
      </c>
      <c r="BD272" s="293"/>
      <c r="BE272" s="293">
        <v>0.99</v>
      </c>
      <c r="BF272" s="291">
        <v>0.13</v>
      </c>
      <c r="BG272" s="292" cm="1">
        <f t="array" aca="1" ref="BG272" ca="1">INDIRECT("'"&amp;$C272&amp;"'!"&amp;"$"&amp;$D272&amp;$BG$1&amp;"")</f>
        <v>0.77</v>
      </c>
      <c r="BH272" s="293"/>
      <c r="BI272" s="293">
        <v>0.96</v>
      </c>
      <c r="BJ272" s="291">
        <v>0.23</v>
      </c>
      <c r="BK272" s="292" cm="1">
        <f t="array" aca="1" ref="BK272" ca="1">INDIRECT("'"&amp;$C272&amp;"'!"&amp;"$"&amp;$D272&amp;$BK$1&amp;"")</f>
        <v>3.6200000000000006</v>
      </c>
      <c r="BL272" s="293"/>
      <c r="BM272" s="293">
        <v>0.95</v>
      </c>
      <c r="BN272" s="291">
        <v>1.18</v>
      </c>
    </row>
    <row r="273" spans="1:66" ht="15.75" thickBot="1" x14ac:dyDescent="0.25">
      <c r="A273" s="368">
        <v>45699</v>
      </c>
      <c r="B273" s="365">
        <v>0.750000000000001</v>
      </c>
      <c r="C273" s="383">
        <v>11</v>
      </c>
      <c r="D273" s="319" t="s">
        <v>128</v>
      </c>
      <c r="E273" s="297">
        <v>14.1</v>
      </c>
      <c r="F273" s="298">
        <v>70.260000000000005</v>
      </c>
      <c r="G273" s="299" cm="1">
        <f t="array" aca="1" ref="G273" ca="1">INDIRECT("'"&amp;$C273&amp;"'!"&amp;"$"&amp;$D273&amp;$E$1&amp;"")</f>
        <v>6.6</v>
      </c>
      <c r="H273" s="300">
        <v>0.97</v>
      </c>
      <c r="I273" s="298">
        <v>1.62</v>
      </c>
      <c r="J273" s="299" cm="1">
        <f t="array" aca="1" ref="J273" ca="1">INDIRECT("'"&amp;$C273&amp;"'!"&amp;"$"&amp;$D273&amp;$J$1&amp;"")</f>
        <v>6.6</v>
      </c>
      <c r="K273" s="300"/>
      <c r="L273" s="300">
        <v>0.97</v>
      </c>
      <c r="M273" s="298">
        <v>1.62</v>
      </c>
      <c r="N273" s="299" cm="1">
        <f t="array" aca="1" ref="N273" ca="1">INDIRECT("'"&amp;$C273&amp;"'!"&amp;"$"&amp;$D273&amp;$N$1&amp;"")</f>
        <v>6.6</v>
      </c>
      <c r="O273" s="300"/>
      <c r="P273" s="300">
        <v>0.97</v>
      </c>
      <c r="Q273" s="298">
        <v>1.62</v>
      </c>
      <c r="R273" s="299" cm="1">
        <f t="array" aca="1" ref="R273" ca="1">INDIRECT("'"&amp;$C273&amp;"'!"&amp;"$"&amp;$D273&amp;$R$1&amp;"")</f>
        <v>6.6</v>
      </c>
      <c r="S273" s="300"/>
      <c r="T273" s="300">
        <v>0.97</v>
      </c>
      <c r="U273" s="298">
        <v>1.62</v>
      </c>
      <c r="V273" s="299" t="str" cm="1">
        <f t="array" aca="1" ref="V273" ca="1">INDIRECT("'"&amp;$C273&amp;"'!"&amp;"$"&amp;$D273&amp;$V$1&amp;"")</f>
        <v>CMS</v>
      </c>
      <c r="W273" s="300" t="s">
        <v>1</v>
      </c>
      <c r="X273" s="300" t="s">
        <v>1</v>
      </c>
      <c r="Y273" s="301" t="s">
        <v>1</v>
      </c>
      <c r="Z273" s="387" cm="1">
        <f t="array" aca="1" ref="Z273" ca="1">INDIRECT("'"&amp;$C273&amp;"'!"&amp;"$"&amp;$D273&amp;$Z$1&amp;"")</f>
        <v>0</v>
      </c>
      <c r="AA273" s="299" t="s">
        <v>1</v>
      </c>
      <c r="AB273" s="300" t="s">
        <v>1</v>
      </c>
      <c r="AC273" s="298" t="s">
        <v>1</v>
      </c>
      <c r="AD273" s="299" cm="1">
        <f t="array" aca="1" ref="AD273" ca="1">INDIRECT("'"&amp;$C273&amp;"'!"&amp;"$"&amp;$D273&amp;$AD$1&amp;"")</f>
        <v>3.3</v>
      </c>
      <c r="AE273" s="300">
        <f>3.8*3.58</f>
        <v>13.603999999999999</v>
      </c>
      <c r="AF273" s="300">
        <v>0.95</v>
      </c>
      <c r="AG273" s="298">
        <v>1.08</v>
      </c>
      <c r="AH273" s="297" cm="1">
        <f t="array" aca="1" ref="AH273" ca="1">INDIRECT("'"&amp;$C273&amp;"'!"&amp;"$"&amp;$D273&amp;$AH$1&amp;"")</f>
        <v>3.8</v>
      </c>
      <c r="AI273" s="300">
        <v>13.72</v>
      </c>
      <c r="AJ273" s="300">
        <v>0.99</v>
      </c>
      <c r="AK273" s="298">
        <v>0.17</v>
      </c>
      <c r="AL273" s="297">
        <v>11.8</v>
      </c>
      <c r="AM273" s="301">
        <v>70.3</v>
      </c>
      <c r="AN273" s="297" cm="1">
        <f t="array" aca="1" ref="AN273" ca="1">INDIRECT("'"&amp;$C273&amp;"'!"&amp;"$"&amp;$D273&amp;$AL$1&amp;"")</f>
        <v>3.8</v>
      </c>
      <c r="AO273" s="300">
        <v>0.98</v>
      </c>
      <c r="AP273" s="298">
        <v>0.86</v>
      </c>
      <c r="AQ273" s="299" cm="1">
        <f t="array" aca="1" ref="AQ273" ca="1">INDIRECT("'"&amp;$C273&amp;"'!"&amp;"$"&amp;$D273&amp;$AQ$1&amp;"")</f>
        <v>3.8</v>
      </c>
      <c r="AR273" s="300">
        <v>0.98</v>
      </c>
      <c r="AS273" s="298">
        <v>0.86</v>
      </c>
      <c r="AT273" s="297">
        <v>0</v>
      </c>
      <c r="AU273" s="301">
        <v>69.900000000000006</v>
      </c>
      <c r="AV273" s="297" t="str" cm="1">
        <f t="array" aca="1" ref="AV273" ca="1">INDIRECT("'"&amp;$C273&amp;"'!"&amp;"$"&amp;$D273&amp;$AT$1&amp;"")</f>
        <v>PMS</v>
      </c>
      <c r="AW273" s="300" t="s">
        <v>1</v>
      </c>
      <c r="AX273" s="301" t="s">
        <v>1</v>
      </c>
      <c r="AY273" s="387">
        <v>69</v>
      </c>
      <c r="AZ273" s="303" cm="1">
        <f t="array" aca="1" ref="AZ273" ca="1">INDIRECT("'"&amp;$C273&amp;"'!"&amp;"$"&amp;$D273&amp;$AY$1&amp;"")</f>
        <v>3.5999999999999996</v>
      </c>
      <c r="BA273" s="300">
        <v>0.96</v>
      </c>
      <c r="BB273" s="298">
        <v>1</v>
      </c>
      <c r="BC273" s="299" cm="1">
        <f t="array" aca="1" ref="BC273" ca="1">INDIRECT("'"&amp;$C273&amp;"'!"&amp;"$"&amp;$D273&amp;$BC$1&amp;"")</f>
        <v>1.08</v>
      </c>
      <c r="BD273" s="300"/>
      <c r="BE273" s="300">
        <v>0.99</v>
      </c>
      <c r="BF273" s="298">
        <v>0.09</v>
      </c>
      <c r="BG273" s="299" cm="1">
        <f t="array" aca="1" ref="BG273" ca="1">INDIRECT("'"&amp;$C273&amp;"'!"&amp;"$"&amp;$D273&amp;$BG$1&amp;"")</f>
        <v>0.76</v>
      </c>
      <c r="BH273" s="300"/>
      <c r="BI273" s="300">
        <v>0.96</v>
      </c>
      <c r="BJ273" s="298">
        <v>0.21</v>
      </c>
      <c r="BK273" s="299" cm="1">
        <f t="array" aca="1" ref="BK273" ca="1">INDIRECT("'"&amp;$C273&amp;"'!"&amp;"$"&amp;$D273&amp;$BK$1&amp;"")</f>
        <v>3.99</v>
      </c>
      <c r="BL273" s="300"/>
      <c r="BM273" s="300">
        <v>0.95</v>
      </c>
      <c r="BN273" s="298">
        <v>1.3</v>
      </c>
    </row>
    <row r="274" spans="1:66" ht="15.75" thickBot="1" x14ac:dyDescent="0.25">
      <c r="A274" s="368">
        <v>45699</v>
      </c>
      <c r="B274" s="365">
        <v>0.79166666666666696</v>
      </c>
      <c r="C274" s="383">
        <v>11</v>
      </c>
      <c r="D274" s="319" t="s">
        <v>129</v>
      </c>
      <c r="E274" s="290">
        <v>14.1</v>
      </c>
      <c r="F274" s="291">
        <v>70.069999999999993</v>
      </c>
      <c r="G274" s="292" cm="1">
        <f t="array" aca="1" ref="G274" ca="1">INDIRECT("'"&amp;$C274&amp;"'!"&amp;"$"&amp;$D274&amp;$E$1&amp;"")</f>
        <v>6.5</v>
      </c>
      <c r="H274" s="293">
        <v>0.97</v>
      </c>
      <c r="I274" s="291">
        <v>1.54</v>
      </c>
      <c r="J274" s="292" cm="1">
        <f t="array" aca="1" ref="J274" ca="1">INDIRECT("'"&amp;$C274&amp;"'!"&amp;"$"&amp;$D274&amp;$J$1&amp;"")</f>
        <v>6.5</v>
      </c>
      <c r="K274" s="304"/>
      <c r="L274" s="293">
        <v>0.97</v>
      </c>
      <c r="M274" s="291">
        <v>1.54</v>
      </c>
      <c r="N274" s="292" cm="1">
        <f t="array" aca="1" ref="N274" ca="1">INDIRECT("'"&amp;$C274&amp;"'!"&amp;"$"&amp;$D274&amp;$N$1&amp;"")</f>
        <v>6.5</v>
      </c>
      <c r="O274" s="293"/>
      <c r="P274" s="293">
        <v>0.97</v>
      </c>
      <c r="Q274" s="291">
        <v>1.54</v>
      </c>
      <c r="R274" s="292" cm="1">
        <f t="array" aca="1" ref="R274" ca="1">INDIRECT("'"&amp;$C274&amp;"'!"&amp;"$"&amp;$D274&amp;$R$1&amp;"")</f>
        <v>6.5</v>
      </c>
      <c r="S274" s="293"/>
      <c r="T274" s="293">
        <v>0.97</v>
      </c>
      <c r="U274" s="291">
        <v>1.54</v>
      </c>
      <c r="V274" s="292" t="str" cm="1">
        <f t="array" aca="1" ref="V274" ca="1">INDIRECT("'"&amp;$C274&amp;"'!"&amp;"$"&amp;$D274&amp;$V$1&amp;"")</f>
        <v>CMS</v>
      </c>
      <c r="W274" s="293" t="s">
        <v>1</v>
      </c>
      <c r="X274" s="293" t="s">
        <v>1</v>
      </c>
      <c r="Y274" s="294" t="s">
        <v>1</v>
      </c>
      <c r="Z274" s="386" cm="1">
        <f t="array" aca="1" ref="Z274" ca="1">INDIRECT("'"&amp;$C274&amp;"'!"&amp;"$"&amp;$D274&amp;$Z$1&amp;"")</f>
        <v>0</v>
      </c>
      <c r="AA274" s="292" t="s">
        <v>1</v>
      </c>
      <c r="AB274" s="293" t="s">
        <v>1</v>
      </c>
      <c r="AC274" s="291" t="s">
        <v>1</v>
      </c>
      <c r="AD274" s="292" cm="1">
        <f t="array" aca="1" ref="AD274" ca="1">INDIRECT("'"&amp;$C274&amp;"'!"&amp;"$"&amp;$D274&amp;$AD$1&amp;"")</f>
        <v>3.3</v>
      </c>
      <c r="AE274" s="293">
        <f>3.8*3.56</f>
        <v>13.527999999999999</v>
      </c>
      <c r="AF274" s="293">
        <v>0.95</v>
      </c>
      <c r="AG274" s="291">
        <v>1.1200000000000001</v>
      </c>
      <c r="AH274" s="290" cm="1">
        <f t="array" aca="1" ref="AH274" ca="1">INDIRECT("'"&amp;$C274&amp;"'!"&amp;"$"&amp;$D274&amp;$AH$1&amp;"")</f>
        <v>3.8</v>
      </c>
      <c r="AI274" s="293">
        <v>13.68</v>
      </c>
      <c r="AJ274" s="293">
        <v>0.98</v>
      </c>
      <c r="AK274" s="291">
        <v>0.496</v>
      </c>
      <c r="AL274" s="290">
        <v>11.8</v>
      </c>
      <c r="AM274" s="294">
        <v>70.3</v>
      </c>
      <c r="AN274" s="290" cm="1">
        <f t="array" aca="1" ref="AN274" ca="1">INDIRECT("'"&amp;$C274&amp;"'!"&amp;"$"&amp;$D274&amp;$AL$1&amp;"")</f>
        <v>3.8</v>
      </c>
      <c r="AO274" s="293">
        <v>0.98</v>
      </c>
      <c r="AP274" s="291">
        <v>0.89</v>
      </c>
      <c r="AQ274" s="292" cm="1">
        <f t="array" aca="1" ref="AQ274" ca="1">INDIRECT("'"&amp;$C274&amp;"'!"&amp;"$"&amp;$D274&amp;$AQ$1&amp;"")</f>
        <v>3.8</v>
      </c>
      <c r="AR274" s="293">
        <v>0.98</v>
      </c>
      <c r="AS274" s="291">
        <v>0.89</v>
      </c>
      <c r="AT274" s="290">
        <v>0</v>
      </c>
      <c r="AU274" s="294">
        <v>69.400000000000006</v>
      </c>
      <c r="AV274" s="290" t="str" cm="1">
        <f t="array" aca="1" ref="AV274" ca="1">INDIRECT("'"&amp;$C274&amp;"'!"&amp;"$"&amp;$D274&amp;$AT$1&amp;"")</f>
        <v>PMS</v>
      </c>
      <c r="AW274" s="293" t="s">
        <v>1</v>
      </c>
      <c r="AX274" s="294" t="s">
        <v>1</v>
      </c>
      <c r="AY274" s="386">
        <v>68.900000000000006</v>
      </c>
      <c r="AZ274" s="296" cm="1">
        <f t="array" aca="1" ref="AZ274" ca="1">INDIRECT("'"&amp;$C274&amp;"'!"&amp;"$"&amp;$D274&amp;$AY$1&amp;"")</f>
        <v>4.5</v>
      </c>
      <c r="BA274" s="293">
        <v>0.98</v>
      </c>
      <c r="BB274" s="291">
        <v>0.91</v>
      </c>
      <c r="BC274" s="292" cm="1">
        <f t="array" aca="1" ref="BC274" ca="1">INDIRECT("'"&amp;$C274&amp;"'!"&amp;"$"&amp;$D274&amp;$BC$1&amp;"")</f>
        <v>1.32</v>
      </c>
      <c r="BD274" s="293"/>
      <c r="BE274" s="293">
        <v>1</v>
      </c>
      <c r="BF274" s="291">
        <v>0.11</v>
      </c>
      <c r="BG274" s="292" cm="1">
        <f t="array" aca="1" ref="BG274" ca="1">INDIRECT("'"&amp;$C274&amp;"'!"&amp;"$"&amp;$D274&amp;$BG$1&amp;"")</f>
        <v>0.85</v>
      </c>
      <c r="BH274" s="293"/>
      <c r="BI274" s="293">
        <v>0.97</v>
      </c>
      <c r="BJ274" s="291">
        <v>0.21</v>
      </c>
      <c r="BK274" s="292" cm="1">
        <f t="array" aca="1" ref="BK274" ca="1">INDIRECT("'"&amp;$C274&amp;"'!"&amp;"$"&amp;$D274&amp;$BK$1&amp;"")</f>
        <v>4.4000000000000004</v>
      </c>
      <c r="BL274" s="293"/>
      <c r="BM274" s="293">
        <v>0.95</v>
      </c>
      <c r="BN274" s="291">
        <v>1.4</v>
      </c>
    </row>
    <row r="275" spans="1:66" ht="15.75" thickBot="1" x14ac:dyDescent="0.25">
      <c r="A275" s="368">
        <v>45699</v>
      </c>
      <c r="B275" s="365">
        <v>0.83333333333333337</v>
      </c>
      <c r="C275" s="383">
        <v>11</v>
      </c>
      <c r="D275" s="319" t="s">
        <v>130</v>
      </c>
      <c r="E275" s="297">
        <v>14.2</v>
      </c>
      <c r="F275" s="298">
        <v>70.08</v>
      </c>
      <c r="G275" s="299" cm="1">
        <f t="array" aca="1" ref="G275" ca="1">INDIRECT("'"&amp;$C275&amp;"'!"&amp;"$"&amp;$D275&amp;$E$1&amp;"")</f>
        <v>6.6</v>
      </c>
      <c r="H275" s="300">
        <v>0.99</v>
      </c>
      <c r="I275" s="298">
        <v>1.08</v>
      </c>
      <c r="J275" s="299" cm="1">
        <f t="array" aca="1" ref="J275" ca="1">INDIRECT("'"&amp;$C275&amp;"'!"&amp;"$"&amp;$D275&amp;$J$1&amp;"")</f>
        <v>6.6</v>
      </c>
      <c r="K275" s="300"/>
      <c r="L275" s="300">
        <v>0.99</v>
      </c>
      <c r="M275" s="298">
        <v>1.08</v>
      </c>
      <c r="N275" s="299" cm="1">
        <f t="array" aca="1" ref="N275" ca="1">INDIRECT("'"&amp;$C275&amp;"'!"&amp;"$"&amp;$D275&amp;$N$1&amp;"")</f>
        <v>6.6</v>
      </c>
      <c r="O275" s="300"/>
      <c r="P275" s="300">
        <v>0.99</v>
      </c>
      <c r="Q275" s="298">
        <v>1.08</v>
      </c>
      <c r="R275" s="299" t="str" cm="1">
        <f t="array" aca="1" ref="R275" ca="1">INDIRECT("'"&amp;$C275&amp;"'!"&amp;"$"&amp;$D275&amp;$R$1&amp;"")</f>
        <v>PMS</v>
      </c>
      <c r="S275" s="300"/>
      <c r="T275" s="300" t="s">
        <v>1</v>
      </c>
      <c r="U275" s="298" t="s">
        <v>1</v>
      </c>
      <c r="V275" s="299" t="str" cm="1">
        <f t="array" aca="1" ref="V275" ca="1">INDIRECT("'"&amp;$C275&amp;"'!"&amp;"$"&amp;$D275&amp;$V$1&amp;"")</f>
        <v>CMS</v>
      </c>
      <c r="W275" s="300" t="s">
        <v>1</v>
      </c>
      <c r="X275" s="300" t="s">
        <v>1</v>
      </c>
      <c r="Y275" s="301" t="s">
        <v>1</v>
      </c>
      <c r="Z275" s="387" cm="1">
        <f t="array" aca="1" ref="Z275" ca="1">INDIRECT("'"&amp;$C275&amp;"'!"&amp;"$"&amp;$D275&amp;$Z$1&amp;"")</f>
        <v>0</v>
      </c>
      <c r="AA275" s="299" t="s">
        <v>1</v>
      </c>
      <c r="AB275" s="300" t="s">
        <v>1</v>
      </c>
      <c r="AC275" s="298" t="s">
        <v>1</v>
      </c>
      <c r="AD275" s="299" cm="1">
        <f t="array" aca="1" ref="AD275" ca="1">INDIRECT("'"&amp;$C275&amp;"'!"&amp;"$"&amp;$D275&amp;$AD$1&amp;"")</f>
        <v>3.3</v>
      </c>
      <c r="AE275" s="300">
        <f>3.8*3.56</f>
        <v>13.527999999999999</v>
      </c>
      <c r="AF275" s="300">
        <v>0.99</v>
      </c>
      <c r="AG275" s="298">
        <v>0.79</v>
      </c>
      <c r="AH275" s="297" cm="1">
        <f t="array" aca="1" ref="AH275" ca="1">INDIRECT("'"&amp;$C275&amp;"'!"&amp;"$"&amp;$D275&amp;$AH$1&amp;"")</f>
        <v>3.8</v>
      </c>
      <c r="AI275" s="300">
        <v>13.76</v>
      </c>
      <c r="AJ275" s="300">
        <v>0.99</v>
      </c>
      <c r="AK275" s="298">
        <v>0.41299999999999998</v>
      </c>
      <c r="AL275" s="297">
        <v>11.8</v>
      </c>
      <c r="AM275" s="301">
        <v>70.3</v>
      </c>
      <c r="AN275" s="297" cm="1">
        <f t="array" aca="1" ref="AN275" ca="1">INDIRECT("'"&amp;$C275&amp;"'!"&amp;"$"&amp;$D275&amp;$AL$1&amp;"")</f>
        <v>4</v>
      </c>
      <c r="AO275" s="300">
        <v>0.98</v>
      </c>
      <c r="AP275" s="298">
        <v>0.68</v>
      </c>
      <c r="AQ275" s="299" cm="1">
        <f t="array" aca="1" ref="AQ275" ca="1">INDIRECT("'"&amp;$C275&amp;"'!"&amp;"$"&amp;$D275&amp;$AQ$1&amp;"")</f>
        <v>4</v>
      </c>
      <c r="AR275" s="300">
        <v>0.98</v>
      </c>
      <c r="AS275" s="298">
        <v>0.68</v>
      </c>
      <c r="AT275" s="297">
        <v>0</v>
      </c>
      <c r="AU275" s="301">
        <v>69.8</v>
      </c>
      <c r="AV275" s="297" t="str" cm="1">
        <f t="array" aca="1" ref="AV275" ca="1">INDIRECT("'"&amp;$C275&amp;"'!"&amp;"$"&amp;$D275&amp;$AT$1&amp;"")</f>
        <v>PMS</v>
      </c>
      <c r="AW275" s="300" t="s">
        <v>1</v>
      </c>
      <c r="AX275" s="301" t="s">
        <v>1</v>
      </c>
      <c r="AY275" s="387">
        <v>69.400000000000006</v>
      </c>
      <c r="AZ275" s="303" cm="1">
        <f t="array" aca="1" ref="AZ275" ca="1">INDIRECT("'"&amp;$C275&amp;"'!"&amp;"$"&amp;$D275&amp;$AY$1&amp;"")</f>
        <v>8.4999999999999982</v>
      </c>
      <c r="BA275" s="300">
        <v>0.97</v>
      </c>
      <c r="BB275" s="298">
        <v>2.1</v>
      </c>
      <c r="BC275" s="299" cm="1">
        <f t="array" aca="1" ref="BC275" ca="1">INDIRECT("'"&amp;$C275&amp;"'!"&amp;"$"&amp;$D275&amp;$BC$1&amp;"")</f>
        <v>1.25</v>
      </c>
      <c r="BD275" s="300"/>
      <c r="BE275" s="300">
        <v>1</v>
      </c>
      <c r="BF275" s="298">
        <v>0.1</v>
      </c>
      <c r="BG275" s="299" cm="1">
        <f t="array" aca="1" ref="BG275" ca="1">INDIRECT("'"&amp;$C275&amp;"'!"&amp;"$"&amp;$D275&amp;$BG$1&amp;"")</f>
        <v>0.86</v>
      </c>
      <c r="BH275" s="300"/>
      <c r="BI275" s="300">
        <v>0.97</v>
      </c>
      <c r="BJ275" s="298">
        <v>0.81</v>
      </c>
      <c r="BK275" s="299" cm="1">
        <f t="array" aca="1" ref="BK275" ca="1">INDIRECT("'"&amp;$C275&amp;"'!"&amp;"$"&amp;$D275&amp;$BK$1&amp;"")</f>
        <v>4.74</v>
      </c>
      <c r="BL275" s="300"/>
      <c r="BM275" s="300">
        <v>0.95</v>
      </c>
      <c r="BN275" s="298">
        <v>1.55</v>
      </c>
    </row>
    <row r="276" spans="1:66" ht="15.75" thickBot="1" x14ac:dyDescent="0.25">
      <c r="A276" s="368">
        <v>45699</v>
      </c>
      <c r="B276" s="365">
        <v>0.875000000000001</v>
      </c>
      <c r="C276" s="383">
        <v>11</v>
      </c>
      <c r="D276" s="319" t="s">
        <v>131</v>
      </c>
      <c r="E276" s="290">
        <v>14.3</v>
      </c>
      <c r="F276" s="291">
        <v>70.63</v>
      </c>
      <c r="G276" s="292" cm="1">
        <f t="array" aca="1" ref="G276" ca="1">INDIRECT("'"&amp;$C276&amp;"'!"&amp;"$"&amp;$D276&amp;$E$1&amp;"")</f>
        <v>6.5</v>
      </c>
      <c r="H276" s="293">
        <v>0.99</v>
      </c>
      <c r="I276" s="291">
        <v>1.41</v>
      </c>
      <c r="J276" s="292" cm="1">
        <f t="array" aca="1" ref="J276" ca="1">INDIRECT("'"&amp;$C276&amp;"'!"&amp;"$"&amp;$D276&amp;$J$1&amp;"")</f>
        <v>6.5</v>
      </c>
      <c r="K276" s="293"/>
      <c r="L276" s="293">
        <v>0.99</v>
      </c>
      <c r="M276" s="291">
        <v>1.41</v>
      </c>
      <c r="N276" s="292" cm="1">
        <f t="array" aca="1" ref="N276" ca="1">INDIRECT("'"&amp;$C276&amp;"'!"&amp;"$"&amp;$D276&amp;$N$1&amp;"")</f>
        <v>6.5</v>
      </c>
      <c r="O276" s="293"/>
      <c r="P276" s="293">
        <v>0.99</v>
      </c>
      <c r="Q276" s="291">
        <v>1.41</v>
      </c>
      <c r="R276" s="292" t="str" cm="1">
        <f t="array" aca="1" ref="R276" ca="1">INDIRECT("'"&amp;$C276&amp;"'!"&amp;"$"&amp;$D276&amp;$R$1&amp;"")</f>
        <v>PMS</v>
      </c>
      <c r="S276" s="293"/>
      <c r="T276" s="293" t="s">
        <v>1</v>
      </c>
      <c r="U276" s="291" t="s">
        <v>1</v>
      </c>
      <c r="V276" s="292" t="str" cm="1">
        <f t="array" aca="1" ref="V276" ca="1">INDIRECT("'"&amp;$C276&amp;"'!"&amp;"$"&amp;$D276&amp;$V$1&amp;"")</f>
        <v>CMS</v>
      </c>
      <c r="W276" s="293" t="s">
        <v>1</v>
      </c>
      <c r="X276" s="293" t="s">
        <v>1</v>
      </c>
      <c r="Y276" s="294" t="s">
        <v>1</v>
      </c>
      <c r="Z276" s="386" cm="1">
        <f t="array" aca="1" ref="Z276" ca="1">INDIRECT("'"&amp;$C276&amp;"'!"&amp;"$"&amp;$D276&amp;$Z$1&amp;"")</f>
        <v>0</v>
      </c>
      <c r="AA276" s="292" t="s">
        <v>1</v>
      </c>
      <c r="AB276" s="293" t="s">
        <v>1</v>
      </c>
      <c r="AC276" s="291" t="s">
        <v>1</v>
      </c>
      <c r="AD276" s="292" cm="1">
        <f t="array" aca="1" ref="AD276" ca="1">INDIRECT("'"&amp;$C276&amp;"'!"&amp;"$"&amp;$D276&amp;$AD$1&amp;"")</f>
        <v>3.3</v>
      </c>
      <c r="AE276" s="293">
        <f>3.8*3.61</f>
        <v>13.717999999999998</v>
      </c>
      <c r="AF276" s="293">
        <v>0.98</v>
      </c>
      <c r="AG276" s="291">
        <v>0.61</v>
      </c>
      <c r="AH276" s="290" cm="1">
        <f t="array" aca="1" ref="AH276" ca="1">INDIRECT("'"&amp;$C276&amp;"'!"&amp;"$"&amp;$D276&amp;$AH$1&amp;"")</f>
        <v>3.8</v>
      </c>
      <c r="AI276" s="293">
        <v>13.76</v>
      </c>
      <c r="AJ276" s="293">
        <v>0.99</v>
      </c>
      <c r="AK276" s="291">
        <v>0.46100000000000002</v>
      </c>
      <c r="AL276" s="290">
        <v>11.8</v>
      </c>
      <c r="AM276" s="294">
        <v>70.2</v>
      </c>
      <c r="AN276" s="290" cm="1">
        <f t="array" aca="1" ref="AN276" ca="1">INDIRECT("'"&amp;$C276&amp;"'!"&amp;"$"&amp;$D276&amp;$AL$1&amp;"")</f>
        <v>4.0999999999999996</v>
      </c>
      <c r="AO276" s="293">
        <v>0.98</v>
      </c>
      <c r="AP276" s="291">
        <v>0.74</v>
      </c>
      <c r="AQ276" s="292" cm="1">
        <f t="array" aca="1" ref="AQ276" ca="1">INDIRECT("'"&amp;$C276&amp;"'!"&amp;"$"&amp;$D276&amp;$AQ$1&amp;"")</f>
        <v>4.0999999999999996</v>
      </c>
      <c r="AR276" s="293">
        <v>0.98</v>
      </c>
      <c r="AS276" s="291">
        <v>0.74</v>
      </c>
      <c r="AT276" s="290">
        <v>0</v>
      </c>
      <c r="AU276" s="294">
        <v>69.8</v>
      </c>
      <c r="AV276" s="290" t="str" cm="1">
        <f t="array" aca="1" ref="AV276" ca="1">INDIRECT("'"&amp;$C276&amp;"'!"&amp;"$"&amp;$D276&amp;$AT$1&amp;"")</f>
        <v>PMS</v>
      </c>
      <c r="AW276" s="293" t="s">
        <v>1</v>
      </c>
      <c r="AX276" s="294" t="s">
        <v>1</v>
      </c>
      <c r="AY276" s="386">
        <v>69.099999999999994</v>
      </c>
      <c r="AZ276" s="296" cm="1">
        <f t="array" aca="1" ref="AZ276" ca="1">INDIRECT("'"&amp;$C276&amp;"'!"&amp;"$"&amp;$D276&amp;$AY$1&amp;"")</f>
        <v>5.1999999999999993</v>
      </c>
      <c r="BA276" s="293">
        <v>0.97</v>
      </c>
      <c r="BB276" s="291">
        <v>1.2</v>
      </c>
      <c r="BC276" s="292" cm="1">
        <f t="array" aca="1" ref="BC276" ca="1">INDIRECT("'"&amp;$C276&amp;"'!"&amp;"$"&amp;$D276&amp;$BC$1&amp;"")</f>
        <v>1.1499999999999999</v>
      </c>
      <c r="BD276" s="293"/>
      <c r="BE276" s="293">
        <v>1</v>
      </c>
      <c r="BF276" s="291">
        <v>0.98</v>
      </c>
      <c r="BG276" s="292" cm="1">
        <f t="array" aca="1" ref="BG276" ca="1">INDIRECT("'"&amp;$C276&amp;"'!"&amp;"$"&amp;$D276&amp;$BG$1&amp;"")</f>
        <v>0.82</v>
      </c>
      <c r="BH276" s="293"/>
      <c r="BI276" s="293">
        <v>0.97</v>
      </c>
      <c r="BJ276" s="291">
        <v>0.21</v>
      </c>
      <c r="BK276" s="292" cm="1">
        <f t="array" aca="1" ref="BK276" ca="1">INDIRECT("'"&amp;$C276&amp;"'!"&amp;"$"&amp;$D276&amp;$BK$1&amp;"")</f>
        <v>4.41</v>
      </c>
      <c r="BL276" s="293"/>
      <c r="BM276" s="293">
        <v>0.95</v>
      </c>
      <c r="BN276" s="291">
        <v>0.21</v>
      </c>
    </row>
    <row r="277" spans="1:66" ht="15.75" thickBot="1" x14ac:dyDescent="0.25">
      <c r="A277" s="368">
        <v>45699</v>
      </c>
      <c r="B277" s="365">
        <v>0.91666666666666696</v>
      </c>
      <c r="C277" s="383">
        <v>11</v>
      </c>
      <c r="D277" s="319" t="s">
        <v>132</v>
      </c>
      <c r="E277" s="297">
        <v>14.2</v>
      </c>
      <c r="F277" s="298">
        <v>70.5</v>
      </c>
      <c r="G277" s="299" cm="1">
        <f t="array" aca="1" ref="G277" ca="1">INDIRECT("'"&amp;$C277&amp;"'!"&amp;"$"&amp;$D277&amp;$E$1&amp;"")</f>
        <v>6.7</v>
      </c>
      <c r="H277" s="300">
        <v>0.99</v>
      </c>
      <c r="I277" s="298">
        <v>1.0900000000000001</v>
      </c>
      <c r="J277" s="299" cm="1">
        <f t="array" aca="1" ref="J277" ca="1">INDIRECT("'"&amp;$C277&amp;"'!"&amp;"$"&amp;$D277&amp;$J$1&amp;"")</f>
        <v>6.7</v>
      </c>
      <c r="K277" s="300"/>
      <c r="L277" s="300">
        <v>0.99</v>
      </c>
      <c r="M277" s="298">
        <v>1.0900000000000001</v>
      </c>
      <c r="N277" s="299" cm="1">
        <f t="array" aca="1" ref="N277" ca="1">INDIRECT("'"&amp;$C277&amp;"'!"&amp;"$"&amp;$D277&amp;$N$1&amp;"")</f>
        <v>6.7</v>
      </c>
      <c r="O277" s="300"/>
      <c r="P277" s="300">
        <v>0.99</v>
      </c>
      <c r="Q277" s="298">
        <v>1.0900000000000001</v>
      </c>
      <c r="R277" s="299" t="str" cm="1">
        <f t="array" aca="1" ref="R277" ca="1">INDIRECT("'"&amp;$C277&amp;"'!"&amp;"$"&amp;$D277&amp;$R$1&amp;"")</f>
        <v>PMS</v>
      </c>
      <c r="S277" s="300"/>
      <c r="T277" s="300" t="s">
        <v>1</v>
      </c>
      <c r="U277" s="298" t="s">
        <v>1</v>
      </c>
      <c r="V277" s="299" t="str" cm="1">
        <f t="array" aca="1" ref="V277" ca="1">INDIRECT("'"&amp;$C277&amp;"'!"&amp;"$"&amp;$D277&amp;$V$1&amp;"")</f>
        <v>CMS</v>
      </c>
      <c r="W277" s="300" t="s">
        <v>1</v>
      </c>
      <c r="X277" s="300" t="s">
        <v>1</v>
      </c>
      <c r="Y277" s="301" t="s">
        <v>1</v>
      </c>
      <c r="Z277" s="387" cm="1">
        <f t="array" aca="1" ref="Z277" ca="1">INDIRECT("'"&amp;$C277&amp;"'!"&amp;"$"&amp;$D277&amp;$Z$1&amp;"")</f>
        <v>0</v>
      </c>
      <c r="AA277" s="299" t="s">
        <v>1</v>
      </c>
      <c r="AB277" s="300" t="s">
        <v>1</v>
      </c>
      <c r="AC277" s="298" t="s">
        <v>1</v>
      </c>
      <c r="AD277" s="299" cm="1">
        <f t="array" aca="1" ref="AD277" ca="1">INDIRECT("'"&amp;$C277&amp;"'!"&amp;"$"&amp;$D277&amp;$AD$1&amp;"")</f>
        <v>3.3</v>
      </c>
      <c r="AE277" s="300">
        <f>3.8*3.61</f>
        <v>13.717999999999998</v>
      </c>
      <c r="AF277" s="300">
        <v>0.98</v>
      </c>
      <c r="AG277" s="298">
        <v>0.6</v>
      </c>
      <c r="AH277" s="297" cm="1">
        <f t="array" aca="1" ref="AH277" ca="1">INDIRECT("'"&amp;$C277&amp;"'!"&amp;"$"&amp;$D277&amp;$AH$1&amp;"")</f>
        <v>3.8</v>
      </c>
      <c r="AI277" s="300">
        <v>13.84</v>
      </c>
      <c r="AJ277" s="300">
        <v>0.99</v>
      </c>
      <c r="AK277" s="298">
        <v>0.38700000000000001</v>
      </c>
      <c r="AL277" s="297">
        <v>11.9</v>
      </c>
      <c r="AM277" s="301">
        <v>70.5</v>
      </c>
      <c r="AN277" s="297" cm="1">
        <f t="array" aca="1" ref="AN277" ca="1">INDIRECT("'"&amp;$C277&amp;"'!"&amp;"$"&amp;$D277&amp;$AL$1&amp;"")</f>
        <v>3.8</v>
      </c>
      <c r="AO277" s="300">
        <v>0.98</v>
      </c>
      <c r="AP277" s="298">
        <v>0.4</v>
      </c>
      <c r="AQ277" s="299" cm="1">
        <f t="array" aca="1" ref="AQ277" ca="1">INDIRECT("'"&amp;$C277&amp;"'!"&amp;"$"&amp;$D277&amp;$AQ$1&amp;"")</f>
        <v>3.8</v>
      </c>
      <c r="AR277" s="300">
        <v>0.98</v>
      </c>
      <c r="AS277" s="298">
        <v>0.63</v>
      </c>
      <c r="AT277" s="297">
        <v>0</v>
      </c>
      <c r="AU277" s="301">
        <v>69.900000000000006</v>
      </c>
      <c r="AV277" s="297" t="str" cm="1">
        <f t="array" aca="1" ref="AV277" ca="1">INDIRECT("'"&amp;$C277&amp;"'!"&amp;"$"&amp;$D277&amp;$AT$1&amp;"")</f>
        <v>PMS</v>
      </c>
      <c r="AW277" s="300" t="s">
        <v>1</v>
      </c>
      <c r="AX277" s="301" t="s">
        <v>1</v>
      </c>
      <c r="AY277" s="388">
        <v>69.5</v>
      </c>
      <c r="AZ277" s="303" cm="1">
        <f t="array" aca="1" ref="AZ277" ca="1">INDIRECT("'"&amp;$C277&amp;"'!"&amp;"$"&amp;$D277&amp;$AY$1&amp;"")</f>
        <v>1.8</v>
      </c>
      <c r="BA277" s="300">
        <v>0.98</v>
      </c>
      <c r="BB277" s="298">
        <v>0.37</v>
      </c>
      <c r="BC277" s="299" cm="1">
        <f t="array" aca="1" ref="BC277" ca="1">INDIRECT("'"&amp;$C277&amp;"'!"&amp;"$"&amp;$D277&amp;$BC$1&amp;"")</f>
        <v>1</v>
      </c>
      <c r="BD277" s="300"/>
      <c r="BE277" s="300">
        <v>1</v>
      </c>
      <c r="BF277" s="298">
        <v>7.0000000000000007E-2</v>
      </c>
      <c r="BG277" s="299" cm="1">
        <f t="array" aca="1" ref="BG277" ca="1">INDIRECT("'"&amp;$C277&amp;"'!"&amp;"$"&amp;$D277&amp;$BG$1&amp;"")</f>
        <v>0.82</v>
      </c>
      <c r="BH277" s="300"/>
      <c r="BI277" s="300">
        <v>0.97</v>
      </c>
      <c r="BJ277" s="298">
        <v>0.21099999999999999</v>
      </c>
      <c r="BK277" s="299" cm="1">
        <f t="array" aca="1" ref="BK277" ca="1">INDIRECT("'"&amp;$C277&amp;"'!"&amp;"$"&amp;$D277&amp;$BK$1&amp;"")</f>
        <v>3.9999999999999996</v>
      </c>
      <c r="BL277" s="300"/>
      <c r="BM277" s="300">
        <v>0.95</v>
      </c>
      <c r="BN277" s="298">
        <v>1.3</v>
      </c>
    </row>
    <row r="278" spans="1:66" ht="15.75" thickBot="1" x14ac:dyDescent="0.25">
      <c r="A278" s="369">
        <v>45699</v>
      </c>
      <c r="B278" s="366">
        <v>0.95833333333333404</v>
      </c>
      <c r="C278" s="383">
        <v>11</v>
      </c>
      <c r="D278" s="321" t="s">
        <v>133</v>
      </c>
      <c r="E278" s="305">
        <v>14.3</v>
      </c>
      <c r="F278" s="306">
        <v>70.849999999999994</v>
      </c>
      <c r="G278" s="307" cm="1">
        <f t="array" aca="1" ref="G278" ca="1">INDIRECT("'"&amp;$C278&amp;"'!"&amp;"$"&amp;$D278&amp;$E$1&amp;"")</f>
        <v>6.7</v>
      </c>
      <c r="H278" s="308">
        <v>0.99</v>
      </c>
      <c r="I278" s="306">
        <v>1.0900000000000001</v>
      </c>
      <c r="J278" s="307" cm="1">
        <f t="array" aca="1" ref="J278" ca="1">INDIRECT("'"&amp;$C278&amp;"'!"&amp;"$"&amp;$D278&amp;$J$1&amp;"")</f>
        <v>6.7</v>
      </c>
      <c r="K278" s="308"/>
      <c r="L278" s="308">
        <v>0.99</v>
      </c>
      <c r="M278" s="306">
        <v>1.0900000000000001</v>
      </c>
      <c r="N278" s="307" cm="1">
        <f t="array" aca="1" ref="N278" ca="1">INDIRECT("'"&amp;$C278&amp;"'!"&amp;"$"&amp;$D278&amp;$N$1&amp;"")</f>
        <v>6.7</v>
      </c>
      <c r="O278" s="308"/>
      <c r="P278" s="308">
        <v>0.99</v>
      </c>
      <c r="Q278" s="306">
        <v>1.0900000000000001</v>
      </c>
      <c r="R278" s="307" t="str" cm="1">
        <f t="array" aca="1" ref="R278" ca="1">INDIRECT("'"&amp;$C278&amp;"'!"&amp;"$"&amp;$D278&amp;$R$1&amp;"")</f>
        <v>PMS</v>
      </c>
      <c r="S278" s="308"/>
      <c r="T278" s="308" t="s">
        <v>1</v>
      </c>
      <c r="U278" s="306" t="s">
        <v>1</v>
      </c>
      <c r="V278" s="307" t="str" cm="1">
        <f t="array" aca="1" ref="V278" ca="1">INDIRECT("'"&amp;$C278&amp;"'!"&amp;"$"&amp;$D278&amp;$V$1&amp;"")</f>
        <v>CMS</v>
      </c>
      <c r="W278" s="308" t="s">
        <v>1</v>
      </c>
      <c r="X278" s="308" t="s">
        <v>1</v>
      </c>
      <c r="Y278" s="309" t="s">
        <v>1</v>
      </c>
      <c r="Z278" s="389" cm="1">
        <f t="array" aca="1" ref="Z278" ca="1">INDIRECT("'"&amp;$C278&amp;"'!"&amp;"$"&amp;$D278&amp;$Z$1&amp;"")</f>
        <v>0</v>
      </c>
      <c r="AA278" s="307" t="s">
        <v>1</v>
      </c>
      <c r="AB278" s="308" t="s">
        <v>1</v>
      </c>
      <c r="AC278" s="306" t="s">
        <v>1</v>
      </c>
      <c r="AD278" s="307" cm="1">
        <f t="array" aca="1" ref="AD278" ca="1">INDIRECT("'"&amp;$C278&amp;"'!"&amp;"$"&amp;$D278&amp;$AD$1&amp;"")</f>
        <v>3.3</v>
      </c>
      <c r="AE278" s="308">
        <f>3.8*3.62</f>
        <v>13.756</v>
      </c>
      <c r="AF278" s="308">
        <v>0.99</v>
      </c>
      <c r="AG278" s="309">
        <v>0.39</v>
      </c>
      <c r="AH278" s="305" cm="1">
        <f t="array" aca="1" ref="AH278" ca="1">INDIRECT("'"&amp;$C278&amp;"'!"&amp;"$"&amp;$D278&amp;$AH$1&amp;"")</f>
        <v>3.8</v>
      </c>
      <c r="AI278" s="308">
        <v>13.88</v>
      </c>
      <c r="AJ278" s="308">
        <v>0.99</v>
      </c>
      <c r="AK278" s="306">
        <v>0.28399999999999997</v>
      </c>
      <c r="AL278" s="305">
        <v>11.9</v>
      </c>
      <c r="AM278" s="309">
        <v>70.7</v>
      </c>
      <c r="AN278" s="305" cm="1">
        <f t="array" aca="1" ref="AN278" ca="1">INDIRECT("'"&amp;$C278&amp;"'!"&amp;"$"&amp;$D278&amp;$AL$1&amp;"")</f>
        <v>3.7</v>
      </c>
      <c r="AO278" s="308">
        <v>0.99</v>
      </c>
      <c r="AP278" s="306">
        <v>0.57999999999999996</v>
      </c>
      <c r="AQ278" s="307" cm="1">
        <f t="array" aca="1" ref="AQ278" ca="1">INDIRECT("'"&amp;$C278&amp;"'!"&amp;"$"&amp;$D278&amp;$AQ$1&amp;"")</f>
        <v>3.7</v>
      </c>
      <c r="AR278" s="308">
        <v>0.99</v>
      </c>
      <c r="AS278" s="306">
        <v>0.51</v>
      </c>
      <c r="AT278" s="305">
        <v>0</v>
      </c>
      <c r="AU278" s="309">
        <v>70.5</v>
      </c>
      <c r="AV278" s="305" t="str" cm="1">
        <f t="array" aca="1" ref="AV278" ca="1">INDIRECT("'"&amp;$C278&amp;"'!"&amp;"$"&amp;$D278&amp;$AT$1&amp;"")</f>
        <v>PMS</v>
      </c>
      <c r="AW278" s="308" t="s">
        <v>1</v>
      </c>
      <c r="AX278" s="306" t="s">
        <v>1</v>
      </c>
      <c r="AY278" s="384">
        <v>69.7</v>
      </c>
      <c r="AZ278" s="310" cm="1">
        <f t="array" aca="1" ref="AZ278" ca="1">INDIRECT("'"&amp;$C278&amp;"'!"&amp;"$"&amp;$D278&amp;$AY$1&amp;"")</f>
        <v>0</v>
      </c>
      <c r="BA278" s="308" t="s">
        <v>1</v>
      </c>
      <c r="BB278" s="306" t="s">
        <v>1</v>
      </c>
      <c r="BC278" s="307" cm="1">
        <f t="array" aca="1" ref="BC278" ca="1">INDIRECT("'"&amp;$C278&amp;"'!"&amp;"$"&amp;$D278&amp;$BC$1&amp;"")</f>
        <v>0.89</v>
      </c>
      <c r="BD278" s="308"/>
      <c r="BE278" s="308">
        <v>1</v>
      </c>
      <c r="BF278" s="306">
        <v>0.06</v>
      </c>
      <c r="BG278" s="307" cm="1">
        <f t="array" aca="1" ref="BG278" ca="1">INDIRECT("'"&amp;$C278&amp;"'!"&amp;"$"&amp;$D278&amp;$BG$1&amp;"")</f>
        <v>0.83</v>
      </c>
      <c r="BH278" s="308"/>
      <c r="BI278" s="308">
        <v>0.97</v>
      </c>
      <c r="BJ278" s="306">
        <v>0.21</v>
      </c>
      <c r="BK278" s="307" cm="1">
        <f t="array" aca="1" ref="BK278" ca="1">INDIRECT("'"&amp;$C278&amp;"'!"&amp;"$"&amp;$D278&amp;$BK$1&amp;"")</f>
        <v>3.46</v>
      </c>
      <c r="BL278" s="308"/>
      <c r="BM278" s="308">
        <v>0.95</v>
      </c>
      <c r="BN278" s="306">
        <v>1.1000000000000001</v>
      </c>
    </row>
    <row r="279" spans="1:66" ht="15" thickBot="1" x14ac:dyDescent="0.25"/>
    <row r="280" spans="1:66" ht="15.75" thickBot="1" x14ac:dyDescent="0.25">
      <c r="A280" s="367">
        <v>45700</v>
      </c>
      <c r="B280" s="364">
        <v>0</v>
      </c>
      <c r="C280" s="383">
        <v>12</v>
      </c>
      <c r="D280" s="316" t="s">
        <v>110</v>
      </c>
      <c r="E280" s="284">
        <v>14.3</v>
      </c>
      <c r="F280" s="285">
        <v>71.099999999999994</v>
      </c>
      <c r="G280" s="286" cm="1">
        <f t="array" aca="1" ref="G280" ca="1">INDIRECT("'"&amp;$C280&amp;"'!"&amp;"$"&amp;$D280&amp;$E$1&amp;"")</f>
        <v>6</v>
      </c>
      <c r="H280" s="287">
        <v>0.99</v>
      </c>
      <c r="I280" s="285">
        <v>0.82</v>
      </c>
      <c r="J280" s="286" cm="1">
        <f t="array" aca="1" ref="J280" ca="1">INDIRECT("'"&amp;$C280&amp;"'!"&amp;"$"&amp;$D280&amp;$J$1&amp;"")</f>
        <v>7.2</v>
      </c>
      <c r="K280" s="287"/>
      <c r="L280" s="287">
        <v>1</v>
      </c>
      <c r="M280" s="285">
        <v>0</v>
      </c>
      <c r="N280" s="286" cm="1">
        <f t="array" aca="1" ref="N280" ca="1">INDIRECT("'"&amp;$C280&amp;"'!"&amp;"$"&amp;$D280&amp;$N$1&amp;"")</f>
        <v>6</v>
      </c>
      <c r="O280" s="287"/>
      <c r="P280" s="287">
        <v>0.99</v>
      </c>
      <c r="Q280" s="285">
        <v>0.82</v>
      </c>
      <c r="R280" s="286" t="str" cm="1">
        <f t="array" aca="1" ref="R280" ca="1">INDIRECT("'"&amp;$C280&amp;"'!"&amp;"$"&amp;$D280&amp;$R$1&amp;"")</f>
        <v>PMS</v>
      </c>
      <c r="S280" s="287"/>
      <c r="T280" s="287" t="s">
        <v>1</v>
      </c>
      <c r="U280" s="285" t="s">
        <v>1</v>
      </c>
      <c r="V280" s="286" t="str" cm="1">
        <f t="array" aca="1" ref="V280" ca="1">INDIRECT("'"&amp;$C280&amp;"'!"&amp;"$"&amp;$D280&amp;$V$1&amp;"")</f>
        <v>CMS</v>
      </c>
      <c r="W280" s="287" t="s">
        <v>1</v>
      </c>
      <c r="X280" s="287" t="s">
        <v>1</v>
      </c>
      <c r="Y280" s="288" t="s">
        <v>1</v>
      </c>
      <c r="Z280" s="385" cm="1">
        <f t="array" aca="1" ref="Z280" ca="1">INDIRECT("'"&amp;$C280&amp;"'!"&amp;"$"&amp;$D280&amp;$Z$1&amp;"")</f>
        <v>0</v>
      </c>
      <c r="AA280" s="286" t="s">
        <v>1</v>
      </c>
      <c r="AB280" s="287" t="s">
        <v>1</v>
      </c>
      <c r="AC280" s="285" t="s">
        <v>1</v>
      </c>
      <c r="AD280" s="286" cm="1">
        <f t="array" aca="1" ref="AD280" ca="1">INDIRECT("'"&amp;$C280&amp;"'!"&amp;"$"&amp;$D280&amp;$AD$1&amp;"")</f>
        <v>3.3</v>
      </c>
      <c r="AE280" s="287">
        <f>3.8*3.64</f>
        <v>13.831999999999999</v>
      </c>
      <c r="AF280" s="287">
        <v>0.99</v>
      </c>
      <c r="AG280" s="285">
        <v>0.37</v>
      </c>
      <c r="AH280" s="284" cm="1">
        <f t="array" aca="1" ref="AH280" ca="1">INDIRECT("'"&amp;$C280&amp;"'!"&amp;"$"&amp;$D280&amp;$AH$1&amp;"")</f>
        <v>3</v>
      </c>
      <c r="AI280" s="287">
        <v>13.88</v>
      </c>
      <c r="AJ280" s="287">
        <v>0.99</v>
      </c>
      <c r="AK280" s="285">
        <v>0.22800000000000001</v>
      </c>
      <c r="AL280" s="284">
        <v>11.9</v>
      </c>
      <c r="AM280" s="288">
        <v>70.900000000000006</v>
      </c>
      <c r="AN280" s="284" cm="1">
        <f t="array" aca="1" ref="AN280" ca="1">INDIRECT("'"&amp;$C280&amp;"'!"&amp;"$"&amp;$D280&amp;$AL$1&amp;"")</f>
        <v>3</v>
      </c>
      <c r="AO280" s="287">
        <v>0.99</v>
      </c>
      <c r="AP280" s="285">
        <v>0.28999999999999998</v>
      </c>
      <c r="AQ280" s="286" cm="1">
        <f t="array" aca="1" ref="AQ280" ca="1">INDIRECT("'"&amp;$C280&amp;"'!"&amp;"$"&amp;$D280&amp;$AQ$1&amp;"")</f>
        <v>3</v>
      </c>
      <c r="AR280" s="287">
        <v>0.99</v>
      </c>
      <c r="AS280" s="285">
        <v>0.36</v>
      </c>
      <c r="AT280" s="284">
        <v>0</v>
      </c>
      <c r="AU280" s="381">
        <v>70.900000000000006</v>
      </c>
      <c r="AV280" s="284" t="str" cm="1">
        <f t="array" aca="1" ref="AV280" ca="1">INDIRECT("'"&amp;$C280&amp;"'!"&amp;"$"&amp;$D280&amp;$AT$1&amp;"")</f>
        <v>PMS</v>
      </c>
      <c r="AW280" s="287" t="s">
        <v>1</v>
      </c>
      <c r="AX280" s="288" t="s">
        <v>1</v>
      </c>
      <c r="AY280" s="385">
        <v>70.099999999999994</v>
      </c>
      <c r="AZ280" s="381" cm="1">
        <f t="array" aca="1" ref="AZ280" ca="1">INDIRECT("'"&amp;$C280&amp;"'!"&amp;"$"&amp;$D280&amp;$AY$1&amp;"")</f>
        <v>0</v>
      </c>
      <c r="BA280" s="287" t="s">
        <v>1</v>
      </c>
      <c r="BB280" s="285" t="s">
        <v>1</v>
      </c>
      <c r="BC280" s="286" cm="1">
        <f t="array" aca="1" ref="BC280" ca="1">INDIRECT("'"&amp;$C280&amp;"'!"&amp;"$"&amp;$D280&amp;$BC$1&amp;"")</f>
        <v>0.81</v>
      </c>
      <c r="BD280" s="287"/>
      <c r="BE280" s="287">
        <v>1</v>
      </c>
      <c r="BF280" s="285">
        <v>0.06</v>
      </c>
      <c r="BG280" s="286" cm="1">
        <f t="array" aca="1" ref="BG280" ca="1">INDIRECT("'"&amp;$C280&amp;"'!"&amp;"$"&amp;$D280&amp;$BG$1&amp;"")</f>
        <v>0.76</v>
      </c>
      <c r="BH280" s="287"/>
      <c r="BI280" s="287">
        <v>0.97</v>
      </c>
      <c r="BJ280" s="285">
        <v>0.2</v>
      </c>
      <c r="BK280" s="284" cm="1">
        <f t="array" aca="1" ref="BK280" ca="1">INDIRECT("'"&amp;$C280&amp;"'!"&amp;"$"&amp;$D280&amp;$BK$1&amp;"")</f>
        <v>3.25</v>
      </c>
      <c r="BL280" s="287"/>
      <c r="BM280" s="287">
        <v>0.95</v>
      </c>
      <c r="BN280" s="285">
        <v>1.2</v>
      </c>
    </row>
    <row r="281" spans="1:66" ht="15.75" thickBot="1" x14ac:dyDescent="0.25">
      <c r="A281" s="368">
        <v>45700</v>
      </c>
      <c r="B281" s="365">
        <v>4.1666666666666699E-2</v>
      </c>
      <c r="C281" s="383">
        <v>12</v>
      </c>
      <c r="D281" s="319" t="s">
        <v>111</v>
      </c>
      <c r="E281" s="290">
        <v>14.2</v>
      </c>
      <c r="F281" s="291">
        <v>70.97</v>
      </c>
      <c r="G281" s="292" cm="1">
        <f t="array" aca="1" ref="G281" ca="1">INDIRECT("'"&amp;$C281&amp;"'!"&amp;"$"&amp;$D281&amp;$E$1&amp;"")</f>
        <v>6.7</v>
      </c>
      <c r="H281" s="293">
        <v>1</v>
      </c>
      <c r="I281" s="291">
        <v>0</v>
      </c>
      <c r="J281" s="292" cm="1">
        <f t="array" aca="1" ref="J281" ca="1">INDIRECT("'"&amp;$C281&amp;"'!"&amp;"$"&amp;$D281&amp;$J$1&amp;"")</f>
        <v>0</v>
      </c>
      <c r="K281" s="293"/>
      <c r="L281" s="293" t="s">
        <v>1</v>
      </c>
      <c r="M281" s="291" t="s">
        <v>1</v>
      </c>
      <c r="N281" s="292" cm="1">
        <f t="array" aca="1" ref="N281" ca="1">INDIRECT("'"&amp;$C281&amp;"'!"&amp;"$"&amp;$D281&amp;$N$1&amp;"")</f>
        <v>6.7</v>
      </c>
      <c r="O281" s="293"/>
      <c r="P281" s="293">
        <v>1</v>
      </c>
      <c r="Q281" s="291">
        <v>0</v>
      </c>
      <c r="R281" s="292" t="str" cm="1">
        <f t="array" aca="1" ref="R281" ca="1">INDIRECT("'"&amp;$C281&amp;"'!"&amp;"$"&amp;$D281&amp;$R$1&amp;"")</f>
        <v>PMS</v>
      </c>
      <c r="S281" s="293"/>
      <c r="T281" s="293" t="s">
        <v>1</v>
      </c>
      <c r="U281" s="291" t="s">
        <v>1</v>
      </c>
      <c r="V281" s="292" t="str" cm="1">
        <f t="array" aca="1" ref="V281" ca="1">INDIRECT("'"&amp;$C281&amp;"'!"&amp;"$"&amp;$D281&amp;$V$1&amp;"")</f>
        <v>CMS</v>
      </c>
      <c r="W281" s="293" t="s">
        <v>1</v>
      </c>
      <c r="X281" s="293" t="s">
        <v>1</v>
      </c>
      <c r="Y281" s="294" t="s">
        <v>1</v>
      </c>
      <c r="Z281" s="386" cm="1">
        <f t="array" aca="1" ref="Z281" ca="1">INDIRECT("'"&amp;$C281&amp;"'!"&amp;"$"&amp;$D281&amp;$Z$1&amp;"")</f>
        <v>0</v>
      </c>
      <c r="AA281" s="292" t="s">
        <v>1</v>
      </c>
      <c r="AB281" s="293" t="s">
        <v>1</v>
      </c>
      <c r="AC281" s="291" t="s">
        <v>1</v>
      </c>
      <c r="AD281" s="292" cm="1">
        <f t="array" aca="1" ref="AD281" ca="1">INDIRECT("'"&amp;$C281&amp;"'!"&amp;"$"&amp;$D281&amp;$AD$1&amp;"")</f>
        <v>3.3</v>
      </c>
      <c r="AE281" s="293">
        <f>3.8*3.65</f>
        <v>13.87</v>
      </c>
      <c r="AF281" s="293">
        <v>1</v>
      </c>
      <c r="AG281" s="294">
        <v>0</v>
      </c>
      <c r="AH281" s="290" cm="1">
        <f t="array" aca="1" ref="AH281" ca="1">INDIRECT("'"&amp;$C281&amp;"'!"&amp;"$"&amp;$D281&amp;$AH$1&amp;"")</f>
        <v>3.8</v>
      </c>
      <c r="AI281" s="293">
        <v>13.96</v>
      </c>
      <c r="AJ281" s="293">
        <v>0.99</v>
      </c>
      <c r="AK281" s="291">
        <v>0.45600000000000002</v>
      </c>
      <c r="AL281" s="290">
        <v>11.9</v>
      </c>
      <c r="AM281" s="294">
        <v>71</v>
      </c>
      <c r="AN281" s="290" cm="1">
        <f t="array" aca="1" ref="AN281" ca="1">INDIRECT("'"&amp;$C281&amp;"'!"&amp;"$"&amp;$D281&amp;$AL$1&amp;"")</f>
        <v>4</v>
      </c>
      <c r="AO281" s="293">
        <v>1</v>
      </c>
      <c r="AP281" s="291">
        <v>0.22</v>
      </c>
      <c r="AQ281" s="292" cm="1">
        <f t="array" aca="1" ref="AQ281" ca="1">INDIRECT("'"&amp;$C281&amp;"'!"&amp;"$"&amp;$D281&amp;$AQ$1&amp;"")</f>
        <v>4</v>
      </c>
      <c r="AR281" s="293">
        <v>1</v>
      </c>
      <c r="AS281" s="291">
        <v>0.12</v>
      </c>
      <c r="AT281" s="290">
        <v>0</v>
      </c>
      <c r="AU281" s="296">
        <v>70.5</v>
      </c>
      <c r="AV281" s="290" t="str" cm="1">
        <f t="array" aca="1" ref="AV281" ca="1">INDIRECT("'"&amp;$C281&amp;"'!"&amp;"$"&amp;$D281&amp;$AT$1&amp;"")</f>
        <v>PMS</v>
      </c>
      <c r="AW281" s="293" t="s">
        <v>1</v>
      </c>
      <c r="AX281" s="294" t="s">
        <v>1</v>
      </c>
      <c r="AY281" s="386">
        <v>70</v>
      </c>
      <c r="AZ281" s="296" cm="1">
        <f t="array" aca="1" ref="AZ281" ca="1">INDIRECT("'"&amp;$C281&amp;"'!"&amp;"$"&amp;$D281&amp;$AY$1&amp;"")</f>
        <v>1.5</v>
      </c>
      <c r="BA281" s="293">
        <v>0.99</v>
      </c>
      <c r="BB281" s="291">
        <v>0.22</v>
      </c>
      <c r="BC281" s="292" cm="1">
        <f t="array" aca="1" ref="BC281" ca="1">INDIRECT("'"&amp;$C281&amp;"'!"&amp;"$"&amp;$D281&amp;$BC$1&amp;"")</f>
        <v>0.78</v>
      </c>
      <c r="BD281" s="293"/>
      <c r="BE281" s="293">
        <v>1</v>
      </c>
      <c r="BF281" s="291">
        <v>0.05</v>
      </c>
      <c r="BG281" s="292" cm="1">
        <f t="array" aca="1" ref="BG281" ca="1">INDIRECT("'"&amp;$C281&amp;"'!"&amp;"$"&amp;$D281&amp;$BG$1&amp;"")</f>
        <v>0.73</v>
      </c>
      <c r="BH281" s="293"/>
      <c r="BI281" s="293">
        <v>0.96</v>
      </c>
      <c r="BJ281" s="291">
        <v>0.2</v>
      </c>
      <c r="BK281" s="290" cm="1">
        <f t="array" aca="1" ref="BK281" ca="1">INDIRECT("'"&amp;$C281&amp;"'!"&amp;"$"&amp;$D281&amp;$BK$1&amp;"")</f>
        <v>3</v>
      </c>
      <c r="BL281" s="293"/>
      <c r="BM281" s="293">
        <v>0.95</v>
      </c>
      <c r="BN281" s="291">
        <v>1</v>
      </c>
    </row>
    <row r="282" spans="1:66" ht="15.75" thickBot="1" x14ac:dyDescent="0.25">
      <c r="A282" s="368">
        <v>45700</v>
      </c>
      <c r="B282" s="365">
        <v>8.3333333333333301E-2</v>
      </c>
      <c r="C282" s="383">
        <v>12</v>
      </c>
      <c r="D282" s="319" t="s">
        <v>112</v>
      </c>
      <c r="E282" s="297">
        <v>14.2</v>
      </c>
      <c r="F282" s="298">
        <v>70.849999999999994</v>
      </c>
      <c r="G282" s="299" cm="1">
        <f t="array" aca="1" ref="G282" ca="1">INDIRECT("'"&amp;$C282&amp;"'!"&amp;"$"&amp;$D282&amp;$E$1&amp;"")</f>
        <v>6.7</v>
      </c>
      <c r="H282" s="300">
        <v>1</v>
      </c>
      <c r="I282" s="298">
        <v>0</v>
      </c>
      <c r="J282" s="299" cm="1">
        <f t="array" aca="1" ref="J282" ca="1">INDIRECT("'"&amp;$C282&amp;"'!"&amp;"$"&amp;$D282&amp;$J$1&amp;"")</f>
        <v>0</v>
      </c>
      <c r="K282" s="300"/>
      <c r="L282" s="300" t="s">
        <v>1</v>
      </c>
      <c r="M282" s="298" t="s">
        <v>1</v>
      </c>
      <c r="N282" s="299" cm="1">
        <f t="array" aca="1" ref="N282" ca="1">INDIRECT("'"&amp;$C282&amp;"'!"&amp;"$"&amp;$D282&amp;$N$1&amp;"")</f>
        <v>6.7</v>
      </c>
      <c r="O282" s="300"/>
      <c r="P282" s="300">
        <v>1</v>
      </c>
      <c r="Q282" s="298">
        <v>0</v>
      </c>
      <c r="R282" s="299" t="str" cm="1">
        <f t="array" aca="1" ref="R282" ca="1">INDIRECT("'"&amp;$C282&amp;"'!"&amp;"$"&amp;$D282&amp;$R$1&amp;"")</f>
        <v>PMS</v>
      </c>
      <c r="S282" s="300"/>
      <c r="T282" s="300" t="s">
        <v>1</v>
      </c>
      <c r="U282" s="298" t="s">
        <v>1</v>
      </c>
      <c r="V282" s="299" t="str" cm="1">
        <f t="array" aca="1" ref="V282" ca="1">INDIRECT("'"&amp;$C282&amp;"'!"&amp;"$"&amp;$D282&amp;$V$1&amp;"")</f>
        <v>CMS</v>
      </c>
      <c r="W282" s="300" t="s">
        <v>1</v>
      </c>
      <c r="X282" s="300" t="s">
        <v>1</v>
      </c>
      <c r="Y282" s="301" t="s">
        <v>1</v>
      </c>
      <c r="Z282" s="387" cm="1">
        <f t="array" aca="1" ref="Z282" ca="1">INDIRECT("'"&amp;$C282&amp;"'!"&amp;"$"&amp;$D282&amp;$Z$1&amp;"")</f>
        <v>0</v>
      </c>
      <c r="AA282" s="299" t="s">
        <v>1</v>
      </c>
      <c r="AB282" s="300" t="s">
        <v>1</v>
      </c>
      <c r="AC282" s="298" t="s">
        <v>1</v>
      </c>
      <c r="AD282" s="299" cm="1">
        <f t="array" aca="1" ref="AD282" ca="1">INDIRECT("'"&amp;$C282&amp;"'!"&amp;"$"&amp;$D282&amp;$AD$1&amp;"")</f>
        <v>3.3</v>
      </c>
      <c r="AE282" s="300">
        <f>3.8*3.64</f>
        <v>13.831999999999999</v>
      </c>
      <c r="AF282" s="300">
        <v>1</v>
      </c>
      <c r="AG282" s="301">
        <v>0</v>
      </c>
      <c r="AH282" s="297" cm="1">
        <f t="array" aca="1" ref="AH282" ca="1">INDIRECT("'"&amp;$C282&amp;"'!"&amp;"$"&amp;$D282&amp;$AH$1&amp;"")</f>
        <v>3.8</v>
      </c>
      <c r="AI282" s="300">
        <v>13.96</v>
      </c>
      <c r="AJ282" s="300">
        <v>0.99</v>
      </c>
      <c r="AK282" s="298">
        <v>0.45800000000000002</v>
      </c>
      <c r="AL282" s="297">
        <v>11.9</v>
      </c>
      <c r="AM282" s="301">
        <v>71</v>
      </c>
      <c r="AN282" s="297" cm="1">
        <f t="array" aca="1" ref="AN282" ca="1">INDIRECT("'"&amp;$C282&amp;"'!"&amp;"$"&amp;$D282&amp;$AL$1&amp;"")</f>
        <v>4</v>
      </c>
      <c r="AO282" s="300">
        <v>1</v>
      </c>
      <c r="AP282" s="298">
        <v>0.26</v>
      </c>
      <c r="AQ282" s="299" cm="1">
        <f t="array" aca="1" ref="AQ282" ca="1">INDIRECT("'"&amp;$C282&amp;"'!"&amp;"$"&amp;$D282&amp;$AQ$1&amp;"")</f>
        <v>4</v>
      </c>
      <c r="AR282" s="300">
        <v>1</v>
      </c>
      <c r="AS282" s="298">
        <v>0.14000000000000001</v>
      </c>
      <c r="AT282" s="297">
        <v>0</v>
      </c>
      <c r="AU282" s="303">
        <v>70.599999999999994</v>
      </c>
      <c r="AV282" s="297" t="str" cm="1">
        <f t="array" aca="1" ref="AV282" ca="1">INDIRECT("'"&amp;$C282&amp;"'!"&amp;"$"&amp;$D282&amp;$AT$1&amp;"")</f>
        <v>PMS</v>
      </c>
      <c r="AW282" s="300" t="s">
        <v>1</v>
      </c>
      <c r="AX282" s="301" t="s">
        <v>1</v>
      </c>
      <c r="AY282" s="387">
        <v>70</v>
      </c>
      <c r="AZ282" s="303" cm="1">
        <f t="array" aca="1" ref="AZ282" ca="1">INDIRECT("'"&amp;$C282&amp;"'!"&amp;"$"&amp;$D282&amp;$AY$1&amp;"")</f>
        <v>0.8</v>
      </c>
      <c r="BA282" s="300">
        <v>0.99</v>
      </c>
      <c r="BB282" s="298">
        <v>0.11</v>
      </c>
      <c r="BC282" s="299" cm="1">
        <f t="array" aca="1" ref="BC282" ca="1">INDIRECT("'"&amp;$C282&amp;"'!"&amp;"$"&amp;$D282&amp;$BC$1&amp;"")</f>
        <v>0.74</v>
      </c>
      <c r="BD282" s="300"/>
      <c r="BE282" s="300">
        <v>1</v>
      </c>
      <c r="BF282" s="298">
        <v>0.04</v>
      </c>
      <c r="BG282" s="299" cm="1">
        <f t="array" aca="1" ref="BG282" ca="1">INDIRECT("'"&amp;$C282&amp;"'!"&amp;"$"&amp;$D282&amp;$BG$1&amp;"")</f>
        <v>0.71</v>
      </c>
      <c r="BH282" s="300"/>
      <c r="BI282" s="300">
        <v>0.96</v>
      </c>
      <c r="BJ282" s="298">
        <v>0.19</v>
      </c>
      <c r="BK282" s="297" cm="1">
        <f t="array" aca="1" ref="BK282" ca="1">INDIRECT("'"&amp;$C282&amp;"'!"&amp;"$"&amp;$D282&amp;$BK$1&amp;"")</f>
        <v>2.9</v>
      </c>
      <c r="BL282" s="300"/>
      <c r="BM282" s="300">
        <v>0.95</v>
      </c>
      <c r="BN282" s="298">
        <v>0.98</v>
      </c>
    </row>
    <row r="283" spans="1:66" ht="15.75" thickBot="1" x14ac:dyDescent="0.25">
      <c r="A283" s="368">
        <v>45700</v>
      </c>
      <c r="B283" s="365">
        <v>0.125</v>
      </c>
      <c r="C283" s="383">
        <v>12</v>
      </c>
      <c r="D283" s="319" t="s">
        <v>113</v>
      </c>
      <c r="E283" s="290">
        <v>14.2</v>
      </c>
      <c r="F283" s="291">
        <v>70.94</v>
      </c>
      <c r="G283" s="292" cm="1">
        <f t="array" aca="1" ref="G283" ca="1">INDIRECT("'"&amp;$C283&amp;"'!"&amp;"$"&amp;$D283&amp;$E$1&amp;"")</f>
        <v>6.6</v>
      </c>
      <c r="H283" s="293">
        <v>1</v>
      </c>
      <c r="I283" s="291">
        <v>0</v>
      </c>
      <c r="J283" s="292" cm="1">
        <f t="array" aca="1" ref="J283" ca="1">INDIRECT("'"&amp;$C283&amp;"'!"&amp;"$"&amp;$D283&amp;$J$1&amp;"")</f>
        <v>0</v>
      </c>
      <c r="K283" s="293"/>
      <c r="L283" s="293" t="s">
        <v>1</v>
      </c>
      <c r="M283" s="291" t="s">
        <v>1</v>
      </c>
      <c r="N283" s="292" cm="1">
        <f t="array" aca="1" ref="N283" ca="1">INDIRECT("'"&amp;$C283&amp;"'!"&amp;"$"&amp;$D283&amp;$N$1&amp;"")</f>
        <v>6.6</v>
      </c>
      <c r="O283" s="293"/>
      <c r="P283" s="293">
        <v>1</v>
      </c>
      <c r="Q283" s="291">
        <v>0</v>
      </c>
      <c r="R283" s="292" t="str" cm="1">
        <f t="array" aca="1" ref="R283" ca="1">INDIRECT("'"&amp;$C283&amp;"'!"&amp;"$"&amp;$D283&amp;$R$1&amp;"")</f>
        <v>PMS</v>
      </c>
      <c r="S283" s="293"/>
      <c r="T283" s="293" t="s">
        <v>1</v>
      </c>
      <c r="U283" s="291" t="s">
        <v>1</v>
      </c>
      <c r="V283" s="292" t="str" cm="1">
        <f t="array" aca="1" ref="V283" ca="1">INDIRECT("'"&amp;$C283&amp;"'!"&amp;"$"&amp;$D283&amp;$V$1&amp;"")</f>
        <v>CMS</v>
      </c>
      <c r="W283" s="293" t="s">
        <v>1</v>
      </c>
      <c r="X283" s="293" t="s">
        <v>1</v>
      </c>
      <c r="Y283" s="294" t="s">
        <v>1</v>
      </c>
      <c r="Z283" s="386" cm="1">
        <f t="array" aca="1" ref="Z283" ca="1">INDIRECT("'"&amp;$C283&amp;"'!"&amp;"$"&amp;$D283&amp;$Z$1&amp;"")</f>
        <v>0</v>
      </c>
      <c r="AA283" s="292" t="s">
        <v>1</v>
      </c>
      <c r="AB283" s="293" t="s">
        <v>1</v>
      </c>
      <c r="AC283" s="291" t="s">
        <v>1</v>
      </c>
      <c r="AD283" s="292" cm="1">
        <f t="array" aca="1" ref="AD283" ca="1">INDIRECT("'"&amp;$C283&amp;"'!"&amp;"$"&amp;$D283&amp;$AD$1&amp;"")</f>
        <v>3.3</v>
      </c>
      <c r="AE283" s="293">
        <f>3.64*3.8</f>
        <v>13.831999999999999</v>
      </c>
      <c r="AF283" s="293">
        <v>1</v>
      </c>
      <c r="AG283" s="294">
        <v>0</v>
      </c>
      <c r="AH283" s="290" cm="1">
        <f t="array" aca="1" ref="AH283" ca="1">INDIRECT("'"&amp;$C283&amp;"'!"&amp;"$"&amp;$D283&amp;$AH$1&amp;"")</f>
        <v>3.8</v>
      </c>
      <c r="AI283" s="293">
        <v>13.96</v>
      </c>
      <c r="AJ283" s="293">
        <v>0.99</v>
      </c>
      <c r="AK283" s="291">
        <v>0.40600000000000003</v>
      </c>
      <c r="AL283" s="290">
        <v>11.9</v>
      </c>
      <c r="AM283" s="294">
        <v>71.099999999999994</v>
      </c>
      <c r="AN283" s="290" cm="1">
        <f t="array" aca="1" ref="AN283" ca="1">INDIRECT("'"&amp;$C283&amp;"'!"&amp;"$"&amp;$D283&amp;$AL$1&amp;"")</f>
        <v>4</v>
      </c>
      <c r="AO283" s="293">
        <v>1</v>
      </c>
      <c r="AP283" s="291">
        <v>0.21</v>
      </c>
      <c r="AQ283" s="292" cm="1">
        <f t="array" aca="1" ref="AQ283" ca="1">INDIRECT("'"&amp;$C283&amp;"'!"&amp;"$"&amp;$D283&amp;$AQ$1&amp;"")</f>
        <v>4</v>
      </c>
      <c r="AR283" s="293">
        <v>1</v>
      </c>
      <c r="AS283" s="291">
        <v>0.1</v>
      </c>
      <c r="AT283" s="290">
        <v>0</v>
      </c>
      <c r="AU283" s="296">
        <v>70.599999999999994</v>
      </c>
      <c r="AV283" s="290" t="str" cm="1">
        <f t="array" aca="1" ref="AV283" ca="1">INDIRECT("'"&amp;$C283&amp;"'!"&amp;"$"&amp;$D283&amp;$AT$1&amp;"")</f>
        <v>PMS</v>
      </c>
      <c r="AW283" s="293" t="s">
        <v>1</v>
      </c>
      <c r="AX283" s="294" t="s">
        <v>1</v>
      </c>
      <c r="AY283" s="386">
        <v>70.099999999999994</v>
      </c>
      <c r="AZ283" s="296" cm="1">
        <f t="array" aca="1" ref="AZ283" ca="1">INDIRECT("'"&amp;$C283&amp;"'!"&amp;"$"&amp;$D283&amp;$AY$1&amp;"")</f>
        <v>0</v>
      </c>
      <c r="BA283" s="293" t="s">
        <v>1</v>
      </c>
      <c r="BB283" s="291" t="s">
        <v>1</v>
      </c>
      <c r="BC283" s="292" cm="1">
        <f t="array" aca="1" ref="BC283" ca="1">INDIRECT("'"&amp;$C283&amp;"'!"&amp;"$"&amp;$D283&amp;$BC$1&amp;"")</f>
        <v>0.73</v>
      </c>
      <c r="BD283" s="293"/>
      <c r="BE283" s="293">
        <v>1</v>
      </c>
      <c r="BF283" s="291">
        <v>0.05</v>
      </c>
      <c r="BG283" s="292" cm="1">
        <f t="array" aca="1" ref="BG283" ca="1">INDIRECT("'"&amp;$C283&amp;"'!"&amp;"$"&amp;$D283&amp;$BG$1&amp;"")</f>
        <v>0.69</v>
      </c>
      <c r="BH283" s="293"/>
      <c r="BI283" s="293">
        <v>0.96</v>
      </c>
      <c r="BJ283" s="291">
        <v>0.19</v>
      </c>
      <c r="BK283" s="290" cm="1">
        <f t="array" aca="1" ref="BK283" ca="1">INDIRECT("'"&amp;$C283&amp;"'!"&amp;"$"&amp;$D283&amp;$BK$1&amp;"")</f>
        <v>2.9</v>
      </c>
      <c r="BL283" s="293"/>
      <c r="BM283" s="293">
        <v>0.95</v>
      </c>
      <c r="BN283" s="291">
        <v>0.93</v>
      </c>
    </row>
    <row r="284" spans="1:66" ht="15.75" thickBot="1" x14ac:dyDescent="0.25">
      <c r="A284" s="368">
        <v>45700</v>
      </c>
      <c r="B284" s="365">
        <v>0.16666666666666699</v>
      </c>
      <c r="C284" s="383">
        <v>12</v>
      </c>
      <c r="D284" s="319" t="s">
        <v>114</v>
      </c>
      <c r="E284" s="297">
        <v>14.2</v>
      </c>
      <c r="F284" s="298">
        <v>70.8</v>
      </c>
      <c r="G284" s="299" cm="1">
        <f t="array" aca="1" ref="G284" ca="1">INDIRECT("'"&amp;$C284&amp;"'!"&amp;"$"&amp;$D284&amp;$E$1&amp;"")</f>
        <v>6.6</v>
      </c>
      <c r="H284" s="300">
        <v>1</v>
      </c>
      <c r="I284" s="298">
        <v>0</v>
      </c>
      <c r="J284" s="299" cm="1">
        <f t="array" aca="1" ref="J284" ca="1">INDIRECT("'"&amp;$C284&amp;"'!"&amp;"$"&amp;$D284&amp;$J$1&amp;"")</f>
        <v>0</v>
      </c>
      <c r="K284" s="300"/>
      <c r="L284" s="300" t="s">
        <v>1</v>
      </c>
      <c r="M284" s="298" t="s">
        <v>1</v>
      </c>
      <c r="N284" s="299" cm="1">
        <f t="array" aca="1" ref="N284" ca="1">INDIRECT("'"&amp;$C284&amp;"'!"&amp;"$"&amp;$D284&amp;$N$1&amp;"")</f>
        <v>6.6</v>
      </c>
      <c r="O284" s="300"/>
      <c r="P284" s="300">
        <v>1</v>
      </c>
      <c r="Q284" s="298">
        <v>0</v>
      </c>
      <c r="R284" s="299" t="str" cm="1">
        <f t="array" aca="1" ref="R284" ca="1">INDIRECT("'"&amp;$C284&amp;"'!"&amp;"$"&amp;$D284&amp;$R$1&amp;"")</f>
        <v>PMS</v>
      </c>
      <c r="S284" s="300"/>
      <c r="T284" s="300" t="s">
        <v>1</v>
      </c>
      <c r="U284" s="298" t="s">
        <v>1</v>
      </c>
      <c r="V284" s="299" t="str" cm="1">
        <f t="array" aca="1" ref="V284" ca="1">INDIRECT("'"&amp;$C284&amp;"'!"&amp;"$"&amp;$D284&amp;$V$1&amp;"")</f>
        <v>CMS</v>
      </c>
      <c r="W284" s="300" t="s">
        <v>1</v>
      </c>
      <c r="X284" s="300" t="s">
        <v>1</v>
      </c>
      <c r="Y284" s="301" t="s">
        <v>1</v>
      </c>
      <c r="Z284" s="387" cm="1">
        <f t="array" aca="1" ref="Z284" ca="1">INDIRECT("'"&amp;$C284&amp;"'!"&amp;"$"&amp;$D284&amp;$Z$1&amp;"")</f>
        <v>0</v>
      </c>
      <c r="AA284" s="299" t="s">
        <v>1</v>
      </c>
      <c r="AB284" s="300" t="s">
        <v>1</v>
      </c>
      <c r="AC284" s="298" t="s">
        <v>1</v>
      </c>
      <c r="AD284" s="299" cm="1">
        <f t="array" aca="1" ref="AD284" ca="1">INDIRECT("'"&amp;$C284&amp;"'!"&amp;"$"&amp;$D284&amp;$AD$1&amp;"")</f>
        <v>3.3</v>
      </c>
      <c r="AE284" s="300">
        <f>3.64*3.8</f>
        <v>13.831999999999999</v>
      </c>
      <c r="AF284" s="300">
        <v>1</v>
      </c>
      <c r="AG284" s="301">
        <v>0</v>
      </c>
      <c r="AH284" s="297" cm="1">
        <f t="array" aca="1" ref="AH284" ca="1">INDIRECT("'"&amp;$C284&amp;"'!"&amp;"$"&amp;$D284&amp;$AH$1&amp;"")</f>
        <v>3.8</v>
      </c>
      <c r="AI284" s="300">
        <v>13.96</v>
      </c>
      <c r="AJ284" s="300">
        <v>0.99</v>
      </c>
      <c r="AK284" s="298">
        <v>0.46800000000000003</v>
      </c>
      <c r="AL284" s="297">
        <v>11.9</v>
      </c>
      <c r="AM284" s="301">
        <v>71</v>
      </c>
      <c r="AN284" s="297" cm="1">
        <f t="array" aca="1" ref="AN284" ca="1">INDIRECT("'"&amp;$C284&amp;"'!"&amp;"$"&amp;$D284&amp;$AL$1&amp;"")</f>
        <v>3.9</v>
      </c>
      <c r="AO284" s="300">
        <v>0.99</v>
      </c>
      <c r="AP284" s="298">
        <v>0.28999999999999998</v>
      </c>
      <c r="AQ284" s="299" cm="1">
        <f t="array" aca="1" ref="AQ284" ca="1">INDIRECT("'"&amp;$C284&amp;"'!"&amp;"$"&amp;$D284&amp;$AQ$1&amp;"")</f>
        <v>3.9</v>
      </c>
      <c r="AR284" s="300">
        <v>0.99</v>
      </c>
      <c r="AS284" s="298">
        <v>0.14000000000000001</v>
      </c>
      <c r="AT284" s="297">
        <v>0</v>
      </c>
      <c r="AU284" s="303">
        <v>70</v>
      </c>
      <c r="AV284" s="297" t="str" cm="1">
        <f t="array" aca="1" ref="AV284" ca="1">INDIRECT("'"&amp;$C284&amp;"'!"&amp;"$"&amp;$D284&amp;$AT$1&amp;"")</f>
        <v>PMS</v>
      </c>
      <c r="AW284" s="300" t="s">
        <v>1</v>
      </c>
      <c r="AX284" s="301" t="s">
        <v>1</v>
      </c>
      <c r="AY284" s="387">
        <v>70.7</v>
      </c>
      <c r="AZ284" s="303" cm="1">
        <f t="array" aca="1" ref="AZ284" ca="1">INDIRECT("'"&amp;$C284&amp;"'!"&amp;"$"&amp;$D284&amp;$AY$1&amp;"")</f>
        <v>0</v>
      </c>
      <c r="BA284" s="300" t="s">
        <v>1</v>
      </c>
      <c r="BB284" s="298" t="s">
        <v>1</v>
      </c>
      <c r="BC284" s="299" cm="1">
        <f t="array" aca="1" ref="BC284" ca="1">INDIRECT("'"&amp;$C284&amp;"'!"&amp;"$"&amp;$D284&amp;$BC$1&amp;"")</f>
        <v>0.74</v>
      </c>
      <c r="BD284" s="300"/>
      <c r="BE284" s="300">
        <v>1</v>
      </c>
      <c r="BF284" s="298">
        <v>0.04</v>
      </c>
      <c r="BG284" s="299" cm="1">
        <f t="array" aca="1" ref="BG284" ca="1">INDIRECT("'"&amp;$C284&amp;"'!"&amp;"$"&amp;$D284&amp;$BG$1&amp;"")</f>
        <v>0.67</v>
      </c>
      <c r="BH284" s="300"/>
      <c r="BI284" s="300">
        <v>0.96</v>
      </c>
      <c r="BJ284" s="298">
        <v>0.18</v>
      </c>
      <c r="BK284" s="297" cm="1">
        <f t="array" aca="1" ref="BK284" ca="1">INDIRECT("'"&amp;$C284&amp;"'!"&amp;"$"&amp;$D284&amp;$BK$1&amp;"")</f>
        <v>2.5999999999999996</v>
      </c>
      <c r="BL284" s="300"/>
      <c r="BM284" s="300">
        <v>0.95</v>
      </c>
      <c r="BN284" s="298">
        <v>0.97</v>
      </c>
    </row>
    <row r="285" spans="1:66" ht="15.75" thickBot="1" x14ac:dyDescent="0.25">
      <c r="A285" s="368">
        <v>45700</v>
      </c>
      <c r="B285" s="365">
        <v>0.20833333333333301</v>
      </c>
      <c r="C285" s="383">
        <v>12</v>
      </c>
      <c r="D285" s="319" t="s">
        <v>115</v>
      </c>
      <c r="E285" s="290">
        <v>14.2</v>
      </c>
      <c r="F285" s="291">
        <v>70.88</v>
      </c>
      <c r="G285" s="292" cm="1">
        <f t="array" aca="1" ref="G285" ca="1">INDIRECT("'"&amp;$C285&amp;"'!"&amp;"$"&amp;$D285&amp;$E$1&amp;"")</f>
        <v>6.8</v>
      </c>
      <c r="H285" s="293">
        <v>1</v>
      </c>
      <c r="I285" s="291">
        <v>0</v>
      </c>
      <c r="J285" s="292" cm="1">
        <f t="array" aca="1" ref="J285" ca="1">INDIRECT("'"&amp;$C285&amp;"'!"&amp;"$"&amp;$D285&amp;$J$1&amp;"")</f>
        <v>0</v>
      </c>
      <c r="K285" s="293"/>
      <c r="L285" s="293" t="s">
        <v>1</v>
      </c>
      <c r="M285" s="291" t="s">
        <v>1</v>
      </c>
      <c r="N285" s="292" cm="1">
        <f t="array" aca="1" ref="N285" ca="1">INDIRECT("'"&amp;$C285&amp;"'!"&amp;"$"&amp;$D285&amp;$N$1&amp;"")</f>
        <v>6.8</v>
      </c>
      <c r="O285" s="293"/>
      <c r="P285" s="293">
        <v>1</v>
      </c>
      <c r="Q285" s="291">
        <v>0</v>
      </c>
      <c r="R285" s="292" t="str" cm="1">
        <f t="array" aca="1" ref="R285" ca="1">INDIRECT("'"&amp;$C285&amp;"'!"&amp;"$"&amp;$D285&amp;$R$1&amp;"")</f>
        <v>PMS</v>
      </c>
      <c r="S285" s="293"/>
      <c r="T285" s="293" t="s">
        <v>1</v>
      </c>
      <c r="U285" s="291" t="s">
        <v>1</v>
      </c>
      <c r="V285" s="292" t="str" cm="1">
        <f t="array" aca="1" ref="V285" ca="1">INDIRECT("'"&amp;$C285&amp;"'!"&amp;"$"&amp;$D285&amp;$V$1&amp;"")</f>
        <v>CMS</v>
      </c>
      <c r="W285" s="293" t="s">
        <v>1</v>
      </c>
      <c r="X285" s="293" t="s">
        <v>1</v>
      </c>
      <c r="Y285" s="294" t="s">
        <v>1</v>
      </c>
      <c r="Z285" s="386" cm="1">
        <f t="array" aca="1" ref="Z285" ca="1">INDIRECT("'"&amp;$C285&amp;"'!"&amp;"$"&amp;$D285&amp;$Z$1&amp;"")</f>
        <v>0</v>
      </c>
      <c r="AA285" s="292" t="s">
        <v>1</v>
      </c>
      <c r="AB285" s="293" t="s">
        <v>1</v>
      </c>
      <c r="AC285" s="291" t="s">
        <v>1</v>
      </c>
      <c r="AD285" s="292" cm="1">
        <f t="array" aca="1" ref="AD285" ca="1">INDIRECT("'"&amp;$C285&amp;"'!"&amp;"$"&amp;$D285&amp;$AD$1&amp;"")</f>
        <v>3.3</v>
      </c>
      <c r="AE285" s="293">
        <f>3.64*3.8</f>
        <v>13.831999999999999</v>
      </c>
      <c r="AF285" s="293">
        <v>1</v>
      </c>
      <c r="AG285" s="294">
        <v>0</v>
      </c>
      <c r="AH285" s="290" cm="1">
        <f t="array" aca="1" ref="AH285" ca="1">INDIRECT("'"&amp;$C285&amp;"'!"&amp;"$"&amp;$D285&amp;$AH$1&amp;"")</f>
        <v>3.8</v>
      </c>
      <c r="AI285" s="293">
        <v>13.96</v>
      </c>
      <c r="AJ285" s="293">
        <v>0.99</v>
      </c>
      <c r="AK285" s="291">
        <v>0.48</v>
      </c>
      <c r="AL285" s="290">
        <v>11.9</v>
      </c>
      <c r="AM285" s="294">
        <v>70.900000000000006</v>
      </c>
      <c r="AN285" s="290" cm="1">
        <f t="array" aca="1" ref="AN285" ca="1">INDIRECT("'"&amp;$C285&amp;"'!"&amp;"$"&amp;$D285&amp;$AL$1&amp;"")</f>
        <v>4.0999999999999996</v>
      </c>
      <c r="AO285" s="293">
        <v>0.99</v>
      </c>
      <c r="AP285" s="291">
        <v>0.32</v>
      </c>
      <c r="AQ285" s="292" cm="1">
        <f t="array" aca="1" ref="AQ285" ca="1">INDIRECT("'"&amp;$C285&amp;"'!"&amp;"$"&amp;$D285&amp;$AQ$1&amp;"")</f>
        <v>4.0999999999999996</v>
      </c>
      <c r="AR285" s="293">
        <v>0.99</v>
      </c>
      <c r="AS285" s="291">
        <v>0.22</v>
      </c>
      <c r="AT285" s="290">
        <v>0</v>
      </c>
      <c r="AU285" s="296">
        <v>70.599999999999994</v>
      </c>
      <c r="AV285" s="290" t="str" cm="1">
        <f t="array" aca="1" ref="AV285" ca="1">INDIRECT("'"&amp;$C285&amp;"'!"&amp;"$"&amp;$D285&amp;$AT$1&amp;"")</f>
        <v>PMS</v>
      </c>
      <c r="AW285" s="293" t="s">
        <v>1</v>
      </c>
      <c r="AX285" s="294" t="s">
        <v>1</v>
      </c>
      <c r="AY285" s="386">
        <v>69.8</v>
      </c>
      <c r="AZ285" s="296" cm="1">
        <f t="array" aca="1" ref="AZ285" ca="1">INDIRECT("'"&amp;$C285&amp;"'!"&amp;"$"&amp;$D285&amp;$AY$1&amp;"")</f>
        <v>0</v>
      </c>
      <c r="BA285" s="293" t="s">
        <v>1</v>
      </c>
      <c r="BB285" s="291" t="s">
        <v>1</v>
      </c>
      <c r="BC285" s="292" cm="1">
        <f t="array" aca="1" ref="BC285" ca="1">INDIRECT("'"&amp;$C285&amp;"'!"&amp;"$"&amp;$D285&amp;$BC$1&amp;"")</f>
        <v>0.89</v>
      </c>
      <c r="BD285" s="293"/>
      <c r="BE285" s="293">
        <v>1</v>
      </c>
      <c r="BF285" s="291">
        <v>0.05</v>
      </c>
      <c r="BG285" s="292" cm="1">
        <f t="array" aca="1" ref="BG285" ca="1">INDIRECT("'"&amp;$C285&amp;"'!"&amp;"$"&amp;$D285&amp;$BG$1&amp;"")</f>
        <v>0.66</v>
      </c>
      <c r="BH285" s="293"/>
      <c r="BI285" s="293">
        <v>0.96</v>
      </c>
      <c r="BJ285" s="291">
        <v>0.18</v>
      </c>
      <c r="BK285" s="290" cm="1">
        <f t="array" aca="1" ref="BK285" ca="1">INDIRECT("'"&amp;$C285&amp;"'!"&amp;"$"&amp;$D285&amp;$BK$1&amp;"")</f>
        <v>2.5999999999999996</v>
      </c>
      <c r="BL285" s="293"/>
      <c r="BM285" s="293">
        <v>0.95</v>
      </c>
      <c r="BN285" s="291">
        <v>0.85</v>
      </c>
    </row>
    <row r="286" spans="1:66" ht="15.75" thickBot="1" x14ac:dyDescent="0.25">
      <c r="A286" s="368">
        <v>45700</v>
      </c>
      <c r="B286" s="365">
        <v>0.25</v>
      </c>
      <c r="C286" s="383">
        <v>12</v>
      </c>
      <c r="D286" s="319" t="s">
        <v>116</v>
      </c>
      <c r="E286" s="297">
        <v>14.2</v>
      </c>
      <c r="F286" s="298">
        <v>70.77</v>
      </c>
      <c r="G286" s="299" cm="1">
        <f t="array" aca="1" ref="G286" ca="1">INDIRECT("'"&amp;$C286&amp;"'!"&amp;"$"&amp;$D286&amp;$E$1&amp;"")</f>
        <v>6.7</v>
      </c>
      <c r="H286" s="300">
        <v>1</v>
      </c>
      <c r="I286" s="298">
        <v>0</v>
      </c>
      <c r="J286" s="299" cm="1">
        <f t="array" aca="1" ref="J286" ca="1">INDIRECT("'"&amp;$C286&amp;"'!"&amp;"$"&amp;$D286&amp;$J$1&amp;"")</f>
        <v>0</v>
      </c>
      <c r="K286" s="300"/>
      <c r="L286" s="300" t="s">
        <v>1</v>
      </c>
      <c r="M286" s="298" t="s">
        <v>1</v>
      </c>
      <c r="N286" s="299" cm="1">
        <f t="array" aca="1" ref="N286" ca="1">INDIRECT("'"&amp;$C286&amp;"'!"&amp;"$"&amp;$D286&amp;$N$1&amp;"")</f>
        <v>6.7</v>
      </c>
      <c r="O286" s="300"/>
      <c r="P286" s="300">
        <v>1</v>
      </c>
      <c r="Q286" s="298">
        <v>0</v>
      </c>
      <c r="R286" s="299" t="str" cm="1">
        <f t="array" aca="1" ref="R286" ca="1">INDIRECT("'"&amp;$C286&amp;"'!"&amp;"$"&amp;$D286&amp;$R$1&amp;"")</f>
        <v>PMS</v>
      </c>
      <c r="S286" s="300"/>
      <c r="T286" s="300" t="s">
        <v>1</v>
      </c>
      <c r="U286" s="298" t="s">
        <v>1</v>
      </c>
      <c r="V286" s="299" t="str" cm="1">
        <f t="array" aca="1" ref="V286" ca="1">INDIRECT("'"&amp;$C286&amp;"'!"&amp;"$"&amp;$D286&amp;$V$1&amp;"")</f>
        <v>CMS</v>
      </c>
      <c r="W286" s="300" t="s">
        <v>1</v>
      </c>
      <c r="X286" s="300" t="s">
        <v>1</v>
      </c>
      <c r="Y286" s="301" t="s">
        <v>1</v>
      </c>
      <c r="Z286" s="387" cm="1">
        <f t="array" aca="1" ref="Z286" ca="1">INDIRECT("'"&amp;$C286&amp;"'!"&amp;"$"&amp;$D286&amp;$Z$1&amp;"")</f>
        <v>0</v>
      </c>
      <c r="AA286" s="299" t="s">
        <v>1</v>
      </c>
      <c r="AB286" s="300" t="s">
        <v>1</v>
      </c>
      <c r="AC286" s="298" t="s">
        <v>1</v>
      </c>
      <c r="AD286" s="299" cm="1">
        <f t="array" aca="1" ref="AD286" ca="1">INDIRECT("'"&amp;$C286&amp;"'!"&amp;"$"&amp;$D286&amp;$AD$1&amp;"")</f>
        <v>3.3</v>
      </c>
      <c r="AE286" s="300">
        <f>3.8*3.64</f>
        <v>13.831999999999999</v>
      </c>
      <c r="AF286" s="300">
        <v>1</v>
      </c>
      <c r="AG286" s="301">
        <v>0</v>
      </c>
      <c r="AH286" s="297" cm="1">
        <f t="array" aca="1" ref="AH286" ca="1">INDIRECT("'"&amp;$C286&amp;"'!"&amp;"$"&amp;$D286&amp;$AH$1&amp;"")</f>
        <v>3.8</v>
      </c>
      <c r="AI286" s="300">
        <v>13.96</v>
      </c>
      <c r="AJ286" s="300">
        <v>0.99</v>
      </c>
      <c r="AK286" s="298">
        <v>0.372</v>
      </c>
      <c r="AL286" s="297">
        <v>11.9</v>
      </c>
      <c r="AM286" s="301">
        <v>70.900000000000006</v>
      </c>
      <c r="AN286" s="297" cm="1">
        <f t="array" aca="1" ref="AN286" ca="1">INDIRECT("'"&amp;$C286&amp;"'!"&amp;"$"&amp;$D286&amp;$AL$1&amp;"")</f>
        <v>4</v>
      </c>
      <c r="AO286" s="300">
        <v>0.99</v>
      </c>
      <c r="AP286" s="298">
        <v>0.28000000000000003</v>
      </c>
      <c r="AQ286" s="299" cm="1">
        <f t="array" aca="1" ref="AQ286" ca="1">INDIRECT("'"&amp;$C286&amp;"'!"&amp;"$"&amp;$D286&amp;$AQ$1&amp;"")</f>
        <v>4</v>
      </c>
      <c r="AR286" s="300">
        <v>0.99</v>
      </c>
      <c r="AS286" s="298">
        <v>0.16</v>
      </c>
      <c r="AT286" s="297">
        <v>0</v>
      </c>
      <c r="AU286" s="301">
        <v>70.7</v>
      </c>
      <c r="AV286" s="297" t="str" cm="1">
        <f t="array" aca="1" ref="AV286" ca="1">INDIRECT("'"&amp;$C286&amp;"'!"&amp;"$"&amp;$D286&amp;$AT$1&amp;"")</f>
        <v>PMS</v>
      </c>
      <c r="AW286" s="300" t="s">
        <v>1</v>
      </c>
      <c r="AX286" s="301" t="s">
        <v>1</v>
      </c>
      <c r="AY286" s="387">
        <v>70</v>
      </c>
      <c r="AZ286" s="303" cm="1">
        <f t="array" aca="1" ref="AZ286" ca="1">INDIRECT("'"&amp;$C286&amp;"'!"&amp;"$"&amp;$D286&amp;$AY$1&amp;"")</f>
        <v>2.7</v>
      </c>
      <c r="BA286" s="300">
        <v>0.98</v>
      </c>
      <c r="BB286" s="298">
        <v>0.4</v>
      </c>
      <c r="BC286" s="299" cm="1">
        <f t="array" aca="1" ref="BC286" ca="1">INDIRECT("'"&amp;$C286&amp;"'!"&amp;"$"&amp;$D286&amp;$BC$1&amp;"")</f>
        <v>0.97</v>
      </c>
      <c r="BD286" s="300"/>
      <c r="BE286" s="300">
        <v>1</v>
      </c>
      <c r="BF286" s="298">
        <v>0.05</v>
      </c>
      <c r="BG286" s="299" cm="1">
        <f t="array" aca="1" ref="BG286" ca="1">INDIRECT("'"&amp;$C286&amp;"'!"&amp;"$"&amp;$D286&amp;$BG$1&amp;"")</f>
        <v>0.76</v>
      </c>
      <c r="BH286" s="300"/>
      <c r="BI286" s="300">
        <v>0.97</v>
      </c>
      <c r="BJ286" s="298">
        <v>0.19</v>
      </c>
      <c r="BK286" s="297" cm="1">
        <f t="array" aca="1" ref="BK286" ca="1">INDIRECT("'"&amp;$C286&amp;"'!"&amp;"$"&amp;$D286&amp;$BK$1&amp;"")</f>
        <v>3.2</v>
      </c>
      <c r="BL286" s="300"/>
      <c r="BM286" s="300">
        <v>0.95</v>
      </c>
      <c r="BN286" s="298">
        <v>1</v>
      </c>
    </row>
    <row r="287" spans="1:66" ht="15.75" thickBot="1" x14ac:dyDescent="0.25">
      <c r="A287" s="368">
        <v>45700</v>
      </c>
      <c r="B287" s="365">
        <v>0.29166666666666702</v>
      </c>
      <c r="C287" s="383">
        <v>12</v>
      </c>
      <c r="D287" s="319" t="s">
        <v>117</v>
      </c>
      <c r="E287" s="290">
        <v>14.2</v>
      </c>
      <c r="F287" s="291">
        <v>70.27</v>
      </c>
      <c r="G287" s="292" cm="1">
        <f t="array" aca="1" ref="G287" ca="1">INDIRECT("'"&amp;$C287&amp;"'!"&amp;"$"&amp;$D287&amp;$E$1&amp;"")</f>
        <v>6.5</v>
      </c>
      <c r="H287" s="293">
        <v>1</v>
      </c>
      <c r="I287" s="291">
        <v>0</v>
      </c>
      <c r="J287" s="292" cm="1">
        <f t="array" aca="1" ref="J287" ca="1">INDIRECT("'"&amp;$C287&amp;"'!"&amp;"$"&amp;$D287&amp;$J$1&amp;"")</f>
        <v>0</v>
      </c>
      <c r="K287" s="293"/>
      <c r="L287" s="293" t="s">
        <v>1</v>
      </c>
      <c r="M287" s="291" t="s">
        <v>1</v>
      </c>
      <c r="N287" s="292" cm="1">
        <f t="array" aca="1" ref="N287" ca="1">INDIRECT("'"&amp;$C287&amp;"'!"&amp;"$"&amp;$D287&amp;$N$1&amp;"")</f>
        <v>6.5</v>
      </c>
      <c r="O287" s="293"/>
      <c r="P287" s="293">
        <v>1</v>
      </c>
      <c r="Q287" s="291">
        <v>0</v>
      </c>
      <c r="R287" s="292" t="str" cm="1">
        <f t="array" aca="1" ref="R287" ca="1">INDIRECT("'"&amp;$C287&amp;"'!"&amp;"$"&amp;$D287&amp;$R$1&amp;"")</f>
        <v>PMS</v>
      </c>
      <c r="S287" s="293"/>
      <c r="T287" s="293" t="s">
        <v>1</v>
      </c>
      <c r="U287" s="291" t="s">
        <v>1</v>
      </c>
      <c r="V287" s="292" t="str" cm="1">
        <f t="array" aca="1" ref="V287" ca="1">INDIRECT("'"&amp;$C287&amp;"'!"&amp;"$"&amp;$D287&amp;$V$1&amp;"")</f>
        <v>CMS</v>
      </c>
      <c r="W287" s="293" t="s">
        <v>1</v>
      </c>
      <c r="X287" s="293" t="s">
        <v>1</v>
      </c>
      <c r="Y287" s="294" t="s">
        <v>1</v>
      </c>
      <c r="Z287" s="386" cm="1">
        <f t="array" aca="1" ref="Z287" ca="1">INDIRECT("'"&amp;$C287&amp;"'!"&amp;"$"&amp;$D287&amp;$Z$1&amp;"")</f>
        <v>0</v>
      </c>
      <c r="AA287" s="292" t="s">
        <v>1</v>
      </c>
      <c r="AB287" s="293" t="s">
        <v>1</v>
      </c>
      <c r="AC287" s="291" t="s">
        <v>1</v>
      </c>
      <c r="AD287" s="292" cm="1">
        <f t="array" aca="1" ref="AD287" ca="1">INDIRECT("'"&amp;$C287&amp;"'!"&amp;"$"&amp;$D287&amp;$AD$1&amp;"")</f>
        <v>3.3</v>
      </c>
      <c r="AE287" s="293">
        <f>3.8*3.61</f>
        <v>13.717999999999998</v>
      </c>
      <c r="AF287" s="293">
        <v>0.99</v>
      </c>
      <c r="AG287" s="294">
        <v>0.37</v>
      </c>
      <c r="AH287" s="290" cm="1">
        <f t="array" aca="1" ref="AH287" ca="1">INDIRECT("'"&amp;$C287&amp;"'!"&amp;"$"&amp;$D287&amp;$AH$1&amp;"")</f>
        <v>3.8</v>
      </c>
      <c r="AI287" s="293">
        <v>13.96</v>
      </c>
      <c r="AJ287" s="293">
        <v>0.99</v>
      </c>
      <c r="AK287" s="291">
        <v>0.56699999999999995</v>
      </c>
      <c r="AL287" s="290">
        <v>11.9</v>
      </c>
      <c r="AM287" s="294">
        <v>70.7</v>
      </c>
      <c r="AN287" s="290" cm="1">
        <f t="array" aca="1" ref="AN287" ca="1">INDIRECT("'"&amp;$C287&amp;"'!"&amp;"$"&amp;$D287&amp;$AL$1&amp;"")</f>
        <v>3.9</v>
      </c>
      <c r="AO287" s="293">
        <v>0.99</v>
      </c>
      <c r="AP287" s="291">
        <v>0.49</v>
      </c>
      <c r="AQ287" s="292" cm="1">
        <f t="array" aca="1" ref="AQ287" ca="1">INDIRECT("'"&amp;$C287&amp;"'!"&amp;"$"&amp;$D287&amp;$AQ$1&amp;"")</f>
        <v>3.9</v>
      </c>
      <c r="AR287" s="293">
        <v>0.99</v>
      </c>
      <c r="AS287" s="291">
        <v>0.35</v>
      </c>
      <c r="AT287" s="290">
        <v>0</v>
      </c>
      <c r="AU287" s="294">
        <v>70.400000000000006</v>
      </c>
      <c r="AV287" s="290" t="str" cm="1">
        <f t="array" aca="1" ref="AV287" ca="1">INDIRECT("'"&amp;$C287&amp;"'!"&amp;"$"&amp;$D287&amp;$AT$1&amp;"")</f>
        <v>PMS</v>
      </c>
      <c r="AW287" s="293" t="s">
        <v>1</v>
      </c>
      <c r="AX287" s="294" t="s">
        <v>1</v>
      </c>
      <c r="AY287" s="386">
        <v>69.599999999999994</v>
      </c>
      <c r="AZ287" s="296" cm="1">
        <f t="array" aca="1" ref="AZ287" ca="1">INDIRECT("'"&amp;$C287&amp;"'!"&amp;"$"&amp;$D287&amp;$AY$1&amp;"")</f>
        <v>5.2</v>
      </c>
      <c r="BA287" s="293">
        <v>0.98</v>
      </c>
      <c r="BB287" s="291">
        <v>1</v>
      </c>
      <c r="BC287" s="292" cm="1">
        <f t="array" aca="1" ref="BC287" ca="1">INDIRECT("'"&amp;$C287&amp;"'!"&amp;"$"&amp;$D287&amp;$BC$1&amp;"")</f>
        <v>1.24</v>
      </c>
      <c r="BD287" s="293"/>
      <c r="BE287" s="293">
        <v>0.99</v>
      </c>
      <c r="BF287" s="291">
        <v>0.12</v>
      </c>
      <c r="BG287" s="292" cm="1">
        <f t="array" aca="1" ref="BG287" ca="1">INDIRECT("'"&amp;$C287&amp;"'!"&amp;"$"&amp;$D287&amp;$BG$1&amp;"")</f>
        <v>0.76</v>
      </c>
      <c r="BH287" s="293"/>
      <c r="BI287" s="293">
        <v>0.96</v>
      </c>
      <c r="BJ287" s="291">
        <v>0.2</v>
      </c>
      <c r="BK287" s="290" cm="1">
        <f t="array" aca="1" ref="BK287" ca="1">INDIRECT("'"&amp;$C287&amp;"'!"&amp;"$"&amp;$D287&amp;$BK$1&amp;"")</f>
        <v>3.7</v>
      </c>
      <c r="BL287" s="293"/>
      <c r="BM287" s="293">
        <v>0.95</v>
      </c>
      <c r="BN287" s="291">
        <v>1.2</v>
      </c>
    </row>
    <row r="288" spans="1:66" ht="15.75" thickBot="1" x14ac:dyDescent="0.25">
      <c r="A288" s="368">
        <v>45700</v>
      </c>
      <c r="B288" s="365">
        <v>0.33333333333333398</v>
      </c>
      <c r="C288" s="383">
        <v>12</v>
      </c>
      <c r="D288" s="319" t="s">
        <v>118</v>
      </c>
      <c r="E288" s="297">
        <v>14.3</v>
      </c>
      <c r="F288" s="298">
        <v>70.459999999999994</v>
      </c>
      <c r="G288" s="299" cm="1">
        <f t="array" aca="1" ref="G288" ca="1">INDIRECT("'"&amp;$C288&amp;"'!"&amp;"$"&amp;$D288&amp;$E$1&amp;"")</f>
        <v>6.8</v>
      </c>
      <c r="H288" s="300">
        <v>0.98</v>
      </c>
      <c r="I288" s="298">
        <v>1.53</v>
      </c>
      <c r="J288" s="299" cm="1">
        <f t="array" aca="1" ref="J288" ca="1">INDIRECT("'"&amp;$C288&amp;"'!"&amp;"$"&amp;$D288&amp;$J$1&amp;"")</f>
        <v>6.8</v>
      </c>
      <c r="K288" s="300"/>
      <c r="L288" s="300">
        <v>0.98</v>
      </c>
      <c r="M288" s="298">
        <v>1.53</v>
      </c>
      <c r="N288" s="299" cm="1">
        <f t="array" aca="1" ref="N288" ca="1">INDIRECT("'"&amp;$C288&amp;"'!"&amp;"$"&amp;$D288&amp;$N$1&amp;"")</f>
        <v>6.8</v>
      </c>
      <c r="O288" s="300"/>
      <c r="P288" s="300">
        <v>0.98</v>
      </c>
      <c r="Q288" s="298">
        <v>1.53</v>
      </c>
      <c r="R288" s="299" t="str" cm="1">
        <f t="array" aca="1" ref="R288" ca="1">INDIRECT("'"&amp;$C288&amp;"'!"&amp;"$"&amp;$D288&amp;$R$1&amp;"")</f>
        <v>PMS</v>
      </c>
      <c r="S288" s="300"/>
      <c r="T288" s="300" t="s">
        <v>1</v>
      </c>
      <c r="U288" s="298" t="s">
        <v>1</v>
      </c>
      <c r="V288" s="299" t="str" cm="1">
        <f t="array" aca="1" ref="V288" ca="1">INDIRECT("'"&amp;$C288&amp;"'!"&amp;"$"&amp;$D288&amp;$V$1&amp;"")</f>
        <v>CMS</v>
      </c>
      <c r="W288" s="300" t="s">
        <v>1</v>
      </c>
      <c r="X288" s="300" t="s">
        <v>1</v>
      </c>
      <c r="Y288" s="301" t="s">
        <v>1</v>
      </c>
      <c r="Z288" s="387" cm="1">
        <f t="array" aca="1" ref="Z288" ca="1">INDIRECT("'"&amp;$C288&amp;"'!"&amp;"$"&amp;$D288&amp;$Z$1&amp;"")</f>
        <v>0</v>
      </c>
      <c r="AA288" s="299" t="s">
        <v>1</v>
      </c>
      <c r="AB288" s="300" t="s">
        <v>1</v>
      </c>
      <c r="AC288" s="298" t="s">
        <v>1</v>
      </c>
      <c r="AD288" s="299" cm="1">
        <f t="array" aca="1" ref="AD288" ca="1">INDIRECT("'"&amp;$C288&amp;"'!"&amp;"$"&amp;$D288&amp;$AD$1&amp;"")</f>
        <v>3.3</v>
      </c>
      <c r="AE288" s="300">
        <f>3.8*3.58</f>
        <v>13.603999999999999</v>
      </c>
      <c r="AF288" s="300">
        <v>0.99</v>
      </c>
      <c r="AG288" s="301">
        <v>0.38</v>
      </c>
      <c r="AH288" s="297" cm="1">
        <f t="array" aca="1" ref="AH288" ca="1">INDIRECT("'"&amp;$C288&amp;"'!"&amp;"$"&amp;$D288&amp;$AH$1&amp;"")</f>
        <v>3.8</v>
      </c>
      <c r="AI288" s="300">
        <v>13.96</v>
      </c>
      <c r="AJ288" s="300">
        <v>0.97</v>
      </c>
      <c r="AK288" s="298">
        <v>0.63</v>
      </c>
      <c r="AL288" s="297">
        <v>11.8</v>
      </c>
      <c r="AM288" s="301">
        <v>70.5</v>
      </c>
      <c r="AN288" s="297" cm="1">
        <f t="array" aca="1" ref="AN288" ca="1">INDIRECT("'"&amp;$C288&amp;"'!"&amp;"$"&amp;$D288&amp;$AL$1&amp;"")</f>
        <v>4</v>
      </c>
      <c r="AO288" s="300">
        <v>0.99</v>
      </c>
      <c r="AP288" s="298">
        <v>0.54</v>
      </c>
      <c r="AQ288" s="299" cm="1">
        <f t="array" aca="1" ref="AQ288" ca="1">INDIRECT("'"&amp;$C288&amp;"'!"&amp;"$"&amp;$D288&amp;$AQ$1&amp;"")</f>
        <v>4</v>
      </c>
      <c r="AR288" s="300">
        <v>0.99</v>
      </c>
      <c r="AS288" s="298">
        <v>0.44</v>
      </c>
      <c r="AT288" s="297">
        <v>0</v>
      </c>
      <c r="AU288" s="301">
        <v>70.400000000000006</v>
      </c>
      <c r="AV288" s="297" t="str" cm="1">
        <f t="array" aca="1" ref="AV288" ca="1">INDIRECT("'"&amp;$C288&amp;"'!"&amp;"$"&amp;$D288&amp;$AT$1&amp;"")</f>
        <v>PMS</v>
      </c>
      <c r="AW288" s="300" t="s">
        <v>1</v>
      </c>
      <c r="AX288" s="301" t="s">
        <v>1</v>
      </c>
      <c r="AY288" s="387">
        <v>69.400000000000006</v>
      </c>
      <c r="AZ288" s="303" cm="1">
        <f t="array" aca="1" ref="AZ288" ca="1">INDIRECT("'"&amp;$C288&amp;"'!"&amp;"$"&amp;$D288&amp;$AY$1&amp;"")</f>
        <v>0.9</v>
      </c>
      <c r="BA288" s="300">
        <v>0.97</v>
      </c>
      <c r="BB288" s="298">
        <v>0.24</v>
      </c>
      <c r="BC288" s="299" cm="1">
        <f t="array" aca="1" ref="BC288" ca="1">INDIRECT("'"&amp;$C288&amp;"'!"&amp;"$"&amp;$D288&amp;$BC$1&amp;"")</f>
        <v>1.1000000000000001</v>
      </c>
      <c r="BD288" s="300"/>
      <c r="BE288" s="300">
        <v>0.99</v>
      </c>
      <c r="BF288" s="298">
        <v>0.13</v>
      </c>
      <c r="BG288" s="299" cm="1">
        <f t="array" aca="1" ref="BG288" ca="1">INDIRECT("'"&amp;$C288&amp;"'!"&amp;"$"&amp;$D288&amp;$BG$1&amp;"")</f>
        <v>0.7</v>
      </c>
      <c r="BH288" s="300"/>
      <c r="BI288" s="300">
        <v>0.96</v>
      </c>
      <c r="BJ288" s="298">
        <v>0.2</v>
      </c>
      <c r="BK288" s="297" cm="1">
        <f t="array" aca="1" ref="BK288" ca="1">INDIRECT("'"&amp;$C288&amp;"'!"&amp;"$"&amp;$D288&amp;$BK$1&amp;"")</f>
        <v>3.5</v>
      </c>
      <c r="BL288" s="300"/>
      <c r="BM288" s="300">
        <v>0.95</v>
      </c>
      <c r="BN288" s="298">
        <v>1.1000000000000001</v>
      </c>
    </row>
    <row r="289" spans="1:66" ht="15.75" thickBot="1" x14ac:dyDescent="0.25">
      <c r="A289" s="368">
        <v>45700</v>
      </c>
      <c r="B289" s="365">
        <v>0.375</v>
      </c>
      <c r="C289" s="383">
        <v>12</v>
      </c>
      <c r="D289" s="319" t="s">
        <v>119</v>
      </c>
      <c r="E289" s="290">
        <v>14.1</v>
      </c>
      <c r="F289" s="291">
        <v>70.64</v>
      </c>
      <c r="G289" s="292" cm="1">
        <f t="array" aca="1" ref="G289" ca="1">INDIRECT("'"&amp;$C289&amp;"'!"&amp;"$"&amp;$D289&amp;$E$1&amp;"")</f>
        <v>6.7</v>
      </c>
      <c r="H289" s="293">
        <v>0.98</v>
      </c>
      <c r="I289" s="291">
        <v>1.45</v>
      </c>
      <c r="J289" s="292" cm="1">
        <f t="array" aca="1" ref="J289" ca="1">INDIRECT("'"&amp;$C289&amp;"'!"&amp;"$"&amp;$D289&amp;$J$1&amp;"")</f>
        <v>6.8</v>
      </c>
      <c r="K289" s="293"/>
      <c r="L289" s="293">
        <v>0.96</v>
      </c>
      <c r="M289" s="291">
        <v>2.0099999999999998</v>
      </c>
      <c r="N289" s="292" cm="1">
        <f t="array" aca="1" ref="N289" ca="1">INDIRECT("'"&amp;$C289&amp;"'!"&amp;"$"&amp;$D289&amp;$N$1&amp;"")</f>
        <v>6.7</v>
      </c>
      <c r="O289" s="293"/>
      <c r="P289" s="293">
        <v>0.98</v>
      </c>
      <c r="Q289" s="291">
        <v>1.39</v>
      </c>
      <c r="R289" s="292" t="str" cm="1">
        <f t="array" aca="1" ref="R289" ca="1">INDIRECT("'"&amp;$C289&amp;"'!"&amp;"$"&amp;$D289&amp;$R$1&amp;"")</f>
        <v>PMS</v>
      </c>
      <c r="S289" s="293"/>
      <c r="T289" s="293" t="s">
        <v>1</v>
      </c>
      <c r="U289" s="291" t="s">
        <v>1</v>
      </c>
      <c r="V289" s="292" t="str" cm="1">
        <f t="array" aca="1" ref="V289" ca="1">INDIRECT("'"&amp;$C289&amp;"'!"&amp;"$"&amp;$D289&amp;$V$1&amp;"")</f>
        <v>CMS</v>
      </c>
      <c r="W289" s="293" t="s">
        <v>1</v>
      </c>
      <c r="X289" s="293" t="s">
        <v>1</v>
      </c>
      <c r="Y289" s="294" t="s">
        <v>1</v>
      </c>
      <c r="Z289" s="386" cm="1">
        <f t="array" aca="1" ref="Z289" ca="1">INDIRECT("'"&amp;$C289&amp;"'!"&amp;"$"&amp;$D289&amp;$Z$1&amp;"")</f>
        <v>0</v>
      </c>
      <c r="AA289" s="292" t="s">
        <v>1</v>
      </c>
      <c r="AB289" s="293" t="s">
        <v>1</v>
      </c>
      <c r="AC289" s="291" t="s">
        <v>1</v>
      </c>
      <c r="AD289" s="292" cm="1">
        <f t="array" aca="1" ref="AD289" ca="1">INDIRECT("'"&amp;$C289&amp;"'!"&amp;"$"&amp;$D289&amp;$AD$1&amp;"")</f>
        <v>3.3</v>
      </c>
      <c r="AE289" s="293">
        <f>3.8*3.56</f>
        <v>13.527999999999999</v>
      </c>
      <c r="AF289" s="293">
        <v>0.96</v>
      </c>
      <c r="AG289" s="294">
        <v>0.91</v>
      </c>
      <c r="AH289" s="290" cm="1">
        <f t="array" aca="1" ref="AH289" ca="1">INDIRECT("'"&amp;$C289&amp;"'!"&amp;"$"&amp;$D289&amp;$AH$1&amp;"")</f>
        <v>3.8</v>
      </c>
      <c r="AI289" s="293">
        <v>13.88</v>
      </c>
      <c r="AJ289" s="293">
        <v>0.94</v>
      </c>
      <c r="AK289" s="291">
        <v>1.05</v>
      </c>
      <c r="AL289" s="290">
        <v>11.8</v>
      </c>
      <c r="AM289" s="294">
        <v>69.900000000000006</v>
      </c>
      <c r="AN289" s="290" cm="1">
        <f t="array" aca="1" ref="AN289" ca="1">INDIRECT("'"&amp;$C289&amp;"'!"&amp;"$"&amp;$D289&amp;$AL$1&amp;"")</f>
        <v>4</v>
      </c>
      <c r="AO289" s="293">
        <v>0.99</v>
      </c>
      <c r="AP289" s="291">
        <v>0.88</v>
      </c>
      <c r="AQ289" s="292" cm="1">
        <f t="array" aca="1" ref="AQ289" ca="1">INDIRECT("'"&amp;$C289&amp;"'!"&amp;"$"&amp;$D289&amp;$AQ$1&amp;"")</f>
        <v>4</v>
      </c>
      <c r="AR289" s="293">
        <v>0.99</v>
      </c>
      <c r="AS289" s="291">
        <v>0.88</v>
      </c>
      <c r="AT289" s="290">
        <v>0</v>
      </c>
      <c r="AU289" s="294">
        <v>69.8</v>
      </c>
      <c r="AV289" s="290" t="str" cm="1">
        <f t="array" aca="1" ref="AV289" ca="1">INDIRECT("'"&amp;$C289&amp;"'!"&amp;"$"&amp;$D289&amp;$AT$1&amp;"")</f>
        <v>PMS</v>
      </c>
      <c r="AW289" s="293" t="s">
        <v>1</v>
      </c>
      <c r="AX289" s="294" t="s">
        <v>1</v>
      </c>
      <c r="AY289" s="386">
        <v>69</v>
      </c>
      <c r="AZ289" s="296" cm="1">
        <f t="array" aca="1" ref="AZ289" ca="1">INDIRECT("'"&amp;$C289&amp;"'!"&amp;"$"&amp;$D289&amp;$AY$1&amp;"")</f>
        <v>6.8</v>
      </c>
      <c r="BA289" s="293">
        <v>0.97</v>
      </c>
      <c r="BB289" s="291">
        <v>1.7</v>
      </c>
      <c r="BC289" s="292" cm="1">
        <f t="array" aca="1" ref="BC289" ca="1">INDIRECT("'"&amp;$C289&amp;"'!"&amp;"$"&amp;$D289&amp;$BC$1&amp;"")</f>
        <v>1.25</v>
      </c>
      <c r="BD289" s="293"/>
      <c r="BE289" s="293">
        <v>0.99</v>
      </c>
      <c r="BF289" s="291">
        <v>0.15</v>
      </c>
      <c r="BG289" s="292" cm="1">
        <f t="array" aca="1" ref="BG289" ca="1">INDIRECT("'"&amp;$C289&amp;"'!"&amp;"$"&amp;$D289&amp;$BG$1&amp;"")</f>
        <v>0.71</v>
      </c>
      <c r="BH289" s="293"/>
      <c r="BI289" s="293">
        <v>0.96</v>
      </c>
      <c r="BJ289" s="291">
        <v>0.2</v>
      </c>
      <c r="BK289" s="290" cm="1">
        <f t="array" aca="1" ref="BK289" ca="1">INDIRECT("'"&amp;$C289&amp;"'!"&amp;"$"&amp;$D289&amp;$BK$1&amp;"")</f>
        <v>2.7</v>
      </c>
      <c r="BL289" s="293"/>
      <c r="BM289" s="293">
        <v>0.95</v>
      </c>
      <c r="BN289" s="291">
        <v>0.88</v>
      </c>
    </row>
    <row r="290" spans="1:66" ht="15.75" thickBot="1" x14ac:dyDescent="0.25">
      <c r="A290" s="368">
        <v>45700</v>
      </c>
      <c r="B290" s="365">
        <v>0.41666666666666702</v>
      </c>
      <c r="C290" s="383">
        <v>12</v>
      </c>
      <c r="D290" s="319" t="s">
        <v>120</v>
      </c>
      <c r="E290" s="297">
        <v>14.1</v>
      </c>
      <c r="F290" s="298">
        <v>70.45</v>
      </c>
      <c r="G290" s="299" cm="1">
        <f t="array" aca="1" ref="G290" ca="1">INDIRECT("'"&amp;$C290&amp;"'!"&amp;"$"&amp;$D290&amp;$E$1&amp;"")</f>
        <v>6.9</v>
      </c>
      <c r="H290" s="300">
        <v>0.98</v>
      </c>
      <c r="I290" s="298">
        <v>1.45</v>
      </c>
      <c r="J290" s="299" cm="1">
        <f t="array" aca="1" ref="J290" ca="1">INDIRECT("'"&amp;$C290&amp;"'!"&amp;"$"&amp;$D290&amp;$J$1&amp;"")</f>
        <v>7</v>
      </c>
      <c r="K290" s="300"/>
      <c r="L290" s="300">
        <v>0.96</v>
      </c>
      <c r="M290" s="298">
        <v>2.0499999999999998</v>
      </c>
      <c r="N290" s="299" cm="1">
        <f t="array" aca="1" ref="N290" ca="1">INDIRECT("'"&amp;$C290&amp;"'!"&amp;"$"&amp;$D290&amp;$N$1&amp;"")</f>
        <v>6.8</v>
      </c>
      <c r="O290" s="300"/>
      <c r="P290" s="300">
        <v>0.98</v>
      </c>
      <c r="Q290" s="298">
        <v>1.39</v>
      </c>
      <c r="R290" s="299" t="str" cm="1">
        <f t="array" aca="1" ref="R290" ca="1">INDIRECT("'"&amp;$C290&amp;"'!"&amp;"$"&amp;$D290&amp;$R$1&amp;"")</f>
        <v>PMS</v>
      </c>
      <c r="S290" s="300"/>
      <c r="T290" s="300" t="s">
        <v>1</v>
      </c>
      <c r="U290" s="298" t="s">
        <v>1</v>
      </c>
      <c r="V290" s="299" t="str" cm="1">
        <f t="array" aca="1" ref="V290" ca="1">INDIRECT("'"&amp;$C290&amp;"'!"&amp;"$"&amp;$D290&amp;$V$1&amp;"")</f>
        <v>CMS</v>
      </c>
      <c r="W290" s="300" t="s">
        <v>1</v>
      </c>
      <c r="X290" s="300" t="s">
        <v>1</v>
      </c>
      <c r="Y290" s="301" t="s">
        <v>1</v>
      </c>
      <c r="Z290" s="387" cm="1">
        <f t="array" aca="1" ref="Z290" ca="1">INDIRECT("'"&amp;$C290&amp;"'!"&amp;"$"&amp;$D290&amp;$Z$1&amp;"")</f>
        <v>0</v>
      </c>
      <c r="AA290" s="299" t="s">
        <v>1</v>
      </c>
      <c r="AB290" s="300" t="s">
        <v>1</v>
      </c>
      <c r="AC290" s="298" t="s">
        <v>1</v>
      </c>
      <c r="AD290" s="299" cm="1">
        <f t="array" aca="1" ref="AD290" ca="1">INDIRECT("'"&amp;$C290&amp;"'!"&amp;"$"&amp;$D290&amp;$AD$1&amp;"")</f>
        <v>3.3</v>
      </c>
      <c r="AE290" s="300">
        <f>3.8*3.53</f>
        <v>13.413999999999998</v>
      </c>
      <c r="AF290" s="300">
        <v>0.96</v>
      </c>
      <c r="AG290" s="301">
        <v>0.92</v>
      </c>
      <c r="AH290" s="297" cm="1">
        <f t="array" aca="1" ref="AH290" ca="1">INDIRECT("'"&amp;$C290&amp;"'!"&amp;"$"&amp;$D290&amp;$AH$1&amp;"")</f>
        <v>3.8</v>
      </c>
      <c r="AI290" s="300">
        <v>13.84</v>
      </c>
      <c r="AJ290" s="300">
        <v>0.92</v>
      </c>
      <c r="AK290" s="298">
        <v>1.35</v>
      </c>
      <c r="AL290" s="297">
        <v>11.8</v>
      </c>
      <c r="AM290" s="301">
        <v>69.900000000000006</v>
      </c>
      <c r="AN290" s="297" cm="1">
        <f t="array" aca="1" ref="AN290" ca="1">INDIRECT("'"&amp;$C290&amp;"'!"&amp;"$"&amp;$D290&amp;$AL$1&amp;"")</f>
        <v>4</v>
      </c>
      <c r="AO290" s="300">
        <v>0.96</v>
      </c>
      <c r="AP290" s="298">
        <v>1</v>
      </c>
      <c r="AQ290" s="299" cm="1">
        <f t="array" aca="1" ref="AQ290" ca="1">INDIRECT("'"&amp;$C290&amp;"'!"&amp;"$"&amp;$D290&amp;$AQ$1&amp;"")</f>
        <v>4</v>
      </c>
      <c r="AR290" s="300">
        <v>0.96</v>
      </c>
      <c r="AS290" s="298">
        <v>1</v>
      </c>
      <c r="AT290" s="297">
        <v>0</v>
      </c>
      <c r="AU290" s="301">
        <v>69.5</v>
      </c>
      <c r="AV290" s="297" t="str" cm="1">
        <f t="array" aca="1" ref="AV290" ca="1">INDIRECT("'"&amp;$C290&amp;"'!"&amp;"$"&amp;$D290&amp;$AT$1&amp;"")</f>
        <v>PMS</v>
      </c>
      <c r="AW290" s="300" t="s">
        <v>1</v>
      </c>
      <c r="AX290" s="301" t="s">
        <v>1</v>
      </c>
      <c r="AY290" s="387">
        <v>68.8</v>
      </c>
      <c r="AZ290" s="303" cm="1">
        <f t="array" aca="1" ref="AZ290" ca="1">INDIRECT("'"&amp;$C290&amp;"'!"&amp;"$"&amp;$D290&amp;$AY$1&amp;"")</f>
        <v>12.600000000000003</v>
      </c>
      <c r="BA290" s="300">
        <v>0.97</v>
      </c>
      <c r="BB290" s="298">
        <v>3.1</v>
      </c>
      <c r="BC290" s="299" cm="1">
        <f t="array" aca="1" ref="BC290" ca="1">INDIRECT("'"&amp;$C290&amp;"'!"&amp;"$"&amp;$D290&amp;$BC$1&amp;"")</f>
        <v>1.28</v>
      </c>
      <c r="BD290" s="300"/>
      <c r="BE290" s="300">
        <v>0.99</v>
      </c>
      <c r="BF290" s="298">
        <v>0.16</v>
      </c>
      <c r="BG290" s="299" cm="1">
        <f t="array" aca="1" ref="BG290" ca="1">INDIRECT("'"&amp;$C290&amp;"'!"&amp;"$"&amp;$D290&amp;$BG$1&amp;"")</f>
        <v>0.76</v>
      </c>
      <c r="BH290" s="300"/>
      <c r="BI290" s="300">
        <v>0.96</v>
      </c>
      <c r="BJ290" s="298">
        <v>0.22</v>
      </c>
      <c r="BK290" s="297" cm="1">
        <f t="array" aca="1" ref="BK290" ca="1">INDIRECT("'"&amp;$C290&amp;"'!"&amp;"$"&amp;$D290&amp;$BK$1&amp;"")</f>
        <v>2.56</v>
      </c>
      <c r="BL290" s="300"/>
      <c r="BM290" s="300">
        <v>0.95</v>
      </c>
      <c r="BN290" s="298">
        <v>0.84</v>
      </c>
    </row>
    <row r="291" spans="1:66" ht="15.75" thickBot="1" x14ac:dyDescent="0.25">
      <c r="A291" s="368">
        <v>45700</v>
      </c>
      <c r="B291" s="365">
        <v>0.45833333333333398</v>
      </c>
      <c r="C291" s="383">
        <v>12</v>
      </c>
      <c r="D291" s="319" t="s">
        <v>121</v>
      </c>
      <c r="E291" s="290">
        <v>14.1</v>
      </c>
      <c r="F291" s="291">
        <v>70.23</v>
      </c>
      <c r="G291" s="292" cm="1">
        <f t="array" aca="1" ref="G291" ca="1">INDIRECT("'"&amp;$C291&amp;"'!"&amp;"$"&amp;$D291&amp;$E$1&amp;"")</f>
        <v>6.6</v>
      </c>
      <c r="H291" s="293">
        <v>0.98</v>
      </c>
      <c r="I291" s="291">
        <v>1.38</v>
      </c>
      <c r="J291" s="292" cm="1">
        <f t="array" aca="1" ref="J291" ca="1">INDIRECT("'"&amp;$C291&amp;"'!"&amp;"$"&amp;$D291&amp;$J$1&amp;"")</f>
        <v>6.8</v>
      </c>
      <c r="K291" s="293"/>
      <c r="L291" s="293">
        <v>0.96</v>
      </c>
      <c r="M291" s="291">
        <v>1.97</v>
      </c>
      <c r="N291" s="292" cm="1">
        <f t="array" aca="1" ref="N291" ca="1">INDIRECT("'"&amp;$C291&amp;"'!"&amp;"$"&amp;$D291&amp;$N$1&amp;"")</f>
        <v>6.6</v>
      </c>
      <c r="O291" s="293"/>
      <c r="P291" s="293">
        <v>0.98</v>
      </c>
      <c r="Q291" s="291">
        <v>1.29</v>
      </c>
      <c r="R291" s="292" t="str" cm="1">
        <f t="array" aca="1" ref="R291" ca="1">INDIRECT("'"&amp;$C291&amp;"'!"&amp;"$"&amp;$D291&amp;$R$1&amp;"")</f>
        <v>PMS</v>
      </c>
      <c r="S291" s="293"/>
      <c r="T291" s="293" t="s">
        <v>1</v>
      </c>
      <c r="U291" s="291" t="s">
        <v>1</v>
      </c>
      <c r="V291" s="292" t="str" cm="1">
        <f t="array" aca="1" ref="V291" ca="1">INDIRECT("'"&amp;$C291&amp;"'!"&amp;"$"&amp;$D291&amp;$V$1&amp;"")</f>
        <v>CMS</v>
      </c>
      <c r="W291" s="293" t="s">
        <v>1</v>
      </c>
      <c r="X291" s="293" t="s">
        <v>1</v>
      </c>
      <c r="Y291" s="294" t="s">
        <v>1</v>
      </c>
      <c r="Z291" s="386" cm="1">
        <f t="array" aca="1" ref="Z291" ca="1">INDIRECT("'"&amp;$C291&amp;"'!"&amp;"$"&amp;$D291&amp;$Z$1&amp;"")</f>
        <v>0</v>
      </c>
      <c r="AA291" s="292" t="s">
        <v>1</v>
      </c>
      <c r="AB291" s="293" t="s">
        <v>1</v>
      </c>
      <c r="AC291" s="291" t="s">
        <v>1</v>
      </c>
      <c r="AD291" s="292" cm="1">
        <f t="array" aca="1" ref="AD291" ca="1">INDIRECT("'"&amp;$C291&amp;"'!"&amp;"$"&amp;$D291&amp;$AD$1&amp;"")</f>
        <v>3.3</v>
      </c>
      <c r="AE291" s="293">
        <f>3.8*3.54</f>
        <v>13.452</v>
      </c>
      <c r="AF291" s="293">
        <v>0.95</v>
      </c>
      <c r="AG291" s="294">
        <v>1.05</v>
      </c>
      <c r="AH291" s="290" cm="1">
        <f t="array" aca="1" ref="AH291" ca="1">INDIRECT("'"&amp;$C291&amp;"'!"&amp;"$"&amp;$D291&amp;$AH$1&amp;"")</f>
        <v>3.8</v>
      </c>
      <c r="AI291" s="293">
        <v>13.8</v>
      </c>
      <c r="AJ291" s="293">
        <v>0.92</v>
      </c>
      <c r="AK291" s="291">
        <v>1.4</v>
      </c>
      <c r="AL291" s="290">
        <v>11.8</v>
      </c>
      <c r="AM291" s="294">
        <v>69.8</v>
      </c>
      <c r="AN291" s="290" cm="1">
        <f t="array" aca="1" ref="AN291" ca="1">INDIRECT("'"&amp;$C291&amp;"'!"&amp;"$"&amp;$D291&amp;$AL$1&amp;"")</f>
        <v>4.3</v>
      </c>
      <c r="AO291" s="293">
        <v>0.95</v>
      </c>
      <c r="AP291" s="291">
        <v>1.1000000000000001</v>
      </c>
      <c r="AQ291" s="292" cm="1">
        <f t="array" aca="1" ref="AQ291" ca="1">INDIRECT("'"&amp;$C291&amp;"'!"&amp;"$"&amp;$D291&amp;$AQ$1&amp;"")</f>
        <v>4.3</v>
      </c>
      <c r="AR291" s="293">
        <v>0.95</v>
      </c>
      <c r="AS291" s="291">
        <v>1.1000000000000001</v>
      </c>
      <c r="AT291" s="290">
        <v>0</v>
      </c>
      <c r="AU291" s="294">
        <v>69</v>
      </c>
      <c r="AV291" s="290" t="str" cm="1">
        <f t="array" aca="1" ref="AV291" ca="1">INDIRECT("'"&amp;$C291&amp;"'!"&amp;"$"&amp;$D291&amp;$AT$1&amp;"")</f>
        <v>PMS</v>
      </c>
      <c r="AW291" s="293" t="s">
        <v>1</v>
      </c>
      <c r="AX291" s="294" t="s">
        <v>1</v>
      </c>
      <c r="AY291" s="386">
        <v>68.7</v>
      </c>
      <c r="AZ291" s="296" cm="1">
        <f t="array" aca="1" ref="AZ291" ca="1">INDIRECT("'"&amp;$C291&amp;"'!"&amp;"$"&amp;$D291&amp;$AY$1&amp;"")</f>
        <v>13.200000000000005</v>
      </c>
      <c r="BA291" s="293">
        <v>0.95</v>
      </c>
      <c r="BB291" s="291">
        <v>4.3</v>
      </c>
      <c r="BC291" s="292" cm="1">
        <f t="array" aca="1" ref="BC291" ca="1">INDIRECT("'"&amp;$C291&amp;"'!"&amp;"$"&amp;$D291&amp;$BC$1&amp;"")</f>
        <v>1.33</v>
      </c>
      <c r="BD291" s="293"/>
      <c r="BE291" s="293">
        <v>0.99</v>
      </c>
      <c r="BF291" s="291">
        <v>0.16</v>
      </c>
      <c r="BG291" s="292" cm="1">
        <f t="array" aca="1" ref="BG291" ca="1">INDIRECT("'"&amp;$C291&amp;"'!"&amp;"$"&amp;$D291&amp;$BG$1&amp;"")</f>
        <v>0.78</v>
      </c>
      <c r="BH291" s="293"/>
      <c r="BI291" s="293">
        <v>0.96</v>
      </c>
      <c r="BJ291" s="291">
        <v>0.22</v>
      </c>
      <c r="BK291" s="290" cm="1">
        <f t="array" aca="1" ref="BK291" ca="1">INDIRECT("'"&amp;$C291&amp;"'!"&amp;"$"&amp;$D291&amp;$BK$1&amp;"")</f>
        <v>4.3</v>
      </c>
      <c r="BL291" s="293"/>
      <c r="BM291" s="293">
        <v>0.95</v>
      </c>
      <c r="BN291" s="291">
        <v>1.4</v>
      </c>
    </row>
    <row r="292" spans="1:66" ht="15.75" thickBot="1" x14ac:dyDescent="0.25">
      <c r="A292" s="368">
        <v>45700</v>
      </c>
      <c r="B292" s="365">
        <v>0.5</v>
      </c>
      <c r="C292" s="383">
        <v>12</v>
      </c>
      <c r="D292" s="319" t="s">
        <v>122</v>
      </c>
      <c r="E292" s="297">
        <v>14.2</v>
      </c>
      <c r="F292" s="298">
        <v>70.36</v>
      </c>
      <c r="G292" s="299" cm="1">
        <f t="array" aca="1" ref="G292" ca="1">INDIRECT("'"&amp;$C292&amp;"'!"&amp;"$"&amp;$D292&amp;$E$1&amp;"")</f>
        <v>5.4</v>
      </c>
      <c r="H292" s="300">
        <v>0.97</v>
      </c>
      <c r="I292" s="298">
        <v>1.36</v>
      </c>
      <c r="J292" s="299" cm="1">
        <f t="array" aca="1" ref="J292" ca="1">INDIRECT("'"&amp;$C292&amp;"'!"&amp;"$"&amp;$D292&amp;$J$1&amp;"")</f>
        <v>5</v>
      </c>
      <c r="K292" s="300"/>
      <c r="L292" s="300">
        <v>0.96</v>
      </c>
      <c r="M292" s="298">
        <v>1.42</v>
      </c>
      <c r="N292" s="299" cm="1">
        <f t="array" aca="1" ref="N292" ca="1">INDIRECT("'"&amp;$C292&amp;"'!"&amp;"$"&amp;$D292&amp;$N$1&amp;"")</f>
        <v>4.2</v>
      </c>
      <c r="O292" s="300"/>
      <c r="P292" s="300">
        <v>0.97</v>
      </c>
      <c r="Q292" s="298">
        <v>0.99</v>
      </c>
      <c r="R292" s="299" cm="1">
        <f t="array" aca="1" ref="R292" ca="1">INDIRECT("'"&amp;$C292&amp;"'!"&amp;"$"&amp;$D292&amp;$R$1&amp;"")</f>
        <v>6</v>
      </c>
      <c r="S292" s="300"/>
      <c r="T292" s="300">
        <v>0.97</v>
      </c>
      <c r="U292" s="298">
        <v>1.45</v>
      </c>
      <c r="V292" s="299" t="str" cm="1">
        <f t="array" aca="1" ref="V292" ca="1">INDIRECT("'"&amp;$C292&amp;"'!"&amp;"$"&amp;$D292&amp;$V$1&amp;"")</f>
        <v>CMS</v>
      </c>
      <c r="W292" s="300" t="s">
        <v>1</v>
      </c>
      <c r="X292" s="300" t="s">
        <v>1</v>
      </c>
      <c r="Y292" s="301" t="s">
        <v>1</v>
      </c>
      <c r="Z292" s="387" cm="1">
        <f t="array" aca="1" ref="Z292" ca="1">INDIRECT("'"&amp;$C292&amp;"'!"&amp;"$"&amp;$D292&amp;$Z$1&amp;"")</f>
        <v>0</v>
      </c>
      <c r="AA292" s="299" t="s">
        <v>1</v>
      </c>
      <c r="AB292" s="300" t="s">
        <v>1</v>
      </c>
      <c r="AC292" s="298" t="s">
        <v>1</v>
      </c>
      <c r="AD292" s="299" cm="1">
        <f t="array" aca="1" ref="AD292" ca="1">INDIRECT("'"&amp;$C292&amp;"'!"&amp;"$"&amp;$D292&amp;$AD$1&amp;"")</f>
        <v>3.3</v>
      </c>
      <c r="AE292" s="300">
        <f>3.8*3.57</f>
        <v>13.565999999999999</v>
      </c>
      <c r="AF292" s="300">
        <v>0.95</v>
      </c>
      <c r="AG292" s="301">
        <v>1.07</v>
      </c>
      <c r="AH292" s="297" cm="1">
        <f t="array" aca="1" ref="AH292" ca="1">INDIRECT("'"&amp;$C292&amp;"'!"&amp;"$"&amp;$D292&amp;$AH$1&amp;"")</f>
        <v>3.8</v>
      </c>
      <c r="AI292" s="300">
        <v>13.8</v>
      </c>
      <c r="AJ292" s="300">
        <v>0.91</v>
      </c>
      <c r="AK292" s="298">
        <v>1.46</v>
      </c>
      <c r="AL292" s="297">
        <v>11.8</v>
      </c>
      <c r="AM292" s="301">
        <v>69.900000000000006</v>
      </c>
      <c r="AN292" s="297" cm="1">
        <f t="array" aca="1" ref="AN292" ca="1">INDIRECT("'"&amp;$C292&amp;"'!"&amp;"$"&amp;$D292&amp;$AL$1&amp;"")</f>
        <v>3.8</v>
      </c>
      <c r="AO292" s="300">
        <v>0.97</v>
      </c>
      <c r="AP292" s="298">
        <v>0.98</v>
      </c>
      <c r="AQ292" s="299" cm="1">
        <f t="array" aca="1" ref="AQ292" ca="1">INDIRECT("'"&amp;$C292&amp;"'!"&amp;"$"&amp;$D292&amp;$AQ$1&amp;"")</f>
        <v>3.8</v>
      </c>
      <c r="AR292" s="300">
        <v>0.97</v>
      </c>
      <c r="AS292" s="298">
        <v>0.98</v>
      </c>
      <c r="AT292" s="297">
        <v>0</v>
      </c>
      <c r="AU292" s="301">
        <v>69.900000000000006</v>
      </c>
      <c r="AV292" s="297" t="str" cm="1">
        <f t="array" aca="1" ref="AV292" ca="1">INDIRECT("'"&amp;$C292&amp;"'!"&amp;"$"&amp;$D292&amp;$AT$1&amp;"")</f>
        <v>PMS</v>
      </c>
      <c r="AW292" s="300" t="s">
        <v>1</v>
      </c>
      <c r="AX292" s="301" t="s">
        <v>1</v>
      </c>
      <c r="AY292" s="387">
        <v>69</v>
      </c>
      <c r="AZ292" s="303" cm="1">
        <f t="array" aca="1" ref="AZ292" ca="1">INDIRECT("'"&amp;$C292&amp;"'!"&amp;"$"&amp;$D292&amp;$AY$1&amp;"")</f>
        <v>13.100000000000003</v>
      </c>
      <c r="BA292" s="300">
        <v>0.95</v>
      </c>
      <c r="BB292" s="298">
        <v>4.3</v>
      </c>
      <c r="BC292" s="299" cm="1">
        <f t="array" aca="1" ref="BC292" ca="1">INDIRECT("'"&amp;$C292&amp;"'!"&amp;"$"&amp;$D292&amp;$BC$1&amp;"")</f>
        <v>1.28</v>
      </c>
      <c r="BD292" s="300"/>
      <c r="BE292" s="300">
        <v>0.99</v>
      </c>
      <c r="BF292" s="298">
        <v>0.16</v>
      </c>
      <c r="BG292" s="299" cm="1">
        <f t="array" aca="1" ref="BG292" ca="1">INDIRECT("'"&amp;$C292&amp;"'!"&amp;"$"&amp;$D292&amp;$BG$1&amp;"")</f>
        <v>0.74</v>
      </c>
      <c r="BH292" s="300"/>
      <c r="BI292" s="300">
        <v>0.96</v>
      </c>
      <c r="BJ292" s="298">
        <v>0.2</v>
      </c>
      <c r="BK292" s="297" cm="1">
        <f t="array" aca="1" ref="BK292" ca="1">INDIRECT("'"&amp;$C292&amp;"'!"&amp;"$"&amp;$D292&amp;$BK$1&amp;"")</f>
        <v>4.4400000000000004</v>
      </c>
      <c r="BL292" s="300"/>
      <c r="BM292" s="300">
        <v>0.95</v>
      </c>
      <c r="BN292" s="298">
        <v>1.4</v>
      </c>
    </row>
    <row r="293" spans="1:66" ht="15.75" thickBot="1" x14ac:dyDescent="0.25">
      <c r="A293" s="368">
        <v>45700</v>
      </c>
      <c r="B293" s="365">
        <v>0.54166666666666696</v>
      </c>
      <c r="C293" s="383">
        <v>12</v>
      </c>
      <c r="D293" s="319" t="s">
        <v>123</v>
      </c>
      <c r="E293" s="290">
        <v>14.1</v>
      </c>
      <c r="F293" s="291">
        <v>70.430000000000007</v>
      </c>
      <c r="G293" s="292" cm="1">
        <f t="array" aca="1" ref="G293" ca="1">INDIRECT("'"&amp;$C293&amp;"'!"&amp;"$"&amp;$D293&amp;$E$1&amp;"")</f>
        <v>6.7</v>
      </c>
      <c r="H293" s="293">
        <v>0.97</v>
      </c>
      <c r="I293" s="291">
        <v>1.77</v>
      </c>
      <c r="J293" s="292" cm="1">
        <f t="array" aca="1" ref="J293" ca="1">INDIRECT("'"&amp;$C293&amp;"'!"&amp;"$"&amp;$D293&amp;$J$1&amp;"")</f>
        <v>6.7</v>
      </c>
      <c r="K293" s="293"/>
      <c r="L293" s="293">
        <v>0.97</v>
      </c>
      <c r="M293" s="291">
        <v>1.78</v>
      </c>
      <c r="N293" s="292" cm="1">
        <f t="array" aca="1" ref="N293" ca="1">INDIRECT("'"&amp;$C293&amp;"'!"&amp;"$"&amp;$D293&amp;$N$1&amp;"")</f>
        <v>6.8</v>
      </c>
      <c r="O293" s="293"/>
      <c r="P293" s="293">
        <v>0.94</v>
      </c>
      <c r="Q293" s="291">
        <v>2.31</v>
      </c>
      <c r="R293" s="292" cm="1">
        <f t="array" aca="1" ref="R293" ca="1">INDIRECT("'"&amp;$C293&amp;"'!"&amp;"$"&amp;$D293&amp;$R$1&amp;"")</f>
        <v>6.8</v>
      </c>
      <c r="S293" s="293"/>
      <c r="T293" s="293">
        <v>0.97</v>
      </c>
      <c r="U293" s="291">
        <v>1.86</v>
      </c>
      <c r="V293" s="292" t="str" cm="1">
        <f t="array" aca="1" ref="V293" ca="1">INDIRECT("'"&amp;$C293&amp;"'!"&amp;"$"&amp;$D293&amp;$V$1&amp;"")</f>
        <v>CMS</v>
      </c>
      <c r="W293" s="293" t="s">
        <v>1</v>
      </c>
      <c r="X293" s="293" t="s">
        <v>1</v>
      </c>
      <c r="Y293" s="294" t="s">
        <v>1</v>
      </c>
      <c r="Z293" s="386" cm="1">
        <f t="array" aca="1" ref="Z293" ca="1">INDIRECT("'"&amp;$C293&amp;"'!"&amp;"$"&amp;$D293&amp;$Z$1&amp;"")</f>
        <v>0</v>
      </c>
      <c r="AA293" s="292" t="s">
        <v>1</v>
      </c>
      <c r="AB293" s="293" t="s">
        <v>1</v>
      </c>
      <c r="AC293" s="291" t="s">
        <v>1</v>
      </c>
      <c r="AD293" s="292" cm="1">
        <f t="array" aca="1" ref="AD293" ca="1">INDIRECT("'"&amp;$C293&amp;"'!"&amp;"$"&amp;$D293&amp;$AD$1&amp;"")</f>
        <v>3.3</v>
      </c>
      <c r="AE293" s="293">
        <f>3.8*3.53</f>
        <v>13.413999999999998</v>
      </c>
      <c r="AF293" s="293">
        <v>0.95</v>
      </c>
      <c r="AG293" s="294">
        <v>1.08</v>
      </c>
      <c r="AH293" s="290" cm="1">
        <f t="array" aca="1" ref="AH293" ca="1">INDIRECT("'"&amp;$C293&amp;"'!"&amp;"$"&amp;$D293&amp;$AH$1&amp;"")</f>
        <v>3.8</v>
      </c>
      <c r="AI293" s="293">
        <v>13.8</v>
      </c>
      <c r="AJ293" s="293">
        <v>0.91</v>
      </c>
      <c r="AK293" s="291">
        <v>1.47</v>
      </c>
      <c r="AL293" s="290">
        <v>11.8</v>
      </c>
      <c r="AM293" s="294">
        <v>69.599999999999994</v>
      </c>
      <c r="AN293" s="290" cm="1">
        <f t="array" aca="1" ref="AN293" ca="1">INDIRECT("'"&amp;$C293&amp;"'!"&amp;"$"&amp;$D293&amp;$AL$1&amp;"")</f>
        <v>4</v>
      </c>
      <c r="AO293" s="293">
        <v>0.97</v>
      </c>
      <c r="AP293" s="291">
        <v>1.1000000000000001</v>
      </c>
      <c r="AQ293" s="292" cm="1">
        <f t="array" aca="1" ref="AQ293" ca="1">INDIRECT("'"&amp;$C293&amp;"'!"&amp;"$"&amp;$D293&amp;$AQ$1&amp;"")</f>
        <v>4</v>
      </c>
      <c r="AR293" s="293">
        <v>0.97</v>
      </c>
      <c r="AS293" s="291">
        <v>1.1000000000000001</v>
      </c>
      <c r="AT293" s="290">
        <v>0</v>
      </c>
      <c r="AU293" s="294">
        <v>69</v>
      </c>
      <c r="AV293" s="290" t="str" cm="1">
        <f t="array" aca="1" ref="AV293" ca="1">INDIRECT("'"&amp;$C293&amp;"'!"&amp;"$"&amp;$D293&amp;$AT$1&amp;"")</f>
        <v>PMS</v>
      </c>
      <c r="AW293" s="293" t="s">
        <v>1</v>
      </c>
      <c r="AX293" s="294" t="s">
        <v>1</v>
      </c>
      <c r="AY293" s="386">
        <v>68.7</v>
      </c>
      <c r="AZ293" s="296" cm="1">
        <f t="array" aca="1" ref="AZ293" ca="1">INDIRECT("'"&amp;$C293&amp;"'!"&amp;"$"&amp;$D293&amp;$AY$1&amp;"")</f>
        <v>6.6999999999999993</v>
      </c>
      <c r="BA293" s="293">
        <v>0.95</v>
      </c>
      <c r="BB293" s="291">
        <v>2.2000000000000002</v>
      </c>
      <c r="BC293" s="292" cm="1">
        <f t="array" aca="1" ref="BC293" ca="1">INDIRECT("'"&amp;$C293&amp;"'!"&amp;"$"&amp;$D293&amp;$BC$1&amp;"")</f>
        <v>1.19</v>
      </c>
      <c r="BD293" s="293"/>
      <c r="BE293" s="293">
        <v>0.99</v>
      </c>
      <c r="BF293" s="291">
        <v>0.14000000000000001</v>
      </c>
      <c r="BG293" s="292" cm="1">
        <f t="array" aca="1" ref="BG293" ca="1">INDIRECT("'"&amp;$C293&amp;"'!"&amp;"$"&amp;$D293&amp;$BG$1&amp;"")</f>
        <v>0.73</v>
      </c>
      <c r="BH293" s="293"/>
      <c r="BI293" s="293">
        <v>0.96</v>
      </c>
      <c r="BJ293" s="291">
        <v>0.2</v>
      </c>
      <c r="BK293" s="290" cm="1">
        <f t="array" aca="1" ref="BK293" ca="1">INDIRECT("'"&amp;$C293&amp;"'!"&amp;"$"&amp;$D293&amp;$BK$1&amp;"")</f>
        <v>4.82</v>
      </c>
      <c r="BL293" s="293"/>
      <c r="BM293" s="293">
        <v>0.95</v>
      </c>
      <c r="BN293" s="291">
        <v>1.5</v>
      </c>
    </row>
    <row r="294" spans="1:66" ht="15.75" thickBot="1" x14ac:dyDescent="0.25">
      <c r="A294" s="368">
        <v>45700</v>
      </c>
      <c r="B294" s="365">
        <v>0.58333333333333404</v>
      </c>
      <c r="C294" s="383">
        <v>12</v>
      </c>
      <c r="D294" s="319" t="s">
        <v>124</v>
      </c>
      <c r="E294" s="297">
        <v>14.1</v>
      </c>
      <c r="F294" s="298">
        <v>70.06</v>
      </c>
      <c r="G294" s="299" cm="1">
        <f t="array" aca="1" ref="G294" ca="1">INDIRECT("'"&amp;$C294&amp;"'!"&amp;"$"&amp;$D294&amp;$E$1&amp;"")</f>
        <v>6.9</v>
      </c>
      <c r="H294" s="300">
        <v>0.97</v>
      </c>
      <c r="I294" s="298">
        <v>1.81</v>
      </c>
      <c r="J294" s="299" cm="1">
        <f t="array" aca="1" ref="J294" ca="1">INDIRECT("'"&amp;$C294&amp;"'!"&amp;"$"&amp;$D294&amp;$J$1&amp;"")</f>
        <v>6.9</v>
      </c>
      <c r="K294" s="300"/>
      <c r="L294" s="300">
        <v>0.97</v>
      </c>
      <c r="M294" s="298">
        <v>1.82</v>
      </c>
      <c r="N294" s="299" cm="1">
        <f t="array" aca="1" ref="N294" ca="1">INDIRECT("'"&amp;$C294&amp;"'!"&amp;"$"&amp;$D294&amp;$N$1&amp;"")</f>
        <v>6.9</v>
      </c>
      <c r="O294" s="300"/>
      <c r="P294" s="300">
        <v>0.91</v>
      </c>
      <c r="Q294" s="298">
        <v>3.09</v>
      </c>
      <c r="R294" s="299" cm="1">
        <f t="array" aca="1" ref="R294" ca="1">INDIRECT("'"&amp;$C294&amp;"'!"&amp;"$"&amp;$D294&amp;$R$1&amp;"")</f>
        <v>6.9</v>
      </c>
      <c r="S294" s="300"/>
      <c r="T294" s="300">
        <v>0.91</v>
      </c>
      <c r="U294" s="298">
        <v>3.09</v>
      </c>
      <c r="V294" s="299" t="str" cm="1">
        <f t="array" aca="1" ref="V294" ca="1">INDIRECT("'"&amp;$C294&amp;"'!"&amp;"$"&amp;$D294&amp;$V$1&amp;"")</f>
        <v>CMS</v>
      </c>
      <c r="W294" s="300" t="s">
        <v>1</v>
      </c>
      <c r="X294" s="300" t="s">
        <v>1</v>
      </c>
      <c r="Y294" s="301" t="s">
        <v>1</v>
      </c>
      <c r="Z294" s="387" cm="1">
        <f t="array" aca="1" ref="Z294" ca="1">INDIRECT("'"&amp;$C294&amp;"'!"&amp;"$"&amp;$D294&amp;$Z$1&amp;"")</f>
        <v>0</v>
      </c>
      <c r="AA294" s="299" t="s">
        <v>1</v>
      </c>
      <c r="AB294" s="300" t="s">
        <v>1</v>
      </c>
      <c r="AC294" s="298" t="s">
        <v>1</v>
      </c>
      <c r="AD294" s="299" cm="1">
        <f t="array" aca="1" ref="AD294" ca="1">INDIRECT("'"&amp;$C294&amp;"'!"&amp;"$"&amp;$D294&amp;$AD$1&amp;"")</f>
        <v>3.3</v>
      </c>
      <c r="AE294" s="300">
        <f>3.8*3.53</f>
        <v>13.413999999999998</v>
      </c>
      <c r="AF294" s="300">
        <v>0.95</v>
      </c>
      <c r="AG294" s="301">
        <v>1.07</v>
      </c>
      <c r="AH294" s="297" cm="1">
        <f t="array" aca="1" ref="AH294" ca="1">INDIRECT("'"&amp;$C294&amp;"'!"&amp;"$"&amp;$D294&amp;$AH$1&amp;"")</f>
        <v>0</v>
      </c>
      <c r="AI294" s="300" t="s">
        <v>1</v>
      </c>
      <c r="AJ294" s="300" t="s">
        <v>1</v>
      </c>
      <c r="AK294" s="298" t="s">
        <v>1</v>
      </c>
      <c r="AL294" s="297" t="s">
        <v>1</v>
      </c>
      <c r="AM294" s="301" t="s">
        <v>1</v>
      </c>
      <c r="AN294" s="297" cm="1">
        <f t="array" aca="1" ref="AN294" ca="1">INDIRECT("'"&amp;$C294&amp;"'!"&amp;"$"&amp;$D294&amp;$AL$1&amp;"")</f>
        <v>0</v>
      </c>
      <c r="AO294" s="300" t="s">
        <v>1</v>
      </c>
      <c r="AP294" s="298" t="s">
        <v>1</v>
      </c>
      <c r="AQ294" s="299" cm="1">
        <f t="array" aca="1" ref="AQ294" ca="1">INDIRECT("'"&amp;$C294&amp;"'!"&amp;"$"&amp;$D294&amp;$AQ$1&amp;"")</f>
        <v>0</v>
      </c>
      <c r="AR294" s="300" t="s">
        <v>1</v>
      </c>
      <c r="AS294" s="298" t="s">
        <v>1</v>
      </c>
      <c r="AT294" s="297" t="s">
        <v>1</v>
      </c>
      <c r="AU294" s="301" t="s">
        <v>1</v>
      </c>
      <c r="AV294" s="297" t="str" cm="1">
        <f t="array" aca="1" ref="AV294" ca="1">INDIRECT("'"&amp;$C294&amp;"'!"&amp;"$"&amp;$D294&amp;$AT$1&amp;"")</f>
        <v>PMS</v>
      </c>
      <c r="AW294" s="300" t="s">
        <v>1</v>
      </c>
      <c r="AX294" s="301" t="s">
        <v>1</v>
      </c>
      <c r="AY294" s="387">
        <v>68.900000000000006</v>
      </c>
      <c r="AZ294" s="303" cm="1">
        <f t="array" aca="1" ref="AZ294" ca="1">INDIRECT("'"&amp;$C294&amp;"'!"&amp;"$"&amp;$D294&amp;$AY$1&amp;"")</f>
        <v>7.5499999999999989</v>
      </c>
      <c r="BA294" s="300">
        <v>0.95</v>
      </c>
      <c r="BB294" s="298">
        <v>2.4</v>
      </c>
      <c r="BC294" s="299" cm="1">
        <f t="array" aca="1" ref="BC294" ca="1">INDIRECT("'"&amp;$C294&amp;"'!"&amp;"$"&amp;$D294&amp;$BC$1&amp;"")</f>
        <v>1.21</v>
      </c>
      <c r="BD294" s="300"/>
      <c r="BE294" s="300">
        <v>0.99</v>
      </c>
      <c r="BF294" s="298">
        <v>0.16</v>
      </c>
      <c r="BG294" s="299" cm="1">
        <f t="array" aca="1" ref="BG294" ca="1">INDIRECT("'"&amp;$C294&amp;"'!"&amp;"$"&amp;$D294&amp;$BG$1&amp;"")</f>
        <v>0.78</v>
      </c>
      <c r="BH294" s="300"/>
      <c r="BI294" s="300">
        <v>0.96</v>
      </c>
      <c r="BJ294" s="298">
        <v>0.24</v>
      </c>
      <c r="BK294" s="297" cm="1">
        <f t="array" aca="1" ref="BK294" ca="1">INDIRECT("'"&amp;$C294&amp;"'!"&amp;"$"&amp;$D294&amp;$BK$1&amp;"")</f>
        <v>4.84</v>
      </c>
      <c r="BL294" s="300"/>
      <c r="BM294" s="300">
        <v>0.95</v>
      </c>
      <c r="BN294" s="298">
        <v>1.5</v>
      </c>
    </row>
    <row r="295" spans="1:66" ht="15.75" thickBot="1" x14ac:dyDescent="0.25">
      <c r="A295" s="368">
        <v>45700</v>
      </c>
      <c r="B295" s="365">
        <v>0.625</v>
      </c>
      <c r="C295" s="383">
        <v>12</v>
      </c>
      <c r="D295" s="319" t="s">
        <v>125</v>
      </c>
      <c r="E295" s="290">
        <v>14.1</v>
      </c>
      <c r="F295" s="291">
        <v>69.650000000000006</v>
      </c>
      <c r="G295" s="292" cm="1">
        <f t="array" aca="1" ref="G295" ca="1">INDIRECT("'"&amp;$C295&amp;"'!"&amp;"$"&amp;$D295&amp;$E$1&amp;"")</f>
        <v>6.6</v>
      </c>
      <c r="H295" s="293">
        <v>0.97</v>
      </c>
      <c r="I295" s="291">
        <v>1.69</v>
      </c>
      <c r="J295" s="292" cm="1">
        <f t="array" aca="1" ref="J295" ca="1">INDIRECT("'"&amp;$C295&amp;"'!"&amp;"$"&amp;$D295&amp;$J$1&amp;"")</f>
        <v>6.6</v>
      </c>
      <c r="K295" s="293"/>
      <c r="L295" s="293">
        <v>0.97</v>
      </c>
      <c r="M295" s="291">
        <v>1.71</v>
      </c>
      <c r="N295" s="292" cm="1">
        <f t="array" aca="1" ref="N295" ca="1">INDIRECT("'"&amp;$C295&amp;"'!"&amp;"$"&amp;$D295&amp;$N$1&amp;"")</f>
        <v>6.6</v>
      </c>
      <c r="O295" s="293"/>
      <c r="P295" s="293">
        <v>0.9</v>
      </c>
      <c r="Q295" s="291">
        <v>3.01</v>
      </c>
      <c r="R295" s="292" cm="1">
        <f t="array" aca="1" ref="R295" ca="1">INDIRECT("'"&amp;$C295&amp;"'!"&amp;"$"&amp;$D295&amp;$R$1&amp;"")</f>
        <v>6.6</v>
      </c>
      <c r="S295" s="293"/>
      <c r="T295" s="293">
        <v>0.97</v>
      </c>
      <c r="U295" s="291">
        <v>1.74</v>
      </c>
      <c r="V295" s="292" t="str" cm="1">
        <f t="array" aca="1" ref="V295" ca="1">INDIRECT("'"&amp;$C295&amp;"'!"&amp;"$"&amp;$D295&amp;$V$1&amp;"")</f>
        <v>CMS</v>
      </c>
      <c r="W295" s="293" t="s">
        <v>1</v>
      </c>
      <c r="X295" s="293" t="s">
        <v>1</v>
      </c>
      <c r="Y295" s="294" t="s">
        <v>1</v>
      </c>
      <c r="Z295" s="386" cm="1">
        <f t="array" aca="1" ref="Z295" ca="1">INDIRECT("'"&amp;$C295&amp;"'!"&amp;"$"&amp;$D295&amp;$Z$1&amp;"")</f>
        <v>0</v>
      </c>
      <c r="AA295" s="292" t="s">
        <v>1</v>
      </c>
      <c r="AB295" s="293" t="s">
        <v>1</v>
      </c>
      <c r="AC295" s="291" t="s">
        <v>1</v>
      </c>
      <c r="AD295" s="292" cm="1">
        <f t="array" aca="1" ref="AD295" ca="1">INDIRECT("'"&amp;$C295&amp;"'!"&amp;"$"&amp;$D295&amp;$AD$1&amp;"")</f>
        <v>3.3</v>
      </c>
      <c r="AE295" s="293">
        <f>3.8*3.49</f>
        <v>13.262</v>
      </c>
      <c r="AF295" s="293">
        <v>0.95</v>
      </c>
      <c r="AG295" s="291">
        <v>1.1100000000000001</v>
      </c>
      <c r="AH295" s="290" cm="1">
        <f t="array" aca="1" ref="AH295" ca="1">INDIRECT("'"&amp;$C295&amp;"'!"&amp;"$"&amp;$D295&amp;$AH$1&amp;"")</f>
        <v>0</v>
      </c>
      <c r="AI295" s="293" t="s">
        <v>1</v>
      </c>
      <c r="AJ295" s="293" t="s">
        <v>1</v>
      </c>
      <c r="AK295" s="291" t="s">
        <v>1</v>
      </c>
      <c r="AL295" s="290" t="s">
        <v>1</v>
      </c>
      <c r="AM295" s="294" t="s">
        <v>1</v>
      </c>
      <c r="AN295" s="290" cm="1">
        <f t="array" aca="1" ref="AN295" ca="1">INDIRECT("'"&amp;$C295&amp;"'!"&amp;"$"&amp;$D295&amp;$AL$1&amp;"")</f>
        <v>0</v>
      </c>
      <c r="AO295" s="293" t="s">
        <v>1</v>
      </c>
      <c r="AP295" s="291" t="s">
        <v>1</v>
      </c>
      <c r="AQ295" s="292" cm="1">
        <f t="array" aca="1" ref="AQ295" ca="1">INDIRECT("'"&amp;$C295&amp;"'!"&amp;"$"&amp;$D295&amp;$AQ$1&amp;"")</f>
        <v>0</v>
      </c>
      <c r="AR295" s="293" t="s">
        <v>1</v>
      </c>
      <c r="AS295" s="291" t="s">
        <v>1</v>
      </c>
      <c r="AT295" s="290" t="s">
        <v>1</v>
      </c>
      <c r="AU295" s="294" t="s">
        <v>1</v>
      </c>
      <c r="AV295" s="290" t="str" cm="1">
        <f t="array" aca="1" ref="AV295" ca="1">INDIRECT("'"&amp;$C295&amp;"'!"&amp;"$"&amp;$D295&amp;$AT$1&amp;"")</f>
        <v>PMS</v>
      </c>
      <c r="AW295" s="293" t="s">
        <v>1</v>
      </c>
      <c r="AX295" s="294" t="s">
        <v>1</v>
      </c>
      <c r="AY295" s="386">
        <v>67.900000000000006</v>
      </c>
      <c r="AZ295" s="296" cm="1">
        <f t="array" aca="1" ref="AZ295" ca="1">INDIRECT("'"&amp;$C295&amp;"'!"&amp;"$"&amp;$D295&amp;$AY$1&amp;"")</f>
        <v>11.800000000000002</v>
      </c>
      <c r="BA295" s="293">
        <v>0.95</v>
      </c>
      <c r="BB295" s="291">
        <v>3.8</v>
      </c>
      <c r="BC295" s="292" cm="1">
        <f t="array" aca="1" ref="BC295" ca="1">INDIRECT("'"&amp;$C295&amp;"'!"&amp;"$"&amp;$D295&amp;$BC$1&amp;"")</f>
        <v>1.22</v>
      </c>
      <c r="BD295" s="293"/>
      <c r="BE295" s="293">
        <v>0.99</v>
      </c>
      <c r="BF295" s="291">
        <v>0.16</v>
      </c>
      <c r="BG295" s="292" cm="1">
        <f t="array" aca="1" ref="BG295" ca="1">INDIRECT("'"&amp;$C295&amp;"'!"&amp;"$"&amp;$D295&amp;$BG$1&amp;"")</f>
        <v>0.78</v>
      </c>
      <c r="BH295" s="293"/>
      <c r="BI295" s="293">
        <v>0.96</v>
      </c>
      <c r="BJ295" s="291">
        <v>0.24</v>
      </c>
      <c r="BK295" s="290" cm="1">
        <f t="array" aca="1" ref="BK295" ca="1">INDIRECT("'"&amp;$C295&amp;"'!"&amp;"$"&amp;$D295&amp;$BK$1&amp;"")</f>
        <v>4.83</v>
      </c>
      <c r="BL295" s="293"/>
      <c r="BM295" s="293">
        <v>0.95</v>
      </c>
      <c r="BN295" s="291">
        <v>1.4</v>
      </c>
    </row>
    <row r="296" spans="1:66" ht="15.75" thickBot="1" x14ac:dyDescent="0.25">
      <c r="A296" s="368">
        <v>45700</v>
      </c>
      <c r="B296" s="365">
        <v>0.66666666666666696</v>
      </c>
      <c r="C296" s="383">
        <v>12</v>
      </c>
      <c r="D296" s="319" t="s">
        <v>126</v>
      </c>
      <c r="E296" s="297">
        <v>14.2</v>
      </c>
      <c r="F296" s="298">
        <v>69.78</v>
      </c>
      <c r="G296" s="299" cm="1">
        <f t="array" aca="1" ref="G296" ca="1">INDIRECT("'"&amp;$C296&amp;"'!"&amp;"$"&amp;$D296&amp;$E$1&amp;"")</f>
        <v>6.2</v>
      </c>
      <c r="H296" s="300">
        <v>0.97</v>
      </c>
      <c r="I296" s="298">
        <v>1.57</v>
      </c>
      <c r="J296" s="299" cm="1">
        <f t="array" aca="1" ref="J296" ca="1">INDIRECT("'"&amp;$C296&amp;"'!"&amp;"$"&amp;$D296&amp;$J$1&amp;"")</f>
        <v>6.2</v>
      </c>
      <c r="K296" s="300"/>
      <c r="L296" s="300">
        <v>0.97</v>
      </c>
      <c r="M296" s="298">
        <v>1.48</v>
      </c>
      <c r="N296" s="299" cm="1">
        <f t="array" aca="1" ref="N296" ca="1">INDIRECT("'"&amp;$C296&amp;"'!"&amp;"$"&amp;$D296&amp;$N$1&amp;"")</f>
        <v>6.2</v>
      </c>
      <c r="O296" s="300"/>
      <c r="P296" s="300">
        <v>0.95</v>
      </c>
      <c r="Q296" s="298">
        <v>2.0499999999999998</v>
      </c>
      <c r="R296" s="299" cm="1">
        <f t="array" aca="1" ref="R296" ca="1">INDIRECT("'"&amp;$C296&amp;"'!"&amp;"$"&amp;$D296&amp;$R$1&amp;"")</f>
        <v>6.2</v>
      </c>
      <c r="S296" s="300"/>
      <c r="T296" s="300">
        <v>0.98</v>
      </c>
      <c r="U296" s="298">
        <v>1.4</v>
      </c>
      <c r="V296" s="299" t="str" cm="1">
        <f t="array" aca="1" ref="V296" ca="1">INDIRECT("'"&amp;$C296&amp;"'!"&amp;"$"&amp;$D296&amp;$V$1&amp;"")</f>
        <v>CMS</v>
      </c>
      <c r="W296" s="300" t="s">
        <v>1</v>
      </c>
      <c r="X296" s="300" t="s">
        <v>1</v>
      </c>
      <c r="Y296" s="301" t="s">
        <v>1</v>
      </c>
      <c r="Z296" s="387" cm="1">
        <f t="array" aca="1" ref="Z296" ca="1">INDIRECT("'"&amp;$C296&amp;"'!"&amp;"$"&amp;$D296&amp;$Z$1&amp;"")</f>
        <v>0</v>
      </c>
      <c r="AA296" s="299" t="s">
        <v>1</v>
      </c>
      <c r="AB296" s="300" t="s">
        <v>1</v>
      </c>
      <c r="AC296" s="298" t="s">
        <v>1</v>
      </c>
      <c r="AD296" s="299" cm="1">
        <f t="array" aca="1" ref="AD296" ca="1">INDIRECT("'"&amp;$C296&amp;"'!"&amp;"$"&amp;$D296&amp;$AD$1&amp;"")</f>
        <v>3.2</v>
      </c>
      <c r="AE296" s="300">
        <f>3.8*3.49</f>
        <v>13.262</v>
      </c>
      <c r="AF296" s="300">
        <v>0.95</v>
      </c>
      <c r="AG296" s="298">
        <v>1.1000000000000001</v>
      </c>
      <c r="AH296" s="297" cm="1">
        <f t="array" aca="1" ref="AH296" ca="1">INDIRECT("'"&amp;$C296&amp;"'!"&amp;"$"&amp;$D296&amp;$AH$1&amp;"")</f>
        <v>0</v>
      </c>
      <c r="AI296" s="300" t="s">
        <v>1</v>
      </c>
      <c r="AJ296" s="300" t="s">
        <v>1</v>
      </c>
      <c r="AK296" s="298" t="s">
        <v>1</v>
      </c>
      <c r="AL296" s="297">
        <v>11.4</v>
      </c>
      <c r="AM296" s="301">
        <v>68.2</v>
      </c>
      <c r="AN296" s="297" cm="1">
        <f t="array" aca="1" ref="AN296" ca="1">INDIRECT("'"&amp;$C296&amp;"'!"&amp;"$"&amp;$D296&amp;$AL$1&amp;"")</f>
        <v>0</v>
      </c>
      <c r="AO296" s="300" t="s">
        <v>1</v>
      </c>
      <c r="AP296" s="298" t="s">
        <v>1</v>
      </c>
      <c r="AQ296" s="299" cm="1">
        <f t="array" aca="1" ref="AQ296" ca="1">INDIRECT("'"&amp;$C296&amp;"'!"&amp;"$"&amp;$D296&amp;$AQ$1&amp;"")</f>
        <v>2.1</v>
      </c>
      <c r="AR296" s="300">
        <v>0.91</v>
      </c>
      <c r="AS296" s="298">
        <v>0.88</v>
      </c>
      <c r="AT296" s="297" t="s">
        <v>1</v>
      </c>
      <c r="AU296" s="301" t="s">
        <v>1</v>
      </c>
      <c r="AV296" s="297" t="str" cm="1">
        <f t="array" aca="1" ref="AV296" ca="1">INDIRECT("'"&amp;$C296&amp;"'!"&amp;"$"&amp;$D296&amp;$AT$1&amp;"")</f>
        <v>PMS</v>
      </c>
      <c r="AW296" s="300" t="s">
        <v>1</v>
      </c>
      <c r="AX296" s="301" t="s">
        <v>1</v>
      </c>
      <c r="AY296" s="387">
        <v>68.400000000000006</v>
      </c>
      <c r="AZ296" s="303" cm="1">
        <f t="array" aca="1" ref="AZ296" ca="1">INDIRECT("'"&amp;$C296&amp;"'!"&amp;"$"&amp;$D296&amp;$AY$1&amp;"")</f>
        <v>13.100000000000003</v>
      </c>
      <c r="BA296" s="300">
        <v>0.95</v>
      </c>
      <c r="BB296" s="298">
        <v>4.3</v>
      </c>
      <c r="BC296" s="299" cm="1">
        <f t="array" aca="1" ref="BC296" ca="1">INDIRECT("'"&amp;$C296&amp;"'!"&amp;"$"&amp;$D296&amp;$BC$1&amp;"")</f>
        <v>1.21</v>
      </c>
      <c r="BD296" s="300"/>
      <c r="BE296" s="300">
        <v>0.99</v>
      </c>
      <c r="BF296" s="298">
        <v>0.16</v>
      </c>
      <c r="BG296" s="299" cm="1">
        <f t="array" aca="1" ref="BG296" ca="1">INDIRECT("'"&amp;$C296&amp;"'!"&amp;"$"&amp;$D296&amp;$BG$1&amp;"")</f>
        <v>0.8</v>
      </c>
      <c r="BH296" s="300"/>
      <c r="BI296" s="300">
        <v>0.96</v>
      </c>
      <c r="BJ296" s="298">
        <v>0.24</v>
      </c>
      <c r="BK296" s="297" cm="1">
        <f t="array" aca="1" ref="BK296" ca="1">INDIRECT("'"&amp;$C296&amp;"'!"&amp;"$"&amp;$D296&amp;$BK$1&amp;"")</f>
        <v>4.68</v>
      </c>
      <c r="BL296" s="300"/>
      <c r="BM296" s="300">
        <v>0.95</v>
      </c>
      <c r="BN296" s="298">
        <v>1.5</v>
      </c>
    </row>
    <row r="297" spans="1:66" ht="15.75" thickBot="1" x14ac:dyDescent="0.25">
      <c r="A297" s="368">
        <v>45700</v>
      </c>
      <c r="B297" s="365">
        <v>0.70833333333333404</v>
      </c>
      <c r="C297" s="383">
        <v>12</v>
      </c>
      <c r="D297" s="319" t="s">
        <v>127</v>
      </c>
      <c r="E297" s="290">
        <v>14.1</v>
      </c>
      <c r="F297" s="291">
        <v>70.05</v>
      </c>
      <c r="G297" s="292" cm="1">
        <f t="array" aca="1" ref="G297" ca="1">INDIRECT("'"&amp;$C297&amp;"'!"&amp;"$"&amp;$D297&amp;$E$1&amp;"")</f>
        <v>6.5</v>
      </c>
      <c r="H297" s="293">
        <v>0.96</v>
      </c>
      <c r="I297" s="291">
        <v>1.89</v>
      </c>
      <c r="J297" s="292" cm="1">
        <f t="array" aca="1" ref="J297" ca="1">INDIRECT("'"&amp;$C297&amp;"'!"&amp;"$"&amp;$D297&amp;$J$1&amp;"")</f>
        <v>6.5</v>
      </c>
      <c r="K297" s="293"/>
      <c r="L297" s="293">
        <v>0.96</v>
      </c>
      <c r="M297" s="291">
        <v>1.88</v>
      </c>
      <c r="N297" s="292" cm="1">
        <f t="array" aca="1" ref="N297" ca="1">INDIRECT("'"&amp;$C297&amp;"'!"&amp;"$"&amp;$D297&amp;$N$1&amp;"")</f>
        <v>6.5</v>
      </c>
      <c r="O297" s="293"/>
      <c r="P297" s="293">
        <v>0.97</v>
      </c>
      <c r="Q297" s="291">
        <v>1.55</v>
      </c>
      <c r="R297" s="292" cm="1">
        <f t="array" aca="1" ref="R297" ca="1">INDIRECT("'"&amp;$C297&amp;"'!"&amp;"$"&amp;$D297&amp;$R$1&amp;"")</f>
        <v>6.9</v>
      </c>
      <c r="S297" s="293"/>
      <c r="T297" s="293">
        <v>0.97</v>
      </c>
      <c r="U297" s="291">
        <v>1.74</v>
      </c>
      <c r="V297" s="292" t="str" cm="1">
        <f t="array" aca="1" ref="V297" ca="1">INDIRECT("'"&amp;$C297&amp;"'!"&amp;"$"&amp;$D297&amp;$V$1&amp;"")</f>
        <v>CMS</v>
      </c>
      <c r="W297" s="293" t="s">
        <v>1</v>
      </c>
      <c r="X297" s="293" t="s">
        <v>1</v>
      </c>
      <c r="Y297" s="294" t="s">
        <v>1</v>
      </c>
      <c r="Z297" s="386" cm="1">
        <f t="array" aca="1" ref="Z297" ca="1">INDIRECT("'"&amp;$C297&amp;"'!"&amp;"$"&amp;$D297&amp;$Z$1&amp;"")</f>
        <v>0</v>
      </c>
      <c r="AA297" s="292" t="s">
        <v>1</v>
      </c>
      <c r="AB297" s="293" t="s">
        <v>1</v>
      </c>
      <c r="AC297" s="291" t="s">
        <v>1</v>
      </c>
      <c r="AD297" s="292" cm="1">
        <f t="array" aca="1" ref="AD297" ca="1">INDIRECT("'"&amp;$C297&amp;"'!"&amp;"$"&amp;$D297&amp;$AD$1&amp;"")</f>
        <v>3.3</v>
      </c>
      <c r="AE297" s="293">
        <f>3.8*3.54</f>
        <v>13.452</v>
      </c>
      <c r="AF297" s="293">
        <v>0.92</v>
      </c>
      <c r="AG297" s="291">
        <v>1.48</v>
      </c>
      <c r="AH297" s="290" cm="1">
        <f t="array" aca="1" ref="AH297" ca="1">INDIRECT("'"&amp;$C297&amp;"'!"&amp;"$"&amp;$D297&amp;$AH$1&amp;"")</f>
        <v>3.5</v>
      </c>
      <c r="AI297" s="293">
        <v>13.41</v>
      </c>
      <c r="AJ297" s="293">
        <v>0.97</v>
      </c>
      <c r="AK297" s="291">
        <v>0.62</v>
      </c>
      <c r="AL297" s="290">
        <v>11.4</v>
      </c>
      <c r="AM297" s="294">
        <v>68.400000000000006</v>
      </c>
      <c r="AN297" s="290" cm="1">
        <f t="array" aca="1" ref="AN297" ca="1">INDIRECT("'"&amp;$C297&amp;"'!"&amp;"$"&amp;$D297&amp;$AL$1&amp;"")</f>
        <v>0</v>
      </c>
      <c r="AO297" s="293" t="s">
        <v>1</v>
      </c>
      <c r="AP297" s="291" t="s">
        <v>1</v>
      </c>
      <c r="AQ297" s="292" cm="1">
        <f t="array" aca="1" ref="AQ297" ca="1">INDIRECT("'"&amp;$C297&amp;"'!"&amp;"$"&amp;$D297&amp;$AQ$1&amp;"")</f>
        <v>3</v>
      </c>
      <c r="AR297" s="293">
        <v>0.91</v>
      </c>
      <c r="AS297" s="291">
        <v>0.95</v>
      </c>
      <c r="AT297" s="290" t="s">
        <v>1</v>
      </c>
      <c r="AU297" s="294" t="s">
        <v>1</v>
      </c>
      <c r="AV297" s="290" t="str" cm="1">
        <f t="array" aca="1" ref="AV297" ca="1">INDIRECT("'"&amp;$C297&amp;"'!"&amp;"$"&amp;$D297&amp;$AT$1&amp;"")</f>
        <v>PMS</v>
      </c>
      <c r="AW297" s="293" t="s">
        <v>1</v>
      </c>
      <c r="AX297" s="294" t="s">
        <v>1</v>
      </c>
      <c r="AY297" s="386">
        <v>68.3</v>
      </c>
      <c r="AZ297" s="296" cm="1">
        <f t="array" aca="1" ref="AZ297" ca="1">INDIRECT("'"&amp;$C297&amp;"'!"&amp;"$"&amp;$D297&amp;$AY$1&amp;"")</f>
        <v>11.600000000000003</v>
      </c>
      <c r="BA297" s="293">
        <v>0.95</v>
      </c>
      <c r="BB297" s="291">
        <v>3.8</v>
      </c>
      <c r="BC297" s="292" cm="1">
        <f t="array" aca="1" ref="BC297" ca="1">INDIRECT("'"&amp;$C297&amp;"'!"&amp;"$"&amp;$D297&amp;$BC$1&amp;"")</f>
        <v>1.24</v>
      </c>
      <c r="BD297" s="293"/>
      <c r="BE297" s="293">
        <v>0.99</v>
      </c>
      <c r="BF297" s="291">
        <v>0.14000000000000001</v>
      </c>
      <c r="BG297" s="292" cm="1">
        <f t="array" aca="1" ref="BG297" ca="1">INDIRECT("'"&amp;$C297&amp;"'!"&amp;"$"&amp;$D297&amp;$BG$1&amp;"")</f>
        <v>0.81</v>
      </c>
      <c r="BH297" s="293"/>
      <c r="BI297" s="293">
        <v>0.96</v>
      </c>
      <c r="BJ297" s="291">
        <v>0.23</v>
      </c>
      <c r="BK297" s="290" cm="1">
        <f t="array" aca="1" ref="BK297" ca="1">INDIRECT("'"&amp;$C297&amp;"'!"&amp;"$"&amp;$D297&amp;$BK$1&amp;"")</f>
        <v>4.53</v>
      </c>
      <c r="BL297" s="293"/>
      <c r="BM297" s="293">
        <v>0.95</v>
      </c>
      <c r="BN297" s="291">
        <v>1.4</v>
      </c>
    </row>
    <row r="298" spans="1:66" ht="15.75" thickBot="1" x14ac:dyDescent="0.25">
      <c r="A298" s="368">
        <v>45700</v>
      </c>
      <c r="B298" s="365">
        <v>0.750000000000001</v>
      </c>
      <c r="C298" s="383">
        <v>12</v>
      </c>
      <c r="D298" s="319" t="s">
        <v>128</v>
      </c>
      <c r="E298" s="297">
        <v>14.1</v>
      </c>
      <c r="F298" s="298">
        <v>70.28</v>
      </c>
      <c r="G298" s="299" cm="1">
        <f t="array" aca="1" ref="G298" ca="1">INDIRECT("'"&amp;$C298&amp;"'!"&amp;"$"&amp;$D298&amp;$E$1&amp;"")</f>
        <v>6.9</v>
      </c>
      <c r="H298" s="300">
        <v>0.97</v>
      </c>
      <c r="I298" s="298">
        <v>1.8</v>
      </c>
      <c r="J298" s="299" cm="1">
        <f t="array" aca="1" ref="J298" ca="1">INDIRECT("'"&amp;$C298&amp;"'!"&amp;"$"&amp;$D298&amp;$J$1&amp;"")</f>
        <v>6.8</v>
      </c>
      <c r="K298" s="300"/>
      <c r="L298" s="300">
        <v>0.97</v>
      </c>
      <c r="M298" s="298">
        <v>1.67</v>
      </c>
      <c r="N298" s="299" cm="1">
        <f t="array" aca="1" ref="N298" ca="1">INDIRECT("'"&amp;$C298&amp;"'!"&amp;"$"&amp;$D298&amp;$N$1&amp;"")</f>
        <v>6.8</v>
      </c>
      <c r="O298" s="300"/>
      <c r="P298" s="300">
        <v>0.96</v>
      </c>
      <c r="Q298" s="298">
        <v>1.9</v>
      </c>
      <c r="R298" s="299" cm="1">
        <f t="array" aca="1" ref="R298" ca="1">INDIRECT("'"&amp;$C298&amp;"'!"&amp;"$"&amp;$D298&amp;$R$1&amp;"")</f>
        <v>6.8</v>
      </c>
      <c r="S298" s="300"/>
      <c r="T298" s="300">
        <v>0.97</v>
      </c>
      <c r="U298" s="298">
        <v>1.7</v>
      </c>
      <c r="V298" s="299" t="str" cm="1">
        <f t="array" aca="1" ref="V298" ca="1">INDIRECT("'"&amp;$C298&amp;"'!"&amp;"$"&amp;$D298&amp;$V$1&amp;"")</f>
        <v>CMS</v>
      </c>
      <c r="W298" s="300" t="s">
        <v>1</v>
      </c>
      <c r="X298" s="300" t="s">
        <v>1</v>
      </c>
      <c r="Y298" s="301" t="s">
        <v>1</v>
      </c>
      <c r="Z298" s="387" cm="1">
        <f t="array" aca="1" ref="Z298" ca="1">INDIRECT("'"&amp;$C298&amp;"'!"&amp;"$"&amp;$D298&amp;$Z$1&amp;"")</f>
        <v>0</v>
      </c>
      <c r="AA298" s="299" t="s">
        <v>1</v>
      </c>
      <c r="AB298" s="300" t="s">
        <v>1</v>
      </c>
      <c r="AC298" s="298" t="s">
        <v>1</v>
      </c>
      <c r="AD298" s="299" cm="1">
        <f t="array" aca="1" ref="AD298" ca="1">INDIRECT("'"&amp;$C298&amp;"'!"&amp;"$"&amp;$D298&amp;$AD$1&amp;"")</f>
        <v>3.3</v>
      </c>
      <c r="AE298" s="300">
        <f>3.8*3.56</f>
        <v>13.527999999999999</v>
      </c>
      <c r="AF298" s="300">
        <v>0.92</v>
      </c>
      <c r="AG298" s="298">
        <v>1.49</v>
      </c>
      <c r="AH298" s="297" cm="1">
        <f t="array" aca="1" ref="AH298" ca="1">INDIRECT("'"&amp;$C298&amp;"'!"&amp;"$"&amp;$D298&amp;$AH$1&amp;"")</f>
        <v>3.8</v>
      </c>
      <c r="AI298" s="300">
        <v>13.48</v>
      </c>
      <c r="AJ298" s="300">
        <v>0.98</v>
      </c>
      <c r="AK298" s="298">
        <v>0.437</v>
      </c>
      <c r="AL298" s="297">
        <v>11.4</v>
      </c>
      <c r="AM298" s="301">
        <v>68.400000000000006</v>
      </c>
      <c r="AN298" s="297" cm="1">
        <f t="array" aca="1" ref="AN298" ca="1">INDIRECT("'"&amp;$C298&amp;"'!"&amp;"$"&amp;$D298&amp;$AL$1&amp;"")</f>
        <v>0</v>
      </c>
      <c r="AO298" s="300" t="s">
        <v>1</v>
      </c>
      <c r="AP298" s="298" t="s">
        <v>1</v>
      </c>
      <c r="AQ298" s="299" cm="1">
        <f t="array" aca="1" ref="AQ298" ca="1">INDIRECT("'"&amp;$C298&amp;"'!"&amp;"$"&amp;$D298&amp;$AQ$1&amp;"")</f>
        <v>3.8</v>
      </c>
      <c r="AR298" s="300">
        <v>0.97</v>
      </c>
      <c r="AS298" s="298">
        <v>0.97</v>
      </c>
      <c r="AT298" s="297" t="s">
        <v>1</v>
      </c>
      <c r="AU298" s="301">
        <v>68.400000000000006</v>
      </c>
      <c r="AV298" s="297" t="str" cm="1">
        <f t="array" aca="1" ref="AV298" ca="1">INDIRECT("'"&amp;$C298&amp;"'!"&amp;"$"&amp;$D298&amp;$AT$1&amp;"")</f>
        <v>PMS</v>
      </c>
      <c r="AW298" s="300" t="s">
        <v>1</v>
      </c>
      <c r="AX298" s="301" t="s">
        <v>1</v>
      </c>
      <c r="AY298" s="387">
        <v>68.599999999999994</v>
      </c>
      <c r="AZ298" s="303" cm="1">
        <f t="array" aca="1" ref="AZ298" ca="1">INDIRECT("'"&amp;$C298&amp;"'!"&amp;"$"&amp;$D298&amp;$AY$1&amp;"")</f>
        <v>8.2999999999999989</v>
      </c>
      <c r="BA298" s="300">
        <v>0.95</v>
      </c>
      <c r="BB298" s="298">
        <v>2.7</v>
      </c>
      <c r="BC298" s="299" cm="1">
        <f t="array" aca="1" ref="BC298" ca="1">INDIRECT("'"&amp;$C298&amp;"'!"&amp;"$"&amp;$D298&amp;$BC$1&amp;"")</f>
        <v>1.34</v>
      </c>
      <c r="BD298" s="300"/>
      <c r="BE298" s="300">
        <v>0.99</v>
      </c>
      <c r="BF298" s="298">
        <v>0.15</v>
      </c>
      <c r="BG298" s="299" cm="1">
        <f t="array" aca="1" ref="BG298" ca="1">INDIRECT("'"&amp;$C298&amp;"'!"&amp;"$"&amp;$D298&amp;$BG$1&amp;"")</f>
        <v>0.78</v>
      </c>
      <c r="BH298" s="300"/>
      <c r="BI298" s="300">
        <v>0.96</v>
      </c>
      <c r="BJ298" s="298">
        <v>0.21</v>
      </c>
      <c r="BK298" s="297" cm="1">
        <f t="array" aca="1" ref="BK298" ca="1">INDIRECT("'"&amp;$C298&amp;"'!"&amp;"$"&amp;$D298&amp;$BK$1&amp;"")</f>
        <v>4.08</v>
      </c>
      <c r="BL298" s="300"/>
      <c r="BM298" s="300">
        <v>0.95</v>
      </c>
      <c r="BN298" s="298">
        <v>1.3</v>
      </c>
    </row>
    <row r="299" spans="1:66" ht="15.75" thickBot="1" x14ac:dyDescent="0.25">
      <c r="A299" s="368">
        <v>45700</v>
      </c>
      <c r="B299" s="365">
        <v>0.79166666666666696</v>
      </c>
      <c r="C299" s="383">
        <v>12</v>
      </c>
      <c r="D299" s="319" t="s">
        <v>129</v>
      </c>
      <c r="E299" s="290">
        <v>14.3</v>
      </c>
      <c r="F299" s="291">
        <v>70.38</v>
      </c>
      <c r="G299" s="292" cm="1">
        <f t="array" aca="1" ref="G299" ca="1">INDIRECT("'"&amp;$C299&amp;"'!"&amp;"$"&amp;$D299&amp;$E$1&amp;"")</f>
        <v>6.5</v>
      </c>
      <c r="H299" s="293">
        <v>0.97</v>
      </c>
      <c r="I299" s="291">
        <v>1.62</v>
      </c>
      <c r="J299" s="292" cm="1">
        <f t="array" aca="1" ref="J299" ca="1">INDIRECT("'"&amp;$C299&amp;"'!"&amp;"$"&amp;$D299&amp;$J$1&amp;"")</f>
        <v>6.5</v>
      </c>
      <c r="K299" s="304"/>
      <c r="L299" s="293">
        <v>0.97</v>
      </c>
      <c r="M299" s="291">
        <v>1.61</v>
      </c>
      <c r="N299" s="292" cm="1">
        <f t="array" aca="1" ref="N299" ca="1">INDIRECT("'"&amp;$C299&amp;"'!"&amp;"$"&amp;$D299&amp;$N$1&amp;"")</f>
        <v>6.5</v>
      </c>
      <c r="O299" s="293"/>
      <c r="P299" s="293">
        <v>0.98</v>
      </c>
      <c r="Q299" s="291">
        <v>1.28</v>
      </c>
      <c r="R299" s="292" cm="1">
        <f t="array" aca="1" ref="R299" ca="1">INDIRECT("'"&amp;$C299&amp;"'!"&amp;"$"&amp;$D299&amp;$R$1&amp;"")</f>
        <v>6.5</v>
      </c>
      <c r="S299" s="293"/>
      <c r="T299" s="293">
        <v>0.97</v>
      </c>
      <c r="U299" s="291">
        <v>1.69</v>
      </c>
      <c r="V299" s="292" t="str" cm="1">
        <f t="array" aca="1" ref="V299" ca="1">INDIRECT("'"&amp;$C299&amp;"'!"&amp;"$"&amp;$D299&amp;$V$1&amp;"")</f>
        <v>CMS</v>
      </c>
      <c r="W299" s="293" t="s">
        <v>1</v>
      </c>
      <c r="X299" s="293" t="s">
        <v>1</v>
      </c>
      <c r="Y299" s="294" t="s">
        <v>1</v>
      </c>
      <c r="Z299" s="386" cm="1">
        <f t="array" aca="1" ref="Z299" ca="1">INDIRECT("'"&amp;$C299&amp;"'!"&amp;"$"&amp;$D299&amp;$Z$1&amp;"")</f>
        <v>0</v>
      </c>
      <c r="AA299" s="292" t="s">
        <v>1</v>
      </c>
      <c r="AB299" s="293" t="s">
        <v>1</v>
      </c>
      <c r="AC299" s="291" t="s">
        <v>1</v>
      </c>
      <c r="AD299" s="292" cm="1">
        <f t="array" aca="1" ref="AD299" ca="1">INDIRECT("'"&amp;$C299&amp;"'!"&amp;"$"&amp;$D299&amp;$AD$1&amp;"")</f>
        <v>3.3</v>
      </c>
      <c r="AE299" s="293">
        <f>3.8*3.57</f>
        <v>13.565999999999999</v>
      </c>
      <c r="AF299" s="293">
        <v>0.94</v>
      </c>
      <c r="AG299" s="291">
        <v>1.25</v>
      </c>
      <c r="AH299" s="290" cm="1">
        <f t="array" aca="1" ref="AH299" ca="1">INDIRECT("'"&amp;$C299&amp;"'!"&amp;"$"&amp;$D299&amp;$AH$1&amp;"")</f>
        <v>3.8</v>
      </c>
      <c r="AI299" s="293">
        <v>13.48</v>
      </c>
      <c r="AJ299" s="293">
        <v>0.98</v>
      </c>
      <c r="AK299" s="291">
        <v>0.45</v>
      </c>
      <c r="AL299" s="290">
        <v>11.6</v>
      </c>
      <c r="AM299" s="294">
        <v>69</v>
      </c>
      <c r="AN299" s="290" cm="1">
        <f t="array" aca="1" ref="AN299" ca="1">INDIRECT("'"&amp;$C299&amp;"'!"&amp;"$"&amp;$D299&amp;$AL$1&amp;"")</f>
        <v>3.5</v>
      </c>
      <c r="AO299" s="293">
        <v>0.98</v>
      </c>
      <c r="AP299" s="291">
        <v>0.78</v>
      </c>
      <c r="AQ299" s="292" cm="1">
        <f t="array" aca="1" ref="AQ299" ca="1">INDIRECT("'"&amp;$C299&amp;"'!"&amp;"$"&amp;$D299&amp;$AQ$1&amp;"")</f>
        <v>3.5</v>
      </c>
      <c r="AR299" s="293">
        <v>0.98</v>
      </c>
      <c r="AS299" s="291">
        <v>0.78</v>
      </c>
      <c r="AT299" s="290" t="s">
        <v>1</v>
      </c>
      <c r="AU299" s="294">
        <v>68.400000000000006</v>
      </c>
      <c r="AV299" s="290" t="str" cm="1">
        <f t="array" aca="1" ref="AV299" ca="1">INDIRECT("'"&amp;$C299&amp;"'!"&amp;"$"&amp;$D299&amp;$AT$1&amp;"")</f>
        <v>PMS</v>
      </c>
      <c r="AW299" s="293" t="s">
        <v>1</v>
      </c>
      <c r="AX299" s="294" t="s">
        <v>1</v>
      </c>
      <c r="AY299" s="386">
        <v>68.7</v>
      </c>
      <c r="AZ299" s="296" cm="1">
        <f t="array" aca="1" ref="AZ299" ca="1">INDIRECT("'"&amp;$C299&amp;"'!"&amp;"$"&amp;$D299&amp;$AY$1&amp;"")</f>
        <v>8.2999999999999989</v>
      </c>
      <c r="BA299" s="293">
        <v>0.95</v>
      </c>
      <c r="BB299" s="291">
        <v>0.28000000000000003</v>
      </c>
      <c r="BC299" s="292" cm="1">
        <f t="array" aca="1" ref="BC299" ca="1">INDIRECT("'"&amp;$C299&amp;"'!"&amp;"$"&amp;$D299&amp;$BC$1&amp;"")</f>
        <v>1.48</v>
      </c>
      <c r="BD299" s="293"/>
      <c r="BE299" s="293">
        <v>0.99</v>
      </c>
      <c r="BF299" s="291">
        <v>0.17</v>
      </c>
      <c r="BG299" s="292" cm="1">
        <f t="array" aca="1" ref="BG299" ca="1">INDIRECT("'"&amp;$C299&amp;"'!"&amp;"$"&amp;$D299&amp;$BG$1&amp;"")</f>
        <v>0.93300000000000005</v>
      </c>
      <c r="BH299" s="293"/>
      <c r="BI299" s="293">
        <v>0.97</v>
      </c>
      <c r="BJ299" s="291">
        <v>0.23</v>
      </c>
      <c r="BK299" s="290" cm="1">
        <f t="array" aca="1" ref="BK299" ca="1">INDIRECT("'"&amp;$C299&amp;"'!"&amp;"$"&amp;$D299&amp;$BK$1&amp;"")</f>
        <v>5.07</v>
      </c>
      <c r="BL299" s="293"/>
      <c r="BM299" s="293">
        <v>0.95</v>
      </c>
      <c r="BN299" s="291">
        <v>1.6</v>
      </c>
    </row>
    <row r="300" spans="1:66" ht="15.75" thickBot="1" x14ac:dyDescent="0.25">
      <c r="A300" s="368">
        <v>45700</v>
      </c>
      <c r="B300" s="365">
        <v>0.83333333333333337</v>
      </c>
      <c r="C300" s="383">
        <v>12</v>
      </c>
      <c r="D300" s="319" t="s">
        <v>130</v>
      </c>
      <c r="E300" s="297">
        <v>14.3</v>
      </c>
      <c r="F300" s="298">
        <v>70.37</v>
      </c>
      <c r="G300" s="299" cm="1">
        <f t="array" aca="1" ref="G300" ca="1">INDIRECT("'"&amp;$C300&amp;"'!"&amp;"$"&amp;$D300&amp;$E$1&amp;"")</f>
        <v>6.8</v>
      </c>
      <c r="H300" s="300">
        <v>0.97</v>
      </c>
      <c r="I300" s="298">
        <v>1.73</v>
      </c>
      <c r="J300" s="299" cm="1">
        <f t="array" aca="1" ref="J300" ca="1">INDIRECT("'"&amp;$C300&amp;"'!"&amp;"$"&amp;$D300&amp;$J$1&amp;"")</f>
        <v>6.8</v>
      </c>
      <c r="K300" s="300"/>
      <c r="L300" s="300">
        <v>0.97</v>
      </c>
      <c r="M300" s="298">
        <v>1.72</v>
      </c>
      <c r="N300" s="299" cm="1">
        <f t="array" aca="1" ref="N300" ca="1">INDIRECT("'"&amp;$C300&amp;"'!"&amp;"$"&amp;$D300&amp;$N$1&amp;"")</f>
        <v>6.8</v>
      </c>
      <c r="O300" s="300"/>
      <c r="P300" s="300">
        <v>0.99</v>
      </c>
      <c r="Q300" s="298">
        <v>1.08</v>
      </c>
      <c r="R300" s="299" cm="1">
        <f t="array" aca="1" ref="R300" ca="1">INDIRECT("'"&amp;$C300&amp;"'!"&amp;"$"&amp;$D300&amp;$R$1&amp;"")</f>
        <v>6.8</v>
      </c>
      <c r="S300" s="300"/>
      <c r="T300" s="300">
        <v>0.97</v>
      </c>
      <c r="U300" s="298">
        <v>1.7</v>
      </c>
      <c r="V300" s="299" t="str" cm="1">
        <f t="array" aca="1" ref="V300" ca="1">INDIRECT("'"&amp;$C300&amp;"'!"&amp;"$"&amp;$D300&amp;$V$1&amp;"")</f>
        <v>CMS</v>
      </c>
      <c r="W300" s="300" t="s">
        <v>1</v>
      </c>
      <c r="X300" s="300" t="s">
        <v>1</v>
      </c>
      <c r="Y300" s="301" t="s">
        <v>1</v>
      </c>
      <c r="Z300" s="387" cm="1">
        <f t="array" aca="1" ref="Z300" ca="1">INDIRECT("'"&amp;$C300&amp;"'!"&amp;"$"&amp;$D300&amp;$Z$1&amp;"")</f>
        <v>0</v>
      </c>
      <c r="AA300" s="299" t="s">
        <v>1</v>
      </c>
      <c r="AB300" s="300" t="s">
        <v>1</v>
      </c>
      <c r="AC300" s="298" t="s">
        <v>1</v>
      </c>
      <c r="AD300" s="299" cm="1">
        <f t="array" aca="1" ref="AD300" ca="1">INDIRECT("'"&amp;$C300&amp;"'!"&amp;"$"&amp;$D300&amp;$AD$1&amp;"")</f>
        <v>3.3</v>
      </c>
      <c r="AE300" s="300">
        <f>3.8*3.57</f>
        <v>13.565999999999999</v>
      </c>
      <c r="AF300" s="300">
        <v>0.96</v>
      </c>
      <c r="AG300" s="298">
        <v>0.96</v>
      </c>
      <c r="AH300" s="297" cm="1">
        <f t="array" aca="1" ref="AH300" ca="1">INDIRECT("'"&amp;$C300&amp;"'!"&amp;"$"&amp;$D300&amp;$AH$1&amp;"")</f>
        <v>3.8</v>
      </c>
      <c r="AI300" s="300">
        <v>13.48</v>
      </c>
      <c r="AJ300" s="300">
        <v>0.99</v>
      </c>
      <c r="AK300" s="298">
        <v>0.52200000000000002</v>
      </c>
      <c r="AL300" s="297">
        <v>11.8</v>
      </c>
      <c r="AM300" s="301">
        <v>69.8</v>
      </c>
      <c r="AN300" s="297" cm="1">
        <f t="array" aca="1" ref="AN300" ca="1">INDIRECT("'"&amp;$C300&amp;"'!"&amp;"$"&amp;$D300&amp;$AL$1&amp;"")</f>
        <v>3.5</v>
      </c>
      <c r="AO300" s="300">
        <v>0.95</v>
      </c>
      <c r="AP300" s="298">
        <v>1.05</v>
      </c>
      <c r="AQ300" s="299" cm="1">
        <f t="array" aca="1" ref="AQ300" ca="1">INDIRECT("'"&amp;$C300&amp;"'!"&amp;"$"&amp;$D300&amp;$AQ$1&amp;"")</f>
        <v>3.5</v>
      </c>
      <c r="AR300" s="300">
        <v>0.95</v>
      </c>
      <c r="AS300" s="298">
        <v>1.05</v>
      </c>
      <c r="AT300" s="297" t="s">
        <v>1</v>
      </c>
      <c r="AU300" s="301">
        <v>68.5</v>
      </c>
      <c r="AV300" s="297" t="str" cm="1">
        <f t="array" aca="1" ref="AV300" ca="1">INDIRECT("'"&amp;$C300&amp;"'!"&amp;"$"&amp;$D300&amp;$AT$1&amp;"")</f>
        <v>PMS</v>
      </c>
      <c r="AW300" s="300" t="s">
        <v>1</v>
      </c>
      <c r="AX300" s="301" t="s">
        <v>1</v>
      </c>
      <c r="AY300" s="387">
        <v>68.7</v>
      </c>
      <c r="AZ300" s="303" cm="1">
        <f t="array" aca="1" ref="AZ300" ca="1">INDIRECT("'"&amp;$C300&amp;"'!"&amp;"$"&amp;$D300&amp;$AY$1&amp;"")</f>
        <v>3.6</v>
      </c>
      <c r="BA300" s="300">
        <v>0.95</v>
      </c>
      <c r="BB300" s="298">
        <v>1.1000000000000001</v>
      </c>
      <c r="BC300" s="299" cm="1">
        <f t="array" aca="1" ref="BC300" ca="1">INDIRECT("'"&amp;$C300&amp;"'!"&amp;"$"&amp;$D300&amp;$BC$1&amp;"")</f>
        <v>1.35</v>
      </c>
      <c r="BD300" s="300"/>
      <c r="BE300" s="300">
        <v>0.99</v>
      </c>
      <c r="BF300" s="298">
        <v>0.13</v>
      </c>
      <c r="BG300" s="299" cm="1">
        <f t="array" aca="1" ref="BG300" ca="1">INDIRECT("'"&amp;$C300&amp;"'!"&amp;"$"&amp;$D300&amp;$BG$1&amp;"")</f>
        <v>0.93</v>
      </c>
      <c r="BH300" s="300"/>
      <c r="BI300" s="300">
        <v>0.97</v>
      </c>
      <c r="BJ300" s="298">
        <v>0.22</v>
      </c>
      <c r="BK300" s="297" cm="1">
        <f t="array" aca="1" ref="BK300" ca="1">INDIRECT("'"&amp;$C300&amp;"'!"&amp;"$"&amp;$D300&amp;$BK$1&amp;"")</f>
        <v>4.79</v>
      </c>
      <c r="BL300" s="300"/>
      <c r="BM300" s="300">
        <v>0.95</v>
      </c>
      <c r="BN300" s="298">
        <v>1.5</v>
      </c>
    </row>
    <row r="301" spans="1:66" ht="15.75" thickBot="1" x14ac:dyDescent="0.25">
      <c r="A301" s="368">
        <v>45700</v>
      </c>
      <c r="B301" s="365">
        <v>0.875000000000001</v>
      </c>
      <c r="C301" s="383">
        <v>12</v>
      </c>
      <c r="D301" s="319" t="s">
        <v>131</v>
      </c>
      <c r="E301" s="290">
        <v>14.1</v>
      </c>
      <c r="F301" s="291">
        <v>70.7</v>
      </c>
      <c r="G301" s="292" cm="1">
        <f t="array" aca="1" ref="G301" ca="1">INDIRECT("'"&amp;$C301&amp;"'!"&amp;"$"&amp;$D301&amp;$E$1&amp;"")</f>
        <v>6.5</v>
      </c>
      <c r="H301" s="293">
        <v>0.98</v>
      </c>
      <c r="I301" s="291">
        <v>1.0900000000000001</v>
      </c>
      <c r="J301" s="292" cm="1">
        <f t="array" aca="1" ref="J301" ca="1">INDIRECT("'"&amp;$C301&amp;"'!"&amp;"$"&amp;$D301&amp;$J$1&amp;"")</f>
        <v>6.5</v>
      </c>
      <c r="K301" s="293"/>
      <c r="L301" s="293">
        <v>0.98</v>
      </c>
      <c r="M301" s="291">
        <v>1.0900000000000001</v>
      </c>
      <c r="N301" s="292" cm="1">
        <f t="array" aca="1" ref="N301" ca="1">INDIRECT("'"&amp;$C301&amp;"'!"&amp;"$"&amp;$D301&amp;$N$1&amp;"")</f>
        <v>6.5</v>
      </c>
      <c r="O301" s="293"/>
      <c r="P301" s="293">
        <v>0.98</v>
      </c>
      <c r="Q301" s="291">
        <v>1.0900000000000001</v>
      </c>
      <c r="R301" s="292" cm="1">
        <f t="array" aca="1" ref="R301" ca="1">INDIRECT("'"&amp;$C301&amp;"'!"&amp;"$"&amp;$D301&amp;$R$1&amp;"")</f>
        <v>6.5</v>
      </c>
      <c r="S301" s="293"/>
      <c r="T301" s="293">
        <v>0.98</v>
      </c>
      <c r="U301" s="291">
        <v>1.0900000000000001</v>
      </c>
      <c r="V301" s="292" t="str" cm="1">
        <f t="array" aca="1" ref="V301" ca="1">INDIRECT("'"&amp;$C301&amp;"'!"&amp;"$"&amp;$D301&amp;$V$1&amp;"")</f>
        <v>CMS</v>
      </c>
      <c r="W301" s="293" t="s">
        <v>1</v>
      </c>
      <c r="X301" s="293" t="s">
        <v>1</v>
      </c>
      <c r="Y301" s="294" t="s">
        <v>1</v>
      </c>
      <c r="Z301" s="386" cm="1">
        <f t="array" aca="1" ref="Z301" ca="1">INDIRECT("'"&amp;$C301&amp;"'!"&amp;"$"&amp;$D301&amp;$Z$1&amp;"")</f>
        <v>0</v>
      </c>
      <c r="AA301" s="292" t="s">
        <v>1</v>
      </c>
      <c r="AB301" s="293" t="s">
        <v>1</v>
      </c>
      <c r="AC301" s="291" t="s">
        <v>1</v>
      </c>
      <c r="AD301" s="292" cm="1">
        <f t="array" aca="1" ref="AD301" ca="1">INDIRECT("'"&amp;$C301&amp;"'!"&amp;"$"&amp;$D301&amp;$AD$1&amp;"")</f>
        <v>3.3</v>
      </c>
      <c r="AE301" s="293">
        <f>3.8*3.59</f>
        <v>13.641999999999999</v>
      </c>
      <c r="AF301" s="293">
        <v>0.96</v>
      </c>
      <c r="AG301" s="291">
        <v>0.93</v>
      </c>
      <c r="AH301" s="290" cm="1">
        <f t="array" aca="1" ref="AH301" ca="1">INDIRECT("'"&amp;$C301&amp;"'!"&amp;"$"&amp;$D301&amp;$AH$1&amp;"")</f>
        <v>3.8</v>
      </c>
      <c r="AI301" s="293">
        <v>13.64</v>
      </c>
      <c r="AJ301" s="293">
        <v>0.99</v>
      </c>
      <c r="AK301" s="291">
        <v>0.40400000000000003</v>
      </c>
      <c r="AL301" s="290">
        <v>11.8</v>
      </c>
      <c r="AM301" s="294">
        <v>69.900000000000006</v>
      </c>
      <c r="AN301" s="290" cm="1">
        <f t="array" aca="1" ref="AN301" ca="1">INDIRECT("'"&amp;$C301&amp;"'!"&amp;"$"&amp;$D301&amp;$AL$1&amp;"")</f>
        <v>3.3</v>
      </c>
      <c r="AO301" s="293">
        <v>0.97</v>
      </c>
      <c r="AP301" s="291">
        <v>0.83</v>
      </c>
      <c r="AQ301" s="292" cm="1">
        <f t="array" aca="1" ref="AQ301" ca="1">INDIRECT("'"&amp;$C301&amp;"'!"&amp;"$"&amp;$D301&amp;$AQ$1&amp;"")</f>
        <v>3.3</v>
      </c>
      <c r="AR301" s="293">
        <v>0.97</v>
      </c>
      <c r="AS301" s="291">
        <v>0.83</v>
      </c>
      <c r="AT301" s="290" t="s">
        <v>1</v>
      </c>
      <c r="AU301" s="294">
        <v>69.3</v>
      </c>
      <c r="AV301" s="290" t="str" cm="1">
        <f t="array" aca="1" ref="AV301" ca="1">INDIRECT("'"&amp;$C301&amp;"'!"&amp;"$"&amp;$D301&amp;$AT$1&amp;"")</f>
        <v>PMS</v>
      </c>
      <c r="AW301" s="293" t="s">
        <v>1</v>
      </c>
      <c r="AX301" s="294" t="s">
        <v>1</v>
      </c>
      <c r="AY301" s="386">
        <v>68.900000000000006</v>
      </c>
      <c r="AZ301" s="296" cm="1">
        <f t="array" aca="1" ref="AZ301" ca="1">INDIRECT("'"&amp;$C301&amp;"'!"&amp;"$"&amp;$D301&amp;$AY$1&amp;"")</f>
        <v>1</v>
      </c>
      <c r="BA301" s="293">
        <v>0.98</v>
      </c>
      <c r="BB301" s="291">
        <v>0.26</v>
      </c>
      <c r="BC301" s="292" cm="1">
        <f t="array" aca="1" ref="BC301" ca="1">INDIRECT("'"&amp;$C301&amp;"'!"&amp;"$"&amp;$D301&amp;$BC$1&amp;"")</f>
        <v>1.22</v>
      </c>
      <c r="BD301" s="293"/>
      <c r="BE301" s="293">
        <v>0.99</v>
      </c>
      <c r="BF301" s="291">
        <v>0.11</v>
      </c>
      <c r="BG301" s="292" cm="1">
        <f t="array" aca="1" ref="BG301" ca="1">INDIRECT("'"&amp;$C301&amp;"'!"&amp;"$"&amp;$D301&amp;$BG$1&amp;"")</f>
        <v>0.91</v>
      </c>
      <c r="BH301" s="293"/>
      <c r="BI301" s="293">
        <v>0.97</v>
      </c>
      <c r="BJ301" s="291">
        <v>0.21</v>
      </c>
      <c r="BK301" s="290" cm="1">
        <f t="array" aca="1" ref="BK301" ca="1">INDIRECT("'"&amp;$C301&amp;"'!"&amp;"$"&amp;$D301&amp;$BK$1&amp;"")</f>
        <v>4.1100000000000003</v>
      </c>
      <c r="BL301" s="293"/>
      <c r="BM301" s="293">
        <v>0.95</v>
      </c>
      <c r="BN301" s="291">
        <v>1.3</v>
      </c>
    </row>
    <row r="302" spans="1:66" ht="15.75" thickBot="1" x14ac:dyDescent="0.25">
      <c r="A302" s="368">
        <v>45700</v>
      </c>
      <c r="B302" s="365">
        <v>0.91666666666666696</v>
      </c>
      <c r="C302" s="383">
        <v>12</v>
      </c>
      <c r="D302" s="319" t="s">
        <v>132</v>
      </c>
      <c r="E302" s="297">
        <v>14.1</v>
      </c>
      <c r="F302" s="298">
        <v>70.5</v>
      </c>
      <c r="G302" s="299" cm="1">
        <f t="array" aca="1" ref="G302" ca="1">INDIRECT("'"&amp;$C302&amp;"'!"&amp;"$"&amp;$D302&amp;$E$1&amp;"")</f>
        <v>6.6</v>
      </c>
      <c r="H302" s="300">
        <v>0.99</v>
      </c>
      <c r="I302" s="298">
        <v>1</v>
      </c>
      <c r="J302" s="299" cm="1">
        <f t="array" aca="1" ref="J302" ca="1">INDIRECT("'"&amp;$C302&amp;"'!"&amp;"$"&amp;$D302&amp;$J$1&amp;"")</f>
        <v>6.6</v>
      </c>
      <c r="K302" s="300"/>
      <c r="L302" s="300">
        <v>0.99</v>
      </c>
      <c r="M302" s="298">
        <v>1</v>
      </c>
      <c r="N302" s="299" cm="1">
        <f t="array" aca="1" ref="N302" ca="1">INDIRECT("'"&amp;$C302&amp;"'!"&amp;"$"&amp;$D302&amp;$N$1&amp;"")</f>
        <v>6.6</v>
      </c>
      <c r="O302" s="300"/>
      <c r="P302" s="300">
        <v>0.99</v>
      </c>
      <c r="Q302" s="298">
        <v>1</v>
      </c>
      <c r="R302" s="299" cm="1">
        <f t="array" aca="1" ref="R302" ca="1">INDIRECT("'"&amp;$C302&amp;"'!"&amp;"$"&amp;$D302&amp;$R$1&amp;"")</f>
        <v>0</v>
      </c>
      <c r="S302" s="300"/>
      <c r="T302" s="300" t="s">
        <v>1</v>
      </c>
      <c r="U302" s="298" t="s">
        <v>1</v>
      </c>
      <c r="V302" s="299" t="str" cm="1">
        <f t="array" aca="1" ref="V302" ca="1">INDIRECT("'"&amp;$C302&amp;"'!"&amp;"$"&amp;$D302&amp;$V$1&amp;"")</f>
        <v>CMS</v>
      </c>
      <c r="W302" s="300" t="s">
        <v>1</v>
      </c>
      <c r="X302" s="300" t="s">
        <v>1</v>
      </c>
      <c r="Y302" s="301" t="s">
        <v>1</v>
      </c>
      <c r="Z302" s="387" cm="1">
        <f t="array" aca="1" ref="Z302" ca="1">INDIRECT("'"&amp;$C302&amp;"'!"&amp;"$"&amp;$D302&amp;$Z$1&amp;"")</f>
        <v>0</v>
      </c>
      <c r="AA302" s="299" t="s">
        <v>1</v>
      </c>
      <c r="AB302" s="300" t="s">
        <v>1</v>
      </c>
      <c r="AC302" s="298" t="s">
        <v>1</v>
      </c>
      <c r="AD302" s="299" cm="1">
        <f t="array" aca="1" ref="AD302" ca="1">INDIRECT("'"&amp;$C302&amp;"'!"&amp;"$"&amp;$D302&amp;$AD$1&amp;"")</f>
        <v>3.3</v>
      </c>
      <c r="AE302" s="300">
        <f>3.63*3.8</f>
        <v>13.793999999999999</v>
      </c>
      <c r="AF302" s="300">
        <v>0.97</v>
      </c>
      <c r="AG302" s="298">
        <v>0.81</v>
      </c>
      <c r="AH302" s="297" cm="1">
        <f t="array" aca="1" ref="AH302" ca="1">INDIRECT("'"&amp;$C302&amp;"'!"&amp;"$"&amp;$D302&amp;$AH$1&amp;"")</f>
        <v>3.8</v>
      </c>
      <c r="AI302" s="300">
        <v>13.68</v>
      </c>
      <c r="AJ302" s="300">
        <v>0.99</v>
      </c>
      <c r="AK302" s="298">
        <v>0.29399999999999998</v>
      </c>
      <c r="AL302" s="297">
        <v>11.8</v>
      </c>
      <c r="AM302" s="301">
        <v>70.400000000000006</v>
      </c>
      <c r="AN302" s="297" cm="1">
        <f t="array" aca="1" ref="AN302" ca="1">INDIRECT("'"&amp;$C302&amp;"'!"&amp;"$"&amp;$D302&amp;$AL$1&amp;"")</f>
        <v>4.2</v>
      </c>
      <c r="AO302" s="300">
        <v>0.99</v>
      </c>
      <c r="AP302" s="298">
        <v>0.48</v>
      </c>
      <c r="AQ302" s="299" cm="1">
        <f t="array" aca="1" ref="AQ302" ca="1">INDIRECT("'"&amp;$C302&amp;"'!"&amp;"$"&amp;$D302&amp;$AQ$1&amp;"")</f>
        <v>4.2</v>
      </c>
      <c r="AR302" s="300">
        <v>0.99</v>
      </c>
      <c r="AS302" s="298">
        <v>0.52</v>
      </c>
      <c r="AT302" s="297" t="s">
        <v>1</v>
      </c>
      <c r="AU302" s="301">
        <v>69.900000000000006</v>
      </c>
      <c r="AV302" s="297" t="str" cm="1">
        <f t="array" aca="1" ref="AV302" ca="1">INDIRECT("'"&amp;$C302&amp;"'!"&amp;"$"&amp;$D302&amp;$AT$1&amp;"")</f>
        <v>PMS</v>
      </c>
      <c r="AW302" s="300" t="s">
        <v>1</v>
      </c>
      <c r="AX302" s="301" t="s">
        <v>1</v>
      </c>
      <c r="AY302" s="387">
        <v>69.599999999999994</v>
      </c>
      <c r="AZ302" s="303" cm="1">
        <f t="array" aca="1" ref="AZ302" ca="1">INDIRECT("'"&amp;$C302&amp;"'!"&amp;"$"&amp;$D302&amp;$AY$1&amp;"")</f>
        <v>2.2999999999999998</v>
      </c>
      <c r="BA302" s="300">
        <v>0.97</v>
      </c>
      <c r="BB302" s="298">
        <v>0.97</v>
      </c>
      <c r="BC302" s="299" cm="1">
        <f t="array" aca="1" ref="BC302" ca="1">INDIRECT("'"&amp;$C302&amp;"'!"&amp;"$"&amp;$D302&amp;$BC$1&amp;"")</f>
        <v>1.08</v>
      </c>
      <c r="BD302" s="300"/>
      <c r="BE302" s="300">
        <v>0.99</v>
      </c>
      <c r="BF302" s="298">
        <v>0.1</v>
      </c>
      <c r="BG302" s="299" cm="1">
        <f t="array" aca="1" ref="BG302" ca="1">INDIRECT("'"&amp;$C302&amp;"'!"&amp;"$"&amp;$D302&amp;$BG$1&amp;"")</f>
        <v>0.85</v>
      </c>
      <c r="BH302" s="300"/>
      <c r="BI302" s="300">
        <v>0.97</v>
      </c>
      <c r="BJ302" s="298">
        <v>0.21</v>
      </c>
      <c r="BK302" s="297" cm="1">
        <f t="array" aca="1" ref="BK302" ca="1">INDIRECT("'"&amp;$C302&amp;"'!"&amp;"$"&amp;$D302&amp;$BK$1&amp;"")</f>
        <v>3.69</v>
      </c>
      <c r="BL302" s="300"/>
      <c r="BM302" s="300">
        <v>0.95</v>
      </c>
      <c r="BN302" s="298">
        <v>1.2</v>
      </c>
    </row>
    <row r="303" spans="1:66" ht="15.75" thickBot="1" x14ac:dyDescent="0.25">
      <c r="A303" s="369">
        <v>45700</v>
      </c>
      <c r="B303" s="366">
        <v>0.95833333333333404</v>
      </c>
      <c r="C303" s="383">
        <v>12</v>
      </c>
      <c r="D303" s="321" t="s">
        <v>133</v>
      </c>
      <c r="E303" s="305">
        <v>14</v>
      </c>
      <c r="F303" s="306">
        <v>70.5</v>
      </c>
      <c r="G303" s="307" cm="1">
        <f t="array" aca="1" ref="G303" ca="1">INDIRECT("'"&amp;$C303&amp;"'!"&amp;"$"&amp;$D303&amp;$E$1&amp;"")</f>
        <v>6.6</v>
      </c>
      <c r="H303" s="308">
        <v>0.99</v>
      </c>
      <c r="I303" s="306">
        <v>0.85</v>
      </c>
      <c r="J303" s="307" cm="1">
        <f t="array" aca="1" ref="J303" ca="1">INDIRECT("'"&amp;$C303&amp;"'!"&amp;"$"&amp;$D303&amp;$J$1&amp;"")</f>
        <v>6.6</v>
      </c>
      <c r="K303" s="308"/>
      <c r="L303" s="308">
        <v>0.99</v>
      </c>
      <c r="M303" s="306">
        <v>0.85</v>
      </c>
      <c r="N303" s="307" cm="1">
        <f t="array" aca="1" ref="N303" ca="1">INDIRECT("'"&amp;$C303&amp;"'!"&amp;"$"&amp;$D303&amp;$N$1&amp;"")</f>
        <v>6.6</v>
      </c>
      <c r="O303" s="308"/>
      <c r="P303" s="308">
        <v>0.99</v>
      </c>
      <c r="Q303" s="306">
        <v>0.85</v>
      </c>
      <c r="R303" s="307" cm="1">
        <f t="array" aca="1" ref="R303" ca="1">INDIRECT("'"&amp;$C303&amp;"'!"&amp;"$"&amp;$D303&amp;$R$1&amp;"")</f>
        <v>0</v>
      </c>
      <c r="S303" s="308"/>
      <c r="T303" s="308" t="s">
        <v>1</v>
      </c>
      <c r="U303" s="306" t="s">
        <v>1</v>
      </c>
      <c r="V303" s="307" t="str" cm="1">
        <f t="array" aca="1" ref="V303" ca="1">INDIRECT("'"&amp;$C303&amp;"'!"&amp;"$"&amp;$D303&amp;$V$1&amp;"")</f>
        <v>CMS</v>
      </c>
      <c r="W303" s="308" t="s">
        <v>1</v>
      </c>
      <c r="X303" s="308" t="s">
        <v>1</v>
      </c>
      <c r="Y303" s="309" t="s">
        <v>1</v>
      </c>
      <c r="Z303" s="389" cm="1">
        <f t="array" aca="1" ref="Z303" ca="1">INDIRECT("'"&amp;$C303&amp;"'!"&amp;"$"&amp;$D303&amp;$Z$1&amp;"")</f>
        <v>0</v>
      </c>
      <c r="AA303" s="307" t="s">
        <v>1</v>
      </c>
      <c r="AB303" s="308" t="s">
        <v>1</v>
      </c>
      <c r="AC303" s="306" t="s">
        <v>1</v>
      </c>
      <c r="AD303" s="307" cm="1">
        <f t="array" aca="1" ref="AD303" ca="1">INDIRECT("'"&amp;$C303&amp;"'!"&amp;"$"&amp;$D303&amp;$AD$1&amp;"")</f>
        <v>3.3</v>
      </c>
      <c r="AE303" s="308">
        <v>13.717999999999998</v>
      </c>
      <c r="AF303" s="308">
        <v>0.98</v>
      </c>
      <c r="AG303" s="309">
        <v>0.66</v>
      </c>
      <c r="AH303" s="305" cm="1">
        <f t="array" aca="1" ref="AH303" ca="1">INDIRECT("'"&amp;$C303&amp;"'!"&amp;"$"&amp;$D303&amp;$AH$1&amp;"")</f>
        <v>3.8</v>
      </c>
      <c r="AI303" s="308">
        <v>13.8</v>
      </c>
      <c r="AJ303" s="308">
        <v>0.99</v>
      </c>
      <c r="AK303" s="306">
        <v>0.34</v>
      </c>
      <c r="AL303" s="305">
        <v>11.8</v>
      </c>
      <c r="AM303" s="309">
        <v>70.400000000000006</v>
      </c>
      <c r="AN303" s="305" cm="1">
        <f t="array" aca="1" ref="AN303" ca="1">INDIRECT("'"&amp;$C303&amp;"'!"&amp;"$"&amp;$D303&amp;$AL$1&amp;"")</f>
        <v>4.0999999999999996</v>
      </c>
      <c r="AO303" s="308">
        <v>0.99</v>
      </c>
      <c r="AP303" s="306">
        <v>0.54</v>
      </c>
      <c r="AQ303" s="307" cm="1">
        <f t="array" aca="1" ref="AQ303" ca="1">INDIRECT("'"&amp;$C303&amp;"'!"&amp;"$"&amp;$D303&amp;$AQ$1&amp;"")</f>
        <v>4.0999999999999996</v>
      </c>
      <c r="AR303" s="308">
        <v>0.99</v>
      </c>
      <c r="AS303" s="306">
        <v>0.5</v>
      </c>
      <c r="AT303" s="305" t="s">
        <v>1</v>
      </c>
      <c r="AU303" s="309">
        <v>69.900000000000006</v>
      </c>
      <c r="AV303" s="305" t="str" cm="1">
        <f t="array" aca="1" ref="AV303" ca="1">INDIRECT("'"&amp;$C303&amp;"'!"&amp;"$"&amp;$D303&amp;$AT$1&amp;"")</f>
        <v>PMS</v>
      </c>
      <c r="AW303" s="308" t="s">
        <v>1</v>
      </c>
      <c r="AX303" s="306" t="s">
        <v>1</v>
      </c>
      <c r="AY303" s="384">
        <v>69.400000000000006</v>
      </c>
      <c r="AZ303" s="310" cm="1">
        <f t="array" aca="1" ref="AZ303" ca="1">INDIRECT("'"&amp;$C303&amp;"'!"&amp;"$"&amp;$D303&amp;$AY$1&amp;"")</f>
        <v>0</v>
      </c>
      <c r="BA303" s="308" t="s">
        <v>1</v>
      </c>
      <c r="BB303" s="306" t="s">
        <v>1</v>
      </c>
      <c r="BC303" s="307" cm="1">
        <f t="array" aca="1" ref="BC303" ca="1">INDIRECT("'"&amp;$C303&amp;"'!"&amp;"$"&amp;$D303&amp;$BC$1&amp;"")</f>
        <v>0.96</v>
      </c>
      <c r="BD303" s="308"/>
      <c r="BE303" s="308">
        <v>0.99</v>
      </c>
      <c r="BF303" s="306">
        <v>0.1</v>
      </c>
      <c r="BG303" s="307" cm="1">
        <f t="array" aca="1" ref="BG303" ca="1">INDIRECT("'"&amp;$C303&amp;"'!"&amp;"$"&amp;$D303&amp;$BG$1&amp;"")</f>
        <v>0.82</v>
      </c>
      <c r="BH303" s="308"/>
      <c r="BI303" s="308">
        <v>0.97</v>
      </c>
      <c r="BJ303" s="306">
        <v>0.2</v>
      </c>
      <c r="BK303" s="305" cm="1">
        <f t="array" aca="1" ref="BK303" ca="1">INDIRECT("'"&amp;$C303&amp;"'!"&amp;"$"&amp;$D303&amp;$BK$1&amp;"")</f>
        <v>3.1</v>
      </c>
      <c r="BL303" s="308"/>
      <c r="BM303" s="308">
        <v>0.95</v>
      </c>
      <c r="BN303" s="306">
        <v>1</v>
      </c>
    </row>
    <row r="304" spans="1:66" ht="15" thickBot="1" x14ac:dyDescent="0.25"/>
    <row r="305" spans="1:66" ht="15.75" thickBot="1" x14ac:dyDescent="0.25">
      <c r="A305" s="367">
        <v>45701</v>
      </c>
      <c r="B305" s="364">
        <v>0</v>
      </c>
      <c r="C305" s="383">
        <v>13</v>
      </c>
      <c r="D305" s="316" t="s">
        <v>110</v>
      </c>
      <c r="E305" s="284">
        <v>14.1</v>
      </c>
      <c r="F305" s="285">
        <v>70.33</v>
      </c>
      <c r="G305" s="286" cm="1">
        <f t="array" aca="1" ref="G305" ca="1">INDIRECT("'"&amp;$C305&amp;"'!"&amp;"$"&amp;$D305&amp;$E$1&amp;"")</f>
        <v>6</v>
      </c>
      <c r="H305" s="287">
        <v>1</v>
      </c>
      <c r="I305" s="285">
        <v>0</v>
      </c>
      <c r="J305" s="286" cm="1">
        <f t="array" aca="1" ref="J305" ca="1">INDIRECT("'"&amp;$C305&amp;"'!"&amp;"$"&amp;$D305&amp;$J$1&amp;"")</f>
        <v>6</v>
      </c>
      <c r="K305" s="287"/>
      <c r="L305" s="287">
        <v>1</v>
      </c>
      <c r="M305" s="285">
        <v>0</v>
      </c>
      <c r="N305" s="286" cm="1">
        <f t="array" aca="1" ref="N305" ca="1">INDIRECT("'"&amp;$C305&amp;"'!"&amp;"$"&amp;$D305&amp;$N$1&amp;"")</f>
        <v>6.8</v>
      </c>
      <c r="O305" s="287"/>
      <c r="P305" s="287">
        <v>1</v>
      </c>
      <c r="Q305" s="285">
        <v>0.34</v>
      </c>
      <c r="R305" s="286" cm="1">
        <f t="array" aca="1" ref="R305" ca="1">INDIRECT("'"&amp;$C305&amp;"'!"&amp;"$"&amp;$D305&amp;$R$1&amp;"")</f>
        <v>0</v>
      </c>
      <c r="S305" s="287"/>
      <c r="T305" s="287" t="s">
        <v>1</v>
      </c>
      <c r="U305" s="285" t="s">
        <v>1</v>
      </c>
      <c r="V305" s="286" t="str" cm="1">
        <f t="array" aca="1" ref="V305" ca="1">INDIRECT("'"&amp;$C305&amp;"'!"&amp;"$"&amp;$D305&amp;$V$1&amp;"")</f>
        <v>CMS</v>
      </c>
      <c r="W305" s="287" t="s">
        <v>1</v>
      </c>
      <c r="X305" s="287" t="s">
        <v>1</v>
      </c>
      <c r="Y305" s="288" t="s">
        <v>1</v>
      </c>
      <c r="Z305" s="385" cm="1">
        <f t="array" aca="1" ref="Z305" ca="1">INDIRECT("'"&amp;$C305&amp;"'!"&amp;"$"&amp;$D305&amp;$Z$1&amp;"")</f>
        <v>0</v>
      </c>
      <c r="AA305" s="286" t="s">
        <v>1</v>
      </c>
      <c r="AB305" s="287" t="s">
        <v>1</v>
      </c>
      <c r="AC305" s="285" t="s">
        <v>1</v>
      </c>
      <c r="AD305" s="286" cm="1">
        <f t="array" aca="1" ref="AD305" ca="1">INDIRECT("'"&amp;$C305&amp;"'!"&amp;"$"&amp;$D305&amp;$AD$1&amp;"")</f>
        <v>3.2</v>
      </c>
      <c r="AE305" s="287">
        <f>3.62*3.8</f>
        <v>13.756</v>
      </c>
      <c r="AF305" s="287">
        <v>0.99</v>
      </c>
      <c r="AG305" s="285">
        <v>0.46</v>
      </c>
      <c r="AH305" s="284" cm="1">
        <f t="array" aca="1" ref="AH305" ca="1">INDIRECT("'"&amp;$C305&amp;"'!"&amp;"$"&amp;$D305&amp;$AH$1&amp;"")</f>
        <v>3.8</v>
      </c>
      <c r="AI305" s="287">
        <v>13.88</v>
      </c>
      <c r="AJ305" s="287">
        <v>0.99</v>
      </c>
      <c r="AK305" s="285">
        <v>0.39400000000000002</v>
      </c>
      <c r="AL305" s="284">
        <v>11.8</v>
      </c>
      <c r="AM305" s="288">
        <v>70.400000000000006</v>
      </c>
      <c r="AN305" s="284" cm="1">
        <f t="array" aca="1" ref="AN305" ca="1">INDIRECT("'"&amp;$C305&amp;"'!"&amp;"$"&amp;$D305&amp;$AL$1&amp;"")</f>
        <v>3</v>
      </c>
      <c r="AO305" s="287">
        <v>0.98</v>
      </c>
      <c r="AP305" s="285">
        <v>0.51</v>
      </c>
      <c r="AQ305" s="286" cm="1">
        <f t="array" aca="1" ref="AQ305" ca="1">INDIRECT("'"&amp;$C305&amp;"'!"&amp;"$"&amp;$D305&amp;$AQ$1&amp;"")</f>
        <v>3</v>
      </c>
      <c r="AR305" s="287">
        <v>0.98</v>
      </c>
      <c r="AS305" s="285">
        <v>0.56000000000000005</v>
      </c>
      <c r="AT305" s="284" t="s">
        <v>1</v>
      </c>
      <c r="AU305" s="381">
        <v>70.400000000000006</v>
      </c>
      <c r="AV305" s="284" t="str" cm="1">
        <f t="array" aca="1" ref="AV305" ca="1">INDIRECT("'"&amp;$C305&amp;"'!"&amp;"$"&amp;$D305&amp;$AT$1&amp;"")</f>
        <v>PMS</v>
      </c>
      <c r="AW305" s="287" t="s">
        <v>1</v>
      </c>
      <c r="AX305" s="288" t="s">
        <v>1</v>
      </c>
      <c r="AY305" s="385">
        <v>69.400000000000006</v>
      </c>
      <c r="AZ305" s="381" cm="1">
        <f t="array" aca="1" ref="AZ305" ca="1">INDIRECT("'"&amp;$C305&amp;"'!"&amp;"$"&amp;$D305&amp;$AY$1&amp;"")</f>
        <v>0</v>
      </c>
      <c r="BA305" s="287" t="s">
        <v>1</v>
      </c>
      <c r="BB305" s="285" t="s">
        <v>1</v>
      </c>
      <c r="BC305" s="286" cm="1">
        <f t="array" aca="1" ref="BC305" ca="1">INDIRECT("'"&amp;$C305&amp;"'!"&amp;"$"&amp;$D305&amp;$BC$1&amp;"")</f>
        <v>0.86</v>
      </c>
      <c r="BD305" s="287"/>
      <c r="BE305" s="287">
        <v>0.99</v>
      </c>
      <c r="BF305" s="285">
        <v>0.1</v>
      </c>
      <c r="BG305" s="286" cm="1">
        <f t="array" aca="1" ref="BG305" ca="1">INDIRECT("'"&amp;$C305&amp;"'!"&amp;"$"&amp;$D305&amp;$BG$1&amp;"")</f>
        <v>0.75</v>
      </c>
      <c r="BH305" s="287"/>
      <c r="BI305" s="287">
        <v>0.96</v>
      </c>
      <c r="BJ305" s="285">
        <v>0.19</v>
      </c>
      <c r="BK305" s="284" cm="1">
        <f t="array" aca="1" ref="BK305" ca="1">INDIRECT("'"&amp;$C305&amp;"'!"&amp;"$"&amp;$D305&amp;$BK$1&amp;"")</f>
        <v>2.9000000000000004</v>
      </c>
      <c r="BL305" s="287"/>
      <c r="BM305" s="287">
        <v>0.95</v>
      </c>
      <c r="BN305" s="285">
        <v>0.96</v>
      </c>
    </row>
    <row r="306" spans="1:66" ht="15.75" thickBot="1" x14ac:dyDescent="0.25">
      <c r="A306" s="368">
        <v>45701</v>
      </c>
      <c r="B306" s="365">
        <v>4.1666666666666699E-2</v>
      </c>
      <c r="C306" s="383">
        <v>13</v>
      </c>
      <c r="D306" s="319" t="s">
        <v>111</v>
      </c>
      <c r="E306" s="290">
        <v>14.1</v>
      </c>
      <c r="F306" s="291">
        <v>70.5</v>
      </c>
      <c r="G306" s="292" cm="1">
        <f t="array" aca="1" ref="G306" ca="1">INDIRECT("'"&amp;$C306&amp;"'!"&amp;"$"&amp;$D306&amp;$E$1&amp;"")</f>
        <v>6.6</v>
      </c>
      <c r="H306" s="293">
        <v>1</v>
      </c>
      <c r="I306" s="291">
        <v>0</v>
      </c>
      <c r="J306" s="292" cm="1">
        <f t="array" aca="1" ref="J306" ca="1">INDIRECT("'"&amp;$C306&amp;"'!"&amp;"$"&amp;$D306&amp;$J$1&amp;"")</f>
        <v>6.6</v>
      </c>
      <c r="K306" s="293"/>
      <c r="L306" s="293">
        <v>1</v>
      </c>
      <c r="M306" s="291">
        <v>0</v>
      </c>
      <c r="N306" s="292" cm="1">
        <f t="array" aca="1" ref="N306" ca="1">INDIRECT("'"&amp;$C306&amp;"'!"&amp;"$"&amp;$D306&amp;$N$1&amp;"")</f>
        <v>0</v>
      </c>
      <c r="O306" s="293"/>
      <c r="P306" s="293" t="s">
        <v>1</v>
      </c>
      <c r="Q306" s="291" t="s">
        <v>1</v>
      </c>
      <c r="R306" s="292" cm="1">
        <f t="array" aca="1" ref="R306" ca="1">INDIRECT("'"&amp;$C306&amp;"'!"&amp;"$"&amp;$D306&amp;$R$1&amp;"")</f>
        <v>0</v>
      </c>
      <c r="S306" s="293"/>
      <c r="T306" s="293" t="s">
        <v>1</v>
      </c>
      <c r="U306" s="291" t="s">
        <v>1</v>
      </c>
      <c r="V306" s="292" t="str" cm="1">
        <f t="array" aca="1" ref="V306" ca="1">INDIRECT("'"&amp;$C306&amp;"'!"&amp;"$"&amp;$D306&amp;$V$1&amp;"")</f>
        <v>CMS</v>
      </c>
      <c r="W306" s="293" t="s">
        <v>1</v>
      </c>
      <c r="X306" s="293" t="s">
        <v>1</v>
      </c>
      <c r="Y306" s="294" t="s">
        <v>1</v>
      </c>
      <c r="Z306" s="386" cm="1">
        <f t="array" aca="1" ref="Z306" ca="1">INDIRECT("'"&amp;$C306&amp;"'!"&amp;"$"&amp;$D306&amp;$Z$1&amp;"")</f>
        <v>0</v>
      </c>
      <c r="AA306" s="292" t="s">
        <v>1</v>
      </c>
      <c r="AB306" s="293" t="s">
        <v>1</v>
      </c>
      <c r="AC306" s="291" t="s">
        <v>1</v>
      </c>
      <c r="AD306" s="292" cm="1">
        <f t="array" aca="1" ref="AD306" ca="1">INDIRECT("'"&amp;$C306&amp;"'!"&amp;"$"&amp;$D306&amp;$AD$1&amp;"")</f>
        <v>3.3</v>
      </c>
      <c r="AE306" s="293">
        <f>3.64*3.8</f>
        <v>13.831999999999999</v>
      </c>
      <c r="AF306" s="293">
        <v>1</v>
      </c>
      <c r="AG306" s="294">
        <v>0</v>
      </c>
      <c r="AH306" s="290" cm="1">
        <f t="array" aca="1" ref="AH306" ca="1">INDIRECT("'"&amp;$C306&amp;"'!"&amp;"$"&amp;$D306&amp;$AH$1&amp;"")</f>
        <v>3.8</v>
      </c>
      <c r="AI306" s="293">
        <v>13.88</v>
      </c>
      <c r="AJ306" s="293">
        <v>0.99</v>
      </c>
      <c r="AK306" s="291">
        <v>0.43099999999999999</v>
      </c>
      <c r="AL306" s="290">
        <v>11.8</v>
      </c>
      <c r="AM306" s="294">
        <v>70.7</v>
      </c>
      <c r="AN306" s="290" cm="1">
        <f t="array" aca="1" ref="AN306" ca="1">INDIRECT("'"&amp;$C306&amp;"'!"&amp;"$"&amp;$D306&amp;$AL$1&amp;"")</f>
        <v>4</v>
      </c>
      <c r="AO306" s="293">
        <v>0.99</v>
      </c>
      <c r="AP306" s="291">
        <v>0.27</v>
      </c>
      <c r="AQ306" s="292" cm="1">
        <f t="array" aca="1" ref="AQ306" ca="1">INDIRECT("'"&amp;$C306&amp;"'!"&amp;"$"&amp;$D306&amp;$AQ$1&amp;"")</f>
        <v>4</v>
      </c>
      <c r="AR306" s="293">
        <v>0.99</v>
      </c>
      <c r="AS306" s="291">
        <v>0.24</v>
      </c>
      <c r="AT306" s="290" t="s">
        <v>1</v>
      </c>
      <c r="AU306" s="296">
        <v>70.3</v>
      </c>
      <c r="AV306" s="290" t="str" cm="1">
        <f t="array" aca="1" ref="AV306" ca="1">INDIRECT("'"&amp;$C306&amp;"'!"&amp;"$"&amp;$D306&amp;$AT$1&amp;"")</f>
        <v>PMS</v>
      </c>
      <c r="AW306" s="293" t="s">
        <v>1</v>
      </c>
      <c r="AX306" s="294" t="s">
        <v>1</v>
      </c>
      <c r="AY306" s="386">
        <v>69.7</v>
      </c>
      <c r="AZ306" s="296" cm="1">
        <f t="array" aca="1" ref="AZ306" ca="1">INDIRECT("'"&amp;$C306&amp;"'!"&amp;"$"&amp;$D306&amp;$AY$1&amp;"")</f>
        <v>1.9</v>
      </c>
      <c r="BA306" s="293">
        <v>0.98</v>
      </c>
      <c r="BB306" s="291">
        <v>0.4</v>
      </c>
      <c r="BC306" s="292" cm="1">
        <f t="array" aca="1" ref="BC306" ca="1">INDIRECT("'"&amp;$C306&amp;"'!"&amp;"$"&amp;$D306&amp;$BC$1&amp;"")</f>
        <v>0.89</v>
      </c>
      <c r="BD306" s="293"/>
      <c r="BE306" s="293">
        <v>0.99</v>
      </c>
      <c r="BF306" s="291">
        <v>0.1</v>
      </c>
      <c r="BG306" s="292" cm="1">
        <f t="array" aca="1" ref="BG306" ca="1">INDIRECT("'"&amp;$C306&amp;"'!"&amp;"$"&amp;$D306&amp;$BG$1&amp;"")</f>
        <v>0.72</v>
      </c>
      <c r="BH306" s="293"/>
      <c r="BI306" s="293">
        <v>0.96</v>
      </c>
      <c r="BJ306" s="291">
        <v>0.19</v>
      </c>
      <c r="BK306" s="290" cm="1">
        <f t="array" aca="1" ref="BK306" ca="1">INDIRECT("'"&amp;$C306&amp;"'!"&amp;"$"&amp;$D306&amp;$BK$1&amp;"")</f>
        <v>2.7099999999999995</v>
      </c>
      <c r="BL306" s="293"/>
      <c r="BM306" s="293">
        <v>0.95</v>
      </c>
      <c r="BN306" s="291">
        <v>0.89</v>
      </c>
    </row>
    <row r="307" spans="1:66" ht="15.75" thickBot="1" x14ac:dyDescent="0.25">
      <c r="A307" s="368">
        <v>45701</v>
      </c>
      <c r="B307" s="365">
        <v>8.3333333333333301E-2</v>
      </c>
      <c r="C307" s="383">
        <v>13</v>
      </c>
      <c r="D307" s="319" t="s">
        <v>112</v>
      </c>
      <c r="E307" s="297">
        <v>14</v>
      </c>
      <c r="F307" s="298">
        <v>70.5</v>
      </c>
      <c r="G307" s="299" cm="1">
        <f t="array" aca="1" ref="G307" ca="1">INDIRECT("'"&amp;$C307&amp;"'!"&amp;"$"&amp;$D307&amp;$E$1&amp;"")</f>
        <v>6.8</v>
      </c>
      <c r="H307" s="300">
        <v>1</v>
      </c>
      <c r="I307" s="298">
        <v>0</v>
      </c>
      <c r="J307" s="299" cm="1">
        <f t="array" aca="1" ref="J307" ca="1">INDIRECT("'"&amp;$C307&amp;"'!"&amp;"$"&amp;$D307&amp;$J$1&amp;"")</f>
        <v>6.8</v>
      </c>
      <c r="K307" s="300"/>
      <c r="L307" s="300">
        <v>1</v>
      </c>
      <c r="M307" s="298">
        <v>0</v>
      </c>
      <c r="N307" s="299" cm="1">
        <f t="array" aca="1" ref="N307" ca="1">INDIRECT("'"&amp;$C307&amp;"'!"&amp;"$"&amp;$D307&amp;$N$1&amp;"")</f>
        <v>0</v>
      </c>
      <c r="O307" s="300"/>
      <c r="P307" s="300" t="s">
        <v>1</v>
      </c>
      <c r="Q307" s="298" t="s">
        <v>1</v>
      </c>
      <c r="R307" s="299" cm="1">
        <f t="array" aca="1" ref="R307" ca="1">INDIRECT("'"&amp;$C307&amp;"'!"&amp;"$"&amp;$D307&amp;$R$1&amp;"")</f>
        <v>0</v>
      </c>
      <c r="S307" s="300"/>
      <c r="T307" s="300" t="s">
        <v>1</v>
      </c>
      <c r="U307" s="298" t="s">
        <v>1</v>
      </c>
      <c r="V307" s="299" t="str" cm="1">
        <f t="array" aca="1" ref="V307" ca="1">INDIRECT("'"&amp;$C307&amp;"'!"&amp;"$"&amp;$D307&amp;$V$1&amp;"")</f>
        <v>CMS</v>
      </c>
      <c r="W307" s="300" t="s">
        <v>1</v>
      </c>
      <c r="X307" s="300" t="s">
        <v>1</v>
      </c>
      <c r="Y307" s="301" t="s">
        <v>1</v>
      </c>
      <c r="Z307" s="387" cm="1">
        <f t="array" aca="1" ref="Z307" ca="1">INDIRECT("'"&amp;$C307&amp;"'!"&amp;"$"&amp;$D307&amp;$Z$1&amp;"")</f>
        <v>0</v>
      </c>
      <c r="AA307" s="299" t="s">
        <v>1</v>
      </c>
      <c r="AB307" s="300" t="s">
        <v>1</v>
      </c>
      <c r="AC307" s="298" t="s">
        <v>1</v>
      </c>
      <c r="AD307" s="299" cm="1">
        <f t="array" aca="1" ref="AD307" ca="1">INDIRECT("'"&amp;$C307&amp;"'!"&amp;"$"&amp;$D307&amp;$AD$1&amp;"")</f>
        <v>3.3</v>
      </c>
      <c r="AE307" s="300">
        <f>3.64*3.8</f>
        <v>13.831999999999999</v>
      </c>
      <c r="AF307" s="300">
        <v>1</v>
      </c>
      <c r="AG307" s="301">
        <v>0</v>
      </c>
      <c r="AH307" s="297" cm="1">
        <f t="array" aca="1" ref="AH307" ca="1">INDIRECT("'"&amp;$C307&amp;"'!"&amp;"$"&amp;$D307&amp;$AH$1&amp;"")</f>
        <v>3.8</v>
      </c>
      <c r="AI307" s="300">
        <v>13.88</v>
      </c>
      <c r="AJ307" s="300">
        <v>0.99</v>
      </c>
      <c r="AK307" s="298">
        <v>0.44900000000000001</v>
      </c>
      <c r="AL307" s="297">
        <v>11.8</v>
      </c>
      <c r="AM307" s="301">
        <v>70.5</v>
      </c>
      <c r="AN307" s="297" cm="1">
        <f t="array" aca="1" ref="AN307" ca="1">INDIRECT("'"&amp;$C307&amp;"'!"&amp;"$"&amp;$D307&amp;$AL$1&amp;"")</f>
        <v>4.0999999999999996</v>
      </c>
      <c r="AO307" s="300">
        <v>0.99</v>
      </c>
      <c r="AP307" s="298">
        <v>0.33</v>
      </c>
      <c r="AQ307" s="299" cm="1">
        <f t="array" aca="1" ref="AQ307" ca="1">INDIRECT("'"&amp;$C307&amp;"'!"&amp;"$"&amp;$D307&amp;$AQ$1&amp;"")</f>
        <v>4.0999999999999996</v>
      </c>
      <c r="AR307" s="300">
        <v>0.99</v>
      </c>
      <c r="AS307" s="298">
        <v>0.33</v>
      </c>
      <c r="AT307" s="297" t="s">
        <v>1</v>
      </c>
      <c r="AU307" s="303">
        <v>70.400000000000006</v>
      </c>
      <c r="AV307" s="297" t="str" cm="1">
        <f t="array" aca="1" ref="AV307" ca="1">INDIRECT("'"&amp;$C307&amp;"'!"&amp;"$"&amp;$D307&amp;$AT$1&amp;"")</f>
        <v>PMS</v>
      </c>
      <c r="AW307" s="300" t="s">
        <v>1</v>
      </c>
      <c r="AX307" s="301" t="s">
        <v>1</v>
      </c>
      <c r="AY307" s="387">
        <v>69.5</v>
      </c>
      <c r="AZ307" s="303" cm="1">
        <f t="array" aca="1" ref="AZ307" ca="1">INDIRECT("'"&amp;$C307&amp;"'!"&amp;"$"&amp;$D307&amp;$AY$1&amp;"")</f>
        <v>0</v>
      </c>
      <c r="BA307" s="300" t="s">
        <v>1</v>
      </c>
      <c r="BB307" s="298" t="s">
        <v>1</v>
      </c>
      <c r="BC307" s="299" cm="1">
        <f t="array" aca="1" ref="BC307" ca="1">INDIRECT("'"&amp;$C307&amp;"'!"&amp;"$"&amp;$D307&amp;$BC$1&amp;"")</f>
        <v>0.73</v>
      </c>
      <c r="BD307" s="300"/>
      <c r="BE307" s="300">
        <v>0.99</v>
      </c>
      <c r="BF307" s="298">
        <v>0.08</v>
      </c>
      <c r="BG307" s="299" cm="1">
        <f t="array" aca="1" ref="BG307" ca="1">INDIRECT("'"&amp;$C307&amp;"'!"&amp;"$"&amp;$D307&amp;$BG$1&amp;"")</f>
        <v>0.69</v>
      </c>
      <c r="BH307" s="300"/>
      <c r="BI307" s="300">
        <v>0.96</v>
      </c>
      <c r="BJ307" s="298">
        <v>0.18</v>
      </c>
      <c r="BK307" s="297" cm="1">
        <f t="array" aca="1" ref="BK307" ca="1">INDIRECT("'"&amp;$C307&amp;"'!"&amp;"$"&amp;$D307&amp;$BK$1&amp;"")</f>
        <v>2.63</v>
      </c>
      <c r="BL307" s="300"/>
      <c r="BM307" s="300">
        <v>0.95</v>
      </c>
      <c r="BN307" s="298">
        <v>0.86</v>
      </c>
    </row>
    <row r="308" spans="1:66" ht="15.75" thickBot="1" x14ac:dyDescent="0.25">
      <c r="A308" s="368">
        <v>45701</v>
      </c>
      <c r="B308" s="365">
        <v>0.125</v>
      </c>
      <c r="C308" s="383">
        <v>13</v>
      </c>
      <c r="D308" s="319" t="s">
        <v>113</v>
      </c>
      <c r="E308" s="290">
        <v>14</v>
      </c>
      <c r="F308" s="291">
        <v>70.400000000000006</v>
      </c>
      <c r="G308" s="292" cm="1">
        <f t="array" aca="1" ref="G308" ca="1">INDIRECT("'"&amp;$C308&amp;"'!"&amp;"$"&amp;$D308&amp;$E$1&amp;"")</f>
        <v>6.8</v>
      </c>
      <c r="H308" s="293">
        <v>1</v>
      </c>
      <c r="I308" s="291">
        <v>0</v>
      </c>
      <c r="J308" s="292" cm="1">
        <f t="array" aca="1" ref="J308" ca="1">INDIRECT("'"&amp;$C308&amp;"'!"&amp;"$"&amp;$D308&amp;$J$1&amp;"")</f>
        <v>6.8</v>
      </c>
      <c r="K308" s="293"/>
      <c r="L308" s="293">
        <v>1</v>
      </c>
      <c r="M308" s="291">
        <v>0</v>
      </c>
      <c r="N308" s="292" cm="1">
        <f t="array" aca="1" ref="N308" ca="1">INDIRECT("'"&amp;$C308&amp;"'!"&amp;"$"&amp;$D308&amp;$N$1&amp;"")</f>
        <v>0</v>
      </c>
      <c r="O308" s="293"/>
      <c r="P308" s="293" t="s">
        <v>1</v>
      </c>
      <c r="Q308" s="291" t="s">
        <v>1</v>
      </c>
      <c r="R308" s="292" cm="1">
        <f t="array" aca="1" ref="R308" ca="1">INDIRECT("'"&amp;$C308&amp;"'!"&amp;"$"&amp;$D308&amp;$R$1&amp;"")</f>
        <v>0</v>
      </c>
      <c r="S308" s="293"/>
      <c r="T308" s="293" t="s">
        <v>1</v>
      </c>
      <c r="U308" s="291" t="s">
        <v>1</v>
      </c>
      <c r="V308" s="292" t="str" cm="1">
        <f t="array" aca="1" ref="V308" ca="1">INDIRECT("'"&amp;$C308&amp;"'!"&amp;"$"&amp;$D308&amp;$V$1&amp;"")</f>
        <v>CMS</v>
      </c>
      <c r="W308" s="293" t="s">
        <v>1</v>
      </c>
      <c r="X308" s="293" t="s">
        <v>1</v>
      </c>
      <c r="Y308" s="294" t="s">
        <v>1</v>
      </c>
      <c r="Z308" s="386" cm="1">
        <f t="array" aca="1" ref="Z308" ca="1">INDIRECT("'"&amp;$C308&amp;"'!"&amp;"$"&amp;$D308&amp;$Z$1&amp;"")</f>
        <v>0</v>
      </c>
      <c r="AA308" s="292" t="s">
        <v>1</v>
      </c>
      <c r="AB308" s="293" t="s">
        <v>1</v>
      </c>
      <c r="AC308" s="291" t="s">
        <v>1</v>
      </c>
      <c r="AD308" s="292" cm="1">
        <f t="array" aca="1" ref="AD308" ca="1">INDIRECT("'"&amp;$C308&amp;"'!"&amp;"$"&amp;$D308&amp;$AD$1&amp;"")</f>
        <v>3.3</v>
      </c>
      <c r="AE308" s="293">
        <f>3.8*3.63</f>
        <v>13.793999999999999</v>
      </c>
      <c r="AF308" s="293">
        <v>1</v>
      </c>
      <c r="AG308" s="294">
        <v>0</v>
      </c>
      <c r="AH308" s="290" cm="1">
        <f t="array" aca="1" ref="AH308" ca="1">INDIRECT("'"&amp;$C308&amp;"'!"&amp;"$"&amp;$D308&amp;$AH$1&amp;"")</f>
        <v>3.8</v>
      </c>
      <c r="AI308" s="293">
        <v>13.92</v>
      </c>
      <c r="AJ308" s="293">
        <v>0.99</v>
      </c>
      <c r="AK308" s="291">
        <v>0.436</v>
      </c>
      <c r="AL308" s="290">
        <v>11.8</v>
      </c>
      <c r="AM308" s="294">
        <v>70.8</v>
      </c>
      <c r="AN308" s="290" cm="1">
        <f t="array" aca="1" ref="AN308" ca="1">INDIRECT("'"&amp;$C308&amp;"'!"&amp;"$"&amp;$D308&amp;$AL$1&amp;"")</f>
        <v>4</v>
      </c>
      <c r="AO308" s="293">
        <v>0.99</v>
      </c>
      <c r="AP308" s="291">
        <v>0.38</v>
      </c>
      <c r="AQ308" s="292" cm="1">
        <f t="array" aca="1" ref="AQ308" ca="1">INDIRECT("'"&amp;$C308&amp;"'!"&amp;"$"&amp;$D308&amp;$AQ$1&amp;"")</f>
        <v>4</v>
      </c>
      <c r="AR308" s="293">
        <v>0.99</v>
      </c>
      <c r="AS308" s="291">
        <v>0.35</v>
      </c>
      <c r="AT308" s="290" t="s">
        <v>1</v>
      </c>
      <c r="AU308" s="296">
        <v>70.400000000000006</v>
      </c>
      <c r="AV308" s="290" t="str" cm="1">
        <f t="array" aca="1" ref="AV308" ca="1">INDIRECT("'"&amp;$C308&amp;"'!"&amp;"$"&amp;$D308&amp;$AT$1&amp;"")</f>
        <v>PMS</v>
      </c>
      <c r="AW308" s="293" t="s">
        <v>1</v>
      </c>
      <c r="AX308" s="294" t="s">
        <v>1</v>
      </c>
      <c r="AY308" s="386">
        <v>69.5</v>
      </c>
      <c r="AZ308" s="296" cm="1">
        <f t="array" aca="1" ref="AZ308" ca="1">INDIRECT("'"&amp;$C308&amp;"'!"&amp;"$"&amp;$D308&amp;$AY$1&amp;"")</f>
        <v>0</v>
      </c>
      <c r="BA308" s="293" t="s">
        <v>1</v>
      </c>
      <c r="BB308" s="291" t="s">
        <v>1</v>
      </c>
      <c r="BC308" s="292" cm="1">
        <f t="array" aca="1" ref="BC308" ca="1">INDIRECT("'"&amp;$C308&amp;"'!"&amp;"$"&amp;$D308&amp;$BC$1&amp;"")</f>
        <v>0.7</v>
      </c>
      <c r="BD308" s="293"/>
      <c r="BE308" s="293">
        <v>0.99</v>
      </c>
      <c r="BF308" s="291">
        <v>7.0000000000000007E-2</v>
      </c>
      <c r="BG308" s="292" cm="1">
        <f t="array" aca="1" ref="BG308" ca="1">INDIRECT("'"&amp;$C308&amp;"'!"&amp;"$"&amp;$D308&amp;$BG$1&amp;"")</f>
        <v>0.67</v>
      </c>
      <c r="BH308" s="293"/>
      <c r="BI308" s="293">
        <v>0.96</v>
      </c>
      <c r="BJ308" s="291">
        <v>0.17</v>
      </c>
      <c r="BK308" s="290" cm="1">
        <f t="array" aca="1" ref="BK308" ca="1">INDIRECT("'"&amp;$C308&amp;"'!"&amp;"$"&amp;$D308&amp;$BK$1&amp;"")</f>
        <v>2.6</v>
      </c>
      <c r="BL308" s="293"/>
      <c r="BM308" s="293">
        <v>0.95</v>
      </c>
      <c r="BN308" s="291">
        <v>0.85</v>
      </c>
    </row>
    <row r="309" spans="1:66" ht="15.75" thickBot="1" x14ac:dyDescent="0.25">
      <c r="A309" s="368">
        <v>45701</v>
      </c>
      <c r="B309" s="365">
        <v>0.16666666666666699</v>
      </c>
      <c r="C309" s="383">
        <v>13</v>
      </c>
      <c r="D309" s="319" t="s">
        <v>114</v>
      </c>
      <c r="E309" s="297">
        <v>14</v>
      </c>
      <c r="F309" s="298">
        <v>70.3</v>
      </c>
      <c r="G309" s="299" cm="1">
        <f t="array" aca="1" ref="G309" ca="1">INDIRECT("'"&amp;$C309&amp;"'!"&amp;"$"&amp;$D309&amp;$E$1&amp;"")</f>
        <v>6.8</v>
      </c>
      <c r="H309" s="300">
        <v>1</v>
      </c>
      <c r="I309" s="298">
        <v>0</v>
      </c>
      <c r="J309" s="299" cm="1">
        <f t="array" aca="1" ref="J309" ca="1">INDIRECT("'"&amp;$C309&amp;"'!"&amp;"$"&amp;$D309&amp;$J$1&amp;"")</f>
        <v>6.8</v>
      </c>
      <c r="K309" s="300"/>
      <c r="L309" s="300">
        <v>1</v>
      </c>
      <c r="M309" s="298">
        <v>0</v>
      </c>
      <c r="N309" s="299" cm="1">
        <f t="array" aca="1" ref="N309" ca="1">INDIRECT("'"&amp;$C309&amp;"'!"&amp;"$"&amp;$D309&amp;$N$1&amp;"")</f>
        <v>0</v>
      </c>
      <c r="O309" s="300"/>
      <c r="P309" s="300" t="s">
        <v>1</v>
      </c>
      <c r="Q309" s="298" t="s">
        <v>1</v>
      </c>
      <c r="R309" s="299" cm="1">
        <f t="array" aca="1" ref="R309" ca="1">INDIRECT("'"&amp;$C309&amp;"'!"&amp;"$"&amp;$D309&amp;$R$1&amp;"")</f>
        <v>0</v>
      </c>
      <c r="S309" s="300"/>
      <c r="T309" s="300" t="s">
        <v>1</v>
      </c>
      <c r="U309" s="298" t="s">
        <v>1</v>
      </c>
      <c r="V309" s="299" t="str" cm="1">
        <f t="array" aca="1" ref="V309" ca="1">INDIRECT("'"&amp;$C309&amp;"'!"&amp;"$"&amp;$D309&amp;$V$1&amp;"")</f>
        <v>CMS</v>
      </c>
      <c r="W309" s="300" t="s">
        <v>1</v>
      </c>
      <c r="X309" s="300" t="s">
        <v>1</v>
      </c>
      <c r="Y309" s="301" t="s">
        <v>1</v>
      </c>
      <c r="Z309" s="387" cm="1">
        <f t="array" aca="1" ref="Z309" ca="1">INDIRECT("'"&amp;$C309&amp;"'!"&amp;"$"&amp;$D309&amp;$Z$1&amp;"")</f>
        <v>0</v>
      </c>
      <c r="AA309" s="299" t="s">
        <v>1</v>
      </c>
      <c r="AB309" s="300" t="s">
        <v>1</v>
      </c>
      <c r="AC309" s="298" t="s">
        <v>1</v>
      </c>
      <c r="AD309" s="299" cm="1">
        <f t="array" aca="1" ref="AD309" ca="1">INDIRECT("'"&amp;$C309&amp;"'!"&amp;"$"&amp;$D309&amp;$AD$1&amp;"")</f>
        <v>3.3</v>
      </c>
      <c r="AE309" s="300">
        <f>3.8*3.63</f>
        <v>13.793999999999999</v>
      </c>
      <c r="AF309" s="300">
        <v>1</v>
      </c>
      <c r="AG309" s="301">
        <v>0</v>
      </c>
      <c r="AH309" s="297" cm="1">
        <f t="array" aca="1" ref="AH309" ca="1">INDIRECT("'"&amp;$C309&amp;"'!"&amp;"$"&amp;$D309&amp;$AH$1&amp;"")</f>
        <v>3.8</v>
      </c>
      <c r="AI309" s="300">
        <v>13.92</v>
      </c>
      <c r="AJ309" s="300">
        <v>0.99</v>
      </c>
      <c r="AK309" s="298">
        <v>0.28899999999999998</v>
      </c>
      <c r="AL309" s="297">
        <v>11.8</v>
      </c>
      <c r="AM309" s="301">
        <v>70.7</v>
      </c>
      <c r="AN309" s="297" cm="1">
        <f t="array" aca="1" ref="AN309" ca="1">INDIRECT("'"&amp;$C309&amp;"'!"&amp;"$"&amp;$D309&amp;$AL$1&amp;"")</f>
        <v>3.7</v>
      </c>
      <c r="AO309" s="300">
        <v>0.99</v>
      </c>
      <c r="AP309" s="298">
        <v>0.35</v>
      </c>
      <c r="AQ309" s="299" cm="1">
        <f t="array" aca="1" ref="AQ309" ca="1">INDIRECT("'"&amp;$C309&amp;"'!"&amp;"$"&amp;$D309&amp;$AQ$1&amp;"")</f>
        <v>3.7</v>
      </c>
      <c r="AR309" s="300">
        <v>0.99</v>
      </c>
      <c r="AS309" s="298">
        <v>0.33</v>
      </c>
      <c r="AT309" s="297" t="s">
        <v>1</v>
      </c>
      <c r="AU309" s="303">
        <v>70.400000000000006</v>
      </c>
      <c r="AV309" s="297" t="str" cm="1">
        <f t="array" aca="1" ref="AV309" ca="1">INDIRECT("'"&amp;$C309&amp;"'!"&amp;"$"&amp;$D309&amp;$AT$1&amp;"")</f>
        <v>PMS</v>
      </c>
      <c r="AW309" s="300" t="s">
        <v>1</v>
      </c>
      <c r="AX309" s="301" t="s">
        <v>1</v>
      </c>
      <c r="AY309" s="387">
        <v>69.5</v>
      </c>
      <c r="AZ309" s="303" cm="1">
        <f t="array" aca="1" ref="AZ309" ca="1">INDIRECT("'"&amp;$C309&amp;"'!"&amp;"$"&amp;$D309&amp;$AY$1&amp;"")</f>
        <v>0</v>
      </c>
      <c r="BA309" s="300" t="s">
        <v>1</v>
      </c>
      <c r="BB309" s="298" t="s">
        <v>1</v>
      </c>
      <c r="BC309" s="299" cm="1">
        <f t="array" aca="1" ref="BC309" ca="1">INDIRECT("'"&amp;$C309&amp;"'!"&amp;"$"&amp;$D309&amp;$BC$1&amp;"")</f>
        <v>0.71</v>
      </c>
      <c r="BD309" s="300"/>
      <c r="BE309" s="300">
        <v>0.99</v>
      </c>
      <c r="BF309" s="298">
        <v>7.0000000000000007E-2</v>
      </c>
      <c r="BG309" s="299" cm="1">
        <f t="array" aca="1" ref="BG309" ca="1">INDIRECT("'"&amp;$C309&amp;"'!"&amp;"$"&amp;$D309&amp;$BG$1&amp;"")</f>
        <v>0.64</v>
      </c>
      <c r="BH309" s="300"/>
      <c r="BI309" s="300">
        <v>0.96</v>
      </c>
      <c r="BJ309" s="298">
        <v>0.17</v>
      </c>
      <c r="BK309" s="297" cm="1">
        <f t="array" aca="1" ref="BK309" ca="1">INDIRECT("'"&amp;$C309&amp;"'!"&amp;"$"&amp;$D309&amp;$BK$1&amp;"")</f>
        <v>2.59</v>
      </c>
      <c r="BL309" s="300"/>
      <c r="BM309" s="300">
        <v>0.95</v>
      </c>
      <c r="BN309" s="298">
        <v>0.85</v>
      </c>
    </row>
    <row r="310" spans="1:66" ht="15.75" thickBot="1" x14ac:dyDescent="0.25">
      <c r="A310" s="368">
        <v>45701</v>
      </c>
      <c r="B310" s="365">
        <v>0.20833333333333301</v>
      </c>
      <c r="C310" s="383">
        <v>13</v>
      </c>
      <c r="D310" s="319" t="s">
        <v>115</v>
      </c>
      <c r="E310" s="290">
        <v>14</v>
      </c>
      <c r="F310" s="291">
        <v>70.459999999999994</v>
      </c>
      <c r="G310" s="292" cm="1">
        <f t="array" aca="1" ref="G310" ca="1">INDIRECT("'"&amp;$C310&amp;"'!"&amp;"$"&amp;$D310&amp;$E$1&amp;"")</f>
        <v>6.9</v>
      </c>
      <c r="H310" s="293">
        <v>1</v>
      </c>
      <c r="I310" s="291">
        <v>2</v>
      </c>
      <c r="J310" s="292" cm="1">
        <f t="array" aca="1" ref="J310" ca="1">INDIRECT("'"&amp;$C310&amp;"'!"&amp;"$"&amp;$D310&amp;$J$1&amp;"")</f>
        <v>6.9</v>
      </c>
      <c r="K310" s="293"/>
      <c r="L310" s="293">
        <v>1</v>
      </c>
      <c r="M310" s="291">
        <v>0.2</v>
      </c>
      <c r="N310" s="292" cm="1">
        <f t="array" aca="1" ref="N310" ca="1">INDIRECT("'"&amp;$C310&amp;"'!"&amp;"$"&amp;$D310&amp;$N$1&amp;"")</f>
        <v>0</v>
      </c>
      <c r="O310" s="293"/>
      <c r="P310" s="293" t="s">
        <v>1</v>
      </c>
      <c r="Q310" s="291" t="s">
        <v>1</v>
      </c>
      <c r="R310" s="292" cm="1">
        <f t="array" aca="1" ref="R310" ca="1">INDIRECT("'"&amp;$C310&amp;"'!"&amp;"$"&amp;$D310&amp;$R$1&amp;"")</f>
        <v>0</v>
      </c>
      <c r="S310" s="293"/>
      <c r="T310" s="293" t="s">
        <v>1</v>
      </c>
      <c r="U310" s="291" t="s">
        <v>1</v>
      </c>
      <c r="V310" s="292" t="str" cm="1">
        <f t="array" aca="1" ref="V310" ca="1">INDIRECT("'"&amp;$C310&amp;"'!"&amp;"$"&amp;$D310&amp;$V$1&amp;"")</f>
        <v>CMS</v>
      </c>
      <c r="W310" s="293" t="s">
        <v>1</v>
      </c>
      <c r="X310" s="293" t="s">
        <v>1</v>
      </c>
      <c r="Y310" s="294" t="s">
        <v>1</v>
      </c>
      <c r="Z310" s="386" cm="1">
        <f t="array" aca="1" ref="Z310" ca="1">INDIRECT("'"&amp;$C310&amp;"'!"&amp;"$"&amp;$D310&amp;$Z$1&amp;"")</f>
        <v>0</v>
      </c>
      <c r="AA310" s="292" t="s">
        <v>1</v>
      </c>
      <c r="AB310" s="293" t="s">
        <v>1</v>
      </c>
      <c r="AC310" s="291" t="s">
        <v>1</v>
      </c>
      <c r="AD310" s="292" cm="1">
        <f t="array" aca="1" ref="AD310" ca="1">INDIRECT("'"&amp;$C310&amp;"'!"&amp;"$"&amp;$D310&amp;$AD$1&amp;"")</f>
        <v>3.4</v>
      </c>
      <c r="AE310" s="293">
        <f>3.8*3.63</f>
        <v>13.793999999999999</v>
      </c>
      <c r="AF310" s="293">
        <v>1</v>
      </c>
      <c r="AG310" s="294">
        <v>0</v>
      </c>
      <c r="AH310" s="290" cm="1">
        <f t="array" aca="1" ref="AH310" ca="1">INDIRECT("'"&amp;$C310&amp;"'!"&amp;"$"&amp;$D310&amp;$AH$1&amp;"")</f>
        <v>3.8</v>
      </c>
      <c r="AI310" s="293">
        <v>13.92</v>
      </c>
      <c r="AJ310" s="293">
        <v>0.99</v>
      </c>
      <c r="AK310" s="291">
        <v>0.30099999999999999</v>
      </c>
      <c r="AL310" s="290">
        <v>11.8</v>
      </c>
      <c r="AM310" s="294">
        <v>70.599999999999994</v>
      </c>
      <c r="AN310" s="290" cm="1">
        <f t="array" aca="1" ref="AN310" ca="1">INDIRECT("'"&amp;$C310&amp;"'!"&amp;"$"&amp;$D310&amp;$AL$1&amp;"")</f>
        <v>3.8</v>
      </c>
      <c r="AO310" s="293">
        <v>0.99</v>
      </c>
      <c r="AP310" s="291">
        <v>0.32</v>
      </c>
      <c r="AQ310" s="292" cm="1">
        <f t="array" aca="1" ref="AQ310" ca="1">INDIRECT("'"&amp;$C310&amp;"'!"&amp;"$"&amp;$D310&amp;$AQ$1&amp;"")</f>
        <v>3.8</v>
      </c>
      <c r="AR310" s="293">
        <v>0.99</v>
      </c>
      <c r="AS310" s="291">
        <v>0.36</v>
      </c>
      <c r="AT310" s="290" t="s">
        <v>1</v>
      </c>
      <c r="AU310" s="296">
        <v>70.400000000000006</v>
      </c>
      <c r="AV310" s="290" t="str" cm="1">
        <f t="array" aca="1" ref="AV310" ca="1">INDIRECT("'"&amp;$C310&amp;"'!"&amp;"$"&amp;$D310&amp;$AT$1&amp;"")</f>
        <v>PMS</v>
      </c>
      <c r="AW310" s="293" t="s">
        <v>1</v>
      </c>
      <c r="AX310" s="294" t="s">
        <v>1</v>
      </c>
      <c r="AY310" s="386">
        <v>69.599999999999994</v>
      </c>
      <c r="AZ310" s="296" cm="1">
        <f t="array" aca="1" ref="AZ310" ca="1">INDIRECT("'"&amp;$C310&amp;"'!"&amp;"$"&amp;$D310&amp;$AY$1&amp;"")</f>
        <v>0.9</v>
      </c>
      <c r="BA310" s="293">
        <v>0.98</v>
      </c>
      <c r="BB310" s="291">
        <v>0.28000000000000003</v>
      </c>
      <c r="BC310" s="292" cm="1">
        <f t="array" aca="1" ref="BC310" ca="1">INDIRECT("'"&amp;$C310&amp;"'!"&amp;"$"&amp;$D310&amp;$BC$1&amp;"")</f>
        <v>0.8</v>
      </c>
      <c r="BD310" s="293"/>
      <c r="BE310" s="293">
        <v>0.99</v>
      </c>
      <c r="BF310" s="291">
        <v>7.0000000000000007E-2</v>
      </c>
      <c r="BG310" s="292" cm="1">
        <f t="array" aca="1" ref="BG310" ca="1">INDIRECT("'"&amp;$C310&amp;"'!"&amp;"$"&amp;$D310&amp;$BG$1&amp;"")</f>
        <v>0.68</v>
      </c>
      <c r="BH310" s="293"/>
      <c r="BI310" s="293">
        <v>0.96</v>
      </c>
      <c r="BJ310" s="291">
        <v>0.17</v>
      </c>
      <c r="BK310" s="290" cm="1">
        <f t="array" aca="1" ref="BK310" ca="1">INDIRECT("'"&amp;$C310&amp;"'!"&amp;"$"&amp;$D310&amp;$BK$1&amp;"")</f>
        <v>2.65</v>
      </c>
      <c r="BL310" s="293"/>
      <c r="BM310" s="293">
        <v>0.95</v>
      </c>
      <c r="BN310" s="291">
        <v>0.87</v>
      </c>
    </row>
    <row r="311" spans="1:66" ht="15.75" thickBot="1" x14ac:dyDescent="0.25">
      <c r="A311" s="368">
        <v>45701</v>
      </c>
      <c r="B311" s="365">
        <v>0.25</v>
      </c>
      <c r="C311" s="383">
        <v>13</v>
      </c>
      <c r="D311" s="319" t="s">
        <v>116</v>
      </c>
      <c r="E311" s="297">
        <v>14</v>
      </c>
      <c r="F311" s="298">
        <v>70</v>
      </c>
      <c r="G311" s="299" cm="1">
        <f t="array" aca="1" ref="G311" ca="1">INDIRECT("'"&amp;$C311&amp;"'!"&amp;"$"&amp;$D311&amp;$E$1&amp;"")</f>
        <v>6.8</v>
      </c>
      <c r="H311" s="300">
        <v>1</v>
      </c>
      <c r="I311" s="298">
        <v>0.65</v>
      </c>
      <c r="J311" s="299" cm="1">
        <f t="array" aca="1" ref="J311" ca="1">INDIRECT("'"&amp;$C311&amp;"'!"&amp;"$"&amp;$D311&amp;$J$1&amp;"")</f>
        <v>6.8</v>
      </c>
      <c r="K311" s="300"/>
      <c r="L311" s="300">
        <v>1</v>
      </c>
      <c r="M311" s="298">
        <v>0.65</v>
      </c>
      <c r="N311" s="299" cm="1">
        <f t="array" aca="1" ref="N311" ca="1">INDIRECT("'"&amp;$C311&amp;"'!"&amp;"$"&amp;$D311&amp;$N$1&amp;"")</f>
        <v>0</v>
      </c>
      <c r="O311" s="300"/>
      <c r="P311" s="300" t="s">
        <v>1</v>
      </c>
      <c r="Q311" s="298" t="s">
        <v>1</v>
      </c>
      <c r="R311" s="299" cm="1">
        <f t="array" aca="1" ref="R311" ca="1">INDIRECT("'"&amp;$C311&amp;"'!"&amp;"$"&amp;$D311&amp;$R$1&amp;"")</f>
        <v>0</v>
      </c>
      <c r="S311" s="300"/>
      <c r="T311" s="300" t="s">
        <v>1</v>
      </c>
      <c r="U311" s="298" t="s">
        <v>1</v>
      </c>
      <c r="V311" s="299" t="str" cm="1">
        <f t="array" aca="1" ref="V311" ca="1">INDIRECT("'"&amp;$C311&amp;"'!"&amp;"$"&amp;$D311&amp;$V$1&amp;"")</f>
        <v>CMS</v>
      </c>
      <c r="W311" s="300" t="s">
        <v>1</v>
      </c>
      <c r="X311" s="300" t="s">
        <v>1</v>
      </c>
      <c r="Y311" s="301" t="s">
        <v>1</v>
      </c>
      <c r="Z311" s="387" cm="1">
        <f t="array" aca="1" ref="Z311" ca="1">INDIRECT("'"&amp;$C311&amp;"'!"&amp;"$"&amp;$D311&amp;$Z$1&amp;"")</f>
        <v>0</v>
      </c>
      <c r="AA311" s="299" t="s">
        <v>1</v>
      </c>
      <c r="AB311" s="300" t="s">
        <v>1</v>
      </c>
      <c r="AC311" s="298" t="s">
        <v>1</v>
      </c>
      <c r="AD311" s="299" cm="1">
        <f t="array" aca="1" ref="AD311" ca="1">INDIRECT("'"&amp;$C311&amp;"'!"&amp;"$"&amp;$D311&amp;$AD$1&amp;"")</f>
        <v>3.3</v>
      </c>
      <c r="AE311" s="300">
        <f>3.8*3.6</f>
        <v>13.68</v>
      </c>
      <c r="AF311" s="300">
        <v>0.99</v>
      </c>
      <c r="AG311" s="301">
        <v>0.41</v>
      </c>
      <c r="AH311" s="297" cm="1">
        <f t="array" aca="1" ref="AH311" ca="1">INDIRECT("'"&amp;$C311&amp;"'!"&amp;"$"&amp;$D311&amp;$AH$1&amp;"")</f>
        <v>3.8</v>
      </c>
      <c r="AI311" s="300">
        <v>13.92</v>
      </c>
      <c r="AJ311" s="300">
        <v>0.99</v>
      </c>
      <c r="AK311" s="298">
        <v>0.30099999999999999</v>
      </c>
      <c r="AL311" s="297">
        <v>11.8</v>
      </c>
      <c r="AM311" s="301">
        <v>70.599999999999994</v>
      </c>
      <c r="AN311" s="297" cm="1">
        <f t="array" aca="1" ref="AN311" ca="1">INDIRECT("'"&amp;$C311&amp;"'!"&amp;"$"&amp;$D311&amp;$AL$1&amp;"")</f>
        <v>4</v>
      </c>
      <c r="AO311" s="300">
        <v>0.99</v>
      </c>
      <c r="AP311" s="298">
        <v>0.54</v>
      </c>
      <c r="AQ311" s="299" cm="1">
        <f t="array" aca="1" ref="AQ311" ca="1">INDIRECT("'"&amp;$C311&amp;"'!"&amp;"$"&amp;$D311&amp;$AQ$1&amp;"")</f>
        <v>4</v>
      </c>
      <c r="AR311" s="300">
        <v>0.99</v>
      </c>
      <c r="AS311" s="298">
        <v>0.56000000000000005</v>
      </c>
      <c r="AT311" s="297" t="s">
        <v>1</v>
      </c>
      <c r="AU311" s="301">
        <v>70.599999999999994</v>
      </c>
      <c r="AV311" s="297" t="str" cm="1">
        <f t="array" aca="1" ref="AV311" ca="1">INDIRECT("'"&amp;$C311&amp;"'!"&amp;"$"&amp;$D311&amp;$AT$1&amp;"")</f>
        <v>PMS</v>
      </c>
      <c r="AW311" s="300" t="s">
        <v>1</v>
      </c>
      <c r="AX311" s="301" t="s">
        <v>1</v>
      </c>
      <c r="AY311" s="387">
        <v>68.400000000000006</v>
      </c>
      <c r="AZ311" s="303" cm="1">
        <f t="array" aca="1" ref="AZ311" ca="1">INDIRECT("'"&amp;$C311&amp;"'!"&amp;"$"&amp;$D311&amp;$AY$1&amp;"")</f>
        <v>3</v>
      </c>
      <c r="BA311" s="300">
        <v>0.98</v>
      </c>
      <c r="BB311" s="298">
        <v>0.5</v>
      </c>
      <c r="BC311" s="299" cm="1">
        <f t="array" aca="1" ref="BC311" ca="1">INDIRECT("'"&amp;$C311&amp;"'!"&amp;"$"&amp;$D311&amp;$BC$1&amp;"")</f>
        <v>0.98</v>
      </c>
      <c r="BD311" s="300"/>
      <c r="BE311" s="300">
        <v>1</v>
      </c>
      <c r="BF311" s="298">
        <v>0.08</v>
      </c>
      <c r="BG311" s="299" cm="1">
        <f t="array" aca="1" ref="BG311" ca="1">INDIRECT("'"&amp;$C311&amp;"'!"&amp;"$"&amp;$D311&amp;$BG$1&amp;"")</f>
        <v>0.71</v>
      </c>
      <c r="BH311" s="300"/>
      <c r="BI311" s="300">
        <v>0.97</v>
      </c>
      <c r="BJ311" s="298">
        <v>0.16</v>
      </c>
      <c r="BK311" s="297" cm="1">
        <f t="array" aca="1" ref="BK311" ca="1">INDIRECT("'"&amp;$C311&amp;"'!"&amp;"$"&amp;$D311&amp;$BK$1&amp;"")</f>
        <v>3.1</v>
      </c>
      <c r="BL311" s="300"/>
      <c r="BM311" s="300">
        <v>0.95</v>
      </c>
      <c r="BN311" s="298">
        <v>10</v>
      </c>
    </row>
    <row r="312" spans="1:66" ht="15.75" thickBot="1" x14ac:dyDescent="0.25">
      <c r="A312" s="368">
        <v>45701</v>
      </c>
      <c r="B312" s="365">
        <v>0.29166666666666702</v>
      </c>
      <c r="C312" s="383">
        <v>13</v>
      </c>
      <c r="D312" s="319" t="s">
        <v>117</v>
      </c>
      <c r="E312" s="290">
        <v>14</v>
      </c>
      <c r="F312" s="291">
        <v>70.180000000000007</v>
      </c>
      <c r="G312" s="292" cm="1">
        <f t="array" aca="1" ref="G312" ca="1">INDIRECT("'"&amp;$C312&amp;"'!"&amp;"$"&amp;$D312&amp;$E$1&amp;"")</f>
        <v>6.5</v>
      </c>
      <c r="H312" s="293">
        <v>1</v>
      </c>
      <c r="I312" s="291">
        <v>0.64</v>
      </c>
      <c r="J312" s="292" cm="1">
        <f t="array" aca="1" ref="J312" ca="1">INDIRECT("'"&amp;$C312&amp;"'!"&amp;"$"&amp;$D312&amp;$J$1&amp;"")</f>
        <v>6.5</v>
      </c>
      <c r="K312" s="293"/>
      <c r="L312" s="293">
        <v>1</v>
      </c>
      <c r="M312" s="291">
        <v>0.64</v>
      </c>
      <c r="N312" s="292" cm="1">
        <f t="array" aca="1" ref="N312" ca="1">INDIRECT("'"&amp;$C312&amp;"'!"&amp;"$"&amp;$D312&amp;$N$1&amp;"")</f>
        <v>0</v>
      </c>
      <c r="O312" s="293"/>
      <c r="P312" s="293" t="s">
        <v>1</v>
      </c>
      <c r="Q312" s="291" t="s">
        <v>1</v>
      </c>
      <c r="R312" s="292" cm="1">
        <f t="array" aca="1" ref="R312" ca="1">INDIRECT("'"&amp;$C312&amp;"'!"&amp;"$"&amp;$D312&amp;$R$1&amp;"")</f>
        <v>0</v>
      </c>
      <c r="S312" s="293"/>
      <c r="T312" s="293" t="s">
        <v>1</v>
      </c>
      <c r="U312" s="291" t="s">
        <v>1</v>
      </c>
      <c r="V312" s="292" t="str" cm="1">
        <f t="array" aca="1" ref="V312" ca="1">INDIRECT("'"&amp;$C312&amp;"'!"&amp;"$"&amp;$D312&amp;$V$1&amp;"")</f>
        <v>CMS</v>
      </c>
      <c r="W312" s="293" t="s">
        <v>1</v>
      </c>
      <c r="X312" s="293" t="s">
        <v>1</v>
      </c>
      <c r="Y312" s="294" t="s">
        <v>1</v>
      </c>
      <c r="Z312" s="386" cm="1">
        <f t="array" aca="1" ref="Z312" ca="1">INDIRECT("'"&amp;$C312&amp;"'!"&amp;"$"&amp;$D312&amp;$Z$1&amp;"")</f>
        <v>0</v>
      </c>
      <c r="AA312" s="292" t="s">
        <v>1</v>
      </c>
      <c r="AB312" s="293" t="s">
        <v>1</v>
      </c>
      <c r="AC312" s="291" t="s">
        <v>1</v>
      </c>
      <c r="AD312" s="292" cm="1">
        <f t="array" aca="1" ref="AD312" ca="1">INDIRECT("'"&amp;$C312&amp;"'!"&amp;"$"&amp;$D312&amp;$AD$1&amp;"")</f>
        <v>3.3</v>
      </c>
      <c r="AE312" s="293">
        <f>3.8*3.6</f>
        <v>13.68</v>
      </c>
      <c r="AF312" s="293">
        <v>0.98</v>
      </c>
      <c r="AG312" s="294">
        <v>0.63</v>
      </c>
      <c r="AH312" s="290" cm="1">
        <f t="array" aca="1" ref="AH312" ca="1">INDIRECT("'"&amp;$C312&amp;"'!"&amp;"$"&amp;$D312&amp;$AH$1&amp;"")</f>
        <v>3.8</v>
      </c>
      <c r="AI312" s="293">
        <v>13.88</v>
      </c>
      <c r="AJ312" s="293">
        <v>0.99</v>
      </c>
      <c r="AK312" s="291">
        <v>0.51900000000000002</v>
      </c>
      <c r="AL312" s="290">
        <v>11.8</v>
      </c>
      <c r="AM312" s="294">
        <v>70.5</v>
      </c>
      <c r="AN312" s="290" cm="1">
        <f t="array" aca="1" ref="AN312" ca="1">INDIRECT("'"&amp;$C312&amp;"'!"&amp;"$"&amp;$D312&amp;$AL$1&amp;"")</f>
        <v>4</v>
      </c>
      <c r="AO312" s="293">
        <v>0.99</v>
      </c>
      <c r="AP312" s="291">
        <v>0.46</v>
      </c>
      <c r="AQ312" s="292" cm="1">
        <f t="array" aca="1" ref="AQ312" ca="1">INDIRECT("'"&amp;$C312&amp;"'!"&amp;"$"&amp;$D312&amp;$AQ$1&amp;"")</f>
        <v>4</v>
      </c>
      <c r="AR312" s="293">
        <v>0.99</v>
      </c>
      <c r="AS312" s="291">
        <v>0.51</v>
      </c>
      <c r="AT312" s="290" t="s">
        <v>1</v>
      </c>
      <c r="AU312" s="294">
        <v>70.099999999999994</v>
      </c>
      <c r="AV312" s="290" t="str" cm="1">
        <f t="array" aca="1" ref="AV312" ca="1">INDIRECT("'"&amp;$C312&amp;"'!"&amp;"$"&amp;$D312&amp;$AT$1&amp;"")</f>
        <v>PMS</v>
      </c>
      <c r="AW312" s="293" t="s">
        <v>1</v>
      </c>
      <c r="AX312" s="294" t="s">
        <v>1</v>
      </c>
      <c r="AY312" s="386">
        <v>69.3</v>
      </c>
      <c r="AZ312" s="296" cm="1">
        <f t="array" aca="1" ref="AZ312" ca="1">INDIRECT("'"&amp;$C312&amp;"'!"&amp;"$"&amp;$D312&amp;$AY$1&amp;"")</f>
        <v>4.7</v>
      </c>
      <c r="BA312" s="293">
        <v>0.96</v>
      </c>
      <c r="BB312" s="291">
        <v>1.3</v>
      </c>
      <c r="BC312" s="292" cm="1">
        <f t="array" aca="1" ref="BC312" ca="1">INDIRECT("'"&amp;$C312&amp;"'!"&amp;"$"&amp;$D312&amp;$BC$1&amp;"")</f>
        <v>1.02</v>
      </c>
      <c r="BD312" s="293"/>
      <c r="BE312" s="293">
        <v>1</v>
      </c>
      <c r="BF312" s="291">
        <v>1</v>
      </c>
      <c r="BG312" s="292" cm="1">
        <f t="array" aca="1" ref="BG312" ca="1">INDIRECT("'"&amp;$C312&amp;"'!"&amp;"$"&amp;$D312&amp;$BG$1&amp;"")</f>
        <v>0.69</v>
      </c>
      <c r="BH312" s="293"/>
      <c r="BI312" s="293">
        <v>0.96</v>
      </c>
      <c r="BJ312" s="291">
        <v>0.18</v>
      </c>
      <c r="BK312" s="290" cm="1">
        <f t="array" aca="1" ref="BK312" ca="1">INDIRECT("'"&amp;$C312&amp;"'!"&amp;"$"&amp;$D312&amp;$BK$1&amp;"")</f>
        <v>3.26</v>
      </c>
      <c r="BL312" s="293"/>
      <c r="BM312" s="293">
        <v>0.95</v>
      </c>
      <c r="BN312" s="291">
        <v>1</v>
      </c>
    </row>
    <row r="313" spans="1:66" ht="15.75" thickBot="1" x14ac:dyDescent="0.25">
      <c r="A313" s="368">
        <v>45701</v>
      </c>
      <c r="B313" s="365">
        <v>0.33333333333333398</v>
      </c>
      <c r="C313" s="383">
        <v>13</v>
      </c>
      <c r="D313" s="319" t="s">
        <v>118</v>
      </c>
      <c r="E313" s="297">
        <v>14.2</v>
      </c>
      <c r="F313" s="298">
        <v>70.36</v>
      </c>
      <c r="G313" s="299" cm="1">
        <f t="array" aca="1" ref="G313" ca="1">INDIRECT("'"&amp;$C313&amp;"'!"&amp;"$"&amp;$D313&amp;$E$1&amp;"")</f>
        <v>6.6</v>
      </c>
      <c r="H313" s="300">
        <v>0.99</v>
      </c>
      <c r="I313" s="298">
        <v>1.23</v>
      </c>
      <c r="J313" s="299" cm="1">
        <f t="array" aca="1" ref="J313" ca="1">INDIRECT("'"&amp;$C313&amp;"'!"&amp;"$"&amp;$D313&amp;$J$1&amp;"")</f>
        <v>6.6</v>
      </c>
      <c r="K313" s="300"/>
      <c r="L313" s="300">
        <v>0.98</v>
      </c>
      <c r="M313" s="298">
        <v>1.41</v>
      </c>
      <c r="N313" s="299" cm="1">
        <f t="array" aca="1" ref="N313" ca="1">INDIRECT("'"&amp;$C313&amp;"'!"&amp;"$"&amp;$D313&amp;$N$1&amp;"")</f>
        <v>0</v>
      </c>
      <c r="O313" s="300"/>
      <c r="P313" s="300" t="s">
        <v>1</v>
      </c>
      <c r="Q313" s="298" t="s">
        <v>1</v>
      </c>
      <c r="R313" s="299" cm="1">
        <f t="array" aca="1" ref="R313" ca="1">INDIRECT("'"&amp;$C313&amp;"'!"&amp;"$"&amp;$D313&amp;$R$1&amp;"")</f>
        <v>6.5</v>
      </c>
      <c r="S313" s="300"/>
      <c r="T313" s="300">
        <v>0.97</v>
      </c>
      <c r="U313" s="298">
        <v>1.6</v>
      </c>
      <c r="V313" s="299" t="str" cm="1">
        <f t="array" aca="1" ref="V313" ca="1">INDIRECT("'"&amp;$C313&amp;"'!"&amp;"$"&amp;$D313&amp;$V$1&amp;"")</f>
        <v>CMS</v>
      </c>
      <c r="W313" s="300" t="s">
        <v>1</v>
      </c>
      <c r="X313" s="300" t="s">
        <v>1</v>
      </c>
      <c r="Y313" s="301" t="s">
        <v>1</v>
      </c>
      <c r="Z313" s="387" cm="1">
        <f t="array" aca="1" ref="Z313" ca="1">INDIRECT("'"&amp;$C313&amp;"'!"&amp;"$"&amp;$D313&amp;$Z$1&amp;"")</f>
        <v>0</v>
      </c>
      <c r="AA313" s="299" t="s">
        <v>1</v>
      </c>
      <c r="AB313" s="300" t="s">
        <v>1</v>
      </c>
      <c r="AC313" s="298" t="s">
        <v>1</v>
      </c>
      <c r="AD313" s="299" cm="1">
        <f t="array" aca="1" ref="AD313" ca="1">INDIRECT("'"&amp;$C313&amp;"'!"&amp;"$"&amp;$D313&amp;$AD$1&amp;"")</f>
        <v>3.3</v>
      </c>
      <c r="AE313" s="300">
        <f>3.8*3.57</f>
        <v>13.565999999999999</v>
      </c>
      <c r="AF313" s="300">
        <v>0.98</v>
      </c>
      <c r="AG313" s="301">
        <v>0.61</v>
      </c>
      <c r="AH313" s="297" cm="1">
        <f t="array" aca="1" ref="AH313" ca="1">INDIRECT("'"&amp;$C313&amp;"'!"&amp;"$"&amp;$D313&amp;$AH$1&amp;"")</f>
        <v>3.8</v>
      </c>
      <c r="AI313" s="300">
        <v>13.84</v>
      </c>
      <c r="AJ313" s="300">
        <v>0.97</v>
      </c>
      <c r="AK313" s="298">
        <v>0.68</v>
      </c>
      <c r="AL313" s="297">
        <v>11.8</v>
      </c>
      <c r="AM313" s="301">
        <v>70.099999999999994</v>
      </c>
      <c r="AN313" s="297" cm="1">
        <f t="array" aca="1" ref="AN313" ca="1">INDIRECT("'"&amp;$C313&amp;"'!"&amp;"$"&amp;$D313&amp;$AL$1&amp;"")</f>
        <v>4</v>
      </c>
      <c r="AO313" s="300">
        <v>0.98</v>
      </c>
      <c r="AP313" s="298">
        <v>0.73</v>
      </c>
      <c r="AQ313" s="299" cm="1">
        <f t="array" aca="1" ref="AQ313" ca="1">INDIRECT("'"&amp;$C313&amp;"'!"&amp;"$"&amp;$D313&amp;$AQ$1&amp;"")</f>
        <v>4</v>
      </c>
      <c r="AR313" s="300">
        <v>0.99</v>
      </c>
      <c r="AS313" s="298">
        <v>0.7</v>
      </c>
      <c r="AT313" s="297" t="s">
        <v>1</v>
      </c>
      <c r="AU313" s="301">
        <v>69.7</v>
      </c>
      <c r="AV313" s="297" t="str" cm="1">
        <f t="array" aca="1" ref="AV313" ca="1">INDIRECT("'"&amp;$C313&amp;"'!"&amp;"$"&amp;$D313&amp;$AT$1&amp;"")</f>
        <v>PMS</v>
      </c>
      <c r="AW313" s="300" t="s">
        <v>1</v>
      </c>
      <c r="AX313" s="301" t="s">
        <v>1</v>
      </c>
      <c r="AY313" s="387">
        <v>68.7</v>
      </c>
      <c r="AZ313" s="303" cm="1">
        <f t="array" aca="1" ref="AZ313" ca="1">INDIRECT("'"&amp;$C313&amp;"'!"&amp;"$"&amp;$D313&amp;$AY$1&amp;"")</f>
        <v>1.9</v>
      </c>
      <c r="BA313" s="300">
        <v>0.96</v>
      </c>
      <c r="BB313" s="298">
        <v>0.55000000000000004</v>
      </c>
      <c r="BC313" s="299" cm="1">
        <f t="array" aca="1" ref="BC313" ca="1">INDIRECT("'"&amp;$C313&amp;"'!"&amp;"$"&amp;$D313&amp;$BC$1&amp;"")</f>
        <v>1.01</v>
      </c>
      <c r="BD313" s="300"/>
      <c r="BE313" s="300">
        <v>0.99</v>
      </c>
      <c r="BF313" s="298">
        <v>0.13</v>
      </c>
      <c r="BG313" s="299" cm="1">
        <f t="array" aca="1" ref="BG313" ca="1">INDIRECT("'"&amp;$C313&amp;"'!"&amp;"$"&amp;$D313&amp;$BG$1&amp;"")</f>
        <v>0.68</v>
      </c>
      <c r="BH313" s="300"/>
      <c r="BI313" s="300">
        <v>0.96</v>
      </c>
      <c r="BJ313" s="298">
        <v>0.19</v>
      </c>
      <c r="BK313" s="297" cm="1">
        <f t="array" aca="1" ref="BK313" ca="1">INDIRECT("'"&amp;$C313&amp;"'!"&amp;"$"&amp;$D313&amp;$BK$1&amp;"")</f>
        <v>3.3999999999999995</v>
      </c>
      <c r="BL313" s="300"/>
      <c r="BM313" s="300">
        <v>0.95</v>
      </c>
      <c r="BN313" s="298">
        <v>1.1000000000000001</v>
      </c>
    </row>
    <row r="314" spans="1:66" ht="15.75" thickBot="1" x14ac:dyDescent="0.25">
      <c r="A314" s="368">
        <v>45701</v>
      </c>
      <c r="B314" s="365">
        <v>0.375</v>
      </c>
      <c r="C314" s="383">
        <v>13</v>
      </c>
      <c r="D314" s="319" t="s">
        <v>119</v>
      </c>
      <c r="E314" s="290">
        <v>14.1</v>
      </c>
      <c r="F314" s="291">
        <v>69.91</v>
      </c>
      <c r="G314" s="292" cm="1">
        <f t="array" aca="1" ref="G314" ca="1">INDIRECT("'"&amp;$C314&amp;"'!"&amp;"$"&amp;$D314&amp;$E$1&amp;"")</f>
        <v>6.4</v>
      </c>
      <c r="H314" s="293">
        <v>0.98</v>
      </c>
      <c r="I314" s="291">
        <v>1.35</v>
      </c>
      <c r="J314" s="292" cm="1">
        <f t="array" aca="1" ref="J314" ca="1">INDIRECT("'"&amp;$C314&amp;"'!"&amp;"$"&amp;$D314&amp;$J$1&amp;"")</f>
        <v>6.3</v>
      </c>
      <c r="K314" s="293"/>
      <c r="L314" s="293">
        <v>0.98</v>
      </c>
      <c r="M314" s="291">
        <v>1.38</v>
      </c>
      <c r="N314" s="292" cm="1">
        <f t="array" aca="1" ref="N314" ca="1">INDIRECT("'"&amp;$C314&amp;"'!"&amp;"$"&amp;$D314&amp;$N$1&amp;"")</f>
        <v>6.5</v>
      </c>
      <c r="O314" s="293"/>
      <c r="P314" s="293">
        <v>0.96</v>
      </c>
      <c r="Q314" s="291">
        <v>1.94</v>
      </c>
      <c r="R314" s="292" cm="1">
        <f t="array" aca="1" ref="R314" ca="1">INDIRECT("'"&amp;$C314&amp;"'!"&amp;"$"&amp;$D314&amp;$R$1&amp;"")</f>
        <v>6.7</v>
      </c>
      <c r="S314" s="293"/>
      <c r="T314" s="293">
        <v>0.95</v>
      </c>
      <c r="U314" s="291">
        <v>2.1</v>
      </c>
      <c r="V314" s="292" t="str" cm="1">
        <f t="array" aca="1" ref="V314" ca="1">INDIRECT("'"&amp;$C314&amp;"'!"&amp;"$"&amp;$D314&amp;$V$1&amp;"")</f>
        <v>CMS</v>
      </c>
      <c r="W314" s="293" t="s">
        <v>1</v>
      </c>
      <c r="X314" s="293" t="s">
        <v>1</v>
      </c>
      <c r="Y314" s="294" t="s">
        <v>1</v>
      </c>
      <c r="Z314" s="386" cm="1">
        <f t="array" aca="1" ref="Z314" ca="1">INDIRECT("'"&amp;$C314&amp;"'!"&amp;"$"&amp;$D314&amp;$Z$1&amp;"")</f>
        <v>0</v>
      </c>
      <c r="AA314" s="292" t="s">
        <v>1</v>
      </c>
      <c r="AB314" s="293" t="s">
        <v>1</v>
      </c>
      <c r="AC314" s="291" t="s">
        <v>1</v>
      </c>
      <c r="AD314" s="292" cm="1">
        <f t="array" aca="1" ref="AD314" ca="1">INDIRECT("'"&amp;$C314&amp;"'!"&amp;"$"&amp;$D314&amp;$AD$1&amp;"")</f>
        <v>3.3</v>
      </c>
      <c r="AE314" s="293">
        <f>3.8*3.54</f>
        <v>13.452</v>
      </c>
      <c r="AF314" s="293">
        <v>0.96</v>
      </c>
      <c r="AG314" s="294">
        <v>0.91</v>
      </c>
      <c r="AH314" s="290" cm="1">
        <f t="array" aca="1" ref="AH314" ca="1">INDIRECT("'"&amp;$C314&amp;"'!"&amp;"$"&amp;$D314&amp;$AH$1&amp;"")</f>
        <v>3.8</v>
      </c>
      <c r="AI314" s="293">
        <v>13.8</v>
      </c>
      <c r="AJ314" s="293">
        <v>0.94</v>
      </c>
      <c r="AK314" s="291">
        <v>1.21</v>
      </c>
      <c r="AL314" s="290">
        <v>11.8</v>
      </c>
      <c r="AM314" s="294">
        <v>69.599999999999994</v>
      </c>
      <c r="AN314" s="290" cm="1">
        <f t="array" aca="1" ref="AN314" ca="1">INDIRECT("'"&amp;$C314&amp;"'!"&amp;"$"&amp;$D314&amp;$AL$1&amp;"")</f>
        <v>4</v>
      </c>
      <c r="AO314" s="293">
        <v>0.96</v>
      </c>
      <c r="AP314" s="291">
        <v>1.1000000000000001</v>
      </c>
      <c r="AQ314" s="292" cm="1">
        <f t="array" aca="1" ref="AQ314" ca="1">INDIRECT("'"&amp;$C314&amp;"'!"&amp;"$"&amp;$D314&amp;$AQ$1&amp;"")</f>
        <v>4</v>
      </c>
      <c r="AR314" s="293">
        <v>0.96</v>
      </c>
      <c r="AS314" s="291">
        <v>1.1000000000000001</v>
      </c>
      <c r="AT314" s="290" t="s">
        <v>1</v>
      </c>
      <c r="AU314" s="294">
        <v>69.099999999999994</v>
      </c>
      <c r="AV314" s="290" t="str" cm="1">
        <f t="array" aca="1" ref="AV314" ca="1">INDIRECT("'"&amp;$C314&amp;"'!"&amp;"$"&amp;$D314&amp;$AT$1&amp;"")</f>
        <v>PMS</v>
      </c>
      <c r="AW314" s="293" t="s">
        <v>1</v>
      </c>
      <c r="AX314" s="294" t="s">
        <v>1</v>
      </c>
      <c r="AY314" s="386">
        <v>68.3</v>
      </c>
      <c r="AZ314" s="296" cm="1">
        <f t="array" aca="1" ref="AZ314" ca="1">INDIRECT("'"&amp;$C314&amp;"'!"&amp;"$"&amp;$D314&amp;$AY$1&amp;"")</f>
        <v>3</v>
      </c>
      <c r="BA314" s="293">
        <v>0.95</v>
      </c>
      <c r="BB314" s="291">
        <v>0.96</v>
      </c>
      <c r="BC314" s="292" cm="1">
        <f t="array" aca="1" ref="BC314" ca="1">INDIRECT("'"&amp;$C314&amp;"'!"&amp;"$"&amp;$D314&amp;$BC$1&amp;"")</f>
        <v>1.1399999999999999</v>
      </c>
      <c r="BD314" s="293"/>
      <c r="BE314" s="293">
        <v>0.99</v>
      </c>
      <c r="BF314" s="291">
        <v>0.12</v>
      </c>
      <c r="BG314" s="292" cm="1">
        <f t="array" aca="1" ref="BG314" ca="1">INDIRECT("'"&amp;$C314&amp;"'!"&amp;"$"&amp;$D314&amp;$BG$1&amp;"")</f>
        <v>0.74</v>
      </c>
      <c r="BH314" s="293"/>
      <c r="BI314" s="293">
        <v>0.96</v>
      </c>
      <c r="BJ314" s="291">
        <v>0.22</v>
      </c>
      <c r="BK314" s="290" cm="1">
        <f t="array" aca="1" ref="BK314" ca="1">INDIRECT("'"&amp;$C314&amp;"'!"&amp;"$"&amp;$D314&amp;$BK$1&amp;"")</f>
        <v>4.5999999999999996</v>
      </c>
      <c r="BL314" s="293"/>
      <c r="BM314" s="293">
        <v>0.95</v>
      </c>
      <c r="BN314" s="291">
        <v>1.5</v>
      </c>
    </row>
    <row r="315" spans="1:66" ht="15.75" thickBot="1" x14ac:dyDescent="0.25">
      <c r="A315" s="368">
        <v>45701</v>
      </c>
      <c r="B315" s="365">
        <v>0.41666666666666702</v>
      </c>
      <c r="C315" s="383">
        <v>13</v>
      </c>
      <c r="D315" s="319" t="s">
        <v>120</v>
      </c>
      <c r="E315" s="297">
        <v>14.1</v>
      </c>
      <c r="F315" s="298">
        <v>69.72</v>
      </c>
      <c r="G315" s="299" cm="1">
        <f t="array" aca="1" ref="G315" ca="1">INDIRECT("'"&amp;$C315&amp;"'!"&amp;"$"&amp;$D315&amp;$E$1&amp;"")</f>
        <v>6.8</v>
      </c>
      <c r="H315" s="300">
        <v>0.97</v>
      </c>
      <c r="I315" s="298">
        <v>1.57</v>
      </c>
      <c r="J315" s="299" cm="1">
        <f t="array" aca="1" ref="J315" ca="1">INDIRECT("'"&amp;$C315&amp;"'!"&amp;"$"&amp;$D315&amp;$J$1&amp;"")</f>
        <v>6.8</v>
      </c>
      <c r="K315" s="300"/>
      <c r="L315" s="300">
        <v>0.97</v>
      </c>
      <c r="M315" s="298">
        <v>1.64</v>
      </c>
      <c r="N315" s="299" cm="1">
        <f t="array" aca="1" ref="N315" ca="1">INDIRECT("'"&amp;$C315&amp;"'!"&amp;"$"&amp;$D315&amp;$N$1&amp;"")</f>
        <v>6.8</v>
      </c>
      <c r="O315" s="300"/>
      <c r="P315" s="300">
        <v>0.96</v>
      </c>
      <c r="Q315" s="298">
        <v>1.99</v>
      </c>
      <c r="R315" s="299" cm="1">
        <f t="array" aca="1" ref="R315" ca="1">INDIRECT("'"&amp;$C315&amp;"'!"&amp;"$"&amp;$D315&amp;$R$1&amp;"")</f>
        <v>6.8</v>
      </c>
      <c r="S315" s="300"/>
      <c r="T315" s="300">
        <v>0.94</v>
      </c>
      <c r="U315" s="298">
        <v>2.4500000000000002</v>
      </c>
      <c r="V315" s="299" t="str" cm="1">
        <f t="array" aca="1" ref="V315" ca="1">INDIRECT("'"&amp;$C315&amp;"'!"&amp;"$"&amp;$D315&amp;$V$1&amp;"")</f>
        <v>CMS</v>
      </c>
      <c r="W315" s="300" t="s">
        <v>1</v>
      </c>
      <c r="X315" s="300" t="s">
        <v>1</v>
      </c>
      <c r="Y315" s="301" t="s">
        <v>1</v>
      </c>
      <c r="Z315" s="387" cm="1">
        <f t="array" aca="1" ref="Z315" ca="1">INDIRECT("'"&amp;$C315&amp;"'!"&amp;"$"&amp;$D315&amp;$Z$1&amp;"")</f>
        <v>0</v>
      </c>
      <c r="AA315" s="299" t="s">
        <v>1</v>
      </c>
      <c r="AB315" s="300" t="s">
        <v>1</v>
      </c>
      <c r="AC315" s="298" t="s">
        <v>1</v>
      </c>
      <c r="AD315" s="299" cm="1">
        <f t="array" aca="1" ref="AD315" ca="1">INDIRECT("'"&amp;$C315&amp;"'!"&amp;"$"&amp;$D315&amp;$AD$1&amp;"")</f>
        <v>3.3</v>
      </c>
      <c r="AE315" s="300">
        <f>3.8*3.5</f>
        <v>13.299999999999999</v>
      </c>
      <c r="AF315" s="300">
        <v>0.96</v>
      </c>
      <c r="AG315" s="301">
        <v>0.92</v>
      </c>
      <c r="AH315" s="297" t="str" cm="1">
        <f t="array" aca="1" ref="AH315" ca="1">INDIRECT("'"&amp;$C315&amp;"'!"&amp;"$"&amp;$D315&amp;$AH$1&amp;"")</f>
        <v>CMS</v>
      </c>
      <c r="AI315" s="300" t="s">
        <v>1</v>
      </c>
      <c r="AJ315" s="300" t="s">
        <v>1</v>
      </c>
      <c r="AK315" s="298" t="s">
        <v>1</v>
      </c>
      <c r="AL315" s="297">
        <v>11.7</v>
      </c>
      <c r="AM315" s="301">
        <v>68.7</v>
      </c>
      <c r="AN315" s="297" cm="1">
        <f t="array" aca="1" ref="AN315" ca="1">INDIRECT("'"&amp;$C315&amp;"'!"&amp;"$"&amp;$D315&amp;$AL$1&amp;"")</f>
        <v>4.0999999999999996</v>
      </c>
      <c r="AO315" s="300">
        <v>0.91</v>
      </c>
      <c r="AP315" s="298">
        <v>1.84</v>
      </c>
      <c r="AQ315" s="299" cm="1">
        <f t="array" aca="1" ref="AQ315" ca="1">INDIRECT("'"&amp;$C315&amp;"'!"&amp;"$"&amp;$D315&amp;$AQ$1&amp;"")</f>
        <v>4.0999999999999996</v>
      </c>
      <c r="AR315" s="300">
        <v>0.91</v>
      </c>
      <c r="AS315" s="298">
        <v>1.82</v>
      </c>
      <c r="AT315" s="297" t="s">
        <v>1</v>
      </c>
      <c r="AU315" s="301">
        <v>67.3</v>
      </c>
      <c r="AV315" s="297" t="str" cm="1">
        <f t="array" aca="1" ref="AV315" ca="1">INDIRECT("'"&amp;$C315&amp;"'!"&amp;"$"&amp;$D315&amp;$AT$1&amp;"")</f>
        <v>PMS</v>
      </c>
      <c r="AW315" s="300" t="s">
        <v>1</v>
      </c>
      <c r="AX315" s="301" t="s">
        <v>1</v>
      </c>
      <c r="AY315" s="387">
        <v>68</v>
      </c>
      <c r="AZ315" s="303" cm="1">
        <f t="array" aca="1" ref="AZ315" ca="1">INDIRECT("'"&amp;$C315&amp;"'!"&amp;"$"&amp;$D315&amp;$AY$1&amp;"")</f>
        <v>9.6</v>
      </c>
      <c r="BA315" s="300">
        <v>0.95</v>
      </c>
      <c r="BB315" s="298">
        <v>3.1</v>
      </c>
      <c r="BC315" s="299" cm="1">
        <f t="array" aca="1" ref="BC315" ca="1">INDIRECT("'"&amp;$C315&amp;"'!"&amp;"$"&amp;$D315&amp;$BC$1&amp;"")</f>
        <v>1.1599999999999999</v>
      </c>
      <c r="BD315" s="300"/>
      <c r="BE315" s="300">
        <v>0.99</v>
      </c>
      <c r="BF315" s="298">
        <v>0.14000000000000001</v>
      </c>
      <c r="BG315" s="299" cm="1">
        <f t="array" aca="1" ref="BG315" ca="1">INDIRECT("'"&amp;$C315&amp;"'!"&amp;"$"&amp;$D315&amp;$BG$1&amp;"")</f>
        <v>0.79</v>
      </c>
      <c r="BH315" s="300"/>
      <c r="BI315" s="300">
        <v>0.96</v>
      </c>
      <c r="BJ315" s="298">
        <v>0.23</v>
      </c>
      <c r="BK315" s="297" cm="1">
        <f t="array" aca="1" ref="BK315" ca="1">INDIRECT("'"&amp;$C315&amp;"'!"&amp;"$"&amp;$D315&amp;$BK$1&amp;"")</f>
        <v>4.8</v>
      </c>
      <c r="BL315" s="300"/>
      <c r="BM315" s="300">
        <v>0.95</v>
      </c>
      <c r="BN315" s="298">
        <v>1.5</v>
      </c>
    </row>
    <row r="316" spans="1:66" ht="15.75" thickBot="1" x14ac:dyDescent="0.25">
      <c r="A316" s="368">
        <v>45701</v>
      </c>
      <c r="B316" s="365">
        <v>0.45833333333333398</v>
      </c>
      <c r="C316" s="383">
        <v>13</v>
      </c>
      <c r="D316" s="319" t="s">
        <v>121</v>
      </c>
      <c r="E316" s="290">
        <v>14.1</v>
      </c>
      <c r="F316" s="291">
        <v>70.069999999999993</v>
      </c>
      <c r="G316" s="292" cm="1">
        <f t="array" aca="1" ref="G316" ca="1">INDIRECT("'"&amp;$C316&amp;"'!"&amp;"$"&amp;$D316&amp;$E$1&amp;"")</f>
        <v>6.8</v>
      </c>
      <c r="H316" s="293">
        <v>0.96</v>
      </c>
      <c r="I316" s="291">
        <v>1.91</v>
      </c>
      <c r="J316" s="292" cm="1">
        <f t="array" aca="1" ref="J316" ca="1">INDIRECT("'"&amp;$C316&amp;"'!"&amp;"$"&amp;$D316&amp;$J$1&amp;"")</f>
        <v>6.8</v>
      </c>
      <c r="K316" s="293"/>
      <c r="L316" s="293">
        <v>0.96</v>
      </c>
      <c r="M316" s="291">
        <v>1.95</v>
      </c>
      <c r="N316" s="292" cm="1">
        <f t="array" aca="1" ref="N316" ca="1">INDIRECT("'"&amp;$C316&amp;"'!"&amp;"$"&amp;$D316&amp;$N$1&amp;"")</f>
        <v>6.8</v>
      </c>
      <c r="O316" s="293"/>
      <c r="P316" s="293">
        <v>0.96</v>
      </c>
      <c r="Q316" s="291">
        <v>1.99</v>
      </c>
      <c r="R316" s="292" cm="1">
        <f t="array" aca="1" ref="R316" ca="1">INDIRECT("'"&amp;$C316&amp;"'!"&amp;"$"&amp;$D316&amp;$R$1&amp;"")</f>
        <v>6.8</v>
      </c>
      <c r="S316" s="293"/>
      <c r="T316" s="293">
        <v>0.96</v>
      </c>
      <c r="U316" s="291">
        <v>1.99</v>
      </c>
      <c r="V316" s="292" t="str" cm="1">
        <f t="array" aca="1" ref="V316" ca="1">INDIRECT("'"&amp;$C316&amp;"'!"&amp;"$"&amp;$D316&amp;$V$1&amp;"")</f>
        <v>CMS</v>
      </c>
      <c r="W316" s="293" t="s">
        <v>1</v>
      </c>
      <c r="X316" s="293" t="s">
        <v>1</v>
      </c>
      <c r="Y316" s="294" t="s">
        <v>1</v>
      </c>
      <c r="Z316" s="386" cm="1">
        <f t="array" aca="1" ref="Z316" ca="1">INDIRECT("'"&amp;$C316&amp;"'!"&amp;"$"&amp;$D316&amp;$Z$1&amp;"")</f>
        <v>0</v>
      </c>
      <c r="AA316" s="292" t="s">
        <v>1</v>
      </c>
      <c r="AB316" s="293" t="s">
        <v>1</v>
      </c>
      <c r="AC316" s="291" t="s">
        <v>1</v>
      </c>
      <c r="AD316" s="292" cm="1">
        <f t="array" aca="1" ref="AD316" ca="1">INDIRECT("'"&amp;$C316&amp;"'!"&amp;"$"&amp;$D316&amp;$AD$1&amp;"")</f>
        <v>3.3</v>
      </c>
      <c r="AE316" s="293">
        <f>3.8*3.52</f>
        <v>13.375999999999999</v>
      </c>
      <c r="AF316" s="293">
        <v>0.94</v>
      </c>
      <c r="AG316" s="294">
        <v>1.18</v>
      </c>
      <c r="AH316" s="290" cm="1">
        <f t="array" aca="1" ref="AH316" ca="1">INDIRECT("'"&amp;$C316&amp;"'!"&amp;"$"&amp;$D316&amp;$AH$1&amp;"")</f>
        <v>3.8</v>
      </c>
      <c r="AI316" s="293">
        <v>13.44</v>
      </c>
      <c r="AJ316" s="293">
        <v>0.99</v>
      </c>
      <c r="AK316" s="291">
        <v>0.34899999999999998</v>
      </c>
      <c r="AL316" s="290">
        <v>11.8</v>
      </c>
      <c r="AM316" s="294">
        <v>69.3</v>
      </c>
      <c r="AN316" s="290" cm="1">
        <f t="array" aca="1" ref="AN316" ca="1">INDIRECT("'"&amp;$C316&amp;"'!"&amp;"$"&amp;$D316&amp;$AL$1&amp;"")</f>
        <v>4.2</v>
      </c>
      <c r="AO316" s="293">
        <v>0.93</v>
      </c>
      <c r="AP316" s="291">
        <v>1.79</v>
      </c>
      <c r="AQ316" s="292" cm="1">
        <f t="array" aca="1" ref="AQ316" ca="1">INDIRECT("'"&amp;$C316&amp;"'!"&amp;"$"&amp;$D316&amp;$AQ$1&amp;"")</f>
        <v>4.2</v>
      </c>
      <c r="AR316" s="293">
        <v>0.93</v>
      </c>
      <c r="AS316" s="291">
        <v>1.69</v>
      </c>
      <c r="AT316" s="290" t="s">
        <v>1</v>
      </c>
      <c r="AU316" s="294">
        <v>68.2</v>
      </c>
      <c r="AV316" s="290" t="str" cm="1">
        <f t="array" aca="1" ref="AV316" ca="1">INDIRECT("'"&amp;$C316&amp;"'!"&amp;"$"&amp;$D316&amp;$AT$1&amp;"")</f>
        <v>PMS</v>
      </c>
      <c r="AW316" s="293" t="s">
        <v>1</v>
      </c>
      <c r="AX316" s="294" t="s">
        <v>1</v>
      </c>
      <c r="AY316" s="386">
        <v>68.3</v>
      </c>
      <c r="AZ316" s="296" cm="1">
        <f t="array" aca="1" ref="AZ316" ca="1">INDIRECT("'"&amp;$C316&amp;"'!"&amp;"$"&amp;$D316&amp;$AY$1&amp;"")</f>
        <v>7.1499999999999986</v>
      </c>
      <c r="BA316" s="293">
        <v>0.95</v>
      </c>
      <c r="BB316" s="291">
        <v>2.2999999999999998</v>
      </c>
      <c r="BC316" s="292" cm="1">
        <f t="array" aca="1" ref="BC316" ca="1">INDIRECT("'"&amp;$C316&amp;"'!"&amp;"$"&amp;$D316&amp;$BC$1&amp;"")</f>
        <v>1.27</v>
      </c>
      <c r="BD316" s="293"/>
      <c r="BE316" s="293">
        <v>0.99</v>
      </c>
      <c r="BF316" s="291">
        <v>0.17</v>
      </c>
      <c r="BG316" s="292" cm="1">
        <f t="array" aca="1" ref="BG316" ca="1">INDIRECT("'"&amp;$C316&amp;"'!"&amp;"$"&amp;$D316&amp;$BG$1&amp;"")</f>
        <v>0.81</v>
      </c>
      <c r="BH316" s="293"/>
      <c r="BI316" s="293">
        <v>0.96</v>
      </c>
      <c r="BJ316" s="291">
        <v>0.23</v>
      </c>
      <c r="BK316" s="290" cm="1">
        <f t="array" aca="1" ref="BK316" ca="1">INDIRECT("'"&amp;$C316&amp;"'!"&amp;"$"&amp;$D316&amp;$BK$1&amp;"")</f>
        <v>5</v>
      </c>
      <c r="BL316" s="293"/>
      <c r="BM316" s="293">
        <v>0.95</v>
      </c>
      <c r="BN316" s="291">
        <v>1.6</v>
      </c>
    </row>
    <row r="317" spans="1:66" ht="15.75" thickBot="1" x14ac:dyDescent="0.25">
      <c r="A317" s="368">
        <v>45701</v>
      </c>
      <c r="B317" s="365">
        <v>0.5</v>
      </c>
      <c r="C317" s="383">
        <v>13</v>
      </c>
      <c r="D317" s="319" t="s">
        <v>122</v>
      </c>
      <c r="E317" s="297">
        <v>14.2</v>
      </c>
      <c r="F317" s="298">
        <v>70.36</v>
      </c>
      <c r="G317" s="299" cm="1">
        <f t="array" aca="1" ref="G317" ca="1">INDIRECT("'"&amp;$C317&amp;"'!"&amp;"$"&amp;$D317&amp;$E$1&amp;"")</f>
        <v>6.6</v>
      </c>
      <c r="H317" s="300">
        <v>0.96</v>
      </c>
      <c r="I317" s="298">
        <v>1.81</v>
      </c>
      <c r="J317" s="299" cm="1">
        <f t="array" aca="1" ref="J317" ca="1">INDIRECT("'"&amp;$C317&amp;"'!"&amp;"$"&amp;$D317&amp;$J$1&amp;"")</f>
        <v>6.5</v>
      </c>
      <c r="K317" s="300"/>
      <c r="L317" s="300">
        <v>0.96</v>
      </c>
      <c r="M317" s="298">
        <v>1.88</v>
      </c>
      <c r="N317" s="299" cm="1">
        <f t="array" aca="1" ref="N317" ca="1">INDIRECT("'"&amp;$C317&amp;"'!"&amp;"$"&amp;$D317&amp;$N$1&amp;"")</f>
        <v>6.6</v>
      </c>
      <c r="O317" s="300"/>
      <c r="P317" s="300">
        <v>0.96</v>
      </c>
      <c r="Q317" s="298">
        <v>1.85</v>
      </c>
      <c r="R317" s="299" cm="1">
        <f t="array" aca="1" ref="R317" ca="1">INDIRECT("'"&amp;$C317&amp;"'!"&amp;"$"&amp;$D317&amp;$R$1&amp;"")</f>
        <v>6.6</v>
      </c>
      <c r="S317" s="300"/>
      <c r="T317" s="300">
        <v>0.96</v>
      </c>
      <c r="U317" s="298">
        <v>1.84</v>
      </c>
      <c r="V317" s="299" t="str" cm="1">
        <f t="array" aca="1" ref="V317" ca="1">INDIRECT("'"&amp;$C317&amp;"'!"&amp;"$"&amp;$D317&amp;$V$1&amp;"")</f>
        <v>CMS</v>
      </c>
      <c r="W317" s="300" t="s">
        <v>1</v>
      </c>
      <c r="X317" s="300" t="s">
        <v>1</v>
      </c>
      <c r="Y317" s="301" t="s">
        <v>1</v>
      </c>
      <c r="Z317" s="387" cm="1">
        <f t="array" aca="1" ref="Z317" ca="1">INDIRECT("'"&amp;$C317&amp;"'!"&amp;"$"&amp;$D317&amp;$Z$1&amp;"")</f>
        <v>0</v>
      </c>
      <c r="AA317" s="299" t="s">
        <v>1</v>
      </c>
      <c r="AB317" s="300" t="s">
        <v>1</v>
      </c>
      <c r="AC317" s="298" t="s">
        <v>1</v>
      </c>
      <c r="AD317" s="299" cm="1">
        <f t="array" aca="1" ref="AD317" ca="1">INDIRECT("'"&amp;$C317&amp;"'!"&amp;"$"&amp;$D317&amp;$AD$1&amp;"")</f>
        <v>3.3</v>
      </c>
      <c r="AE317" s="300">
        <f>3.8*3.54</f>
        <v>13.452</v>
      </c>
      <c r="AF317" s="300">
        <v>0.94</v>
      </c>
      <c r="AG317" s="301">
        <v>1.23</v>
      </c>
      <c r="AH317" s="297" cm="1">
        <f t="array" aca="1" ref="AH317" ca="1">INDIRECT("'"&amp;$C317&amp;"'!"&amp;"$"&amp;$D317&amp;$AH$1&amp;"")</f>
        <v>3.8</v>
      </c>
      <c r="AI317" s="300">
        <v>13.44</v>
      </c>
      <c r="AJ317" s="300">
        <v>0.99</v>
      </c>
      <c r="AK317" s="298">
        <v>0.193</v>
      </c>
      <c r="AL317" s="297">
        <v>11.8</v>
      </c>
      <c r="AM317" s="301">
        <v>69.5</v>
      </c>
      <c r="AN317" s="297" cm="1">
        <f t="array" aca="1" ref="AN317" ca="1">INDIRECT("'"&amp;$C317&amp;"'!"&amp;"$"&amp;$D317&amp;$AL$1&amp;"")</f>
        <v>3.8</v>
      </c>
      <c r="AO317" s="300">
        <v>0.91</v>
      </c>
      <c r="AP317" s="298">
        <v>1.58</v>
      </c>
      <c r="AQ317" s="299" cm="1">
        <f t="array" aca="1" ref="AQ317" ca="1">INDIRECT("'"&amp;$C317&amp;"'!"&amp;"$"&amp;$D317&amp;$AQ$1&amp;"")</f>
        <v>3.8</v>
      </c>
      <c r="AR317" s="300">
        <v>0.91</v>
      </c>
      <c r="AS317" s="298">
        <v>1.55</v>
      </c>
      <c r="AT317" s="297" t="s">
        <v>1</v>
      </c>
      <c r="AU317" s="301">
        <v>68.400000000000006</v>
      </c>
      <c r="AV317" s="297" t="str" cm="1">
        <f t="array" aca="1" ref="AV317" ca="1">INDIRECT("'"&amp;$C317&amp;"'!"&amp;"$"&amp;$D317&amp;$AT$1&amp;"")</f>
        <v>PMS</v>
      </c>
      <c r="AW317" s="300" t="s">
        <v>1</v>
      </c>
      <c r="AX317" s="301" t="s">
        <v>1</v>
      </c>
      <c r="AY317" s="387">
        <v>68.7</v>
      </c>
      <c r="AZ317" s="303" cm="1">
        <f t="array" aca="1" ref="AZ317" ca="1">INDIRECT("'"&amp;$C317&amp;"'!"&amp;"$"&amp;$D317&amp;$AY$1&amp;"")</f>
        <v>7.9999999999999991</v>
      </c>
      <c r="BA317" s="300">
        <v>0.95</v>
      </c>
      <c r="BB317" s="298">
        <v>2.6</v>
      </c>
      <c r="BC317" s="299" cm="1">
        <f t="array" aca="1" ref="BC317" ca="1">INDIRECT("'"&amp;$C317&amp;"'!"&amp;"$"&amp;$D317&amp;$BC$1&amp;"")</f>
        <v>1.3</v>
      </c>
      <c r="BD317" s="300"/>
      <c r="BE317" s="300">
        <v>0.99</v>
      </c>
      <c r="BF317" s="298">
        <v>0.16</v>
      </c>
      <c r="BG317" s="299" cm="1">
        <f t="array" aca="1" ref="BG317" ca="1">INDIRECT("'"&amp;$C317&amp;"'!"&amp;"$"&amp;$D317&amp;$BG$1&amp;"")</f>
        <v>0.86</v>
      </c>
      <c r="BH317" s="300"/>
      <c r="BI317" s="300">
        <v>0.96</v>
      </c>
      <c r="BJ317" s="298">
        <v>0.23</v>
      </c>
      <c r="BK317" s="297" cm="1">
        <f t="array" aca="1" ref="BK317" ca="1">INDIRECT("'"&amp;$C317&amp;"'!"&amp;"$"&amp;$D317&amp;$BK$1&amp;"")</f>
        <v>5</v>
      </c>
      <c r="BL317" s="300"/>
      <c r="BM317" s="300">
        <v>0.95</v>
      </c>
      <c r="BN317" s="298">
        <v>1.6</v>
      </c>
    </row>
    <row r="318" spans="1:66" ht="15.75" thickBot="1" x14ac:dyDescent="0.25">
      <c r="A318" s="368">
        <v>45701</v>
      </c>
      <c r="B318" s="365">
        <v>0.54166666666666696</v>
      </c>
      <c r="C318" s="383">
        <v>13</v>
      </c>
      <c r="D318" s="319" t="s">
        <v>123</v>
      </c>
      <c r="E318" s="290">
        <v>14.2</v>
      </c>
      <c r="F318" s="291">
        <v>70.34</v>
      </c>
      <c r="G318" s="292" cm="1">
        <f t="array" aca="1" ref="G318" ca="1">INDIRECT("'"&amp;$C318&amp;"'!"&amp;"$"&amp;$D318&amp;$E$1&amp;"")</f>
        <v>6.7</v>
      </c>
      <c r="H318" s="293">
        <v>0.96</v>
      </c>
      <c r="I318" s="291">
        <v>1.83</v>
      </c>
      <c r="J318" s="292" cm="1">
        <f t="array" aca="1" ref="J318" ca="1">INDIRECT("'"&amp;$C318&amp;"'!"&amp;"$"&amp;$D318&amp;$J$1&amp;"")</f>
        <v>6.7</v>
      </c>
      <c r="K318" s="293"/>
      <c r="L318" s="293">
        <v>0.96</v>
      </c>
      <c r="M318" s="291">
        <v>1.88</v>
      </c>
      <c r="N318" s="292" cm="1">
        <f t="array" aca="1" ref="N318" ca="1">INDIRECT("'"&amp;$C318&amp;"'!"&amp;"$"&amp;$D318&amp;$N$1&amp;"")</f>
        <v>6.7</v>
      </c>
      <c r="O318" s="293"/>
      <c r="P318" s="293">
        <v>0.96</v>
      </c>
      <c r="Q318" s="291">
        <v>1.95</v>
      </c>
      <c r="R318" s="292" cm="1">
        <f t="array" aca="1" ref="R318" ca="1">INDIRECT("'"&amp;$C318&amp;"'!"&amp;"$"&amp;$D318&amp;$R$1&amp;"")</f>
        <v>6.7</v>
      </c>
      <c r="S318" s="293"/>
      <c r="T318" s="293">
        <v>0.94</v>
      </c>
      <c r="U318" s="291">
        <v>2.31</v>
      </c>
      <c r="V318" s="292" t="str" cm="1">
        <f t="array" aca="1" ref="V318" ca="1">INDIRECT("'"&amp;$C318&amp;"'!"&amp;"$"&amp;$D318&amp;$V$1&amp;"")</f>
        <v>CMS</v>
      </c>
      <c r="W318" s="293" t="s">
        <v>1</v>
      </c>
      <c r="X318" s="293" t="s">
        <v>1</v>
      </c>
      <c r="Y318" s="294" t="s">
        <v>1</v>
      </c>
      <c r="Z318" s="386" cm="1">
        <f t="array" aca="1" ref="Z318" ca="1">INDIRECT("'"&amp;$C318&amp;"'!"&amp;"$"&amp;$D318&amp;$Z$1&amp;"")</f>
        <v>0</v>
      </c>
      <c r="AA318" s="292" t="s">
        <v>1</v>
      </c>
      <c r="AB318" s="293" t="s">
        <v>1</v>
      </c>
      <c r="AC318" s="291" t="s">
        <v>1</v>
      </c>
      <c r="AD318" s="292" cm="1">
        <f t="array" aca="1" ref="AD318" ca="1">INDIRECT("'"&amp;$C318&amp;"'!"&amp;"$"&amp;$D318&amp;$AD$1&amp;"")</f>
        <v>3.3</v>
      </c>
      <c r="AE318" s="293">
        <f>3.8*3.52</f>
        <v>13.375999999999999</v>
      </c>
      <c r="AF318" s="293">
        <v>0.94</v>
      </c>
      <c r="AG318" s="294">
        <v>1.21</v>
      </c>
      <c r="AH318" s="290" cm="1">
        <f t="array" aca="1" ref="AH318" ca="1">INDIRECT("'"&amp;$C318&amp;"'!"&amp;"$"&amp;$D318&amp;$AH$1&amp;"")</f>
        <v>3.8</v>
      </c>
      <c r="AI318" s="293">
        <v>13.4</v>
      </c>
      <c r="AJ318" s="293">
        <v>0.99</v>
      </c>
      <c r="AK318" s="291">
        <v>0.29399999999999998</v>
      </c>
      <c r="AL318" s="290">
        <v>11.8</v>
      </c>
      <c r="AM318" s="294">
        <v>69.2</v>
      </c>
      <c r="AN318" s="290" cm="1">
        <f t="array" aca="1" ref="AN318" ca="1">INDIRECT("'"&amp;$C318&amp;"'!"&amp;"$"&amp;$D318&amp;$AL$1&amp;"")</f>
        <v>3.9</v>
      </c>
      <c r="AO318" s="293">
        <v>0.92</v>
      </c>
      <c r="AP318" s="291">
        <v>1.83</v>
      </c>
      <c r="AQ318" s="292" cm="1">
        <f t="array" aca="1" ref="AQ318" ca="1">INDIRECT("'"&amp;$C318&amp;"'!"&amp;"$"&amp;$D318&amp;$AQ$1&amp;"")</f>
        <v>3.9</v>
      </c>
      <c r="AR318" s="293">
        <v>0.92</v>
      </c>
      <c r="AS318" s="291">
        <v>1.71</v>
      </c>
      <c r="AT318" s="290" t="s">
        <v>1</v>
      </c>
      <c r="AU318" s="294">
        <v>68.2</v>
      </c>
      <c r="AV318" s="290" t="str" cm="1">
        <f t="array" aca="1" ref="AV318" ca="1">INDIRECT("'"&amp;$C318&amp;"'!"&amp;"$"&amp;$D318&amp;$AT$1&amp;"")</f>
        <v>PMS</v>
      </c>
      <c r="AW318" s="293" t="s">
        <v>1</v>
      </c>
      <c r="AX318" s="294" t="s">
        <v>1</v>
      </c>
      <c r="AY318" s="386">
        <v>68.400000000000006</v>
      </c>
      <c r="AZ318" s="296" cm="1">
        <f t="array" aca="1" ref="AZ318" ca="1">INDIRECT("'"&amp;$C318&amp;"'!"&amp;"$"&amp;$D318&amp;$AY$1&amp;"")</f>
        <v>7.9999999999999991</v>
      </c>
      <c r="BA318" s="293">
        <v>0.96</v>
      </c>
      <c r="BB318" s="291">
        <v>2.2999999999999998</v>
      </c>
      <c r="BC318" s="292" cm="1">
        <f t="array" aca="1" ref="BC318" ca="1">INDIRECT("'"&amp;$C318&amp;"'!"&amp;"$"&amp;$D318&amp;$BC$1&amp;"")</f>
        <v>1.28</v>
      </c>
      <c r="BD318" s="293"/>
      <c r="BE318" s="293">
        <v>0.99</v>
      </c>
      <c r="BF318" s="291">
        <v>0.16</v>
      </c>
      <c r="BG318" s="292" cm="1">
        <f t="array" aca="1" ref="BG318" ca="1">INDIRECT("'"&amp;$C318&amp;"'!"&amp;"$"&amp;$D318&amp;$BG$1&amp;"")</f>
        <v>0.87</v>
      </c>
      <c r="BH318" s="293"/>
      <c r="BI318" s="293">
        <v>0.96</v>
      </c>
      <c r="BJ318" s="291">
        <v>0.23</v>
      </c>
      <c r="BK318" s="290" cm="1">
        <f t="array" aca="1" ref="BK318" ca="1">INDIRECT("'"&amp;$C318&amp;"'!"&amp;"$"&amp;$D318&amp;$BK$1&amp;"")</f>
        <v>5.0999999999999996</v>
      </c>
      <c r="BL318" s="293"/>
      <c r="BM318" s="293">
        <v>0.98</v>
      </c>
      <c r="BN318" s="291">
        <v>1</v>
      </c>
    </row>
    <row r="319" spans="1:66" ht="15.75" thickBot="1" x14ac:dyDescent="0.25">
      <c r="A319" s="368">
        <v>45701</v>
      </c>
      <c r="B319" s="365">
        <v>0.58333333333333404</v>
      </c>
      <c r="C319" s="383">
        <v>13</v>
      </c>
      <c r="D319" s="319" t="s">
        <v>124</v>
      </c>
      <c r="E319" s="297">
        <v>14.1</v>
      </c>
      <c r="F319" s="298">
        <v>70.37</v>
      </c>
      <c r="G319" s="299" cm="1">
        <f t="array" aca="1" ref="G319" ca="1">INDIRECT("'"&amp;$C319&amp;"'!"&amp;"$"&amp;$D319&amp;$E$1&amp;"")</f>
        <v>6.6</v>
      </c>
      <c r="H319" s="300">
        <v>0.96</v>
      </c>
      <c r="I319" s="298">
        <v>1.8</v>
      </c>
      <c r="J319" s="299" cm="1">
        <f t="array" aca="1" ref="J319" ca="1">INDIRECT("'"&amp;$C319&amp;"'!"&amp;"$"&amp;$D319&amp;$J$1&amp;"")</f>
        <v>6.5</v>
      </c>
      <c r="K319" s="300"/>
      <c r="L319" s="300">
        <v>0.96</v>
      </c>
      <c r="M319" s="298">
        <v>1.82</v>
      </c>
      <c r="N319" s="299" cm="1">
        <f t="array" aca="1" ref="N319" ca="1">INDIRECT("'"&amp;$C319&amp;"'!"&amp;"$"&amp;$D319&amp;$N$1&amp;"")</f>
        <v>6.5</v>
      </c>
      <c r="O319" s="300"/>
      <c r="P319" s="300">
        <v>0.96</v>
      </c>
      <c r="Q319" s="298">
        <v>1.84</v>
      </c>
      <c r="R319" s="299" cm="1">
        <f t="array" aca="1" ref="R319" ca="1">INDIRECT("'"&amp;$C319&amp;"'!"&amp;"$"&amp;$D319&amp;$R$1&amp;"")</f>
        <v>6.6</v>
      </c>
      <c r="S319" s="300"/>
      <c r="T319" s="300">
        <v>0.94</v>
      </c>
      <c r="U319" s="298">
        <v>2.34</v>
      </c>
      <c r="V319" s="299" t="str" cm="1">
        <f t="array" aca="1" ref="V319" ca="1">INDIRECT("'"&amp;$C319&amp;"'!"&amp;"$"&amp;$D319&amp;$V$1&amp;"")</f>
        <v>CMS</v>
      </c>
      <c r="W319" s="300" t="s">
        <v>1</v>
      </c>
      <c r="X319" s="300" t="s">
        <v>1</v>
      </c>
      <c r="Y319" s="301" t="s">
        <v>1</v>
      </c>
      <c r="Z319" s="387" cm="1">
        <f t="array" aca="1" ref="Z319" ca="1">INDIRECT("'"&amp;$C319&amp;"'!"&amp;"$"&amp;$D319&amp;$Z$1&amp;"")</f>
        <v>0</v>
      </c>
      <c r="AA319" s="299" t="s">
        <v>1</v>
      </c>
      <c r="AB319" s="300" t="s">
        <v>1</v>
      </c>
      <c r="AC319" s="298" t="s">
        <v>1</v>
      </c>
      <c r="AD319" s="299" cm="1">
        <f t="array" aca="1" ref="AD319" ca="1">INDIRECT("'"&amp;$C319&amp;"'!"&amp;"$"&amp;$D319&amp;$AD$1&amp;"")</f>
        <v>3.3</v>
      </c>
      <c r="AE319" s="300">
        <f>3.8*3.53</f>
        <v>13.413999999999998</v>
      </c>
      <c r="AF319" s="300">
        <v>0.94</v>
      </c>
      <c r="AG319" s="301">
        <v>1.19</v>
      </c>
      <c r="AH319" s="297" cm="1">
        <f t="array" aca="1" ref="AH319" ca="1">INDIRECT("'"&amp;$C319&amp;"'!"&amp;"$"&amp;$D319&amp;$AH$1&amp;"")</f>
        <v>3.8</v>
      </c>
      <c r="AI319" s="300">
        <v>13.4</v>
      </c>
      <c r="AJ319" s="300">
        <v>0.98</v>
      </c>
      <c r="AK319" s="298">
        <v>0.503</v>
      </c>
      <c r="AL319" s="297">
        <v>11.8</v>
      </c>
      <c r="AM319" s="301">
        <v>69.3</v>
      </c>
      <c r="AN319" s="297" cm="1">
        <f t="array" aca="1" ref="AN319" ca="1">INDIRECT("'"&amp;$C319&amp;"'!"&amp;"$"&amp;$D319&amp;$AL$1&amp;"")</f>
        <v>3.8</v>
      </c>
      <c r="AO319" s="300">
        <v>0.91</v>
      </c>
      <c r="AP319" s="298">
        <v>1.67</v>
      </c>
      <c r="AQ319" s="299" cm="1">
        <f t="array" aca="1" ref="AQ319" ca="1">INDIRECT("'"&amp;$C319&amp;"'!"&amp;"$"&amp;$D319&amp;$AQ$1&amp;"")</f>
        <v>3.8</v>
      </c>
      <c r="AR319" s="300">
        <v>0.91</v>
      </c>
      <c r="AS319" s="298">
        <v>1.62</v>
      </c>
      <c r="AT319" s="297" t="s">
        <v>1</v>
      </c>
      <c r="AU319" s="301">
        <v>68.599999999999994</v>
      </c>
      <c r="AV319" s="297" t="str" cm="1">
        <f t="array" aca="1" ref="AV319" ca="1">INDIRECT("'"&amp;$C319&amp;"'!"&amp;"$"&amp;$D319&amp;$AT$1&amp;"")</f>
        <v>PMS</v>
      </c>
      <c r="AW319" s="300" t="s">
        <v>1</v>
      </c>
      <c r="AX319" s="301" t="s">
        <v>1</v>
      </c>
      <c r="AY319" s="387">
        <v>68.599999999999994</v>
      </c>
      <c r="AZ319" s="303" cm="1">
        <f t="array" aca="1" ref="AZ319" ca="1">INDIRECT("'"&amp;$C319&amp;"'!"&amp;"$"&amp;$D319&amp;$AY$1&amp;"")</f>
        <v>10.5</v>
      </c>
      <c r="BA319" s="300">
        <v>0.96</v>
      </c>
      <c r="BB319" s="298">
        <v>3</v>
      </c>
      <c r="BC319" s="299" cm="1">
        <f t="array" aca="1" ref="BC319" ca="1">INDIRECT("'"&amp;$C319&amp;"'!"&amp;"$"&amp;$D319&amp;$BC$1&amp;"")</f>
        <v>1.36</v>
      </c>
      <c r="BD319" s="300"/>
      <c r="BE319" s="300">
        <v>0.99</v>
      </c>
      <c r="BF319" s="298">
        <v>0.17</v>
      </c>
      <c r="BG319" s="299" cm="1">
        <f t="array" aca="1" ref="BG319" ca="1">INDIRECT("'"&amp;$C319&amp;"'!"&amp;"$"&amp;$D319&amp;$BG$1&amp;"")</f>
        <v>0.87</v>
      </c>
      <c r="BH319" s="300"/>
      <c r="BI319" s="300">
        <v>0.96</v>
      </c>
      <c r="BJ319" s="298">
        <v>0.24</v>
      </c>
      <c r="BK319" s="297" cm="1">
        <f t="array" aca="1" ref="BK319" ca="1">INDIRECT("'"&amp;$C319&amp;"'!"&amp;"$"&amp;$D319&amp;$BK$1&amp;"")</f>
        <v>5</v>
      </c>
      <c r="BL319" s="300"/>
      <c r="BM319" s="300">
        <v>0.98</v>
      </c>
      <c r="BN319" s="298">
        <v>1</v>
      </c>
    </row>
    <row r="320" spans="1:66" ht="15.75" thickBot="1" x14ac:dyDescent="0.25">
      <c r="A320" s="368">
        <v>45701</v>
      </c>
      <c r="B320" s="365">
        <v>0.625</v>
      </c>
      <c r="C320" s="383">
        <v>13</v>
      </c>
      <c r="D320" s="319" t="s">
        <v>125</v>
      </c>
      <c r="E320" s="290">
        <v>14.3</v>
      </c>
      <c r="F320" s="291">
        <v>70.260000000000005</v>
      </c>
      <c r="G320" s="292" cm="1">
        <f t="array" aca="1" ref="G320" ca="1">INDIRECT("'"&amp;$C320&amp;"'!"&amp;"$"&amp;$D320&amp;$E$1&amp;"")</f>
        <v>6.7</v>
      </c>
      <c r="H320" s="293">
        <v>0.96</v>
      </c>
      <c r="I320" s="291">
        <v>1.83</v>
      </c>
      <c r="J320" s="292" cm="1">
        <f t="array" aca="1" ref="J320" ca="1">INDIRECT("'"&amp;$C320&amp;"'!"&amp;"$"&amp;$D320&amp;$J$1&amp;"")</f>
        <v>6.7</v>
      </c>
      <c r="K320" s="293"/>
      <c r="L320" s="293">
        <v>0.96</v>
      </c>
      <c r="M320" s="291">
        <v>1.88</v>
      </c>
      <c r="N320" s="292" cm="1">
        <f t="array" aca="1" ref="N320" ca="1">INDIRECT("'"&amp;$C320&amp;"'!"&amp;"$"&amp;$D320&amp;$N$1&amp;"")</f>
        <v>6.7</v>
      </c>
      <c r="O320" s="293"/>
      <c r="P320" s="293">
        <v>0.96</v>
      </c>
      <c r="Q320" s="291">
        <v>1.89</v>
      </c>
      <c r="R320" s="292" cm="1">
        <f t="array" aca="1" ref="R320" ca="1">INDIRECT("'"&amp;$C320&amp;"'!"&amp;"$"&amp;$D320&amp;$R$1&amp;"")</f>
        <v>6.8</v>
      </c>
      <c r="S320" s="293"/>
      <c r="T320" s="293">
        <v>0.96</v>
      </c>
      <c r="U320" s="291">
        <v>2.33</v>
      </c>
      <c r="V320" s="292" t="str" cm="1">
        <f t="array" aca="1" ref="V320" ca="1">INDIRECT("'"&amp;$C320&amp;"'!"&amp;"$"&amp;$D320&amp;$V$1&amp;"")</f>
        <v>CMS</v>
      </c>
      <c r="W320" s="293" t="s">
        <v>1</v>
      </c>
      <c r="X320" s="293" t="s">
        <v>1</v>
      </c>
      <c r="Y320" s="294" t="s">
        <v>1</v>
      </c>
      <c r="Z320" s="386" cm="1">
        <f t="array" aca="1" ref="Z320" ca="1">INDIRECT("'"&amp;$C320&amp;"'!"&amp;"$"&amp;$D320&amp;$Z$1&amp;"")</f>
        <v>0</v>
      </c>
      <c r="AA320" s="292" t="s">
        <v>1</v>
      </c>
      <c r="AB320" s="293" t="s">
        <v>1</v>
      </c>
      <c r="AC320" s="291" t="s">
        <v>1</v>
      </c>
      <c r="AD320" s="292" cm="1">
        <f t="array" aca="1" ref="AD320" ca="1">INDIRECT("'"&amp;$C320&amp;"'!"&amp;"$"&amp;$D320&amp;$AD$1&amp;"")</f>
        <v>3.3</v>
      </c>
      <c r="AE320" s="293">
        <f>3.8*3.52</f>
        <v>13.375999999999999</v>
      </c>
      <c r="AF320" s="293">
        <v>0.94</v>
      </c>
      <c r="AG320" s="291">
        <v>1.21</v>
      </c>
      <c r="AH320" s="290" cm="1">
        <f t="array" aca="1" ref="AH320" ca="1">INDIRECT("'"&amp;$C320&amp;"'!"&amp;"$"&amp;$D320&amp;$AH$1&amp;"")</f>
        <v>3.8</v>
      </c>
      <c r="AI320" s="293">
        <v>13.4</v>
      </c>
      <c r="AJ320" s="293">
        <v>0.98</v>
      </c>
      <c r="AK320" s="291">
        <v>0.49299999999999999</v>
      </c>
      <c r="AL320" s="290">
        <v>11.8</v>
      </c>
      <c r="AM320" s="294">
        <v>69.5</v>
      </c>
      <c r="AN320" s="290" cm="1">
        <f t="array" aca="1" ref="AN320" ca="1">INDIRECT("'"&amp;$C320&amp;"'!"&amp;"$"&amp;$D320&amp;$AL$1&amp;"")</f>
        <v>3.9</v>
      </c>
      <c r="AO320" s="293">
        <v>0.91</v>
      </c>
      <c r="AP320" s="291">
        <v>1.6</v>
      </c>
      <c r="AQ320" s="292" cm="1">
        <f t="array" aca="1" ref="AQ320" ca="1">INDIRECT("'"&amp;$C320&amp;"'!"&amp;"$"&amp;$D320&amp;$AQ$1&amp;"")</f>
        <v>3.9</v>
      </c>
      <c r="AR320" s="293">
        <v>0.91</v>
      </c>
      <c r="AS320" s="291">
        <v>1.6</v>
      </c>
      <c r="AT320" s="290" t="s">
        <v>1</v>
      </c>
      <c r="AU320" s="294">
        <v>68.3</v>
      </c>
      <c r="AV320" s="290" t="str" cm="1">
        <f t="array" aca="1" ref="AV320" ca="1">INDIRECT("'"&amp;$C320&amp;"'!"&amp;"$"&amp;$D320&amp;$AT$1&amp;"")</f>
        <v>PMS</v>
      </c>
      <c r="AW320" s="293" t="s">
        <v>1</v>
      </c>
      <c r="AX320" s="294" t="s">
        <v>1</v>
      </c>
      <c r="AY320" s="386">
        <v>68.599999999999994</v>
      </c>
      <c r="AZ320" s="296" cm="1">
        <f t="array" aca="1" ref="AZ320" ca="1">INDIRECT("'"&amp;$C320&amp;"'!"&amp;"$"&amp;$D320&amp;$AY$1&amp;"")</f>
        <v>10.5</v>
      </c>
      <c r="BA320" s="293">
        <v>0.96</v>
      </c>
      <c r="BB320" s="291">
        <v>3</v>
      </c>
      <c r="BC320" s="292" cm="1">
        <f t="array" aca="1" ref="BC320" ca="1">INDIRECT("'"&amp;$C320&amp;"'!"&amp;"$"&amp;$D320&amp;$BC$1&amp;"")</f>
        <v>1.36</v>
      </c>
      <c r="BD320" s="293"/>
      <c r="BE320" s="293">
        <v>0.99</v>
      </c>
      <c r="BF320" s="291">
        <v>0.17</v>
      </c>
      <c r="BG320" s="292" cm="1">
        <f t="array" aca="1" ref="BG320" ca="1">INDIRECT("'"&amp;$C320&amp;"'!"&amp;"$"&amp;$D320&amp;$BG$1&amp;"")</f>
        <v>0.87</v>
      </c>
      <c r="BH320" s="293"/>
      <c r="BI320" s="293">
        <v>0.96</v>
      </c>
      <c r="BJ320" s="291">
        <v>0.24</v>
      </c>
      <c r="BK320" s="290" cm="1">
        <f t="array" aca="1" ref="BK320" ca="1">INDIRECT("'"&amp;$C320&amp;"'!"&amp;"$"&amp;$D320&amp;$BK$1&amp;"")</f>
        <v>5.0999999999999996</v>
      </c>
      <c r="BL320" s="293"/>
      <c r="BM320" s="293">
        <v>0.98</v>
      </c>
      <c r="BN320" s="291">
        <v>1.08</v>
      </c>
    </row>
    <row r="321" spans="1:66" ht="15.75" thickBot="1" x14ac:dyDescent="0.25">
      <c r="A321" s="368">
        <v>45701</v>
      </c>
      <c r="B321" s="365">
        <v>0.66666666666666696</v>
      </c>
      <c r="C321" s="383">
        <v>13</v>
      </c>
      <c r="D321" s="319" t="s">
        <v>126</v>
      </c>
      <c r="E321" s="297">
        <v>14.3</v>
      </c>
      <c r="F321" s="298">
        <v>70.459999999999994</v>
      </c>
      <c r="G321" s="299" cm="1">
        <f t="array" aca="1" ref="G321" ca="1">INDIRECT("'"&amp;$C321&amp;"'!"&amp;"$"&amp;$D321&amp;$E$1&amp;"")</f>
        <v>6.6</v>
      </c>
      <c r="H321" s="300">
        <v>0.96</v>
      </c>
      <c r="I321" s="298">
        <v>1.82</v>
      </c>
      <c r="J321" s="299" cm="1">
        <f t="array" aca="1" ref="J321" ca="1">INDIRECT("'"&amp;$C321&amp;"'!"&amp;"$"&amp;$D321&amp;$J$1&amp;"")</f>
        <v>6.7</v>
      </c>
      <c r="K321" s="300"/>
      <c r="L321" s="300">
        <v>0.96</v>
      </c>
      <c r="M321" s="298">
        <v>1.91</v>
      </c>
      <c r="N321" s="299" cm="1">
        <f t="array" aca="1" ref="N321" ca="1">INDIRECT("'"&amp;$C321&amp;"'!"&amp;"$"&amp;$D321&amp;$N$1&amp;"")</f>
        <v>6.7</v>
      </c>
      <c r="O321" s="300"/>
      <c r="P321" s="300">
        <v>0.96</v>
      </c>
      <c r="Q321" s="298">
        <v>1.92</v>
      </c>
      <c r="R321" s="299" cm="1">
        <f t="array" aca="1" ref="R321" ca="1">INDIRECT("'"&amp;$C321&amp;"'!"&amp;"$"&amp;$D321&amp;$R$1&amp;"")</f>
        <v>6.7</v>
      </c>
      <c r="S321" s="300"/>
      <c r="T321" s="300">
        <v>0.96</v>
      </c>
      <c r="U321" s="298">
        <v>1.92</v>
      </c>
      <c r="V321" s="299" t="str" cm="1">
        <f t="array" aca="1" ref="V321" ca="1">INDIRECT("'"&amp;$C321&amp;"'!"&amp;"$"&amp;$D321&amp;$V$1&amp;"")</f>
        <v>CMS</v>
      </c>
      <c r="W321" s="300" t="s">
        <v>1</v>
      </c>
      <c r="X321" s="300" t="s">
        <v>1</v>
      </c>
      <c r="Y321" s="301" t="s">
        <v>1</v>
      </c>
      <c r="Z321" s="387" cm="1">
        <f t="array" aca="1" ref="Z321" ca="1">INDIRECT("'"&amp;$C321&amp;"'!"&amp;"$"&amp;$D321&amp;$Z$1&amp;"")</f>
        <v>0</v>
      </c>
      <c r="AA321" s="299" t="s">
        <v>1</v>
      </c>
      <c r="AB321" s="300" t="s">
        <v>1</v>
      </c>
      <c r="AC321" s="298" t="s">
        <v>1</v>
      </c>
      <c r="AD321" s="299" cm="1">
        <f t="array" aca="1" ref="AD321" ca="1">INDIRECT("'"&amp;$C321&amp;"'!"&amp;"$"&amp;$D321&amp;$AD$1&amp;"")</f>
        <v>3.3</v>
      </c>
      <c r="AE321" s="300">
        <f>3.8*3.53</f>
        <v>13.413999999999998</v>
      </c>
      <c r="AF321" s="300">
        <v>0.94</v>
      </c>
      <c r="AG321" s="298">
        <v>1.23</v>
      </c>
      <c r="AH321" s="297" cm="1">
        <f t="array" aca="1" ref="AH321" ca="1">INDIRECT("'"&amp;$C321&amp;"'!"&amp;"$"&amp;$D321&amp;$AH$1&amp;"")</f>
        <v>3.8</v>
      </c>
      <c r="AI321" s="300">
        <v>13.44</v>
      </c>
      <c r="AJ321" s="300">
        <v>0.99</v>
      </c>
      <c r="AK321" s="298">
        <v>0.29699999999999999</v>
      </c>
      <c r="AL321" s="297">
        <v>11.8</v>
      </c>
      <c r="AM321" s="301">
        <v>69.5</v>
      </c>
      <c r="AN321" s="297" cm="1">
        <f t="array" aca="1" ref="AN321" ca="1">INDIRECT("'"&amp;$C321&amp;"'!"&amp;"$"&amp;$D321&amp;$AL$1&amp;"")</f>
        <v>3.8</v>
      </c>
      <c r="AO321" s="300">
        <v>0.92</v>
      </c>
      <c r="AP321" s="298">
        <v>1.52</v>
      </c>
      <c r="AQ321" s="299" cm="1">
        <f t="array" aca="1" ref="AQ321" ca="1">INDIRECT("'"&amp;$C321&amp;"'!"&amp;"$"&amp;$D321&amp;$AQ$1&amp;"")</f>
        <v>3.8</v>
      </c>
      <c r="AR321" s="300">
        <v>0.92</v>
      </c>
      <c r="AS321" s="298">
        <v>1.52</v>
      </c>
      <c r="AT321" s="297" t="s">
        <v>1</v>
      </c>
      <c r="AU321" s="301">
        <v>68.400000000000006</v>
      </c>
      <c r="AV321" s="297" t="str" cm="1">
        <f t="array" aca="1" ref="AV321" ca="1">INDIRECT("'"&amp;$C321&amp;"'!"&amp;"$"&amp;$D321&amp;$AT$1&amp;"")</f>
        <v>PMS</v>
      </c>
      <c r="AW321" s="300" t="s">
        <v>1</v>
      </c>
      <c r="AX321" s="301" t="s">
        <v>1</v>
      </c>
      <c r="AY321" s="387">
        <v>68.7</v>
      </c>
      <c r="AZ321" s="303" cm="1">
        <f t="array" aca="1" ref="AZ321" ca="1">INDIRECT("'"&amp;$C321&amp;"'!"&amp;"$"&amp;$D321&amp;$AY$1&amp;"")</f>
        <v>8.8499999999999979</v>
      </c>
      <c r="BA321" s="300">
        <v>0.96</v>
      </c>
      <c r="BB321" s="298">
        <v>2.5</v>
      </c>
      <c r="BC321" s="299" cm="1">
        <f t="array" aca="1" ref="BC321" ca="1">INDIRECT("'"&amp;$C321&amp;"'!"&amp;"$"&amp;$D321&amp;$BC$1&amp;"")</f>
        <v>1.32</v>
      </c>
      <c r="BD321" s="300"/>
      <c r="BE321" s="300">
        <v>0.99</v>
      </c>
      <c r="BF321" s="298">
        <v>0.17</v>
      </c>
      <c r="BG321" s="299" cm="1">
        <f t="array" aca="1" ref="BG321" ca="1">INDIRECT("'"&amp;$C321&amp;"'!"&amp;"$"&amp;$D321&amp;$BG$1&amp;"")</f>
        <v>0.89</v>
      </c>
      <c r="BH321" s="300"/>
      <c r="BI321" s="300">
        <v>0.96</v>
      </c>
      <c r="BJ321" s="298">
        <v>0.24</v>
      </c>
      <c r="BK321" s="297" cm="1">
        <f t="array" aca="1" ref="BK321" ca="1">INDIRECT("'"&amp;$C321&amp;"'!"&amp;"$"&amp;$D321&amp;$BK$1&amp;"")</f>
        <v>5</v>
      </c>
      <c r="BL321" s="300"/>
      <c r="BM321" s="300">
        <v>0.98</v>
      </c>
      <c r="BN321" s="298">
        <v>1</v>
      </c>
    </row>
    <row r="322" spans="1:66" ht="15.75" thickBot="1" x14ac:dyDescent="0.25">
      <c r="A322" s="368">
        <v>45701</v>
      </c>
      <c r="B322" s="365">
        <v>0.70833333333333404</v>
      </c>
      <c r="C322" s="383">
        <v>13</v>
      </c>
      <c r="D322" s="319" t="s">
        <v>127</v>
      </c>
      <c r="E322" s="290">
        <v>14.3</v>
      </c>
      <c r="F322" s="291">
        <v>70.569999999999993</v>
      </c>
      <c r="G322" s="292" cm="1">
        <f t="array" aca="1" ref="G322" ca="1">INDIRECT("'"&amp;$C322&amp;"'!"&amp;"$"&amp;$D322&amp;$E$1&amp;"")</f>
        <v>6.7</v>
      </c>
      <c r="H322" s="293">
        <v>0.96</v>
      </c>
      <c r="I322" s="291">
        <v>1.84</v>
      </c>
      <c r="J322" s="292" cm="1">
        <f t="array" aca="1" ref="J322" ca="1">INDIRECT("'"&amp;$C322&amp;"'!"&amp;"$"&amp;$D322&amp;$J$1&amp;"")</f>
        <v>6.7</v>
      </c>
      <c r="K322" s="293"/>
      <c r="L322" s="293">
        <v>0.96</v>
      </c>
      <c r="M322" s="291">
        <v>1.91</v>
      </c>
      <c r="N322" s="292" cm="1">
        <f t="array" aca="1" ref="N322" ca="1">INDIRECT("'"&amp;$C322&amp;"'!"&amp;"$"&amp;$D322&amp;$N$1&amp;"")</f>
        <v>6.6</v>
      </c>
      <c r="O322" s="293"/>
      <c r="P322" s="293">
        <v>0.96</v>
      </c>
      <c r="Q322" s="291">
        <v>1.89</v>
      </c>
      <c r="R322" s="292" cm="1">
        <f t="array" aca="1" ref="R322" ca="1">INDIRECT("'"&amp;$C322&amp;"'!"&amp;"$"&amp;$D322&amp;$R$1&amp;"")</f>
        <v>6.7</v>
      </c>
      <c r="S322" s="293"/>
      <c r="T322" s="293">
        <v>0.96</v>
      </c>
      <c r="U322" s="291">
        <v>1.7</v>
      </c>
      <c r="V322" s="292" t="str" cm="1">
        <f t="array" aca="1" ref="V322" ca="1">INDIRECT("'"&amp;$C322&amp;"'!"&amp;"$"&amp;$D322&amp;$V$1&amp;"")</f>
        <v>CMS</v>
      </c>
      <c r="W322" s="293" t="s">
        <v>1</v>
      </c>
      <c r="X322" s="293" t="s">
        <v>1</v>
      </c>
      <c r="Y322" s="294" t="s">
        <v>1</v>
      </c>
      <c r="Z322" s="386" cm="1">
        <f t="array" aca="1" ref="Z322" ca="1">INDIRECT("'"&amp;$C322&amp;"'!"&amp;"$"&amp;$D322&amp;$Z$1&amp;"")</f>
        <v>0</v>
      </c>
      <c r="AA322" s="292" t="s">
        <v>1</v>
      </c>
      <c r="AB322" s="293" t="s">
        <v>1</v>
      </c>
      <c r="AC322" s="291" t="s">
        <v>1</v>
      </c>
      <c r="AD322" s="292" cm="1">
        <f t="array" aca="1" ref="AD322" ca="1">INDIRECT("'"&amp;$C322&amp;"'!"&amp;"$"&amp;$D322&amp;$AD$1&amp;"")</f>
        <v>3.3</v>
      </c>
      <c r="AE322" s="293">
        <f>3.8*3.55</f>
        <v>13.489999999999998</v>
      </c>
      <c r="AF322" s="293">
        <v>0.94</v>
      </c>
      <c r="AG322" s="291">
        <v>1.18</v>
      </c>
      <c r="AH322" s="290" cm="1">
        <f t="array" aca="1" ref="AH322" ca="1">INDIRECT("'"&amp;$C322&amp;"'!"&amp;"$"&amp;$D322&amp;$AH$1&amp;"")</f>
        <v>3.8</v>
      </c>
      <c r="AI322" s="293">
        <v>13.72</v>
      </c>
      <c r="AJ322" s="293">
        <v>0.98</v>
      </c>
      <c r="AK322" s="291">
        <v>0.754</v>
      </c>
      <c r="AL322" s="290">
        <v>11.9</v>
      </c>
      <c r="AM322" s="294">
        <v>69.5</v>
      </c>
      <c r="AN322" s="290" cm="1">
        <f t="array" aca="1" ref="AN322" ca="1">INDIRECT("'"&amp;$C322&amp;"'!"&amp;"$"&amp;$D322&amp;$AL$1&amp;"")</f>
        <v>3.7</v>
      </c>
      <c r="AO322" s="293">
        <v>0.96</v>
      </c>
      <c r="AP322" s="291">
        <v>1.26</v>
      </c>
      <c r="AQ322" s="292" cm="1">
        <f t="array" aca="1" ref="AQ322" ca="1">INDIRECT("'"&amp;$C322&amp;"'!"&amp;"$"&amp;$D322&amp;$AQ$1&amp;"")</f>
        <v>3.7</v>
      </c>
      <c r="AR322" s="293">
        <v>0.96</v>
      </c>
      <c r="AS322" s="291">
        <v>1.26</v>
      </c>
      <c r="AT322" s="290" t="s">
        <v>1</v>
      </c>
      <c r="AU322" s="294">
        <v>68.8</v>
      </c>
      <c r="AV322" s="290" t="str" cm="1">
        <f t="array" aca="1" ref="AV322" ca="1">INDIRECT("'"&amp;$C322&amp;"'!"&amp;"$"&amp;$D322&amp;$AT$1&amp;"")</f>
        <v>PMS</v>
      </c>
      <c r="AW322" s="293" t="s">
        <v>1</v>
      </c>
      <c r="AX322" s="294" t="s">
        <v>1</v>
      </c>
      <c r="AY322" s="386">
        <v>68.900000000000006</v>
      </c>
      <c r="AZ322" s="296" cm="1">
        <f t="array" aca="1" ref="AZ322" ca="1">INDIRECT("'"&amp;$C322&amp;"'!"&amp;"$"&amp;$D322&amp;$AY$1&amp;"")</f>
        <v>7.15</v>
      </c>
      <c r="BA322" s="293">
        <v>0.96</v>
      </c>
      <c r="BB322" s="291">
        <v>2</v>
      </c>
      <c r="BC322" s="292" cm="1">
        <f t="array" aca="1" ref="BC322" ca="1">INDIRECT("'"&amp;$C322&amp;"'!"&amp;"$"&amp;$D322&amp;$BC$1&amp;"")</f>
        <v>1.25</v>
      </c>
      <c r="BD322" s="293"/>
      <c r="BE322" s="293">
        <v>0.99</v>
      </c>
      <c r="BF322" s="291">
        <v>0.16</v>
      </c>
      <c r="BG322" s="292" cm="1">
        <f t="array" aca="1" ref="BG322" ca="1">INDIRECT("'"&amp;$C322&amp;"'!"&amp;"$"&amp;$D322&amp;$BG$1&amp;"")</f>
        <v>0.89</v>
      </c>
      <c r="BH322" s="293"/>
      <c r="BI322" s="293">
        <v>0.96</v>
      </c>
      <c r="BJ322" s="291">
        <v>0.25</v>
      </c>
      <c r="BK322" s="290" cm="1">
        <f t="array" aca="1" ref="BK322" ca="1">INDIRECT("'"&amp;$C322&amp;"'!"&amp;"$"&amp;$D322&amp;$BK$1&amp;"")</f>
        <v>4.5999999999999996</v>
      </c>
      <c r="BL322" s="293"/>
      <c r="BM322" s="293">
        <v>0.98</v>
      </c>
      <c r="BN322" s="291">
        <v>0.92</v>
      </c>
    </row>
    <row r="323" spans="1:66" ht="15.75" thickBot="1" x14ac:dyDescent="0.25">
      <c r="A323" s="368">
        <v>45701</v>
      </c>
      <c r="B323" s="365">
        <v>0.750000000000001</v>
      </c>
      <c r="C323" s="383">
        <v>13</v>
      </c>
      <c r="D323" s="319" t="s">
        <v>128</v>
      </c>
      <c r="E323" s="297">
        <v>14.3</v>
      </c>
      <c r="F323" s="298">
        <v>70.31</v>
      </c>
      <c r="G323" s="299" cm="1">
        <f t="array" aca="1" ref="G323" ca="1">INDIRECT("'"&amp;$C323&amp;"'!"&amp;"$"&amp;$D323&amp;$E$1&amp;"")</f>
        <v>6.8</v>
      </c>
      <c r="H323" s="300">
        <v>0.97</v>
      </c>
      <c r="I323" s="298">
        <v>1.68</v>
      </c>
      <c r="J323" s="299" cm="1">
        <f t="array" aca="1" ref="J323" ca="1">INDIRECT("'"&amp;$C323&amp;"'!"&amp;"$"&amp;$D323&amp;$J$1&amp;"")</f>
        <v>6.7</v>
      </c>
      <c r="K323" s="300"/>
      <c r="L323" s="300">
        <v>0.97</v>
      </c>
      <c r="M323" s="298">
        <v>1.69</v>
      </c>
      <c r="N323" s="299" cm="1">
        <f t="array" aca="1" ref="N323" ca="1">INDIRECT("'"&amp;$C323&amp;"'!"&amp;"$"&amp;$D323&amp;$N$1&amp;"")</f>
        <v>6.8</v>
      </c>
      <c r="O323" s="300"/>
      <c r="P323" s="300">
        <v>0.97</v>
      </c>
      <c r="Q323" s="298">
        <v>1.74</v>
      </c>
      <c r="R323" s="299" cm="1">
        <f t="array" aca="1" ref="R323" ca="1">INDIRECT("'"&amp;$C323&amp;"'!"&amp;"$"&amp;$D323&amp;$R$1&amp;"")</f>
        <v>6.8</v>
      </c>
      <c r="S323" s="300"/>
      <c r="T323" s="300">
        <v>0.97</v>
      </c>
      <c r="U323" s="298">
        <v>1.74</v>
      </c>
      <c r="V323" s="299" t="str" cm="1">
        <f t="array" aca="1" ref="V323" ca="1">INDIRECT("'"&amp;$C323&amp;"'!"&amp;"$"&amp;$D323&amp;$V$1&amp;"")</f>
        <v>CMS</v>
      </c>
      <c r="W323" s="300" t="s">
        <v>1</v>
      </c>
      <c r="X323" s="300" t="s">
        <v>1</v>
      </c>
      <c r="Y323" s="301" t="s">
        <v>1</v>
      </c>
      <c r="Z323" s="387" cm="1">
        <f t="array" aca="1" ref="Z323" ca="1">INDIRECT("'"&amp;$C323&amp;"'!"&amp;"$"&amp;$D323&amp;$Z$1&amp;"")</f>
        <v>0</v>
      </c>
      <c r="AA323" s="299" t="s">
        <v>1</v>
      </c>
      <c r="AB323" s="300" t="s">
        <v>1</v>
      </c>
      <c r="AC323" s="298" t="s">
        <v>1</v>
      </c>
      <c r="AD323" s="299" cm="1">
        <f t="array" aca="1" ref="AD323" ca="1">INDIRECT("'"&amp;$C323&amp;"'!"&amp;"$"&amp;$D323&amp;$AD$1&amp;"")</f>
        <v>3.3</v>
      </c>
      <c r="AE323" s="300">
        <f>3.8*3.54</f>
        <v>13.452</v>
      </c>
      <c r="AF323" s="300">
        <v>0.95</v>
      </c>
      <c r="AG323" s="298">
        <v>1.1200000000000001</v>
      </c>
      <c r="AH323" s="297" cm="1">
        <f t="array" aca="1" ref="AH323" ca="1">INDIRECT("'"&amp;$C323&amp;"'!"&amp;"$"&amp;$D323&amp;$AH$1&amp;"")</f>
        <v>3.8</v>
      </c>
      <c r="AI323" s="300">
        <v>13.76</v>
      </c>
      <c r="AJ323" s="300">
        <v>0.98</v>
      </c>
      <c r="AK323" s="298">
        <v>0.61399999999999999</v>
      </c>
      <c r="AL323" s="297">
        <v>11.9</v>
      </c>
      <c r="AM323" s="301">
        <v>70</v>
      </c>
      <c r="AN323" s="297" cm="1">
        <f t="array" aca="1" ref="AN323" ca="1">INDIRECT("'"&amp;$C323&amp;"'!"&amp;"$"&amp;$D323&amp;$AL$1&amp;"")</f>
        <v>4.0999999999999996</v>
      </c>
      <c r="AO323" s="300">
        <v>0.96</v>
      </c>
      <c r="AP323" s="298">
        <v>1.1399999999999999</v>
      </c>
      <c r="AQ323" s="299" cm="1">
        <f t="array" aca="1" ref="AQ323" ca="1">INDIRECT("'"&amp;$C323&amp;"'!"&amp;"$"&amp;$D323&amp;$AQ$1&amp;"")</f>
        <v>4.0999999999999996</v>
      </c>
      <c r="AR323" s="300">
        <v>0.96</v>
      </c>
      <c r="AS323" s="298">
        <v>1.1399999999999999</v>
      </c>
      <c r="AT323" s="297" t="s">
        <v>1</v>
      </c>
      <c r="AU323" s="301">
        <v>69.400000000000006</v>
      </c>
      <c r="AV323" s="297" t="str" cm="1">
        <f t="array" aca="1" ref="AV323" ca="1">INDIRECT("'"&amp;$C323&amp;"'!"&amp;"$"&amp;$D323&amp;$AT$1&amp;"")</f>
        <v>PMS</v>
      </c>
      <c r="AW323" s="300" t="s">
        <v>1</v>
      </c>
      <c r="AX323" s="301" t="s">
        <v>1</v>
      </c>
      <c r="AY323" s="387">
        <v>68.7</v>
      </c>
      <c r="AZ323" s="303" cm="1">
        <f t="array" aca="1" ref="AZ323" ca="1">INDIRECT("'"&amp;$C323&amp;"'!"&amp;"$"&amp;$D323&amp;$AY$1&amp;"")</f>
        <v>4.5999999999999996</v>
      </c>
      <c r="BA323" s="300">
        <v>0.96</v>
      </c>
      <c r="BB323" s="298">
        <v>1.3</v>
      </c>
      <c r="BC323" s="299" cm="1">
        <f t="array" aca="1" ref="BC323" ca="1">INDIRECT("'"&amp;$C323&amp;"'!"&amp;"$"&amp;$D323&amp;$BC$1&amp;"")</f>
        <v>1.21</v>
      </c>
      <c r="BD323" s="300"/>
      <c r="BE323" s="300">
        <v>0.999</v>
      </c>
      <c r="BF323" s="298">
        <v>0.15</v>
      </c>
      <c r="BG323" s="299" cm="1">
        <f t="array" aca="1" ref="BG323" ca="1">INDIRECT("'"&amp;$C323&amp;"'!"&amp;"$"&amp;$D323&amp;$BG$1&amp;"")</f>
        <v>0.87</v>
      </c>
      <c r="BH323" s="300"/>
      <c r="BI323" s="300">
        <v>0.96</v>
      </c>
      <c r="BJ323" s="298">
        <v>0.24</v>
      </c>
      <c r="BK323" s="297" cm="1">
        <f t="array" aca="1" ref="BK323" ca="1">INDIRECT("'"&amp;$C323&amp;"'!"&amp;"$"&amp;$D323&amp;$BK$1&amp;"")</f>
        <v>4.2</v>
      </c>
      <c r="BL323" s="300"/>
      <c r="BM323" s="300">
        <v>0.98</v>
      </c>
      <c r="BN323" s="298">
        <v>0.83</v>
      </c>
    </row>
    <row r="324" spans="1:66" ht="15.75" thickBot="1" x14ac:dyDescent="0.25">
      <c r="A324" s="368">
        <v>45701</v>
      </c>
      <c r="B324" s="365">
        <v>0.79166666666666696</v>
      </c>
      <c r="C324" s="383">
        <v>13</v>
      </c>
      <c r="D324" s="319" t="s">
        <v>129</v>
      </c>
      <c r="E324" s="290">
        <v>14.3</v>
      </c>
      <c r="F324" s="291">
        <v>70.91</v>
      </c>
      <c r="G324" s="292" cm="1">
        <f t="array" aca="1" ref="G324" ca="1">INDIRECT("'"&amp;$C324&amp;"'!"&amp;"$"&amp;$D324&amp;$E$1&amp;"")</f>
        <v>6.7</v>
      </c>
      <c r="H324" s="293">
        <v>0.97</v>
      </c>
      <c r="I324" s="291">
        <v>1.64</v>
      </c>
      <c r="J324" s="292" cm="1">
        <f t="array" aca="1" ref="J324" ca="1">INDIRECT("'"&amp;$C324&amp;"'!"&amp;"$"&amp;$D324&amp;$J$1&amp;"")</f>
        <v>6.7</v>
      </c>
      <c r="K324" s="304"/>
      <c r="L324" s="293">
        <v>0.97</v>
      </c>
      <c r="M324" s="291">
        <v>1.67</v>
      </c>
      <c r="N324" s="292" cm="1">
        <f t="array" aca="1" ref="N324" ca="1">INDIRECT("'"&amp;$C324&amp;"'!"&amp;"$"&amp;$D324&amp;$N$1&amp;"")</f>
        <v>6.6</v>
      </c>
      <c r="O324" s="293"/>
      <c r="P324" s="293">
        <v>0.97</v>
      </c>
      <c r="Q324" s="291">
        <v>1.73</v>
      </c>
      <c r="R324" s="292" cm="1">
        <f t="array" aca="1" ref="R324" ca="1">INDIRECT("'"&amp;$C324&amp;"'!"&amp;"$"&amp;$D324&amp;$R$1&amp;"")</f>
        <v>6.7</v>
      </c>
      <c r="S324" s="293"/>
      <c r="T324" s="293">
        <v>0.99</v>
      </c>
      <c r="U324" s="291">
        <v>0.82</v>
      </c>
      <c r="V324" s="292" t="str" cm="1">
        <f t="array" aca="1" ref="V324" ca="1">INDIRECT("'"&amp;$C324&amp;"'!"&amp;"$"&amp;$D324&amp;$V$1&amp;"")</f>
        <v>CMS</v>
      </c>
      <c r="W324" s="293" t="s">
        <v>1</v>
      </c>
      <c r="X324" s="293" t="s">
        <v>1</v>
      </c>
      <c r="Y324" s="294" t="s">
        <v>1</v>
      </c>
      <c r="Z324" s="386" cm="1">
        <f t="array" aca="1" ref="Z324" ca="1">INDIRECT("'"&amp;$C324&amp;"'!"&amp;"$"&amp;$D324&amp;$Z$1&amp;"")</f>
        <v>0</v>
      </c>
      <c r="AA324" s="292" t="s">
        <v>1</v>
      </c>
      <c r="AB324" s="293" t="s">
        <v>1</v>
      </c>
      <c r="AC324" s="291" t="s">
        <v>1</v>
      </c>
      <c r="AD324" s="292" cm="1">
        <f t="array" aca="1" ref="AD324" ca="1">INDIRECT("'"&amp;$C324&amp;"'!"&amp;"$"&amp;$D324&amp;$AD$1&amp;"")</f>
        <v>3.3</v>
      </c>
      <c r="AE324" s="293">
        <f>3.8*3.59</f>
        <v>13.641999999999999</v>
      </c>
      <c r="AF324" s="293">
        <v>0.96</v>
      </c>
      <c r="AG324" s="291">
        <v>0.19</v>
      </c>
      <c r="AH324" s="290" cm="1">
        <f t="array" aca="1" ref="AH324" ca="1">INDIRECT("'"&amp;$C324&amp;"'!"&amp;"$"&amp;$D324&amp;$AH$1&amp;"")</f>
        <v>3.8</v>
      </c>
      <c r="AI324" s="293">
        <v>13.76</v>
      </c>
      <c r="AJ324" s="293">
        <v>0.96</v>
      </c>
      <c r="AK324" s="291">
        <v>0.19</v>
      </c>
      <c r="AL324" s="290">
        <v>11.9</v>
      </c>
      <c r="AM324" s="294">
        <v>70.3</v>
      </c>
      <c r="AN324" s="290" cm="1">
        <f t="array" aca="1" ref="AN324" ca="1">INDIRECT("'"&amp;$C324&amp;"'!"&amp;"$"&amp;$D324&amp;$AL$1&amp;"")</f>
        <v>3.8</v>
      </c>
      <c r="AO324" s="293">
        <v>0.96</v>
      </c>
      <c r="AP324" s="291">
        <v>1.0900000000000001</v>
      </c>
      <c r="AQ324" s="292" cm="1">
        <f t="array" aca="1" ref="AQ324" ca="1">INDIRECT("'"&amp;$C324&amp;"'!"&amp;"$"&amp;$D324&amp;$AQ$1&amp;"")</f>
        <v>3.8</v>
      </c>
      <c r="AR324" s="293">
        <v>0.96</v>
      </c>
      <c r="AS324" s="291">
        <v>1.0900000000000001</v>
      </c>
      <c r="AT324" s="290" t="s">
        <v>1</v>
      </c>
      <c r="AU324" s="294">
        <v>69.5</v>
      </c>
      <c r="AV324" s="290" t="str" cm="1">
        <f t="array" aca="1" ref="AV324" ca="1">INDIRECT("'"&amp;$C324&amp;"'!"&amp;"$"&amp;$D324&amp;$AT$1&amp;"")</f>
        <v>PMS</v>
      </c>
      <c r="AW324" s="293" t="s">
        <v>1</v>
      </c>
      <c r="AX324" s="294" t="s">
        <v>1</v>
      </c>
      <c r="AY324" s="386">
        <v>69.3</v>
      </c>
      <c r="AZ324" s="296" cm="1">
        <f t="array" aca="1" ref="AZ324" ca="1">INDIRECT("'"&amp;$C324&amp;"'!"&amp;"$"&amp;$D324&amp;$AY$1&amp;"")</f>
        <v>8.8499999999999979</v>
      </c>
      <c r="BA324" s="293">
        <v>0.98</v>
      </c>
      <c r="BB324" s="291">
        <v>1.7</v>
      </c>
      <c r="BC324" s="292" cm="1">
        <f t="array" aca="1" ref="BC324" ca="1">INDIRECT("'"&amp;$C324&amp;"'!"&amp;"$"&amp;$D324&amp;$BC$1&amp;"")</f>
        <v>1.53</v>
      </c>
      <c r="BD324" s="293"/>
      <c r="BE324" s="293">
        <v>0.99</v>
      </c>
      <c r="BF324" s="291">
        <v>0.17</v>
      </c>
      <c r="BG324" s="292" cm="1">
        <f t="array" aca="1" ref="BG324" ca="1">INDIRECT("'"&amp;$C324&amp;"'!"&amp;"$"&amp;$D324&amp;$BG$1&amp;"")</f>
        <v>1</v>
      </c>
      <c r="BH324" s="293"/>
      <c r="BI324" s="293">
        <v>0.97</v>
      </c>
      <c r="BJ324" s="291">
        <v>0.27</v>
      </c>
      <c r="BK324" s="290" cm="1">
        <f t="array" aca="1" ref="BK324" ca="1">INDIRECT("'"&amp;$C324&amp;"'!"&amp;"$"&amp;$D324&amp;$BK$1&amp;"")</f>
        <v>3.9999999999999996</v>
      </c>
      <c r="BL324" s="293"/>
      <c r="BM324" s="293">
        <v>0.98</v>
      </c>
      <c r="BN324" s="291">
        <v>0.09</v>
      </c>
    </row>
    <row r="325" spans="1:66" ht="15.75" thickBot="1" x14ac:dyDescent="0.25">
      <c r="A325" s="368">
        <v>45701</v>
      </c>
      <c r="B325" s="365">
        <v>0.83333333333333337</v>
      </c>
      <c r="C325" s="383">
        <v>13</v>
      </c>
      <c r="D325" s="319" t="s">
        <v>130</v>
      </c>
      <c r="E325" s="297">
        <v>14.2</v>
      </c>
      <c r="F325" s="298">
        <v>70.930000000000007</v>
      </c>
      <c r="G325" s="299" cm="1">
        <f t="array" aca="1" ref="G325" ca="1">INDIRECT("'"&amp;$C325&amp;"'!"&amp;"$"&amp;$D325&amp;$E$1&amp;"")</f>
        <v>6.7</v>
      </c>
      <c r="H325" s="300">
        <v>0.98</v>
      </c>
      <c r="I325" s="298">
        <v>1.39</v>
      </c>
      <c r="J325" s="299" cm="1">
        <f t="array" aca="1" ref="J325" ca="1">INDIRECT("'"&amp;$C325&amp;"'!"&amp;"$"&amp;$D325&amp;$J$1&amp;"")</f>
        <v>6.7</v>
      </c>
      <c r="K325" s="300"/>
      <c r="L325" s="300">
        <v>0.98</v>
      </c>
      <c r="M325" s="298">
        <v>1.35</v>
      </c>
      <c r="N325" s="299" cm="1">
        <f t="array" aca="1" ref="N325" ca="1">INDIRECT("'"&amp;$C325&amp;"'!"&amp;"$"&amp;$D325&amp;$N$1&amp;"")</f>
        <v>6.6</v>
      </c>
      <c r="O325" s="300"/>
      <c r="P325" s="300">
        <v>0.97</v>
      </c>
      <c r="Q325" s="298">
        <v>1.72</v>
      </c>
      <c r="R325" s="299" cm="1">
        <f t="array" aca="1" ref="R325" ca="1">INDIRECT("'"&amp;$C325&amp;"'!"&amp;"$"&amp;$D325&amp;$R$1&amp;"")</f>
        <v>6.7</v>
      </c>
      <c r="S325" s="300"/>
      <c r="T325" s="300">
        <v>0.99</v>
      </c>
      <c r="U325" s="298">
        <v>1.1000000000000001</v>
      </c>
      <c r="V325" s="299" t="str" cm="1">
        <f t="array" aca="1" ref="V325" ca="1">INDIRECT("'"&amp;$C325&amp;"'!"&amp;"$"&amp;$D325&amp;$V$1&amp;"")</f>
        <v>CMS</v>
      </c>
      <c r="W325" s="300" t="s">
        <v>1</v>
      </c>
      <c r="X325" s="300" t="s">
        <v>1</v>
      </c>
      <c r="Y325" s="301" t="s">
        <v>1</v>
      </c>
      <c r="Z325" s="387" cm="1">
        <f t="array" aca="1" ref="Z325" ca="1">INDIRECT("'"&amp;$C325&amp;"'!"&amp;"$"&amp;$D325&amp;$Z$1&amp;"")</f>
        <v>0</v>
      </c>
      <c r="AA325" s="299" t="s">
        <v>1</v>
      </c>
      <c r="AB325" s="300" t="s">
        <v>1</v>
      </c>
      <c r="AC325" s="298" t="s">
        <v>1</v>
      </c>
      <c r="AD325" s="299" cm="1">
        <f t="array" aca="1" ref="AD325" ca="1">INDIRECT("'"&amp;$C325&amp;"'!"&amp;"$"&amp;$D325&amp;$AD$1&amp;"")</f>
        <v>3.3</v>
      </c>
      <c r="AE325" s="300">
        <f>3.8*3.58</f>
        <v>13.603999999999999</v>
      </c>
      <c r="AF325" s="300">
        <v>0.97</v>
      </c>
      <c r="AG325" s="298">
        <v>0.83</v>
      </c>
      <c r="AH325" s="297" cm="1">
        <f t="array" aca="1" ref="AH325" ca="1">INDIRECT("'"&amp;$C325&amp;"'!"&amp;"$"&amp;$D325&amp;$AH$1&amp;"")</f>
        <v>3.8</v>
      </c>
      <c r="AI325" s="300">
        <v>13.76</v>
      </c>
      <c r="AJ325" s="300">
        <v>0.98</v>
      </c>
      <c r="AK325" s="298">
        <v>0.61299999999999999</v>
      </c>
      <c r="AL325" s="297">
        <v>11.9</v>
      </c>
      <c r="AM325" s="301">
        <v>70.5</v>
      </c>
      <c r="AN325" s="297" cm="1">
        <f t="array" aca="1" ref="AN325" ca="1">INDIRECT("'"&amp;$C325&amp;"'!"&amp;"$"&amp;$D325&amp;$AL$1&amp;"")</f>
        <v>3.8</v>
      </c>
      <c r="AO325" s="300">
        <v>0.96</v>
      </c>
      <c r="AP325" s="298">
        <v>1.21</v>
      </c>
      <c r="AQ325" s="299" cm="1">
        <f t="array" aca="1" ref="AQ325" ca="1">INDIRECT("'"&amp;$C325&amp;"'!"&amp;"$"&amp;$D325&amp;$AQ$1&amp;"")</f>
        <v>3.8</v>
      </c>
      <c r="AR325" s="300">
        <v>0.96</v>
      </c>
      <c r="AS325" s="298">
        <v>1.21</v>
      </c>
      <c r="AT325" s="297" t="s">
        <v>1</v>
      </c>
      <c r="AU325" s="301">
        <v>69.5</v>
      </c>
      <c r="AV325" s="297" t="str" cm="1">
        <f t="array" aca="1" ref="AV325" ca="1">INDIRECT("'"&amp;$C325&amp;"'!"&amp;"$"&amp;$D325&amp;$AT$1&amp;"")</f>
        <v>PMS</v>
      </c>
      <c r="AW325" s="300" t="s">
        <v>1</v>
      </c>
      <c r="AX325" s="301" t="s">
        <v>1</v>
      </c>
      <c r="AY325" s="387">
        <v>69.3</v>
      </c>
      <c r="AZ325" s="303" cm="1">
        <f t="array" aca="1" ref="AZ325" ca="1">INDIRECT("'"&amp;$C325&amp;"'!"&amp;"$"&amp;$D325&amp;$AY$1&amp;"")</f>
        <v>5.45</v>
      </c>
      <c r="BA325" s="300">
        <v>0.98</v>
      </c>
      <c r="BB325" s="298">
        <v>1.1000000000000001</v>
      </c>
      <c r="BC325" s="299" cm="1">
        <f t="array" aca="1" ref="BC325" ca="1">INDIRECT("'"&amp;$C325&amp;"'!"&amp;"$"&amp;$D325&amp;$BC$1&amp;"")</f>
        <v>1.52</v>
      </c>
      <c r="BD325" s="300"/>
      <c r="BE325" s="300">
        <v>0.99</v>
      </c>
      <c r="BF325" s="298">
        <v>0.19</v>
      </c>
      <c r="BG325" s="299" cm="1">
        <f t="array" aca="1" ref="BG325" ca="1">INDIRECT("'"&amp;$C325&amp;"'!"&amp;"$"&amp;$D325&amp;$BG$1&amp;"")</f>
        <v>1</v>
      </c>
      <c r="BH325" s="300"/>
      <c r="BI325" s="300">
        <v>0.97</v>
      </c>
      <c r="BJ325" s="298">
        <v>0.24</v>
      </c>
      <c r="BK325" s="297" cm="1">
        <f t="array" aca="1" ref="BK325" ca="1">INDIRECT("'"&amp;$C325&amp;"'!"&amp;"$"&amp;$D325&amp;$BK$1&amp;"")</f>
        <v>4.9000000000000004</v>
      </c>
      <c r="BL325" s="300"/>
      <c r="BM325" s="300">
        <v>0.98</v>
      </c>
      <c r="BN325" s="298">
        <v>1</v>
      </c>
    </row>
    <row r="326" spans="1:66" ht="15.75" thickBot="1" x14ac:dyDescent="0.25">
      <c r="A326" s="368">
        <v>45701</v>
      </c>
      <c r="B326" s="365">
        <v>0.875000000000001</v>
      </c>
      <c r="C326" s="383">
        <v>13</v>
      </c>
      <c r="D326" s="319" t="s">
        <v>131</v>
      </c>
      <c r="E326" s="290">
        <v>14.3</v>
      </c>
      <c r="F326" s="291">
        <v>70.8</v>
      </c>
      <c r="G326" s="292" cm="1">
        <f t="array" aca="1" ref="G326" ca="1">INDIRECT("'"&amp;$C326&amp;"'!"&amp;"$"&amp;$D326&amp;$E$1&amp;"")</f>
        <v>6.7</v>
      </c>
      <c r="H326" s="293">
        <v>0.99</v>
      </c>
      <c r="I326" s="291">
        <v>1.1000000000000001</v>
      </c>
      <c r="J326" s="292" cm="1">
        <f t="array" aca="1" ref="J326" ca="1">INDIRECT("'"&amp;$C326&amp;"'!"&amp;"$"&amp;$D326&amp;$J$1&amp;"")</f>
        <v>1</v>
      </c>
      <c r="K326" s="293"/>
      <c r="L326" s="293">
        <v>1</v>
      </c>
      <c r="M326" s="291">
        <v>0.43</v>
      </c>
      <c r="N326" s="292" cm="1">
        <f t="array" aca="1" ref="N326" ca="1">INDIRECT("'"&amp;$C326&amp;"'!"&amp;"$"&amp;$D326&amp;$N$1&amp;"")</f>
        <v>6.7</v>
      </c>
      <c r="O326" s="293"/>
      <c r="P326" s="293">
        <v>0.99</v>
      </c>
      <c r="Q326" s="291">
        <v>1.1100000000000001</v>
      </c>
      <c r="R326" s="292" cm="1">
        <f t="array" aca="1" ref="R326" ca="1">INDIRECT("'"&amp;$C326&amp;"'!"&amp;"$"&amp;$D326&amp;$R$1&amp;"")</f>
        <v>6.7</v>
      </c>
      <c r="S326" s="293"/>
      <c r="T326" s="293">
        <v>0.99</v>
      </c>
      <c r="U326" s="291">
        <v>1.1100000000000001</v>
      </c>
      <c r="V326" s="292" t="str" cm="1">
        <f t="array" aca="1" ref="V326" ca="1">INDIRECT("'"&amp;$C326&amp;"'!"&amp;"$"&amp;$D326&amp;$V$1&amp;"")</f>
        <v>CMS</v>
      </c>
      <c r="W326" s="293" t="s">
        <v>1</v>
      </c>
      <c r="X326" s="293" t="s">
        <v>1</v>
      </c>
      <c r="Y326" s="294" t="s">
        <v>1</v>
      </c>
      <c r="Z326" s="386" cm="1">
        <f t="array" aca="1" ref="Z326" ca="1">INDIRECT("'"&amp;$C326&amp;"'!"&amp;"$"&amp;$D326&amp;$Z$1&amp;"")</f>
        <v>0</v>
      </c>
      <c r="AA326" s="292" t="s">
        <v>1</v>
      </c>
      <c r="AB326" s="293" t="s">
        <v>1</v>
      </c>
      <c r="AC326" s="291" t="s">
        <v>1</v>
      </c>
      <c r="AD326" s="292" cm="1">
        <f t="array" aca="1" ref="AD326" ca="1">INDIRECT("'"&amp;$C326&amp;"'!"&amp;"$"&amp;$D326&amp;$AD$1&amp;"")</f>
        <v>3</v>
      </c>
      <c r="AE326" s="293">
        <f>3.8*3.62</f>
        <v>13.756</v>
      </c>
      <c r="AF326" s="293">
        <v>0.98</v>
      </c>
      <c r="AG326" s="291">
        <v>0.45</v>
      </c>
      <c r="AH326" s="290" cm="1">
        <f t="array" aca="1" ref="AH326" ca="1">INDIRECT("'"&amp;$C326&amp;"'!"&amp;"$"&amp;$D326&amp;$AH$1&amp;"")</f>
        <v>0.6</v>
      </c>
      <c r="AI326" s="293">
        <v>13.96</v>
      </c>
      <c r="AJ326" s="293">
        <v>0.94</v>
      </c>
      <c r="AK326" s="291">
        <v>0.22500000000000001</v>
      </c>
      <c r="AL326" s="290">
        <v>11.9</v>
      </c>
      <c r="AM326" s="294">
        <v>71.5</v>
      </c>
      <c r="AN326" s="290" cm="1">
        <f t="array" aca="1" ref="AN326" ca="1">INDIRECT("'"&amp;$C326&amp;"'!"&amp;"$"&amp;$D326&amp;$AL$1&amp;"")</f>
        <v>3.8</v>
      </c>
      <c r="AO326" s="293">
        <v>0.96</v>
      </c>
      <c r="AP326" s="291">
        <v>1.21</v>
      </c>
      <c r="AQ326" s="292" cm="1">
        <f t="array" aca="1" ref="AQ326" ca="1">INDIRECT("'"&amp;$C326&amp;"'!"&amp;"$"&amp;$D326&amp;$AQ$1&amp;"")</f>
        <v>0.5</v>
      </c>
      <c r="AR326" s="293">
        <v>0.96</v>
      </c>
      <c r="AS326" s="291">
        <v>1.21</v>
      </c>
      <c r="AT326" s="290" t="s">
        <v>1</v>
      </c>
      <c r="AU326" s="294">
        <v>70.8</v>
      </c>
      <c r="AV326" s="290" t="str" cm="1">
        <f t="array" aca="1" ref="AV326" ca="1">INDIRECT("'"&amp;$C326&amp;"'!"&amp;"$"&amp;$D326&amp;$AT$1&amp;"")</f>
        <v>PMS</v>
      </c>
      <c r="AW326" s="293" t="s">
        <v>1</v>
      </c>
      <c r="AX326" s="294" t="s">
        <v>1</v>
      </c>
      <c r="AY326" s="386">
        <v>69.599999999999994</v>
      </c>
      <c r="AZ326" s="296" cm="1">
        <f t="array" aca="1" ref="AZ326" ca="1">INDIRECT("'"&amp;$C326&amp;"'!"&amp;"$"&amp;$D326&amp;$AY$1&amp;"")</f>
        <v>5.0999999999999996</v>
      </c>
      <c r="BA326" s="293">
        <v>0.98</v>
      </c>
      <c r="BB326" s="291">
        <v>1</v>
      </c>
      <c r="BC326" s="292" cm="1">
        <f t="array" aca="1" ref="BC326" ca="1">INDIRECT("'"&amp;$C326&amp;"'!"&amp;"$"&amp;$D326&amp;$BC$1&amp;"")</f>
        <v>1.41</v>
      </c>
      <c r="BD326" s="293"/>
      <c r="BE326" s="293">
        <v>0.99</v>
      </c>
      <c r="BF326" s="291">
        <v>0.16</v>
      </c>
      <c r="BG326" s="292" cm="1">
        <f t="array" aca="1" ref="BG326" ca="1">INDIRECT("'"&amp;$C326&amp;"'!"&amp;"$"&amp;$D326&amp;$BG$1&amp;"")</f>
        <v>0.97</v>
      </c>
      <c r="BH326" s="293"/>
      <c r="BI326" s="293">
        <v>0.97</v>
      </c>
      <c r="BJ326" s="291">
        <v>0.23</v>
      </c>
      <c r="BK326" s="290" cm="1">
        <f t="array" aca="1" ref="BK326" ca="1">INDIRECT("'"&amp;$C326&amp;"'!"&amp;"$"&amp;$D326&amp;$BK$1&amp;"")</f>
        <v>4.72</v>
      </c>
      <c r="BL326" s="293"/>
      <c r="BM326" s="293">
        <v>0.98</v>
      </c>
      <c r="BN326" s="291">
        <v>0.96</v>
      </c>
    </row>
    <row r="327" spans="1:66" ht="15.75" thickBot="1" x14ac:dyDescent="0.25">
      <c r="A327" s="368">
        <v>45701</v>
      </c>
      <c r="B327" s="365">
        <v>0.91666666666666696</v>
      </c>
      <c r="C327" s="383">
        <v>13</v>
      </c>
      <c r="D327" s="319" t="s">
        <v>132</v>
      </c>
      <c r="E327" s="297">
        <v>14.1</v>
      </c>
      <c r="F327" s="298">
        <v>70.900000000000006</v>
      </c>
      <c r="G327" s="299" cm="1">
        <f t="array" aca="1" ref="G327" ca="1">INDIRECT("'"&amp;$C327&amp;"'!"&amp;"$"&amp;$D327&amp;$E$1&amp;"")</f>
        <v>6.6</v>
      </c>
      <c r="H327" s="300">
        <v>0.99</v>
      </c>
      <c r="I327" s="298">
        <v>1</v>
      </c>
      <c r="J327" s="299" t="str" cm="1">
        <f t="array" aca="1" ref="J327" ca="1">INDIRECT("'"&amp;$C327&amp;"'!"&amp;"$"&amp;$D327&amp;$J$1&amp;"")</f>
        <v>CMS</v>
      </c>
      <c r="K327" s="300"/>
      <c r="L327" s="300" t="s">
        <v>1</v>
      </c>
      <c r="M327" s="298" t="s">
        <v>1</v>
      </c>
      <c r="N327" s="299" cm="1">
        <f t="array" aca="1" ref="N327" ca="1">INDIRECT("'"&amp;$C327&amp;"'!"&amp;"$"&amp;$D327&amp;$N$1&amp;"")</f>
        <v>6.6</v>
      </c>
      <c r="O327" s="300"/>
      <c r="P327" s="300">
        <v>0.99</v>
      </c>
      <c r="Q327" s="298">
        <v>1</v>
      </c>
      <c r="R327" s="299" cm="1">
        <f t="array" aca="1" ref="R327" ca="1">INDIRECT("'"&amp;$C327&amp;"'!"&amp;"$"&amp;$D327&amp;$R$1&amp;"")</f>
        <v>6.6</v>
      </c>
      <c r="S327" s="300"/>
      <c r="T327" s="300">
        <v>1</v>
      </c>
      <c r="U327" s="298">
        <v>0.54</v>
      </c>
      <c r="V327" s="299" t="str" cm="1">
        <f t="array" aca="1" ref="V327" ca="1">INDIRECT("'"&amp;$C327&amp;"'!"&amp;"$"&amp;$D327&amp;$V$1&amp;"")</f>
        <v>CMS</v>
      </c>
      <c r="W327" s="300" t="s">
        <v>1</v>
      </c>
      <c r="X327" s="300" t="s">
        <v>1</v>
      </c>
      <c r="Y327" s="301" t="s">
        <v>1</v>
      </c>
      <c r="Z327" s="387" cm="1">
        <f t="array" aca="1" ref="Z327" ca="1">INDIRECT("'"&amp;$C327&amp;"'!"&amp;"$"&amp;$D327&amp;$Z$1&amp;"")</f>
        <v>0</v>
      </c>
      <c r="AA327" s="299" t="s">
        <v>1</v>
      </c>
      <c r="AB327" s="300" t="s">
        <v>1</v>
      </c>
      <c r="AC327" s="298" t="s">
        <v>1</v>
      </c>
      <c r="AD327" s="299" cm="1">
        <f t="array" aca="1" ref="AD327" ca="1">INDIRECT("'"&amp;$C327&amp;"'!"&amp;"$"&amp;$D327&amp;$AD$1&amp;"")</f>
        <v>3.3</v>
      </c>
      <c r="AE327" s="300">
        <f>3.8*3.63</f>
        <v>13.793999999999999</v>
      </c>
      <c r="AF327" s="300">
        <v>0.99</v>
      </c>
      <c r="AG327" s="298">
        <v>0.43</v>
      </c>
      <c r="AH327" s="297" cm="1">
        <f t="array" aca="1" ref="AH327" ca="1">INDIRECT("'"&amp;$C327&amp;"'!"&amp;"$"&amp;$D327&amp;$AH$1&amp;"")</f>
        <v>3.8</v>
      </c>
      <c r="AI327" s="300">
        <v>13.92</v>
      </c>
      <c r="AJ327" s="300">
        <v>0.98</v>
      </c>
      <c r="AK327" s="298">
        <v>0.78400000000000003</v>
      </c>
      <c r="AL327" s="297">
        <v>11.9</v>
      </c>
      <c r="AM327" s="301">
        <v>70.7</v>
      </c>
      <c r="AN327" s="297" cm="1">
        <f t="array" aca="1" ref="AN327" ca="1">INDIRECT("'"&amp;$C327&amp;"'!"&amp;"$"&amp;$D327&amp;$AL$1&amp;"")</f>
        <v>3.9</v>
      </c>
      <c r="AO327" s="300">
        <v>0.99</v>
      </c>
      <c r="AP327" s="298">
        <v>0.63</v>
      </c>
      <c r="AQ327" s="299" cm="1">
        <f t="array" aca="1" ref="AQ327" ca="1">INDIRECT("'"&amp;$C327&amp;"'!"&amp;"$"&amp;$D327&amp;$AQ$1&amp;"")</f>
        <v>3.9</v>
      </c>
      <c r="AR327" s="300">
        <v>0.99</v>
      </c>
      <c r="AS327" s="298">
        <v>0.56000000000000005</v>
      </c>
      <c r="AT327" s="297" t="s">
        <v>1</v>
      </c>
      <c r="AU327" s="301">
        <v>70.3</v>
      </c>
      <c r="AV327" s="297" t="str" cm="1">
        <f t="array" aca="1" ref="AV327" ca="1">INDIRECT("'"&amp;$C327&amp;"'!"&amp;"$"&amp;$D327&amp;$AT$1&amp;"")</f>
        <v>PMS</v>
      </c>
      <c r="AW327" s="300" t="s">
        <v>1</v>
      </c>
      <c r="AX327" s="301" t="s">
        <v>1</v>
      </c>
      <c r="AY327" s="387">
        <v>69.900000000000006</v>
      </c>
      <c r="AZ327" s="303" cm="1">
        <f t="array" aca="1" ref="AZ327" ca="1">INDIRECT("'"&amp;$C327&amp;"'!"&amp;"$"&amp;$D327&amp;$AY$1&amp;"")</f>
        <v>5.0999999999999996</v>
      </c>
      <c r="BA327" s="300">
        <v>0.98</v>
      </c>
      <c r="BB327" s="298">
        <v>1</v>
      </c>
      <c r="BC327" s="299" cm="1">
        <f t="array" aca="1" ref="BC327" ca="1">INDIRECT("'"&amp;$C327&amp;"'!"&amp;"$"&amp;$D327&amp;$BC$1&amp;"")</f>
        <v>1.41</v>
      </c>
      <c r="BD327" s="300"/>
      <c r="BE327" s="300">
        <v>0.99</v>
      </c>
      <c r="BF327" s="298">
        <v>0.16</v>
      </c>
      <c r="BG327" s="299" cm="1">
        <f t="array" aca="1" ref="BG327" ca="1">INDIRECT("'"&amp;$C327&amp;"'!"&amp;"$"&amp;$D327&amp;$BG$1&amp;"")</f>
        <v>0.92</v>
      </c>
      <c r="BH327" s="300"/>
      <c r="BI327" s="300">
        <v>0.97</v>
      </c>
      <c r="BJ327" s="298">
        <v>0.23</v>
      </c>
      <c r="BK327" s="297" cm="1">
        <f t="array" aca="1" ref="BK327" ca="1">INDIRECT("'"&amp;$C327&amp;"'!"&amp;"$"&amp;$D327&amp;$BK$1&amp;"")</f>
        <v>4.3899999999999997</v>
      </c>
      <c r="BL327" s="300"/>
      <c r="BM327" s="300">
        <v>0.98</v>
      </c>
      <c r="BN327" s="298">
        <v>0.91</v>
      </c>
    </row>
    <row r="328" spans="1:66" ht="15.75" thickBot="1" x14ac:dyDescent="0.25">
      <c r="A328" s="369">
        <v>45701</v>
      </c>
      <c r="B328" s="366">
        <v>0.95833333333333404</v>
      </c>
      <c r="C328" s="383">
        <v>13</v>
      </c>
      <c r="D328" s="321" t="s">
        <v>133</v>
      </c>
      <c r="E328" s="305">
        <v>14.1</v>
      </c>
      <c r="F328" s="306">
        <v>70.930000000000007</v>
      </c>
      <c r="G328" s="307" cm="1">
        <f t="array" aca="1" ref="G328" ca="1">INDIRECT("'"&amp;$C328&amp;"'!"&amp;"$"&amp;$D328&amp;$E$1&amp;"")</f>
        <v>6.4</v>
      </c>
      <c r="H328" s="308">
        <v>1</v>
      </c>
      <c r="I328" s="306">
        <v>0.49</v>
      </c>
      <c r="J328" s="307" t="str" cm="1">
        <f t="array" aca="1" ref="J328" ca="1">INDIRECT("'"&amp;$C328&amp;"'!"&amp;"$"&amp;$D328&amp;$J$1&amp;"")</f>
        <v>CMS</v>
      </c>
      <c r="K328" s="308"/>
      <c r="L328" s="308" t="s">
        <v>1</v>
      </c>
      <c r="M328" s="306" t="s">
        <v>1</v>
      </c>
      <c r="N328" s="307" cm="1">
        <f t="array" aca="1" ref="N328" ca="1">INDIRECT("'"&amp;$C328&amp;"'!"&amp;"$"&amp;$D328&amp;$N$1&amp;"")</f>
        <v>6.4</v>
      </c>
      <c r="O328" s="308"/>
      <c r="P328" s="308">
        <v>1</v>
      </c>
      <c r="Q328" s="306">
        <v>0.49</v>
      </c>
      <c r="R328" s="307" cm="1">
        <f t="array" aca="1" ref="R328" ca="1">INDIRECT("'"&amp;$C328&amp;"'!"&amp;"$"&amp;$D328&amp;$R$1&amp;"")</f>
        <v>6.4</v>
      </c>
      <c r="S328" s="308"/>
      <c r="T328" s="308">
        <v>1</v>
      </c>
      <c r="U328" s="306">
        <v>0.49</v>
      </c>
      <c r="V328" s="307" t="str" cm="1">
        <f t="array" aca="1" ref="V328" ca="1">INDIRECT("'"&amp;$C328&amp;"'!"&amp;"$"&amp;$D328&amp;$V$1&amp;"")</f>
        <v>CMS</v>
      </c>
      <c r="W328" s="308" t="s">
        <v>1</v>
      </c>
      <c r="X328" s="308" t="s">
        <v>1</v>
      </c>
      <c r="Y328" s="309" t="s">
        <v>1</v>
      </c>
      <c r="Z328" s="389" cm="1">
        <f t="array" aca="1" ref="Z328" ca="1">INDIRECT("'"&amp;$C328&amp;"'!"&amp;"$"&amp;$D328&amp;$Z$1&amp;"")</f>
        <v>0</v>
      </c>
      <c r="AA328" s="307" t="s">
        <v>1</v>
      </c>
      <c r="AB328" s="308" t="s">
        <v>1</v>
      </c>
      <c r="AC328" s="306" t="s">
        <v>1</v>
      </c>
      <c r="AD328" s="307" cm="1">
        <f t="array" aca="1" ref="AD328" ca="1">INDIRECT("'"&amp;$C328&amp;"'!"&amp;"$"&amp;$D328&amp;$AD$1&amp;"")</f>
        <v>3.3</v>
      </c>
      <c r="AE328" s="308">
        <f>3.8*3.63</f>
        <v>13.793999999999999</v>
      </c>
      <c r="AF328" s="308">
        <v>0.99</v>
      </c>
      <c r="AG328" s="309">
        <v>0.38</v>
      </c>
      <c r="AH328" s="305" cm="1">
        <f t="array" aca="1" ref="AH328" ca="1">INDIRECT("'"&amp;$C328&amp;"'!"&amp;"$"&amp;$D328&amp;$AH$1&amp;"")</f>
        <v>3.8</v>
      </c>
      <c r="AI328" s="308">
        <v>13.92</v>
      </c>
      <c r="AJ328" s="308">
        <v>0.98</v>
      </c>
      <c r="AK328" s="306">
        <v>0.69599999999999995</v>
      </c>
      <c r="AL328" s="305">
        <v>11.9</v>
      </c>
      <c r="AM328" s="309">
        <v>71</v>
      </c>
      <c r="AN328" s="305" cm="1">
        <f t="array" aca="1" ref="AN328" ca="1">INDIRECT("'"&amp;$C328&amp;"'!"&amp;"$"&amp;$D328&amp;$AL$1&amp;"")</f>
        <v>3.8</v>
      </c>
      <c r="AO328" s="308">
        <v>0.99</v>
      </c>
      <c r="AP328" s="306">
        <v>0.46</v>
      </c>
      <c r="AQ328" s="307" cm="1">
        <f t="array" aca="1" ref="AQ328" ca="1">INDIRECT("'"&amp;$C328&amp;"'!"&amp;"$"&amp;$D328&amp;$AQ$1&amp;"")</f>
        <v>3.8</v>
      </c>
      <c r="AR328" s="308">
        <v>0.99</v>
      </c>
      <c r="AS328" s="306">
        <v>0.46</v>
      </c>
      <c r="AT328" s="305" t="s">
        <v>1</v>
      </c>
      <c r="AU328" s="309">
        <v>70.3</v>
      </c>
      <c r="AV328" s="305" t="str" cm="1">
        <f t="array" aca="1" ref="AV328" ca="1">INDIRECT("'"&amp;$C328&amp;"'!"&amp;"$"&amp;$D328&amp;$AT$1&amp;"")</f>
        <v>PMS</v>
      </c>
      <c r="AW328" s="308" t="s">
        <v>1</v>
      </c>
      <c r="AX328" s="306" t="s">
        <v>1</v>
      </c>
      <c r="AY328" s="384">
        <v>70</v>
      </c>
      <c r="AZ328" s="310" cm="1">
        <f t="array" aca="1" ref="AZ328" ca="1">INDIRECT("'"&amp;$C328&amp;"'!"&amp;"$"&amp;$D328&amp;$AY$1&amp;"")</f>
        <v>2.7</v>
      </c>
      <c r="BA328" s="308">
        <v>0.98</v>
      </c>
      <c r="BB328" s="306">
        <v>0.56000000000000005</v>
      </c>
      <c r="BC328" s="307" cm="1">
        <f t="array" aca="1" ref="BC328" ca="1">INDIRECT("'"&amp;$C328&amp;"'!"&amp;"$"&amp;$D328&amp;$BC$1&amp;"")</f>
        <v>1.08</v>
      </c>
      <c r="BD328" s="308"/>
      <c r="BE328" s="308">
        <v>0.99</v>
      </c>
      <c r="BF328" s="306">
        <v>0.16</v>
      </c>
      <c r="BG328" s="307" cm="1">
        <f t="array" aca="1" ref="BG328" ca="1">INDIRECT("'"&amp;$C328&amp;"'!"&amp;"$"&amp;$D328&amp;$BG$1&amp;"")</f>
        <v>0.87</v>
      </c>
      <c r="BH328" s="308"/>
      <c r="BI328" s="308">
        <v>0.97</v>
      </c>
      <c r="BJ328" s="306">
        <v>0.22</v>
      </c>
      <c r="BK328" s="305" cm="1">
        <f t="array" aca="1" ref="BK328" ca="1">INDIRECT("'"&amp;$C328&amp;"'!"&amp;"$"&amp;$D328&amp;$BK$1&amp;"")</f>
        <v>3.83</v>
      </c>
      <c r="BL328" s="308"/>
      <c r="BM328" s="308">
        <v>0.98</v>
      </c>
      <c r="BN328" s="306">
        <v>0.78</v>
      </c>
    </row>
    <row r="329" spans="1:66" ht="15" thickBot="1" x14ac:dyDescent="0.25"/>
    <row r="330" spans="1:66" ht="15.75" thickBot="1" x14ac:dyDescent="0.25">
      <c r="A330" s="367">
        <v>45702</v>
      </c>
      <c r="B330" s="364">
        <v>0</v>
      </c>
      <c r="C330" s="383">
        <v>14</v>
      </c>
      <c r="D330" s="316" t="s">
        <v>110</v>
      </c>
      <c r="E330" s="284">
        <v>14.1</v>
      </c>
      <c r="F330" s="285">
        <v>70.88</v>
      </c>
      <c r="G330" s="286" cm="1">
        <f t="array" aca="1" ref="G330" ca="1">INDIRECT("'"&amp;$C330&amp;"'!"&amp;"$"&amp;$D330&amp;$E$1&amp;"")</f>
        <v>6.8</v>
      </c>
      <c r="H330" s="287">
        <v>1</v>
      </c>
      <c r="I330" s="285">
        <v>0</v>
      </c>
      <c r="J330" s="286" t="str" cm="1">
        <f t="array" aca="1" ref="J330" ca="1">INDIRECT("'"&amp;$C330&amp;"'!"&amp;"$"&amp;$D330&amp;$J$1&amp;"")</f>
        <v>CMS</v>
      </c>
      <c r="K330" s="287"/>
      <c r="L330" s="287" t="s">
        <v>1</v>
      </c>
      <c r="M330" s="285" t="s">
        <v>1</v>
      </c>
      <c r="N330" s="286" cm="1">
        <f t="array" aca="1" ref="N330" ca="1">INDIRECT("'"&amp;$C330&amp;"'!"&amp;"$"&amp;$D330&amp;$N$1&amp;"")</f>
        <v>6.8</v>
      </c>
      <c r="O330" s="287"/>
      <c r="P330" s="287">
        <v>1</v>
      </c>
      <c r="Q330" s="285">
        <v>0</v>
      </c>
      <c r="R330" s="286" cm="1">
        <f t="array" aca="1" ref="R330" ca="1">INDIRECT("'"&amp;$C330&amp;"'!"&amp;"$"&amp;$D330&amp;$R$1&amp;"")</f>
        <v>6.8</v>
      </c>
      <c r="S330" s="287"/>
      <c r="T330" s="287">
        <v>1</v>
      </c>
      <c r="U330" s="285">
        <v>0</v>
      </c>
      <c r="V330" s="286" t="str" cm="1">
        <f t="array" aca="1" ref="V330" ca="1">INDIRECT("'"&amp;$C330&amp;"'!"&amp;"$"&amp;$D330&amp;$V$1&amp;"")</f>
        <v>CMS</v>
      </c>
      <c r="W330" s="287" t="s">
        <v>1</v>
      </c>
      <c r="X330" s="287" t="s">
        <v>1</v>
      </c>
      <c r="Y330" s="288" t="s">
        <v>1</v>
      </c>
      <c r="Z330" s="385" cm="1">
        <f t="array" aca="1" ref="Z330" ca="1">INDIRECT("'"&amp;$C330&amp;"'!"&amp;"$"&amp;$D330&amp;$Z$1&amp;"")</f>
        <v>0</v>
      </c>
      <c r="AA330" s="286" t="s">
        <v>1</v>
      </c>
      <c r="AB330" s="287" t="s">
        <v>1</v>
      </c>
      <c r="AC330" s="285" t="s">
        <v>1</v>
      </c>
      <c r="AD330" s="286" cm="1">
        <f t="array" aca="1" ref="AD330" ca="1">INDIRECT("'"&amp;$C330&amp;"'!"&amp;"$"&amp;$D330&amp;$AD$1&amp;"")</f>
        <v>3.3</v>
      </c>
      <c r="AE330" s="287">
        <f>3.8*3.64</f>
        <v>13.831999999999999</v>
      </c>
      <c r="AF330" s="287">
        <v>0.99</v>
      </c>
      <c r="AG330" s="285">
        <v>0.4</v>
      </c>
      <c r="AH330" s="284" t="str" cm="1">
        <f t="array" aca="1" ref="AH330" ca="1">INDIRECT("'"&amp;$C330&amp;"'!"&amp;"$"&amp;$D330&amp;$AH$1&amp;"")</f>
        <v>CMS</v>
      </c>
      <c r="AI330" s="287" t="s">
        <v>1</v>
      </c>
      <c r="AJ330" s="287" t="s">
        <v>1</v>
      </c>
      <c r="AK330" s="285" t="s">
        <v>1</v>
      </c>
      <c r="AL330" s="284">
        <v>11.9</v>
      </c>
      <c r="AM330" s="288">
        <v>70.5</v>
      </c>
      <c r="AN330" s="284" cm="1">
        <f t="array" aca="1" ref="AN330" ca="1">INDIRECT("'"&amp;$C330&amp;"'!"&amp;"$"&amp;$D330&amp;$AL$1&amp;"")</f>
        <v>4.2</v>
      </c>
      <c r="AO330" s="287">
        <v>0.98</v>
      </c>
      <c r="AP330" s="285">
        <v>0.79</v>
      </c>
      <c r="AQ330" s="286" cm="1">
        <f t="array" aca="1" ref="AQ330" ca="1">INDIRECT("'"&amp;$C330&amp;"'!"&amp;"$"&amp;$D330&amp;$AQ$1&amp;"")</f>
        <v>4.2</v>
      </c>
      <c r="AR330" s="287">
        <v>0.98</v>
      </c>
      <c r="AS330" s="285">
        <v>0.79</v>
      </c>
      <c r="AT330" s="284" t="s">
        <v>1</v>
      </c>
      <c r="AU330" s="381">
        <v>69.900000000000006</v>
      </c>
      <c r="AV330" s="284" t="str" cm="1">
        <f t="array" aca="1" ref="AV330" ca="1">INDIRECT("'"&amp;$C330&amp;"'!"&amp;"$"&amp;$D330&amp;$AT$1&amp;"")</f>
        <v>PMS</v>
      </c>
      <c r="AW330" s="287" t="s">
        <v>1</v>
      </c>
      <c r="AX330" s="288" t="s">
        <v>1</v>
      </c>
      <c r="AY330" s="385">
        <v>70</v>
      </c>
      <c r="AZ330" s="381" cm="1">
        <f t="array" aca="1" ref="AZ330" ca="1">INDIRECT("'"&amp;$C330&amp;"'!"&amp;"$"&amp;$D330&amp;$AY$1&amp;"")</f>
        <v>0.95</v>
      </c>
      <c r="BA330" s="287">
        <v>0.98</v>
      </c>
      <c r="BB330" s="285">
        <v>0.2</v>
      </c>
      <c r="BC330" s="286" cm="1">
        <f t="array" aca="1" ref="BC330" ca="1">INDIRECT("'"&amp;$C330&amp;"'!"&amp;"$"&amp;$D330&amp;$BC$1&amp;"")</f>
        <v>0.96</v>
      </c>
      <c r="BD330" s="287"/>
      <c r="BE330" s="287">
        <v>0.99</v>
      </c>
      <c r="BF330" s="285">
        <v>0.15</v>
      </c>
      <c r="BG330" s="286" cm="1">
        <f t="array" aca="1" ref="BG330" ca="1">INDIRECT("'"&amp;$C330&amp;"'!"&amp;"$"&amp;$D330&amp;$BG$1&amp;"")</f>
        <v>0.8</v>
      </c>
      <c r="BH330" s="287"/>
      <c r="BI330" s="287">
        <v>0.97</v>
      </c>
      <c r="BJ330" s="285">
        <v>0.2</v>
      </c>
      <c r="BK330" s="284" cm="1">
        <f t="array" aca="1" ref="BK330" ca="1">INDIRECT("'"&amp;$C330&amp;"'!"&amp;"$"&amp;$D330&amp;$BK$1&amp;"")</f>
        <v>3.49</v>
      </c>
      <c r="BL330" s="287"/>
      <c r="BM330" s="287">
        <v>0.98</v>
      </c>
      <c r="BN330" s="285">
        <v>0.72</v>
      </c>
    </row>
    <row r="331" spans="1:66" ht="15.75" thickBot="1" x14ac:dyDescent="0.25">
      <c r="A331" s="368">
        <v>45702</v>
      </c>
      <c r="B331" s="365">
        <v>4.1666666666666699E-2</v>
      </c>
      <c r="C331" s="383">
        <v>14</v>
      </c>
      <c r="D331" s="319" t="s">
        <v>111</v>
      </c>
      <c r="E331" s="290">
        <v>14.2</v>
      </c>
      <c r="F331" s="291">
        <v>71.3</v>
      </c>
      <c r="G331" s="292" cm="1">
        <f t="array" aca="1" ref="G331" ca="1">INDIRECT("'"&amp;$C331&amp;"'!"&amp;"$"&amp;$D331&amp;$E$1&amp;"")</f>
        <v>6.6</v>
      </c>
      <c r="H331" s="293">
        <v>1</v>
      </c>
      <c r="I331" s="291">
        <v>0</v>
      </c>
      <c r="J331" s="292" t="str" cm="1">
        <f t="array" aca="1" ref="J331" ca="1">INDIRECT("'"&amp;$C331&amp;"'!"&amp;"$"&amp;$D331&amp;$J$1&amp;"")</f>
        <v>CMS</v>
      </c>
      <c r="K331" s="293"/>
      <c r="L331" s="293" t="s">
        <v>1</v>
      </c>
      <c r="M331" s="291" t="s">
        <v>1</v>
      </c>
      <c r="N331" s="292" cm="1">
        <f t="array" aca="1" ref="N331" ca="1">INDIRECT("'"&amp;$C331&amp;"'!"&amp;"$"&amp;$D331&amp;$N$1&amp;"")</f>
        <v>6.6</v>
      </c>
      <c r="O331" s="293"/>
      <c r="P331" s="293">
        <v>1</v>
      </c>
      <c r="Q331" s="291">
        <v>0</v>
      </c>
      <c r="R331" s="292" cm="1">
        <f t="array" aca="1" ref="R331" ca="1">INDIRECT("'"&amp;$C331&amp;"'!"&amp;"$"&amp;$D331&amp;$R$1&amp;"")</f>
        <v>6.6</v>
      </c>
      <c r="S331" s="293"/>
      <c r="T331" s="293">
        <v>1</v>
      </c>
      <c r="U331" s="291">
        <v>0</v>
      </c>
      <c r="V331" s="292" t="str" cm="1">
        <f t="array" aca="1" ref="V331" ca="1">INDIRECT("'"&amp;$C331&amp;"'!"&amp;"$"&amp;$D331&amp;$V$1&amp;"")</f>
        <v>CMS</v>
      </c>
      <c r="W331" s="293" t="s">
        <v>1</v>
      </c>
      <c r="X331" s="293" t="s">
        <v>1</v>
      </c>
      <c r="Y331" s="294" t="s">
        <v>1</v>
      </c>
      <c r="Z331" s="386" cm="1">
        <f t="array" aca="1" ref="Z331" ca="1">INDIRECT("'"&amp;$C331&amp;"'!"&amp;"$"&amp;$D331&amp;$Z$1&amp;"")</f>
        <v>0</v>
      </c>
      <c r="AA331" s="292" t="s">
        <v>1</v>
      </c>
      <c r="AB331" s="293" t="s">
        <v>1</v>
      </c>
      <c r="AC331" s="291" t="s">
        <v>1</v>
      </c>
      <c r="AD331" s="292" cm="1">
        <f t="array" aca="1" ref="AD331" ca="1">INDIRECT("'"&amp;$C331&amp;"'!"&amp;"$"&amp;$D331&amp;$AD$1&amp;"")</f>
        <v>3.3</v>
      </c>
      <c r="AE331" s="293">
        <f>3.8*3.66</f>
        <v>13.907999999999999</v>
      </c>
      <c r="AF331" s="293">
        <v>1</v>
      </c>
      <c r="AG331" s="294">
        <v>0</v>
      </c>
      <c r="AH331" s="290" t="str" cm="1">
        <f t="array" aca="1" ref="AH331" ca="1">INDIRECT("'"&amp;$C331&amp;"'!"&amp;"$"&amp;$D331&amp;$AH$1&amp;"")</f>
        <v>CMS</v>
      </c>
      <c r="AI331" s="293" t="s">
        <v>1</v>
      </c>
      <c r="AJ331" s="293" t="s">
        <v>1</v>
      </c>
      <c r="AK331" s="291" t="s">
        <v>1</v>
      </c>
      <c r="AL331" s="290">
        <v>11.9</v>
      </c>
      <c r="AM331" s="294">
        <v>71.2</v>
      </c>
      <c r="AN331" s="290" cm="1">
        <f t="array" aca="1" ref="AN331" ca="1">INDIRECT("'"&amp;$C331&amp;"'!"&amp;"$"&amp;$D331&amp;$AL$1&amp;"")</f>
        <v>3.8</v>
      </c>
      <c r="AO331" s="293">
        <v>0.98</v>
      </c>
      <c r="AP331" s="291">
        <v>0.54</v>
      </c>
      <c r="AQ331" s="292" cm="1">
        <f t="array" aca="1" ref="AQ331" ca="1">INDIRECT("'"&amp;$C331&amp;"'!"&amp;"$"&amp;$D331&amp;$AQ$1&amp;"")</f>
        <v>3.8</v>
      </c>
      <c r="AR331" s="293">
        <v>0.98</v>
      </c>
      <c r="AS331" s="291">
        <v>0.53</v>
      </c>
      <c r="AT331" s="290" t="s">
        <v>1</v>
      </c>
      <c r="AU331" s="296">
        <v>70</v>
      </c>
      <c r="AV331" s="290" t="str" cm="1">
        <f t="array" aca="1" ref="AV331" ca="1">INDIRECT("'"&amp;$C331&amp;"'!"&amp;"$"&amp;$D331&amp;$AT$1&amp;"")</f>
        <v>PMS</v>
      </c>
      <c r="AW331" s="293" t="s">
        <v>1</v>
      </c>
      <c r="AX331" s="294" t="s">
        <v>1</v>
      </c>
      <c r="AY331" s="386">
        <v>70.3</v>
      </c>
      <c r="AZ331" s="296" cm="1">
        <f t="array" aca="1" ref="AZ331" ca="1">INDIRECT("'"&amp;$C331&amp;"'!"&amp;"$"&amp;$D331&amp;$AY$1&amp;"")</f>
        <v>0</v>
      </c>
      <c r="BA331" s="293" t="s">
        <v>1</v>
      </c>
      <c r="BB331" s="291" t="s">
        <v>1</v>
      </c>
      <c r="BC331" s="292" cm="1">
        <f t="array" aca="1" ref="BC331" ca="1">INDIRECT("'"&amp;$C331&amp;"'!"&amp;"$"&amp;$D331&amp;$BC$1&amp;"")</f>
        <v>0.9</v>
      </c>
      <c r="BD331" s="293"/>
      <c r="BE331" s="293">
        <v>0.99</v>
      </c>
      <c r="BF331" s="291">
        <v>0.13</v>
      </c>
      <c r="BG331" s="292" cm="1">
        <f t="array" aca="1" ref="BG331" ca="1">INDIRECT("'"&amp;$C331&amp;"'!"&amp;"$"&amp;$D331&amp;$BG$1&amp;"")</f>
        <v>0.76</v>
      </c>
      <c r="BH331" s="293"/>
      <c r="BI331" s="293">
        <v>0.96</v>
      </c>
      <c r="BJ331" s="291">
        <v>0.19</v>
      </c>
      <c r="BK331" s="290" cm="1">
        <f t="array" aca="1" ref="BK331" ca="1">INDIRECT("'"&amp;$C331&amp;"'!"&amp;"$"&amp;$D331&amp;$BK$1&amp;"")</f>
        <v>3.25</v>
      </c>
      <c r="BL331" s="293"/>
      <c r="BM331" s="293">
        <v>0.98</v>
      </c>
      <c r="BN331" s="291">
        <v>0.67</v>
      </c>
    </row>
    <row r="332" spans="1:66" ht="15.75" thickBot="1" x14ac:dyDescent="0.25">
      <c r="A332" s="368">
        <v>45702</v>
      </c>
      <c r="B332" s="365">
        <v>8.3333333333333301E-2</v>
      </c>
      <c r="C332" s="383">
        <v>14</v>
      </c>
      <c r="D332" s="319" t="s">
        <v>112</v>
      </c>
      <c r="E332" s="297">
        <v>14.1</v>
      </c>
      <c r="F332" s="298">
        <v>70.900000000000006</v>
      </c>
      <c r="G332" s="299" cm="1">
        <f t="array" aca="1" ref="G332" ca="1">INDIRECT("'"&amp;$C332&amp;"'!"&amp;"$"&amp;$D332&amp;$E$1&amp;"")</f>
        <v>6.7</v>
      </c>
      <c r="H332" s="300">
        <v>1</v>
      </c>
      <c r="I332" s="298">
        <v>0</v>
      </c>
      <c r="J332" s="299" t="str" cm="1">
        <f t="array" aca="1" ref="J332" ca="1">INDIRECT("'"&amp;$C332&amp;"'!"&amp;"$"&amp;$D332&amp;$J$1&amp;"")</f>
        <v>CMS</v>
      </c>
      <c r="K332" s="300"/>
      <c r="L332" s="300" t="s">
        <v>1</v>
      </c>
      <c r="M332" s="298" t="s">
        <v>1</v>
      </c>
      <c r="N332" s="299" cm="1">
        <f t="array" aca="1" ref="N332" ca="1">INDIRECT("'"&amp;$C332&amp;"'!"&amp;"$"&amp;$D332&amp;$N$1&amp;"")</f>
        <v>6.7</v>
      </c>
      <c r="O332" s="300"/>
      <c r="P332" s="300">
        <v>1</v>
      </c>
      <c r="Q332" s="298">
        <v>0</v>
      </c>
      <c r="R332" s="299" cm="1">
        <f t="array" aca="1" ref="R332" ca="1">INDIRECT("'"&amp;$C332&amp;"'!"&amp;"$"&amp;$D332&amp;$R$1&amp;"")</f>
        <v>6.7</v>
      </c>
      <c r="S332" s="300"/>
      <c r="T332" s="300">
        <v>1</v>
      </c>
      <c r="U332" s="298">
        <v>0</v>
      </c>
      <c r="V332" s="299" t="str" cm="1">
        <f t="array" aca="1" ref="V332" ca="1">INDIRECT("'"&amp;$C332&amp;"'!"&amp;"$"&amp;$D332&amp;$V$1&amp;"")</f>
        <v>CMS</v>
      </c>
      <c r="W332" s="300" t="s">
        <v>1</v>
      </c>
      <c r="X332" s="300" t="s">
        <v>1</v>
      </c>
      <c r="Y332" s="301" t="s">
        <v>1</v>
      </c>
      <c r="Z332" s="387" cm="1">
        <f t="array" aca="1" ref="Z332" ca="1">INDIRECT("'"&amp;$C332&amp;"'!"&amp;"$"&amp;$D332&amp;$Z$1&amp;"")</f>
        <v>0</v>
      </c>
      <c r="AA332" s="299" t="s">
        <v>1</v>
      </c>
      <c r="AB332" s="300" t="s">
        <v>1</v>
      </c>
      <c r="AC332" s="298" t="s">
        <v>1</v>
      </c>
      <c r="AD332" s="299" cm="1">
        <f t="array" aca="1" ref="AD332" ca="1">INDIRECT("'"&amp;$C332&amp;"'!"&amp;"$"&amp;$D332&amp;$AD$1&amp;"")</f>
        <v>3.3</v>
      </c>
      <c r="AE332" s="300">
        <f>3.8*3.65</f>
        <v>13.87</v>
      </c>
      <c r="AF332" s="300">
        <v>1</v>
      </c>
      <c r="AG332" s="301">
        <v>0</v>
      </c>
      <c r="AH332" s="297" t="str" cm="1">
        <f t="array" aca="1" ref="AH332" ca="1">INDIRECT("'"&amp;$C332&amp;"'!"&amp;"$"&amp;$D332&amp;$AH$1&amp;"")</f>
        <v>CMS</v>
      </c>
      <c r="AI332" s="300" t="s">
        <v>1</v>
      </c>
      <c r="AJ332" s="300" t="s">
        <v>1</v>
      </c>
      <c r="AK332" s="298" t="s">
        <v>1</v>
      </c>
      <c r="AL332" s="297">
        <v>11.8</v>
      </c>
      <c r="AM332" s="301">
        <v>70.7</v>
      </c>
      <c r="AN332" s="297" cm="1">
        <f t="array" aca="1" ref="AN332" ca="1">INDIRECT("'"&amp;$C332&amp;"'!"&amp;"$"&amp;$D332&amp;$AL$1&amp;"")</f>
        <v>3.1</v>
      </c>
      <c r="AO332" s="300">
        <v>0.99</v>
      </c>
      <c r="AP332" s="298">
        <v>0.47</v>
      </c>
      <c r="AQ332" s="299" cm="1">
        <f t="array" aca="1" ref="AQ332" ca="1">INDIRECT("'"&amp;$C332&amp;"'!"&amp;"$"&amp;$D332&amp;$AQ$1&amp;"")</f>
        <v>3.1</v>
      </c>
      <c r="AR332" s="300">
        <v>0.99</v>
      </c>
      <c r="AS332" s="298">
        <v>0.47</v>
      </c>
      <c r="AT332" s="297" t="s">
        <v>1</v>
      </c>
      <c r="AU332" s="303">
        <v>69.900000000000006</v>
      </c>
      <c r="AV332" s="297" t="str" cm="1">
        <f t="array" aca="1" ref="AV332" ca="1">INDIRECT("'"&amp;$C332&amp;"'!"&amp;"$"&amp;$D332&amp;$AT$1&amp;"")</f>
        <v>PMS</v>
      </c>
      <c r="AW332" s="300" t="s">
        <v>1</v>
      </c>
      <c r="AX332" s="301" t="s">
        <v>1</v>
      </c>
      <c r="AY332" s="387">
        <v>70.3</v>
      </c>
      <c r="AZ332" s="303" cm="1">
        <f t="array" aca="1" ref="AZ332" ca="1">INDIRECT("'"&amp;$C332&amp;"'!"&amp;"$"&amp;$D332&amp;$AY$1&amp;"")</f>
        <v>0</v>
      </c>
      <c r="BA332" s="300" t="s">
        <v>1</v>
      </c>
      <c r="BB332" s="298" t="s">
        <v>1</v>
      </c>
      <c r="BC332" s="299" cm="1">
        <f t="array" aca="1" ref="BC332" ca="1">INDIRECT("'"&amp;$C332&amp;"'!"&amp;"$"&amp;$D332&amp;$BC$1&amp;"")</f>
        <v>0.84</v>
      </c>
      <c r="BD332" s="300"/>
      <c r="BE332" s="300">
        <v>0.99</v>
      </c>
      <c r="BF332" s="298">
        <v>0.12</v>
      </c>
      <c r="BG332" s="299" cm="1">
        <f t="array" aca="1" ref="BG332" ca="1">INDIRECT("'"&amp;$C332&amp;"'!"&amp;"$"&amp;$D332&amp;$BG$1&amp;"")</f>
        <v>0.7</v>
      </c>
      <c r="BH332" s="300"/>
      <c r="BI332" s="300">
        <v>0.96</v>
      </c>
      <c r="BJ332" s="298">
        <v>0.18</v>
      </c>
      <c r="BK332" s="297" cm="1">
        <f t="array" aca="1" ref="BK332" ca="1">INDIRECT("'"&amp;$C332&amp;"'!"&amp;"$"&amp;$D332&amp;$BK$1&amp;"")</f>
        <v>2.92</v>
      </c>
      <c r="BL332" s="300"/>
      <c r="BM332" s="300">
        <v>0.98</v>
      </c>
      <c r="BN332" s="298">
        <v>0.61</v>
      </c>
    </row>
    <row r="333" spans="1:66" ht="15.75" thickBot="1" x14ac:dyDescent="0.25">
      <c r="A333" s="368">
        <v>45702</v>
      </c>
      <c r="B333" s="365">
        <v>0.125</v>
      </c>
      <c r="C333" s="383">
        <v>14</v>
      </c>
      <c r="D333" s="319" t="s">
        <v>113</v>
      </c>
      <c r="E333" s="290">
        <v>14.1</v>
      </c>
      <c r="F333" s="291">
        <v>70.97</v>
      </c>
      <c r="G333" s="292" cm="1">
        <f t="array" aca="1" ref="G333" ca="1">INDIRECT("'"&amp;$C333&amp;"'!"&amp;"$"&amp;$D333&amp;$E$1&amp;"")</f>
        <v>6.6</v>
      </c>
      <c r="H333" s="293">
        <v>1</v>
      </c>
      <c r="I333" s="291">
        <v>0</v>
      </c>
      <c r="J333" s="292" t="str" cm="1">
        <f t="array" aca="1" ref="J333" ca="1">INDIRECT("'"&amp;$C333&amp;"'!"&amp;"$"&amp;$D333&amp;$J$1&amp;"")</f>
        <v>CMS</v>
      </c>
      <c r="K333" s="293"/>
      <c r="L333" s="293" t="s">
        <v>1</v>
      </c>
      <c r="M333" s="291" t="s">
        <v>1</v>
      </c>
      <c r="N333" s="292" cm="1">
        <f t="array" aca="1" ref="N333" ca="1">INDIRECT("'"&amp;$C333&amp;"'!"&amp;"$"&amp;$D333&amp;$N$1&amp;"")</f>
        <v>6.6</v>
      </c>
      <c r="O333" s="293"/>
      <c r="P333" s="293">
        <v>1</v>
      </c>
      <c r="Q333" s="291">
        <v>0</v>
      </c>
      <c r="R333" s="292" cm="1">
        <f t="array" aca="1" ref="R333" ca="1">INDIRECT("'"&amp;$C333&amp;"'!"&amp;"$"&amp;$D333&amp;$R$1&amp;"")</f>
        <v>6.6</v>
      </c>
      <c r="S333" s="293"/>
      <c r="T333" s="293">
        <v>1</v>
      </c>
      <c r="U333" s="291">
        <v>0</v>
      </c>
      <c r="V333" s="292" t="str" cm="1">
        <f t="array" aca="1" ref="V333" ca="1">INDIRECT("'"&amp;$C333&amp;"'!"&amp;"$"&amp;$D333&amp;$V$1&amp;"")</f>
        <v>CMS</v>
      </c>
      <c r="W333" s="293" t="s">
        <v>1</v>
      </c>
      <c r="X333" s="293" t="s">
        <v>1</v>
      </c>
      <c r="Y333" s="294" t="s">
        <v>1</v>
      </c>
      <c r="Z333" s="386" cm="1">
        <f t="array" aca="1" ref="Z333" ca="1">INDIRECT("'"&amp;$C333&amp;"'!"&amp;"$"&amp;$D333&amp;$Z$1&amp;"")</f>
        <v>0</v>
      </c>
      <c r="AA333" s="292" t="s">
        <v>1</v>
      </c>
      <c r="AB333" s="293" t="s">
        <v>1</v>
      </c>
      <c r="AC333" s="291" t="s">
        <v>1</v>
      </c>
      <c r="AD333" s="292" cm="1">
        <f t="array" aca="1" ref="AD333" ca="1">INDIRECT("'"&amp;$C333&amp;"'!"&amp;"$"&amp;$D333&amp;$AD$1&amp;"")</f>
        <v>3.3</v>
      </c>
      <c r="AE333" s="293">
        <f>3.8*3.65</f>
        <v>13.87</v>
      </c>
      <c r="AF333" s="293">
        <v>1</v>
      </c>
      <c r="AG333" s="294">
        <v>0</v>
      </c>
      <c r="AH333" s="290" t="str" cm="1">
        <f t="array" aca="1" ref="AH333" ca="1">INDIRECT("'"&amp;$C333&amp;"'!"&amp;"$"&amp;$D333&amp;$AH$1&amp;"")</f>
        <v>CMS</v>
      </c>
      <c r="AI333" s="293" t="s">
        <v>1</v>
      </c>
      <c r="AJ333" s="293" t="s">
        <v>1</v>
      </c>
      <c r="AK333" s="291" t="s">
        <v>1</v>
      </c>
      <c r="AL333" s="290">
        <v>11.8</v>
      </c>
      <c r="AM333" s="294">
        <v>70.7</v>
      </c>
      <c r="AN333" s="290" cm="1">
        <f t="array" aca="1" ref="AN333" ca="1">INDIRECT("'"&amp;$C333&amp;"'!"&amp;"$"&amp;$D333&amp;$AL$1&amp;"")</f>
        <v>3.1</v>
      </c>
      <c r="AO333" s="293">
        <v>0.98</v>
      </c>
      <c r="AP333" s="291">
        <v>0.54</v>
      </c>
      <c r="AQ333" s="292" cm="1">
        <f t="array" aca="1" ref="AQ333" ca="1">INDIRECT("'"&amp;$C333&amp;"'!"&amp;"$"&amp;$D333&amp;$AQ$1&amp;"")</f>
        <v>3.1</v>
      </c>
      <c r="AR333" s="293">
        <v>0.98</v>
      </c>
      <c r="AS333" s="291">
        <v>0.54</v>
      </c>
      <c r="AT333" s="290" t="s">
        <v>1</v>
      </c>
      <c r="AU333" s="296">
        <v>69.7</v>
      </c>
      <c r="AV333" s="290" t="str" cm="1">
        <f t="array" aca="1" ref="AV333" ca="1">INDIRECT("'"&amp;$C333&amp;"'!"&amp;"$"&amp;$D333&amp;$AT$1&amp;"")</f>
        <v>PMS</v>
      </c>
      <c r="AW333" s="293" t="s">
        <v>1</v>
      </c>
      <c r="AX333" s="294" t="s">
        <v>1</v>
      </c>
      <c r="AY333" s="386">
        <v>70</v>
      </c>
      <c r="AZ333" s="296" cm="1">
        <f t="array" aca="1" ref="AZ333" ca="1">INDIRECT("'"&amp;$C333&amp;"'!"&amp;"$"&amp;$D333&amp;$AY$1&amp;"")</f>
        <v>0</v>
      </c>
      <c r="BA333" s="293" t="s">
        <v>1</v>
      </c>
      <c r="BB333" s="291" t="s">
        <v>1</v>
      </c>
      <c r="BC333" s="292" cm="1">
        <f t="array" aca="1" ref="BC333" ca="1">INDIRECT("'"&amp;$C333&amp;"'!"&amp;"$"&amp;$D333&amp;$BC$1&amp;"")</f>
        <v>0.82</v>
      </c>
      <c r="BD333" s="293"/>
      <c r="BE333" s="293">
        <v>0.99</v>
      </c>
      <c r="BF333" s="291">
        <v>0.1</v>
      </c>
      <c r="BG333" s="292" cm="1">
        <f t="array" aca="1" ref="BG333" ca="1">INDIRECT("'"&amp;$C333&amp;"'!"&amp;"$"&amp;$D333&amp;$BG$1&amp;"")</f>
        <v>0.67</v>
      </c>
      <c r="BH333" s="293"/>
      <c r="BI333" s="293">
        <v>0.96</v>
      </c>
      <c r="BJ333" s="291">
        <v>0.7</v>
      </c>
      <c r="BK333" s="290" cm="1">
        <f t="array" aca="1" ref="BK333" ca="1">INDIRECT("'"&amp;$C333&amp;"'!"&amp;"$"&amp;$D333&amp;$BK$1&amp;"")</f>
        <v>2.86</v>
      </c>
      <c r="BL333" s="293"/>
      <c r="BM333" s="293">
        <v>0.98</v>
      </c>
      <c r="BN333" s="291">
        <v>0.59</v>
      </c>
    </row>
    <row r="334" spans="1:66" ht="15.75" thickBot="1" x14ac:dyDescent="0.25">
      <c r="A334" s="368">
        <v>45702</v>
      </c>
      <c r="B334" s="365">
        <v>0.16666666666666699</v>
      </c>
      <c r="C334" s="383">
        <v>14</v>
      </c>
      <c r="D334" s="319" t="s">
        <v>114</v>
      </c>
      <c r="E334" s="297">
        <v>14.2</v>
      </c>
      <c r="F334" s="298">
        <v>71.17</v>
      </c>
      <c r="G334" s="299" cm="1">
        <f t="array" aca="1" ref="G334" ca="1">INDIRECT("'"&amp;$C334&amp;"'!"&amp;"$"&amp;$D334&amp;$E$1&amp;"")</f>
        <v>6.5</v>
      </c>
      <c r="H334" s="300">
        <v>1</v>
      </c>
      <c r="I334" s="298">
        <v>0</v>
      </c>
      <c r="J334" s="299" t="str" cm="1">
        <f t="array" aca="1" ref="J334" ca="1">INDIRECT("'"&amp;$C334&amp;"'!"&amp;"$"&amp;$D334&amp;$J$1&amp;"")</f>
        <v>CMS</v>
      </c>
      <c r="K334" s="300"/>
      <c r="L334" s="300" t="s">
        <v>1</v>
      </c>
      <c r="M334" s="298" t="s">
        <v>1</v>
      </c>
      <c r="N334" s="299" cm="1">
        <f t="array" aca="1" ref="N334" ca="1">INDIRECT("'"&amp;$C334&amp;"'!"&amp;"$"&amp;$D334&amp;$N$1&amp;"")</f>
        <v>6.5</v>
      </c>
      <c r="O334" s="300"/>
      <c r="P334" s="300">
        <v>1</v>
      </c>
      <c r="Q334" s="298">
        <v>0</v>
      </c>
      <c r="R334" s="299" cm="1">
        <f t="array" aca="1" ref="R334" ca="1">INDIRECT("'"&amp;$C334&amp;"'!"&amp;"$"&amp;$D334&amp;$R$1&amp;"")</f>
        <v>6.5</v>
      </c>
      <c r="S334" s="300"/>
      <c r="T334" s="300">
        <v>1</v>
      </c>
      <c r="U334" s="298">
        <v>0</v>
      </c>
      <c r="V334" s="299" t="str" cm="1">
        <f t="array" aca="1" ref="V334" ca="1">INDIRECT("'"&amp;$C334&amp;"'!"&amp;"$"&amp;$D334&amp;$V$1&amp;"")</f>
        <v>CMS</v>
      </c>
      <c r="W334" s="300" t="s">
        <v>1</v>
      </c>
      <c r="X334" s="300" t="s">
        <v>1</v>
      </c>
      <c r="Y334" s="301" t="s">
        <v>1</v>
      </c>
      <c r="Z334" s="387" cm="1">
        <f t="array" aca="1" ref="Z334" ca="1">INDIRECT("'"&amp;$C334&amp;"'!"&amp;"$"&amp;$D334&amp;$Z$1&amp;"")</f>
        <v>0</v>
      </c>
      <c r="AA334" s="299" t="s">
        <v>1</v>
      </c>
      <c r="AB334" s="300" t="s">
        <v>1</v>
      </c>
      <c r="AC334" s="298" t="s">
        <v>1</v>
      </c>
      <c r="AD334" s="299" cm="1">
        <f t="array" aca="1" ref="AD334" ca="1">INDIRECT("'"&amp;$C334&amp;"'!"&amp;"$"&amp;$D334&amp;$AD$1&amp;"")</f>
        <v>3.3</v>
      </c>
      <c r="AE334" s="300">
        <f t="shared" ref="AE334" si="4">3.8*3.65</f>
        <v>13.87</v>
      </c>
      <c r="AF334" s="300">
        <v>1</v>
      </c>
      <c r="AG334" s="301">
        <v>0</v>
      </c>
      <c r="AH334" s="297" t="str" cm="1">
        <f t="array" aca="1" ref="AH334" ca="1">INDIRECT("'"&amp;$C334&amp;"'!"&amp;"$"&amp;$D334&amp;$AH$1&amp;"")</f>
        <v>CMS</v>
      </c>
      <c r="AI334" s="300" t="s">
        <v>1</v>
      </c>
      <c r="AJ334" s="300" t="s">
        <v>1</v>
      </c>
      <c r="AK334" s="298" t="s">
        <v>1</v>
      </c>
      <c r="AL334" s="297">
        <v>11.8</v>
      </c>
      <c r="AM334" s="301">
        <v>70.900000000000006</v>
      </c>
      <c r="AN334" s="297" cm="1">
        <f t="array" aca="1" ref="AN334" ca="1">INDIRECT("'"&amp;$C334&amp;"'!"&amp;"$"&amp;$D334&amp;$AL$1&amp;"")</f>
        <v>2.9</v>
      </c>
      <c r="AO334" s="300">
        <v>0.99</v>
      </c>
      <c r="AP334" s="298">
        <v>0.48</v>
      </c>
      <c r="AQ334" s="299" cm="1">
        <f t="array" aca="1" ref="AQ334" ca="1">INDIRECT("'"&amp;$C334&amp;"'!"&amp;"$"&amp;$D334&amp;$AQ$1&amp;"")</f>
        <v>2.9</v>
      </c>
      <c r="AR334" s="300">
        <v>0.99</v>
      </c>
      <c r="AS334" s="298">
        <v>0.48</v>
      </c>
      <c r="AT334" s="297" t="s">
        <v>1</v>
      </c>
      <c r="AU334" s="303">
        <v>69.900000000000006</v>
      </c>
      <c r="AV334" s="297" t="str" cm="1">
        <f t="array" aca="1" ref="AV334" ca="1">INDIRECT("'"&amp;$C334&amp;"'!"&amp;"$"&amp;$D334&amp;$AT$1&amp;"")</f>
        <v>PMS</v>
      </c>
      <c r="AW334" s="300" t="s">
        <v>1</v>
      </c>
      <c r="AX334" s="301" t="s">
        <v>1</v>
      </c>
      <c r="AY334" s="387">
        <v>70.2</v>
      </c>
      <c r="AZ334" s="303" cm="1">
        <f t="array" aca="1" ref="AZ334" ca="1">INDIRECT("'"&amp;$C334&amp;"'!"&amp;"$"&amp;$D334&amp;$AY$1&amp;"")</f>
        <v>0</v>
      </c>
      <c r="BA334" s="300" t="s">
        <v>1</v>
      </c>
      <c r="BB334" s="298" t="s">
        <v>1</v>
      </c>
      <c r="BC334" s="299" cm="1">
        <f t="array" aca="1" ref="BC334" ca="1">INDIRECT("'"&amp;$C334&amp;"'!"&amp;"$"&amp;$D334&amp;$BC$1&amp;"")</f>
        <v>0.81</v>
      </c>
      <c r="BD334" s="300"/>
      <c r="BE334" s="300">
        <v>0.99</v>
      </c>
      <c r="BF334" s="298">
        <v>0.1</v>
      </c>
      <c r="BG334" s="299" cm="1">
        <f t="array" aca="1" ref="BG334" ca="1">INDIRECT("'"&amp;$C334&amp;"'!"&amp;"$"&amp;$D334&amp;$BG$1&amp;"")</f>
        <v>0.67</v>
      </c>
      <c r="BH334" s="300"/>
      <c r="BI334" s="300">
        <v>0.96</v>
      </c>
      <c r="BJ334" s="298">
        <v>0.18</v>
      </c>
      <c r="BK334" s="297" cm="1">
        <f t="array" aca="1" ref="BK334" ca="1">INDIRECT("'"&amp;$C334&amp;"'!"&amp;"$"&amp;$D334&amp;$BK$1&amp;"")</f>
        <v>2.84</v>
      </c>
      <c r="BL334" s="300"/>
      <c r="BM334" s="300">
        <v>0.98</v>
      </c>
      <c r="BN334" s="298">
        <v>0.57999999999999996</v>
      </c>
    </row>
    <row r="335" spans="1:66" ht="15.75" thickBot="1" x14ac:dyDescent="0.25">
      <c r="A335" s="368">
        <v>45702</v>
      </c>
      <c r="B335" s="365">
        <v>0.20833333333333301</v>
      </c>
      <c r="C335" s="383">
        <v>14</v>
      </c>
      <c r="D335" s="319" t="s">
        <v>115</v>
      </c>
      <c r="E335" s="290">
        <v>14</v>
      </c>
      <c r="F335" s="291">
        <v>70</v>
      </c>
      <c r="G335" s="292" cm="1">
        <f t="array" aca="1" ref="G335" ca="1">INDIRECT("'"&amp;$C335&amp;"'!"&amp;"$"&amp;$D335&amp;$E$1&amp;"")</f>
        <v>6.7</v>
      </c>
      <c r="H335" s="293">
        <v>1</v>
      </c>
      <c r="I335" s="291">
        <v>0</v>
      </c>
      <c r="J335" s="292" t="str" cm="1">
        <f t="array" aca="1" ref="J335" ca="1">INDIRECT("'"&amp;$C335&amp;"'!"&amp;"$"&amp;$D335&amp;$J$1&amp;"")</f>
        <v>CMS</v>
      </c>
      <c r="K335" s="293"/>
      <c r="L335" s="293" t="s">
        <v>1</v>
      </c>
      <c r="M335" s="291" t="s">
        <v>1</v>
      </c>
      <c r="N335" s="292" cm="1">
        <f t="array" aca="1" ref="N335" ca="1">INDIRECT("'"&amp;$C335&amp;"'!"&amp;"$"&amp;$D335&amp;$N$1&amp;"")</f>
        <v>6.7</v>
      </c>
      <c r="O335" s="293"/>
      <c r="P335" s="293">
        <v>1</v>
      </c>
      <c r="Q335" s="291">
        <v>0</v>
      </c>
      <c r="R335" s="292" cm="1">
        <f t="array" aca="1" ref="R335" ca="1">INDIRECT("'"&amp;$C335&amp;"'!"&amp;"$"&amp;$D335&amp;$R$1&amp;"")</f>
        <v>6.7</v>
      </c>
      <c r="S335" s="293"/>
      <c r="T335" s="293">
        <v>1</v>
      </c>
      <c r="U335" s="291">
        <v>0</v>
      </c>
      <c r="V335" s="292" t="str" cm="1">
        <f t="array" aca="1" ref="V335" ca="1">INDIRECT("'"&amp;$C335&amp;"'!"&amp;"$"&amp;$D335&amp;$V$1&amp;"")</f>
        <v>CMS</v>
      </c>
      <c r="W335" s="293" t="s">
        <v>1</v>
      </c>
      <c r="X335" s="293" t="s">
        <v>1</v>
      </c>
      <c r="Y335" s="294" t="s">
        <v>1</v>
      </c>
      <c r="Z335" s="386" cm="1">
        <f t="array" aca="1" ref="Z335" ca="1">INDIRECT("'"&amp;$C335&amp;"'!"&amp;"$"&amp;$D335&amp;$Z$1&amp;"")</f>
        <v>0</v>
      </c>
      <c r="AA335" s="292" t="s">
        <v>1</v>
      </c>
      <c r="AB335" s="293" t="s">
        <v>1</v>
      </c>
      <c r="AC335" s="291" t="s">
        <v>1</v>
      </c>
      <c r="AD335" s="292" cm="1">
        <f t="array" aca="1" ref="AD335" ca="1">INDIRECT("'"&amp;$C335&amp;"'!"&amp;"$"&amp;$D335&amp;$AD$1&amp;"")</f>
        <v>3.3</v>
      </c>
      <c r="AE335" s="293">
        <f>3.8*3.61</f>
        <v>13.717999999999998</v>
      </c>
      <c r="AF335" s="293">
        <v>1</v>
      </c>
      <c r="AG335" s="294">
        <v>0</v>
      </c>
      <c r="AH335" s="290" t="str" cm="1">
        <f t="array" aca="1" ref="AH335" ca="1">INDIRECT("'"&amp;$C335&amp;"'!"&amp;"$"&amp;$D335&amp;$AH$1&amp;"")</f>
        <v>CMS</v>
      </c>
      <c r="AI335" s="293" t="s">
        <v>1</v>
      </c>
      <c r="AJ335" s="293" t="s">
        <v>1</v>
      </c>
      <c r="AK335" s="291" t="s">
        <v>1</v>
      </c>
      <c r="AL335" s="290">
        <v>11.7</v>
      </c>
      <c r="AM335" s="294">
        <v>69.7</v>
      </c>
      <c r="AN335" s="290" cm="1">
        <f t="array" aca="1" ref="AN335" ca="1">INDIRECT("'"&amp;$C335&amp;"'!"&amp;"$"&amp;$D335&amp;$AL$1&amp;"")</f>
        <v>3</v>
      </c>
      <c r="AO335" s="293">
        <v>0.99</v>
      </c>
      <c r="AP335" s="291">
        <v>0.35</v>
      </c>
      <c r="AQ335" s="292" cm="1">
        <f t="array" aca="1" ref="AQ335" ca="1">INDIRECT("'"&amp;$C335&amp;"'!"&amp;"$"&amp;$D335&amp;$AQ$1&amp;"")</f>
        <v>3</v>
      </c>
      <c r="AR335" s="293">
        <v>0.99</v>
      </c>
      <c r="AS335" s="291">
        <v>0.35</v>
      </c>
      <c r="AT335" s="290" t="s">
        <v>1</v>
      </c>
      <c r="AU335" s="296">
        <v>69.2</v>
      </c>
      <c r="AV335" s="290" t="str" cm="1">
        <f t="array" aca="1" ref="AV335" ca="1">INDIRECT("'"&amp;$C335&amp;"'!"&amp;"$"&amp;$D335&amp;$AT$1&amp;"")</f>
        <v>PMS</v>
      </c>
      <c r="AW335" s="293" t="s">
        <v>1</v>
      </c>
      <c r="AX335" s="294" t="s">
        <v>1</v>
      </c>
      <c r="AY335" s="386">
        <v>68.8</v>
      </c>
      <c r="AZ335" s="296" cm="1">
        <f t="array" aca="1" ref="AZ335" ca="1">INDIRECT("'"&amp;$C335&amp;"'!"&amp;"$"&amp;$D335&amp;$AY$1&amp;"")</f>
        <v>0</v>
      </c>
      <c r="BA335" s="293" t="s">
        <v>1</v>
      </c>
      <c r="BB335" s="291" t="s">
        <v>1</v>
      </c>
      <c r="BC335" s="292" cm="1">
        <f t="array" aca="1" ref="BC335" ca="1">INDIRECT("'"&amp;$C335&amp;"'!"&amp;"$"&amp;$D335&amp;$BC$1&amp;"")</f>
        <v>0.83</v>
      </c>
      <c r="BD335" s="293"/>
      <c r="BE335" s="293">
        <v>0.99</v>
      </c>
      <c r="BF335" s="291">
        <v>0.1</v>
      </c>
      <c r="BG335" s="292" cm="1">
        <f t="array" aca="1" ref="BG335" ca="1">INDIRECT("'"&amp;$C335&amp;"'!"&amp;"$"&amp;$D335&amp;$BG$1&amp;"")</f>
        <v>0.71</v>
      </c>
      <c r="BH335" s="293"/>
      <c r="BI335" s="293">
        <v>0.97</v>
      </c>
      <c r="BJ335" s="291">
        <v>0.18</v>
      </c>
      <c r="BK335" s="290" cm="1">
        <f t="array" aca="1" ref="BK335" ca="1">INDIRECT("'"&amp;$C335&amp;"'!"&amp;"$"&amp;$D335&amp;$BK$1&amp;"")</f>
        <v>2.84</v>
      </c>
      <c r="BL335" s="293"/>
      <c r="BM335" s="293">
        <v>0.98</v>
      </c>
      <c r="BN335" s="291">
        <v>0.6</v>
      </c>
    </row>
    <row r="336" spans="1:66" ht="15.75" thickBot="1" x14ac:dyDescent="0.25">
      <c r="A336" s="368">
        <v>45702</v>
      </c>
      <c r="B336" s="365">
        <v>0.25</v>
      </c>
      <c r="C336" s="383">
        <v>14</v>
      </c>
      <c r="D336" s="319" t="s">
        <v>116</v>
      </c>
      <c r="E336" s="297">
        <v>13.9</v>
      </c>
      <c r="F336" s="298">
        <v>69.900000000000006</v>
      </c>
      <c r="G336" s="299" cm="1">
        <f t="array" aca="1" ref="G336" ca="1">INDIRECT("'"&amp;$C336&amp;"'!"&amp;"$"&amp;$D336&amp;$E$1&amp;"")</f>
        <v>6.8</v>
      </c>
      <c r="H336" s="300">
        <v>1</v>
      </c>
      <c r="I336" s="298">
        <v>0</v>
      </c>
      <c r="J336" s="299" t="str" cm="1">
        <f t="array" aca="1" ref="J336" ca="1">INDIRECT("'"&amp;$C336&amp;"'!"&amp;"$"&amp;$D336&amp;$J$1&amp;"")</f>
        <v>CMS</v>
      </c>
      <c r="K336" s="300"/>
      <c r="L336" s="300" t="s">
        <v>1</v>
      </c>
      <c r="M336" s="298" t="s">
        <v>1</v>
      </c>
      <c r="N336" s="299" cm="1">
        <f t="array" aca="1" ref="N336" ca="1">INDIRECT("'"&amp;$C336&amp;"'!"&amp;"$"&amp;$D336&amp;$N$1&amp;"")</f>
        <v>6.8</v>
      </c>
      <c r="O336" s="300"/>
      <c r="P336" s="300">
        <v>1</v>
      </c>
      <c r="Q336" s="298">
        <v>0</v>
      </c>
      <c r="R336" s="299" cm="1">
        <f t="array" aca="1" ref="R336" ca="1">INDIRECT("'"&amp;$C336&amp;"'!"&amp;"$"&amp;$D336&amp;$R$1&amp;"")</f>
        <v>6.8</v>
      </c>
      <c r="S336" s="300"/>
      <c r="T336" s="300">
        <v>1</v>
      </c>
      <c r="U336" s="298">
        <v>0</v>
      </c>
      <c r="V336" s="299" t="str" cm="1">
        <f t="array" aca="1" ref="V336" ca="1">INDIRECT("'"&amp;$C336&amp;"'!"&amp;"$"&amp;$D336&amp;$V$1&amp;"")</f>
        <v>CMS</v>
      </c>
      <c r="W336" s="300" t="s">
        <v>1</v>
      </c>
      <c r="X336" s="300" t="s">
        <v>1</v>
      </c>
      <c r="Y336" s="301" t="s">
        <v>1</v>
      </c>
      <c r="Z336" s="387" cm="1">
        <f t="array" aca="1" ref="Z336" ca="1">INDIRECT("'"&amp;$C336&amp;"'!"&amp;"$"&amp;$D336&amp;$Z$1&amp;"")</f>
        <v>0</v>
      </c>
      <c r="AA336" s="299" t="s">
        <v>1</v>
      </c>
      <c r="AB336" s="300" t="s">
        <v>1</v>
      </c>
      <c r="AC336" s="298" t="s">
        <v>1</v>
      </c>
      <c r="AD336" s="299" cm="1">
        <f t="array" aca="1" ref="AD336" ca="1">INDIRECT("'"&amp;$C336&amp;"'!"&amp;"$"&amp;$D336&amp;$AD$1&amp;"")</f>
        <v>3.3</v>
      </c>
      <c r="AE336" s="300">
        <f>3.8*3.59</f>
        <v>13.641999999999999</v>
      </c>
      <c r="AF336" s="300">
        <v>0.99</v>
      </c>
      <c r="AG336" s="301">
        <v>0.38</v>
      </c>
      <c r="AH336" s="297" t="str" cm="1">
        <f t="array" aca="1" ref="AH336" ca="1">INDIRECT("'"&amp;$C336&amp;"'!"&amp;"$"&amp;$D336&amp;$AH$1&amp;"")</f>
        <v>CMS</v>
      </c>
      <c r="AI336" s="300" t="s">
        <v>1</v>
      </c>
      <c r="AJ336" s="300" t="s">
        <v>1</v>
      </c>
      <c r="AK336" s="298" t="s">
        <v>1</v>
      </c>
      <c r="AL336" s="297">
        <v>11.8</v>
      </c>
      <c r="AM336" s="301">
        <v>70</v>
      </c>
      <c r="AN336" s="297" cm="1">
        <f t="array" aca="1" ref="AN336" ca="1">INDIRECT("'"&amp;$C336&amp;"'!"&amp;"$"&amp;$D336&amp;$AL$1&amp;"")</f>
        <v>4</v>
      </c>
      <c r="AO336" s="300">
        <v>0.98</v>
      </c>
      <c r="AP336" s="298">
        <v>0.79</v>
      </c>
      <c r="AQ336" s="299" cm="1">
        <f t="array" aca="1" ref="AQ336" ca="1">INDIRECT("'"&amp;$C336&amp;"'!"&amp;"$"&amp;$D336&amp;$AQ$1&amp;"")</f>
        <v>4</v>
      </c>
      <c r="AR336" s="300">
        <v>0.98</v>
      </c>
      <c r="AS336" s="298">
        <v>0.79</v>
      </c>
      <c r="AT336" s="297" t="s">
        <v>1</v>
      </c>
      <c r="AU336" s="301">
        <v>69.099999999999994</v>
      </c>
      <c r="AV336" s="297" t="str" cm="1">
        <f t="array" aca="1" ref="AV336" ca="1">INDIRECT("'"&amp;$C336&amp;"'!"&amp;"$"&amp;$D336&amp;$AT$1&amp;"")</f>
        <v>PMS</v>
      </c>
      <c r="AW336" s="300" t="s">
        <v>1</v>
      </c>
      <c r="AX336" s="301" t="s">
        <v>1</v>
      </c>
      <c r="AY336" s="387">
        <v>69.099999999999994</v>
      </c>
      <c r="AZ336" s="303" cm="1">
        <f t="array" aca="1" ref="AZ336" ca="1">INDIRECT("'"&amp;$C336&amp;"'!"&amp;"$"&amp;$D336&amp;$AY$1&amp;"")</f>
        <v>0.9</v>
      </c>
      <c r="BA336" s="300">
        <v>0.98</v>
      </c>
      <c r="BB336" s="298">
        <v>0.17</v>
      </c>
      <c r="BC336" s="299" cm="1">
        <f t="array" aca="1" ref="BC336" ca="1">INDIRECT("'"&amp;$C336&amp;"'!"&amp;"$"&amp;$D336&amp;$BC$1&amp;"")</f>
        <v>0.98</v>
      </c>
      <c r="BD336" s="300"/>
      <c r="BE336" s="300">
        <v>0.99</v>
      </c>
      <c r="BF336" s="298">
        <v>0.1</v>
      </c>
      <c r="BG336" s="299" cm="1">
        <f t="array" aca="1" ref="BG336" ca="1">INDIRECT("'"&amp;$C336&amp;"'!"&amp;"$"&amp;$D336&amp;$BG$1&amp;"")</f>
        <v>0.77</v>
      </c>
      <c r="BH336" s="300"/>
      <c r="BI336" s="300">
        <v>0.97</v>
      </c>
      <c r="BJ336" s="298">
        <v>0.18</v>
      </c>
      <c r="BK336" s="297" cm="1">
        <f t="array" aca="1" ref="BK336" ca="1">INDIRECT("'"&amp;$C336&amp;"'!"&amp;"$"&amp;$D336&amp;$BK$1&amp;"")</f>
        <v>3.3999999999999995</v>
      </c>
      <c r="BL336" s="300"/>
      <c r="BM336" s="300">
        <v>0.98</v>
      </c>
      <c r="BN336" s="298">
        <v>0.69</v>
      </c>
    </row>
    <row r="337" spans="1:66" ht="15.75" thickBot="1" x14ac:dyDescent="0.25">
      <c r="A337" s="368">
        <v>45702</v>
      </c>
      <c r="B337" s="365">
        <v>0.29166666666666702</v>
      </c>
      <c r="C337" s="383">
        <v>14</v>
      </c>
      <c r="D337" s="319" t="s">
        <v>117</v>
      </c>
      <c r="E337" s="290">
        <v>14</v>
      </c>
      <c r="F337" s="291">
        <v>70.5</v>
      </c>
      <c r="G337" s="292" cm="1">
        <f t="array" aca="1" ref="G337" ca="1">INDIRECT("'"&amp;$C337&amp;"'!"&amp;"$"&amp;$D337&amp;$E$1&amp;"")</f>
        <v>6.4</v>
      </c>
      <c r="H337" s="293">
        <v>0.99</v>
      </c>
      <c r="I337" s="291">
        <v>0.98</v>
      </c>
      <c r="J337" s="292" t="str" cm="1">
        <f t="array" aca="1" ref="J337" ca="1">INDIRECT("'"&amp;$C337&amp;"'!"&amp;"$"&amp;$D337&amp;$J$1&amp;"")</f>
        <v>CMS</v>
      </c>
      <c r="K337" s="293"/>
      <c r="L337" s="293" t="s">
        <v>1</v>
      </c>
      <c r="M337" s="291" t="s">
        <v>1</v>
      </c>
      <c r="N337" s="292" cm="1">
        <f t="array" aca="1" ref="N337" ca="1">INDIRECT("'"&amp;$C337&amp;"'!"&amp;"$"&amp;$D337&amp;$N$1&amp;"")</f>
        <v>6.4</v>
      </c>
      <c r="O337" s="293"/>
      <c r="P337" s="293">
        <v>0.99</v>
      </c>
      <c r="Q337" s="291">
        <v>0.98</v>
      </c>
      <c r="R337" s="292" cm="1">
        <f t="array" aca="1" ref="R337" ca="1">INDIRECT("'"&amp;$C337&amp;"'!"&amp;"$"&amp;$D337&amp;$R$1&amp;"")</f>
        <v>6.4</v>
      </c>
      <c r="S337" s="293"/>
      <c r="T337" s="293">
        <v>0.99</v>
      </c>
      <c r="U337" s="291">
        <v>0.98</v>
      </c>
      <c r="V337" s="292" t="str" cm="1">
        <f t="array" aca="1" ref="V337" ca="1">INDIRECT("'"&amp;$C337&amp;"'!"&amp;"$"&amp;$D337&amp;$V$1&amp;"")</f>
        <v>CMS</v>
      </c>
      <c r="W337" s="293" t="s">
        <v>1</v>
      </c>
      <c r="X337" s="293" t="s">
        <v>1</v>
      </c>
      <c r="Y337" s="294" t="s">
        <v>1</v>
      </c>
      <c r="Z337" s="386" cm="1">
        <f t="array" aca="1" ref="Z337" ca="1">INDIRECT("'"&amp;$C337&amp;"'!"&amp;"$"&amp;$D337&amp;$Z$1&amp;"")</f>
        <v>0</v>
      </c>
      <c r="AA337" s="292" t="s">
        <v>1</v>
      </c>
      <c r="AB337" s="293" t="s">
        <v>1</v>
      </c>
      <c r="AC337" s="291" t="s">
        <v>1</v>
      </c>
      <c r="AD337" s="292" cm="1">
        <f t="array" aca="1" ref="AD337" ca="1">INDIRECT("'"&amp;$C337&amp;"'!"&amp;"$"&amp;$D337&amp;$AD$1&amp;"")</f>
        <v>3.3</v>
      </c>
      <c r="AE337" s="293">
        <f>3.8*3.62</f>
        <v>13.756</v>
      </c>
      <c r="AF337" s="293">
        <v>0.99</v>
      </c>
      <c r="AG337" s="294">
        <v>0.41</v>
      </c>
      <c r="AH337" s="290" t="str" cm="1">
        <f t="array" aca="1" ref="AH337" ca="1">INDIRECT("'"&amp;$C337&amp;"'!"&amp;"$"&amp;$D337&amp;$AH$1&amp;"")</f>
        <v>CMS</v>
      </c>
      <c r="AI337" s="293" t="s">
        <v>1</v>
      </c>
      <c r="AJ337" s="293" t="s">
        <v>1</v>
      </c>
      <c r="AK337" s="291" t="s">
        <v>1</v>
      </c>
      <c r="AL337" s="290">
        <v>11.8</v>
      </c>
      <c r="AM337" s="294">
        <v>70.3</v>
      </c>
      <c r="AN337" s="290" cm="1">
        <f t="array" aca="1" ref="AN337" ca="1">INDIRECT("'"&amp;$C337&amp;"'!"&amp;"$"&amp;$D337&amp;$AL$1&amp;"")</f>
        <v>4</v>
      </c>
      <c r="AO337" s="293">
        <v>0.97</v>
      </c>
      <c r="AP337" s="291">
        <v>0.85</v>
      </c>
      <c r="AQ337" s="292" cm="1">
        <f t="array" aca="1" ref="AQ337" ca="1">INDIRECT("'"&amp;$C337&amp;"'!"&amp;"$"&amp;$D337&amp;$AQ$1&amp;"")</f>
        <v>4</v>
      </c>
      <c r="AR337" s="293">
        <v>0.97</v>
      </c>
      <c r="AS337" s="291">
        <v>0.85</v>
      </c>
      <c r="AT337" s="290" t="s">
        <v>1</v>
      </c>
      <c r="AU337" s="294">
        <v>69.3</v>
      </c>
      <c r="AV337" s="290" t="str" cm="1">
        <f t="array" aca="1" ref="AV337" ca="1">INDIRECT("'"&amp;$C337&amp;"'!"&amp;"$"&amp;$D337&amp;$AT$1&amp;"")</f>
        <v>PMS</v>
      </c>
      <c r="AW337" s="293" t="s">
        <v>1</v>
      </c>
      <c r="AX337" s="294" t="s">
        <v>1</v>
      </c>
      <c r="AY337" s="386">
        <v>69.599999999999994</v>
      </c>
      <c r="AZ337" s="296" cm="1">
        <f t="array" aca="1" ref="AZ337" ca="1">INDIRECT("'"&amp;$C337&amp;"'!"&amp;"$"&amp;$D337&amp;$AY$1&amp;"")</f>
        <v>2.9</v>
      </c>
      <c r="BA337" s="293">
        <v>0.98</v>
      </c>
      <c r="BB337" s="291">
        <v>0.44</v>
      </c>
      <c r="BC337" s="292" cm="1">
        <f t="array" aca="1" ref="BC337" ca="1">INDIRECT("'"&amp;$C337&amp;"'!"&amp;"$"&amp;$D337&amp;$BC$1&amp;"")</f>
        <v>1.06</v>
      </c>
      <c r="BD337" s="293"/>
      <c r="BE337" s="293">
        <v>0.99</v>
      </c>
      <c r="BF337" s="291">
        <v>0.12</v>
      </c>
      <c r="BG337" s="292" cm="1">
        <f t="array" aca="1" ref="BG337" ca="1">INDIRECT("'"&amp;$C337&amp;"'!"&amp;"$"&amp;$D337&amp;$BG$1&amp;"")</f>
        <v>0.78</v>
      </c>
      <c r="BH337" s="293"/>
      <c r="BI337" s="293">
        <v>0.97</v>
      </c>
      <c r="BJ337" s="291">
        <v>0.19</v>
      </c>
      <c r="BK337" s="290" cm="1">
        <f t="array" aca="1" ref="BK337" ca="1">INDIRECT("'"&amp;$C337&amp;"'!"&amp;"$"&amp;$D337&amp;$BK$1&amp;"")</f>
        <v>3.3599999999999994</v>
      </c>
      <c r="BL337" s="293"/>
      <c r="BM337" s="293">
        <v>0.98</v>
      </c>
      <c r="BN337" s="291">
        <v>0.67</v>
      </c>
    </row>
    <row r="338" spans="1:66" ht="15.75" thickBot="1" x14ac:dyDescent="0.25">
      <c r="A338" s="368">
        <v>45702</v>
      </c>
      <c r="B338" s="365">
        <v>0.33333333333333398</v>
      </c>
      <c r="C338" s="383">
        <v>14</v>
      </c>
      <c r="D338" s="319" t="s">
        <v>118</v>
      </c>
      <c r="E338" s="297">
        <v>14.1</v>
      </c>
      <c r="F338" s="298">
        <v>69.98</v>
      </c>
      <c r="G338" s="299" cm="1">
        <f t="array" aca="1" ref="G338" ca="1">INDIRECT("'"&amp;$C338&amp;"'!"&amp;"$"&amp;$D338&amp;$E$1&amp;"")</f>
        <v>6.6</v>
      </c>
      <c r="H338" s="300">
        <v>0.99</v>
      </c>
      <c r="I338" s="298">
        <v>1</v>
      </c>
      <c r="J338" s="299" t="str" cm="1">
        <f t="array" aca="1" ref="J338" ca="1">INDIRECT("'"&amp;$C338&amp;"'!"&amp;"$"&amp;$D338&amp;$J$1&amp;"")</f>
        <v>CMS</v>
      </c>
      <c r="K338" s="300"/>
      <c r="L338" s="300" t="s">
        <v>1</v>
      </c>
      <c r="M338" s="298" t="s">
        <v>1</v>
      </c>
      <c r="N338" s="299" cm="1">
        <f t="array" aca="1" ref="N338" ca="1">INDIRECT("'"&amp;$C338&amp;"'!"&amp;"$"&amp;$D338&amp;$N$1&amp;"")</f>
        <v>6.7</v>
      </c>
      <c r="O338" s="300"/>
      <c r="P338" s="300">
        <v>0.99</v>
      </c>
      <c r="Q338" s="298">
        <v>0.88</v>
      </c>
      <c r="R338" s="299" cm="1">
        <f t="array" aca="1" ref="R338" ca="1">INDIRECT("'"&amp;$C338&amp;"'!"&amp;"$"&amp;$D338&amp;$R$1&amp;"")</f>
        <v>6.7</v>
      </c>
      <c r="S338" s="300"/>
      <c r="T338" s="300">
        <v>0.99</v>
      </c>
      <c r="U338" s="298">
        <v>1.1299999999999999</v>
      </c>
      <c r="V338" s="299" t="str" cm="1">
        <f t="array" aca="1" ref="V338" ca="1">INDIRECT("'"&amp;$C338&amp;"'!"&amp;"$"&amp;$D338&amp;$V$1&amp;"")</f>
        <v>CMS</v>
      </c>
      <c r="W338" s="300" t="s">
        <v>1</v>
      </c>
      <c r="X338" s="300" t="s">
        <v>1</v>
      </c>
      <c r="Y338" s="301" t="s">
        <v>1</v>
      </c>
      <c r="Z338" s="387" cm="1">
        <f t="array" aca="1" ref="Z338" ca="1">INDIRECT("'"&amp;$C338&amp;"'!"&amp;"$"&amp;$D338&amp;$Z$1&amp;"")</f>
        <v>0</v>
      </c>
      <c r="AA338" s="299" t="s">
        <v>1</v>
      </c>
      <c r="AB338" s="300" t="s">
        <v>1</v>
      </c>
      <c r="AC338" s="298" t="s">
        <v>1</v>
      </c>
      <c r="AD338" s="299" cm="1">
        <f t="array" aca="1" ref="AD338" ca="1">INDIRECT("'"&amp;$C338&amp;"'!"&amp;"$"&amp;$D338&amp;$AD$1&amp;"")</f>
        <v>3.3</v>
      </c>
      <c r="AE338" s="300">
        <f>3.8*3.57</f>
        <v>13.565999999999999</v>
      </c>
      <c r="AF338" s="300">
        <v>0.95</v>
      </c>
      <c r="AG338" s="301">
        <v>1.1599999999999999</v>
      </c>
      <c r="AH338" s="297" t="str" cm="1">
        <f t="array" aca="1" ref="AH338" ca="1">INDIRECT("'"&amp;$C338&amp;"'!"&amp;"$"&amp;$D338&amp;$AH$1&amp;"")</f>
        <v>CMS</v>
      </c>
      <c r="AI338" s="300" t="s">
        <v>1</v>
      </c>
      <c r="AJ338" s="300" t="s">
        <v>1</v>
      </c>
      <c r="AK338" s="298" t="s">
        <v>1</v>
      </c>
      <c r="AL338" s="297">
        <v>11.8</v>
      </c>
      <c r="AM338" s="301">
        <v>70.3</v>
      </c>
      <c r="AN338" s="297" cm="1">
        <f t="array" aca="1" ref="AN338" ca="1">INDIRECT("'"&amp;$C338&amp;"'!"&amp;"$"&amp;$D338&amp;$AL$1&amp;"")</f>
        <v>4.0999999999999996</v>
      </c>
      <c r="AO338" s="300">
        <v>0.96</v>
      </c>
      <c r="AP338" s="298">
        <v>1.29</v>
      </c>
      <c r="AQ338" s="299" cm="1">
        <f t="array" aca="1" ref="AQ338" ca="1">INDIRECT("'"&amp;$C338&amp;"'!"&amp;"$"&amp;$D338&amp;$AQ$1&amp;"")</f>
        <v>4.0999999999999996</v>
      </c>
      <c r="AR338" s="300">
        <v>0.96</v>
      </c>
      <c r="AS338" s="298">
        <v>1.29</v>
      </c>
      <c r="AT338" s="297" t="s">
        <v>1</v>
      </c>
      <c r="AU338" s="301">
        <v>68.2</v>
      </c>
      <c r="AV338" s="297" t="str" cm="1">
        <f t="array" aca="1" ref="AV338" ca="1">INDIRECT("'"&amp;$C338&amp;"'!"&amp;"$"&amp;$D338&amp;$AT$1&amp;"")</f>
        <v>PMS</v>
      </c>
      <c r="AW338" s="300" t="s">
        <v>1</v>
      </c>
      <c r="AX338" s="301" t="s">
        <v>1</v>
      </c>
      <c r="AY338" s="387">
        <v>68.900000000000006</v>
      </c>
      <c r="AZ338" s="303" cm="1">
        <f t="array" aca="1" ref="AZ338" ca="1">INDIRECT("'"&amp;$C338&amp;"'!"&amp;"$"&amp;$D338&amp;$AY$1&amp;"")</f>
        <v>4.5</v>
      </c>
      <c r="BA338" s="300">
        <v>0.97</v>
      </c>
      <c r="BB338" s="298">
        <v>1.2</v>
      </c>
      <c r="BC338" s="299" cm="1">
        <f t="array" aca="1" ref="BC338" ca="1">INDIRECT("'"&amp;$C338&amp;"'!"&amp;"$"&amp;$D338&amp;$BC$1&amp;"")</f>
        <v>1.01</v>
      </c>
      <c r="BD338" s="300"/>
      <c r="BE338" s="300">
        <v>0.99</v>
      </c>
      <c r="BF338" s="298">
        <v>0.15</v>
      </c>
      <c r="BG338" s="299" cm="1">
        <f t="array" aca="1" ref="BG338" ca="1">INDIRECT("'"&amp;$C338&amp;"'!"&amp;"$"&amp;$D338&amp;$BG$1&amp;"")</f>
        <v>0.69</v>
      </c>
      <c r="BH338" s="300"/>
      <c r="BI338" s="300">
        <v>0.95</v>
      </c>
      <c r="BJ338" s="298">
        <v>0.2</v>
      </c>
      <c r="BK338" s="297" cm="1">
        <f t="array" aca="1" ref="BK338" ca="1">INDIRECT("'"&amp;$C338&amp;"'!"&amp;"$"&amp;$D338&amp;$BK$1&amp;"")</f>
        <v>3.5199999999999996</v>
      </c>
      <c r="BL338" s="300"/>
      <c r="BM338" s="300">
        <v>0.98</v>
      </c>
      <c r="BN338" s="298">
        <v>0.73</v>
      </c>
    </row>
    <row r="339" spans="1:66" ht="15.75" thickBot="1" x14ac:dyDescent="0.25">
      <c r="A339" s="368">
        <v>45702</v>
      </c>
      <c r="B339" s="365">
        <v>0.375</v>
      </c>
      <c r="C339" s="383">
        <v>14</v>
      </c>
      <c r="D339" s="319" t="s">
        <v>119</v>
      </c>
      <c r="E339" s="290">
        <v>14.2</v>
      </c>
      <c r="F339" s="291">
        <v>69.650000000000006</v>
      </c>
      <c r="G339" s="292" cm="1">
        <f t="array" aca="1" ref="G339" ca="1">INDIRECT("'"&amp;$C339&amp;"'!"&amp;"$"&amp;$D339&amp;$E$1&amp;"")</f>
        <v>6.7</v>
      </c>
      <c r="H339" s="293">
        <v>0.97</v>
      </c>
      <c r="I339" s="291">
        <v>1.58</v>
      </c>
      <c r="J339" s="292" cm="1">
        <f t="array" aca="1" ref="J339" ca="1">INDIRECT("'"&amp;$C339&amp;"'!"&amp;"$"&amp;$D339&amp;$J$1&amp;"")</f>
        <v>6.7</v>
      </c>
      <c r="K339" s="293"/>
      <c r="L339" s="293">
        <v>0.97</v>
      </c>
      <c r="M339" s="291">
        <v>1.56</v>
      </c>
      <c r="N339" s="292" cm="1">
        <f t="array" aca="1" ref="N339" ca="1">INDIRECT("'"&amp;$C339&amp;"'!"&amp;"$"&amp;$D339&amp;$N$1&amp;"")</f>
        <v>6.7</v>
      </c>
      <c r="O339" s="293"/>
      <c r="P339" s="293">
        <v>0.97</v>
      </c>
      <c r="Q339" s="291">
        <v>1.58</v>
      </c>
      <c r="R339" s="292" cm="1">
        <f t="array" aca="1" ref="R339" ca="1">INDIRECT("'"&amp;$C339&amp;"'!"&amp;"$"&amp;$D339&amp;$R$1&amp;"")</f>
        <v>6.7</v>
      </c>
      <c r="S339" s="293"/>
      <c r="T339" s="293">
        <v>0.97</v>
      </c>
      <c r="U339" s="291">
        <v>1.56</v>
      </c>
      <c r="V339" s="292" t="str" cm="1">
        <f t="array" aca="1" ref="V339" ca="1">INDIRECT("'"&amp;$C339&amp;"'!"&amp;"$"&amp;$D339&amp;$V$1&amp;"")</f>
        <v>CMS</v>
      </c>
      <c r="W339" s="293" t="s">
        <v>1</v>
      </c>
      <c r="X339" s="293" t="s">
        <v>1</v>
      </c>
      <c r="Y339" s="294" t="s">
        <v>1</v>
      </c>
      <c r="Z339" s="386" cm="1">
        <f t="array" aca="1" ref="Z339" ca="1">INDIRECT("'"&amp;$C339&amp;"'!"&amp;"$"&amp;$D339&amp;$Z$1&amp;"")</f>
        <v>0</v>
      </c>
      <c r="AA339" s="292" t="s">
        <v>1</v>
      </c>
      <c r="AB339" s="293" t="s">
        <v>1</v>
      </c>
      <c r="AC339" s="291" t="s">
        <v>1</v>
      </c>
      <c r="AD339" s="292" cm="1">
        <f t="array" aca="1" ref="AD339" ca="1">INDIRECT("'"&amp;$C339&amp;"'!"&amp;"$"&amp;$D339&amp;$AD$1&amp;"")</f>
        <v>3.3</v>
      </c>
      <c r="AE339" s="293">
        <f>3.8*3.64</f>
        <v>13.831999999999999</v>
      </c>
      <c r="AF339" s="293">
        <v>0.94</v>
      </c>
      <c r="AG339" s="294">
        <v>1.26</v>
      </c>
      <c r="AH339" s="290" t="str" cm="1">
        <f t="array" aca="1" ref="AH339" ca="1">INDIRECT("'"&amp;$C339&amp;"'!"&amp;"$"&amp;$D339&amp;$AH$1&amp;"")</f>
        <v>CMS</v>
      </c>
      <c r="AI339" s="293" t="s">
        <v>1</v>
      </c>
      <c r="AJ339" s="293" t="s">
        <v>1</v>
      </c>
      <c r="AK339" s="291" t="s">
        <v>1</v>
      </c>
      <c r="AL339" s="290">
        <v>11.8</v>
      </c>
      <c r="AM339" s="294">
        <v>68.8</v>
      </c>
      <c r="AN339" s="290" cm="1">
        <f t="array" aca="1" ref="AN339" ca="1">INDIRECT("'"&amp;$C339&amp;"'!"&amp;"$"&amp;$D339&amp;$AL$1&amp;"")</f>
        <v>4.0999999999999996</v>
      </c>
      <c r="AO339" s="293">
        <v>0.92</v>
      </c>
      <c r="AP339" s="291">
        <v>1.67</v>
      </c>
      <c r="AQ339" s="292" cm="1">
        <f t="array" aca="1" ref="AQ339" ca="1">INDIRECT("'"&amp;$C339&amp;"'!"&amp;"$"&amp;$D339&amp;$AQ$1&amp;"")</f>
        <v>4.0999999999999996</v>
      </c>
      <c r="AR339" s="293">
        <v>0.92</v>
      </c>
      <c r="AS339" s="291">
        <v>1.78</v>
      </c>
      <c r="AT339" s="290" t="s">
        <v>1</v>
      </c>
      <c r="AU339" s="294">
        <v>67.5</v>
      </c>
      <c r="AV339" s="290" t="str" cm="1">
        <f t="array" aca="1" ref="AV339" ca="1">INDIRECT("'"&amp;$C339&amp;"'!"&amp;"$"&amp;$D339&amp;$AT$1&amp;"")</f>
        <v>PMS</v>
      </c>
      <c r="AW339" s="293" t="s">
        <v>1</v>
      </c>
      <c r="AX339" s="294" t="s">
        <v>1</v>
      </c>
      <c r="AY339" s="386">
        <v>68.400000000000006</v>
      </c>
      <c r="AZ339" s="296" cm="1">
        <f t="array" aca="1" ref="AZ339" ca="1">INDIRECT("'"&amp;$C339&amp;"'!"&amp;"$"&amp;$D339&amp;$AY$1&amp;"")</f>
        <v>5.1999999999999993</v>
      </c>
      <c r="BA339" s="293">
        <v>0.97</v>
      </c>
      <c r="BB339" s="291">
        <v>1.3</v>
      </c>
      <c r="BC339" s="292" cm="1">
        <f t="array" aca="1" ref="BC339" ca="1">INDIRECT("'"&amp;$C339&amp;"'!"&amp;"$"&amp;$D339&amp;$BC$1&amp;"")</f>
        <v>1.2</v>
      </c>
      <c r="BD339" s="293"/>
      <c r="BE339" s="293">
        <v>0.99</v>
      </c>
      <c r="BF339" s="291">
        <v>0.17</v>
      </c>
      <c r="BG339" s="292" cm="1">
        <f t="array" aca="1" ref="BG339" ca="1">INDIRECT("'"&amp;$C339&amp;"'!"&amp;"$"&amp;$D339&amp;$BG$1&amp;"")</f>
        <v>0.71</v>
      </c>
      <c r="BH339" s="293"/>
      <c r="BI339" s="293">
        <v>0.95</v>
      </c>
      <c r="BJ339" s="291">
        <v>0.2</v>
      </c>
      <c r="BK339" s="290" cm="1">
        <f t="array" aca="1" ref="BK339" ca="1">INDIRECT("'"&amp;$C339&amp;"'!"&amp;"$"&amp;$D339&amp;$BK$1&amp;"")</f>
        <v>4.67</v>
      </c>
      <c r="BL339" s="293"/>
      <c r="BM339" s="293">
        <v>0.98</v>
      </c>
      <c r="BN339" s="291">
        <v>0.94</v>
      </c>
    </row>
    <row r="340" spans="1:66" ht="15.75" thickBot="1" x14ac:dyDescent="0.25">
      <c r="A340" s="368">
        <v>45702</v>
      </c>
      <c r="B340" s="365">
        <v>0.41666666666666702</v>
      </c>
      <c r="C340" s="383">
        <v>14</v>
      </c>
      <c r="D340" s="319" t="s">
        <v>120</v>
      </c>
      <c r="E340" s="297">
        <v>14.2</v>
      </c>
      <c r="F340" s="298">
        <v>69.760000000000005</v>
      </c>
      <c r="G340" s="299" cm="1">
        <f t="array" aca="1" ref="G340" ca="1">INDIRECT("'"&amp;$C340&amp;"'!"&amp;"$"&amp;$D340&amp;$E$1&amp;"")</f>
        <v>6.7</v>
      </c>
      <c r="H340" s="300">
        <v>0.96</v>
      </c>
      <c r="I340" s="298">
        <v>1.91</v>
      </c>
      <c r="J340" s="299" cm="1">
        <f t="array" aca="1" ref="J340" ca="1">INDIRECT("'"&amp;$C340&amp;"'!"&amp;"$"&amp;$D340&amp;$J$1&amp;"")</f>
        <v>6.7</v>
      </c>
      <c r="K340" s="300"/>
      <c r="L340" s="300">
        <v>0.96</v>
      </c>
      <c r="M340" s="298">
        <v>1.97</v>
      </c>
      <c r="N340" s="299" cm="1">
        <f t="array" aca="1" ref="N340" ca="1">INDIRECT("'"&amp;$C340&amp;"'!"&amp;"$"&amp;$D340&amp;$N$1&amp;"")</f>
        <v>6.7</v>
      </c>
      <c r="O340" s="300"/>
      <c r="P340" s="300">
        <v>0.96</v>
      </c>
      <c r="Q340" s="298">
        <v>1.97</v>
      </c>
      <c r="R340" s="299" cm="1">
        <f t="array" aca="1" ref="R340" ca="1">INDIRECT("'"&amp;$C340&amp;"'!"&amp;"$"&amp;$D340&amp;$R$1&amp;"")</f>
        <v>6.7</v>
      </c>
      <c r="S340" s="300"/>
      <c r="T340" s="300">
        <v>0.97</v>
      </c>
      <c r="U340" s="298">
        <v>1.66</v>
      </c>
      <c r="V340" s="299" t="str" cm="1">
        <f t="array" aca="1" ref="V340" ca="1">INDIRECT("'"&amp;$C340&amp;"'!"&amp;"$"&amp;$D340&amp;$V$1&amp;"")</f>
        <v>CMS</v>
      </c>
      <c r="W340" s="300" t="s">
        <v>1</v>
      </c>
      <c r="X340" s="300" t="s">
        <v>1</v>
      </c>
      <c r="Y340" s="301" t="s">
        <v>1</v>
      </c>
      <c r="Z340" s="387" cm="1">
        <f t="array" aca="1" ref="Z340" ca="1">INDIRECT("'"&amp;$C340&amp;"'!"&amp;"$"&amp;$D340&amp;$Z$1&amp;"")</f>
        <v>0</v>
      </c>
      <c r="AA340" s="299" t="s">
        <v>1</v>
      </c>
      <c r="AB340" s="300" t="s">
        <v>1</v>
      </c>
      <c r="AC340" s="298" t="s">
        <v>1</v>
      </c>
      <c r="AD340" s="299" cm="1">
        <f t="array" aca="1" ref="AD340" ca="1">INDIRECT("'"&amp;$C340&amp;"'!"&amp;"$"&amp;$D340&amp;$AD$1&amp;"")</f>
        <v>3.3</v>
      </c>
      <c r="AE340" s="300">
        <f>3.8*3.52</f>
        <v>13.375999999999999</v>
      </c>
      <c r="AF340" s="300">
        <v>0.94</v>
      </c>
      <c r="AG340" s="301">
        <v>1.24</v>
      </c>
      <c r="AH340" s="297" t="str" cm="1">
        <f t="array" aca="1" ref="AH340" ca="1">INDIRECT("'"&amp;$C340&amp;"'!"&amp;"$"&amp;$D340&amp;$AH$1&amp;"")</f>
        <v>CMS</v>
      </c>
      <c r="AI340" s="300" t="s">
        <v>1</v>
      </c>
      <c r="AJ340" s="300" t="s">
        <v>1</v>
      </c>
      <c r="AK340" s="298" t="s">
        <v>1</v>
      </c>
      <c r="AL340" s="297">
        <v>11.7</v>
      </c>
      <c r="AM340" s="301">
        <v>68.5</v>
      </c>
      <c r="AN340" s="297" cm="1">
        <f t="array" aca="1" ref="AN340" ca="1">INDIRECT("'"&amp;$C340&amp;"'!"&amp;"$"&amp;$D340&amp;$AL$1&amp;"")</f>
        <v>3.8</v>
      </c>
      <c r="AO340" s="300">
        <v>0.89</v>
      </c>
      <c r="AP340" s="298">
        <v>1.9</v>
      </c>
      <c r="AQ340" s="299" cm="1">
        <f t="array" aca="1" ref="AQ340" ca="1">INDIRECT("'"&amp;$C340&amp;"'!"&amp;"$"&amp;$D340&amp;$AQ$1&amp;"")</f>
        <v>3.8</v>
      </c>
      <c r="AR340" s="300">
        <v>0.89</v>
      </c>
      <c r="AS340" s="298">
        <v>1.95</v>
      </c>
      <c r="AT340" s="297" t="s">
        <v>1</v>
      </c>
      <c r="AU340" s="301">
        <v>66.900000000000006</v>
      </c>
      <c r="AV340" s="297" t="str" cm="1">
        <f t="array" aca="1" ref="AV340" ca="1">INDIRECT("'"&amp;$C340&amp;"'!"&amp;"$"&amp;$D340&amp;$AT$1&amp;"")</f>
        <v>PMS</v>
      </c>
      <c r="AW340" s="300" t="s">
        <v>1</v>
      </c>
      <c r="AX340" s="301" t="s">
        <v>1</v>
      </c>
      <c r="AY340" s="387">
        <v>68.5</v>
      </c>
      <c r="AZ340" s="303" cm="1">
        <f t="array" aca="1" ref="AZ340" ca="1">INDIRECT("'"&amp;$C340&amp;"'!"&amp;"$"&amp;$D340&amp;$AY$1&amp;"")</f>
        <v>11.200000000000001</v>
      </c>
      <c r="BA340" s="300">
        <v>0.97</v>
      </c>
      <c r="BB340" s="298">
        <v>2.8</v>
      </c>
      <c r="BC340" s="299" cm="1">
        <f t="array" aca="1" ref="BC340" ca="1">INDIRECT("'"&amp;$C340&amp;"'!"&amp;"$"&amp;$D340&amp;$BC$1&amp;"")</f>
        <v>1.27</v>
      </c>
      <c r="BD340" s="300"/>
      <c r="BE340" s="300">
        <v>0.99</v>
      </c>
      <c r="BF340" s="298">
        <v>0.19</v>
      </c>
      <c r="BG340" s="299" cm="1">
        <f t="array" aca="1" ref="BG340" ca="1">INDIRECT("'"&amp;$C340&amp;"'!"&amp;"$"&amp;$D340&amp;$BG$1&amp;"")</f>
        <v>0.79</v>
      </c>
      <c r="BH340" s="300"/>
      <c r="BI340" s="300">
        <v>0.96</v>
      </c>
      <c r="BJ340" s="298">
        <v>0.23</v>
      </c>
      <c r="BK340" s="297" cm="1">
        <f t="array" aca="1" ref="BK340" ca="1">INDIRECT("'"&amp;$C340&amp;"'!"&amp;"$"&amp;$D340&amp;$BK$1&amp;"")</f>
        <v>5.0999999999999996</v>
      </c>
      <c r="BL340" s="300"/>
      <c r="BM340" s="300">
        <v>0.98</v>
      </c>
      <c r="BN340" s="298">
        <v>1</v>
      </c>
    </row>
    <row r="341" spans="1:66" ht="15.75" thickBot="1" x14ac:dyDescent="0.25">
      <c r="A341" s="368">
        <v>45702</v>
      </c>
      <c r="B341" s="365">
        <v>0.45833333333333398</v>
      </c>
      <c r="C341" s="383">
        <v>14</v>
      </c>
      <c r="D341" s="319" t="s">
        <v>121</v>
      </c>
      <c r="E341" s="290">
        <v>14.3</v>
      </c>
      <c r="F341" s="291">
        <v>69.87</v>
      </c>
      <c r="G341" s="292" cm="1">
        <f t="array" aca="1" ref="G341" ca="1">INDIRECT("'"&amp;$C341&amp;"'!"&amp;"$"&amp;$D341&amp;$E$1&amp;"")</f>
        <v>6.7</v>
      </c>
      <c r="H341" s="293">
        <v>0.96</v>
      </c>
      <c r="I341" s="291">
        <v>1.89</v>
      </c>
      <c r="J341" s="292" cm="1">
        <f t="array" aca="1" ref="J341" ca="1">INDIRECT("'"&amp;$C341&amp;"'!"&amp;"$"&amp;$D341&amp;$J$1&amp;"")</f>
        <v>6.7</v>
      </c>
      <c r="K341" s="293"/>
      <c r="L341" s="293">
        <v>0.96</v>
      </c>
      <c r="M341" s="291">
        <v>1.9</v>
      </c>
      <c r="N341" s="292" cm="1">
        <f t="array" aca="1" ref="N341" ca="1">INDIRECT("'"&amp;$C341&amp;"'!"&amp;"$"&amp;$D341&amp;$N$1&amp;"")</f>
        <v>6.7</v>
      </c>
      <c r="O341" s="293"/>
      <c r="P341" s="293">
        <v>0.96</v>
      </c>
      <c r="Q341" s="291">
        <v>1.88</v>
      </c>
      <c r="R341" s="292" cm="1">
        <f t="array" aca="1" ref="R341" ca="1">INDIRECT("'"&amp;$C341&amp;"'!"&amp;"$"&amp;$D341&amp;$R$1&amp;"")</f>
        <v>6.7</v>
      </c>
      <c r="S341" s="293"/>
      <c r="T341" s="293">
        <v>0.96</v>
      </c>
      <c r="U341" s="291">
        <v>1.26</v>
      </c>
      <c r="V341" s="292" t="str" cm="1">
        <f t="array" aca="1" ref="V341" ca="1">INDIRECT("'"&amp;$C341&amp;"'!"&amp;"$"&amp;$D341&amp;$V$1&amp;"")</f>
        <v>CMS</v>
      </c>
      <c r="W341" s="293" t="s">
        <v>1</v>
      </c>
      <c r="X341" s="293" t="s">
        <v>1</v>
      </c>
      <c r="Y341" s="294" t="s">
        <v>1</v>
      </c>
      <c r="Z341" s="386" cm="1">
        <f t="array" aca="1" ref="Z341" ca="1">INDIRECT("'"&amp;$C341&amp;"'!"&amp;"$"&amp;$D341&amp;$Z$1&amp;"")</f>
        <v>0</v>
      </c>
      <c r="AA341" s="292" t="s">
        <v>1</v>
      </c>
      <c r="AB341" s="293" t="s">
        <v>1</v>
      </c>
      <c r="AC341" s="291" t="s">
        <v>1</v>
      </c>
      <c r="AD341" s="292" cm="1">
        <f t="array" aca="1" ref="AD341" ca="1">INDIRECT("'"&amp;$C341&amp;"'!"&amp;"$"&amp;$D341&amp;$AD$1&amp;"")</f>
        <v>3.3</v>
      </c>
      <c r="AE341" s="293">
        <f>3.8*3.53</f>
        <v>13.413999999999998</v>
      </c>
      <c r="AF341" s="293">
        <v>0.93</v>
      </c>
      <c r="AG341" s="294">
        <v>1.39</v>
      </c>
      <c r="AH341" s="290" cm="1">
        <f t="array" aca="1" ref="AH341" ca="1">INDIRECT("'"&amp;$C341&amp;"'!"&amp;"$"&amp;$D341&amp;$AH$1&amp;"")</f>
        <v>3</v>
      </c>
      <c r="AI341" s="293">
        <v>13.24</v>
      </c>
      <c r="AJ341" s="293">
        <v>0.98</v>
      </c>
      <c r="AK341" s="291">
        <v>0.438</v>
      </c>
      <c r="AL341" s="290">
        <v>11.7</v>
      </c>
      <c r="AM341" s="294">
        <v>68.900000000000006</v>
      </c>
      <c r="AN341" s="290" cm="1">
        <f t="array" aca="1" ref="AN341" ca="1">INDIRECT("'"&amp;$C341&amp;"'!"&amp;"$"&amp;$D341&amp;$AL$1&amp;"")</f>
        <v>3.7</v>
      </c>
      <c r="AO341" s="293">
        <v>0.91</v>
      </c>
      <c r="AP341" s="291">
        <v>1.63</v>
      </c>
      <c r="AQ341" s="292" cm="1">
        <f t="array" aca="1" ref="AQ341" ca="1">INDIRECT("'"&amp;$C341&amp;"'!"&amp;"$"&amp;$D341&amp;$AQ$1&amp;"")</f>
        <v>3.7</v>
      </c>
      <c r="AR341" s="293">
        <v>0.91</v>
      </c>
      <c r="AS341" s="291">
        <v>1.65</v>
      </c>
      <c r="AT341" s="290" t="s">
        <v>1</v>
      </c>
      <c r="AU341" s="294">
        <v>67.5</v>
      </c>
      <c r="AV341" s="290" t="str" cm="1">
        <f t="array" aca="1" ref="AV341" ca="1">INDIRECT("'"&amp;$C341&amp;"'!"&amp;"$"&amp;$D341&amp;$AT$1&amp;"")</f>
        <v>PMS</v>
      </c>
      <c r="AW341" s="293" t="s">
        <v>1</v>
      </c>
      <c r="AX341" s="294" t="s">
        <v>1</v>
      </c>
      <c r="AY341" s="386">
        <v>68.400000000000006</v>
      </c>
      <c r="AZ341" s="296" cm="1">
        <f t="array" aca="1" ref="AZ341" ca="1">INDIRECT("'"&amp;$C341&amp;"'!"&amp;"$"&amp;$D341&amp;$AY$1&amp;"")</f>
        <v>9.3000000000000007</v>
      </c>
      <c r="BA341" s="293">
        <v>0.97</v>
      </c>
      <c r="BB341" s="291">
        <v>2.2999999999999998</v>
      </c>
      <c r="BC341" s="292" cm="1">
        <f t="array" aca="1" ref="BC341" ca="1">INDIRECT("'"&amp;$C341&amp;"'!"&amp;"$"&amp;$D341&amp;$BC$1&amp;"")</f>
        <v>1.3</v>
      </c>
      <c r="BD341" s="293"/>
      <c r="BE341" s="293">
        <v>0.99</v>
      </c>
      <c r="BF341" s="291">
        <v>0.18</v>
      </c>
      <c r="BG341" s="292" cm="1">
        <f t="array" aca="1" ref="BG341" ca="1">INDIRECT("'"&amp;$C341&amp;"'!"&amp;"$"&amp;$D341&amp;$BG$1&amp;"")</f>
        <v>0.85</v>
      </c>
      <c r="BH341" s="293"/>
      <c r="BI341" s="293">
        <v>0.96</v>
      </c>
      <c r="BJ341" s="291">
        <v>0.24</v>
      </c>
      <c r="BK341" s="290" cm="1">
        <f t="array" aca="1" ref="BK341" ca="1">INDIRECT("'"&amp;$C341&amp;"'!"&amp;"$"&amp;$D341&amp;$BK$1&amp;"")</f>
        <v>5.0999999999999996</v>
      </c>
      <c r="BL341" s="293"/>
      <c r="BM341" s="293">
        <v>0.98</v>
      </c>
      <c r="BN341" s="291">
        <v>1</v>
      </c>
    </row>
    <row r="342" spans="1:66" ht="15.75" thickBot="1" x14ac:dyDescent="0.25">
      <c r="A342" s="368">
        <v>45702</v>
      </c>
      <c r="B342" s="365">
        <v>0.5</v>
      </c>
      <c r="C342" s="383">
        <v>14</v>
      </c>
      <c r="D342" s="319" t="s">
        <v>122</v>
      </c>
      <c r="E342" s="297">
        <v>14.3</v>
      </c>
      <c r="F342" s="298">
        <v>70.040000000000006</v>
      </c>
      <c r="G342" s="299" cm="1">
        <f t="array" aca="1" ref="G342" ca="1">INDIRECT("'"&amp;$C342&amp;"'!"&amp;"$"&amp;$D342&amp;$E$1&amp;"")</f>
        <v>6.4</v>
      </c>
      <c r="H342" s="300">
        <v>0.96</v>
      </c>
      <c r="I342" s="298">
        <v>1.82</v>
      </c>
      <c r="J342" s="299" cm="1">
        <f t="array" aca="1" ref="J342" ca="1">INDIRECT("'"&amp;$C342&amp;"'!"&amp;"$"&amp;$D342&amp;$J$1&amp;"")</f>
        <v>6.4</v>
      </c>
      <c r="K342" s="300"/>
      <c r="L342" s="300">
        <v>0.96</v>
      </c>
      <c r="M342" s="298">
        <v>1.83</v>
      </c>
      <c r="N342" s="299" cm="1">
        <f t="array" aca="1" ref="N342" ca="1">INDIRECT("'"&amp;$C342&amp;"'!"&amp;"$"&amp;$D342&amp;$N$1&amp;"")</f>
        <v>6.5</v>
      </c>
      <c r="O342" s="300"/>
      <c r="P342" s="300">
        <v>0.96</v>
      </c>
      <c r="Q342" s="298">
        <v>1.88</v>
      </c>
      <c r="R342" s="299" cm="1">
        <f t="array" aca="1" ref="R342" ca="1">INDIRECT("'"&amp;$C342&amp;"'!"&amp;"$"&amp;$D342&amp;$R$1&amp;"")</f>
        <v>6.5</v>
      </c>
      <c r="S342" s="300"/>
      <c r="T342" s="300">
        <v>0.96</v>
      </c>
      <c r="U342" s="298">
        <v>1.85</v>
      </c>
      <c r="V342" s="299" t="str" cm="1">
        <f t="array" aca="1" ref="V342" ca="1">INDIRECT("'"&amp;$C342&amp;"'!"&amp;"$"&amp;$D342&amp;$V$1&amp;"")</f>
        <v>CMS</v>
      </c>
      <c r="W342" s="300" t="s">
        <v>1</v>
      </c>
      <c r="X342" s="300" t="s">
        <v>1</v>
      </c>
      <c r="Y342" s="301" t="s">
        <v>1</v>
      </c>
      <c r="Z342" s="387" cm="1">
        <f t="array" aca="1" ref="Z342" ca="1">INDIRECT("'"&amp;$C342&amp;"'!"&amp;"$"&amp;$D342&amp;$Z$1&amp;"")</f>
        <v>0</v>
      </c>
      <c r="AA342" s="299" t="s">
        <v>1</v>
      </c>
      <c r="AB342" s="300" t="s">
        <v>1</v>
      </c>
      <c r="AC342" s="298" t="s">
        <v>1</v>
      </c>
      <c r="AD342" s="299" cm="1">
        <f t="array" aca="1" ref="AD342" ca="1">INDIRECT("'"&amp;$C342&amp;"'!"&amp;"$"&amp;$D342&amp;$AD$1&amp;"")</f>
        <v>3.3</v>
      </c>
      <c r="AE342" s="300">
        <f>3.8*3.55</f>
        <v>13.489999999999998</v>
      </c>
      <c r="AF342" s="300">
        <v>0.93</v>
      </c>
      <c r="AG342" s="301">
        <v>1.35</v>
      </c>
      <c r="AH342" s="297" t="str" cm="1">
        <f t="array" aca="1" ref="AH342" ca="1">INDIRECT("'"&amp;$C342&amp;"'!"&amp;"$"&amp;$D342&amp;$AH$1&amp;"")</f>
        <v>CMS</v>
      </c>
      <c r="AI342" s="300" t="s">
        <v>1</v>
      </c>
      <c r="AJ342" s="300" t="s">
        <v>1</v>
      </c>
      <c r="AK342" s="298" t="s">
        <v>1</v>
      </c>
      <c r="AL342" s="297">
        <v>11.8</v>
      </c>
      <c r="AM342" s="301">
        <v>69.400000000000006</v>
      </c>
      <c r="AN342" s="297" cm="1">
        <f t="array" aca="1" ref="AN342" ca="1">INDIRECT("'"&amp;$C342&amp;"'!"&amp;"$"&amp;$D342&amp;$AL$1&amp;"")</f>
        <v>3.6</v>
      </c>
      <c r="AO342" s="300">
        <v>0.94</v>
      </c>
      <c r="AP342" s="298">
        <v>1.26</v>
      </c>
      <c r="AQ342" s="299" cm="1">
        <f t="array" aca="1" ref="AQ342" ca="1">INDIRECT("'"&amp;$C342&amp;"'!"&amp;"$"&amp;$D342&amp;$AQ$1&amp;"")</f>
        <v>3.6</v>
      </c>
      <c r="AR342" s="300">
        <v>0.94</v>
      </c>
      <c r="AS342" s="298">
        <v>1.4</v>
      </c>
      <c r="AT342" s="297">
        <v>13.88</v>
      </c>
      <c r="AU342" s="301">
        <v>68.88</v>
      </c>
      <c r="AV342" s="297" cm="1">
        <f t="array" aca="1" ref="AV342" ca="1">INDIRECT("'"&amp;$C342&amp;"'!"&amp;"$"&amp;$D342&amp;$AT$1&amp;"")</f>
        <v>3.5</v>
      </c>
      <c r="AW342" s="300" t="s">
        <v>1</v>
      </c>
      <c r="AX342" s="301" t="s">
        <v>1</v>
      </c>
      <c r="AY342" s="387">
        <v>68.7</v>
      </c>
      <c r="AZ342" s="303" cm="1">
        <f t="array" aca="1" ref="AZ342" ca="1">INDIRECT("'"&amp;$C342&amp;"'!"&amp;"$"&amp;$D342&amp;$AY$1&amp;"")</f>
        <v>8.3999999999999986</v>
      </c>
      <c r="BA342" s="300">
        <v>0.97</v>
      </c>
      <c r="BB342" s="298">
        <v>2.1</v>
      </c>
      <c r="BC342" s="299" cm="1">
        <f t="array" aca="1" ref="BC342" ca="1">INDIRECT("'"&amp;$C342&amp;"'!"&amp;"$"&amp;$D342&amp;$BC$1&amp;"")</f>
        <v>1.36</v>
      </c>
      <c r="BD342" s="300"/>
      <c r="BE342" s="300">
        <v>0.99</v>
      </c>
      <c r="BF342" s="298">
        <v>0.19</v>
      </c>
      <c r="BG342" s="299" cm="1">
        <f t="array" aca="1" ref="BG342" ca="1">INDIRECT("'"&amp;$C342&amp;"'!"&amp;"$"&amp;$D342&amp;$BG$1&amp;"")</f>
        <v>0.86</v>
      </c>
      <c r="BH342" s="300"/>
      <c r="BI342" s="300">
        <v>0.96</v>
      </c>
      <c r="BJ342" s="298">
        <v>0.24</v>
      </c>
      <c r="BK342" s="297" cm="1">
        <f t="array" aca="1" ref="BK342" ca="1">INDIRECT("'"&amp;$C342&amp;"'!"&amp;"$"&amp;$D342&amp;$BK$1&amp;"")</f>
        <v>5.0999999999999996</v>
      </c>
      <c r="BL342" s="300"/>
      <c r="BM342" s="300">
        <v>0.98</v>
      </c>
      <c r="BN342" s="298">
        <v>1</v>
      </c>
    </row>
    <row r="343" spans="1:66" ht="15.75" thickBot="1" x14ac:dyDescent="0.25">
      <c r="A343" s="368">
        <v>45702</v>
      </c>
      <c r="B343" s="365">
        <v>0.54166666666666696</v>
      </c>
      <c r="C343" s="383">
        <v>14</v>
      </c>
      <c r="D343" s="319" t="s">
        <v>123</v>
      </c>
      <c r="E343" s="290">
        <v>14.3</v>
      </c>
      <c r="F343" s="291">
        <v>69.41</v>
      </c>
      <c r="G343" s="292" cm="1">
        <f t="array" aca="1" ref="G343" ca="1">INDIRECT("'"&amp;$C343&amp;"'!"&amp;"$"&amp;$D343&amp;$E$1&amp;"")</f>
        <v>6.6</v>
      </c>
      <c r="H343" s="293">
        <v>0.94</v>
      </c>
      <c r="I343" s="291">
        <v>2.12</v>
      </c>
      <c r="J343" s="292" cm="1">
        <f t="array" aca="1" ref="J343" ca="1">INDIRECT("'"&amp;$C343&amp;"'!"&amp;"$"&amp;$D343&amp;$J$1&amp;"")</f>
        <v>6.6</v>
      </c>
      <c r="K343" s="293"/>
      <c r="L343" s="293">
        <v>0.95</v>
      </c>
      <c r="M343" s="291">
        <v>2.13</v>
      </c>
      <c r="N343" s="292" cm="1">
        <f t="array" aca="1" ref="N343" ca="1">INDIRECT("'"&amp;$C343&amp;"'!"&amp;"$"&amp;$D343&amp;$N$1&amp;"")</f>
        <v>6.6</v>
      </c>
      <c r="O343" s="293"/>
      <c r="P343" s="293">
        <v>0.95</v>
      </c>
      <c r="Q343" s="291">
        <v>2.11</v>
      </c>
      <c r="R343" s="292" cm="1">
        <f t="array" aca="1" ref="R343" ca="1">INDIRECT("'"&amp;$C343&amp;"'!"&amp;"$"&amp;$D343&amp;$R$1&amp;"")</f>
        <v>6.6</v>
      </c>
      <c r="S343" s="293"/>
      <c r="T343" s="293">
        <v>0.95</v>
      </c>
      <c r="U343" s="291">
        <v>2.15</v>
      </c>
      <c r="V343" s="292" t="str" cm="1">
        <f t="array" aca="1" ref="V343" ca="1">INDIRECT("'"&amp;$C343&amp;"'!"&amp;"$"&amp;$D343&amp;$V$1&amp;"")</f>
        <v>CMS</v>
      </c>
      <c r="W343" s="293" t="s">
        <v>1</v>
      </c>
      <c r="X343" s="293" t="s">
        <v>1</v>
      </c>
      <c r="Y343" s="294" t="s">
        <v>1</v>
      </c>
      <c r="Z343" s="386" cm="1">
        <f t="array" aca="1" ref="Z343" ca="1">INDIRECT("'"&amp;$C343&amp;"'!"&amp;"$"&amp;$D343&amp;$Z$1&amp;"")</f>
        <v>0</v>
      </c>
      <c r="AA343" s="292" t="s">
        <v>1</v>
      </c>
      <c r="AB343" s="293" t="s">
        <v>1</v>
      </c>
      <c r="AC343" s="291" t="s">
        <v>1</v>
      </c>
      <c r="AD343" s="292" cm="1">
        <f t="array" aca="1" ref="AD343" ca="1">INDIRECT("'"&amp;$C343&amp;"'!"&amp;"$"&amp;$D343&amp;$AD$1&amp;"")</f>
        <v>3.3</v>
      </c>
      <c r="AE343" s="293">
        <f>3.8*3.51</f>
        <v>13.337999999999999</v>
      </c>
      <c r="AF343" s="293">
        <v>0.93</v>
      </c>
      <c r="AG343" s="294">
        <v>1.36</v>
      </c>
      <c r="AH343" s="290" cm="1">
        <f t="array" aca="1" ref="AH343" ca="1">INDIRECT("'"&amp;$C343&amp;"'!"&amp;"$"&amp;$D343&amp;$AH$1&amp;"")</f>
        <v>3.8</v>
      </c>
      <c r="AI343" s="293">
        <v>13.52</v>
      </c>
      <c r="AJ343" s="293">
        <v>0.98</v>
      </c>
      <c r="AK343" s="291">
        <v>0.627</v>
      </c>
      <c r="AL343" s="290">
        <v>11.8</v>
      </c>
      <c r="AM343" s="294">
        <v>69.2</v>
      </c>
      <c r="AN343" s="290" cm="1">
        <f t="array" aca="1" ref="AN343" ca="1">INDIRECT("'"&amp;$C343&amp;"'!"&amp;"$"&amp;$D343&amp;$AL$1&amp;"")</f>
        <v>3.7</v>
      </c>
      <c r="AO343" s="293">
        <v>0.93</v>
      </c>
      <c r="AP343" s="291">
        <v>1.36</v>
      </c>
      <c r="AQ343" s="292" cm="1">
        <f t="array" aca="1" ref="AQ343" ca="1">INDIRECT("'"&amp;$C343&amp;"'!"&amp;"$"&amp;$D343&amp;$AQ$1&amp;"")</f>
        <v>3.7</v>
      </c>
      <c r="AR343" s="293">
        <v>0.93</v>
      </c>
      <c r="AS343" s="291">
        <v>1.47</v>
      </c>
      <c r="AT343" s="290">
        <v>13.88</v>
      </c>
      <c r="AU343" s="294">
        <v>70.010000000000005</v>
      </c>
      <c r="AV343" s="290" cm="1">
        <f t="array" aca="1" ref="AV343" ca="1">INDIRECT("'"&amp;$C343&amp;"'!"&amp;"$"&amp;$D343&amp;$AT$1&amp;"")</f>
        <v>4</v>
      </c>
      <c r="AW343" s="293" t="s">
        <v>1</v>
      </c>
      <c r="AX343" s="294" t="s">
        <v>1</v>
      </c>
      <c r="AY343" s="386">
        <v>68</v>
      </c>
      <c r="AZ343" s="296" cm="1">
        <f t="array" aca="1" ref="AZ343" ca="1">INDIRECT("'"&amp;$C343&amp;"'!"&amp;"$"&amp;$D343&amp;$AY$1&amp;"")</f>
        <v>5.0999999999999996</v>
      </c>
      <c r="BA343" s="293">
        <v>0.96</v>
      </c>
      <c r="BB343" s="291">
        <v>1.46</v>
      </c>
      <c r="BC343" s="292" cm="1">
        <f t="array" aca="1" ref="BC343" ca="1">INDIRECT("'"&amp;$C343&amp;"'!"&amp;"$"&amp;$D343&amp;$BC$1&amp;"")</f>
        <v>1.36</v>
      </c>
      <c r="BD343" s="293"/>
      <c r="BE343" s="293">
        <v>0.99</v>
      </c>
      <c r="BF343" s="291">
        <v>0.18</v>
      </c>
      <c r="BG343" s="292" cm="1">
        <f t="array" aca="1" ref="BG343" ca="1">INDIRECT("'"&amp;$C343&amp;"'!"&amp;"$"&amp;$D343&amp;$BG$1&amp;"")</f>
        <v>0.87</v>
      </c>
      <c r="BH343" s="293"/>
      <c r="BI343" s="293">
        <v>0.96</v>
      </c>
      <c r="BJ343" s="291">
        <v>0.24</v>
      </c>
      <c r="BK343" s="290" cm="1">
        <f t="array" aca="1" ref="BK343" ca="1">INDIRECT("'"&amp;$C343&amp;"'!"&amp;"$"&amp;$D343&amp;$BK$1&amp;"")</f>
        <v>4.9000000000000004</v>
      </c>
      <c r="BL343" s="293"/>
      <c r="BM343" s="293">
        <v>0.95</v>
      </c>
      <c r="BN343" s="291">
        <v>1.6</v>
      </c>
    </row>
    <row r="344" spans="1:66" ht="15.75" thickBot="1" x14ac:dyDescent="0.25">
      <c r="A344" s="368">
        <v>45702</v>
      </c>
      <c r="B344" s="365">
        <v>0.58333333333333404</v>
      </c>
      <c r="C344" s="383">
        <v>14</v>
      </c>
      <c r="D344" s="319" t="s">
        <v>124</v>
      </c>
      <c r="E344" s="297">
        <v>14.3</v>
      </c>
      <c r="F344" s="298">
        <v>69.3</v>
      </c>
      <c r="G344" s="299" cm="1">
        <f t="array" aca="1" ref="G344" ca="1">INDIRECT("'"&amp;$C344&amp;"'!"&amp;"$"&amp;$D344&amp;$E$1&amp;"")</f>
        <v>6.7</v>
      </c>
      <c r="H344" s="300">
        <v>0.95</v>
      </c>
      <c r="I344" s="298">
        <v>2.19</v>
      </c>
      <c r="J344" s="299" cm="1">
        <f t="array" aca="1" ref="J344" ca="1">INDIRECT("'"&amp;$C344&amp;"'!"&amp;"$"&amp;$D344&amp;$J$1&amp;"")</f>
        <v>6.7</v>
      </c>
      <c r="K344" s="300"/>
      <c r="L344" s="300">
        <v>0.95</v>
      </c>
      <c r="M344" s="298">
        <v>2.21</v>
      </c>
      <c r="N344" s="299" cm="1">
        <f t="array" aca="1" ref="N344" ca="1">INDIRECT("'"&amp;$C344&amp;"'!"&amp;"$"&amp;$D344&amp;$N$1&amp;"")</f>
        <v>6.7</v>
      </c>
      <c r="O344" s="300"/>
      <c r="P344" s="300">
        <v>0.95</v>
      </c>
      <c r="Q344" s="298">
        <v>2.17</v>
      </c>
      <c r="R344" s="299" cm="1">
        <f t="array" aca="1" ref="R344" ca="1">INDIRECT("'"&amp;$C344&amp;"'!"&amp;"$"&amp;$D344&amp;$R$1&amp;"")</f>
        <v>6.7</v>
      </c>
      <c r="S344" s="300"/>
      <c r="T344" s="300">
        <v>0.93</v>
      </c>
      <c r="U344" s="298">
        <v>2.52</v>
      </c>
      <c r="V344" s="299" t="str" cm="1">
        <f t="array" aca="1" ref="V344" ca="1">INDIRECT("'"&amp;$C344&amp;"'!"&amp;"$"&amp;$D344&amp;$V$1&amp;"")</f>
        <v>CMS</v>
      </c>
      <c r="W344" s="300" t="s">
        <v>1</v>
      </c>
      <c r="X344" s="300" t="s">
        <v>1</v>
      </c>
      <c r="Y344" s="301" t="s">
        <v>1</v>
      </c>
      <c r="Z344" s="387" cm="1">
        <f t="array" aca="1" ref="Z344" ca="1">INDIRECT("'"&amp;$C344&amp;"'!"&amp;"$"&amp;$D344&amp;$Z$1&amp;"")</f>
        <v>0</v>
      </c>
      <c r="AA344" s="299" t="s">
        <v>1</v>
      </c>
      <c r="AB344" s="300" t="s">
        <v>1</v>
      </c>
      <c r="AC344" s="298" t="s">
        <v>1</v>
      </c>
      <c r="AD344" s="299" cm="1">
        <f t="array" aca="1" ref="AD344" ca="1">INDIRECT("'"&amp;$C344&amp;"'!"&amp;"$"&amp;$D344&amp;$AD$1&amp;"")</f>
        <v>3.3</v>
      </c>
      <c r="AE344" s="300">
        <f>3.8*3.49</f>
        <v>13.262</v>
      </c>
      <c r="AF344" s="300">
        <v>0.98</v>
      </c>
      <c r="AG344" s="301">
        <v>1.39</v>
      </c>
      <c r="AH344" s="297" cm="1">
        <f t="array" aca="1" ref="AH344" ca="1">INDIRECT("'"&amp;$C344&amp;"'!"&amp;"$"&amp;$D344&amp;$AH$1&amp;"")</f>
        <v>3.8</v>
      </c>
      <c r="AI344" s="300">
        <v>13.52</v>
      </c>
      <c r="AJ344" s="300">
        <v>0.99</v>
      </c>
      <c r="AK344" s="298">
        <v>0.49</v>
      </c>
      <c r="AL344" s="297">
        <v>11.8</v>
      </c>
      <c r="AM344" s="301">
        <v>69.3</v>
      </c>
      <c r="AN344" s="297" cm="1">
        <f t="array" aca="1" ref="AN344" ca="1">INDIRECT("'"&amp;$C344&amp;"'!"&amp;"$"&amp;$D344&amp;$AL$1&amp;"")</f>
        <v>3.7</v>
      </c>
      <c r="AO344" s="300">
        <v>0.93</v>
      </c>
      <c r="AP344" s="298">
        <v>1.32</v>
      </c>
      <c r="AQ344" s="299" cm="1">
        <f t="array" aca="1" ref="AQ344" ca="1">INDIRECT("'"&amp;$C344&amp;"'!"&amp;"$"&amp;$D344&amp;$AQ$1&amp;"")</f>
        <v>3.7</v>
      </c>
      <c r="AR344" s="300">
        <v>0.93</v>
      </c>
      <c r="AS344" s="298">
        <v>1.37</v>
      </c>
      <c r="AT344" s="297">
        <v>13.95</v>
      </c>
      <c r="AU344" s="301">
        <v>69.290000000000006</v>
      </c>
      <c r="AV344" s="297" cm="1">
        <f t="array" aca="1" ref="AV344" ca="1">INDIRECT("'"&amp;$C344&amp;"'!"&amp;"$"&amp;$D344&amp;$AT$1&amp;"")</f>
        <v>3.79</v>
      </c>
      <c r="AW344" s="300" t="s">
        <v>1</v>
      </c>
      <c r="AX344" s="301" t="s">
        <v>1</v>
      </c>
      <c r="AY344" s="387">
        <v>67.900000000000006</v>
      </c>
      <c r="AZ344" s="303" cm="1">
        <f t="array" aca="1" ref="AZ344" ca="1">INDIRECT("'"&amp;$C344&amp;"'!"&amp;"$"&amp;$D344&amp;$AY$1&amp;"")</f>
        <v>5.8999999999999995</v>
      </c>
      <c r="BA344" s="300">
        <v>0.95</v>
      </c>
      <c r="BB344" s="298">
        <v>1.9</v>
      </c>
      <c r="BC344" s="299" cm="1">
        <f t="array" aca="1" ref="BC344" ca="1">INDIRECT("'"&amp;$C344&amp;"'!"&amp;"$"&amp;$D344&amp;$BC$1&amp;"")</f>
        <v>1.39</v>
      </c>
      <c r="BD344" s="300"/>
      <c r="BE344" s="300">
        <v>0.99</v>
      </c>
      <c r="BF344" s="298">
        <v>0.2</v>
      </c>
      <c r="BG344" s="299" cm="1">
        <f t="array" aca="1" ref="BG344" ca="1">INDIRECT("'"&amp;$C344&amp;"'!"&amp;"$"&amp;$D344&amp;$BG$1&amp;"")</f>
        <v>0.92</v>
      </c>
      <c r="BH344" s="300"/>
      <c r="BI344" s="300">
        <v>0.96</v>
      </c>
      <c r="BJ344" s="298">
        <v>0.27</v>
      </c>
      <c r="BK344" s="297" cm="1">
        <f t="array" aca="1" ref="BK344" ca="1">INDIRECT("'"&amp;$C344&amp;"'!"&amp;"$"&amp;$D344&amp;$BK$1&amp;"")</f>
        <v>5.0999999999999996</v>
      </c>
      <c r="BL344" s="300"/>
      <c r="BM344" s="300">
        <v>0.95</v>
      </c>
      <c r="BN344" s="298">
        <v>1.6</v>
      </c>
    </row>
    <row r="345" spans="1:66" ht="15.75" thickBot="1" x14ac:dyDescent="0.25">
      <c r="A345" s="368">
        <v>45702</v>
      </c>
      <c r="B345" s="365">
        <v>0.625</v>
      </c>
      <c r="C345" s="383">
        <v>14</v>
      </c>
      <c r="D345" s="319" t="s">
        <v>125</v>
      </c>
      <c r="E345" s="290">
        <v>14.3</v>
      </c>
      <c r="F345" s="291">
        <v>69.349999999999994</v>
      </c>
      <c r="G345" s="292" cm="1">
        <f t="array" aca="1" ref="G345" ca="1">INDIRECT("'"&amp;$C345&amp;"'!"&amp;"$"&amp;$D345&amp;$E$1&amp;"")</f>
        <v>6.6</v>
      </c>
      <c r="H345" s="293">
        <v>0.94</v>
      </c>
      <c r="I345" s="291">
        <v>2.36</v>
      </c>
      <c r="J345" s="292" cm="1">
        <f t="array" aca="1" ref="J345" ca="1">INDIRECT("'"&amp;$C345&amp;"'!"&amp;"$"&amp;$D345&amp;$J$1&amp;"")</f>
        <v>6.6</v>
      </c>
      <c r="K345" s="293"/>
      <c r="L345" s="293">
        <v>0.94</v>
      </c>
      <c r="M345" s="291">
        <v>2.36</v>
      </c>
      <c r="N345" s="292" cm="1">
        <f t="array" aca="1" ref="N345" ca="1">INDIRECT("'"&amp;$C345&amp;"'!"&amp;"$"&amp;$D345&amp;$N$1&amp;"")</f>
        <v>6.6</v>
      </c>
      <c r="O345" s="293"/>
      <c r="P345" s="293">
        <v>0.94</v>
      </c>
      <c r="Q345" s="291">
        <v>2.36</v>
      </c>
      <c r="R345" s="292" cm="1">
        <f t="array" aca="1" ref="R345" ca="1">INDIRECT("'"&amp;$C345&amp;"'!"&amp;"$"&amp;$D345&amp;$R$1&amp;"")</f>
        <v>6.6</v>
      </c>
      <c r="S345" s="293"/>
      <c r="T345" s="293">
        <v>0.94</v>
      </c>
      <c r="U345" s="291">
        <v>2.39</v>
      </c>
      <c r="V345" s="292" t="str" cm="1">
        <f t="array" aca="1" ref="V345" ca="1">INDIRECT("'"&amp;$C345&amp;"'!"&amp;"$"&amp;$D345&amp;$V$1&amp;"")</f>
        <v>CMS</v>
      </c>
      <c r="W345" s="293" t="s">
        <v>1</v>
      </c>
      <c r="X345" s="293" t="s">
        <v>1</v>
      </c>
      <c r="Y345" s="294" t="s">
        <v>1</v>
      </c>
      <c r="Z345" s="386" cm="1">
        <f t="array" aca="1" ref="Z345" ca="1">INDIRECT("'"&amp;$C345&amp;"'!"&amp;"$"&amp;$D345&amp;$Z$1&amp;"")</f>
        <v>0</v>
      </c>
      <c r="AA345" s="292" t="s">
        <v>1</v>
      </c>
      <c r="AB345" s="293" t="s">
        <v>1</v>
      </c>
      <c r="AC345" s="291" t="s">
        <v>1</v>
      </c>
      <c r="AD345" s="292" cm="1">
        <f t="array" aca="1" ref="AD345" ca="1">INDIRECT("'"&amp;$C345&amp;"'!"&amp;"$"&amp;$D345&amp;$AD$1&amp;"")</f>
        <v>3.3</v>
      </c>
      <c r="AE345" s="293">
        <f>3.8*3.49</f>
        <v>13.262</v>
      </c>
      <c r="AF345" s="293">
        <v>0.92</v>
      </c>
      <c r="AG345" s="291">
        <v>1.45</v>
      </c>
      <c r="AH345" s="290" cm="1">
        <f t="array" aca="1" ref="AH345" ca="1">INDIRECT("'"&amp;$C345&amp;"'!"&amp;"$"&amp;$D345&amp;$AH$1&amp;"")</f>
        <v>3.8</v>
      </c>
      <c r="AI345" s="293">
        <v>13.88</v>
      </c>
      <c r="AJ345" s="293">
        <v>0.95</v>
      </c>
      <c r="AK345" s="291">
        <v>1.22</v>
      </c>
      <c r="AL345" s="290">
        <v>11.8</v>
      </c>
      <c r="AM345" s="294">
        <v>69.900000000000006</v>
      </c>
      <c r="AN345" s="290" cm="1">
        <f t="array" aca="1" ref="AN345" ca="1">INDIRECT("'"&amp;$C345&amp;"'!"&amp;"$"&amp;$D345&amp;$AL$1&amp;"")</f>
        <v>3.7</v>
      </c>
      <c r="AO345" s="293">
        <v>0.93</v>
      </c>
      <c r="AP345" s="291">
        <v>1.03</v>
      </c>
      <c r="AQ345" s="292" cm="1">
        <f t="array" aca="1" ref="AQ345" ca="1">INDIRECT("'"&amp;$C345&amp;"'!"&amp;"$"&amp;$D345&amp;$AQ$1&amp;"")</f>
        <v>3.7</v>
      </c>
      <c r="AR345" s="293">
        <v>0.93</v>
      </c>
      <c r="AS345" s="291">
        <v>1.03</v>
      </c>
      <c r="AT345" s="290">
        <v>14.23</v>
      </c>
      <c r="AU345" s="294">
        <v>70.5</v>
      </c>
      <c r="AV345" s="290" cm="1">
        <f t="array" aca="1" ref="AV345" ca="1">INDIRECT("'"&amp;$C345&amp;"'!"&amp;"$"&amp;$D345&amp;$AT$1&amp;"")</f>
        <v>6.92</v>
      </c>
      <c r="AW345" s="293">
        <v>0.995</v>
      </c>
      <c r="AX345" s="294">
        <v>2.44</v>
      </c>
      <c r="AY345" s="386">
        <v>67.8</v>
      </c>
      <c r="AZ345" s="296" cm="1">
        <f t="array" aca="1" ref="AZ345" ca="1">INDIRECT("'"&amp;$C345&amp;"'!"&amp;"$"&amp;$D345&amp;$AY$1&amp;"")</f>
        <v>3.5300000000000002</v>
      </c>
      <c r="BA345" s="293">
        <v>0.95</v>
      </c>
      <c r="BB345" s="291">
        <v>1.1000000000000001</v>
      </c>
      <c r="BC345" s="292" cm="1">
        <f t="array" aca="1" ref="BC345" ca="1">INDIRECT("'"&amp;$C345&amp;"'!"&amp;"$"&amp;$D345&amp;$BC$1&amp;"")</f>
        <v>1.38</v>
      </c>
      <c r="BD345" s="293"/>
      <c r="BE345" s="293">
        <v>0.99</v>
      </c>
      <c r="BF345" s="291">
        <v>0.18</v>
      </c>
      <c r="BG345" s="292" cm="1">
        <f t="array" aca="1" ref="BG345" ca="1">INDIRECT("'"&amp;$C345&amp;"'!"&amp;"$"&amp;$D345&amp;$BG$1&amp;"")</f>
        <v>0.91</v>
      </c>
      <c r="BH345" s="293"/>
      <c r="BI345" s="293">
        <v>0.96</v>
      </c>
      <c r="BJ345" s="291">
        <v>2.7</v>
      </c>
      <c r="BK345" s="290" cm="1">
        <f t="array" aca="1" ref="BK345" ca="1">INDIRECT("'"&amp;$C345&amp;"'!"&amp;"$"&amp;$D345&amp;$BK$1&amp;"")</f>
        <v>4.6900000000000004</v>
      </c>
      <c r="BL345" s="293"/>
      <c r="BM345" s="293">
        <v>0.95</v>
      </c>
      <c r="BN345" s="291">
        <v>1.54</v>
      </c>
    </row>
    <row r="346" spans="1:66" ht="15.75" thickBot="1" x14ac:dyDescent="0.25">
      <c r="A346" s="368">
        <v>45702</v>
      </c>
      <c r="B346" s="365">
        <v>0.66666666666666696</v>
      </c>
      <c r="C346" s="383">
        <v>14</v>
      </c>
      <c r="D346" s="319" t="s">
        <v>126</v>
      </c>
      <c r="E346" s="297">
        <v>14.3</v>
      </c>
      <c r="F346" s="298">
        <v>69.13</v>
      </c>
      <c r="G346" s="299" cm="1">
        <f t="array" aca="1" ref="G346" ca="1">INDIRECT("'"&amp;$C346&amp;"'!"&amp;"$"&amp;$D346&amp;$E$1&amp;"")</f>
        <v>6.6</v>
      </c>
      <c r="H346" s="300">
        <v>0.93</v>
      </c>
      <c r="I346" s="298">
        <v>2.5099999999999998</v>
      </c>
      <c r="J346" s="299" cm="1">
        <f t="array" aca="1" ref="J346" ca="1">INDIRECT("'"&amp;$C346&amp;"'!"&amp;"$"&amp;$D346&amp;$J$1&amp;"")</f>
        <v>6.6</v>
      </c>
      <c r="K346" s="300"/>
      <c r="L346" s="300">
        <v>0.93</v>
      </c>
      <c r="M346" s="298">
        <v>2.5099999999999998</v>
      </c>
      <c r="N346" s="299" cm="1">
        <f t="array" aca="1" ref="N346" ca="1">INDIRECT("'"&amp;$C346&amp;"'!"&amp;"$"&amp;$D346&amp;$N$1&amp;"")</f>
        <v>6.6</v>
      </c>
      <c r="O346" s="300"/>
      <c r="P346" s="300">
        <v>0.93</v>
      </c>
      <c r="Q346" s="298">
        <v>2.5299999999999998</v>
      </c>
      <c r="R346" s="299" cm="1">
        <f t="array" aca="1" ref="R346" ca="1">INDIRECT("'"&amp;$C346&amp;"'!"&amp;"$"&amp;$D346&amp;$R$1&amp;"")</f>
        <v>6.5</v>
      </c>
      <c r="S346" s="300"/>
      <c r="T346" s="300">
        <v>0.92</v>
      </c>
      <c r="U346" s="298">
        <v>2.78</v>
      </c>
      <c r="V346" s="299" t="str" cm="1">
        <f t="array" aca="1" ref="V346" ca="1">INDIRECT("'"&amp;$C346&amp;"'!"&amp;"$"&amp;$D346&amp;$V$1&amp;"")</f>
        <v>CMS</v>
      </c>
      <c r="W346" s="300" t="s">
        <v>1</v>
      </c>
      <c r="X346" s="300" t="s">
        <v>1</v>
      </c>
      <c r="Y346" s="301" t="s">
        <v>1</v>
      </c>
      <c r="Z346" s="387" cm="1">
        <f t="array" aca="1" ref="Z346" ca="1">INDIRECT("'"&amp;$C346&amp;"'!"&amp;"$"&amp;$D346&amp;$Z$1&amp;"")</f>
        <v>0</v>
      </c>
      <c r="AA346" s="299" t="s">
        <v>1</v>
      </c>
      <c r="AB346" s="300" t="s">
        <v>1</v>
      </c>
      <c r="AC346" s="298" t="s">
        <v>1</v>
      </c>
      <c r="AD346" s="299" cm="1">
        <f t="array" aca="1" ref="AD346" ca="1">INDIRECT("'"&amp;$C346&amp;"'!"&amp;"$"&amp;$D346&amp;$AD$1&amp;"")</f>
        <v>3.3</v>
      </c>
      <c r="AE346" s="300">
        <f>3.8*3.49</f>
        <v>13.262</v>
      </c>
      <c r="AF346" s="300">
        <v>0.92</v>
      </c>
      <c r="AG346" s="298">
        <v>1.46</v>
      </c>
      <c r="AH346" s="297" cm="1">
        <f t="array" aca="1" ref="AH346" ca="1">INDIRECT("'"&amp;$C346&amp;"'!"&amp;"$"&amp;$D346&amp;$AH$1&amp;"")</f>
        <v>3.8</v>
      </c>
      <c r="AI346" s="300">
        <v>13.84</v>
      </c>
      <c r="AJ346" s="300">
        <v>0.95</v>
      </c>
      <c r="AK346" s="298">
        <v>1.19</v>
      </c>
      <c r="AL346" s="297">
        <v>11.8</v>
      </c>
      <c r="AM346" s="301">
        <v>69.900000000000006</v>
      </c>
      <c r="AN346" s="297" cm="1">
        <f t="array" aca="1" ref="AN346" ca="1">INDIRECT("'"&amp;$C346&amp;"'!"&amp;"$"&amp;$D346&amp;$AL$1&amp;"")</f>
        <v>3.7</v>
      </c>
      <c r="AO346" s="300">
        <v>0.94</v>
      </c>
      <c r="AP346" s="298">
        <v>1.1299999999999999</v>
      </c>
      <c r="AQ346" s="299" cm="1">
        <f t="array" aca="1" ref="AQ346" ca="1">INDIRECT("'"&amp;$C346&amp;"'!"&amp;"$"&amp;$D346&amp;$AQ$1&amp;"")</f>
        <v>3.7</v>
      </c>
      <c r="AR346" s="300">
        <v>0.94</v>
      </c>
      <c r="AS346" s="298">
        <v>1.1299999999999999</v>
      </c>
      <c r="AT346" s="297">
        <v>14.14</v>
      </c>
      <c r="AU346" s="301">
        <v>70.3</v>
      </c>
      <c r="AV346" s="297" cm="1">
        <f t="array" aca="1" ref="AV346" ca="1">INDIRECT("'"&amp;$C346&amp;"'!"&amp;"$"&amp;$D346&amp;$AT$1&amp;"")</f>
        <v>8.6999999999999993</v>
      </c>
      <c r="AW346" s="300">
        <v>0.98</v>
      </c>
      <c r="AX346" s="301">
        <v>2.16</v>
      </c>
      <c r="AY346" s="387">
        <v>67.599999999999994</v>
      </c>
      <c r="AZ346" s="303" cm="1">
        <f t="array" aca="1" ref="AZ346" ca="1">INDIRECT("'"&amp;$C346&amp;"'!"&amp;"$"&amp;$D346&amp;$AY$1&amp;"")</f>
        <v>1.9</v>
      </c>
      <c r="BA346" s="300">
        <v>0.95</v>
      </c>
      <c r="BB346" s="298">
        <v>0.62</v>
      </c>
      <c r="BC346" s="299" cm="1">
        <f t="array" aca="1" ref="BC346" ca="1">INDIRECT("'"&amp;$C346&amp;"'!"&amp;"$"&amp;$D346&amp;$BC$1&amp;"")</f>
        <v>1.25</v>
      </c>
      <c r="BD346" s="300"/>
      <c r="BE346" s="300">
        <v>0.99</v>
      </c>
      <c r="BF346" s="298">
        <v>0.18</v>
      </c>
      <c r="BG346" s="299" cm="1">
        <f t="array" aca="1" ref="BG346" ca="1">INDIRECT("'"&amp;$C346&amp;"'!"&amp;"$"&amp;$D346&amp;$BG$1&amp;"")</f>
        <v>0.89</v>
      </c>
      <c r="BH346" s="300"/>
      <c r="BI346" s="300">
        <v>0.96</v>
      </c>
      <c r="BJ346" s="298">
        <v>0.26</v>
      </c>
      <c r="BK346" s="297" cm="1">
        <f t="array" aca="1" ref="BK346" ca="1">INDIRECT("'"&amp;$C346&amp;"'!"&amp;"$"&amp;$D346&amp;$BK$1&amp;"")</f>
        <v>4.67</v>
      </c>
      <c r="BL346" s="300"/>
      <c r="BM346" s="300">
        <v>0.95</v>
      </c>
      <c r="BN346" s="298">
        <v>1.5</v>
      </c>
    </row>
    <row r="347" spans="1:66" ht="15.75" thickBot="1" x14ac:dyDescent="0.25">
      <c r="A347" s="368">
        <v>45702</v>
      </c>
      <c r="B347" s="365">
        <v>0.70833333333333404</v>
      </c>
      <c r="C347" s="383">
        <v>14</v>
      </c>
      <c r="D347" s="319" t="s">
        <v>127</v>
      </c>
      <c r="E347" s="290">
        <v>14.3</v>
      </c>
      <c r="F347" s="291">
        <v>69.36</v>
      </c>
      <c r="G347" s="292" cm="1">
        <f t="array" aca="1" ref="G347" ca="1">INDIRECT("'"&amp;$C347&amp;"'!"&amp;"$"&amp;$D347&amp;$E$1&amp;"")</f>
        <v>6.2</v>
      </c>
      <c r="H347" s="293">
        <v>0.93</v>
      </c>
      <c r="I347" s="291">
        <v>2.38</v>
      </c>
      <c r="J347" s="292" cm="1">
        <f t="array" aca="1" ref="J347" ca="1">INDIRECT("'"&amp;$C347&amp;"'!"&amp;"$"&amp;$D347&amp;$J$1&amp;"")</f>
        <v>6.2</v>
      </c>
      <c r="K347" s="293"/>
      <c r="L347" s="293">
        <v>0.93</v>
      </c>
      <c r="M347" s="291">
        <v>2.36</v>
      </c>
      <c r="N347" s="292" cm="1">
        <f t="array" aca="1" ref="N347" ca="1">INDIRECT("'"&amp;$C347&amp;"'!"&amp;"$"&amp;$D347&amp;$N$1&amp;"")</f>
        <v>6.2</v>
      </c>
      <c r="O347" s="293"/>
      <c r="P347" s="293">
        <v>0.94</v>
      </c>
      <c r="Q347" s="291">
        <v>2.41</v>
      </c>
      <c r="R347" s="292" cm="1">
        <f t="array" aca="1" ref="R347" ca="1">INDIRECT("'"&amp;$C347&amp;"'!"&amp;"$"&amp;$D347&amp;$R$1&amp;"")</f>
        <v>6.2</v>
      </c>
      <c r="S347" s="293"/>
      <c r="T347" s="293">
        <v>0.95</v>
      </c>
      <c r="U347" s="291">
        <v>2.0299999999999998</v>
      </c>
      <c r="V347" s="292" t="str" cm="1">
        <f t="array" aca="1" ref="V347" ca="1">INDIRECT("'"&amp;$C347&amp;"'!"&amp;"$"&amp;$D347&amp;$V$1&amp;"")</f>
        <v>CMS</v>
      </c>
      <c r="W347" s="293" t="s">
        <v>1</v>
      </c>
      <c r="X347" s="293" t="s">
        <v>1</v>
      </c>
      <c r="Y347" s="294" t="s">
        <v>1</v>
      </c>
      <c r="Z347" s="386" cm="1">
        <f t="array" aca="1" ref="Z347" ca="1">INDIRECT("'"&amp;$C347&amp;"'!"&amp;"$"&amp;$D347&amp;$Z$1&amp;"")</f>
        <v>0</v>
      </c>
      <c r="AA347" s="292" t="s">
        <v>1</v>
      </c>
      <c r="AB347" s="293" t="s">
        <v>1</v>
      </c>
      <c r="AC347" s="291" t="s">
        <v>1</v>
      </c>
      <c r="AD347" s="292" cm="1">
        <f t="array" aca="1" ref="AD347" ca="1">INDIRECT("'"&amp;$C347&amp;"'!"&amp;"$"&amp;$D347&amp;$AD$1&amp;"")</f>
        <v>3</v>
      </c>
      <c r="AE347" s="293">
        <f>3.8*3.51</f>
        <v>13.337999999999999</v>
      </c>
      <c r="AF347" s="293">
        <v>0.94</v>
      </c>
      <c r="AG347" s="291">
        <v>1.2</v>
      </c>
      <c r="AH347" s="290" cm="1">
        <f t="array" aca="1" ref="AH347" ca="1">INDIRECT("'"&amp;$C347&amp;"'!"&amp;"$"&amp;$D347&amp;$AH$1&amp;"")</f>
        <v>3.8</v>
      </c>
      <c r="AI347" s="293">
        <v>13.92</v>
      </c>
      <c r="AJ347" s="293">
        <v>0.98</v>
      </c>
      <c r="AK347" s="291">
        <v>0.748</v>
      </c>
      <c r="AL347" s="290">
        <v>11.8</v>
      </c>
      <c r="AM347" s="294">
        <v>70.5</v>
      </c>
      <c r="AN347" s="290" cm="1">
        <f t="array" aca="1" ref="AN347" ca="1">INDIRECT("'"&amp;$C347&amp;"'!"&amp;"$"&amp;$D347&amp;$AL$1&amp;"")</f>
        <v>3</v>
      </c>
      <c r="AO347" s="293">
        <v>0.97</v>
      </c>
      <c r="AP347" s="291">
        <v>0.99</v>
      </c>
      <c r="AQ347" s="292" cm="1">
        <f t="array" aca="1" ref="AQ347" ca="1">INDIRECT("'"&amp;$C347&amp;"'!"&amp;"$"&amp;$D347&amp;$AQ$1&amp;"")</f>
        <v>3</v>
      </c>
      <c r="AR347" s="293">
        <v>0.97</v>
      </c>
      <c r="AS347" s="291">
        <v>0.99</v>
      </c>
      <c r="AT347" s="290">
        <v>14.22</v>
      </c>
      <c r="AU347" s="294">
        <v>70.55</v>
      </c>
      <c r="AV347" s="290" cm="1">
        <f t="array" aca="1" ref="AV347" ca="1">INDIRECT("'"&amp;$C347&amp;"'!"&amp;"$"&amp;$D347&amp;$AT$1&amp;"")</f>
        <v>8.66</v>
      </c>
      <c r="AW347" s="293">
        <v>0.99</v>
      </c>
      <c r="AX347" s="294">
        <v>1.45</v>
      </c>
      <c r="AY347" s="386">
        <v>67.8</v>
      </c>
      <c r="AZ347" s="296" cm="1">
        <f t="array" aca="1" ref="AZ347" ca="1">INDIRECT("'"&amp;$C347&amp;"'!"&amp;"$"&amp;$D347&amp;$AY$1&amp;"")</f>
        <v>0</v>
      </c>
      <c r="BA347" s="293" t="s">
        <v>1</v>
      </c>
      <c r="BB347" s="291" t="s">
        <v>1</v>
      </c>
      <c r="BC347" s="292" cm="1">
        <f t="array" aca="1" ref="BC347" ca="1">INDIRECT("'"&amp;$C347&amp;"'!"&amp;"$"&amp;$D347&amp;$BC$1&amp;"")</f>
        <v>1.28</v>
      </c>
      <c r="BD347" s="293"/>
      <c r="BE347" s="293">
        <v>0.99</v>
      </c>
      <c r="BF347" s="291">
        <v>0.16</v>
      </c>
      <c r="BG347" s="292" cm="1">
        <f t="array" aca="1" ref="BG347" ca="1">INDIRECT("'"&amp;$C347&amp;"'!"&amp;"$"&amp;$D347&amp;$BG$1&amp;"")</f>
        <v>0.88</v>
      </c>
      <c r="BH347" s="293"/>
      <c r="BI347" s="293">
        <v>0.96</v>
      </c>
      <c r="BJ347" s="291">
        <v>0.25</v>
      </c>
      <c r="BK347" s="290" cm="1">
        <f t="array" aca="1" ref="BK347" ca="1">INDIRECT("'"&amp;$C347&amp;"'!"&amp;"$"&amp;$D347&amp;$BK$1&amp;"")</f>
        <v>4.49</v>
      </c>
      <c r="BL347" s="293"/>
      <c r="BM347" s="293">
        <v>0.95</v>
      </c>
      <c r="BN347" s="291">
        <v>1.4</v>
      </c>
    </row>
    <row r="348" spans="1:66" ht="15.75" thickBot="1" x14ac:dyDescent="0.25">
      <c r="A348" s="368">
        <v>45702</v>
      </c>
      <c r="B348" s="365">
        <v>0.750000000000001</v>
      </c>
      <c r="C348" s="383">
        <v>14</v>
      </c>
      <c r="D348" s="319" t="s">
        <v>128</v>
      </c>
      <c r="E348" s="297">
        <v>14.3</v>
      </c>
      <c r="F348" s="298">
        <v>69.8</v>
      </c>
      <c r="G348" s="299" cm="1">
        <f t="array" aca="1" ref="G348" ca="1">INDIRECT("'"&amp;$C348&amp;"'!"&amp;"$"&amp;$D348&amp;$E$1&amp;"")</f>
        <v>6.6</v>
      </c>
      <c r="H348" s="300">
        <v>0.94</v>
      </c>
      <c r="I348" s="298">
        <v>2.38</v>
      </c>
      <c r="J348" s="299" cm="1">
        <f t="array" aca="1" ref="J348" ca="1">INDIRECT("'"&amp;$C348&amp;"'!"&amp;"$"&amp;$D348&amp;$J$1&amp;"")</f>
        <v>6.5</v>
      </c>
      <c r="K348" s="300"/>
      <c r="L348" s="300">
        <v>0.94</v>
      </c>
      <c r="M348" s="298">
        <v>2.34</v>
      </c>
      <c r="N348" s="299" cm="1">
        <f t="array" aca="1" ref="N348" ca="1">INDIRECT("'"&amp;$C348&amp;"'!"&amp;"$"&amp;$D348&amp;$N$1&amp;"")</f>
        <v>6.5</v>
      </c>
      <c r="O348" s="300"/>
      <c r="P348" s="300">
        <v>0.94</v>
      </c>
      <c r="Q348" s="298">
        <v>2.37</v>
      </c>
      <c r="R348" s="299" cm="1">
        <f t="array" aca="1" ref="R348" ca="1">INDIRECT("'"&amp;$C348&amp;"'!"&amp;"$"&amp;$D348&amp;$R$1&amp;"")</f>
        <v>6.5</v>
      </c>
      <c r="S348" s="300"/>
      <c r="T348" s="300">
        <v>0.97</v>
      </c>
      <c r="U348" s="298">
        <v>1.69</v>
      </c>
      <c r="V348" s="299" t="str" cm="1">
        <f t="array" aca="1" ref="V348" ca="1">INDIRECT("'"&amp;$C348&amp;"'!"&amp;"$"&amp;$D348&amp;$V$1&amp;"")</f>
        <v>CMS</v>
      </c>
      <c r="W348" s="300" t="s">
        <v>1</v>
      </c>
      <c r="X348" s="300" t="s">
        <v>1</v>
      </c>
      <c r="Y348" s="301" t="s">
        <v>1</v>
      </c>
      <c r="Z348" s="387" cm="1">
        <f t="array" aca="1" ref="Z348" ca="1">INDIRECT("'"&amp;$C348&amp;"'!"&amp;"$"&amp;$D348&amp;$Z$1&amp;"")</f>
        <v>0</v>
      </c>
      <c r="AA348" s="299" t="s">
        <v>1</v>
      </c>
      <c r="AB348" s="300" t="s">
        <v>1</v>
      </c>
      <c r="AC348" s="298" t="s">
        <v>1</v>
      </c>
      <c r="AD348" s="299" cm="1">
        <f t="array" aca="1" ref="AD348" ca="1">INDIRECT("'"&amp;$C348&amp;"'!"&amp;"$"&amp;$D348&amp;$AD$1&amp;"")</f>
        <v>3.3</v>
      </c>
      <c r="AE348" s="300">
        <f>3.8*3.52</f>
        <v>13.375999999999999</v>
      </c>
      <c r="AF348" s="300">
        <v>0.95</v>
      </c>
      <c r="AG348" s="298">
        <v>1.1299999999999999</v>
      </c>
      <c r="AH348" s="297" cm="1">
        <f t="array" aca="1" ref="AH348" ca="1">INDIRECT("'"&amp;$C348&amp;"'!"&amp;"$"&amp;$D348&amp;$AH$1&amp;"")</f>
        <v>3.8</v>
      </c>
      <c r="AI348" s="300">
        <v>13.92</v>
      </c>
      <c r="AJ348" s="300">
        <v>0.97</v>
      </c>
      <c r="AK348" s="298">
        <v>0.85599999999999998</v>
      </c>
      <c r="AL348" s="297">
        <v>11.8</v>
      </c>
      <c r="AM348" s="301">
        <v>70.5</v>
      </c>
      <c r="AN348" s="297" cm="1">
        <f t="array" aca="1" ref="AN348" ca="1">INDIRECT("'"&amp;$C348&amp;"'!"&amp;"$"&amp;$D348&amp;$AL$1&amp;"")</f>
        <v>2.6</v>
      </c>
      <c r="AO348" s="300">
        <v>0.96</v>
      </c>
      <c r="AP348" s="298">
        <v>0.75</v>
      </c>
      <c r="AQ348" s="299" cm="1">
        <f t="array" aca="1" ref="AQ348" ca="1">INDIRECT("'"&amp;$C348&amp;"'!"&amp;"$"&amp;$D348&amp;$AQ$1&amp;"")</f>
        <v>2.6</v>
      </c>
      <c r="AR348" s="300">
        <v>0.96</v>
      </c>
      <c r="AS348" s="298">
        <v>0.75</v>
      </c>
      <c r="AT348" s="297">
        <v>14.16</v>
      </c>
      <c r="AU348" s="301">
        <v>70.75</v>
      </c>
      <c r="AV348" s="297" cm="1">
        <f t="array" aca="1" ref="AV348" ca="1">INDIRECT("'"&amp;$C348&amp;"'!"&amp;"$"&amp;$D348&amp;$AT$1&amp;"")</f>
        <v>6</v>
      </c>
      <c r="AW348" s="300">
        <v>1</v>
      </c>
      <c r="AX348" s="301">
        <v>0.6</v>
      </c>
      <c r="AY348" s="387">
        <v>68.3</v>
      </c>
      <c r="AZ348" s="303" cm="1">
        <f t="array" aca="1" ref="AZ348" ca="1">INDIRECT("'"&amp;$C348&amp;"'!"&amp;"$"&amp;$D348&amp;$AY$1&amp;"")</f>
        <v>0</v>
      </c>
      <c r="BA348" s="300" t="s">
        <v>1</v>
      </c>
      <c r="BB348" s="298" t="s">
        <v>1</v>
      </c>
      <c r="BC348" s="299" cm="1">
        <f t="array" aca="1" ref="BC348" ca="1">INDIRECT("'"&amp;$C348&amp;"'!"&amp;"$"&amp;$D348&amp;$BC$1&amp;"")</f>
        <v>1.19</v>
      </c>
      <c r="BD348" s="300"/>
      <c r="BE348" s="300">
        <v>0.99</v>
      </c>
      <c r="BF348" s="298">
        <v>0.15</v>
      </c>
      <c r="BG348" s="299" cm="1">
        <f t="array" aca="1" ref="BG348" ca="1">INDIRECT("'"&amp;$C348&amp;"'!"&amp;"$"&amp;$D348&amp;$BG$1&amp;"")</f>
        <v>0.88</v>
      </c>
      <c r="BH348" s="300"/>
      <c r="BI348" s="300">
        <v>0.96</v>
      </c>
      <c r="BJ348" s="298">
        <v>0.26</v>
      </c>
      <c r="BK348" s="297" cm="1">
        <f t="array" aca="1" ref="BK348" ca="1">INDIRECT("'"&amp;$C348&amp;"'!"&amp;"$"&amp;$D348&amp;$BK$1&amp;"")</f>
        <v>4.2</v>
      </c>
      <c r="BL348" s="300"/>
      <c r="BM348" s="300">
        <v>0.95</v>
      </c>
      <c r="BN348" s="298">
        <v>1.3</v>
      </c>
    </row>
    <row r="349" spans="1:66" ht="15.75" thickBot="1" x14ac:dyDescent="0.25">
      <c r="A349" s="368">
        <v>45702</v>
      </c>
      <c r="B349" s="365">
        <v>0.79166666666666696</v>
      </c>
      <c r="C349" s="383">
        <v>14</v>
      </c>
      <c r="D349" s="319" t="s">
        <v>129</v>
      </c>
      <c r="E349" s="290">
        <v>14.3</v>
      </c>
      <c r="F349" s="291">
        <v>69.37</v>
      </c>
      <c r="G349" s="292" cm="1">
        <f t="array" aca="1" ref="G349" ca="1">INDIRECT("'"&amp;$C349&amp;"'!"&amp;"$"&amp;$D349&amp;$E$1&amp;"")</f>
        <v>6.4</v>
      </c>
      <c r="H349" s="293">
        <v>0.95</v>
      </c>
      <c r="I349" s="291">
        <v>2.09</v>
      </c>
      <c r="J349" s="292" cm="1">
        <f t="array" aca="1" ref="J349" ca="1">INDIRECT("'"&amp;$C349&amp;"'!"&amp;"$"&amp;$D349&amp;$J$1&amp;"")</f>
        <v>6.4</v>
      </c>
      <c r="K349" s="304"/>
      <c r="L349" s="293">
        <v>0.96</v>
      </c>
      <c r="M349" s="291">
        <v>1.96</v>
      </c>
      <c r="N349" s="292" cm="1">
        <f t="array" aca="1" ref="N349" ca="1">INDIRECT("'"&amp;$C349&amp;"'!"&amp;"$"&amp;$D349&amp;$N$1&amp;"")</f>
        <v>6.4</v>
      </c>
      <c r="O349" s="293"/>
      <c r="P349" s="293">
        <v>0.95</v>
      </c>
      <c r="Q349" s="291">
        <v>2.11</v>
      </c>
      <c r="R349" s="292" cm="1">
        <f t="array" aca="1" ref="R349" ca="1">INDIRECT("'"&amp;$C349&amp;"'!"&amp;"$"&amp;$D349&amp;$R$1&amp;"")</f>
        <v>6.5</v>
      </c>
      <c r="S349" s="293"/>
      <c r="T349" s="293">
        <v>0.92</v>
      </c>
      <c r="U349" s="291">
        <v>2.73</v>
      </c>
      <c r="V349" s="292" t="str" cm="1">
        <f t="array" aca="1" ref="V349" ca="1">INDIRECT("'"&amp;$C349&amp;"'!"&amp;"$"&amp;$D349&amp;$V$1&amp;"")</f>
        <v>CMS</v>
      </c>
      <c r="W349" s="293" t="s">
        <v>1</v>
      </c>
      <c r="X349" s="293" t="s">
        <v>1</v>
      </c>
      <c r="Y349" s="294" t="s">
        <v>1</v>
      </c>
      <c r="Z349" s="386" cm="1">
        <f t="array" aca="1" ref="Z349" ca="1">INDIRECT("'"&amp;$C349&amp;"'!"&amp;"$"&amp;$D349&amp;$Z$1&amp;"")</f>
        <v>0</v>
      </c>
      <c r="AA349" s="292" t="s">
        <v>1</v>
      </c>
      <c r="AB349" s="293" t="s">
        <v>1</v>
      </c>
      <c r="AC349" s="291" t="s">
        <v>1</v>
      </c>
      <c r="AD349" s="292" cm="1">
        <f t="array" aca="1" ref="AD349" ca="1">INDIRECT("'"&amp;$C349&amp;"'!"&amp;"$"&amp;$D349&amp;$AD$1&amp;"")</f>
        <v>3.3</v>
      </c>
      <c r="AE349" s="293">
        <f>3.8*3.5</f>
        <v>13.299999999999999</v>
      </c>
      <c r="AF349" s="293">
        <v>0.95</v>
      </c>
      <c r="AG349" s="291">
        <v>1.0900000000000001</v>
      </c>
      <c r="AH349" s="290" cm="1">
        <f t="array" aca="1" ref="AH349" ca="1">INDIRECT("'"&amp;$C349&amp;"'!"&amp;"$"&amp;$D349&amp;$AH$1&amp;"")</f>
        <v>3.8</v>
      </c>
      <c r="AI349" s="293">
        <v>13.92</v>
      </c>
      <c r="AJ349" s="293">
        <v>0.98</v>
      </c>
      <c r="AK349" s="291">
        <v>0.72799999999999998</v>
      </c>
      <c r="AL349" s="290">
        <v>11.8</v>
      </c>
      <c r="AM349" s="294">
        <v>70.5</v>
      </c>
      <c r="AN349" s="290" cm="1">
        <f t="array" aca="1" ref="AN349" ca="1">INDIRECT("'"&amp;$C349&amp;"'!"&amp;"$"&amp;$D349&amp;$AL$1&amp;"")</f>
        <v>3</v>
      </c>
      <c r="AO349" s="293">
        <v>0.96</v>
      </c>
      <c r="AP349" s="291">
        <v>0.94</v>
      </c>
      <c r="AQ349" s="292" cm="1">
        <f t="array" aca="1" ref="AQ349" ca="1">INDIRECT("'"&amp;$C349&amp;"'!"&amp;"$"&amp;$D349&amp;$AQ$1&amp;"")</f>
        <v>3</v>
      </c>
      <c r="AR349" s="293">
        <v>0.96</v>
      </c>
      <c r="AS349" s="291">
        <v>0.94</v>
      </c>
      <c r="AT349" s="290">
        <v>14.23</v>
      </c>
      <c r="AU349" s="294">
        <v>70.67</v>
      </c>
      <c r="AV349" s="290" cm="1">
        <f t="array" aca="1" ref="AV349" ca="1">INDIRECT("'"&amp;$C349&amp;"'!"&amp;"$"&amp;$D349&amp;$AT$1&amp;"")</f>
        <v>8.6999999999999993</v>
      </c>
      <c r="AW349" s="293">
        <v>1</v>
      </c>
      <c r="AX349" s="294">
        <v>0.8</v>
      </c>
      <c r="AY349" s="386">
        <v>68.099999999999994</v>
      </c>
      <c r="AZ349" s="296" cm="1">
        <f t="array" aca="1" ref="AZ349" ca="1">INDIRECT("'"&amp;$C349&amp;"'!"&amp;"$"&amp;$D349&amp;$AY$1&amp;"")</f>
        <v>0</v>
      </c>
      <c r="BA349" s="293" t="s">
        <v>1</v>
      </c>
      <c r="BB349" s="291" t="s">
        <v>1</v>
      </c>
      <c r="BC349" s="292" cm="1">
        <f t="array" aca="1" ref="BC349" ca="1">INDIRECT("'"&amp;$C349&amp;"'!"&amp;"$"&amp;$D349&amp;$BC$1&amp;"")</f>
        <v>1.51</v>
      </c>
      <c r="BD349" s="293"/>
      <c r="BE349" s="293">
        <v>0.99</v>
      </c>
      <c r="BF349" s="291">
        <v>0.17</v>
      </c>
      <c r="BG349" s="292" cm="1">
        <f t="array" aca="1" ref="BG349" ca="1">INDIRECT("'"&amp;$C349&amp;"'!"&amp;"$"&amp;$D349&amp;$BG$1&amp;"")</f>
        <v>1</v>
      </c>
      <c r="BH349" s="293"/>
      <c r="BI349" s="293">
        <v>0.97</v>
      </c>
      <c r="BJ349" s="291">
        <v>0.27</v>
      </c>
      <c r="BK349" s="290" cm="1">
        <f t="array" aca="1" ref="BK349" ca="1">INDIRECT("'"&amp;$C349&amp;"'!"&amp;"$"&amp;$D349&amp;$BK$1&amp;"")</f>
        <v>4.8499999999999996</v>
      </c>
      <c r="BL349" s="293"/>
      <c r="BM349" s="293">
        <v>0.95</v>
      </c>
      <c r="BN349" s="291">
        <v>1.5</v>
      </c>
    </row>
    <row r="350" spans="1:66" ht="15.75" thickBot="1" x14ac:dyDescent="0.25">
      <c r="A350" s="368">
        <v>45702</v>
      </c>
      <c r="B350" s="365">
        <v>0.83333333333333337</v>
      </c>
      <c r="C350" s="383">
        <v>14</v>
      </c>
      <c r="D350" s="319" t="s">
        <v>130</v>
      </c>
      <c r="E350" s="297">
        <v>14.1</v>
      </c>
      <c r="F350" s="298">
        <v>70.040000000000006</v>
      </c>
      <c r="G350" s="299" cm="1">
        <f t="array" aca="1" ref="G350" ca="1">INDIRECT("'"&amp;$C350&amp;"'!"&amp;"$"&amp;$D350&amp;$E$1&amp;"")</f>
        <v>6.4</v>
      </c>
      <c r="H350" s="300">
        <v>0.96</v>
      </c>
      <c r="I350" s="298">
        <v>2</v>
      </c>
      <c r="J350" s="299" cm="1">
        <f t="array" aca="1" ref="J350" ca="1">INDIRECT("'"&amp;$C350&amp;"'!"&amp;"$"&amp;$D350&amp;$J$1&amp;"")</f>
        <v>6.4</v>
      </c>
      <c r="K350" s="300"/>
      <c r="L350" s="300">
        <v>0.96</v>
      </c>
      <c r="M350" s="298">
        <v>2</v>
      </c>
      <c r="N350" s="299" cm="1">
        <f t="array" aca="1" ref="N350" ca="1">INDIRECT("'"&amp;$C350&amp;"'!"&amp;"$"&amp;$D350&amp;$N$1&amp;"")</f>
        <v>6.4</v>
      </c>
      <c r="O350" s="300"/>
      <c r="P350" s="300">
        <v>0.96</v>
      </c>
      <c r="Q350" s="298">
        <v>2</v>
      </c>
      <c r="R350" s="299" cm="1">
        <f t="array" aca="1" ref="R350" ca="1">INDIRECT("'"&amp;$C350&amp;"'!"&amp;"$"&amp;$D350&amp;$R$1&amp;"")</f>
        <v>6.4</v>
      </c>
      <c r="S350" s="300"/>
      <c r="T350" s="300">
        <v>0.96</v>
      </c>
      <c r="U350" s="298">
        <v>2</v>
      </c>
      <c r="V350" s="299" t="str" cm="1">
        <f t="array" aca="1" ref="V350" ca="1">INDIRECT("'"&amp;$C350&amp;"'!"&amp;"$"&amp;$D350&amp;$V$1&amp;"")</f>
        <v>CMS</v>
      </c>
      <c r="W350" s="300" t="s">
        <v>1</v>
      </c>
      <c r="X350" s="300" t="s">
        <v>1</v>
      </c>
      <c r="Y350" s="301" t="s">
        <v>1</v>
      </c>
      <c r="Z350" s="387" cm="1">
        <f t="array" aca="1" ref="Z350" ca="1">INDIRECT("'"&amp;$C350&amp;"'!"&amp;"$"&amp;$D350&amp;$Z$1&amp;"")</f>
        <v>0</v>
      </c>
      <c r="AA350" s="299" t="s">
        <v>1</v>
      </c>
      <c r="AB350" s="300" t="s">
        <v>1</v>
      </c>
      <c r="AC350" s="298" t="s">
        <v>1</v>
      </c>
      <c r="AD350" s="299" cm="1">
        <f t="array" aca="1" ref="AD350" ca="1">INDIRECT("'"&amp;$C350&amp;"'!"&amp;"$"&amp;$D350&amp;$AD$1&amp;"")</f>
        <v>3.3</v>
      </c>
      <c r="AE350" s="300">
        <f>3.8*3.54</f>
        <v>13.452</v>
      </c>
      <c r="AF350" s="300">
        <v>0.96</v>
      </c>
      <c r="AG350" s="298">
        <v>0.94</v>
      </c>
      <c r="AH350" s="297" cm="1">
        <f t="array" aca="1" ref="AH350" ca="1">INDIRECT("'"&amp;$C350&amp;"'!"&amp;"$"&amp;$D350&amp;$AH$1&amp;"")</f>
        <v>3.8</v>
      </c>
      <c r="AI350" s="300">
        <v>13.92</v>
      </c>
      <c r="AJ350" s="300">
        <v>0.97</v>
      </c>
      <c r="AK350" s="298">
        <v>0.94</v>
      </c>
      <c r="AL350" s="297">
        <v>11.8</v>
      </c>
      <c r="AM350" s="301">
        <v>70.5</v>
      </c>
      <c r="AN350" s="297" cm="1">
        <f t="array" aca="1" ref="AN350" ca="1">INDIRECT("'"&amp;$C350&amp;"'!"&amp;"$"&amp;$D350&amp;$AL$1&amp;"")</f>
        <v>3</v>
      </c>
      <c r="AO350" s="300">
        <v>0.96</v>
      </c>
      <c r="AP350" s="298">
        <v>0.94</v>
      </c>
      <c r="AQ350" s="299" cm="1">
        <f t="array" aca="1" ref="AQ350" ca="1">INDIRECT("'"&amp;$C350&amp;"'!"&amp;"$"&amp;$D350&amp;$AQ$1&amp;"")</f>
        <v>3</v>
      </c>
      <c r="AR350" s="300">
        <v>0.96</v>
      </c>
      <c r="AS350" s="298">
        <v>0.94</v>
      </c>
      <c r="AT350" s="297">
        <v>14.13</v>
      </c>
      <c r="AU350" s="301">
        <v>70.55</v>
      </c>
      <c r="AV350" s="297" cm="1">
        <f t="array" aca="1" ref="AV350" ca="1">INDIRECT("'"&amp;$C350&amp;"'!"&amp;"$"&amp;$D350&amp;$AT$1&amp;"")</f>
        <v>6.3</v>
      </c>
      <c r="AW350" s="300">
        <v>1</v>
      </c>
      <c r="AX350" s="301">
        <v>0.63</v>
      </c>
      <c r="AY350" s="387">
        <v>68.599999999999994</v>
      </c>
      <c r="AZ350" s="303" cm="1">
        <f t="array" aca="1" ref="AZ350" ca="1">INDIRECT("'"&amp;$C350&amp;"'!"&amp;"$"&amp;$D350&amp;$AY$1&amp;"")</f>
        <v>0</v>
      </c>
      <c r="BA350" s="300" t="s">
        <v>1</v>
      </c>
      <c r="BB350" s="298" t="s">
        <v>1</v>
      </c>
      <c r="BC350" s="299" cm="1">
        <f t="array" aca="1" ref="BC350" ca="1">INDIRECT("'"&amp;$C350&amp;"'!"&amp;"$"&amp;$D350&amp;$BC$1&amp;"")</f>
        <v>1.34</v>
      </c>
      <c r="BD350" s="300"/>
      <c r="BE350" s="300">
        <v>0.99</v>
      </c>
      <c r="BF350" s="298">
        <v>0.17</v>
      </c>
      <c r="BG350" s="299" cm="1">
        <f t="array" aca="1" ref="BG350" ca="1">INDIRECT("'"&amp;$C350&amp;"'!"&amp;"$"&amp;$D350&amp;$BG$1&amp;"")</f>
        <v>1</v>
      </c>
      <c r="BH350" s="300"/>
      <c r="BI350" s="300">
        <v>0.97</v>
      </c>
      <c r="BJ350" s="298">
        <v>0.26</v>
      </c>
      <c r="BK350" s="297" cm="1">
        <f t="array" aca="1" ref="BK350" ca="1">INDIRECT("'"&amp;$C350&amp;"'!"&amp;"$"&amp;$D350&amp;$BK$1&amp;"")</f>
        <v>4.76</v>
      </c>
      <c r="BL350" s="300"/>
      <c r="BM350" s="300">
        <v>0.95</v>
      </c>
      <c r="BN350" s="298">
        <v>1.5</v>
      </c>
    </row>
    <row r="351" spans="1:66" ht="15.75" thickBot="1" x14ac:dyDescent="0.25">
      <c r="A351" s="368">
        <v>45702</v>
      </c>
      <c r="B351" s="365">
        <v>0.875000000000001</v>
      </c>
      <c r="C351" s="383">
        <v>14</v>
      </c>
      <c r="D351" s="319" t="s">
        <v>131</v>
      </c>
      <c r="E351" s="290">
        <v>14</v>
      </c>
      <c r="F351" s="291">
        <v>69.180000000000007</v>
      </c>
      <c r="G351" s="292" cm="1">
        <f t="array" aca="1" ref="G351" ca="1">INDIRECT("'"&amp;$C351&amp;"'!"&amp;"$"&amp;$D351&amp;$E$1&amp;"")</f>
        <v>6.3</v>
      </c>
      <c r="H351" s="293">
        <v>0.96</v>
      </c>
      <c r="I351" s="291">
        <v>1.85</v>
      </c>
      <c r="J351" s="292" cm="1">
        <f t="array" aca="1" ref="J351" ca="1">INDIRECT("'"&amp;$C351&amp;"'!"&amp;"$"&amp;$D351&amp;$J$1&amp;"")</f>
        <v>6.3</v>
      </c>
      <c r="K351" s="293"/>
      <c r="L351" s="293">
        <v>0.96</v>
      </c>
      <c r="M351" s="291">
        <v>1.85</v>
      </c>
      <c r="N351" s="292" cm="1">
        <f t="array" aca="1" ref="N351" ca="1">INDIRECT("'"&amp;$C351&amp;"'!"&amp;"$"&amp;$D351&amp;$N$1&amp;"")</f>
        <v>6.3</v>
      </c>
      <c r="O351" s="293"/>
      <c r="P351" s="293">
        <v>0.96</v>
      </c>
      <c r="Q351" s="291">
        <v>1.85</v>
      </c>
      <c r="R351" s="292" cm="1">
        <f t="array" aca="1" ref="R351" ca="1">INDIRECT("'"&amp;$C351&amp;"'!"&amp;"$"&amp;$D351&amp;$R$1&amp;"")</f>
        <v>0</v>
      </c>
      <c r="S351" s="293"/>
      <c r="T351" s="293" t="s">
        <v>1</v>
      </c>
      <c r="U351" s="291" t="s">
        <v>1</v>
      </c>
      <c r="V351" s="292" t="str" cm="1">
        <f t="array" aca="1" ref="V351" ca="1">INDIRECT("'"&amp;$C351&amp;"'!"&amp;"$"&amp;$D351&amp;$V$1&amp;"")</f>
        <v>CMS</v>
      </c>
      <c r="W351" s="293" t="s">
        <v>1</v>
      </c>
      <c r="X351" s="293" t="s">
        <v>1</v>
      </c>
      <c r="Y351" s="294" t="s">
        <v>1</v>
      </c>
      <c r="Z351" s="386" cm="1">
        <f t="array" aca="1" ref="Z351" ca="1">INDIRECT("'"&amp;$C351&amp;"'!"&amp;"$"&amp;$D351&amp;$Z$1&amp;"")</f>
        <v>0</v>
      </c>
      <c r="AA351" s="292" t="s">
        <v>1</v>
      </c>
      <c r="AB351" s="293" t="s">
        <v>1</v>
      </c>
      <c r="AC351" s="291" t="s">
        <v>1</v>
      </c>
      <c r="AD351" s="292" cm="1">
        <f t="array" aca="1" ref="AD351" ca="1">INDIRECT("'"&amp;$C351&amp;"'!"&amp;"$"&amp;$D351&amp;$AD$1&amp;"")</f>
        <v>3.3</v>
      </c>
      <c r="AE351" s="293">
        <f>3.8*3.51</f>
        <v>13.337999999999999</v>
      </c>
      <c r="AF351" s="293">
        <v>0.96</v>
      </c>
      <c r="AG351" s="291">
        <v>0.92</v>
      </c>
      <c r="AH351" s="290" cm="1">
        <f t="array" aca="1" ref="AH351" ca="1">INDIRECT("'"&amp;$C351&amp;"'!"&amp;"$"&amp;$D351&amp;$AH$1&amp;"")</f>
        <v>3.8</v>
      </c>
      <c r="AI351" s="293">
        <v>13.92</v>
      </c>
      <c r="AJ351" s="293">
        <v>0.98</v>
      </c>
      <c r="AK351" s="291">
        <v>0.68600000000000005</v>
      </c>
      <c r="AL351" s="290">
        <v>11.8</v>
      </c>
      <c r="AM351" s="294">
        <v>70.5</v>
      </c>
      <c r="AN351" s="290" cm="1">
        <f t="array" aca="1" ref="AN351" ca="1">INDIRECT("'"&amp;$C351&amp;"'!"&amp;"$"&amp;$D351&amp;$AL$1&amp;"")</f>
        <v>2.5</v>
      </c>
      <c r="AO351" s="293">
        <v>0.95</v>
      </c>
      <c r="AP351" s="291">
        <v>0.77</v>
      </c>
      <c r="AQ351" s="292" cm="1">
        <f t="array" aca="1" ref="AQ351" ca="1">INDIRECT("'"&amp;$C351&amp;"'!"&amp;"$"&amp;$D351&amp;$AQ$1&amp;"")</f>
        <v>2.5</v>
      </c>
      <c r="AR351" s="293">
        <v>0.95</v>
      </c>
      <c r="AS351" s="291">
        <v>0.77</v>
      </c>
      <c r="AT351" s="290">
        <v>14.27</v>
      </c>
      <c r="AU351" s="294">
        <v>71.17</v>
      </c>
      <c r="AV351" s="290" cm="1">
        <f t="array" aca="1" ref="AV351" ca="1">INDIRECT("'"&amp;$C351&amp;"'!"&amp;"$"&amp;$D351&amp;$AT$1&amp;"")</f>
        <v>10.74</v>
      </c>
      <c r="AW351" s="293">
        <v>1</v>
      </c>
      <c r="AX351" s="294">
        <v>1</v>
      </c>
      <c r="AY351" s="386">
        <v>68</v>
      </c>
      <c r="AZ351" s="296" cm="1">
        <f t="array" aca="1" ref="AZ351" ca="1">INDIRECT("'"&amp;$C351&amp;"'!"&amp;"$"&amp;$D351&amp;$AY$1&amp;"")</f>
        <v>0.8</v>
      </c>
      <c r="BA351" s="293">
        <v>0.97</v>
      </c>
      <c r="BB351" s="291">
        <v>0.2</v>
      </c>
      <c r="BC351" s="292" cm="1">
        <f t="array" aca="1" ref="BC351" ca="1">INDIRECT("'"&amp;$C351&amp;"'!"&amp;"$"&amp;$D351&amp;$BC$1&amp;"")</f>
        <v>1.31</v>
      </c>
      <c r="BD351" s="293"/>
      <c r="BE351" s="293">
        <v>0.99</v>
      </c>
      <c r="BF351" s="291">
        <v>0.16</v>
      </c>
      <c r="BG351" s="292" cm="1">
        <f t="array" aca="1" ref="BG351" ca="1">INDIRECT("'"&amp;$C351&amp;"'!"&amp;"$"&amp;$D351&amp;$BG$1&amp;"")</f>
        <v>0.97</v>
      </c>
      <c r="BH351" s="293"/>
      <c r="BI351" s="293">
        <v>0.97</v>
      </c>
      <c r="BJ351" s="291">
        <v>0.25</v>
      </c>
      <c r="BK351" s="290" cm="1">
        <f t="array" aca="1" ref="BK351" ca="1">INDIRECT("'"&amp;$C351&amp;"'!"&amp;"$"&amp;$D351&amp;$BK$1&amp;"")</f>
        <v>4.3099999999999996</v>
      </c>
      <c r="BL351" s="293"/>
      <c r="BM351" s="293">
        <v>0.95</v>
      </c>
      <c r="BN351" s="291">
        <v>1.4</v>
      </c>
    </row>
    <row r="352" spans="1:66" ht="15.75" thickBot="1" x14ac:dyDescent="0.25">
      <c r="A352" s="368">
        <v>45702</v>
      </c>
      <c r="B352" s="365">
        <v>0.91666666666666696</v>
      </c>
      <c r="C352" s="383">
        <v>14</v>
      </c>
      <c r="D352" s="319" t="s">
        <v>132</v>
      </c>
      <c r="E352" s="297">
        <v>13.9</v>
      </c>
      <c r="F352" s="298">
        <v>69.2</v>
      </c>
      <c r="G352" s="299" cm="1">
        <f t="array" aca="1" ref="G352" ca="1">INDIRECT("'"&amp;$C352&amp;"'!"&amp;"$"&amp;$D352&amp;$E$1&amp;"")</f>
        <v>6.2</v>
      </c>
      <c r="H352" s="300">
        <v>0.97</v>
      </c>
      <c r="I352" s="298">
        <v>1.55</v>
      </c>
      <c r="J352" s="299" cm="1">
        <f t="array" aca="1" ref="J352" ca="1">INDIRECT("'"&amp;$C352&amp;"'!"&amp;"$"&amp;$D352&amp;$J$1&amp;"")</f>
        <v>6.2</v>
      </c>
      <c r="K352" s="300"/>
      <c r="L352" s="300">
        <v>0.97</v>
      </c>
      <c r="M352" s="298">
        <v>1.55</v>
      </c>
      <c r="N352" s="299" cm="1">
        <f t="array" aca="1" ref="N352" ca="1">INDIRECT("'"&amp;$C352&amp;"'!"&amp;"$"&amp;$D352&amp;$N$1&amp;"")</f>
        <v>6.2</v>
      </c>
      <c r="O352" s="300"/>
      <c r="P352" s="300">
        <v>0.97</v>
      </c>
      <c r="Q352" s="298">
        <v>1.55</v>
      </c>
      <c r="R352" s="299" cm="1">
        <f t="array" aca="1" ref="R352" ca="1">INDIRECT("'"&amp;$C352&amp;"'!"&amp;"$"&amp;$D352&amp;$R$1&amp;"")</f>
        <v>0</v>
      </c>
      <c r="S352" s="300"/>
      <c r="T352" s="300" t="s">
        <v>1</v>
      </c>
      <c r="U352" s="298" t="s">
        <v>1</v>
      </c>
      <c r="V352" s="299" t="str" cm="1">
        <f t="array" aca="1" ref="V352" ca="1">INDIRECT("'"&amp;$C352&amp;"'!"&amp;"$"&amp;$D352&amp;$V$1&amp;"")</f>
        <v>CMS</v>
      </c>
      <c r="W352" s="300" t="s">
        <v>1</v>
      </c>
      <c r="X352" s="300" t="s">
        <v>1</v>
      </c>
      <c r="Y352" s="301" t="s">
        <v>1</v>
      </c>
      <c r="Z352" s="387" cm="1">
        <f t="array" aca="1" ref="Z352" ca="1">INDIRECT("'"&amp;$C352&amp;"'!"&amp;"$"&amp;$D352&amp;$Z$1&amp;"")</f>
        <v>0</v>
      </c>
      <c r="AA352" s="299" t="s">
        <v>1</v>
      </c>
      <c r="AB352" s="300" t="s">
        <v>1</v>
      </c>
      <c r="AC352" s="298" t="s">
        <v>1</v>
      </c>
      <c r="AD352" s="299" cm="1">
        <f t="array" aca="1" ref="AD352" ca="1">INDIRECT("'"&amp;$C352&amp;"'!"&amp;"$"&amp;$D352&amp;$AD$1&amp;"")</f>
        <v>3.3</v>
      </c>
      <c r="AE352" s="300">
        <f>3.8*3.52</f>
        <v>13.375999999999999</v>
      </c>
      <c r="AF352" s="300">
        <v>0.97</v>
      </c>
      <c r="AG352" s="298">
        <v>0.79</v>
      </c>
      <c r="AH352" s="297" cm="1">
        <f t="array" aca="1" ref="AH352" ca="1">INDIRECT("'"&amp;$C352&amp;"'!"&amp;"$"&amp;$D352&amp;$AH$1&amp;"")</f>
        <v>3.8</v>
      </c>
      <c r="AI352" s="300">
        <v>13.88</v>
      </c>
      <c r="AJ352" s="300">
        <v>0.99</v>
      </c>
      <c r="AK352" s="298">
        <v>0.35299999999999998</v>
      </c>
      <c r="AL352" s="297">
        <v>11.7</v>
      </c>
      <c r="AM352" s="301">
        <v>70.599999999999994</v>
      </c>
      <c r="AN352" s="297" cm="1">
        <f t="array" aca="1" ref="AN352" ca="1">INDIRECT("'"&amp;$C352&amp;"'!"&amp;"$"&amp;$D352&amp;$AL$1&amp;"")</f>
        <v>2.2000000000000002</v>
      </c>
      <c r="AO352" s="300">
        <v>0.97</v>
      </c>
      <c r="AP352" s="298">
        <v>0.6</v>
      </c>
      <c r="AQ352" s="299" cm="1">
        <f t="array" aca="1" ref="AQ352" ca="1">INDIRECT("'"&amp;$C352&amp;"'!"&amp;"$"&amp;$D352&amp;$AQ$1&amp;"")</f>
        <v>2.2000000000000002</v>
      </c>
      <c r="AR352" s="300">
        <v>0.97</v>
      </c>
      <c r="AS352" s="298">
        <v>0.6</v>
      </c>
      <c r="AT352" s="297">
        <v>14.24</v>
      </c>
      <c r="AU352" s="301">
        <v>70.88</v>
      </c>
      <c r="AV352" s="297" cm="1">
        <f t="array" aca="1" ref="AV352" ca="1">INDIRECT("'"&amp;$C352&amp;"'!"&amp;"$"&amp;$D352&amp;$AT$1&amp;"")</f>
        <v>8.8000000000000007</v>
      </c>
      <c r="AW352" s="300">
        <v>1</v>
      </c>
      <c r="AX352" s="301">
        <v>0.8</v>
      </c>
      <c r="AY352" s="387">
        <v>67.900000000000006</v>
      </c>
      <c r="AZ352" s="303" cm="1">
        <f t="array" aca="1" ref="AZ352" ca="1">INDIRECT("'"&amp;$C352&amp;"'!"&amp;"$"&amp;$D352&amp;$AY$1&amp;"")</f>
        <v>0</v>
      </c>
      <c r="BA352" s="300" t="s">
        <v>1</v>
      </c>
      <c r="BB352" s="298" t="s">
        <v>1</v>
      </c>
      <c r="BC352" s="299" cm="1">
        <f t="array" aca="1" ref="BC352" ca="1">INDIRECT("'"&amp;$C352&amp;"'!"&amp;"$"&amp;$D352&amp;$BC$1&amp;"")</f>
        <v>1.1599999999999999</v>
      </c>
      <c r="BD352" s="300"/>
      <c r="BE352" s="300">
        <v>0.99</v>
      </c>
      <c r="BF352" s="298">
        <v>0.15</v>
      </c>
      <c r="BG352" s="299" cm="1">
        <f t="array" aca="1" ref="BG352" ca="1">INDIRECT("'"&amp;$C352&amp;"'!"&amp;"$"&amp;$D352&amp;$BG$1&amp;"")</f>
        <v>0.93</v>
      </c>
      <c r="BH352" s="300"/>
      <c r="BI352" s="300">
        <v>0.97</v>
      </c>
      <c r="BJ352" s="298">
        <v>0.24</v>
      </c>
      <c r="BK352" s="297" cm="1">
        <f t="array" aca="1" ref="BK352" ca="1">INDIRECT("'"&amp;$C352&amp;"'!"&amp;"$"&amp;$D352&amp;$BK$1&amp;"")</f>
        <v>4.0999999999999996</v>
      </c>
      <c r="BL352" s="300"/>
      <c r="BM352" s="300">
        <v>0.95</v>
      </c>
      <c r="BN352" s="298">
        <v>1.3</v>
      </c>
    </row>
    <row r="353" spans="1:66" ht="15.75" thickBot="1" x14ac:dyDescent="0.25">
      <c r="A353" s="369">
        <v>45702</v>
      </c>
      <c r="B353" s="366">
        <v>0.95833333333333404</v>
      </c>
      <c r="C353" s="383">
        <v>14</v>
      </c>
      <c r="D353" s="321" t="s">
        <v>133</v>
      </c>
      <c r="E353" s="305">
        <v>14.2</v>
      </c>
      <c r="F353" s="306">
        <v>68.84</v>
      </c>
      <c r="G353" s="307" cm="1">
        <f t="array" aca="1" ref="G353" ca="1">INDIRECT("'"&amp;$C353&amp;"'!"&amp;"$"&amp;$D353&amp;$E$1&amp;"")</f>
        <v>0</v>
      </c>
      <c r="H353" s="308" t="s">
        <v>1</v>
      </c>
      <c r="I353" s="306" t="s">
        <v>1</v>
      </c>
      <c r="J353" s="307" cm="1">
        <f t="array" aca="1" ref="J353" ca="1">INDIRECT("'"&amp;$C353&amp;"'!"&amp;"$"&amp;$D353&amp;$J$1&amp;"")</f>
        <v>6.3</v>
      </c>
      <c r="K353" s="308"/>
      <c r="L353" s="308">
        <v>0.95</v>
      </c>
      <c r="M353" s="306">
        <v>2</v>
      </c>
      <c r="N353" s="307" cm="1">
        <f t="array" aca="1" ref="N353" ca="1">INDIRECT("'"&amp;$C353&amp;"'!"&amp;"$"&amp;$D353&amp;$N$1&amp;"")</f>
        <v>6.3</v>
      </c>
      <c r="O353" s="308"/>
      <c r="P353" s="308">
        <v>0.95</v>
      </c>
      <c r="Q353" s="306">
        <v>2</v>
      </c>
      <c r="R353" s="307" cm="1">
        <f t="array" aca="1" ref="R353" ca="1">INDIRECT("'"&amp;$C353&amp;"'!"&amp;"$"&amp;$D353&amp;$R$1&amp;"")</f>
        <v>0</v>
      </c>
      <c r="S353" s="308"/>
      <c r="T353" s="308" t="s">
        <v>1</v>
      </c>
      <c r="U353" s="306" t="s">
        <v>1</v>
      </c>
      <c r="V353" s="307" t="str" cm="1">
        <f t="array" aca="1" ref="V353" ca="1">INDIRECT("'"&amp;$C353&amp;"'!"&amp;"$"&amp;$D353&amp;$V$1&amp;"")</f>
        <v>CMS</v>
      </c>
      <c r="W353" s="308" t="s">
        <v>1</v>
      </c>
      <c r="X353" s="308" t="s">
        <v>1</v>
      </c>
      <c r="Y353" s="309" t="s">
        <v>1</v>
      </c>
      <c r="Z353" s="389" cm="1">
        <f t="array" aca="1" ref="Z353" ca="1">INDIRECT("'"&amp;$C353&amp;"'!"&amp;"$"&amp;$D353&amp;$Z$1&amp;"")</f>
        <v>0</v>
      </c>
      <c r="AA353" s="307" t="s">
        <v>1</v>
      </c>
      <c r="AB353" s="308" t="s">
        <v>1</v>
      </c>
      <c r="AC353" s="306" t="s">
        <v>1</v>
      </c>
      <c r="AD353" s="307" cm="1">
        <f t="array" aca="1" ref="AD353" ca="1">INDIRECT("'"&amp;$C353&amp;"'!"&amp;"$"&amp;$D353&amp;$AD$1&amp;"")</f>
        <v>3.3</v>
      </c>
      <c r="AE353" s="308">
        <f>3.8*3.53</f>
        <v>13.413999999999998</v>
      </c>
      <c r="AF353" s="308">
        <v>0.98</v>
      </c>
      <c r="AG353" s="309">
        <v>0.65</v>
      </c>
      <c r="AH353" s="305" cm="1">
        <f t="array" aca="1" ref="AH353" ca="1">INDIRECT("'"&amp;$C353&amp;"'!"&amp;"$"&amp;$D353&amp;$AH$1&amp;"")</f>
        <v>3</v>
      </c>
      <c r="AI353" s="308">
        <v>13.88</v>
      </c>
      <c r="AJ353" s="308">
        <v>0.98</v>
      </c>
      <c r="AK353" s="306">
        <v>0.54400000000000004</v>
      </c>
      <c r="AL353" s="305">
        <v>11.7</v>
      </c>
      <c r="AM353" s="309">
        <v>70.3</v>
      </c>
      <c r="AN353" s="305" cm="1">
        <f t="array" aca="1" ref="AN353" ca="1">INDIRECT("'"&amp;$C353&amp;"'!"&amp;"$"&amp;$D353&amp;$AL$1&amp;"")</f>
        <v>3.2</v>
      </c>
      <c r="AO353" s="308">
        <v>0.98</v>
      </c>
      <c r="AP353" s="306">
        <v>0.6</v>
      </c>
      <c r="AQ353" s="307" cm="1">
        <f t="array" aca="1" ref="AQ353" ca="1">INDIRECT("'"&amp;$C353&amp;"'!"&amp;"$"&amp;$D353&amp;$AQ$1&amp;"")</f>
        <v>3.2</v>
      </c>
      <c r="AR353" s="308">
        <v>0.98</v>
      </c>
      <c r="AS353" s="306">
        <v>0.6</v>
      </c>
      <c r="AT353" s="305">
        <v>14.28</v>
      </c>
      <c r="AU353" s="309">
        <v>71.010000000000005</v>
      </c>
      <c r="AV353" s="305" cm="1">
        <f t="array" aca="1" ref="AV353" ca="1">INDIRECT("'"&amp;$C353&amp;"'!"&amp;"$"&amp;$D353&amp;$AT$1&amp;"")</f>
        <v>10.65</v>
      </c>
      <c r="AW353" s="308">
        <v>1</v>
      </c>
      <c r="AX353" s="306">
        <v>1</v>
      </c>
      <c r="AY353" s="384">
        <v>67.8</v>
      </c>
      <c r="AZ353" s="310" cm="1">
        <f t="array" aca="1" ref="AZ353" ca="1">INDIRECT("'"&amp;$C353&amp;"'!"&amp;"$"&amp;$D353&amp;$AY$1&amp;"")</f>
        <v>0</v>
      </c>
      <c r="BA353" s="308" t="s">
        <v>1</v>
      </c>
      <c r="BB353" s="306" t="s">
        <v>1</v>
      </c>
      <c r="BC353" s="307" cm="1">
        <f t="array" aca="1" ref="BC353" ca="1">INDIRECT("'"&amp;$C353&amp;"'!"&amp;"$"&amp;$D353&amp;$BC$1&amp;"")</f>
        <v>1.04</v>
      </c>
      <c r="BD353" s="308"/>
      <c r="BE353" s="308">
        <v>0.99</v>
      </c>
      <c r="BF353" s="306">
        <v>0.14000000000000001</v>
      </c>
      <c r="BG353" s="307" cm="1">
        <f t="array" aca="1" ref="BG353" ca="1">INDIRECT("'"&amp;$C353&amp;"'!"&amp;"$"&amp;$D353&amp;$BG$1&amp;"")</f>
        <v>0.89</v>
      </c>
      <c r="BH353" s="308"/>
      <c r="BI353" s="308">
        <v>0.97</v>
      </c>
      <c r="BJ353" s="306">
        <v>0.24</v>
      </c>
      <c r="BK353" s="305" cm="1">
        <f t="array" aca="1" ref="BK353" ca="1">INDIRECT("'"&amp;$C353&amp;"'!"&amp;"$"&amp;$D353&amp;$BK$1&amp;"")</f>
        <v>3.7</v>
      </c>
      <c r="BL353" s="308"/>
      <c r="BM353" s="308">
        <v>0.95</v>
      </c>
      <c r="BN353" s="306">
        <v>1.2</v>
      </c>
    </row>
    <row r="354" spans="1:66" ht="15" thickBot="1" x14ac:dyDescent="0.25"/>
    <row r="355" spans="1:66" ht="15.75" thickBot="1" x14ac:dyDescent="0.25">
      <c r="A355" s="367">
        <v>45703</v>
      </c>
      <c r="B355" s="364">
        <v>0</v>
      </c>
      <c r="C355" s="383">
        <v>15</v>
      </c>
      <c r="D355" s="316" t="s">
        <v>110</v>
      </c>
      <c r="E355" s="284">
        <v>14.1</v>
      </c>
      <c r="F355" s="285">
        <v>69.8</v>
      </c>
      <c r="G355" s="286" cm="1">
        <f t="array" aca="1" ref="G355" ca="1">INDIRECT("'"&amp;$C355&amp;"'!"&amp;"$"&amp;$D355&amp;$E$1&amp;"")</f>
        <v>0</v>
      </c>
      <c r="H355" s="287" t="s">
        <v>1</v>
      </c>
      <c r="I355" s="285" t="s">
        <v>1</v>
      </c>
      <c r="J355" s="286" cm="1">
        <f t="array" aca="1" ref="J355" ca="1">INDIRECT("'"&amp;$C355&amp;"'!"&amp;"$"&amp;$D355&amp;$J$1&amp;"")</f>
        <v>6.5</v>
      </c>
      <c r="K355" s="287"/>
      <c r="L355" s="287">
        <v>0.96</v>
      </c>
      <c r="M355" s="285">
        <v>1.83</v>
      </c>
      <c r="N355" s="286" cm="1">
        <f t="array" aca="1" ref="N355" ca="1">INDIRECT("'"&amp;$C355&amp;"'!"&amp;"$"&amp;$D355&amp;$N$1&amp;"")</f>
        <v>6.5</v>
      </c>
      <c r="O355" s="287"/>
      <c r="P355" s="287">
        <v>0.96</v>
      </c>
      <c r="Q355" s="285">
        <v>1.83</v>
      </c>
      <c r="R355" s="286" cm="1">
        <f t="array" aca="1" ref="R355" ca="1">INDIRECT("'"&amp;$C355&amp;"'!"&amp;"$"&amp;$D355&amp;$R$1&amp;"")</f>
        <v>0</v>
      </c>
      <c r="S355" s="287"/>
      <c r="T355" s="287" t="s">
        <v>1</v>
      </c>
      <c r="U355" s="285" t="s">
        <v>1</v>
      </c>
      <c r="V355" s="286" t="str" cm="1">
        <f t="array" aca="1" ref="V355" ca="1">INDIRECT("'"&amp;$C355&amp;"'!"&amp;"$"&amp;$D355&amp;$V$1&amp;"")</f>
        <v>CMS</v>
      </c>
      <c r="W355" s="287" t="s">
        <v>1</v>
      </c>
      <c r="X355" s="287" t="s">
        <v>1</v>
      </c>
      <c r="Y355" s="288" t="s">
        <v>1</v>
      </c>
      <c r="Z355" s="385" cm="1">
        <f t="array" aca="1" ref="Z355" ca="1">INDIRECT("'"&amp;$C355&amp;"'!"&amp;"$"&amp;$D355&amp;$Z$1&amp;"")</f>
        <v>0</v>
      </c>
      <c r="AA355" s="286" t="s">
        <v>1</v>
      </c>
      <c r="AB355" s="287" t="s">
        <v>1</v>
      </c>
      <c r="AC355" s="285" t="s">
        <v>1</v>
      </c>
      <c r="AD355" s="286" cm="1">
        <f t="array" aca="1" ref="AD355" ca="1">INDIRECT("'"&amp;$C355&amp;"'!"&amp;"$"&amp;$D355&amp;$AD$1&amp;"")</f>
        <v>3</v>
      </c>
      <c r="AE355" s="287">
        <f>3.8*3.57</f>
        <v>13.565999999999999</v>
      </c>
      <c r="AF355" s="287">
        <v>0.99</v>
      </c>
      <c r="AG355" s="285">
        <v>0.36</v>
      </c>
      <c r="AH355" s="284" cm="1">
        <f t="array" aca="1" ref="AH355" ca="1">INDIRECT("'"&amp;$C355&amp;"'!"&amp;"$"&amp;$D355&amp;$AH$1&amp;"")</f>
        <v>3</v>
      </c>
      <c r="AI355" s="287">
        <v>13.88</v>
      </c>
      <c r="AJ355" s="287">
        <v>1</v>
      </c>
      <c r="AK355" s="285">
        <v>0.22500000000000001</v>
      </c>
      <c r="AL355" s="284">
        <v>11.7</v>
      </c>
      <c r="AM355" s="288">
        <v>70.3</v>
      </c>
      <c r="AN355" s="284" cm="1">
        <f t="array" aca="1" ref="AN355" ca="1">INDIRECT("'"&amp;$C355&amp;"'!"&amp;"$"&amp;$D355&amp;$AL$1&amp;"")</f>
        <v>0</v>
      </c>
      <c r="AO355" s="287" t="s">
        <v>1</v>
      </c>
      <c r="AP355" s="285" t="s">
        <v>1</v>
      </c>
      <c r="AQ355" s="286" cm="1">
        <f t="array" aca="1" ref="AQ355" ca="1">INDIRECT("'"&amp;$C355&amp;"'!"&amp;"$"&amp;$D355&amp;$AQ$1&amp;"")</f>
        <v>2.7</v>
      </c>
      <c r="AR355" s="287">
        <v>1</v>
      </c>
      <c r="AS355" s="285">
        <v>0.05</v>
      </c>
      <c r="AT355" s="284">
        <v>14.34</v>
      </c>
      <c r="AU355" s="381">
        <v>71.209999999999994</v>
      </c>
      <c r="AV355" s="284" cm="1">
        <f t="array" aca="1" ref="AV355" ca="1">INDIRECT("'"&amp;$C355&amp;"'!"&amp;"$"&amp;$D355&amp;$AT$1&amp;"")</f>
        <v>10.72</v>
      </c>
      <c r="AW355" s="287">
        <v>1</v>
      </c>
      <c r="AX355" s="288">
        <v>1</v>
      </c>
      <c r="AY355" s="385">
        <v>68.8</v>
      </c>
      <c r="AZ355" s="381" cm="1">
        <f t="array" aca="1" ref="AZ355" ca="1">INDIRECT("'"&amp;$C355&amp;"'!"&amp;"$"&amp;$D355&amp;$AY$1&amp;"")</f>
        <v>0</v>
      </c>
      <c r="BA355" s="287" t="s">
        <v>1</v>
      </c>
      <c r="BB355" s="285" t="s">
        <v>1</v>
      </c>
      <c r="BC355" s="286" cm="1">
        <f t="array" aca="1" ref="BC355" ca="1">INDIRECT("'"&amp;$C355&amp;"'!"&amp;"$"&amp;$D355&amp;$BC$1&amp;"")</f>
        <v>0.95</v>
      </c>
      <c r="BD355" s="287"/>
      <c r="BE355" s="287">
        <v>0.99</v>
      </c>
      <c r="BF355" s="285">
        <v>0.13</v>
      </c>
      <c r="BG355" s="286" cm="1">
        <f t="array" aca="1" ref="BG355" ca="1">INDIRECT("'"&amp;$C355&amp;"'!"&amp;"$"&amp;$D355&amp;$BG$1&amp;"")</f>
        <v>0.84</v>
      </c>
      <c r="BH355" s="287"/>
      <c r="BI355" s="287">
        <v>0.96</v>
      </c>
      <c r="BJ355" s="285">
        <v>0.23</v>
      </c>
      <c r="BK355" s="286" cm="1">
        <f t="array" aca="1" ref="BK355" ca="1">INDIRECT("'"&amp;$C355&amp;"'!"&amp;"$"&amp;$D355&amp;$BK$1&amp;"")</f>
        <v>3.41</v>
      </c>
      <c r="BL355" s="287"/>
      <c r="BM355" s="287">
        <v>0.95</v>
      </c>
      <c r="BN355" s="285">
        <v>1.1000000000000001</v>
      </c>
    </row>
    <row r="356" spans="1:66" ht="15.75" thickBot="1" x14ac:dyDescent="0.25">
      <c r="A356" s="368">
        <v>45703</v>
      </c>
      <c r="B356" s="365">
        <v>4.1666666666666699E-2</v>
      </c>
      <c r="C356" s="383">
        <v>15</v>
      </c>
      <c r="D356" s="319" t="s">
        <v>111</v>
      </c>
      <c r="E356" s="290">
        <v>14</v>
      </c>
      <c r="F356" s="291">
        <v>69.7</v>
      </c>
      <c r="G356" s="292" cm="1">
        <f t="array" aca="1" ref="G356" ca="1">INDIRECT("'"&amp;$C356&amp;"'!"&amp;"$"&amp;$D356&amp;$E$1&amp;"")</f>
        <v>0</v>
      </c>
      <c r="H356" s="293" t="s">
        <v>1</v>
      </c>
      <c r="I356" s="291" t="s">
        <v>1</v>
      </c>
      <c r="J356" s="292" cm="1">
        <f t="array" aca="1" ref="J356" ca="1">INDIRECT("'"&amp;$C356&amp;"'!"&amp;"$"&amp;$D356&amp;$J$1&amp;"")</f>
        <v>6.6</v>
      </c>
      <c r="K356" s="293"/>
      <c r="L356" s="293">
        <v>0.96</v>
      </c>
      <c r="M356" s="291">
        <v>1.8</v>
      </c>
      <c r="N356" s="292" cm="1">
        <f t="array" aca="1" ref="N356" ca="1">INDIRECT("'"&amp;$C356&amp;"'!"&amp;"$"&amp;$D356&amp;$N$1&amp;"")</f>
        <v>6.6</v>
      </c>
      <c r="O356" s="293"/>
      <c r="P356" s="293">
        <v>0.96</v>
      </c>
      <c r="Q356" s="291">
        <v>1.8</v>
      </c>
      <c r="R356" s="292" cm="1">
        <f t="array" aca="1" ref="R356" ca="1">INDIRECT("'"&amp;$C356&amp;"'!"&amp;"$"&amp;$D356&amp;$R$1&amp;"")</f>
        <v>0</v>
      </c>
      <c r="S356" s="293"/>
      <c r="T356" s="293" t="s">
        <v>1</v>
      </c>
      <c r="U356" s="291" t="s">
        <v>1</v>
      </c>
      <c r="V356" s="292" t="str" cm="1">
        <f t="array" aca="1" ref="V356" ca="1">INDIRECT("'"&amp;$C356&amp;"'!"&amp;"$"&amp;$D356&amp;$V$1&amp;"")</f>
        <v>CMS</v>
      </c>
      <c r="W356" s="293" t="s">
        <v>1</v>
      </c>
      <c r="X356" s="293" t="s">
        <v>1</v>
      </c>
      <c r="Y356" s="294" t="s">
        <v>1</v>
      </c>
      <c r="Z356" s="386" cm="1">
        <f t="array" aca="1" ref="Z356" ca="1">INDIRECT("'"&amp;$C356&amp;"'!"&amp;"$"&amp;$D356&amp;$Z$1&amp;"")</f>
        <v>0</v>
      </c>
      <c r="AA356" s="292" t="s">
        <v>1</v>
      </c>
      <c r="AB356" s="293" t="s">
        <v>1</v>
      </c>
      <c r="AC356" s="291" t="s">
        <v>1</v>
      </c>
      <c r="AD356" s="292" cm="1">
        <f t="array" aca="1" ref="AD356" ca="1">INDIRECT("'"&amp;$C356&amp;"'!"&amp;"$"&amp;$D356&amp;$AD$1&amp;"")</f>
        <v>0</v>
      </c>
      <c r="AE356" s="293" t="s">
        <v>1</v>
      </c>
      <c r="AF356" s="293" t="s">
        <v>1</v>
      </c>
      <c r="AG356" s="294" t="s">
        <v>1</v>
      </c>
      <c r="AH356" s="290" cm="1">
        <f t="array" aca="1" ref="AH356" ca="1">INDIRECT("'"&amp;$C356&amp;"'!"&amp;"$"&amp;$D356&amp;$AH$1&amp;"")</f>
        <v>3.8</v>
      </c>
      <c r="AI356" s="293">
        <v>13.92</v>
      </c>
      <c r="AJ356" s="293">
        <v>0.99</v>
      </c>
      <c r="AK356" s="291">
        <v>0.28399999999999997</v>
      </c>
      <c r="AL356" s="290">
        <v>11.7</v>
      </c>
      <c r="AM356" s="294">
        <v>70.3</v>
      </c>
      <c r="AN356" s="290" cm="1">
        <f t="array" aca="1" ref="AN356" ca="1">INDIRECT("'"&amp;$C356&amp;"'!"&amp;"$"&amp;$D356&amp;$AL$1&amp;"")</f>
        <v>0</v>
      </c>
      <c r="AO356" s="293" t="s">
        <v>1</v>
      </c>
      <c r="AP356" s="291" t="s">
        <v>1</v>
      </c>
      <c r="AQ356" s="292" cm="1">
        <f t="array" aca="1" ref="AQ356" ca="1">INDIRECT("'"&amp;$C356&amp;"'!"&amp;"$"&amp;$D356&amp;$AQ$1&amp;"")</f>
        <v>2.7</v>
      </c>
      <c r="AR356" s="293">
        <v>0.9</v>
      </c>
      <c r="AS356" s="291">
        <v>0.05</v>
      </c>
      <c r="AT356" s="290">
        <v>14.35</v>
      </c>
      <c r="AU356" s="296">
        <v>71.36</v>
      </c>
      <c r="AV356" s="290" cm="1">
        <f t="array" aca="1" ref="AV356" ca="1">INDIRECT("'"&amp;$C356&amp;"'!"&amp;"$"&amp;$D356&amp;$AT$1&amp;"")</f>
        <v>10.7</v>
      </c>
      <c r="AW356" s="293">
        <v>1</v>
      </c>
      <c r="AX356" s="294">
        <v>0.9</v>
      </c>
      <c r="AY356" s="386">
        <v>68.599999999999994</v>
      </c>
      <c r="AZ356" s="296" cm="1">
        <f t="array" aca="1" ref="AZ356" ca="1">INDIRECT("'"&amp;$C356&amp;"'!"&amp;"$"&amp;$D356&amp;$AY$1&amp;"")</f>
        <v>0</v>
      </c>
      <c r="BA356" s="293" t="s">
        <v>1</v>
      </c>
      <c r="BB356" s="291" t="s">
        <v>1</v>
      </c>
      <c r="BC356" s="292" cm="1">
        <f t="array" aca="1" ref="BC356" ca="1">INDIRECT("'"&amp;$C356&amp;"'!"&amp;"$"&amp;$D356&amp;$BC$1&amp;"")</f>
        <v>0.87</v>
      </c>
      <c r="BD356" s="293"/>
      <c r="BE356" s="293">
        <v>0.99</v>
      </c>
      <c r="BF356" s="291">
        <v>0.12</v>
      </c>
      <c r="BG356" s="292" cm="1">
        <f t="array" aca="1" ref="BG356" ca="1">INDIRECT("'"&amp;$C356&amp;"'!"&amp;"$"&amp;$D356&amp;$BG$1&amp;"")</f>
        <v>0.81</v>
      </c>
      <c r="BH356" s="293"/>
      <c r="BI356" s="293">
        <v>0.96</v>
      </c>
      <c r="BJ356" s="291">
        <v>0.22</v>
      </c>
      <c r="BK356" s="292" cm="1">
        <f t="array" aca="1" ref="BK356" ca="1">INDIRECT("'"&amp;$C356&amp;"'!"&amp;"$"&amp;$D356&amp;$BK$1&amp;"")</f>
        <v>3.3</v>
      </c>
      <c r="BL356" s="293"/>
      <c r="BM356" s="293">
        <v>0.95</v>
      </c>
      <c r="BN356" s="291">
        <v>1</v>
      </c>
    </row>
    <row r="357" spans="1:66" ht="15.75" thickBot="1" x14ac:dyDescent="0.25">
      <c r="A357" s="368">
        <v>45703</v>
      </c>
      <c r="B357" s="365">
        <v>8.3333333333333301E-2</v>
      </c>
      <c r="C357" s="383">
        <v>15</v>
      </c>
      <c r="D357" s="319" t="s">
        <v>112</v>
      </c>
      <c r="E357" s="297">
        <v>14.1</v>
      </c>
      <c r="F357" s="298">
        <v>70.2</v>
      </c>
      <c r="G357" s="299" cm="1">
        <f t="array" aca="1" ref="G357" ca="1">INDIRECT("'"&amp;$C357&amp;"'!"&amp;"$"&amp;$D357&amp;$E$1&amp;"")</f>
        <v>0</v>
      </c>
      <c r="H357" s="300" t="s">
        <v>1</v>
      </c>
      <c r="I357" s="298" t="s">
        <v>1</v>
      </c>
      <c r="J357" s="299" cm="1">
        <f t="array" aca="1" ref="J357" ca="1">INDIRECT("'"&amp;$C357&amp;"'!"&amp;"$"&amp;$D357&amp;$J$1&amp;"")</f>
        <v>6.4</v>
      </c>
      <c r="K357" s="300"/>
      <c r="L357" s="300">
        <v>0.96</v>
      </c>
      <c r="M357" s="298">
        <v>1.8</v>
      </c>
      <c r="N357" s="299" cm="1">
        <f t="array" aca="1" ref="N357" ca="1">INDIRECT("'"&amp;$C357&amp;"'!"&amp;"$"&amp;$D357&amp;$N$1&amp;"")</f>
        <v>6.4</v>
      </c>
      <c r="O357" s="300"/>
      <c r="P357" s="300">
        <v>0.96</v>
      </c>
      <c r="Q357" s="298">
        <v>1.8</v>
      </c>
      <c r="R357" s="299" cm="1">
        <f t="array" aca="1" ref="R357" ca="1">INDIRECT("'"&amp;$C357&amp;"'!"&amp;"$"&amp;$D357&amp;$R$1&amp;"")</f>
        <v>0</v>
      </c>
      <c r="S357" s="300"/>
      <c r="T357" s="300" t="s">
        <v>1</v>
      </c>
      <c r="U357" s="298" t="s">
        <v>1</v>
      </c>
      <c r="V357" s="299" t="str" cm="1">
        <f t="array" aca="1" ref="V357" ca="1">INDIRECT("'"&amp;$C357&amp;"'!"&amp;"$"&amp;$D357&amp;$V$1&amp;"")</f>
        <v>CMS</v>
      </c>
      <c r="W357" s="300" t="s">
        <v>1</v>
      </c>
      <c r="X357" s="300" t="s">
        <v>1</v>
      </c>
      <c r="Y357" s="301" t="s">
        <v>1</v>
      </c>
      <c r="Z357" s="387" cm="1">
        <f t="array" aca="1" ref="Z357" ca="1">INDIRECT("'"&amp;$C357&amp;"'!"&amp;"$"&amp;$D357&amp;$Z$1&amp;"")</f>
        <v>0</v>
      </c>
      <c r="AA357" s="299" t="s">
        <v>1</v>
      </c>
      <c r="AB357" s="300" t="s">
        <v>1</v>
      </c>
      <c r="AC357" s="298" t="s">
        <v>1</v>
      </c>
      <c r="AD357" s="299" cm="1">
        <f t="array" aca="1" ref="AD357" ca="1">INDIRECT("'"&amp;$C357&amp;"'!"&amp;"$"&amp;$D357&amp;$AD$1&amp;"")</f>
        <v>0</v>
      </c>
      <c r="AE357" s="300" t="s">
        <v>1</v>
      </c>
      <c r="AF357" s="300" t="s">
        <v>1</v>
      </c>
      <c r="AG357" s="301" t="s">
        <v>1</v>
      </c>
      <c r="AH357" s="297" cm="1">
        <f t="array" aca="1" ref="AH357" ca="1">INDIRECT("'"&amp;$C357&amp;"'!"&amp;"$"&amp;$D357&amp;$AH$1&amp;"")</f>
        <v>3.8</v>
      </c>
      <c r="AI357" s="300">
        <v>13.92</v>
      </c>
      <c r="AJ357" s="300">
        <v>0.99</v>
      </c>
      <c r="AK357" s="298">
        <v>0.218</v>
      </c>
      <c r="AL357" s="297">
        <v>11.7</v>
      </c>
      <c r="AM357" s="301">
        <v>70.599999999999994</v>
      </c>
      <c r="AN357" s="297" cm="1">
        <f t="array" aca="1" ref="AN357" ca="1">INDIRECT("'"&amp;$C357&amp;"'!"&amp;"$"&amp;$D357&amp;$AL$1&amp;"")</f>
        <v>0</v>
      </c>
      <c r="AO357" s="300" t="s">
        <v>1</v>
      </c>
      <c r="AP357" s="298" t="s">
        <v>1</v>
      </c>
      <c r="AQ357" s="299" cm="1">
        <f t="array" aca="1" ref="AQ357" ca="1">INDIRECT("'"&amp;$C357&amp;"'!"&amp;"$"&amp;$D357&amp;$AQ$1&amp;"")</f>
        <v>3.3</v>
      </c>
      <c r="AR357" s="300">
        <v>1</v>
      </c>
      <c r="AS357" s="298">
        <v>0</v>
      </c>
      <c r="AT357" s="297">
        <v>14.37</v>
      </c>
      <c r="AU357" s="303">
        <v>71.430000000000007</v>
      </c>
      <c r="AV357" s="297" cm="1">
        <f t="array" aca="1" ref="AV357" ca="1">INDIRECT("'"&amp;$C357&amp;"'!"&amp;"$"&amp;$D357&amp;$AT$1&amp;"")</f>
        <v>10.55</v>
      </c>
      <c r="AW357" s="300">
        <v>1</v>
      </c>
      <c r="AX357" s="301">
        <v>1</v>
      </c>
      <c r="AY357" s="387">
        <v>69.099999999999994</v>
      </c>
      <c r="AZ357" s="303" cm="1">
        <f t="array" aca="1" ref="AZ357" ca="1">INDIRECT("'"&amp;$C357&amp;"'!"&amp;"$"&amp;$D357&amp;$AY$1&amp;"")</f>
        <v>0</v>
      </c>
      <c r="BA357" s="300" t="s">
        <v>1</v>
      </c>
      <c r="BB357" s="298" t="s">
        <v>1</v>
      </c>
      <c r="BC357" s="299" cm="1">
        <f t="array" aca="1" ref="BC357" ca="1">INDIRECT("'"&amp;$C357&amp;"'!"&amp;"$"&amp;$D357&amp;$BC$1&amp;"")</f>
        <v>0.84</v>
      </c>
      <c r="BD357" s="300"/>
      <c r="BE357" s="300">
        <v>0.99</v>
      </c>
      <c r="BF357" s="298">
        <v>0.11</v>
      </c>
      <c r="BG357" s="299" cm="1">
        <f t="array" aca="1" ref="BG357" ca="1">INDIRECT("'"&amp;$C357&amp;"'!"&amp;"$"&amp;$D357&amp;$BG$1&amp;"")</f>
        <v>0.75</v>
      </c>
      <c r="BH357" s="300"/>
      <c r="BI357" s="300">
        <v>0.96</v>
      </c>
      <c r="BJ357" s="298">
        <v>0.21</v>
      </c>
      <c r="BK357" s="299" cm="1">
        <f t="array" aca="1" ref="BK357" ca="1">INDIRECT("'"&amp;$C357&amp;"'!"&amp;"$"&amp;$D357&amp;$BK$1&amp;"")</f>
        <v>3.27</v>
      </c>
      <c r="BL357" s="300"/>
      <c r="BM357" s="300">
        <v>0.99</v>
      </c>
      <c r="BN357" s="298">
        <v>1</v>
      </c>
    </row>
    <row r="358" spans="1:66" ht="15.75" thickBot="1" x14ac:dyDescent="0.25">
      <c r="A358" s="368">
        <v>45703</v>
      </c>
      <c r="B358" s="365">
        <v>0.125</v>
      </c>
      <c r="C358" s="383">
        <v>15</v>
      </c>
      <c r="D358" s="319" t="s">
        <v>113</v>
      </c>
      <c r="E358" s="290">
        <v>14.1</v>
      </c>
      <c r="F358" s="291">
        <v>70.099999999999994</v>
      </c>
      <c r="G358" s="292" cm="1">
        <f t="array" aca="1" ref="G358" ca="1">INDIRECT("'"&amp;$C358&amp;"'!"&amp;"$"&amp;$D358&amp;$E$1&amp;"")</f>
        <v>0</v>
      </c>
      <c r="H358" s="293" t="s">
        <v>1</v>
      </c>
      <c r="I358" s="291" t="s">
        <v>1</v>
      </c>
      <c r="J358" s="292" cm="1">
        <f t="array" aca="1" ref="J358" ca="1">INDIRECT("'"&amp;$C358&amp;"'!"&amp;"$"&amp;$D358&amp;$J$1&amp;"")</f>
        <v>6.5</v>
      </c>
      <c r="K358" s="293"/>
      <c r="L358" s="293">
        <v>0.97</v>
      </c>
      <c r="M358" s="291">
        <v>1.75</v>
      </c>
      <c r="N358" s="292" cm="1">
        <f t="array" aca="1" ref="N358" ca="1">INDIRECT("'"&amp;$C358&amp;"'!"&amp;"$"&amp;$D358&amp;$N$1&amp;"")</f>
        <v>6.5</v>
      </c>
      <c r="O358" s="293"/>
      <c r="P358" s="293">
        <v>0.97</v>
      </c>
      <c r="Q358" s="291">
        <v>1.75</v>
      </c>
      <c r="R358" s="292" cm="1">
        <f t="array" aca="1" ref="R358" ca="1">INDIRECT("'"&amp;$C358&amp;"'!"&amp;"$"&amp;$D358&amp;$R$1&amp;"")</f>
        <v>0</v>
      </c>
      <c r="S358" s="293"/>
      <c r="T358" s="293" t="s">
        <v>1</v>
      </c>
      <c r="U358" s="291" t="s">
        <v>1</v>
      </c>
      <c r="V358" s="292" t="str" cm="1">
        <f t="array" aca="1" ref="V358" ca="1">INDIRECT("'"&amp;$C358&amp;"'!"&amp;"$"&amp;$D358&amp;$V$1&amp;"")</f>
        <v>CMS</v>
      </c>
      <c r="W358" s="293" t="s">
        <v>1</v>
      </c>
      <c r="X358" s="293" t="s">
        <v>1</v>
      </c>
      <c r="Y358" s="294" t="s">
        <v>1</v>
      </c>
      <c r="Z358" s="386" cm="1">
        <f t="array" aca="1" ref="Z358" ca="1">INDIRECT("'"&amp;$C358&amp;"'!"&amp;"$"&amp;$D358&amp;$Z$1&amp;"")</f>
        <v>0</v>
      </c>
      <c r="AA358" s="292" t="s">
        <v>1</v>
      </c>
      <c r="AB358" s="293" t="s">
        <v>1</v>
      </c>
      <c r="AC358" s="291" t="s">
        <v>1</v>
      </c>
      <c r="AD358" s="292" cm="1">
        <f t="array" aca="1" ref="AD358" ca="1">INDIRECT("'"&amp;$C358&amp;"'!"&amp;"$"&amp;$D358&amp;$AD$1&amp;"")</f>
        <v>0</v>
      </c>
      <c r="AE358" s="293" t="s">
        <v>1</v>
      </c>
      <c r="AF358" s="293" t="s">
        <v>1</v>
      </c>
      <c r="AG358" s="294" t="s">
        <v>1</v>
      </c>
      <c r="AH358" s="290" cm="1">
        <f t="array" aca="1" ref="AH358" ca="1">INDIRECT("'"&amp;$C358&amp;"'!"&amp;"$"&amp;$D358&amp;$AH$1&amp;"")</f>
        <v>3.5</v>
      </c>
      <c r="AI358" s="293">
        <v>13.96</v>
      </c>
      <c r="AJ358" s="293">
        <v>0.99</v>
      </c>
      <c r="AK358" s="291">
        <v>0.20100000000000001</v>
      </c>
      <c r="AL358" s="290">
        <v>11.7</v>
      </c>
      <c r="AM358" s="294">
        <v>70.599999999999994</v>
      </c>
      <c r="AN358" s="290" cm="1">
        <f t="array" aca="1" ref="AN358" ca="1">INDIRECT("'"&amp;$C358&amp;"'!"&amp;"$"&amp;$D358&amp;$AL$1&amp;"")</f>
        <v>0</v>
      </c>
      <c r="AO358" s="293" t="s">
        <v>1</v>
      </c>
      <c r="AP358" s="291" t="s">
        <v>1</v>
      </c>
      <c r="AQ358" s="292" cm="1">
        <f t="array" aca="1" ref="AQ358" ca="1">INDIRECT("'"&amp;$C358&amp;"'!"&amp;"$"&amp;$D358&amp;$AQ$1&amp;"")</f>
        <v>3</v>
      </c>
      <c r="AR358" s="293">
        <v>1</v>
      </c>
      <c r="AS358" s="291">
        <v>0</v>
      </c>
      <c r="AT358" s="290">
        <v>14.36</v>
      </c>
      <c r="AU358" s="296">
        <v>71.48</v>
      </c>
      <c r="AV358" s="290" cm="1">
        <f t="array" aca="1" ref="AV358" ca="1">INDIRECT("'"&amp;$C358&amp;"'!"&amp;"$"&amp;$D358&amp;$AT$1&amp;"")</f>
        <v>10.16</v>
      </c>
      <c r="AW358" s="293">
        <v>1</v>
      </c>
      <c r="AX358" s="294">
        <v>0.9</v>
      </c>
      <c r="AY358" s="386">
        <v>69.3</v>
      </c>
      <c r="AZ358" s="296" cm="1">
        <f t="array" aca="1" ref="AZ358" ca="1">INDIRECT("'"&amp;$C358&amp;"'!"&amp;"$"&amp;$D358&amp;$AY$1&amp;"")</f>
        <v>0</v>
      </c>
      <c r="BA358" s="293" t="s">
        <v>1</v>
      </c>
      <c r="BB358" s="291" t="s">
        <v>1</v>
      </c>
      <c r="BC358" s="292" cm="1">
        <f t="array" aca="1" ref="BC358" ca="1">INDIRECT("'"&amp;$C358&amp;"'!"&amp;"$"&amp;$D358&amp;$BC$1&amp;"")</f>
        <v>0.82</v>
      </c>
      <c r="BD358" s="293"/>
      <c r="BE358" s="293">
        <v>0.99</v>
      </c>
      <c r="BF358" s="291">
        <v>0.1</v>
      </c>
      <c r="BG358" s="292" cm="1">
        <f t="array" aca="1" ref="BG358" ca="1">INDIRECT("'"&amp;$C358&amp;"'!"&amp;"$"&amp;$D358&amp;$BG$1&amp;"")</f>
        <v>0.67</v>
      </c>
      <c r="BH358" s="293"/>
      <c r="BI358" s="293">
        <v>0.96</v>
      </c>
      <c r="BJ358" s="291">
        <v>0.2</v>
      </c>
      <c r="BK358" s="292" cm="1">
        <f t="array" aca="1" ref="BK358" ca="1">INDIRECT("'"&amp;$C358&amp;"'!"&amp;"$"&amp;$D358&amp;$BK$1&amp;"")</f>
        <v>2.71</v>
      </c>
      <c r="BL358" s="293"/>
      <c r="BM358" s="293">
        <v>0.95</v>
      </c>
      <c r="BN358" s="291">
        <v>0.89</v>
      </c>
    </row>
    <row r="359" spans="1:66" ht="15.75" thickBot="1" x14ac:dyDescent="0.25">
      <c r="A359" s="368">
        <v>45703</v>
      </c>
      <c r="B359" s="365">
        <v>0.16666666666666699</v>
      </c>
      <c r="C359" s="383">
        <v>15</v>
      </c>
      <c r="D359" s="319" t="s">
        <v>114</v>
      </c>
      <c r="E359" s="297">
        <v>14</v>
      </c>
      <c r="F359" s="298">
        <v>69.599999999999994</v>
      </c>
      <c r="G359" s="299" cm="1">
        <f t="array" aca="1" ref="G359" ca="1">INDIRECT("'"&amp;$C359&amp;"'!"&amp;"$"&amp;$D359&amp;$E$1&amp;"")</f>
        <v>0</v>
      </c>
      <c r="H359" s="300" t="s">
        <v>1</v>
      </c>
      <c r="I359" s="298" t="s">
        <v>1</v>
      </c>
      <c r="J359" s="299" cm="1">
        <f t="array" aca="1" ref="J359" ca="1">INDIRECT("'"&amp;$C359&amp;"'!"&amp;"$"&amp;$D359&amp;$J$1&amp;"")</f>
        <v>6.6</v>
      </c>
      <c r="K359" s="300"/>
      <c r="L359" s="300">
        <v>0.98</v>
      </c>
      <c r="M359" s="298">
        <v>1.44</v>
      </c>
      <c r="N359" s="299" cm="1">
        <f t="array" aca="1" ref="N359" ca="1">INDIRECT("'"&amp;$C359&amp;"'!"&amp;"$"&amp;$D359&amp;$N$1&amp;"")</f>
        <v>6.6</v>
      </c>
      <c r="O359" s="300"/>
      <c r="P359" s="300">
        <v>0.98</v>
      </c>
      <c r="Q359" s="298">
        <v>1.44</v>
      </c>
      <c r="R359" s="299" cm="1">
        <f t="array" aca="1" ref="R359" ca="1">INDIRECT("'"&amp;$C359&amp;"'!"&amp;"$"&amp;$D359&amp;$R$1&amp;"")</f>
        <v>0</v>
      </c>
      <c r="S359" s="300"/>
      <c r="T359" s="300" t="s">
        <v>1</v>
      </c>
      <c r="U359" s="298" t="s">
        <v>1</v>
      </c>
      <c r="V359" s="299" t="str" cm="1">
        <f t="array" aca="1" ref="V359" ca="1">INDIRECT("'"&amp;$C359&amp;"'!"&amp;"$"&amp;$D359&amp;$V$1&amp;"")</f>
        <v>CMS</v>
      </c>
      <c r="W359" s="300" t="s">
        <v>1</v>
      </c>
      <c r="X359" s="300" t="s">
        <v>1</v>
      </c>
      <c r="Y359" s="301" t="s">
        <v>1</v>
      </c>
      <c r="Z359" s="387" cm="1">
        <f t="array" aca="1" ref="Z359" ca="1">INDIRECT("'"&amp;$C359&amp;"'!"&amp;"$"&amp;$D359&amp;$Z$1&amp;"")</f>
        <v>0</v>
      </c>
      <c r="AA359" s="299" t="s">
        <v>1</v>
      </c>
      <c r="AB359" s="300" t="s">
        <v>1</v>
      </c>
      <c r="AC359" s="298" t="s">
        <v>1</v>
      </c>
      <c r="AD359" s="299" cm="1">
        <f t="array" aca="1" ref="AD359" ca="1">INDIRECT("'"&amp;$C359&amp;"'!"&amp;"$"&amp;$D359&amp;$AD$1&amp;"")</f>
        <v>0</v>
      </c>
      <c r="AE359" s="300" t="s">
        <v>1</v>
      </c>
      <c r="AF359" s="300" t="s">
        <v>1</v>
      </c>
      <c r="AG359" s="301" t="s">
        <v>1</v>
      </c>
      <c r="AH359" s="297" cm="1">
        <f t="array" aca="1" ref="AH359" ca="1">INDIRECT("'"&amp;$C359&amp;"'!"&amp;"$"&amp;$D359&amp;$AH$1&amp;"")</f>
        <v>3</v>
      </c>
      <c r="AI359" s="300">
        <v>13.8</v>
      </c>
      <c r="AJ359" s="300">
        <v>1</v>
      </c>
      <c r="AK359" s="298">
        <v>0.40100000000000002</v>
      </c>
      <c r="AL359" s="297">
        <v>11.7</v>
      </c>
      <c r="AM359" s="301">
        <v>70.599999999999994</v>
      </c>
      <c r="AN359" s="297" cm="1">
        <f t="array" aca="1" ref="AN359" ca="1">INDIRECT("'"&amp;$C359&amp;"'!"&amp;"$"&amp;$D359&amp;$AL$1&amp;"")</f>
        <v>0</v>
      </c>
      <c r="AO359" s="300" t="s">
        <v>1</v>
      </c>
      <c r="AP359" s="298" t="s">
        <v>1</v>
      </c>
      <c r="AQ359" s="299" cm="1">
        <f t="array" aca="1" ref="AQ359" ca="1">INDIRECT("'"&amp;$C359&amp;"'!"&amp;"$"&amp;$D359&amp;$AQ$1&amp;"")</f>
        <v>3</v>
      </c>
      <c r="AR359" s="300">
        <v>1</v>
      </c>
      <c r="AS359" s="298">
        <v>0</v>
      </c>
      <c r="AT359" s="297">
        <v>14.22</v>
      </c>
      <c r="AU359" s="303">
        <v>70.64</v>
      </c>
      <c r="AV359" s="297" cm="1">
        <f t="array" aca="1" ref="AV359" ca="1">INDIRECT("'"&amp;$C359&amp;"'!"&amp;"$"&amp;$D359&amp;$AT$1&amp;"")</f>
        <v>9.98</v>
      </c>
      <c r="AW359" s="300">
        <v>1</v>
      </c>
      <c r="AX359" s="301">
        <v>0.8</v>
      </c>
      <c r="AY359" s="387">
        <v>68.7</v>
      </c>
      <c r="AZ359" s="303" cm="1">
        <f t="array" aca="1" ref="AZ359" ca="1">INDIRECT("'"&amp;$C359&amp;"'!"&amp;"$"&amp;$D359&amp;$AY$1&amp;"")</f>
        <v>0</v>
      </c>
      <c r="BA359" s="300" t="s">
        <v>1</v>
      </c>
      <c r="BB359" s="298" t="s">
        <v>1</v>
      </c>
      <c r="BC359" s="299" cm="1">
        <f t="array" aca="1" ref="BC359" ca="1">INDIRECT("'"&amp;$C359&amp;"'!"&amp;"$"&amp;$D359&amp;$BC$1&amp;"")</f>
        <v>0.76</v>
      </c>
      <c r="BD359" s="300"/>
      <c r="BE359" s="300">
        <v>0.99</v>
      </c>
      <c r="BF359" s="298">
        <v>0.09</v>
      </c>
      <c r="BG359" s="299" cm="1">
        <f t="array" aca="1" ref="BG359" ca="1">INDIRECT("'"&amp;$C359&amp;"'!"&amp;"$"&amp;$D359&amp;$BG$1&amp;"")</f>
        <v>0.7</v>
      </c>
      <c r="BH359" s="300"/>
      <c r="BI359" s="300">
        <v>0.96</v>
      </c>
      <c r="BJ359" s="298">
        <v>0.2</v>
      </c>
      <c r="BK359" s="299" cm="1">
        <f t="array" aca="1" ref="BK359" ca="1">INDIRECT("'"&amp;$C359&amp;"'!"&amp;"$"&amp;$D359&amp;$BK$1&amp;"")</f>
        <v>2.63</v>
      </c>
      <c r="BL359" s="300"/>
      <c r="BM359" s="300">
        <v>0.95</v>
      </c>
      <c r="BN359" s="298">
        <v>0.86</v>
      </c>
    </row>
    <row r="360" spans="1:66" ht="15.75" thickBot="1" x14ac:dyDescent="0.25">
      <c r="A360" s="368">
        <v>45703</v>
      </c>
      <c r="B360" s="365">
        <v>0.20833333333333301</v>
      </c>
      <c r="C360" s="383">
        <v>15</v>
      </c>
      <c r="D360" s="319" t="s">
        <v>115</v>
      </c>
      <c r="E360" s="290">
        <v>14</v>
      </c>
      <c r="F360" s="291">
        <v>69.59</v>
      </c>
      <c r="G360" s="292" cm="1">
        <f t="array" aca="1" ref="G360" ca="1">INDIRECT("'"&amp;$C360&amp;"'!"&amp;"$"&amp;$D360&amp;$E$1&amp;"")</f>
        <v>0</v>
      </c>
      <c r="H360" s="293" t="s">
        <v>1</v>
      </c>
      <c r="I360" s="291" t="s">
        <v>1</v>
      </c>
      <c r="J360" s="292" cm="1">
        <f t="array" aca="1" ref="J360" ca="1">INDIRECT("'"&amp;$C360&amp;"'!"&amp;"$"&amp;$D360&amp;$J$1&amp;"")</f>
        <v>6.6</v>
      </c>
      <c r="K360" s="293"/>
      <c r="L360" s="293">
        <v>0.98</v>
      </c>
      <c r="M360" s="291">
        <v>1.45</v>
      </c>
      <c r="N360" s="292" cm="1">
        <f t="array" aca="1" ref="N360" ca="1">INDIRECT("'"&amp;$C360&amp;"'!"&amp;"$"&amp;$D360&amp;$N$1&amp;"")</f>
        <v>6.6</v>
      </c>
      <c r="O360" s="293"/>
      <c r="P360" s="293">
        <v>0.98</v>
      </c>
      <c r="Q360" s="291">
        <v>1.45</v>
      </c>
      <c r="R360" s="292" cm="1">
        <f t="array" aca="1" ref="R360" ca="1">INDIRECT("'"&amp;$C360&amp;"'!"&amp;"$"&amp;$D360&amp;$R$1&amp;"")</f>
        <v>0</v>
      </c>
      <c r="S360" s="293"/>
      <c r="T360" s="293" t="s">
        <v>1</v>
      </c>
      <c r="U360" s="291" t="s">
        <v>1</v>
      </c>
      <c r="V360" s="292" t="str" cm="1">
        <f t="array" aca="1" ref="V360" ca="1">INDIRECT("'"&amp;$C360&amp;"'!"&amp;"$"&amp;$D360&amp;$V$1&amp;"")</f>
        <v>CMS</v>
      </c>
      <c r="W360" s="293" t="s">
        <v>1</v>
      </c>
      <c r="X360" s="293" t="s">
        <v>1</v>
      </c>
      <c r="Y360" s="294" t="s">
        <v>1</v>
      </c>
      <c r="Z360" s="386" cm="1">
        <f t="array" aca="1" ref="Z360" ca="1">INDIRECT("'"&amp;$C360&amp;"'!"&amp;"$"&amp;$D360&amp;$Z$1&amp;"")</f>
        <v>0</v>
      </c>
      <c r="AA360" s="292" t="s">
        <v>1</v>
      </c>
      <c r="AB360" s="293" t="s">
        <v>1</v>
      </c>
      <c r="AC360" s="291" t="s">
        <v>1</v>
      </c>
      <c r="AD360" s="292" cm="1">
        <f t="array" aca="1" ref="AD360" ca="1">INDIRECT("'"&amp;$C360&amp;"'!"&amp;"$"&amp;$D360&amp;$AD$1&amp;"")</f>
        <v>0</v>
      </c>
      <c r="AE360" s="293" t="s">
        <v>1</v>
      </c>
      <c r="AF360" s="293" t="s">
        <v>1</v>
      </c>
      <c r="AG360" s="294" t="s">
        <v>1</v>
      </c>
      <c r="AH360" s="290" cm="1">
        <f t="array" aca="1" ref="AH360" ca="1">INDIRECT("'"&amp;$C360&amp;"'!"&amp;"$"&amp;$D360&amp;$AH$1&amp;"")</f>
        <v>3.6</v>
      </c>
      <c r="AI360" s="293">
        <v>13.8</v>
      </c>
      <c r="AJ360" s="293">
        <v>1</v>
      </c>
      <c r="AK360" s="291">
        <v>0.16400000000000001</v>
      </c>
      <c r="AL360" s="290">
        <v>11.7</v>
      </c>
      <c r="AM360" s="294">
        <v>70.400000000000006</v>
      </c>
      <c r="AN360" s="290" cm="1">
        <f t="array" aca="1" ref="AN360" ca="1">INDIRECT("'"&amp;$C360&amp;"'!"&amp;"$"&amp;$D360&amp;$AL$1&amp;"")</f>
        <v>0</v>
      </c>
      <c r="AO360" s="293" t="s">
        <v>1</v>
      </c>
      <c r="AP360" s="291" t="s">
        <v>1</v>
      </c>
      <c r="AQ360" s="292" cm="1">
        <f t="array" aca="1" ref="AQ360" ca="1">INDIRECT("'"&amp;$C360&amp;"'!"&amp;"$"&amp;$D360&amp;$AQ$1&amp;"")</f>
        <v>3.1</v>
      </c>
      <c r="AR360" s="293">
        <v>1</v>
      </c>
      <c r="AS360" s="291">
        <v>0</v>
      </c>
      <c r="AT360" s="290">
        <v>14.24</v>
      </c>
      <c r="AU360" s="296">
        <v>70.84</v>
      </c>
      <c r="AV360" s="290" cm="1">
        <f t="array" aca="1" ref="AV360" ca="1">INDIRECT("'"&amp;$C360&amp;"'!"&amp;"$"&amp;$D360&amp;$AT$1&amp;"")</f>
        <v>9.26</v>
      </c>
      <c r="AW360" s="293">
        <v>1</v>
      </c>
      <c r="AX360" s="294">
        <v>0.8</v>
      </c>
      <c r="AY360" s="386">
        <v>68.599999999999994</v>
      </c>
      <c r="AZ360" s="296" cm="1">
        <f t="array" aca="1" ref="AZ360" ca="1">INDIRECT("'"&amp;$C360&amp;"'!"&amp;"$"&amp;$D360&amp;$AY$1&amp;"")</f>
        <v>0</v>
      </c>
      <c r="BA360" s="293" t="s">
        <v>1</v>
      </c>
      <c r="BB360" s="291" t="s">
        <v>1</v>
      </c>
      <c r="BC360" s="292" cm="1">
        <f t="array" aca="1" ref="BC360" ca="1">INDIRECT("'"&amp;$C360&amp;"'!"&amp;"$"&amp;$D360&amp;$BC$1&amp;"")</f>
        <v>0.77</v>
      </c>
      <c r="BD360" s="293"/>
      <c r="BE360" s="293">
        <v>0.99</v>
      </c>
      <c r="BF360" s="291">
        <v>0.03</v>
      </c>
      <c r="BG360" s="292" cm="1">
        <f t="array" aca="1" ref="BG360" ca="1">INDIRECT("'"&amp;$C360&amp;"'!"&amp;"$"&amp;$D360&amp;$BG$1&amp;"")</f>
        <v>0.71</v>
      </c>
      <c r="BH360" s="293"/>
      <c r="BI360" s="293">
        <v>0.96</v>
      </c>
      <c r="BJ360" s="291">
        <v>0.2</v>
      </c>
      <c r="BK360" s="292" cm="1">
        <f t="array" aca="1" ref="BK360" ca="1">INDIRECT("'"&amp;$C360&amp;"'!"&amp;"$"&amp;$D360&amp;$BK$1&amp;"")</f>
        <v>2.79</v>
      </c>
      <c r="BL360" s="293"/>
      <c r="BM360" s="293">
        <v>0.95</v>
      </c>
      <c r="BN360" s="291">
        <v>0.9</v>
      </c>
    </row>
    <row r="361" spans="1:66" ht="15.75" thickBot="1" x14ac:dyDescent="0.25">
      <c r="A361" s="368">
        <v>45703</v>
      </c>
      <c r="B361" s="365">
        <v>0.25</v>
      </c>
      <c r="C361" s="383">
        <v>15</v>
      </c>
      <c r="D361" s="319" t="s">
        <v>116</v>
      </c>
      <c r="E361" s="297">
        <v>13.8</v>
      </c>
      <c r="F361" s="298">
        <v>69.040000000000006</v>
      </c>
      <c r="G361" s="299" cm="1">
        <f t="array" aca="1" ref="G361" ca="1">INDIRECT("'"&amp;$C361&amp;"'!"&amp;"$"&amp;$D361&amp;$E$1&amp;"")</f>
        <v>0</v>
      </c>
      <c r="H361" s="300" t="s">
        <v>1</v>
      </c>
      <c r="I361" s="298" t="s">
        <v>1</v>
      </c>
      <c r="J361" s="299" cm="1">
        <f t="array" aca="1" ref="J361" ca="1">INDIRECT("'"&amp;$C361&amp;"'!"&amp;"$"&amp;$D361&amp;$J$1&amp;"")</f>
        <v>5.0999999999999996</v>
      </c>
      <c r="K361" s="300"/>
      <c r="L361" s="300">
        <v>0.97</v>
      </c>
      <c r="M361" s="298">
        <v>1.2</v>
      </c>
      <c r="N361" s="299" cm="1">
        <f t="array" aca="1" ref="N361" ca="1">INDIRECT("'"&amp;$C361&amp;"'!"&amp;"$"&amp;$D361&amp;$N$1&amp;"")</f>
        <v>5.0999999999999996</v>
      </c>
      <c r="O361" s="300"/>
      <c r="P361" s="300">
        <v>0.97</v>
      </c>
      <c r="Q361" s="298">
        <v>1.2</v>
      </c>
      <c r="R361" s="299" cm="1">
        <f t="array" aca="1" ref="R361" ca="1">INDIRECT("'"&amp;$C361&amp;"'!"&amp;"$"&amp;$D361&amp;$R$1&amp;"")</f>
        <v>2.7</v>
      </c>
      <c r="S361" s="300"/>
      <c r="T361" s="300">
        <v>0.97</v>
      </c>
      <c r="U361" s="298">
        <v>0.68</v>
      </c>
      <c r="V361" s="299" t="str" cm="1">
        <f t="array" aca="1" ref="V361" ca="1">INDIRECT("'"&amp;$C361&amp;"'!"&amp;"$"&amp;$D361&amp;$V$1&amp;"")</f>
        <v>CMS</v>
      </c>
      <c r="W361" s="300" t="s">
        <v>1</v>
      </c>
      <c r="X361" s="300" t="s">
        <v>1</v>
      </c>
      <c r="Y361" s="301" t="s">
        <v>1</v>
      </c>
      <c r="Z361" s="387" cm="1">
        <f t="array" aca="1" ref="Z361" ca="1">INDIRECT("'"&amp;$C361&amp;"'!"&amp;"$"&amp;$D361&amp;$Z$1&amp;"")</f>
        <v>0</v>
      </c>
      <c r="AA361" s="299" t="s">
        <v>1</v>
      </c>
      <c r="AB361" s="300" t="s">
        <v>1</v>
      </c>
      <c r="AC361" s="298" t="s">
        <v>1</v>
      </c>
      <c r="AD361" s="299" cm="1">
        <f t="array" aca="1" ref="AD361" ca="1">INDIRECT("'"&amp;$C361&amp;"'!"&amp;"$"&amp;$D361&amp;$AD$1&amp;"")</f>
        <v>0</v>
      </c>
      <c r="AE361" s="300" t="s">
        <v>1</v>
      </c>
      <c r="AF361" s="300" t="s">
        <v>1</v>
      </c>
      <c r="AG361" s="301" t="s">
        <v>1</v>
      </c>
      <c r="AH361" s="297" cm="1">
        <f t="array" aca="1" ref="AH361" ca="1">INDIRECT("'"&amp;$C361&amp;"'!"&amp;"$"&amp;$D361&amp;$AH$1&amp;"")</f>
        <v>3.8</v>
      </c>
      <c r="AI361" s="300">
        <v>13.8</v>
      </c>
      <c r="AJ361" s="300">
        <v>0.99</v>
      </c>
      <c r="AK361" s="298">
        <v>0.33800000000000002</v>
      </c>
      <c r="AL361" s="297">
        <v>11.7</v>
      </c>
      <c r="AM361" s="301">
        <v>69.900000000000006</v>
      </c>
      <c r="AN361" s="297" cm="1">
        <f t="array" aca="1" ref="AN361" ca="1">INDIRECT("'"&amp;$C361&amp;"'!"&amp;"$"&amp;$D361&amp;$AL$1&amp;"")</f>
        <v>0</v>
      </c>
      <c r="AO361" s="300" t="s">
        <v>1</v>
      </c>
      <c r="AP361" s="298" t="s">
        <v>1</v>
      </c>
      <c r="AQ361" s="299" cm="1">
        <f t="array" aca="1" ref="AQ361" ca="1">INDIRECT("'"&amp;$C361&amp;"'!"&amp;"$"&amp;$D361&amp;$AQ$1&amp;"")</f>
        <v>3.5</v>
      </c>
      <c r="AR361" s="300">
        <v>0.97</v>
      </c>
      <c r="AS361" s="298">
        <v>0.99</v>
      </c>
      <c r="AT361" s="297">
        <v>14.19</v>
      </c>
      <c r="AU361" s="301">
        <v>70.650000000000006</v>
      </c>
      <c r="AV361" s="297" cm="1">
        <f t="array" aca="1" ref="AV361" ca="1">INDIRECT("'"&amp;$C361&amp;"'!"&amp;"$"&amp;$D361&amp;$AT$1&amp;"")</f>
        <v>10.18</v>
      </c>
      <c r="AW361" s="300">
        <v>1</v>
      </c>
      <c r="AX361" s="301">
        <v>0.9</v>
      </c>
      <c r="AY361" s="387">
        <v>68.099999999999994</v>
      </c>
      <c r="AZ361" s="303" cm="1">
        <f t="array" aca="1" ref="AZ361" ca="1">INDIRECT("'"&amp;$C361&amp;"'!"&amp;"$"&amp;$D361&amp;$AY$1&amp;"")</f>
        <v>0</v>
      </c>
      <c r="BA361" s="300" t="s">
        <v>1</v>
      </c>
      <c r="BB361" s="298" t="s">
        <v>1</v>
      </c>
      <c r="BC361" s="299" cm="1">
        <f t="array" aca="1" ref="BC361" ca="1">INDIRECT("'"&amp;$C361&amp;"'!"&amp;"$"&amp;$D361&amp;$BC$1&amp;"")</f>
        <v>0.82</v>
      </c>
      <c r="BD361" s="300"/>
      <c r="BE361" s="300">
        <v>0.99</v>
      </c>
      <c r="BF361" s="298">
        <v>0.09</v>
      </c>
      <c r="BG361" s="299" cm="1">
        <f t="array" aca="1" ref="BG361" ca="1">INDIRECT("'"&amp;$C361&amp;"'!"&amp;"$"&amp;$D361&amp;$BG$1&amp;"")</f>
        <v>0.72</v>
      </c>
      <c r="BH361" s="300"/>
      <c r="BI361" s="300">
        <v>0.96</v>
      </c>
      <c r="BJ361" s="298">
        <v>0.19</v>
      </c>
      <c r="BK361" s="299" cm="1">
        <f t="array" aca="1" ref="BK361" ca="1">INDIRECT("'"&amp;$C361&amp;"'!"&amp;"$"&amp;$D361&amp;$BK$1&amp;"")</f>
        <v>2.8</v>
      </c>
      <c r="BL361" s="300"/>
      <c r="BM361" s="300">
        <v>0.95</v>
      </c>
      <c r="BN361" s="298">
        <v>0.92</v>
      </c>
    </row>
    <row r="362" spans="1:66" ht="15.75" thickBot="1" x14ac:dyDescent="0.25">
      <c r="A362" s="368">
        <v>45703</v>
      </c>
      <c r="B362" s="365">
        <v>0.29166666666666702</v>
      </c>
      <c r="C362" s="383">
        <v>15</v>
      </c>
      <c r="D362" s="319" t="s">
        <v>117</v>
      </c>
      <c r="E362" s="290">
        <v>13.8</v>
      </c>
      <c r="F362" s="291">
        <v>68.92</v>
      </c>
      <c r="G362" s="292" cm="1">
        <f t="array" aca="1" ref="G362" ca="1">INDIRECT("'"&amp;$C362&amp;"'!"&amp;"$"&amp;$D362&amp;$E$1&amp;"")</f>
        <v>0</v>
      </c>
      <c r="H362" s="293" t="s">
        <v>1</v>
      </c>
      <c r="I362" s="291" t="s">
        <v>1</v>
      </c>
      <c r="J362" s="292" cm="1">
        <f t="array" aca="1" ref="J362" ca="1">INDIRECT("'"&amp;$C362&amp;"'!"&amp;"$"&amp;$D362&amp;$J$1&amp;"")</f>
        <v>0</v>
      </c>
      <c r="K362" s="293"/>
      <c r="L362" s="293" t="s">
        <v>1</v>
      </c>
      <c r="M362" s="291" t="s">
        <v>1</v>
      </c>
      <c r="N362" s="292" cm="1">
        <f t="array" aca="1" ref="N362" ca="1">INDIRECT("'"&amp;$C362&amp;"'!"&amp;"$"&amp;$D362&amp;$N$1&amp;"")</f>
        <v>6.4</v>
      </c>
      <c r="O362" s="293"/>
      <c r="P362" s="293">
        <v>0.96</v>
      </c>
      <c r="Q362" s="291">
        <v>1.87</v>
      </c>
      <c r="R362" s="292" cm="1">
        <f t="array" aca="1" ref="R362" ca="1">INDIRECT("'"&amp;$C362&amp;"'!"&amp;"$"&amp;$D362&amp;$R$1&amp;"")</f>
        <v>6.4</v>
      </c>
      <c r="S362" s="293"/>
      <c r="T362" s="293">
        <v>0.96</v>
      </c>
      <c r="U362" s="291">
        <v>1.87</v>
      </c>
      <c r="V362" s="292" t="str" cm="1">
        <f t="array" aca="1" ref="V362" ca="1">INDIRECT("'"&amp;$C362&amp;"'!"&amp;"$"&amp;$D362&amp;$V$1&amp;"")</f>
        <v>CMS</v>
      </c>
      <c r="W362" s="293" t="s">
        <v>1</v>
      </c>
      <c r="X362" s="293" t="s">
        <v>1</v>
      </c>
      <c r="Y362" s="294" t="s">
        <v>1</v>
      </c>
      <c r="Z362" s="386" cm="1">
        <f t="array" aca="1" ref="Z362" ca="1">INDIRECT("'"&amp;$C362&amp;"'!"&amp;"$"&amp;$D362&amp;$Z$1&amp;"")</f>
        <v>0</v>
      </c>
      <c r="AA362" s="292" t="s">
        <v>1</v>
      </c>
      <c r="AB362" s="293" t="s">
        <v>1</v>
      </c>
      <c r="AC362" s="291" t="s">
        <v>1</v>
      </c>
      <c r="AD362" s="292" cm="1">
        <f t="array" aca="1" ref="AD362" ca="1">INDIRECT("'"&amp;$C362&amp;"'!"&amp;"$"&amp;$D362&amp;$AD$1&amp;"")</f>
        <v>0</v>
      </c>
      <c r="AE362" s="293" t="s">
        <v>1</v>
      </c>
      <c r="AF362" s="293" t="s">
        <v>1</v>
      </c>
      <c r="AG362" s="294" t="s">
        <v>1</v>
      </c>
      <c r="AH362" s="290" cm="1">
        <f t="array" aca="1" ref="AH362" ca="1">INDIRECT("'"&amp;$C362&amp;"'!"&amp;"$"&amp;$D362&amp;$AH$1&amp;"")</f>
        <v>3.8</v>
      </c>
      <c r="AI362" s="293">
        <v>13.8</v>
      </c>
      <c r="AJ362" s="293">
        <v>1</v>
      </c>
      <c r="AK362" s="291">
        <v>0.20899999999999999</v>
      </c>
      <c r="AL362" s="290">
        <v>11.7</v>
      </c>
      <c r="AM362" s="294">
        <v>69.099999999999994</v>
      </c>
      <c r="AN362" s="290" cm="1">
        <f t="array" aca="1" ref="AN362" ca="1">INDIRECT("'"&amp;$C362&amp;"'!"&amp;"$"&amp;$D362&amp;$AL$1&amp;"")</f>
        <v>0</v>
      </c>
      <c r="AO362" s="293" t="s">
        <v>1</v>
      </c>
      <c r="AP362" s="291" t="s">
        <v>1</v>
      </c>
      <c r="AQ362" s="292" cm="1">
        <f t="array" aca="1" ref="AQ362" ca="1">INDIRECT("'"&amp;$C362&amp;"'!"&amp;"$"&amp;$D362&amp;$AQ$1&amp;"")</f>
        <v>3.4</v>
      </c>
      <c r="AR362" s="293">
        <v>0.96</v>
      </c>
      <c r="AS362" s="291">
        <v>1.05</v>
      </c>
      <c r="AT362" s="290">
        <v>14.22</v>
      </c>
      <c r="AU362" s="294">
        <v>70.739999999999995</v>
      </c>
      <c r="AV362" s="290" cm="1">
        <f t="array" aca="1" ref="AV362" ca="1">INDIRECT("'"&amp;$C362&amp;"'!"&amp;"$"&amp;$D362&amp;$AT$1&amp;"")</f>
        <v>11.26</v>
      </c>
      <c r="AW362" s="293">
        <v>1</v>
      </c>
      <c r="AX362" s="294">
        <v>1</v>
      </c>
      <c r="AY362" s="386">
        <v>68</v>
      </c>
      <c r="AZ362" s="296" cm="1">
        <f t="array" aca="1" ref="AZ362" ca="1">INDIRECT("'"&amp;$C362&amp;"'!"&amp;"$"&amp;$D362&amp;$AY$1&amp;"")</f>
        <v>0</v>
      </c>
      <c r="BA362" s="293" t="s">
        <v>1</v>
      </c>
      <c r="BB362" s="291" t="s">
        <v>1</v>
      </c>
      <c r="BC362" s="292" cm="1">
        <f t="array" aca="1" ref="BC362" ca="1">INDIRECT("'"&amp;$C362&amp;"'!"&amp;"$"&amp;$D362&amp;$BC$1&amp;"")</f>
        <v>0.96</v>
      </c>
      <c r="BD362" s="293"/>
      <c r="BE362" s="293">
        <v>0.99</v>
      </c>
      <c r="BF362" s="291">
        <v>0.11</v>
      </c>
      <c r="BG362" s="292" cm="1">
        <f t="array" aca="1" ref="BG362" ca="1">INDIRECT("'"&amp;$C362&amp;"'!"&amp;"$"&amp;$D362&amp;$BG$1&amp;"")</f>
        <v>0.72</v>
      </c>
      <c r="BH362" s="293"/>
      <c r="BI362" s="293">
        <v>0.96</v>
      </c>
      <c r="BJ362" s="291">
        <v>0.21</v>
      </c>
      <c r="BK362" s="292" cm="1">
        <f t="array" aca="1" ref="BK362" ca="1">INDIRECT("'"&amp;$C362&amp;"'!"&amp;"$"&amp;$D362&amp;$BK$1&amp;"")</f>
        <v>3.1</v>
      </c>
      <c r="BL362" s="293"/>
      <c r="BM362" s="293">
        <v>0.95</v>
      </c>
      <c r="BN362" s="291">
        <v>1</v>
      </c>
    </row>
    <row r="363" spans="1:66" ht="15.75" thickBot="1" x14ac:dyDescent="0.25">
      <c r="A363" s="368">
        <v>45703</v>
      </c>
      <c r="B363" s="365">
        <v>0.33333333333333398</v>
      </c>
      <c r="C363" s="383">
        <v>15</v>
      </c>
      <c r="D363" s="319" t="s">
        <v>118</v>
      </c>
      <c r="E363" s="297">
        <v>14</v>
      </c>
      <c r="F363" s="298">
        <v>68.900000000000006</v>
      </c>
      <c r="G363" s="299" cm="1">
        <f t="array" aca="1" ref="G363" ca="1">INDIRECT("'"&amp;$C363&amp;"'!"&amp;"$"&amp;$D363&amp;$E$1&amp;"")</f>
        <v>0</v>
      </c>
      <c r="H363" s="300" t="s">
        <v>1</v>
      </c>
      <c r="I363" s="298" t="s">
        <v>1</v>
      </c>
      <c r="J363" s="299" cm="1">
        <f t="array" aca="1" ref="J363" ca="1">INDIRECT("'"&amp;$C363&amp;"'!"&amp;"$"&amp;$D363&amp;$J$1&amp;"")</f>
        <v>0</v>
      </c>
      <c r="K363" s="300"/>
      <c r="L363" s="300" t="s">
        <v>1</v>
      </c>
      <c r="M363" s="298" t="s">
        <v>1</v>
      </c>
      <c r="N363" s="299" cm="1">
        <f t="array" aca="1" ref="N363" ca="1">INDIRECT("'"&amp;$C363&amp;"'!"&amp;"$"&amp;$D363&amp;$N$1&amp;"")</f>
        <v>6.7</v>
      </c>
      <c r="O363" s="300"/>
      <c r="P363" s="300">
        <v>0.94</v>
      </c>
      <c r="Q363" s="298">
        <v>2.4500000000000002</v>
      </c>
      <c r="R363" s="299" cm="1">
        <f t="array" aca="1" ref="R363" ca="1">INDIRECT("'"&amp;$C363&amp;"'!"&amp;"$"&amp;$D363&amp;$R$1&amp;"")</f>
        <v>6.6</v>
      </c>
      <c r="S363" s="300"/>
      <c r="T363" s="300">
        <v>0.94</v>
      </c>
      <c r="U363" s="298">
        <v>2.46</v>
      </c>
      <c r="V363" s="299" t="str" cm="1">
        <f t="array" aca="1" ref="V363" ca="1">INDIRECT("'"&amp;$C363&amp;"'!"&amp;"$"&amp;$D363&amp;$V$1&amp;"")</f>
        <v>CMS</v>
      </c>
      <c r="W363" s="300" t="s">
        <v>1</v>
      </c>
      <c r="X363" s="300" t="s">
        <v>1</v>
      </c>
      <c r="Y363" s="301" t="s">
        <v>1</v>
      </c>
      <c r="Z363" s="387" cm="1">
        <f t="array" aca="1" ref="Z363" ca="1">INDIRECT("'"&amp;$C363&amp;"'!"&amp;"$"&amp;$D363&amp;$Z$1&amp;"")</f>
        <v>0</v>
      </c>
      <c r="AA363" s="299" t="s">
        <v>1</v>
      </c>
      <c r="AB363" s="300" t="s">
        <v>1</v>
      </c>
      <c r="AC363" s="298" t="s">
        <v>1</v>
      </c>
      <c r="AD363" s="299" cm="1">
        <f t="array" aca="1" ref="AD363" ca="1">INDIRECT("'"&amp;$C363&amp;"'!"&amp;"$"&amp;$D363&amp;$AD$1&amp;"")</f>
        <v>0</v>
      </c>
      <c r="AE363" s="300"/>
      <c r="AF363" s="300"/>
      <c r="AG363" s="301"/>
      <c r="AH363" s="297" cm="1">
        <f t="array" aca="1" ref="AH363" ca="1">INDIRECT("'"&amp;$C363&amp;"'!"&amp;"$"&amp;$D363&amp;$AH$1&amp;"")</f>
        <v>3.8</v>
      </c>
      <c r="AI363" s="300">
        <v>13.96</v>
      </c>
      <c r="AJ363" s="300">
        <v>0.97</v>
      </c>
      <c r="AK363" s="298">
        <v>0.75800000000000001</v>
      </c>
      <c r="AL363" s="297">
        <v>11.7</v>
      </c>
      <c r="AM363" s="301">
        <v>69.7</v>
      </c>
      <c r="AN363" s="297" cm="1">
        <f t="array" aca="1" ref="AN363" ca="1">INDIRECT("'"&amp;$C363&amp;"'!"&amp;"$"&amp;$D363&amp;$AL$1&amp;"")</f>
        <v>0</v>
      </c>
      <c r="AO363" s="300" t="s">
        <v>1</v>
      </c>
      <c r="AP363" s="298" t="s">
        <v>1</v>
      </c>
      <c r="AQ363" s="299" cm="1">
        <f t="array" aca="1" ref="AQ363" ca="1">INDIRECT("'"&amp;$C363&amp;"'!"&amp;"$"&amp;$D363&amp;$AQ$1&amp;"")</f>
        <v>3.5</v>
      </c>
      <c r="AR363" s="300">
        <v>0.94</v>
      </c>
      <c r="AS363" s="298">
        <v>1.37</v>
      </c>
      <c r="AT363" s="297">
        <v>14.24</v>
      </c>
      <c r="AU363" s="301">
        <v>70.78</v>
      </c>
      <c r="AV363" s="297" cm="1">
        <f t="array" aca="1" ref="AV363" ca="1">INDIRECT("'"&amp;$C363&amp;"'!"&amp;"$"&amp;$D363&amp;$AT$1&amp;"")</f>
        <v>12.65</v>
      </c>
      <c r="AW363" s="300">
        <v>1</v>
      </c>
      <c r="AX363" s="301">
        <v>1.1000000000000001</v>
      </c>
      <c r="AY363" s="387">
        <v>67.599999999999994</v>
      </c>
      <c r="AZ363" s="303" cm="1">
        <f t="array" aca="1" ref="AZ363" ca="1">INDIRECT("'"&amp;$C363&amp;"'!"&amp;"$"&amp;$D363&amp;$AY$1&amp;"")</f>
        <v>0.8</v>
      </c>
      <c r="BA363" s="300">
        <v>0.96</v>
      </c>
      <c r="BB363" s="298">
        <v>0.23</v>
      </c>
      <c r="BC363" s="299" cm="1">
        <f t="array" aca="1" ref="BC363" ca="1">INDIRECT("'"&amp;$C363&amp;"'!"&amp;"$"&amp;$D363&amp;$BC$1&amp;"")</f>
        <v>1</v>
      </c>
      <c r="BD363" s="300"/>
      <c r="BE363" s="300">
        <v>0.99</v>
      </c>
      <c r="BF363" s="298">
        <v>0.14000000000000001</v>
      </c>
      <c r="BG363" s="299" cm="1">
        <f t="array" aca="1" ref="BG363" ca="1">INDIRECT("'"&amp;$C363&amp;"'!"&amp;"$"&amp;$D363&amp;$BG$1&amp;"")</f>
        <v>0.74</v>
      </c>
      <c r="BH363" s="300"/>
      <c r="BI363" s="300">
        <v>0.96</v>
      </c>
      <c r="BJ363" s="298">
        <v>0.23</v>
      </c>
      <c r="BK363" s="299" cm="1">
        <f t="array" aca="1" ref="BK363" ca="1">INDIRECT("'"&amp;$C363&amp;"'!"&amp;"$"&amp;$D363&amp;$BK$1&amp;"")</f>
        <v>3.21</v>
      </c>
      <c r="BL363" s="300"/>
      <c r="BM363" s="300">
        <v>0.99</v>
      </c>
      <c r="BN363" s="298">
        <v>1</v>
      </c>
    </row>
    <row r="364" spans="1:66" ht="15.75" thickBot="1" x14ac:dyDescent="0.25">
      <c r="A364" s="368">
        <v>45703</v>
      </c>
      <c r="B364" s="365">
        <v>0.375</v>
      </c>
      <c r="C364" s="383">
        <v>15</v>
      </c>
      <c r="D364" s="319" t="s">
        <v>119</v>
      </c>
      <c r="E364" s="290">
        <v>14</v>
      </c>
      <c r="F364" s="291">
        <v>68.599999999999994</v>
      </c>
      <c r="G364" s="292" cm="1">
        <f t="array" aca="1" ref="G364" ca="1">INDIRECT("'"&amp;$C364&amp;"'!"&amp;"$"&amp;$D364&amp;$E$1&amp;"")</f>
        <v>0</v>
      </c>
      <c r="H364" s="293" t="s">
        <v>1</v>
      </c>
      <c r="I364" s="291" t="s">
        <v>1</v>
      </c>
      <c r="J364" s="292" cm="1">
        <f t="array" aca="1" ref="J364" ca="1">INDIRECT("'"&amp;$C364&amp;"'!"&amp;"$"&amp;$D364&amp;$J$1&amp;"")</f>
        <v>0</v>
      </c>
      <c r="K364" s="293"/>
      <c r="L364" s="293" t="s">
        <v>1</v>
      </c>
      <c r="M364" s="291" t="s">
        <v>1</v>
      </c>
      <c r="N364" s="292" cm="1">
        <f t="array" aca="1" ref="N364" ca="1">INDIRECT("'"&amp;$C364&amp;"'!"&amp;"$"&amp;$D364&amp;$N$1&amp;"")</f>
        <v>6.9</v>
      </c>
      <c r="O364" s="293"/>
      <c r="P364" s="293">
        <v>0.93</v>
      </c>
      <c r="Q364" s="291">
        <v>2.82</v>
      </c>
      <c r="R364" s="292" cm="1">
        <f t="array" aca="1" ref="R364" ca="1">INDIRECT("'"&amp;$C364&amp;"'!"&amp;"$"&amp;$D364&amp;$R$1&amp;"")</f>
        <v>6.9</v>
      </c>
      <c r="S364" s="293"/>
      <c r="T364" s="293">
        <v>0.93</v>
      </c>
      <c r="U364" s="291">
        <v>2.82</v>
      </c>
      <c r="V364" s="292" t="str" cm="1">
        <f t="array" aca="1" ref="V364" ca="1">INDIRECT("'"&amp;$C364&amp;"'!"&amp;"$"&amp;$D364&amp;$V$1&amp;"")</f>
        <v>CMS</v>
      </c>
      <c r="W364" s="293" t="s">
        <v>1</v>
      </c>
      <c r="X364" s="293" t="s">
        <v>1</v>
      </c>
      <c r="Y364" s="294" t="s">
        <v>1</v>
      </c>
      <c r="Z364" s="386" cm="1">
        <f t="array" aca="1" ref="Z364" ca="1">INDIRECT("'"&amp;$C364&amp;"'!"&amp;"$"&amp;$D364&amp;$Z$1&amp;"")</f>
        <v>0</v>
      </c>
      <c r="AA364" s="292" t="s">
        <v>1</v>
      </c>
      <c r="AB364" s="293" t="s">
        <v>1</v>
      </c>
      <c r="AC364" s="291" t="s">
        <v>1</v>
      </c>
      <c r="AD364" s="292" cm="1">
        <f t="array" aca="1" ref="AD364" ca="1">INDIRECT("'"&amp;$C364&amp;"'!"&amp;"$"&amp;$D364&amp;$AD$1&amp;"")</f>
        <v>3.3</v>
      </c>
      <c r="AE364" s="293">
        <f>3.5*3.8</f>
        <v>13.299999999999999</v>
      </c>
      <c r="AF364" s="293">
        <v>0.94</v>
      </c>
      <c r="AG364" s="294">
        <v>1.24</v>
      </c>
      <c r="AH364" s="290" cm="1">
        <f t="array" aca="1" ref="AH364" ca="1">INDIRECT("'"&amp;$C364&amp;"'!"&amp;"$"&amp;$D364&amp;$AH$1&amp;"")</f>
        <v>3.8</v>
      </c>
      <c r="AI364" s="293">
        <v>13.88</v>
      </c>
      <c r="AJ364" s="293">
        <v>0.97</v>
      </c>
      <c r="AK364" s="291">
        <v>0.79700000000000004</v>
      </c>
      <c r="AL364" s="290">
        <v>11.7</v>
      </c>
      <c r="AM364" s="294">
        <v>69.7</v>
      </c>
      <c r="AN364" s="290" cm="1">
        <f t="array" aca="1" ref="AN364" ca="1">INDIRECT("'"&amp;$C364&amp;"'!"&amp;"$"&amp;$D364&amp;$AL$1&amp;"")</f>
        <v>0</v>
      </c>
      <c r="AO364" s="293" t="s">
        <v>1</v>
      </c>
      <c r="AP364" s="291" t="s">
        <v>1</v>
      </c>
      <c r="AQ364" s="292" cm="1">
        <f t="array" aca="1" ref="AQ364" ca="1">INDIRECT("'"&amp;$C364&amp;"'!"&amp;"$"&amp;$D364&amp;$AQ$1&amp;"")</f>
        <v>3.6</v>
      </c>
      <c r="AR364" s="293">
        <v>0.94</v>
      </c>
      <c r="AS364" s="291">
        <v>1.1000000000000001</v>
      </c>
      <c r="AT364" s="290">
        <v>14.01</v>
      </c>
      <c r="AU364" s="294">
        <v>70.930000000000007</v>
      </c>
      <c r="AV364" s="290" cm="1">
        <f t="array" aca="1" ref="AV364" ca="1">INDIRECT("'"&amp;$C364&amp;"'!"&amp;"$"&amp;$D364&amp;$AT$1&amp;"")</f>
        <v>13.7</v>
      </c>
      <c r="AW364" s="293">
        <v>0.99</v>
      </c>
      <c r="AX364" s="294">
        <v>2.16</v>
      </c>
      <c r="AY364" s="386">
        <v>67.400000000000006</v>
      </c>
      <c r="AZ364" s="296" cm="1">
        <f t="array" aca="1" ref="AZ364" ca="1">INDIRECT("'"&amp;$C364&amp;"'!"&amp;"$"&amp;$D364&amp;$AY$1&amp;"")</f>
        <v>1.5</v>
      </c>
      <c r="BA364" s="293">
        <v>0.95</v>
      </c>
      <c r="BB364" s="291">
        <v>0.48</v>
      </c>
      <c r="BC364" s="292" cm="1">
        <f t="array" aca="1" ref="BC364" ca="1">INDIRECT("'"&amp;$C364&amp;"'!"&amp;"$"&amp;$D364&amp;$BC$1&amp;"")</f>
        <v>1.18</v>
      </c>
      <c r="BD364" s="293"/>
      <c r="BE364" s="293">
        <v>0.99</v>
      </c>
      <c r="BF364" s="291">
        <v>0.18</v>
      </c>
      <c r="BG364" s="292" cm="1">
        <f t="array" aca="1" ref="BG364" ca="1">INDIRECT("'"&amp;$C364&amp;"'!"&amp;"$"&amp;$D364&amp;$BG$1&amp;"")</f>
        <v>0.75</v>
      </c>
      <c r="BH364" s="293"/>
      <c r="BI364" s="293">
        <v>0.96</v>
      </c>
      <c r="BJ364" s="291">
        <v>0.23</v>
      </c>
      <c r="BK364" s="292" cm="1">
        <f t="array" aca="1" ref="BK364" ca="1">INDIRECT("'"&amp;$C364&amp;"'!"&amp;"$"&amp;$D364&amp;$BK$1&amp;"")</f>
        <v>3.7</v>
      </c>
      <c r="BL364" s="293"/>
      <c r="BM364" s="293">
        <v>0.95</v>
      </c>
      <c r="BN364" s="291">
        <v>1.2</v>
      </c>
    </row>
    <row r="365" spans="1:66" ht="15.75" thickBot="1" x14ac:dyDescent="0.25">
      <c r="A365" s="368">
        <v>45703</v>
      </c>
      <c r="B365" s="365">
        <v>0.41666666666666702</v>
      </c>
      <c r="C365" s="383">
        <v>15</v>
      </c>
      <c r="D365" s="319" t="s">
        <v>120</v>
      </c>
      <c r="E365" s="297">
        <v>14</v>
      </c>
      <c r="F365" s="298">
        <v>68.66</v>
      </c>
      <c r="G365" s="299" cm="1">
        <f t="array" aca="1" ref="G365" ca="1">INDIRECT("'"&amp;$C365&amp;"'!"&amp;"$"&amp;$D365&amp;$E$1&amp;"")</f>
        <v>0</v>
      </c>
      <c r="H365" s="300" t="s">
        <v>1</v>
      </c>
      <c r="I365" s="298" t="s">
        <v>1</v>
      </c>
      <c r="J365" s="299" cm="1">
        <f t="array" aca="1" ref="J365" ca="1">INDIRECT("'"&amp;$C365&amp;"'!"&amp;"$"&amp;$D365&amp;$J$1&amp;"")</f>
        <v>0</v>
      </c>
      <c r="K365" s="300"/>
      <c r="L365" s="300" t="s">
        <v>1</v>
      </c>
      <c r="M365" s="298" t="s">
        <v>1</v>
      </c>
      <c r="N365" s="299" cm="1">
        <f t="array" aca="1" ref="N365" ca="1">INDIRECT("'"&amp;$C365&amp;"'!"&amp;"$"&amp;$D365&amp;$N$1&amp;"")</f>
        <v>6.5</v>
      </c>
      <c r="O365" s="300"/>
      <c r="P365" s="300">
        <v>0.9</v>
      </c>
      <c r="Q365" s="298">
        <v>3.06</v>
      </c>
      <c r="R365" s="299" cm="1">
        <f t="array" aca="1" ref="R365" ca="1">INDIRECT("'"&amp;$C365&amp;"'!"&amp;"$"&amp;$D365&amp;$R$1&amp;"")</f>
        <v>6.5</v>
      </c>
      <c r="S365" s="300"/>
      <c r="T365" s="300">
        <v>0.9</v>
      </c>
      <c r="U365" s="298">
        <v>3.06</v>
      </c>
      <c r="V365" s="299" t="str" cm="1">
        <f t="array" aca="1" ref="V365" ca="1">INDIRECT("'"&amp;$C365&amp;"'!"&amp;"$"&amp;$D365&amp;$V$1&amp;"")</f>
        <v>CMS</v>
      </c>
      <c r="W365" s="300" t="s">
        <v>1</v>
      </c>
      <c r="X365" s="300" t="s">
        <v>1</v>
      </c>
      <c r="Y365" s="301" t="s">
        <v>1</v>
      </c>
      <c r="Z365" s="387" cm="1">
        <f t="array" aca="1" ref="Z365" ca="1">INDIRECT("'"&amp;$C365&amp;"'!"&amp;"$"&amp;$D365&amp;$Z$1&amp;"")</f>
        <v>0</v>
      </c>
      <c r="AA365" s="299" t="s">
        <v>1</v>
      </c>
      <c r="AB365" s="300" t="s">
        <v>1</v>
      </c>
      <c r="AC365" s="298" t="s">
        <v>1</v>
      </c>
      <c r="AD365" s="299" cm="1">
        <f t="array" aca="1" ref="AD365" ca="1">INDIRECT("'"&amp;$C365&amp;"'!"&amp;"$"&amp;$D365&amp;$AD$1&amp;"")</f>
        <v>3.3</v>
      </c>
      <c r="AE365" s="300">
        <f>3.8*3.48</f>
        <v>13.224</v>
      </c>
      <c r="AF365" s="300">
        <v>0.93</v>
      </c>
      <c r="AG365" s="301">
        <v>1.36</v>
      </c>
      <c r="AH365" s="297" cm="1">
        <f t="array" aca="1" ref="AH365" ca="1">INDIRECT("'"&amp;$C365&amp;"'!"&amp;"$"&amp;$D365&amp;$AH$1&amp;"")</f>
        <v>3.8</v>
      </c>
      <c r="AI365" s="300">
        <v>13.88</v>
      </c>
      <c r="AJ365" s="300">
        <v>0.98</v>
      </c>
      <c r="AK365" s="298">
        <v>0.69899999999999995</v>
      </c>
      <c r="AL365" s="297">
        <v>11.7</v>
      </c>
      <c r="AM365" s="301">
        <v>70.3</v>
      </c>
      <c r="AN365" s="297" cm="1">
        <f t="array" aca="1" ref="AN365" ca="1">INDIRECT("'"&amp;$C365&amp;"'!"&amp;"$"&amp;$D365&amp;$AL$1&amp;"")</f>
        <v>3.5</v>
      </c>
      <c r="AO365" s="300">
        <v>0.97</v>
      </c>
      <c r="AP365" s="298">
        <v>0.88</v>
      </c>
      <c r="AQ365" s="299" cm="1">
        <f t="array" aca="1" ref="AQ365" ca="1">INDIRECT("'"&amp;$C365&amp;"'!"&amp;"$"&amp;$D365&amp;$AQ$1&amp;"")</f>
        <v>3.5</v>
      </c>
      <c r="AR365" s="300">
        <v>0.97</v>
      </c>
      <c r="AS365" s="298">
        <v>0.88</v>
      </c>
      <c r="AT365" s="297">
        <v>14.19</v>
      </c>
      <c r="AU365" s="301">
        <v>71.45</v>
      </c>
      <c r="AV365" s="297" cm="1">
        <f t="array" aca="1" ref="AV365" ca="1">INDIRECT("'"&amp;$C365&amp;"'!"&amp;"$"&amp;$D365&amp;$AT$1&amp;"")</f>
        <v>13.6</v>
      </c>
      <c r="AW365" s="300">
        <v>0.98</v>
      </c>
      <c r="AX365" s="301">
        <v>3.2</v>
      </c>
      <c r="AY365" s="387">
        <v>67.400000000000006</v>
      </c>
      <c r="AZ365" s="303" cm="1">
        <f t="array" aca="1" ref="AZ365" ca="1">INDIRECT("'"&amp;$C365&amp;"'!"&amp;"$"&amp;$D365&amp;$AY$1&amp;"")</f>
        <v>4</v>
      </c>
      <c r="BA365" s="300">
        <v>0.95</v>
      </c>
      <c r="BB365" s="298">
        <v>1.3</v>
      </c>
      <c r="BC365" s="299" cm="1">
        <f t="array" aca="1" ref="BC365" ca="1">INDIRECT("'"&amp;$C365&amp;"'!"&amp;"$"&amp;$D365&amp;$BC$1&amp;"")</f>
        <v>1.2</v>
      </c>
      <c r="BD365" s="300"/>
      <c r="BE365" s="300">
        <v>0.99</v>
      </c>
      <c r="BF365" s="298">
        <v>0.2</v>
      </c>
      <c r="BG365" s="299" cm="1">
        <f t="array" aca="1" ref="BG365" ca="1">INDIRECT("'"&amp;$C365&amp;"'!"&amp;"$"&amp;$D365&amp;$BG$1&amp;"")</f>
        <v>0.84</v>
      </c>
      <c r="BH365" s="300"/>
      <c r="BI365" s="300">
        <v>0.96</v>
      </c>
      <c r="BJ365" s="298">
        <v>0.26</v>
      </c>
      <c r="BK365" s="299" cm="1">
        <f t="array" aca="1" ref="BK365" ca="1">INDIRECT("'"&amp;$C365&amp;"'!"&amp;"$"&amp;$D365&amp;$BK$1&amp;"")</f>
        <v>4.4000000000000004</v>
      </c>
      <c r="BL365" s="300"/>
      <c r="BM365" s="300">
        <v>0.95</v>
      </c>
      <c r="BN365" s="298">
        <v>1.5</v>
      </c>
    </row>
    <row r="366" spans="1:66" ht="15.75" thickBot="1" x14ac:dyDescent="0.25">
      <c r="A366" s="368">
        <v>45703</v>
      </c>
      <c r="B366" s="365">
        <v>0.45833333333333398</v>
      </c>
      <c r="C366" s="383">
        <v>15</v>
      </c>
      <c r="D366" s="319" t="s">
        <v>121</v>
      </c>
      <c r="E366" s="290">
        <v>14</v>
      </c>
      <c r="F366" s="291">
        <v>68.739999999999995</v>
      </c>
      <c r="G366" s="292" cm="1">
        <f t="array" aca="1" ref="G366" ca="1">INDIRECT("'"&amp;$C366&amp;"'!"&amp;"$"&amp;$D366&amp;$E$1&amp;"")</f>
        <v>0</v>
      </c>
      <c r="H366" s="293" t="s">
        <v>1</v>
      </c>
      <c r="I366" s="291" t="s">
        <v>1</v>
      </c>
      <c r="J366" s="292" cm="1">
        <f t="array" aca="1" ref="J366" ca="1">INDIRECT("'"&amp;$C366&amp;"'!"&amp;"$"&amp;$D366&amp;$J$1&amp;"")</f>
        <v>0</v>
      </c>
      <c r="K366" s="293"/>
      <c r="L366" s="293" t="s">
        <v>1</v>
      </c>
      <c r="M366" s="291" t="s">
        <v>1</v>
      </c>
      <c r="N366" s="292" cm="1">
        <f t="array" aca="1" ref="N366" ca="1">INDIRECT("'"&amp;$C366&amp;"'!"&amp;"$"&amp;$D366&amp;$N$1&amp;"")</f>
        <v>6.3</v>
      </c>
      <c r="O366" s="293"/>
      <c r="P366" s="293">
        <v>0.91</v>
      </c>
      <c r="Q366" s="291">
        <v>2.96</v>
      </c>
      <c r="R366" s="292" cm="1">
        <f t="array" aca="1" ref="R366" ca="1">INDIRECT("'"&amp;$C366&amp;"'!"&amp;"$"&amp;$D366&amp;$R$1&amp;"")</f>
        <v>6.3</v>
      </c>
      <c r="S366" s="293"/>
      <c r="T366" s="293">
        <v>0.91</v>
      </c>
      <c r="U366" s="291">
        <v>2.96</v>
      </c>
      <c r="V366" s="292" t="str" cm="1">
        <f t="array" aca="1" ref="V366" ca="1">INDIRECT("'"&amp;$C366&amp;"'!"&amp;"$"&amp;$D366&amp;$V$1&amp;"")</f>
        <v>CMS</v>
      </c>
      <c r="W366" s="293" t="s">
        <v>1</v>
      </c>
      <c r="X366" s="293" t="s">
        <v>1</v>
      </c>
      <c r="Y366" s="294" t="s">
        <v>1</v>
      </c>
      <c r="Z366" s="386" cm="1">
        <f t="array" aca="1" ref="Z366" ca="1">INDIRECT("'"&amp;$C366&amp;"'!"&amp;"$"&amp;$D366&amp;$Z$1&amp;"")</f>
        <v>0</v>
      </c>
      <c r="AA366" s="292" t="s">
        <v>1</v>
      </c>
      <c r="AB366" s="293" t="s">
        <v>1</v>
      </c>
      <c r="AC366" s="291" t="s">
        <v>1</v>
      </c>
      <c r="AD366" s="292" cm="1">
        <f t="array" aca="1" ref="AD366" ca="1">INDIRECT("'"&amp;$C366&amp;"'!"&amp;"$"&amp;$D366&amp;$AD$1&amp;"")</f>
        <v>3.3</v>
      </c>
      <c r="AE366" s="293">
        <f>3.8*3.49</f>
        <v>13.262</v>
      </c>
      <c r="AF366" s="293">
        <v>0.93</v>
      </c>
      <c r="AG366" s="294">
        <v>1.39</v>
      </c>
      <c r="AH366" s="290" cm="1">
        <f t="array" aca="1" ref="AH366" ca="1">INDIRECT("'"&amp;$C366&amp;"'!"&amp;"$"&amp;$D366&amp;$AH$1&amp;"")</f>
        <v>3.8</v>
      </c>
      <c r="AI366" s="293">
        <v>13.88</v>
      </c>
      <c r="AJ366" s="293">
        <v>0.98</v>
      </c>
      <c r="AK366" s="291">
        <v>0.73799999999999999</v>
      </c>
      <c r="AL366" s="290">
        <v>11.8</v>
      </c>
      <c r="AM366" s="294">
        <v>70.3</v>
      </c>
      <c r="AN366" s="290" cm="1">
        <f t="array" aca="1" ref="AN366" ca="1">INDIRECT("'"&amp;$C366&amp;"'!"&amp;"$"&amp;$D366&amp;$AL$1&amp;"")</f>
        <v>3.5</v>
      </c>
      <c r="AO366" s="293">
        <v>0.97</v>
      </c>
      <c r="AP366" s="291">
        <v>0.86</v>
      </c>
      <c r="AQ366" s="292" cm="1">
        <f t="array" aca="1" ref="AQ366" ca="1">INDIRECT("'"&amp;$C366&amp;"'!"&amp;"$"&amp;$D366&amp;$AQ$1&amp;"")</f>
        <v>3.5</v>
      </c>
      <c r="AR366" s="293">
        <v>0.97</v>
      </c>
      <c r="AS366" s="291">
        <v>0.86</v>
      </c>
      <c r="AT366" s="290">
        <v>14.121</v>
      </c>
      <c r="AU366" s="294">
        <v>71.489999999999995</v>
      </c>
      <c r="AV366" s="290" cm="1">
        <f t="array" aca="1" ref="AV366" ca="1">INDIRECT("'"&amp;$C366&amp;"'!"&amp;"$"&amp;$D366&amp;$AT$1&amp;"")</f>
        <v>13.78</v>
      </c>
      <c r="AW366" s="293">
        <v>0.98</v>
      </c>
      <c r="AX366" s="294">
        <v>3.2</v>
      </c>
      <c r="AY366" s="386">
        <v>67.400000000000006</v>
      </c>
      <c r="AZ366" s="296" cm="1">
        <f t="array" aca="1" ref="AZ366" ca="1">INDIRECT("'"&amp;$C366&amp;"'!"&amp;"$"&amp;$D366&amp;$AY$1&amp;"")</f>
        <v>4.8</v>
      </c>
      <c r="BA366" s="293">
        <v>0.95</v>
      </c>
      <c r="BB366" s="291">
        <v>1.9</v>
      </c>
      <c r="BC366" s="292" cm="1">
        <f t="array" aca="1" ref="BC366" ca="1">INDIRECT("'"&amp;$C366&amp;"'!"&amp;"$"&amp;$D366&amp;$BC$1&amp;"")</f>
        <v>1.24</v>
      </c>
      <c r="BD366" s="293"/>
      <c r="BE366" s="293">
        <v>0.99</v>
      </c>
      <c r="BF366" s="291">
        <v>0.21</v>
      </c>
      <c r="BG366" s="292" cm="1">
        <f t="array" aca="1" ref="BG366" ca="1">INDIRECT("'"&amp;$C366&amp;"'!"&amp;"$"&amp;$D366&amp;$BG$1&amp;"")</f>
        <v>0.87</v>
      </c>
      <c r="BH366" s="293"/>
      <c r="BI366" s="293">
        <v>0.96</v>
      </c>
      <c r="BJ366" s="291">
        <v>0.26</v>
      </c>
      <c r="BK366" s="292" cm="1">
        <f t="array" aca="1" ref="BK366" ca="1">INDIRECT("'"&amp;$C366&amp;"'!"&amp;"$"&amp;$D366&amp;$BK$1&amp;"")</f>
        <v>4.8</v>
      </c>
      <c r="BL366" s="293"/>
      <c r="BM366" s="293">
        <v>0.95</v>
      </c>
      <c r="BN366" s="291">
        <v>1.9</v>
      </c>
    </row>
    <row r="367" spans="1:66" ht="15.75" thickBot="1" x14ac:dyDescent="0.25">
      <c r="A367" s="368">
        <v>45703</v>
      </c>
      <c r="B367" s="365">
        <v>0.5</v>
      </c>
      <c r="C367" s="383">
        <v>15</v>
      </c>
      <c r="D367" s="319" t="s">
        <v>122</v>
      </c>
      <c r="E367" s="297">
        <v>14</v>
      </c>
      <c r="F367" s="298">
        <v>68.69</v>
      </c>
      <c r="G367" s="299" cm="1">
        <f t="array" aca="1" ref="G367" ca="1">INDIRECT("'"&amp;$C367&amp;"'!"&amp;"$"&amp;$D367&amp;$E$1&amp;"")</f>
        <v>0</v>
      </c>
      <c r="H367" s="300" t="s">
        <v>1</v>
      </c>
      <c r="I367" s="298" t="s">
        <v>1</v>
      </c>
      <c r="J367" s="299" cm="1">
        <f t="array" aca="1" ref="J367" ca="1">INDIRECT("'"&amp;$C367&amp;"'!"&amp;"$"&amp;$D367&amp;$J$1&amp;"")</f>
        <v>0</v>
      </c>
      <c r="K367" s="300"/>
      <c r="L367" s="300" t="s">
        <v>1</v>
      </c>
      <c r="M367" s="298" t="s">
        <v>1</v>
      </c>
      <c r="N367" s="299" cm="1">
        <f t="array" aca="1" ref="N367" ca="1">INDIRECT("'"&amp;$C367&amp;"'!"&amp;"$"&amp;$D367&amp;$N$1&amp;"")</f>
        <v>6.6</v>
      </c>
      <c r="O367" s="300"/>
      <c r="P367" s="300">
        <v>0.91</v>
      </c>
      <c r="Q367" s="298">
        <v>3.07</v>
      </c>
      <c r="R367" s="299" cm="1">
        <f t="array" aca="1" ref="R367" ca="1">INDIRECT("'"&amp;$C367&amp;"'!"&amp;"$"&amp;$D367&amp;$R$1&amp;"")</f>
        <v>6.6</v>
      </c>
      <c r="S367" s="300"/>
      <c r="T367" s="300">
        <v>0.91</v>
      </c>
      <c r="U367" s="298">
        <v>3.07</v>
      </c>
      <c r="V367" s="299" t="str" cm="1">
        <f t="array" aca="1" ref="V367" ca="1">INDIRECT("'"&amp;$C367&amp;"'!"&amp;"$"&amp;$D367&amp;$V$1&amp;"")</f>
        <v>CMS</v>
      </c>
      <c r="W367" s="300" t="s">
        <v>1</v>
      </c>
      <c r="X367" s="300" t="s">
        <v>1</v>
      </c>
      <c r="Y367" s="301" t="s">
        <v>1</v>
      </c>
      <c r="Z367" s="387" cm="1">
        <f t="array" aca="1" ref="Z367" ca="1">INDIRECT("'"&amp;$C367&amp;"'!"&amp;"$"&amp;$D367&amp;$Z$1&amp;"")</f>
        <v>0</v>
      </c>
      <c r="AA367" s="299" t="s">
        <v>1</v>
      </c>
      <c r="AB367" s="300" t="s">
        <v>1</v>
      </c>
      <c r="AC367" s="298" t="s">
        <v>1</v>
      </c>
      <c r="AD367" s="299" cm="1">
        <f t="array" aca="1" ref="AD367" ca="1">INDIRECT("'"&amp;$C367&amp;"'!"&amp;"$"&amp;$D367&amp;$AD$1&amp;"")</f>
        <v>3.3</v>
      </c>
      <c r="AE367" s="300">
        <f>3.49*3.8</f>
        <v>13.262</v>
      </c>
      <c r="AF367" s="300">
        <v>0.93</v>
      </c>
      <c r="AG367" s="301">
        <v>1.38</v>
      </c>
      <c r="AH367" s="297" cm="1">
        <f t="array" aca="1" ref="AH367" ca="1">INDIRECT("'"&amp;$C367&amp;"'!"&amp;"$"&amp;$D367&amp;$AH$1&amp;"")</f>
        <v>3.8</v>
      </c>
      <c r="AI367" s="300">
        <v>14.04</v>
      </c>
      <c r="AJ367" s="300">
        <v>0.95</v>
      </c>
      <c r="AK367" s="298">
        <v>1.1399999999999999</v>
      </c>
      <c r="AL367" s="297">
        <v>11.8</v>
      </c>
      <c r="AM367" s="301">
        <v>70.400000000000006</v>
      </c>
      <c r="AN367" s="297" cm="1">
        <f t="array" aca="1" ref="AN367" ca="1">INDIRECT("'"&amp;$C367&amp;"'!"&amp;"$"&amp;$D367&amp;$AL$1&amp;"")</f>
        <v>3.7</v>
      </c>
      <c r="AO367" s="300">
        <v>0.98</v>
      </c>
      <c r="AP367" s="298">
        <v>0.81</v>
      </c>
      <c r="AQ367" s="299" cm="1">
        <f t="array" aca="1" ref="AQ367" ca="1">INDIRECT("'"&amp;$C367&amp;"'!"&amp;"$"&amp;$D367&amp;$AQ$1&amp;"")</f>
        <v>3.7</v>
      </c>
      <c r="AR367" s="300">
        <v>0.98</v>
      </c>
      <c r="AS367" s="298">
        <v>0.81</v>
      </c>
      <c r="AT367" s="297">
        <v>14.27</v>
      </c>
      <c r="AU367" s="301">
        <v>71.59</v>
      </c>
      <c r="AV367" s="297" cm="1">
        <f t="array" aca="1" ref="AV367" ca="1">INDIRECT("'"&amp;$C367&amp;"'!"&amp;"$"&amp;$D367&amp;$AT$1&amp;"")</f>
        <v>13.83</v>
      </c>
      <c r="AW367" s="300">
        <v>0.98</v>
      </c>
      <c r="AX367" s="301">
        <v>3.2</v>
      </c>
      <c r="AY367" s="387">
        <v>67.5</v>
      </c>
      <c r="AZ367" s="303" cm="1">
        <f t="array" aca="1" ref="AZ367" ca="1">INDIRECT("'"&amp;$C367&amp;"'!"&amp;"$"&amp;$D367&amp;$AY$1&amp;"")</f>
        <v>4</v>
      </c>
      <c r="BA367" s="300">
        <v>0.95</v>
      </c>
      <c r="BB367" s="298">
        <v>1.3</v>
      </c>
      <c r="BC367" s="299" cm="1">
        <f t="array" aca="1" ref="BC367" ca="1">INDIRECT("'"&amp;$C367&amp;"'!"&amp;"$"&amp;$D367&amp;$BC$1&amp;"")</f>
        <v>1.29</v>
      </c>
      <c r="BD367" s="300"/>
      <c r="BE367" s="300">
        <v>0.98</v>
      </c>
      <c r="BF367" s="298">
        <v>0.23</v>
      </c>
      <c r="BG367" s="299" cm="1">
        <f t="array" aca="1" ref="BG367" ca="1">INDIRECT("'"&amp;$C367&amp;"'!"&amp;"$"&amp;$D367&amp;$BG$1&amp;"")</f>
        <v>0.92</v>
      </c>
      <c r="BH367" s="300"/>
      <c r="BI367" s="300">
        <v>0.96</v>
      </c>
      <c r="BJ367" s="298">
        <v>0.28000000000000003</v>
      </c>
      <c r="BK367" s="299" cm="1">
        <f t="array" aca="1" ref="BK367" ca="1">INDIRECT("'"&amp;$C367&amp;"'!"&amp;"$"&amp;$D367&amp;$BK$1&amp;"")</f>
        <v>4.4000000000000004</v>
      </c>
      <c r="BL367" s="300"/>
      <c r="BM367" s="300">
        <v>0.95</v>
      </c>
      <c r="BN367" s="298">
        <v>1.4</v>
      </c>
    </row>
    <row r="368" spans="1:66" ht="15.75" thickBot="1" x14ac:dyDescent="0.25">
      <c r="A368" s="368">
        <v>45703</v>
      </c>
      <c r="B368" s="365">
        <v>0.54166666666666696</v>
      </c>
      <c r="C368" s="383">
        <v>15</v>
      </c>
      <c r="D368" s="319" t="s">
        <v>123</v>
      </c>
      <c r="E368" s="290">
        <v>14</v>
      </c>
      <c r="F368" s="291">
        <v>68.040000000000006</v>
      </c>
      <c r="G368" s="292" cm="1">
        <f t="array" aca="1" ref="G368" ca="1">INDIRECT("'"&amp;$C368&amp;"'!"&amp;"$"&amp;$D368&amp;$E$1&amp;"")</f>
        <v>0</v>
      </c>
      <c r="H368" s="293" t="s">
        <v>1</v>
      </c>
      <c r="I368" s="291" t="s">
        <v>1</v>
      </c>
      <c r="J368" s="292" cm="1">
        <f t="array" aca="1" ref="J368" ca="1">INDIRECT("'"&amp;$C368&amp;"'!"&amp;"$"&amp;$D368&amp;$J$1&amp;"")</f>
        <v>0</v>
      </c>
      <c r="K368" s="293"/>
      <c r="L368" s="293" t="s">
        <v>1</v>
      </c>
      <c r="M368" s="291" t="s">
        <v>1</v>
      </c>
      <c r="N368" s="292" cm="1">
        <f t="array" aca="1" ref="N368" ca="1">INDIRECT("'"&amp;$C368&amp;"'!"&amp;"$"&amp;$D368&amp;$N$1&amp;"")</f>
        <v>6.8</v>
      </c>
      <c r="O368" s="293"/>
      <c r="P368" s="293">
        <v>0.9</v>
      </c>
      <c r="Q368" s="291">
        <v>3.33</v>
      </c>
      <c r="R368" s="292" cm="1">
        <f t="array" aca="1" ref="R368" ca="1">INDIRECT("'"&amp;$C368&amp;"'!"&amp;"$"&amp;$D368&amp;$R$1&amp;"")</f>
        <v>6.8</v>
      </c>
      <c r="S368" s="293"/>
      <c r="T368" s="293">
        <v>0.9</v>
      </c>
      <c r="U368" s="291">
        <v>3.33</v>
      </c>
      <c r="V368" s="292" t="str" cm="1">
        <f t="array" aca="1" ref="V368" ca="1">INDIRECT("'"&amp;$C368&amp;"'!"&amp;"$"&amp;$D368&amp;$V$1&amp;"")</f>
        <v>CMS</v>
      </c>
      <c r="W368" s="293" t="s">
        <v>1</v>
      </c>
      <c r="X368" s="293" t="s">
        <v>1</v>
      </c>
      <c r="Y368" s="294" t="s">
        <v>1</v>
      </c>
      <c r="Z368" s="386" cm="1">
        <f t="array" aca="1" ref="Z368" ca="1">INDIRECT("'"&amp;$C368&amp;"'!"&amp;"$"&amp;$D368&amp;$Z$1&amp;"")</f>
        <v>0</v>
      </c>
      <c r="AA368" s="292" t="s">
        <v>1</v>
      </c>
      <c r="AB368" s="293" t="s">
        <v>1</v>
      </c>
      <c r="AC368" s="291" t="s">
        <v>1</v>
      </c>
      <c r="AD368" s="292" cm="1">
        <f t="array" aca="1" ref="AD368" ca="1">INDIRECT("'"&amp;$C368&amp;"'!"&amp;"$"&amp;$D368&amp;$AD$1&amp;"")</f>
        <v>3.3</v>
      </c>
      <c r="AE368" s="293">
        <f>3.8*3.46</f>
        <v>13.148</v>
      </c>
      <c r="AF368" s="293">
        <v>0.93</v>
      </c>
      <c r="AG368" s="294">
        <v>1.39</v>
      </c>
      <c r="AH368" s="290" cm="1">
        <f t="array" aca="1" ref="AH368" ca="1">INDIRECT("'"&amp;$C368&amp;"'!"&amp;"$"&amp;$D368&amp;$AH$1&amp;"")</f>
        <v>3.8</v>
      </c>
      <c r="AI368" s="293">
        <v>14.04</v>
      </c>
      <c r="AJ368" s="293">
        <v>0.95</v>
      </c>
      <c r="AK368" s="291">
        <v>1.1499999999999999</v>
      </c>
      <c r="AL368" s="290">
        <v>11.8</v>
      </c>
      <c r="AM368" s="294">
        <v>70.3</v>
      </c>
      <c r="AN368" s="290" cm="1">
        <f t="array" aca="1" ref="AN368" ca="1">INDIRECT("'"&amp;$C368&amp;"'!"&amp;"$"&amp;$D368&amp;$AL$1&amp;"")</f>
        <v>4</v>
      </c>
      <c r="AO368" s="293">
        <v>0.96</v>
      </c>
      <c r="AP368" s="291">
        <v>0.96</v>
      </c>
      <c r="AQ368" s="292" cm="1">
        <f t="array" aca="1" ref="AQ368" ca="1">INDIRECT("'"&amp;$C368&amp;"'!"&amp;"$"&amp;$D368&amp;$AQ$1&amp;"")</f>
        <v>4</v>
      </c>
      <c r="AR368" s="293">
        <v>0.96</v>
      </c>
      <c r="AS368" s="291">
        <v>0.96</v>
      </c>
      <c r="AT368" s="290">
        <v>14.27</v>
      </c>
      <c r="AU368" s="294">
        <v>71.709999999999994</v>
      </c>
      <c r="AV368" s="290" cm="1">
        <f t="array" aca="1" ref="AV368" ca="1">INDIRECT("'"&amp;$C368&amp;"'!"&amp;"$"&amp;$D368&amp;$AT$1&amp;"")</f>
        <v>14</v>
      </c>
      <c r="AW368" s="293">
        <v>0.98</v>
      </c>
      <c r="AX368" s="294">
        <v>3.3</v>
      </c>
      <c r="AY368" s="386">
        <v>67.2</v>
      </c>
      <c r="AZ368" s="296" cm="1">
        <f t="array" aca="1" ref="AZ368" ca="1">INDIRECT("'"&amp;$C368&amp;"'!"&amp;"$"&amp;$D368&amp;$AY$1&amp;"")</f>
        <v>4</v>
      </c>
      <c r="BA368" s="293">
        <v>0.95</v>
      </c>
      <c r="BB368" s="291">
        <v>1.3</v>
      </c>
      <c r="BC368" s="292" cm="1">
        <f t="array" aca="1" ref="BC368" ca="1">INDIRECT("'"&amp;$C368&amp;"'!"&amp;"$"&amp;$D368&amp;$BC$1&amp;"")</f>
        <v>1.25</v>
      </c>
      <c r="BD368" s="293"/>
      <c r="BE368" s="293">
        <v>0.99</v>
      </c>
      <c r="BF368" s="291">
        <v>0.2</v>
      </c>
      <c r="BG368" s="292" cm="1">
        <f t="array" aca="1" ref="BG368" ca="1">INDIRECT("'"&amp;$C368&amp;"'!"&amp;"$"&amp;$D368&amp;$BG$1&amp;"")</f>
        <v>0.9</v>
      </c>
      <c r="BH368" s="293"/>
      <c r="BI368" s="293">
        <v>0.96</v>
      </c>
      <c r="BJ368" s="291">
        <v>0.27</v>
      </c>
      <c r="BK368" s="292" cm="1">
        <f t="array" aca="1" ref="BK368" ca="1">INDIRECT("'"&amp;$C368&amp;"'!"&amp;"$"&amp;$D368&amp;$BK$1&amp;"")</f>
        <v>4.5999999999999996</v>
      </c>
      <c r="BL368" s="293"/>
      <c r="BM368" s="293">
        <v>0.95</v>
      </c>
      <c r="BN368" s="291">
        <v>1.5</v>
      </c>
    </row>
    <row r="369" spans="1:66" ht="15.75" thickBot="1" x14ac:dyDescent="0.25">
      <c r="A369" s="368">
        <v>45703</v>
      </c>
      <c r="B369" s="365">
        <v>0.58333333333333404</v>
      </c>
      <c r="C369" s="383">
        <v>15</v>
      </c>
      <c r="D369" s="319" t="s">
        <v>124</v>
      </c>
      <c r="E369" s="297">
        <v>14.4</v>
      </c>
      <c r="F369" s="298">
        <v>68.430000000000007</v>
      </c>
      <c r="G369" s="299" cm="1">
        <f t="array" aca="1" ref="G369" ca="1">INDIRECT("'"&amp;$C369&amp;"'!"&amp;"$"&amp;$D369&amp;$E$1&amp;"")</f>
        <v>0</v>
      </c>
      <c r="H369" s="300" t="s">
        <v>1</v>
      </c>
      <c r="I369" s="298" t="s">
        <v>1</v>
      </c>
      <c r="J369" s="299" cm="1">
        <f t="array" aca="1" ref="J369" ca="1">INDIRECT("'"&amp;$C369&amp;"'!"&amp;"$"&amp;$D369&amp;$J$1&amp;"")</f>
        <v>0</v>
      </c>
      <c r="K369" s="300"/>
      <c r="L369" s="300" t="s">
        <v>1</v>
      </c>
      <c r="M369" s="298" t="s">
        <v>1</v>
      </c>
      <c r="N369" s="299" cm="1">
        <f t="array" aca="1" ref="N369" ca="1">INDIRECT("'"&amp;$C369&amp;"'!"&amp;"$"&amp;$D369&amp;$N$1&amp;"")</f>
        <v>6.6</v>
      </c>
      <c r="O369" s="300"/>
      <c r="P369" s="300">
        <v>0.9</v>
      </c>
      <c r="Q369" s="298">
        <v>3.26</v>
      </c>
      <c r="R369" s="299" cm="1">
        <f t="array" aca="1" ref="R369" ca="1">INDIRECT("'"&amp;$C369&amp;"'!"&amp;"$"&amp;$D369&amp;$R$1&amp;"")</f>
        <v>6.6</v>
      </c>
      <c r="S369" s="300"/>
      <c r="T369" s="300">
        <v>0.9</v>
      </c>
      <c r="U369" s="298">
        <v>3.26</v>
      </c>
      <c r="V369" s="299" t="str" cm="1">
        <f t="array" aca="1" ref="V369" ca="1">INDIRECT("'"&amp;$C369&amp;"'!"&amp;"$"&amp;$D369&amp;$V$1&amp;"")</f>
        <v>CMS</v>
      </c>
      <c r="W369" s="300" t="s">
        <v>1</v>
      </c>
      <c r="X369" s="300" t="s">
        <v>1</v>
      </c>
      <c r="Y369" s="301" t="s">
        <v>1</v>
      </c>
      <c r="Z369" s="387" cm="1">
        <f t="array" aca="1" ref="Z369" ca="1">INDIRECT("'"&amp;$C369&amp;"'!"&amp;"$"&amp;$D369&amp;$Z$1&amp;"")</f>
        <v>0</v>
      </c>
      <c r="AA369" s="299" t="s">
        <v>1</v>
      </c>
      <c r="AB369" s="300" t="s">
        <v>1</v>
      </c>
      <c r="AC369" s="298" t="s">
        <v>1</v>
      </c>
      <c r="AD369" s="299" cm="1">
        <f t="array" aca="1" ref="AD369" ca="1">INDIRECT("'"&amp;$C369&amp;"'!"&amp;"$"&amp;$D369&amp;$AD$1&amp;"")</f>
        <v>3.3</v>
      </c>
      <c r="AE369" s="300">
        <f>3.8*3.47</f>
        <v>13.186</v>
      </c>
      <c r="AF369" s="300">
        <v>0.92</v>
      </c>
      <c r="AG369" s="301">
        <v>1.48</v>
      </c>
      <c r="AH369" s="297" cm="1">
        <f t="array" aca="1" ref="AH369" ca="1">INDIRECT("'"&amp;$C369&amp;"'!"&amp;"$"&amp;$D369&amp;$AH$1&amp;"")</f>
        <v>3.8</v>
      </c>
      <c r="AI369" s="300">
        <v>14.04</v>
      </c>
      <c r="AJ369" s="300">
        <v>0.96</v>
      </c>
      <c r="AK369" s="298">
        <v>1.1299999999999999</v>
      </c>
      <c r="AL369" s="297">
        <v>11.8</v>
      </c>
      <c r="AM369" s="301">
        <v>70.3</v>
      </c>
      <c r="AN369" s="297" cm="1">
        <f t="array" aca="1" ref="AN369" ca="1">INDIRECT("'"&amp;$C369&amp;"'!"&amp;"$"&amp;$D369&amp;$AL$1&amp;"")</f>
        <v>3.8</v>
      </c>
      <c r="AO369" s="300">
        <v>0.97</v>
      </c>
      <c r="AP369" s="298">
        <v>0.82</v>
      </c>
      <c r="AQ369" s="299" cm="1">
        <f t="array" aca="1" ref="AQ369" ca="1">INDIRECT("'"&amp;$C369&amp;"'!"&amp;"$"&amp;$D369&amp;$AQ$1&amp;"")</f>
        <v>3.8</v>
      </c>
      <c r="AR369" s="300">
        <v>0.97</v>
      </c>
      <c r="AS369" s="298">
        <v>0.82</v>
      </c>
      <c r="AT369" s="297">
        <v>14.25</v>
      </c>
      <c r="AU369" s="301">
        <v>71.680000000000007</v>
      </c>
      <c r="AV369" s="297" cm="1">
        <f t="array" aca="1" ref="AV369" ca="1">INDIRECT("'"&amp;$C369&amp;"'!"&amp;"$"&amp;$D369&amp;$AT$1&amp;"")</f>
        <v>14</v>
      </c>
      <c r="AW369" s="300">
        <v>0.98</v>
      </c>
      <c r="AX369" s="301">
        <v>3.3</v>
      </c>
      <c r="AY369" s="387">
        <v>67.8</v>
      </c>
      <c r="AZ369" s="303" cm="1">
        <f t="array" aca="1" ref="AZ369" ca="1">INDIRECT("'"&amp;$C369&amp;"'!"&amp;"$"&amp;$D369&amp;$AY$1&amp;"")</f>
        <v>6.5</v>
      </c>
      <c r="BA369" s="300">
        <v>0.95</v>
      </c>
      <c r="BB369" s="298">
        <v>2.1</v>
      </c>
      <c r="BC369" s="299" cm="1">
        <f t="array" aca="1" ref="BC369" ca="1">INDIRECT("'"&amp;$C369&amp;"'!"&amp;"$"&amp;$D369&amp;$BC$1&amp;"")</f>
        <v>1.29</v>
      </c>
      <c r="BD369" s="300"/>
      <c r="BE369" s="300">
        <v>0.99</v>
      </c>
      <c r="BF369" s="298">
        <v>0.21</v>
      </c>
      <c r="BG369" s="299" cm="1">
        <f t="array" aca="1" ref="BG369" ca="1">INDIRECT("'"&amp;$C369&amp;"'!"&amp;"$"&amp;$D369&amp;$BG$1&amp;"")</f>
        <v>0.91</v>
      </c>
      <c r="BH369" s="300"/>
      <c r="BI369" s="300">
        <v>0.95</v>
      </c>
      <c r="BJ369" s="298">
        <v>0.28000000000000003</v>
      </c>
      <c r="BK369" s="299" cm="1">
        <f t="array" aca="1" ref="BK369" ca="1">INDIRECT("'"&amp;$C369&amp;"'!"&amp;"$"&amp;$D369&amp;$BK$1&amp;"")</f>
        <v>4.9000000000000004</v>
      </c>
      <c r="BL369" s="300"/>
      <c r="BM369" s="300">
        <v>0.95</v>
      </c>
      <c r="BN369" s="298">
        <v>1.6</v>
      </c>
    </row>
    <row r="370" spans="1:66" ht="15.75" thickBot="1" x14ac:dyDescent="0.25">
      <c r="A370" s="368">
        <v>45703</v>
      </c>
      <c r="B370" s="365">
        <v>0.625</v>
      </c>
      <c r="C370" s="383">
        <v>15</v>
      </c>
      <c r="D370" s="319" t="s">
        <v>125</v>
      </c>
      <c r="E370" s="290">
        <v>14.1</v>
      </c>
      <c r="F370" s="291">
        <v>68.319999999999993</v>
      </c>
      <c r="G370" s="292" cm="1">
        <f t="array" aca="1" ref="G370" ca="1">INDIRECT("'"&amp;$C370&amp;"'!"&amp;"$"&amp;$D370&amp;$E$1&amp;"")</f>
        <v>0</v>
      </c>
      <c r="H370" s="293" t="s">
        <v>1</v>
      </c>
      <c r="I370" s="291" t="s">
        <v>1</v>
      </c>
      <c r="J370" s="292" cm="1">
        <f t="array" aca="1" ref="J370" ca="1">INDIRECT("'"&amp;$C370&amp;"'!"&amp;"$"&amp;$D370&amp;$J$1&amp;"")</f>
        <v>6.6</v>
      </c>
      <c r="K370" s="293"/>
      <c r="L370" s="293">
        <v>0.9</v>
      </c>
      <c r="M370" s="291">
        <v>3.28</v>
      </c>
      <c r="N370" s="292" cm="1">
        <f t="array" aca="1" ref="N370" ca="1">INDIRECT("'"&amp;$C370&amp;"'!"&amp;"$"&amp;$D370&amp;$N$1&amp;"")</f>
        <v>6.6</v>
      </c>
      <c r="O370" s="293"/>
      <c r="P370" s="293">
        <v>0.9</v>
      </c>
      <c r="Q370" s="291">
        <v>3.28</v>
      </c>
      <c r="R370" s="292" cm="1">
        <f t="array" aca="1" ref="R370" ca="1">INDIRECT("'"&amp;$C370&amp;"'!"&amp;"$"&amp;$D370&amp;$R$1&amp;"")</f>
        <v>6.6</v>
      </c>
      <c r="S370" s="293"/>
      <c r="T370" s="293">
        <v>0.9</v>
      </c>
      <c r="U370" s="291">
        <v>3.29</v>
      </c>
      <c r="V370" s="292" t="str" cm="1">
        <f t="array" aca="1" ref="V370" ca="1">INDIRECT("'"&amp;$C370&amp;"'!"&amp;"$"&amp;$D370&amp;$V$1&amp;"")</f>
        <v>CMS</v>
      </c>
      <c r="W370" s="293" t="s">
        <v>1</v>
      </c>
      <c r="X370" s="293" t="s">
        <v>1</v>
      </c>
      <c r="Y370" s="294" t="s">
        <v>1</v>
      </c>
      <c r="Z370" s="386" cm="1">
        <f t="array" aca="1" ref="Z370" ca="1">INDIRECT("'"&amp;$C370&amp;"'!"&amp;"$"&amp;$D370&amp;$Z$1&amp;"")</f>
        <v>0</v>
      </c>
      <c r="AA370" s="292" t="s">
        <v>1</v>
      </c>
      <c r="AB370" s="293" t="s">
        <v>1</v>
      </c>
      <c r="AC370" s="291" t="s">
        <v>1</v>
      </c>
      <c r="AD370" s="292" cm="1">
        <f t="array" aca="1" ref="AD370" ca="1">INDIRECT("'"&amp;$C370&amp;"'!"&amp;"$"&amp;$D370&amp;$AD$1&amp;"")</f>
        <v>3.3</v>
      </c>
      <c r="AE370" s="293">
        <f>3.8*3.44</f>
        <v>13.071999999999999</v>
      </c>
      <c r="AF370" s="293">
        <v>0.92</v>
      </c>
      <c r="AG370" s="291">
        <v>1.5</v>
      </c>
      <c r="AH370" s="290" cm="1">
        <f t="array" aca="1" ref="AH370" ca="1">INDIRECT("'"&amp;$C370&amp;"'!"&amp;"$"&amp;$D370&amp;$AH$1&amp;"")</f>
        <v>3.8</v>
      </c>
      <c r="AI370" s="293">
        <v>14.04</v>
      </c>
      <c r="AJ370" s="293">
        <v>0.95</v>
      </c>
      <c r="AK370" s="291">
        <v>1.32</v>
      </c>
      <c r="AL370" s="290">
        <v>11.8</v>
      </c>
      <c r="AM370" s="294">
        <v>70</v>
      </c>
      <c r="AN370" s="290" cm="1">
        <f t="array" aca="1" ref="AN370" ca="1">INDIRECT("'"&amp;$C370&amp;"'!"&amp;"$"&amp;$D370&amp;$AL$1&amp;"")</f>
        <v>3.8</v>
      </c>
      <c r="AO370" s="293">
        <v>0.95</v>
      </c>
      <c r="AP370" s="291">
        <v>1</v>
      </c>
      <c r="AQ370" s="292" cm="1">
        <f t="array" aca="1" ref="AQ370" ca="1">INDIRECT("'"&amp;$C370&amp;"'!"&amp;"$"&amp;$D370&amp;$AQ$1&amp;"")</f>
        <v>3.8</v>
      </c>
      <c r="AR370" s="293">
        <v>0.95</v>
      </c>
      <c r="AS370" s="291">
        <v>1</v>
      </c>
      <c r="AT370" s="290">
        <v>14.22</v>
      </c>
      <c r="AU370" s="294">
        <v>71.430000000000007</v>
      </c>
      <c r="AV370" s="290" cm="1">
        <f t="array" aca="1" ref="AV370" ca="1">INDIRECT("'"&amp;$C370&amp;"'!"&amp;"$"&amp;$D370&amp;$AT$1&amp;"")</f>
        <v>14</v>
      </c>
      <c r="AW370" s="293">
        <v>0.98</v>
      </c>
      <c r="AX370" s="294">
        <v>3.2</v>
      </c>
      <c r="AY370" s="386">
        <v>66.8</v>
      </c>
      <c r="AZ370" s="296" cm="1">
        <f t="array" aca="1" ref="AZ370" ca="1">INDIRECT("'"&amp;$C370&amp;"'!"&amp;"$"&amp;$D370&amp;$AY$1&amp;"")</f>
        <v>0</v>
      </c>
      <c r="BA370" s="293" t="s">
        <v>1</v>
      </c>
      <c r="BB370" s="291" t="s">
        <v>1</v>
      </c>
      <c r="BC370" s="292" cm="1">
        <f t="array" aca="1" ref="BC370" ca="1">INDIRECT("'"&amp;$C370&amp;"'!"&amp;"$"&amp;$D370&amp;$BC$1&amp;"")</f>
        <v>1.26</v>
      </c>
      <c r="BD370" s="293"/>
      <c r="BE370" s="293">
        <v>0.99</v>
      </c>
      <c r="BF370" s="291">
        <v>0.2</v>
      </c>
      <c r="BG370" s="292" cm="1">
        <f t="array" aca="1" ref="BG370" ca="1">INDIRECT("'"&amp;$C370&amp;"'!"&amp;"$"&amp;$D370&amp;$BG$1&amp;"")</f>
        <v>0.93</v>
      </c>
      <c r="BH370" s="293"/>
      <c r="BI370" s="293">
        <v>0.96</v>
      </c>
      <c r="BJ370" s="291">
        <v>0.28000000000000003</v>
      </c>
      <c r="BK370" s="292" cm="1">
        <f t="array" aca="1" ref="BK370" ca="1">INDIRECT("'"&amp;$C370&amp;"'!"&amp;"$"&amp;$D370&amp;$BK$1&amp;"")</f>
        <v>4.7000000000000011</v>
      </c>
      <c r="BL370" s="293"/>
      <c r="BM370" s="293">
        <v>0.95</v>
      </c>
      <c r="BN370" s="291">
        <v>1.5</v>
      </c>
    </row>
    <row r="371" spans="1:66" ht="15.75" thickBot="1" x14ac:dyDescent="0.25">
      <c r="A371" s="368">
        <v>45703</v>
      </c>
      <c r="B371" s="365">
        <v>0.66666666666666696</v>
      </c>
      <c r="C371" s="383">
        <v>15</v>
      </c>
      <c r="D371" s="319" t="s">
        <v>126</v>
      </c>
      <c r="E371" s="297">
        <v>14.3</v>
      </c>
      <c r="F371" s="298">
        <v>69.459999999999994</v>
      </c>
      <c r="G371" s="299" cm="1">
        <f t="array" aca="1" ref="G371" ca="1">INDIRECT("'"&amp;$C371&amp;"'!"&amp;"$"&amp;$D371&amp;$E$1&amp;"")</f>
        <v>6.3</v>
      </c>
      <c r="H371" s="300">
        <v>0.92</v>
      </c>
      <c r="I371" s="298">
        <v>2.59</v>
      </c>
      <c r="J371" s="299" cm="1">
        <f t="array" aca="1" ref="J371" ca="1">INDIRECT("'"&amp;$C371&amp;"'!"&amp;"$"&amp;$D371&amp;$J$1&amp;"")</f>
        <v>6.3</v>
      </c>
      <c r="K371" s="300"/>
      <c r="L371" s="300">
        <v>0.92</v>
      </c>
      <c r="M371" s="298">
        <v>2.61</v>
      </c>
      <c r="N371" s="299" cm="1">
        <f t="array" aca="1" ref="N371" ca="1">INDIRECT("'"&amp;$C371&amp;"'!"&amp;"$"&amp;$D371&amp;$N$1&amp;"")</f>
        <v>6.3</v>
      </c>
      <c r="O371" s="300"/>
      <c r="P371" s="300">
        <v>0.92</v>
      </c>
      <c r="Q371" s="298">
        <v>2.58</v>
      </c>
      <c r="R371" s="299" cm="1">
        <f t="array" aca="1" ref="R371" ca="1">INDIRECT("'"&amp;$C371&amp;"'!"&amp;"$"&amp;$D371&amp;$R$1&amp;"")</f>
        <v>6.3</v>
      </c>
      <c r="S371" s="300"/>
      <c r="T371" s="300">
        <v>0.92</v>
      </c>
      <c r="U371" s="298">
        <v>2.58</v>
      </c>
      <c r="V371" s="299" t="str" cm="1">
        <f t="array" aca="1" ref="V371" ca="1">INDIRECT("'"&amp;$C371&amp;"'!"&amp;"$"&amp;$D371&amp;$V$1&amp;"")</f>
        <v>CMS</v>
      </c>
      <c r="W371" s="300" t="s">
        <v>1</v>
      </c>
      <c r="X371" s="300" t="s">
        <v>1</v>
      </c>
      <c r="Y371" s="301" t="s">
        <v>1</v>
      </c>
      <c r="Z371" s="387" cm="1">
        <f t="array" aca="1" ref="Z371" ca="1">INDIRECT("'"&amp;$C371&amp;"'!"&amp;"$"&amp;$D371&amp;$Z$1&amp;"")</f>
        <v>0</v>
      </c>
      <c r="AA371" s="299" t="s">
        <v>1</v>
      </c>
      <c r="AB371" s="300" t="s">
        <v>1</v>
      </c>
      <c r="AC371" s="298" t="s">
        <v>1</v>
      </c>
      <c r="AD371" s="299" cm="1">
        <f t="array" aca="1" ref="AD371" ca="1">INDIRECT("'"&amp;$C371&amp;"'!"&amp;"$"&amp;$D371&amp;$AD$1&amp;"")</f>
        <v>3.3</v>
      </c>
      <c r="AE371" s="300">
        <f>3.8*3.51</f>
        <v>13.337999999999999</v>
      </c>
      <c r="AF371" s="300">
        <v>0.92</v>
      </c>
      <c r="AG371" s="298">
        <v>1.49</v>
      </c>
      <c r="AH371" s="297" cm="1">
        <f t="array" aca="1" ref="AH371" ca="1">INDIRECT("'"&amp;$C371&amp;"'!"&amp;"$"&amp;$D371&amp;$AH$1&amp;"")</f>
        <v>3.8</v>
      </c>
      <c r="AI371" s="300">
        <v>14</v>
      </c>
      <c r="AJ371" s="300">
        <v>0.95</v>
      </c>
      <c r="AK371" s="298">
        <v>1.27</v>
      </c>
      <c r="AL371" s="297">
        <v>11.8</v>
      </c>
      <c r="AM371" s="301">
        <v>70</v>
      </c>
      <c r="AN371" s="297" cm="1">
        <f t="array" aca="1" ref="AN371" ca="1">INDIRECT("'"&amp;$C371&amp;"'!"&amp;"$"&amp;$D371&amp;$AL$1&amp;"")</f>
        <v>3.2</v>
      </c>
      <c r="AO371" s="300">
        <v>0.97</v>
      </c>
      <c r="AP371" s="298">
        <v>0.61</v>
      </c>
      <c r="AQ371" s="299" cm="1">
        <f t="array" aca="1" ref="AQ371" ca="1">INDIRECT("'"&amp;$C371&amp;"'!"&amp;"$"&amp;$D371&amp;$AQ$1&amp;"")</f>
        <v>3.2</v>
      </c>
      <c r="AR371" s="300">
        <v>0.97</v>
      </c>
      <c r="AS371" s="298">
        <v>0.61</v>
      </c>
      <c r="AT371" s="297">
        <v>14.08</v>
      </c>
      <c r="AU371" s="301">
        <v>71.2</v>
      </c>
      <c r="AV371" s="297" cm="1">
        <f t="array" aca="1" ref="AV371" ca="1">INDIRECT("'"&amp;$C371&amp;"'!"&amp;"$"&amp;$D371&amp;$AT$1&amp;"")</f>
        <v>9</v>
      </c>
      <c r="AW371" s="300">
        <v>0.98</v>
      </c>
      <c r="AX371" s="301">
        <v>2.2000000000000002</v>
      </c>
      <c r="AY371" s="387">
        <v>68</v>
      </c>
      <c r="AZ371" s="303" cm="1">
        <f t="array" aca="1" ref="AZ371" ca="1">INDIRECT("'"&amp;$C371&amp;"'!"&amp;"$"&amp;$D371&amp;$AY$1&amp;"")</f>
        <v>0</v>
      </c>
      <c r="BA371" s="300" t="s">
        <v>1</v>
      </c>
      <c r="BB371" s="298" t="s">
        <v>1</v>
      </c>
      <c r="BC371" s="299" cm="1">
        <f t="array" aca="1" ref="BC371" ca="1">INDIRECT("'"&amp;$C371&amp;"'!"&amp;"$"&amp;$D371&amp;$BC$1&amp;"")</f>
        <v>1.25</v>
      </c>
      <c r="BD371" s="300"/>
      <c r="BE371" s="300">
        <v>0.99</v>
      </c>
      <c r="BF371" s="298">
        <v>0.19</v>
      </c>
      <c r="BG371" s="299" cm="1">
        <f t="array" aca="1" ref="BG371" ca="1">INDIRECT("'"&amp;$C371&amp;"'!"&amp;"$"&amp;$D371&amp;$BG$1&amp;"")</f>
        <v>0.89</v>
      </c>
      <c r="BH371" s="300"/>
      <c r="BI371" s="300">
        <v>0.95</v>
      </c>
      <c r="BJ371" s="298">
        <v>0.27</v>
      </c>
      <c r="BK371" s="299" cm="1">
        <f t="array" aca="1" ref="BK371" ca="1">INDIRECT("'"&amp;$C371&amp;"'!"&amp;"$"&amp;$D371&amp;$BK$1&amp;"")</f>
        <v>4.5</v>
      </c>
      <c r="BL371" s="300"/>
      <c r="BM371" s="300">
        <v>0.95</v>
      </c>
      <c r="BN371" s="298">
        <v>1.4</v>
      </c>
    </row>
    <row r="372" spans="1:66" ht="15.75" thickBot="1" x14ac:dyDescent="0.25">
      <c r="A372" s="368">
        <v>45703</v>
      </c>
      <c r="B372" s="365">
        <v>0.70833333333333404</v>
      </c>
      <c r="C372" s="383">
        <v>15</v>
      </c>
      <c r="D372" s="319" t="s">
        <v>127</v>
      </c>
      <c r="E372" s="290">
        <v>14.2</v>
      </c>
      <c r="F372" s="291">
        <v>69.349999999999994</v>
      </c>
      <c r="G372" s="292" cm="1">
        <f t="array" aca="1" ref="G372" ca="1">INDIRECT("'"&amp;$C372&amp;"'!"&amp;"$"&amp;$D372&amp;$E$1&amp;"")</f>
        <v>6</v>
      </c>
      <c r="H372" s="293">
        <v>0.94</v>
      </c>
      <c r="I372" s="291">
        <v>2.27</v>
      </c>
      <c r="J372" s="292" cm="1">
        <f t="array" aca="1" ref="J372" ca="1">INDIRECT("'"&amp;$C372&amp;"'!"&amp;"$"&amp;$D372&amp;$J$1&amp;"")</f>
        <v>6</v>
      </c>
      <c r="K372" s="293"/>
      <c r="L372" s="293">
        <v>0.94</v>
      </c>
      <c r="M372" s="291">
        <v>2.27</v>
      </c>
      <c r="N372" s="292" cm="1">
        <f t="array" aca="1" ref="N372" ca="1">INDIRECT("'"&amp;$C372&amp;"'!"&amp;"$"&amp;$D372&amp;$N$1&amp;"")</f>
        <v>5.9</v>
      </c>
      <c r="O372" s="293"/>
      <c r="P372" s="293">
        <v>0.94</v>
      </c>
      <c r="Q372" s="291">
        <v>2.2999999999999998</v>
      </c>
      <c r="R372" s="292" cm="1">
        <f t="array" aca="1" ref="R372" ca="1">INDIRECT("'"&amp;$C372&amp;"'!"&amp;"$"&amp;$D372&amp;$R$1&amp;"")</f>
        <v>6</v>
      </c>
      <c r="S372" s="293"/>
      <c r="T372" s="293">
        <v>0.96</v>
      </c>
      <c r="U372" s="291">
        <v>1.73</v>
      </c>
      <c r="V372" s="292" t="str" cm="1">
        <f t="array" aca="1" ref="V372" ca="1">INDIRECT("'"&amp;$C372&amp;"'!"&amp;"$"&amp;$D372&amp;$V$1&amp;"")</f>
        <v>CMS</v>
      </c>
      <c r="W372" s="293" t="s">
        <v>1</v>
      </c>
      <c r="X372" s="293" t="s">
        <v>1</v>
      </c>
      <c r="Y372" s="294" t="s">
        <v>1</v>
      </c>
      <c r="Z372" s="386" cm="1">
        <f t="array" aca="1" ref="Z372" ca="1">INDIRECT("'"&amp;$C372&amp;"'!"&amp;"$"&amp;$D372&amp;$Z$1&amp;"")</f>
        <v>0</v>
      </c>
      <c r="AA372" s="292" t="s">
        <v>1</v>
      </c>
      <c r="AB372" s="293" t="s">
        <v>1</v>
      </c>
      <c r="AC372" s="291" t="s">
        <v>1</v>
      </c>
      <c r="AD372" s="292" cm="1">
        <f t="array" aca="1" ref="AD372" ca="1">INDIRECT("'"&amp;$C372&amp;"'!"&amp;"$"&amp;$D372&amp;$AD$1&amp;"")</f>
        <v>3.3</v>
      </c>
      <c r="AE372" s="293">
        <f>3.8*3.51</f>
        <v>13.337999999999999</v>
      </c>
      <c r="AF372" s="293">
        <v>0.93</v>
      </c>
      <c r="AG372" s="291">
        <v>1.36</v>
      </c>
      <c r="AH372" s="290" cm="1">
        <f t="array" aca="1" ref="AH372" ca="1">INDIRECT("'"&amp;$C372&amp;"'!"&amp;"$"&amp;$D372&amp;$AH$1&amp;"")</f>
        <v>3.8</v>
      </c>
      <c r="AI372" s="293">
        <v>14.04</v>
      </c>
      <c r="AJ372" s="293">
        <v>0.96</v>
      </c>
      <c r="AK372" s="291">
        <v>1.1000000000000001</v>
      </c>
      <c r="AL372" s="290">
        <v>11.7</v>
      </c>
      <c r="AM372" s="294">
        <v>70.8</v>
      </c>
      <c r="AN372" s="290" cm="1">
        <f t="array" aca="1" ref="AN372" ca="1">INDIRECT("'"&amp;$C372&amp;"'!"&amp;"$"&amp;$D372&amp;$AL$1&amp;"")</f>
        <v>1.5</v>
      </c>
      <c r="AO372" s="293">
        <v>0.99</v>
      </c>
      <c r="AP372" s="291">
        <v>0.31</v>
      </c>
      <c r="AQ372" s="292" cm="1">
        <f t="array" aca="1" ref="AQ372" ca="1">INDIRECT("'"&amp;$C372&amp;"'!"&amp;"$"&amp;$D372&amp;$AQ$1&amp;"")</f>
        <v>1.5</v>
      </c>
      <c r="AR372" s="293">
        <v>0.99</v>
      </c>
      <c r="AS372" s="291">
        <v>0.31</v>
      </c>
      <c r="AT372" s="290">
        <v>14.11</v>
      </c>
      <c r="AU372" s="294">
        <v>71.459999999999994</v>
      </c>
      <c r="AV372" s="290" cm="1">
        <f t="array" aca="1" ref="AV372" ca="1">INDIRECT("'"&amp;$C372&amp;"'!"&amp;"$"&amp;$D372&amp;$AT$1&amp;"")</f>
        <v>7.8</v>
      </c>
      <c r="AW372" s="293">
        <v>0.98</v>
      </c>
      <c r="AX372" s="294">
        <v>2</v>
      </c>
      <c r="AY372" s="386">
        <v>67.900000000000006</v>
      </c>
      <c r="AZ372" s="296" cm="1">
        <f t="array" aca="1" ref="AZ372" ca="1">INDIRECT("'"&amp;$C372&amp;"'!"&amp;"$"&amp;$D372&amp;$AY$1&amp;"")</f>
        <v>0</v>
      </c>
      <c r="BA372" s="293" t="s">
        <v>1</v>
      </c>
      <c r="BB372" s="291" t="s">
        <v>1</v>
      </c>
      <c r="BC372" s="292" cm="1">
        <f t="array" aca="1" ref="BC372" ca="1">INDIRECT("'"&amp;$C372&amp;"'!"&amp;"$"&amp;$D372&amp;$BC$1&amp;"")</f>
        <v>1.28</v>
      </c>
      <c r="BD372" s="293"/>
      <c r="BE372" s="293">
        <v>0.99</v>
      </c>
      <c r="BF372" s="291">
        <v>0.19</v>
      </c>
      <c r="BG372" s="292" cm="1">
        <f t="array" aca="1" ref="BG372" ca="1">INDIRECT("'"&amp;$C372&amp;"'!"&amp;"$"&amp;$D372&amp;$BG$1&amp;"")</f>
        <v>0.88</v>
      </c>
      <c r="BH372" s="293"/>
      <c r="BI372" s="293">
        <v>0.95</v>
      </c>
      <c r="BJ372" s="291">
        <v>0.27</v>
      </c>
      <c r="BK372" s="292" cm="1">
        <f t="array" aca="1" ref="BK372" ca="1">INDIRECT("'"&amp;$C372&amp;"'!"&amp;"$"&amp;$D372&amp;$BK$1&amp;"")</f>
        <v>4.4000000000000004</v>
      </c>
      <c r="BL372" s="293"/>
      <c r="BM372" s="293">
        <v>0.95</v>
      </c>
      <c r="BN372" s="291">
        <v>1.4</v>
      </c>
    </row>
    <row r="373" spans="1:66" ht="15.75" thickBot="1" x14ac:dyDescent="0.25">
      <c r="A373" s="368">
        <v>45703</v>
      </c>
      <c r="B373" s="365">
        <v>0.750000000000001</v>
      </c>
      <c r="C373" s="383">
        <v>15</v>
      </c>
      <c r="D373" s="319" t="s">
        <v>128</v>
      </c>
      <c r="E373" s="297">
        <v>14.2</v>
      </c>
      <c r="F373" s="298">
        <v>69.45</v>
      </c>
      <c r="G373" s="299" cm="1">
        <f t="array" aca="1" ref="G373" ca="1">INDIRECT("'"&amp;$C373&amp;"'!"&amp;"$"&amp;$D373&amp;$E$1&amp;"")</f>
        <v>6</v>
      </c>
      <c r="H373" s="300">
        <v>0.94</v>
      </c>
      <c r="I373" s="298">
        <v>2.17</v>
      </c>
      <c r="J373" s="299" cm="1">
        <f t="array" aca="1" ref="J373" ca="1">INDIRECT("'"&amp;$C373&amp;"'!"&amp;"$"&amp;$D373&amp;$J$1&amp;"")</f>
        <v>6</v>
      </c>
      <c r="K373" s="300"/>
      <c r="L373" s="300">
        <v>0.94</v>
      </c>
      <c r="M373" s="298">
        <v>2.13</v>
      </c>
      <c r="N373" s="299" cm="1">
        <f t="array" aca="1" ref="N373" ca="1">INDIRECT("'"&amp;$C373&amp;"'!"&amp;"$"&amp;$D373&amp;$N$1&amp;"")</f>
        <v>6</v>
      </c>
      <c r="O373" s="300"/>
      <c r="P373" s="300">
        <v>0.94</v>
      </c>
      <c r="Q373" s="298">
        <v>2.11</v>
      </c>
      <c r="R373" s="299" cm="1">
        <f t="array" aca="1" ref="R373" ca="1">INDIRECT("'"&amp;$C373&amp;"'!"&amp;"$"&amp;$D373&amp;$R$1&amp;"")</f>
        <v>6</v>
      </c>
      <c r="S373" s="300"/>
      <c r="T373" s="300">
        <v>0.97</v>
      </c>
      <c r="U373" s="298">
        <v>1.62</v>
      </c>
      <c r="V373" s="299" t="str" cm="1">
        <f t="array" aca="1" ref="V373" ca="1">INDIRECT("'"&amp;$C373&amp;"'!"&amp;"$"&amp;$D373&amp;$V$1&amp;"")</f>
        <v>CMS</v>
      </c>
      <c r="W373" s="300" t="s">
        <v>1</v>
      </c>
      <c r="X373" s="300" t="s">
        <v>1</v>
      </c>
      <c r="Y373" s="301" t="s">
        <v>1</v>
      </c>
      <c r="Z373" s="387" cm="1">
        <f t="array" aca="1" ref="Z373" ca="1">INDIRECT("'"&amp;$C373&amp;"'!"&amp;"$"&amp;$D373&amp;$Z$1&amp;"")</f>
        <v>0</v>
      </c>
      <c r="AA373" s="299" t="s">
        <v>1</v>
      </c>
      <c r="AB373" s="300" t="s">
        <v>1</v>
      </c>
      <c r="AC373" s="298" t="s">
        <v>1</v>
      </c>
      <c r="AD373" s="299" cm="1">
        <f t="array" aca="1" ref="AD373" ca="1">INDIRECT("'"&amp;$C373&amp;"'!"&amp;"$"&amp;$D373&amp;$AD$1&amp;"")</f>
        <v>3.3</v>
      </c>
      <c r="AE373" s="300">
        <f>3.8*3.47</f>
        <v>13.186</v>
      </c>
      <c r="AF373" s="300">
        <v>0.93</v>
      </c>
      <c r="AG373" s="298">
        <v>1.34</v>
      </c>
      <c r="AH373" s="297" cm="1">
        <f t="array" aca="1" ref="AH373" ca="1">INDIRECT("'"&amp;$C373&amp;"'!"&amp;"$"&amp;$D373&amp;$AH$1&amp;"")</f>
        <v>3.8</v>
      </c>
      <c r="AI373" s="300">
        <v>14.04</v>
      </c>
      <c r="AJ373" s="300">
        <v>0.97</v>
      </c>
      <c r="AK373" s="298">
        <v>0.99</v>
      </c>
      <c r="AL373" s="297">
        <v>11.8</v>
      </c>
      <c r="AM373" s="301">
        <v>70</v>
      </c>
      <c r="AN373" s="297" cm="1">
        <f t="array" aca="1" ref="AN373" ca="1">INDIRECT("'"&amp;$C373&amp;"'!"&amp;"$"&amp;$D373&amp;$AL$1&amp;"")</f>
        <v>1.5</v>
      </c>
      <c r="AO373" s="300">
        <v>0.99</v>
      </c>
      <c r="AP373" s="298">
        <v>0.27</v>
      </c>
      <c r="AQ373" s="299" cm="1">
        <f t="array" aca="1" ref="AQ373" ca="1">INDIRECT("'"&amp;$C373&amp;"'!"&amp;"$"&amp;$D373&amp;$AQ$1&amp;"")</f>
        <v>1.5</v>
      </c>
      <c r="AR373" s="300">
        <v>0.99</v>
      </c>
      <c r="AS373" s="298">
        <v>0.27</v>
      </c>
      <c r="AT373" s="297">
        <v>14.12</v>
      </c>
      <c r="AU373" s="301">
        <v>71.459999999999994</v>
      </c>
      <c r="AV373" s="297" cm="1">
        <f t="array" aca="1" ref="AV373" ca="1">INDIRECT("'"&amp;$C373&amp;"'!"&amp;"$"&amp;$D373&amp;$AT$1&amp;"")</f>
        <v>7.98</v>
      </c>
      <c r="AW373" s="300">
        <v>0.98</v>
      </c>
      <c r="AX373" s="301">
        <v>2</v>
      </c>
      <c r="AY373" s="387">
        <v>68.099999999999994</v>
      </c>
      <c r="AZ373" s="303" cm="1">
        <f t="array" aca="1" ref="AZ373" ca="1">INDIRECT("'"&amp;$C373&amp;"'!"&amp;"$"&amp;$D373&amp;$AY$1&amp;"")</f>
        <v>0</v>
      </c>
      <c r="BA373" s="300" t="s">
        <v>1</v>
      </c>
      <c r="BB373" s="298" t="s">
        <v>1</v>
      </c>
      <c r="BC373" s="299" cm="1">
        <f t="array" aca="1" ref="BC373" ca="1">INDIRECT("'"&amp;$C373&amp;"'!"&amp;"$"&amp;$D373&amp;$BC$1&amp;"")</f>
        <v>1.33</v>
      </c>
      <c r="BD373" s="300"/>
      <c r="BE373" s="300">
        <v>0.99</v>
      </c>
      <c r="BF373" s="298">
        <v>0.19</v>
      </c>
      <c r="BG373" s="299" cm="1">
        <f t="array" aca="1" ref="BG373" ca="1">INDIRECT("'"&amp;$C373&amp;"'!"&amp;"$"&amp;$D373&amp;$BG$1&amp;"")</f>
        <v>0.86</v>
      </c>
      <c r="BH373" s="300"/>
      <c r="BI373" s="300">
        <v>0.96</v>
      </c>
      <c r="BJ373" s="298">
        <v>0.25</v>
      </c>
      <c r="BK373" s="299" cm="1">
        <f t="array" aca="1" ref="BK373" ca="1">INDIRECT("'"&amp;$C373&amp;"'!"&amp;"$"&amp;$D373&amp;$BK$1&amp;"")</f>
        <v>4.3</v>
      </c>
      <c r="BL373" s="300"/>
      <c r="BM373" s="300">
        <v>0.95</v>
      </c>
      <c r="BN373" s="298">
        <v>1.4</v>
      </c>
    </row>
    <row r="374" spans="1:66" ht="15.75" thickBot="1" x14ac:dyDescent="0.25">
      <c r="A374" s="368">
        <v>45703</v>
      </c>
      <c r="B374" s="365">
        <v>0.79166666666666696</v>
      </c>
      <c r="C374" s="383">
        <v>15</v>
      </c>
      <c r="D374" s="319" t="s">
        <v>129</v>
      </c>
      <c r="E374" s="290">
        <v>14.2</v>
      </c>
      <c r="F374" s="291">
        <v>69.400000000000006</v>
      </c>
      <c r="G374" s="292" cm="1">
        <f t="array" aca="1" ref="G374" ca="1">INDIRECT("'"&amp;$C374&amp;"'!"&amp;"$"&amp;$D374&amp;$E$1&amp;"")</f>
        <v>6</v>
      </c>
      <c r="H374" s="293">
        <v>0.94</v>
      </c>
      <c r="I374" s="291">
        <v>2.1800000000000002</v>
      </c>
      <c r="J374" s="292" cm="1">
        <f t="array" aca="1" ref="J374" ca="1">INDIRECT("'"&amp;$C374&amp;"'!"&amp;"$"&amp;$D374&amp;$J$1&amp;"")</f>
        <v>6</v>
      </c>
      <c r="K374" s="304"/>
      <c r="L374" s="293">
        <v>0.94</v>
      </c>
      <c r="M374" s="291">
        <v>2.13</v>
      </c>
      <c r="N374" s="292" cm="1">
        <f t="array" aca="1" ref="N374" ca="1">INDIRECT("'"&amp;$C374&amp;"'!"&amp;"$"&amp;$D374&amp;$N$1&amp;"")</f>
        <v>6</v>
      </c>
      <c r="O374" s="293"/>
      <c r="P374" s="293">
        <v>0.94</v>
      </c>
      <c r="Q374" s="291">
        <v>2.09</v>
      </c>
      <c r="R374" s="292" cm="1">
        <f t="array" aca="1" ref="R374" ca="1">INDIRECT("'"&amp;$C374&amp;"'!"&amp;"$"&amp;$D374&amp;$R$1&amp;"")</f>
        <v>6</v>
      </c>
      <c r="S374" s="293"/>
      <c r="T374" s="293">
        <v>0.96</v>
      </c>
      <c r="U374" s="291">
        <v>1.66</v>
      </c>
      <c r="V374" s="292" t="str" cm="1">
        <f t="array" aca="1" ref="V374" ca="1">INDIRECT("'"&amp;$C374&amp;"'!"&amp;"$"&amp;$D374&amp;$V$1&amp;"")</f>
        <v>CMS</v>
      </c>
      <c r="W374" s="293" t="s">
        <v>1</v>
      </c>
      <c r="X374" s="293" t="s">
        <v>1</v>
      </c>
      <c r="Y374" s="294" t="s">
        <v>1</v>
      </c>
      <c r="Z374" s="386" cm="1">
        <f t="array" aca="1" ref="Z374" ca="1">INDIRECT("'"&amp;$C374&amp;"'!"&amp;"$"&amp;$D374&amp;$Z$1&amp;"")</f>
        <v>0</v>
      </c>
      <c r="AA374" s="292" t="s">
        <v>1</v>
      </c>
      <c r="AB374" s="293" t="s">
        <v>1</v>
      </c>
      <c r="AC374" s="291" t="s">
        <v>1</v>
      </c>
      <c r="AD374" s="292" cm="1">
        <f t="array" aca="1" ref="AD374" ca="1">INDIRECT("'"&amp;$C374&amp;"'!"&amp;"$"&amp;$D374&amp;$AD$1&amp;"")</f>
        <v>3</v>
      </c>
      <c r="AE374" s="293">
        <f>3.8*3.52</f>
        <v>13.375999999999999</v>
      </c>
      <c r="AF374" s="293">
        <v>0.94</v>
      </c>
      <c r="AG374" s="291">
        <v>1.17</v>
      </c>
      <c r="AH374" s="290" cm="1">
        <f t="array" aca="1" ref="AH374" ca="1">INDIRECT("'"&amp;$C374&amp;"'!"&amp;"$"&amp;$D374&amp;$AH$1&amp;"")</f>
        <v>3.8</v>
      </c>
      <c r="AI374" s="293">
        <v>14.04</v>
      </c>
      <c r="AJ374" s="293">
        <v>0.97</v>
      </c>
      <c r="AK374" s="291">
        <v>0.88500000000000001</v>
      </c>
      <c r="AL374" s="290">
        <v>11.8</v>
      </c>
      <c r="AM374" s="294">
        <v>71</v>
      </c>
      <c r="AN374" s="290" cm="1">
        <f t="array" aca="1" ref="AN374" ca="1">INDIRECT("'"&amp;$C374&amp;"'!"&amp;"$"&amp;$D374&amp;$AL$1&amp;"")</f>
        <v>1.8</v>
      </c>
      <c r="AO374" s="293">
        <v>0.99</v>
      </c>
      <c r="AP374" s="291">
        <v>0.21</v>
      </c>
      <c r="AQ374" s="292" cm="1">
        <f t="array" aca="1" ref="AQ374" ca="1">INDIRECT("'"&amp;$C374&amp;"'!"&amp;"$"&amp;$D374&amp;$AQ$1&amp;"")</f>
        <v>1.8</v>
      </c>
      <c r="AR374" s="293">
        <v>0.99</v>
      </c>
      <c r="AS374" s="291">
        <v>0.21</v>
      </c>
      <c r="AT374" s="290">
        <v>14.22</v>
      </c>
      <c r="AU374" s="294">
        <v>71.739999999999995</v>
      </c>
      <c r="AV374" s="290" cm="1">
        <f t="array" aca="1" ref="AV374" ca="1">INDIRECT("'"&amp;$C374&amp;"'!"&amp;"$"&amp;$D374&amp;$AT$1&amp;"")</f>
        <v>10.3</v>
      </c>
      <c r="AW374" s="293">
        <v>0.98</v>
      </c>
      <c r="AX374" s="294">
        <v>2.5</v>
      </c>
      <c r="AY374" s="386">
        <v>68.099999999999994</v>
      </c>
      <c r="AZ374" s="296" cm="1">
        <f t="array" aca="1" ref="AZ374" ca="1">INDIRECT("'"&amp;$C374&amp;"'!"&amp;"$"&amp;$D374&amp;$AY$1&amp;"")</f>
        <v>0</v>
      </c>
      <c r="BA374" s="293" t="s">
        <v>1</v>
      </c>
      <c r="BB374" s="291" t="s">
        <v>1</v>
      </c>
      <c r="BC374" s="292" cm="1">
        <f t="array" aca="1" ref="BC374" ca="1">INDIRECT("'"&amp;$C374&amp;"'!"&amp;"$"&amp;$D374&amp;$BC$1&amp;"")</f>
        <v>1.39</v>
      </c>
      <c r="BD374" s="293"/>
      <c r="BE374" s="293">
        <v>0.99</v>
      </c>
      <c r="BF374" s="291">
        <v>0.18</v>
      </c>
      <c r="BG374" s="292" cm="1">
        <f t="array" aca="1" ref="BG374" ca="1">INDIRECT("'"&amp;$C374&amp;"'!"&amp;"$"&amp;$D374&amp;$BG$1&amp;"")</f>
        <v>0.98</v>
      </c>
      <c r="BH374" s="293"/>
      <c r="BI374" s="293">
        <v>0.96</v>
      </c>
      <c r="BJ374" s="291">
        <v>0.27</v>
      </c>
      <c r="BK374" s="292" cm="1">
        <f t="array" aca="1" ref="BK374" ca="1">INDIRECT("'"&amp;$C374&amp;"'!"&amp;"$"&amp;$D374&amp;$BK$1&amp;"")</f>
        <v>5.0999999999999996</v>
      </c>
      <c r="BL374" s="293"/>
      <c r="BM374" s="293">
        <v>0.95</v>
      </c>
      <c r="BN374" s="291">
        <v>1.6</v>
      </c>
    </row>
    <row r="375" spans="1:66" ht="15.75" thickBot="1" x14ac:dyDescent="0.25">
      <c r="A375" s="368">
        <v>45703</v>
      </c>
      <c r="B375" s="365">
        <v>0.83333333333333337</v>
      </c>
      <c r="C375" s="383">
        <v>15</v>
      </c>
      <c r="D375" s="319" t="s">
        <v>130</v>
      </c>
      <c r="E375" s="297">
        <v>14.1</v>
      </c>
      <c r="F375" s="298">
        <v>70.05</v>
      </c>
      <c r="G375" s="299" cm="1">
        <f t="array" aca="1" ref="G375" ca="1">INDIRECT("'"&amp;$C375&amp;"'!"&amp;"$"&amp;$D375&amp;$E$1&amp;"")</f>
        <v>6</v>
      </c>
      <c r="H375" s="300">
        <v>0.96</v>
      </c>
      <c r="I375" s="298">
        <v>1.81</v>
      </c>
      <c r="J375" s="299" cm="1">
        <f t="array" aca="1" ref="J375" ca="1">INDIRECT("'"&amp;$C375&amp;"'!"&amp;"$"&amp;$D375&amp;$J$1&amp;"")</f>
        <v>6</v>
      </c>
      <c r="K375" s="300"/>
      <c r="L375" s="300">
        <v>0.96</v>
      </c>
      <c r="M375" s="298">
        <v>1.8</v>
      </c>
      <c r="N375" s="299" cm="1">
        <f t="array" aca="1" ref="N375" ca="1">INDIRECT("'"&amp;$C375&amp;"'!"&amp;"$"&amp;$D375&amp;$N$1&amp;"")</f>
        <v>6</v>
      </c>
      <c r="O375" s="300"/>
      <c r="P375" s="300">
        <v>0.95</v>
      </c>
      <c r="Q375" s="298">
        <v>1.89</v>
      </c>
      <c r="R375" s="299" cm="1">
        <f t="array" aca="1" ref="R375" ca="1">INDIRECT("'"&amp;$C375&amp;"'!"&amp;"$"&amp;$D375&amp;$R$1&amp;"")</f>
        <v>6</v>
      </c>
      <c r="S375" s="300"/>
      <c r="T375" s="300">
        <v>0.98</v>
      </c>
      <c r="U375" s="298">
        <v>1.38</v>
      </c>
      <c r="V375" s="299" t="str" cm="1">
        <f t="array" aca="1" ref="V375" ca="1">INDIRECT("'"&amp;$C375&amp;"'!"&amp;"$"&amp;$D375&amp;$V$1&amp;"")</f>
        <v>CMS</v>
      </c>
      <c r="W375" s="300" t="s">
        <v>1</v>
      </c>
      <c r="X375" s="300" t="s">
        <v>1</v>
      </c>
      <c r="Y375" s="301" t="s">
        <v>1</v>
      </c>
      <c r="Z375" s="387" cm="1">
        <f t="array" aca="1" ref="Z375" ca="1">INDIRECT("'"&amp;$C375&amp;"'!"&amp;"$"&amp;$D375&amp;$Z$1&amp;"")</f>
        <v>0</v>
      </c>
      <c r="AA375" s="299" t="s">
        <v>1</v>
      </c>
      <c r="AB375" s="300" t="s">
        <v>1</v>
      </c>
      <c r="AC375" s="298" t="s">
        <v>1</v>
      </c>
      <c r="AD375" s="299" cm="1">
        <f t="array" aca="1" ref="AD375" ca="1">INDIRECT("'"&amp;$C375&amp;"'!"&amp;"$"&amp;$D375&amp;$AD$1&amp;"")</f>
        <v>3</v>
      </c>
      <c r="AE375" s="300">
        <f>3.8*3.55</f>
        <v>13.489999999999998</v>
      </c>
      <c r="AF375" s="300">
        <v>0.94</v>
      </c>
      <c r="AG375" s="298">
        <v>1.19</v>
      </c>
      <c r="AH375" s="297" cm="1">
        <f t="array" aca="1" ref="AH375" ca="1">INDIRECT("'"&amp;$C375&amp;"'!"&amp;"$"&amp;$D375&amp;$AH$1&amp;"")</f>
        <v>3.8</v>
      </c>
      <c r="AI375" s="300">
        <v>14</v>
      </c>
      <c r="AJ375" s="300">
        <v>0.96</v>
      </c>
      <c r="AK375" s="298">
        <v>0.89600000000000002</v>
      </c>
      <c r="AL375" s="297">
        <v>11.8</v>
      </c>
      <c r="AM375" s="301">
        <v>70.599999999999994</v>
      </c>
      <c r="AN375" s="297" cm="1">
        <f t="array" aca="1" ref="AN375" ca="1">INDIRECT("'"&amp;$C375&amp;"'!"&amp;"$"&amp;$D375&amp;$AL$1&amp;"")</f>
        <v>1.6</v>
      </c>
      <c r="AO375" s="300">
        <v>0.99</v>
      </c>
      <c r="AP375" s="298">
        <v>0.22</v>
      </c>
      <c r="AQ375" s="299" cm="1">
        <f t="array" aca="1" ref="AQ375" ca="1">INDIRECT("'"&amp;$C375&amp;"'!"&amp;"$"&amp;$D375&amp;$AQ$1&amp;"")</f>
        <v>1.6</v>
      </c>
      <c r="AR375" s="300">
        <v>0.99</v>
      </c>
      <c r="AS375" s="298">
        <v>0.22</v>
      </c>
      <c r="AT375" s="297">
        <v>14.14</v>
      </c>
      <c r="AU375" s="301">
        <v>71.48</v>
      </c>
      <c r="AV375" s="297" cm="1">
        <f t="array" aca="1" ref="AV375" ca="1">INDIRECT("'"&amp;$C375&amp;"'!"&amp;"$"&amp;$D375&amp;$AT$1&amp;"")</f>
        <v>8</v>
      </c>
      <c r="AW375" s="300">
        <v>0.98</v>
      </c>
      <c r="AX375" s="301">
        <v>2</v>
      </c>
      <c r="AY375" s="387">
        <v>68.5</v>
      </c>
      <c r="AZ375" s="303" cm="1">
        <f t="array" aca="1" ref="AZ375" ca="1">INDIRECT("'"&amp;$C375&amp;"'!"&amp;"$"&amp;$D375&amp;$AY$1&amp;"")</f>
        <v>0</v>
      </c>
      <c r="BA375" s="300" t="s">
        <v>1</v>
      </c>
      <c r="BB375" s="298" t="s">
        <v>1</v>
      </c>
      <c r="BC375" s="299" cm="1">
        <f t="array" aca="1" ref="BC375" ca="1">INDIRECT("'"&amp;$C375&amp;"'!"&amp;"$"&amp;$D375&amp;$BC$1&amp;"")</f>
        <v>1.32</v>
      </c>
      <c r="BD375" s="300"/>
      <c r="BE375" s="300">
        <v>0.99</v>
      </c>
      <c r="BF375" s="298">
        <v>0.17</v>
      </c>
      <c r="BG375" s="299" cm="1">
        <f t="array" aca="1" ref="BG375" ca="1">INDIRECT("'"&amp;$C375&amp;"'!"&amp;"$"&amp;$D375&amp;$BG$1&amp;"")</f>
        <v>0.96</v>
      </c>
      <c r="BH375" s="300"/>
      <c r="BI375" s="300">
        <v>0.96</v>
      </c>
      <c r="BJ375" s="298">
        <v>0.26</v>
      </c>
      <c r="BK375" s="299" cm="1">
        <f t="array" aca="1" ref="BK375" ca="1">INDIRECT("'"&amp;$C375&amp;"'!"&amp;"$"&amp;$D375&amp;$BK$1&amp;"")</f>
        <v>4.9000000000000004</v>
      </c>
      <c r="BL375" s="300"/>
      <c r="BM375" s="300">
        <v>0.95</v>
      </c>
      <c r="BN375" s="298">
        <v>1.6</v>
      </c>
    </row>
    <row r="376" spans="1:66" ht="15.75" thickBot="1" x14ac:dyDescent="0.25">
      <c r="A376" s="368">
        <v>45703</v>
      </c>
      <c r="B376" s="365">
        <v>0.875000000000001</v>
      </c>
      <c r="C376" s="383">
        <v>15</v>
      </c>
      <c r="D376" s="319" t="s">
        <v>131</v>
      </c>
      <c r="E376" s="290">
        <v>14.1</v>
      </c>
      <c r="F376" s="291">
        <v>69.86</v>
      </c>
      <c r="G376" s="292" cm="1">
        <f t="array" aca="1" ref="G376" ca="1">INDIRECT("'"&amp;$C376&amp;"'!"&amp;"$"&amp;$D376&amp;$E$1&amp;"")</f>
        <v>5.4</v>
      </c>
      <c r="H376" s="293">
        <v>0.97</v>
      </c>
      <c r="I376" s="291">
        <v>1.32</v>
      </c>
      <c r="J376" s="292" cm="1">
        <f t="array" aca="1" ref="J376" ca="1">INDIRECT("'"&amp;$C376&amp;"'!"&amp;"$"&amp;$D376&amp;$J$1&amp;"")</f>
        <v>5.4</v>
      </c>
      <c r="K376" s="293"/>
      <c r="L376" s="293">
        <v>0.97</v>
      </c>
      <c r="M376" s="291">
        <v>1.34</v>
      </c>
      <c r="N376" s="292" cm="1">
        <f t="array" aca="1" ref="N376" ca="1">INDIRECT("'"&amp;$C376&amp;"'!"&amp;"$"&amp;$D376&amp;$N$1&amp;"")</f>
        <v>7.2</v>
      </c>
      <c r="O376" s="293"/>
      <c r="P376" s="293">
        <v>0.97</v>
      </c>
      <c r="Q376" s="291">
        <v>1.83</v>
      </c>
      <c r="R376" s="292" cm="1">
        <f t="array" aca="1" ref="R376" ca="1">INDIRECT("'"&amp;$C376&amp;"'!"&amp;"$"&amp;$D376&amp;$R$1&amp;"")</f>
        <v>5.4</v>
      </c>
      <c r="S376" s="293"/>
      <c r="T376" s="293">
        <v>0.97</v>
      </c>
      <c r="U376" s="291">
        <v>1.38</v>
      </c>
      <c r="V376" s="292" t="str" cm="1">
        <f t="array" aca="1" ref="V376" ca="1">INDIRECT("'"&amp;$C376&amp;"'!"&amp;"$"&amp;$D376&amp;$V$1&amp;"")</f>
        <v>CMS</v>
      </c>
      <c r="W376" s="293" t="s">
        <v>1</v>
      </c>
      <c r="X376" s="293" t="s">
        <v>1</v>
      </c>
      <c r="Y376" s="294" t="s">
        <v>1</v>
      </c>
      <c r="Z376" s="386" cm="1">
        <f t="array" aca="1" ref="Z376" ca="1">INDIRECT("'"&amp;$C376&amp;"'!"&amp;"$"&amp;$D376&amp;$Z$1&amp;"")</f>
        <v>0</v>
      </c>
      <c r="AA376" s="292" t="s">
        <v>1</v>
      </c>
      <c r="AB376" s="293" t="s">
        <v>1</v>
      </c>
      <c r="AC376" s="291" t="s">
        <v>1</v>
      </c>
      <c r="AD376" s="292" cm="1">
        <f t="array" aca="1" ref="AD376" ca="1">INDIRECT("'"&amp;$C376&amp;"'!"&amp;"$"&amp;$D376&amp;$AD$1&amp;"")</f>
        <v>3.3</v>
      </c>
      <c r="AE376" s="293">
        <f>3.8*3.55</f>
        <v>13.489999999999998</v>
      </c>
      <c r="AF376" s="293">
        <v>0.95</v>
      </c>
      <c r="AG376" s="291">
        <v>1.05</v>
      </c>
      <c r="AH376" s="290" cm="1">
        <f t="array" aca="1" ref="AH376" ca="1">INDIRECT("'"&amp;$C376&amp;"'!"&amp;"$"&amp;$D376&amp;$AH$1&amp;"")</f>
        <v>3.8</v>
      </c>
      <c r="AI376" s="293">
        <v>14</v>
      </c>
      <c r="AJ376" s="293">
        <v>0.97</v>
      </c>
      <c r="AK376" s="291">
        <v>0.78700000000000003</v>
      </c>
      <c r="AL376" s="290">
        <v>11.8</v>
      </c>
      <c r="AM376" s="294">
        <v>70.599999999999994</v>
      </c>
      <c r="AN376" s="290" cm="1">
        <f t="array" aca="1" ref="AN376" ca="1">INDIRECT("'"&amp;$C376&amp;"'!"&amp;"$"&amp;$D376&amp;$AL$1&amp;"")</f>
        <v>1.6</v>
      </c>
      <c r="AO376" s="293">
        <v>0.99</v>
      </c>
      <c r="AP376" s="291">
        <v>0.25</v>
      </c>
      <c r="AQ376" s="292" cm="1">
        <f t="array" aca="1" ref="AQ376" ca="1">INDIRECT("'"&amp;$C376&amp;"'!"&amp;"$"&amp;$D376&amp;$AQ$1&amp;"")</f>
        <v>1.6</v>
      </c>
      <c r="AR376" s="293">
        <v>0.99</v>
      </c>
      <c r="AS376" s="291">
        <v>0.25</v>
      </c>
      <c r="AT376" s="290">
        <v>14.13</v>
      </c>
      <c r="AU376" s="294">
        <v>71.510000000000005</v>
      </c>
      <c r="AV376" s="290" cm="1">
        <f t="array" aca="1" ref="AV376" ca="1">INDIRECT("'"&amp;$C376&amp;"'!"&amp;"$"&amp;$D376&amp;$AT$1&amp;"")</f>
        <v>7.35</v>
      </c>
      <c r="AW376" s="293">
        <v>0.98</v>
      </c>
      <c r="AX376" s="294">
        <v>1.9</v>
      </c>
      <c r="AY376" s="386">
        <v>68.400000000000006</v>
      </c>
      <c r="AZ376" s="296" cm="1">
        <f t="array" aca="1" ref="AZ376" ca="1">INDIRECT("'"&amp;$C376&amp;"'!"&amp;"$"&amp;$D376&amp;$AY$1&amp;"")</f>
        <v>0</v>
      </c>
      <c r="BA376" s="293" t="s">
        <v>1</v>
      </c>
      <c r="BB376" s="291" t="s">
        <v>1</v>
      </c>
      <c r="BC376" s="292" cm="1">
        <f t="array" aca="1" ref="BC376" ca="1">INDIRECT("'"&amp;$C376&amp;"'!"&amp;"$"&amp;$D376&amp;$BC$1&amp;"")</f>
        <v>1.24</v>
      </c>
      <c r="BD376" s="293"/>
      <c r="BE376" s="293">
        <v>0.99</v>
      </c>
      <c r="BF376" s="291">
        <v>0.15</v>
      </c>
      <c r="BG376" s="292" cm="1">
        <f t="array" aca="1" ref="BG376" ca="1">INDIRECT("'"&amp;$C376&amp;"'!"&amp;"$"&amp;$D376&amp;$BG$1&amp;"")</f>
        <v>0.93</v>
      </c>
      <c r="BH376" s="293"/>
      <c r="BI376" s="293">
        <v>0.96</v>
      </c>
      <c r="BJ376" s="291">
        <v>0.25</v>
      </c>
      <c r="BK376" s="292" cm="1">
        <f t="array" aca="1" ref="BK376" ca="1">INDIRECT("'"&amp;$C376&amp;"'!"&amp;"$"&amp;$D376&amp;$BK$1&amp;"")</f>
        <v>4.57</v>
      </c>
      <c r="BL376" s="293"/>
      <c r="BM376" s="293">
        <v>0.95</v>
      </c>
      <c r="BN376" s="291">
        <v>1.5</v>
      </c>
    </row>
    <row r="377" spans="1:66" ht="15.75" thickBot="1" x14ac:dyDescent="0.25">
      <c r="A377" s="368">
        <v>45703</v>
      </c>
      <c r="B377" s="365">
        <v>0.91666666666666696</v>
      </c>
      <c r="C377" s="383">
        <v>15</v>
      </c>
      <c r="D377" s="319" t="s">
        <v>132</v>
      </c>
      <c r="E377" s="297">
        <v>14.1</v>
      </c>
      <c r="F377" s="298">
        <v>70.09</v>
      </c>
      <c r="G377" s="299" cm="1">
        <f t="array" aca="1" ref="G377" ca="1">INDIRECT("'"&amp;$C377&amp;"'!"&amp;"$"&amp;$D377&amp;$E$1&amp;"")</f>
        <v>6.1</v>
      </c>
      <c r="H377" s="300">
        <v>0.97</v>
      </c>
      <c r="I377" s="298">
        <v>1.42</v>
      </c>
      <c r="J377" s="299" cm="1">
        <f t="array" aca="1" ref="J377" ca="1">INDIRECT("'"&amp;$C377&amp;"'!"&amp;"$"&amp;$D377&amp;$J$1&amp;"")</f>
        <v>6.1</v>
      </c>
      <c r="K377" s="300"/>
      <c r="L377" s="300">
        <v>0.97</v>
      </c>
      <c r="M377" s="298">
        <v>1.46</v>
      </c>
      <c r="N377" s="299" cm="1">
        <f t="array" aca="1" ref="N377" ca="1">INDIRECT("'"&amp;$C377&amp;"'!"&amp;"$"&amp;$D377&amp;$N$1&amp;"")</f>
        <v>0</v>
      </c>
      <c r="O377" s="300"/>
      <c r="P377" s="300" t="s">
        <v>1</v>
      </c>
      <c r="Q377" s="298" t="s">
        <v>1</v>
      </c>
      <c r="R377" s="299" cm="1">
        <f t="array" aca="1" ref="R377" ca="1">INDIRECT("'"&amp;$C377&amp;"'!"&amp;"$"&amp;$D377&amp;$R$1&amp;"")</f>
        <v>6.1</v>
      </c>
      <c r="S377" s="300"/>
      <c r="T377" s="300">
        <v>0.95</v>
      </c>
      <c r="U377" s="298">
        <v>1.96</v>
      </c>
      <c r="V377" s="299" t="str" cm="1">
        <f t="array" aca="1" ref="V377" ca="1">INDIRECT("'"&amp;$C377&amp;"'!"&amp;"$"&amp;$D377&amp;$V$1&amp;"")</f>
        <v>CMS</v>
      </c>
      <c r="W377" s="300" t="s">
        <v>1</v>
      </c>
      <c r="X377" s="300" t="s">
        <v>1</v>
      </c>
      <c r="Y377" s="301" t="s">
        <v>1</v>
      </c>
      <c r="Z377" s="387" cm="1">
        <f t="array" aca="1" ref="Z377" ca="1">INDIRECT("'"&amp;$C377&amp;"'!"&amp;"$"&amp;$D377&amp;$Z$1&amp;"")</f>
        <v>0</v>
      </c>
      <c r="AA377" s="299" t="s">
        <v>1</v>
      </c>
      <c r="AB377" s="300" t="s">
        <v>1</v>
      </c>
      <c r="AC377" s="298" t="s">
        <v>1</v>
      </c>
      <c r="AD377" s="299" cm="1">
        <f t="array" aca="1" ref="AD377" ca="1">INDIRECT("'"&amp;$C377&amp;"'!"&amp;"$"&amp;$D377&amp;$AD$1&amp;"")</f>
        <v>3.3</v>
      </c>
      <c r="AE377" s="300">
        <f>3.8*3.58</f>
        <v>13.603999999999999</v>
      </c>
      <c r="AF377" s="300">
        <v>0.96</v>
      </c>
      <c r="AG377" s="298">
        <v>0.91</v>
      </c>
      <c r="AH377" s="297" cm="1">
        <f t="array" aca="1" ref="AH377" ca="1">INDIRECT("'"&amp;$C377&amp;"'!"&amp;"$"&amp;$D377&amp;$AH$1&amp;"")</f>
        <v>3.8</v>
      </c>
      <c r="AI377" s="300">
        <v>14.04</v>
      </c>
      <c r="AJ377" s="300">
        <v>0.98</v>
      </c>
      <c r="AK377" s="298">
        <v>0.54500000000000004</v>
      </c>
      <c r="AL377" s="297">
        <v>11.8</v>
      </c>
      <c r="AM377" s="301">
        <v>70.599999999999994</v>
      </c>
      <c r="AN377" s="297" cm="1">
        <f t="array" aca="1" ref="AN377" ca="1">INDIRECT("'"&amp;$C377&amp;"'!"&amp;"$"&amp;$D377&amp;$AL$1&amp;"")</f>
        <v>2.1</v>
      </c>
      <c r="AO377" s="300">
        <v>1</v>
      </c>
      <c r="AP377" s="298">
        <v>0.02</v>
      </c>
      <c r="AQ377" s="299" cm="1">
        <f t="array" aca="1" ref="AQ377" ca="1">INDIRECT("'"&amp;$C377&amp;"'!"&amp;"$"&amp;$D377&amp;$AQ$1&amp;"")</f>
        <v>2.1</v>
      </c>
      <c r="AR377" s="300">
        <v>1</v>
      </c>
      <c r="AS377" s="298">
        <v>0.02</v>
      </c>
      <c r="AT377" s="297">
        <v>14.22</v>
      </c>
      <c r="AU377" s="301">
        <v>71.84</v>
      </c>
      <c r="AV377" s="297" cm="1">
        <f t="array" aca="1" ref="AV377" ca="1">INDIRECT("'"&amp;$C377&amp;"'!"&amp;"$"&amp;$D377&amp;$AT$1&amp;"")</f>
        <v>8.81</v>
      </c>
      <c r="AW377" s="300">
        <v>0.98</v>
      </c>
      <c r="AX377" s="301">
        <v>2.2000000000000002</v>
      </c>
      <c r="AY377" s="387">
        <v>68.900000000000006</v>
      </c>
      <c r="AZ377" s="303" cm="1">
        <f t="array" aca="1" ref="AZ377" ca="1">INDIRECT("'"&amp;$C377&amp;"'!"&amp;"$"&amp;$D377&amp;$AY$1&amp;"")</f>
        <v>0</v>
      </c>
      <c r="BA377" s="300" t="s">
        <v>1</v>
      </c>
      <c r="BB377" s="298" t="s">
        <v>1</v>
      </c>
      <c r="BC377" s="299" cm="1">
        <f t="array" aca="1" ref="BC377" ca="1">INDIRECT("'"&amp;$C377&amp;"'!"&amp;"$"&amp;$D377&amp;$BC$1&amp;"")</f>
        <v>1.1100000000000001</v>
      </c>
      <c r="BD377" s="300"/>
      <c r="BE377" s="300">
        <v>0.99</v>
      </c>
      <c r="BF377" s="298">
        <v>0.14000000000000001</v>
      </c>
      <c r="BG377" s="299" cm="1">
        <f t="array" aca="1" ref="BG377" ca="1">INDIRECT("'"&amp;$C377&amp;"'!"&amp;"$"&amp;$D377&amp;$BG$1&amp;"")</f>
        <v>0.88</v>
      </c>
      <c r="BH377" s="300"/>
      <c r="BI377" s="300">
        <v>0.96</v>
      </c>
      <c r="BJ377" s="298">
        <v>0.24</v>
      </c>
      <c r="BK377" s="299" cm="1">
        <f t="array" aca="1" ref="BK377" ca="1">INDIRECT("'"&amp;$C377&amp;"'!"&amp;"$"&amp;$D377&amp;$BK$1&amp;"")</f>
        <v>4.5200000000000005</v>
      </c>
      <c r="BL377" s="300"/>
      <c r="BM377" s="300">
        <v>0.95</v>
      </c>
      <c r="BN377" s="298">
        <v>1.4</v>
      </c>
    </row>
    <row r="378" spans="1:66" ht="15.75" thickBot="1" x14ac:dyDescent="0.25">
      <c r="A378" s="369">
        <v>45703</v>
      </c>
      <c r="B378" s="366">
        <v>0.95833333333333404</v>
      </c>
      <c r="C378" s="383">
        <v>15</v>
      </c>
      <c r="D378" s="321" t="s">
        <v>133</v>
      </c>
      <c r="E378" s="305">
        <v>14.1</v>
      </c>
      <c r="F378" s="306">
        <v>70.73</v>
      </c>
      <c r="G378" s="307" cm="1">
        <f t="array" aca="1" ref="G378" ca="1">INDIRECT("'"&amp;$C378&amp;"'!"&amp;"$"&amp;$D378&amp;$E$1&amp;"")</f>
        <v>6</v>
      </c>
      <c r="H378" s="308">
        <v>0.98</v>
      </c>
      <c r="I378" s="306">
        <v>1.21</v>
      </c>
      <c r="J378" s="307" cm="1">
        <f t="array" aca="1" ref="J378" ca="1">INDIRECT("'"&amp;$C378&amp;"'!"&amp;"$"&amp;$D378&amp;$J$1&amp;"")</f>
        <v>6</v>
      </c>
      <c r="K378" s="308"/>
      <c r="L378" s="308">
        <v>0.98</v>
      </c>
      <c r="M378" s="306">
        <v>1.21</v>
      </c>
      <c r="N378" s="307" cm="1">
        <f t="array" aca="1" ref="N378" ca="1">INDIRECT("'"&amp;$C378&amp;"'!"&amp;"$"&amp;$D378&amp;$N$1&amp;"")</f>
        <v>0</v>
      </c>
      <c r="O378" s="308"/>
      <c r="P378" s="308" t="s">
        <v>1</v>
      </c>
      <c r="Q378" s="306" t="s">
        <v>1</v>
      </c>
      <c r="R378" s="307" cm="1">
        <f t="array" aca="1" ref="R378" ca="1">INDIRECT("'"&amp;$C378&amp;"'!"&amp;"$"&amp;$D378&amp;$R$1&amp;"")</f>
        <v>6</v>
      </c>
      <c r="S378" s="308"/>
      <c r="T378" s="308">
        <v>0.98</v>
      </c>
      <c r="U378" s="306">
        <v>1.23</v>
      </c>
      <c r="V378" s="307" t="str" cm="1">
        <f t="array" aca="1" ref="V378" ca="1">INDIRECT("'"&amp;$C378&amp;"'!"&amp;"$"&amp;$D378&amp;$V$1&amp;"")</f>
        <v>CMS</v>
      </c>
      <c r="W378" s="308" t="s">
        <v>1</v>
      </c>
      <c r="X378" s="308" t="s">
        <v>1</v>
      </c>
      <c r="Y378" s="309" t="s">
        <v>1</v>
      </c>
      <c r="Z378" s="389" cm="1">
        <f t="array" aca="1" ref="Z378" ca="1">INDIRECT("'"&amp;$C378&amp;"'!"&amp;"$"&amp;$D378&amp;$Z$1&amp;"")</f>
        <v>0</v>
      </c>
      <c r="AA378" s="307" t="s">
        <v>1</v>
      </c>
      <c r="AB378" s="308" t="s">
        <v>1</v>
      </c>
      <c r="AC378" s="306" t="s">
        <v>1</v>
      </c>
      <c r="AD378" s="307" cm="1">
        <f t="array" aca="1" ref="AD378" ca="1">INDIRECT("'"&amp;$C378&amp;"'!"&amp;"$"&amp;$D378&amp;$AD$1&amp;"")</f>
        <v>3.3</v>
      </c>
      <c r="AE378" s="308">
        <f>3.8*6</f>
        <v>22.799999999999997</v>
      </c>
      <c r="AF378" s="308">
        <v>0.98</v>
      </c>
      <c r="AG378" s="309">
        <v>0.59</v>
      </c>
      <c r="AH378" s="305" cm="1">
        <f t="array" aca="1" ref="AH378" ca="1">INDIRECT("'"&amp;$C378&amp;"'!"&amp;"$"&amp;$D378&amp;$AH$1&amp;"")</f>
        <v>3.8</v>
      </c>
      <c r="AI378" s="308">
        <v>14.04</v>
      </c>
      <c r="AJ378" s="308">
        <v>0.99</v>
      </c>
      <c r="AK378" s="306">
        <v>0.20899999999999999</v>
      </c>
      <c r="AL378" s="305">
        <v>11.8</v>
      </c>
      <c r="AM378" s="309">
        <v>70.7</v>
      </c>
      <c r="AN378" s="305" cm="1">
        <f t="array" aca="1" ref="AN378" ca="1">INDIRECT("'"&amp;$C378&amp;"'!"&amp;"$"&amp;$D378&amp;$AL$1&amp;"")</f>
        <v>1.1000000000000001</v>
      </c>
      <c r="AO378" s="308">
        <v>0.98</v>
      </c>
      <c r="AP378" s="306">
        <v>0.26</v>
      </c>
      <c r="AQ378" s="307" cm="1">
        <f t="array" aca="1" ref="AQ378" ca="1">INDIRECT("'"&amp;$C378&amp;"'!"&amp;"$"&amp;$D378&amp;$AQ$1&amp;"")</f>
        <v>1.1000000000000001</v>
      </c>
      <c r="AR378" s="308">
        <v>0.98</v>
      </c>
      <c r="AS378" s="306">
        <v>0.26</v>
      </c>
      <c r="AT378" s="305">
        <v>14.15</v>
      </c>
      <c r="AU378" s="309">
        <v>71.88</v>
      </c>
      <c r="AV378" s="305" cm="1">
        <f t="array" aca="1" ref="AV378" ca="1">INDIRECT("'"&amp;$C378&amp;"'!"&amp;"$"&amp;$D378&amp;$AT$1&amp;"")</f>
        <v>8.26</v>
      </c>
      <c r="AW378" s="308">
        <v>0.99</v>
      </c>
      <c r="AX378" s="306">
        <v>1.4</v>
      </c>
      <c r="AY378" s="384">
        <v>69.3</v>
      </c>
      <c r="AZ378" s="310" cm="1">
        <f t="array" aca="1" ref="AZ378" ca="1">INDIRECT("'"&amp;$C378&amp;"'!"&amp;"$"&amp;$D378&amp;$AY$1&amp;"")</f>
        <v>0</v>
      </c>
      <c r="BA378" s="308" t="s">
        <v>1</v>
      </c>
      <c r="BB378" s="306" t="s">
        <v>1</v>
      </c>
      <c r="BC378" s="307" cm="1">
        <f t="array" aca="1" ref="BC378" ca="1">INDIRECT("'"&amp;$C378&amp;"'!"&amp;"$"&amp;$D378&amp;$BC$1&amp;"")</f>
        <v>1</v>
      </c>
      <c r="BD378" s="308"/>
      <c r="BE378" s="308">
        <v>0.99</v>
      </c>
      <c r="BF378" s="306">
        <v>0.13</v>
      </c>
      <c r="BG378" s="307" cm="1">
        <f t="array" aca="1" ref="BG378" ca="1">INDIRECT("'"&amp;$C378&amp;"'!"&amp;"$"&amp;$D378&amp;$BG$1&amp;"")</f>
        <v>0.84</v>
      </c>
      <c r="BH378" s="308"/>
      <c r="BI378" s="308">
        <v>0.96</v>
      </c>
      <c r="BJ378" s="306">
        <v>0.23</v>
      </c>
      <c r="BK378" s="307" cm="1">
        <f t="array" aca="1" ref="BK378" ca="1">INDIRECT("'"&amp;$C378&amp;"'!"&amp;"$"&amp;$D378&amp;$BK$1&amp;"")</f>
        <v>3.87</v>
      </c>
      <c r="BL378" s="308"/>
      <c r="BM378" s="308">
        <v>0.95</v>
      </c>
      <c r="BN378" s="306">
        <v>1.2</v>
      </c>
    </row>
    <row r="379" spans="1:66" ht="15" thickBot="1" x14ac:dyDescent="0.25"/>
    <row r="380" spans="1:66" ht="15.75" thickBot="1" x14ac:dyDescent="0.25">
      <c r="A380" s="367">
        <v>45704</v>
      </c>
      <c r="B380" s="364">
        <v>0</v>
      </c>
      <c r="C380" s="383">
        <v>16</v>
      </c>
      <c r="D380" s="316" t="s">
        <v>110</v>
      </c>
      <c r="E380" s="284">
        <v>14.1</v>
      </c>
      <c r="F380" s="285">
        <v>70.569999999999993</v>
      </c>
      <c r="G380" s="286" cm="1">
        <f t="array" aca="1" ref="G380" ca="1">INDIRECT("'"&amp;$C380&amp;"'!"&amp;"$"&amp;$D380&amp;$E$1&amp;"")</f>
        <v>5.5</v>
      </c>
      <c r="H380" s="287">
        <v>0.99</v>
      </c>
      <c r="I380" s="285">
        <v>0.82</v>
      </c>
      <c r="J380" s="286" cm="1">
        <f t="array" aca="1" ref="J380" ca="1">INDIRECT("'"&amp;$C380&amp;"'!"&amp;"$"&amp;$D380&amp;$J$1&amp;"")</f>
        <v>7.1</v>
      </c>
      <c r="K380" s="287"/>
      <c r="L380" s="287">
        <v>0.99</v>
      </c>
      <c r="M380" s="285">
        <v>1.02</v>
      </c>
      <c r="N380" s="286" cm="1">
        <f t="array" aca="1" ref="N380" ca="1">INDIRECT("'"&amp;$C380&amp;"'!"&amp;"$"&amp;$D380&amp;$N$1&amp;"")</f>
        <v>0</v>
      </c>
      <c r="O380" s="287"/>
      <c r="P380" s="287" t="s">
        <v>1</v>
      </c>
      <c r="Q380" s="285" t="s">
        <v>1</v>
      </c>
      <c r="R380" s="286" cm="1">
        <f t="array" aca="1" ref="R380" ca="1">INDIRECT("'"&amp;$C380&amp;"'!"&amp;"$"&amp;$D380&amp;$R$1&amp;"")</f>
        <v>5.3</v>
      </c>
      <c r="S380" s="287"/>
      <c r="T380" s="287">
        <v>0.97</v>
      </c>
      <c r="U380" s="285">
        <v>1.3</v>
      </c>
      <c r="V380" s="286" t="str" cm="1">
        <f t="array" aca="1" ref="V380" ca="1">INDIRECT("'"&amp;$C380&amp;"'!"&amp;"$"&amp;$D380&amp;$V$1&amp;"")</f>
        <v>CMS</v>
      </c>
      <c r="W380" s="287" t="s">
        <v>1</v>
      </c>
      <c r="X380" s="287" t="s">
        <v>1</v>
      </c>
      <c r="Y380" s="288" t="s">
        <v>1</v>
      </c>
      <c r="Z380" s="385" cm="1">
        <f t="array" aca="1" ref="Z380" ca="1">INDIRECT("'"&amp;$C380&amp;"'!"&amp;"$"&amp;$D380&amp;$Z$1&amp;"")</f>
        <v>0</v>
      </c>
      <c r="AA380" s="286" t="s">
        <v>1</v>
      </c>
      <c r="AB380" s="287" t="s">
        <v>1</v>
      </c>
      <c r="AC380" s="285" t="s">
        <v>1</v>
      </c>
      <c r="AD380" s="286" cm="1">
        <f t="array" aca="1" ref="AD380" ca="1">INDIRECT("'"&amp;$C380&amp;"'!"&amp;"$"&amp;$D380&amp;$AD$1&amp;"")</f>
        <v>1</v>
      </c>
      <c r="AE380" s="287">
        <f>3.8*3.58</f>
        <v>13.603999999999999</v>
      </c>
      <c r="AF380" s="287">
        <v>1</v>
      </c>
      <c r="AG380" s="285">
        <v>7.0000000000000007E-2</v>
      </c>
      <c r="AH380" s="284" cm="1">
        <f t="array" aca="1" ref="AH380" ca="1">INDIRECT("'"&amp;$C380&amp;"'!"&amp;"$"&amp;$D380&amp;$AH$1&amp;"")</f>
        <v>3.2</v>
      </c>
      <c r="AI380" s="287">
        <v>13.96</v>
      </c>
      <c r="AJ380" s="287">
        <v>0.99</v>
      </c>
      <c r="AK380" s="285">
        <v>0.39800000000000002</v>
      </c>
      <c r="AL380" s="284">
        <v>11.8</v>
      </c>
      <c r="AM380" s="288">
        <v>70.7</v>
      </c>
      <c r="AN380" s="284" cm="1">
        <f t="array" aca="1" ref="AN380" ca="1">INDIRECT("'"&amp;$C380&amp;"'!"&amp;"$"&amp;$D380&amp;$AL$1&amp;"")</f>
        <v>0</v>
      </c>
      <c r="AO380" s="287" t="s">
        <v>1</v>
      </c>
      <c r="AP380" s="285" t="s">
        <v>1</v>
      </c>
      <c r="AQ380" s="286" cm="1">
        <f t="array" aca="1" ref="AQ380" ca="1">INDIRECT("'"&amp;$C380&amp;"'!"&amp;"$"&amp;$D380&amp;$AQ$1&amp;"")</f>
        <v>1.1000000000000001</v>
      </c>
      <c r="AR380" s="287">
        <v>0.98</v>
      </c>
      <c r="AS380" s="285">
        <v>0.26</v>
      </c>
      <c r="AT380" s="284">
        <v>14</v>
      </c>
      <c r="AU380" s="381">
        <v>71.319999999999993</v>
      </c>
      <c r="AV380" s="284" cm="1">
        <f t="array" aca="1" ref="AV380" ca="1">INDIRECT("'"&amp;$C380&amp;"'!"&amp;"$"&amp;$D380&amp;$AT$1&amp;"")</f>
        <v>7.35</v>
      </c>
      <c r="AW380" s="287">
        <v>1</v>
      </c>
      <c r="AX380" s="288">
        <v>0.7</v>
      </c>
      <c r="AY380" s="385">
        <v>69.099999999999994</v>
      </c>
      <c r="AZ380" s="381" cm="1">
        <f t="array" aca="1" ref="AZ380" ca="1">INDIRECT("'"&amp;$C380&amp;"'!"&amp;"$"&amp;$D380&amp;$AY$1&amp;"")</f>
        <v>0</v>
      </c>
      <c r="BA380" s="287" t="s">
        <v>1</v>
      </c>
      <c r="BB380" s="285" t="s">
        <v>1</v>
      </c>
      <c r="BC380" s="286" cm="1">
        <f t="array" aca="1" ref="BC380" ca="1">INDIRECT("'"&amp;$C380&amp;"'!"&amp;"$"&amp;$D380&amp;$BC$1&amp;"")</f>
        <v>0.91</v>
      </c>
      <c r="BD380" s="287"/>
      <c r="BE380" s="287">
        <v>0.99</v>
      </c>
      <c r="BF380" s="285">
        <v>0.12</v>
      </c>
      <c r="BG380" s="286" cm="1">
        <f t="array" aca="1" ref="BG380" ca="1">INDIRECT("'"&amp;$C380&amp;"'!"&amp;"$"&amp;$D380&amp;$BG$1&amp;"")</f>
        <v>0.79</v>
      </c>
      <c r="BH380" s="287"/>
      <c r="BI380" s="287">
        <v>0.96</v>
      </c>
      <c r="BJ380" s="285">
        <v>0.22</v>
      </c>
      <c r="BK380" s="286" cm="1">
        <f t="array" aca="1" ref="BK380" ca="1">INDIRECT("'"&amp;$C380&amp;"'!"&amp;"$"&amp;$D380&amp;$BK$1&amp;"")</f>
        <v>3.43</v>
      </c>
      <c r="BL380" s="287"/>
      <c r="BM380" s="287">
        <v>0.95</v>
      </c>
      <c r="BN380" s="285">
        <v>1.1000000000000001</v>
      </c>
    </row>
    <row r="381" spans="1:66" ht="15.75" thickBot="1" x14ac:dyDescent="0.25">
      <c r="A381" s="368">
        <v>45704</v>
      </c>
      <c r="B381" s="365">
        <v>4.1666666666666699E-2</v>
      </c>
      <c r="C381" s="383">
        <v>16</v>
      </c>
      <c r="D381" s="319" t="s">
        <v>111</v>
      </c>
      <c r="E381" s="290">
        <v>14</v>
      </c>
      <c r="F381" s="291">
        <v>70.17</v>
      </c>
      <c r="G381" s="292" cm="1">
        <f t="array" aca="1" ref="G381" ca="1">INDIRECT("'"&amp;$C381&amp;"'!"&amp;"$"&amp;$D381&amp;$E$1&amp;"")</f>
        <v>6.1</v>
      </c>
      <c r="H381" s="293">
        <v>0.99</v>
      </c>
      <c r="I381" s="291">
        <v>0.83</v>
      </c>
      <c r="J381" s="292" cm="1">
        <f t="array" aca="1" ref="J381" ca="1">INDIRECT("'"&amp;$C381&amp;"'!"&amp;"$"&amp;$D381&amp;$J$1&amp;"")</f>
        <v>0</v>
      </c>
      <c r="K381" s="293"/>
      <c r="L381" s="293" t="s">
        <v>1</v>
      </c>
      <c r="M381" s="291" t="s">
        <v>1</v>
      </c>
      <c r="N381" s="292" cm="1">
        <f t="array" aca="1" ref="N381" ca="1">INDIRECT("'"&amp;$C381&amp;"'!"&amp;"$"&amp;$D381&amp;$N$1&amp;"")</f>
        <v>0</v>
      </c>
      <c r="O381" s="293"/>
      <c r="P381" s="293" t="s">
        <v>1</v>
      </c>
      <c r="Q381" s="291" t="s">
        <v>1</v>
      </c>
      <c r="R381" s="292" cm="1">
        <f t="array" aca="1" ref="R381" ca="1">INDIRECT("'"&amp;$C381&amp;"'!"&amp;"$"&amp;$D381&amp;$R$1&amp;"")</f>
        <v>6.1</v>
      </c>
      <c r="S381" s="293"/>
      <c r="T381" s="293">
        <v>0.97</v>
      </c>
      <c r="U381" s="291">
        <v>1.34</v>
      </c>
      <c r="V381" s="292" t="str" cm="1">
        <f t="array" aca="1" ref="V381" ca="1">INDIRECT("'"&amp;$C381&amp;"'!"&amp;"$"&amp;$D381&amp;$V$1&amp;"")</f>
        <v>CMS</v>
      </c>
      <c r="W381" s="293" t="s">
        <v>1</v>
      </c>
      <c r="X381" s="293" t="s">
        <v>1</v>
      </c>
      <c r="Y381" s="294" t="s">
        <v>1</v>
      </c>
      <c r="Z381" s="386" cm="1">
        <f t="array" aca="1" ref="Z381" ca="1">INDIRECT("'"&amp;$C381&amp;"'!"&amp;"$"&amp;$D381&amp;$Z$1&amp;"")</f>
        <v>0</v>
      </c>
      <c r="AA381" s="292" t="s">
        <v>1</v>
      </c>
      <c r="AB381" s="293" t="s">
        <v>1</v>
      </c>
      <c r="AC381" s="291" t="s">
        <v>1</v>
      </c>
      <c r="AD381" s="292" cm="1">
        <f t="array" aca="1" ref="AD381" ca="1">INDIRECT("'"&amp;$C381&amp;"'!"&amp;"$"&amp;$D381&amp;$AD$1&amp;"")</f>
        <v>0</v>
      </c>
      <c r="AE381" s="293" t="s">
        <v>1</v>
      </c>
      <c r="AF381" s="293" t="s">
        <v>1</v>
      </c>
      <c r="AG381" s="294" t="s">
        <v>1</v>
      </c>
      <c r="AH381" s="290" cm="1">
        <f t="array" aca="1" ref="AH381" ca="1">INDIRECT("'"&amp;$C381&amp;"'!"&amp;"$"&amp;$D381&amp;$AH$1&amp;"")</f>
        <v>3.8</v>
      </c>
      <c r="AI381" s="293">
        <v>14</v>
      </c>
      <c r="AJ381" s="293">
        <v>0.99</v>
      </c>
      <c r="AK381" s="291">
        <v>0.36599999999999999</v>
      </c>
      <c r="AL381" s="290">
        <v>11.8</v>
      </c>
      <c r="AM381" s="294">
        <v>70.3</v>
      </c>
      <c r="AN381" s="290" cm="1">
        <f t="array" aca="1" ref="AN381" ca="1">INDIRECT("'"&amp;$C381&amp;"'!"&amp;"$"&amp;$D381&amp;$AL$1&amp;"")</f>
        <v>0</v>
      </c>
      <c r="AO381" s="293" t="s">
        <v>1</v>
      </c>
      <c r="AP381" s="291" t="s">
        <v>1</v>
      </c>
      <c r="AQ381" s="292" cm="1">
        <f t="array" aca="1" ref="AQ381" ca="1">INDIRECT("'"&amp;$C381&amp;"'!"&amp;"$"&amp;$D381&amp;$AQ$1&amp;"")</f>
        <v>2.4</v>
      </c>
      <c r="AR381" s="293">
        <v>0.94</v>
      </c>
      <c r="AS381" s="291">
        <v>0.97</v>
      </c>
      <c r="AT381" s="290">
        <v>14.09</v>
      </c>
      <c r="AU381" s="296">
        <v>71.599999999999994</v>
      </c>
      <c r="AV381" s="290" cm="1">
        <f t="array" aca="1" ref="AV381" ca="1">INDIRECT("'"&amp;$C381&amp;"'!"&amp;"$"&amp;$D381&amp;$AT$1&amp;"")</f>
        <v>11.67</v>
      </c>
      <c r="AW381" s="293">
        <v>1</v>
      </c>
      <c r="AX381" s="294">
        <v>1.1000000000000001</v>
      </c>
      <c r="AY381" s="386">
        <v>68.599999999999994</v>
      </c>
      <c r="AZ381" s="296" cm="1">
        <f t="array" aca="1" ref="AZ381" ca="1">INDIRECT("'"&amp;$C381&amp;"'!"&amp;"$"&amp;$D381&amp;$AY$1&amp;"")</f>
        <v>0</v>
      </c>
      <c r="BA381" s="293" t="s">
        <v>1</v>
      </c>
      <c r="BB381" s="291" t="s">
        <v>1</v>
      </c>
      <c r="BC381" s="292" cm="1">
        <f t="array" aca="1" ref="BC381" ca="1">INDIRECT("'"&amp;$C381&amp;"'!"&amp;"$"&amp;$D381&amp;$BC$1&amp;"")</f>
        <v>0.89</v>
      </c>
      <c r="BD381" s="293"/>
      <c r="BE381" s="293">
        <v>0.99</v>
      </c>
      <c r="BF381" s="291">
        <v>0.12</v>
      </c>
      <c r="BG381" s="292" cm="1">
        <f t="array" aca="1" ref="BG381" ca="1">INDIRECT("'"&amp;$C381&amp;"'!"&amp;"$"&amp;$D381&amp;$BG$1&amp;"")</f>
        <v>0.77</v>
      </c>
      <c r="BH381" s="293"/>
      <c r="BI381" s="293">
        <v>0.96</v>
      </c>
      <c r="BJ381" s="291">
        <v>0.22</v>
      </c>
      <c r="BK381" s="292" cm="1">
        <f t="array" aca="1" ref="BK381" ca="1">INDIRECT("'"&amp;$C381&amp;"'!"&amp;"$"&amp;$D381&amp;$BK$1&amp;"")</f>
        <v>3.3300000000000005</v>
      </c>
      <c r="BL381" s="293"/>
      <c r="BM381" s="293">
        <v>0.95</v>
      </c>
      <c r="BN381" s="291">
        <v>1</v>
      </c>
    </row>
    <row r="382" spans="1:66" ht="15.75" thickBot="1" x14ac:dyDescent="0.25">
      <c r="A382" s="368">
        <v>45704</v>
      </c>
      <c r="B382" s="365">
        <v>8.3333333333333301E-2</v>
      </c>
      <c r="C382" s="383">
        <v>16</v>
      </c>
      <c r="D382" s="319" t="s">
        <v>112</v>
      </c>
      <c r="E382" s="297">
        <v>14.1</v>
      </c>
      <c r="F382" s="298">
        <v>70.599999999999994</v>
      </c>
      <c r="G382" s="299" cm="1">
        <f t="array" aca="1" ref="G382" ca="1">INDIRECT("'"&amp;$C382&amp;"'!"&amp;"$"&amp;$D382&amp;$E$1&amp;"")</f>
        <v>6.1</v>
      </c>
      <c r="H382" s="300">
        <v>0.98</v>
      </c>
      <c r="I382" s="298">
        <v>1.1200000000000001</v>
      </c>
      <c r="J382" s="299" cm="1">
        <f t="array" aca="1" ref="J382" ca="1">INDIRECT("'"&amp;$C382&amp;"'!"&amp;"$"&amp;$D382&amp;$J$1&amp;"")</f>
        <v>0</v>
      </c>
      <c r="K382" s="300"/>
      <c r="L382" s="300" t="s">
        <v>1</v>
      </c>
      <c r="M382" s="298" t="s">
        <v>1</v>
      </c>
      <c r="N382" s="299" cm="1">
        <f t="array" aca="1" ref="N382" ca="1">INDIRECT("'"&amp;$C382&amp;"'!"&amp;"$"&amp;$D382&amp;$N$1&amp;"")</f>
        <v>0</v>
      </c>
      <c r="O382" s="300"/>
      <c r="P382" s="300" t="s">
        <v>1</v>
      </c>
      <c r="Q382" s="298" t="s">
        <v>1</v>
      </c>
      <c r="R382" s="299" cm="1">
        <f t="array" aca="1" ref="R382" ca="1">INDIRECT("'"&amp;$C382&amp;"'!"&amp;"$"&amp;$D382&amp;$R$1&amp;"")</f>
        <v>6.2</v>
      </c>
      <c r="S382" s="300"/>
      <c r="T382" s="300">
        <v>0.96</v>
      </c>
      <c r="U382" s="298">
        <v>1.81</v>
      </c>
      <c r="V382" s="299" t="str" cm="1">
        <f t="array" aca="1" ref="V382" ca="1">INDIRECT("'"&amp;$C382&amp;"'!"&amp;"$"&amp;$D382&amp;$V$1&amp;"")</f>
        <v>CMS</v>
      </c>
      <c r="W382" s="300" t="s">
        <v>1</v>
      </c>
      <c r="X382" s="300" t="s">
        <v>1</v>
      </c>
      <c r="Y382" s="301" t="s">
        <v>1</v>
      </c>
      <c r="Z382" s="387" cm="1">
        <f t="array" aca="1" ref="Z382" ca="1">INDIRECT("'"&amp;$C382&amp;"'!"&amp;"$"&amp;$D382&amp;$Z$1&amp;"")</f>
        <v>0</v>
      </c>
      <c r="AA382" s="299" t="s">
        <v>1</v>
      </c>
      <c r="AB382" s="300" t="s">
        <v>1</v>
      </c>
      <c r="AC382" s="298" t="s">
        <v>1</v>
      </c>
      <c r="AD382" s="299" cm="1">
        <f t="array" aca="1" ref="AD382" ca="1">INDIRECT("'"&amp;$C382&amp;"'!"&amp;"$"&amp;$D382&amp;$AD$1&amp;"")</f>
        <v>0</v>
      </c>
      <c r="AE382" s="300" t="s">
        <v>1</v>
      </c>
      <c r="AF382" s="300" t="s">
        <v>1</v>
      </c>
      <c r="AG382" s="301" t="s">
        <v>1</v>
      </c>
      <c r="AH382" s="297" cm="1">
        <f t="array" aca="1" ref="AH382" ca="1">INDIRECT("'"&amp;$C382&amp;"'!"&amp;"$"&amp;$D382&amp;$AH$1&amp;"")</f>
        <v>3.8</v>
      </c>
      <c r="AI382" s="300">
        <v>14</v>
      </c>
      <c r="AJ382" s="300">
        <v>0.99</v>
      </c>
      <c r="AK382" s="298">
        <v>0.157</v>
      </c>
      <c r="AL382" s="297">
        <v>11.8</v>
      </c>
      <c r="AM382" s="301">
        <v>71.5</v>
      </c>
      <c r="AN382" s="297" cm="1">
        <f t="array" aca="1" ref="AN382" ca="1">INDIRECT("'"&amp;$C382&amp;"'!"&amp;"$"&amp;$D382&amp;$AL$1&amp;"")</f>
        <v>0</v>
      </c>
      <c r="AO382" s="300" t="s">
        <v>1</v>
      </c>
      <c r="AP382" s="298" t="s">
        <v>1</v>
      </c>
      <c r="AQ382" s="299" cm="1">
        <f t="array" aca="1" ref="AQ382" ca="1">INDIRECT("'"&amp;$C382&amp;"'!"&amp;"$"&amp;$D382&amp;$AQ$1&amp;"")</f>
        <v>4.0999999999999996</v>
      </c>
      <c r="AR382" s="300">
        <v>0.97</v>
      </c>
      <c r="AS382" s="298">
        <v>0.55000000000000004</v>
      </c>
      <c r="AT382" s="297">
        <v>14.13</v>
      </c>
      <c r="AU382" s="303">
        <v>71.91</v>
      </c>
      <c r="AV382" s="297" cm="1">
        <f t="array" aca="1" ref="AV382" ca="1">INDIRECT("'"&amp;$C382&amp;"'!"&amp;"$"&amp;$D382&amp;$AT$1&amp;"")</f>
        <v>10.8</v>
      </c>
      <c r="AW382" s="300">
        <v>1</v>
      </c>
      <c r="AX382" s="301">
        <v>1</v>
      </c>
      <c r="AY382" s="387">
        <v>69.2</v>
      </c>
      <c r="AZ382" s="303" cm="1">
        <f t="array" aca="1" ref="AZ382" ca="1">INDIRECT("'"&amp;$C382&amp;"'!"&amp;"$"&amp;$D382&amp;$AY$1&amp;"")</f>
        <v>0</v>
      </c>
      <c r="BA382" s="300" t="s">
        <v>1</v>
      </c>
      <c r="BB382" s="298" t="s">
        <v>1</v>
      </c>
      <c r="BC382" s="299" cm="1">
        <f t="array" aca="1" ref="BC382" ca="1">INDIRECT("'"&amp;$C382&amp;"'!"&amp;"$"&amp;$D382&amp;$BC$1&amp;"")</f>
        <v>0.81</v>
      </c>
      <c r="BD382" s="300"/>
      <c r="BE382" s="300">
        <v>0.99</v>
      </c>
      <c r="BF382" s="298">
        <v>0.11</v>
      </c>
      <c r="BG382" s="299" cm="1">
        <f t="array" aca="1" ref="BG382" ca="1">INDIRECT("'"&amp;$C382&amp;"'!"&amp;"$"&amp;$D382&amp;$BG$1&amp;"")</f>
        <v>0.73</v>
      </c>
      <c r="BH382" s="300"/>
      <c r="BI382" s="300">
        <v>0.96</v>
      </c>
      <c r="BJ382" s="298">
        <v>0.21</v>
      </c>
      <c r="BK382" s="299" cm="1">
        <f t="array" aca="1" ref="BK382" ca="1">INDIRECT("'"&amp;$C382&amp;"'!"&amp;"$"&amp;$D382&amp;$BK$1&amp;"")</f>
        <v>3.15</v>
      </c>
      <c r="BL382" s="300"/>
      <c r="BM382" s="300">
        <v>0.95</v>
      </c>
      <c r="BN382" s="298">
        <v>1</v>
      </c>
    </row>
    <row r="383" spans="1:66" ht="15.75" thickBot="1" x14ac:dyDescent="0.25">
      <c r="A383" s="368">
        <v>45704</v>
      </c>
      <c r="B383" s="365">
        <v>0.125</v>
      </c>
      <c r="C383" s="383">
        <v>16</v>
      </c>
      <c r="D383" s="319" t="s">
        <v>113</v>
      </c>
      <c r="E383" s="290">
        <v>14.2</v>
      </c>
      <c r="F383" s="291">
        <v>70.760000000000005</v>
      </c>
      <c r="G383" s="292" cm="1">
        <f t="array" aca="1" ref="G383" ca="1">INDIRECT("'"&amp;$C383&amp;"'!"&amp;"$"&amp;$D383&amp;$E$1&amp;"")</f>
        <v>6</v>
      </c>
      <c r="H383" s="293">
        <v>0.98</v>
      </c>
      <c r="I383" s="291">
        <v>1.1000000000000001</v>
      </c>
      <c r="J383" s="292" cm="1">
        <f t="array" aca="1" ref="J383" ca="1">INDIRECT("'"&amp;$C383&amp;"'!"&amp;"$"&amp;$D383&amp;$J$1&amp;"")</f>
        <v>0</v>
      </c>
      <c r="K383" s="293"/>
      <c r="L383" s="293" t="s">
        <v>1</v>
      </c>
      <c r="M383" s="291" t="s">
        <v>1</v>
      </c>
      <c r="N383" s="292" cm="1">
        <f t="array" aca="1" ref="N383" ca="1">INDIRECT("'"&amp;$C383&amp;"'!"&amp;"$"&amp;$D383&amp;$N$1&amp;"")</f>
        <v>0</v>
      </c>
      <c r="O383" s="293"/>
      <c r="P383" s="293" t="s">
        <v>1</v>
      </c>
      <c r="Q383" s="291" t="s">
        <v>1</v>
      </c>
      <c r="R383" s="292" cm="1">
        <f t="array" aca="1" ref="R383" ca="1">INDIRECT("'"&amp;$C383&amp;"'!"&amp;"$"&amp;$D383&amp;$R$1&amp;"")</f>
        <v>6.1</v>
      </c>
      <c r="S383" s="293"/>
      <c r="T383" s="293">
        <v>0.97</v>
      </c>
      <c r="U383" s="291">
        <v>1.65</v>
      </c>
      <c r="V383" s="292" t="str" cm="1">
        <f t="array" aca="1" ref="V383" ca="1">INDIRECT("'"&amp;$C383&amp;"'!"&amp;"$"&amp;$D383&amp;$V$1&amp;"")</f>
        <v>CMS</v>
      </c>
      <c r="W383" s="293" t="s">
        <v>1</v>
      </c>
      <c r="X383" s="293" t="s">
        <v>1</v>
      </c>
      <c r="Y383" s="294" t="s">
        <v>1</v>
      </c>
      <c r="Z383" s="386" cm="1">
        <f t="array" aca="1" ref="Z383" ca="1">INDIRECT("'"&amp;$C383&amp;"'!"&amp;"$"&amp;$D383&amp;$Z$1&amp;"")</f>
        <v>0</v>
      </c>
      <c r="AA383" s="292" t="s">
        <v>1</v>
      </c>
      <c r="AB383" s="293" t="s">
        <v>1</v>
      </c>
      <c r="AC383" s="291" t="s">
        <v>1</v>
      </c>
      <c r="AD383" s="292" cm="1">
        <f t="array" aca="1" ref="AD383" ca="1">INDIRECT("'"&amp;$C383&amp;"'!"&amp;"$"&amp;$D383&amp;$AD$1&amp;"")</f>
        <v>0</v>
      </c>
      <c r="AE383" s="293" t="s">
        <v>1</v>
      </c>
      <c r="AF383" s="293" t="s">
        <v>1</v>
      </c>
      <c r="AG383" s="294" t="s">
        <v>1</v>
      </c>
      <c r="AH383" s="290" cm="1">
        <f t="array" aca="1" ref="AH383" ca="1">INDIRECT("'"&amp;$C383&amp;"'!"&amp;"$"&amp;$D383&amp;$AH$1&amp;"")</f>
        <v>3.8</v>
      </c>
      <c r="AI383" s="293">
        <v>14</v>
      </c>
      <c r="AJ383" s="293">
        <v>1</v>
      </c>
      <c r="AK383" s="291">
        <v>7.4999999999999997E-2</v>
      </c>
      <c r="AL383" s="290">
        <v>11.9</v>
      </c>
      <c r="AM383" s="294">
        <v>71.5</v>
      </c>
      <c r="AN383" s="290" cm="1">
        <f t="array" aca="1" ref="AN383" ca="1">INDIRECT("'"&amp;$C383&amp;"'!"&amp;"$"&amp;$D383&amp;$AL$1&amp;"")</f>
        <v>0</v>
      </c>
      <c r="AO383" s="293" t="s">
        <v>1</v>
      </c>
      <c r="AP383" s="291" t="s">
        <v>1</v>
      </c>
      <c r="AQ383" s="292" cm="1">
        <f t="array" aca="1" ref="AQ383" ca="1">INDIRECT("'"&amp;$C383&amp;"'!"&amp;"$"&amp;$D383&amp;$AQ$1&amp;"")</f>
        <v>1.9</v>
      </c>
      <c r="AR383" s="293">
        <v>0.98</v>
      </c>
      <c r="AS383" s="291">
        <v>0.28999999999999998</v>
      </c>
      <c r="AT383" s="290">
        <v>14.13</v>
      </c>
      <c r="AU383" s="296">
        <v>71.91</v>
      </c>
      <c r="AV383" s="290" cm="1">
        <f t="array" aca="1" ref="AV383" ca="1">INDIRECT("'"&amp;$C383&amp;"'!"&amp;"$"&amp;$D383&amp;$AT$1&amp;"")</f>
        <v>9.77</v>
      </c>
      <c r="AW383" s="293">
        <v>1</v>
      </c>
      <c r="AX383" s="294">
        <v>0.9</v>
      </c>
      <c r="AY383" s="386">
        <v>69.400000000000006</v>
      </c>
      <c r="AZ383" s="296" cm="1">
        <f t="array" aca="1" ref="AZ383" ca="1">INDIRECT("'"&amp;$C383&amp;"'!"&amp;"$"&amp;$D383&amp;$AY$1&amp;"")</f>
        <v>0</v>
      </c>
      <c r="BA383" s="293" t="s">
        <v>1</v>
      </c>
      <c r="BB383" s="291" t="s">
        <v>1</v>
      </c>
      <c r="BC383" s="292" cm="1">
        <f t="array" aca="1" ref="BC383" ca="1">INDIRECT("'"&amp;$C383&amp;"'!"&amp;"$"&amp;$D383&amp;$BC$1&amp;"")</f>
        <v>0.78</v>
      </c>
      <c r="BD383" s="293"/>
      <c r="BE383" s="293">
        <v>0.99</v>
      </c>
      <c r="BF383" s="291">
        <v>0.1</v>
      </c>
      <c r="BG383" s="292" cm="1">
        <f t="array" aca="1" ref="BG383" ca="1">INDIRECT("'"&amp;$C383&amp;"'!"&amp;"$"&amp;$D383&amp;$BG$1&amp;"")</f>
        <v>0.71</v>
      </c>
      <c r="BH383" s="293"/>
      <c r="BI383" s="293">
        <v>0.96</v>
      </c>
      <c r="BJ383" s="291">
        <v>0.2</v>
      </c>
      <c r="BK383" s="292" cm="1">
        <f t="array" aca="1" ref="BK383" ca="1">INDIRECT("'"&amp;$C383&amp;"'!"&amp;"$"&amp;$D383&amp;$BK$1&amp;"")</f>
        <v>3.07</v>
      </c>
      <c r="BL383" s="293"/>
      <c r="BM383" s="293">
        <v>0.9</v>
      </c>
      <c r="BN383" s="291">
        <v>1</v>
      </c>
    </row>
    <row r="384" spans="1:66" ht="15.75" thickBot="1" x14ac:dyDescent="0.25">
      <c r="A384" s="368">
        <v>45704</v>
      </c>
      <c r="B384" s="365">
        <v>0.16666666666666699</v>
      </c>
      <c r="C384" s="383">
        <v>16</v>
      </c>
      <c r="D384" s="319" t="s">
        <v>114</v>
      </c>
      <c r="E384" s="297">
        <v>14.2</v>
      </c>
      <c r="F384" s="298">
        <v>70.739999999999995</v>
      </c>
      <c r="G384" s="299" cm="1">
        <f t="array" aca="1" ref="G384" ca="1">INDIRECT("'"&amp;$C384&amp;"'!"&amp;"$"&amp;$D384&amp;$E$1&amp;"")</f>
        <v>5.9</v>
      </c>
      <c r="H384" s="300">
        <v>0.98</v>
      </c>
      <c r="I384" s="298">
        <v>1.1399999999999999</v>
      </c>
      <c r="J384" s="299" cm="1">
        <f t="array" aca="1" ref="J384" ca="1">INDIRECT("'"&amp;$C384&amp;"'!"&amp;"$"&amp;$D384&amp;$J$1&amp;"")</f>
        <v>0</v>
      </c>
      <c r="K384" s="300"/>
      <c r="L384" s="300" t="s">
        <v>1</v>
      </c>
      <c r="M384" s="298" t="s">
        <v>1</v>
      </c>
      <c r="N384" s="299" cm="1">
        <f t="array" aca="1" ref="N384" ca="1">INDIRECT("'"&amp;$C384&amp;"'!"&amp;"$"&amp;$D384&amp;$N$1&amp;"")</f>
        <v>0</v>
      </c>
      <c r="O384" s="300"/>
      <c r="P384" s="300" t="s">
        <v>1</v>
      </c>
      <c r="Q384" s="298" t="s">
        <v>1</v>
      </c>
      <c r="R384" s="299" cm="1">
        <f t="array" aca="1" ref="R384" ca="1">INDIRECT("'"&amp;$C384&amp;"'!"&amp;"$"&amp;$D384&amp;$R$1&amp;"")</f>
        <v>6</v>
      </c>
      <c r="S384" s="300"/>
      <c r="T384" s="300">
        <v>0.97</v>
      </c>
      <c r="U384" s="298">
        <v>1.54</v>
      </c>
      <c r="V384" s="299" t="str" cm="1">
        <f t="array" aca="1" ref="V384" ca="1">INDIRECT("'"&amp;$C384&amp;"'!"&amp;"$"&amp;$D384&amp;$V$1&amp;"")</f>
        <v>CMS</v>
      </c>
      <c r="W384" s="300" t="s">
        <v>1</v>
      </c>
      <c r="X384" s="300" t="s">
        <v>1</v>
      </c>
      <c r="Y384" s="301" t="s">
        <v>1</v>
      </c>
      <c r="Z384" s="387" cm="1">
        <f t="array" aca="1" ref="Z384" ca="1">INDIRECT("'"&amp;$C384&amp;"'!"&amp;"$"&amp;$D384&amp;$Z$1&amp;"")</f>
        <v>0</v>
      </c>
      <c r="AA384" s="299" t="s">
        <v>1</v>
      </c>
      <c r="AB384" s="300" t="s">
        <v>1</v>
      </c>
      <c r="AC384" s="298" t="s">
        <v>1</v>
      </c>
      <c r="AD384" s="299" cm="1">
        <f t="array" aca="1" ref="AD384" ca="1">INDIRECT("'"&amp;$C384&amp;"'!"&amp;"$"&amp;$D384&amp;$AD$1&amp;"")</f>
        <v>0</v>
      </c>
      <c r="AE384" s="300" t="s">
        <v>1</v>
      </c>
      <c r="AF384" s="300" t="s">
        <v>1</v>
      </c>
      <c r="AG384" s="301" t="s">
        <v>1</v>
      </c>
      <c r="AH384" s="297" cm="1">
        <f t="array" aca="1" ref="AH384" ca="1">INDIRECT("'"&amp;$C384&amp;"'!"&amp;"$"&amp;$D384&amp;$AH$1&amp;"")</f>
        <v>3.8</v>
      </c>
      <c r="AI384" s="300">
        <v>14</v>
      </c>
      <c r="AJ384" s="300">
        <v>1</v>
      </c>
      <c r="AK384" s="298">
        <v>6.9000000000000006E-2</v>
      </c>
      <c r="AL384" s="297">
        <v>11.9</v>
      </c>
      <c r="AM384" s="301">
        <v>71.5</v>
      </c>
      <c r="AN384" s="297" cm="1">
        <f t="array" aca="1" ref="AN384" ca="1">INDIRECT("'"&amp;$C384&amp;"'!"&amp;"$"&amp;$D384&amp;$AL$1&amp;"")</f>
        <v>0</v>
      </c>
      <c r="AO384" s="300" t="s">
        <v>1</v>
      </c>
      <c r="AP384" s="298" t="s">
        <v>1</v>
      </c>
      <c r="AQ384" s="299" cm="1">
        <f t="array" aca="1" ref="AQ384" ca="1">INDIRECT("'"&amp;$C384&amp;"'!"&amp;"$"&amp;$D384&amp;$AQ$1&amp;"")</f>
        <v>1.9</v>
      </c>
      <c r="AR384" s="300">
        <v>0.98</v>
      </c>
      <c r="AS384" s="298">
        <v>0.33</v>
      </c>
      <c r="AT384" s="297">
        <v>14.1</v>
      </c>
      <c r="AU384" s="303">
        <v>71.849999999999994</v>
      </c>
      <c r="AV384" s="297" cm="1">
        <f t="array" aca="1" ref="AV384" ca="1">INDIRECT("'"&amp;$C384&amp;"'!"&amp;"$"&amp;$D384&amp;$AT$1&amp;"")</f>
        <v>9.4600000000000009</v>
      </c>
      <c r="AW384" s="300">
        <v>1</v>
      </c>
      <c r="AX384" s="301">
        <v>0.9</v>
      </c>
      <c r="AY384" s="387">
        <v>69.400000000000006</v>
      </c>
      <c r="AZ384" s="303" cm="1">
        <f t="array" aca="1" ref="AZ384" ca="1">INDIRECT("'"&amp;$C384&amp;"'!"&amp;"$"&amp;$D384&amp;$AY$1&amp;"")</f>
        <v>0</v>
      </c>
      <c r="BA384" s="300" t="s">
        <v>1</v>
      </c>
      <c r="BB384" s="298" t="s">
        <v>1</v>
      </c>
      <c r="BC384" s="299" cm="1">
        <f t="array" aca="1" ref="BC384" ca="1">INDIRECT("'"&amp;$C384&amp;"'!"&amp;"$"&amp;$D384&amp;$BC$1&amp;"")</f>
        <v>0.77</v>
      </c>
      <c r="BD384" s="300"/>
      <c r="BE384" s="300">
        <v>0.98</v>
      </c>
      <c r="BF384" s="298">
        <v>0.9</v>
      </c>
      <c r="BG384" s="299" cm="1">
        <f t="array" aca="1" ref="BG384" ca="1">INDIRECT("'"&amp;$C384&amp;"'!"&amp;"$"&amp;$D384&amp;$BG$1&amp;"")</f>
        <v>0.68</v>
      </c>
      <c r="BH384" s="300"/>
      <c r="BI384" s="300">
        <v>0.96</v>
      </c>
      <c r="BJ384" s="298">
        <v>0.19</v>
      </c>
      <c r="BK384" s="299" cm="1">
        <f t="array" aca="1" ref="BK384" ca="1">INDIRECT("'"&amp;$C384&amp;"'!"&amp;"$"&amp;$D384&amp;$BK$1&amp;"")</f>
        <v>3.09</v>
      </c>
      <c r="BL384" s="300"/>
      <c r="BM384" s="300">
        <v>0.95</v>
      </c>
      <c r="BN384" s="298">
        <v>1</v>
      </c>
    </row>
    <row r="385" spans="1:66" ht="15.75" thickBot="1" x14ac:dyDescent="0.25">
      <c r="A385" s="368">
        <v>45704</v>
      </c>
      <c r="B385" s="365">
        <v>0.20833333333333301</v>
      </c>
      <c r="C385" s="383">
        <v>16</v>
      </c>
      <c r="D385" s="319" t="s">
        <v>115</v>
      </c>
      <c r="E385" s="290">
        <v>14.2</v>
      </c>
      <c r="F385" s="291">
        <v>70.569999999999993</v>
      </c>
      <c r="G385" s="292" cm="1">
        <f t="array" aca="1" ref="G385" ca="1">INDIRECT("'"&amp;$C385&amp;"'!"&amp;"$"&amp;$D385&amp;$E$1&amp;"")</f>
        <v>5.9</v>
      </c>
      <c r="H385" s="293">
        <v>0.98</v>
      </c>
      <c r="I385" s="291">
        <v>1.1399999999999999</v>
      </c>
      <c r="J385" s="292" cm="1">
        <f t="array" aca="1" ref="J385" ca="1">INDIRECT("'"&amp;$C385&amp;"'!"&amp;"$"&amp;$D385&amp;$J$1&amp;"")</f>
        <v>0</v>
      </c>
      <c r="K385" s="293"/>
      <c r="L385" s="293" t="s">
        <v>1</v>
      </c>
      <c r="M385" s="291" t="s">
        <v>1</v>
      </c>
      <c r="N385" s="292" cm="1">
        <f t="array" aca="1" ref="N385" ca="1">INDIRECT("'"&amp;$C385&amp;"'!"&amp;"$"&amp;$D385&amp;$N$1&amp;"")</f>
        <v>0</v>
      </c>
      <c r="O385" s="293"/>
      <c r="P385" s="293" t="s">
        <v>1</v>
      </c>
      <c r="Q385" s="291" t="s">
        <v>1</v>
      </c>
      <c r="R385" s="292" cm="1">
        <f t="array" aca="1" ref="R385" ca="1">INDIRECT("'"&amp;$C385&amp;"'!"&amp;"$"&amp;$D385&amp;$R$1&amp;"")</f>
        <v>6</v>
      </c>
      <c r="S385" s="293"/>
      <c r="T385" s="293">
        <v>0.98</v>
      </c>
      <c r="U385" s="291">
        <v>1.18</v>
      </c>
      <c r="V385" s="292" t="str" cm="1">
        <f t="array" aca="1" ref="V385" ca="1">INDIRECT("'"&amp;$C385&amp;"'!"&amp;"$"&amp;$D385&amp;$V$1&amp;"")</f>
        <v>CMS</v>
      </c>
      <c r="W385" s="293" t="s">
        <v>1</v>
      </c>
      <c r="X385" s="293" t="s">
        <v>1</v>
      </c>
      <c r="Y385" s="294" t="s">
        <v>1</v>
      </c>
      <c r="Z385" s="386" cm="1">
        <f t="array" aca="1" ref="Z385" ca="1">INDIRECT("'"&amp;$C385&amp;"'!"&amp;"$"&amp;$D385&amp;$Z$1&amp;"")</f>
        <v>0</v>
      </c>
      <c r="AA385" s="292" t="s">
        <v>1</v>
      </c>
      <c r="AB385" s="293" t="s">
        <v>1</v>
      </c>
      <c r="AC385" s="291" t="s">
        <v>1</v>
      </c>
      <c r="AD385" s="292" cm="1">
        <f t="array" aca="1" ref="AD385" ca="1">INDIRECT("'"&amp;$C385&amp;"'!"&amp;"$"&amp;$D385&amp;$AD$1&amp;"")</f>
        <v>0</v>
      </c>
      <c r="AE385" s="293" t="s">
        <v>1</v>
      </c>
      <c r="AF385" s="293" t="s">
        <v>1</v>
      </c>
      <c r="AG385" s="294" t="s">
        <v>1</v>
      </c>
      <c r="AH385" s="290" cm="1">
        <f t="array" aca="1" ref="AH385" ca="1">INDIRECT("'"&amp;$C385&amp;"'!"&amp;"$"&amp;$D385&amp;$AH$1&amp;"")</f>
        <v>3.8</v>
      </c>
      <c r="AI385" s="293">
        <v>14</v>
      </c>
      <c r="AJ385" s="293">
        <v>1</v>
      </c>
      <c r="AK385" s="291">
        <v>9.5000000000000001E-2</v>
      </c>
      <c r="AL385" s="290">
        <v>11.9</v>
      </c>
      <c r="AM385" s="294">
        <v>71.5</v>
      </c>
      <c r="AN385" s="290" cm="1">
        <f t="array" aca="1" ref="AN385" ca="1">INDIRECT("'"&amp;$C385&amp;"'!"&amp;"$"&amp;$D385&amp;$AL$1&amp;"")</f>
        <v>0</v>
      </c>
      <c r="AO385" s="293" t="s">
        <v>1</v>
      </c>
      <c r="AP385" s="291" t="s">
        <v>1</v>
      </c>
      <c r="AQ385" s="292" cm="1">
        <f t="array" aca="1" ref="AQ385" ca="1">INDIRECT("'"&amp;$C385&amp;"'!"&amp;"$"&amp;$D385&amp;$AQ$1&amp;"")</f>
        <v>2.1</v>
      </c>
      <c r="AR385" s="293">
        <v>0.98</v>
      </c>
      <c r="AS385" s="291">
        <v>0.37</v>
      </c>
      <c r="AT385" s="290">
        <v>14.08</v>
      </c>
      <c r="AU385" s="296">
        <v>71.73</v>
      </c>
      <c r="AV385" s="290" cm="1">
        <f t="array" aca="1" ref="AV385" ca="1">INDIRECT("'"&amp;$C385&amp;"'!"&amp;"$"&amp;$D385&amp;$AT$1&amp;"")</f>
        <v>8.92</v>
      </c>
      <c r="AW385" s="293">
        <v>1</v>
      </c>
      <c r="AX385" s="294">
        <v>0.8</v>
      </c>
      <c r="AY385" s="386">
        <v>68.400000000000006</v>
      </c>
      <c r="AZ385" s="296" cm="1">
        <f t="array" aca="1" ref="AZ385" ca="1">INDIRECT("'"&amp;$C385&amp;"'!"&amp;"$"&amp;$D385&amp;$AY$1&amp;"")</f>
        <v>0</v>
      </c>
      <c r="BA385" s="293" t="s">
        <v>1</v>
      </c>
      <c r="BB385" s="291" t="s">
        <v>1</v>
      </c>
      <c r="BC385" s="292" cm="1">
        <f t="array" aca="1" ref="BC385" ca="1">INDIRECT("'"&amp;$C385&amp;"'!"&amp;"$"&amp;$D385&amp;$BC$1&amp;"")</f>
        <v>0.78</v>
      </c>
      <c r="BD385" s="293"/>
      <c r="BE385" s="293">
        <v>0.99</v>
      </c>
      <c r="BF385" s="291">
        <v>0.09</v>
      </c>
      <c r="BG385" s="292" cm="1">
        <f t="array" aca="1" ref="BG385" ca="1">INDIRECT("'"&amp;$C385&amp;"'!"&amp;"$"&amp;$D385&amp;$BG$1&amp;"")</f>
        <v>0.78</v>
      </c>
      <c r="BH385" s="293"/>
      <c r="BI385" s="293">
        <v>0.96</v>
      </c>
      <c r="BJ385" s="291">
        <v>0.18</v>
      </c>
      <c r="BK385" s="292" cm="1">
        <f t="array" aca="1" ref="BK385" ca="1">INDIRECT("'"&amp;$C385&amp;"'!"&amp;"$"&amp;$D385&amp;$BK$1&amp;"")</f>
        <v>3.08</v>
      </c>
      <c r="BL385" s="293"/>
      <c r="BM385" s="293">
        <v>0.95</v>
      </c>
      <c r="BN385" s="291">
        <v>1</v>
      </c>
    </row>
    <row r="386" spans="1:66" ht="15.75" thickBot="1" x14ac:dyDescent="0.25">
      <c r="A386" s="368">
        <v>45704</v>
      </c>
      <c r="B386" s="365">
        <v>0.25</v>
      </c>
      <c r="C386" s="383">
        <v>16</v>
      </c>
      <c r="D386" s="319" t="s">
        <v>116</v>
      </c>
      <c r="E386" s="297">
        <v>14.2</v>
      </c>
      <c r="F386" s="298">
        <v>70.63</v>
      </c>
      <c r="G386" s="299" cm="1">
        <f t="array" aca="1" ref="G386" ca="1">INDIRECT("'"&amp;$C386&amp;"'!"&amp;"$"&amp;$D386&amp;$E$1&amp;"")</f>
        <v>6.1</v>
      </c>
      <c r="H386" s="300">
        <v>0.98</v>
      </c>
      <c r="I386" s="298">
        <v>1.72</v>
      </c>
      <c r="J386" s="299" cm="1">
        <f t="array" aca="1" ref="J386" ca="1">INDIRECT("'"&amp;$C386&amp;"'!"&amp;"$"&amp;$D386&amp;$J$1&amp;"")</f>
        <v>0</v>
      </c>
      <c r="K386" s="300"/>
      <c r="L386" s="300" t="s">
        <v>1</v>
      </c>
      <c r="M386" s="298" t="s">
        <v>1</v>
      </c>
      <c r="N386" s="299" cm="1">
        <f t="array" aca="1" ref="N386" ca="1">INDIRECT("'"&amp;$C386&amp;"'!"&amp;"$"&amp;$D386&amp;$N$1&amp;"")</f>
        <v>0</v>
      </c>
      <c r="O386" s="300"/>
      <c r="P386" s="300" t="s">
        <v>1</v>
      </c>
      <c r="Q386" s="298" t="s">
        <v>1</v>
      </c>
      <c r="R386" s="299" cm="1">
        <f t="array" aca="1" ref="R386" ca="1">INDIRECT("'"&amp;$C386&amp;"'!"&amp;"$"&amp;$D386&amp;$R$1&amp;"")</f>
        <v>6.2</v>
      </c>
      <c r="S386" s="300"/>
      <c r="T386" s="300">
        <v>0.98</v>
      </c>
      <c r="U386" s="298">
        <v>1.75</v>
      </c>
      <c r="V386" s="299" t="str" cm="1">
        <f t="array" aca="1" ref="V386" ca="1">INDIRECT("'"&amp;$C386&amp;"'!"&amp;"$"&amp;$D386&amp;$V$1&amp;"")</f>
        <v>CMS</v>
      </c>
      <c r="W386" s="300" t="s">
        <v>1</v>
      </c>
      <c r="X386" s="300" t="s">
        <v>1</v>
      </c>
      <c r="Y386" s="301" t="s">
        <v>1</v>
      </c>
      <c r="Z386" s="387" cm="1">
        <f t="array" aca="1" ref="Z386" ca="1">INDIRECT("'"&amp;$C386&amp;"'!"&amp;"$"&amp;$D386&amp;$Z$1&amp;"")</f>
        <v>0</v>
      </c>
      <c r="AA386" s="299" t="s">
        <v>1</v>
      </c>
      <c r="AB386" s="300" t="s">
        <v>1</v>
      </c>
      <c r="AC386" s="298" t="s">
        <v>1</v>
      </c>
      <c r="AD386" s="299" cm="1">
        <f t="array" aca="1" ref="AD386" ca="1">INDIRECT("'"&amp;$C386&amp;"'!"&amp;"$"&amp;$D386&amp;$AD$1&amp;"")</f>
        <v>0</v>
      </c>
      <c r="AE386" s="300" t="s">
        <v>1</v>
      </c>
      <c r="AF386" s="300" t="s">
        <v>1</v>
      </c>
      <c r="AG386" s="301" t="s">
        <v>1</v>
      </c>
      <c r="AH386" s="297" cm="1">
        <f t="array" aca="1" ref="AH386" ca="1">INDIRECT("'"&amp;$C386&amp;"'!"&amp;"$"&amp;$D386&amp;$AH$1&amp;"")</f>
        <v>3.8</v>
      </c>
      <c r="AI386" s="300">
        <v>14</v>
      </c>
      <c r="AJ386" s="300">
        <v>0.99</v>
      </c>
      <c r="AK386" s="298">
        <v>0.17599999999999999</v>
      </c>
      <c r="AL386" s="297">
        <v>11.9</v>
      </c>
      <c r="AM386" s="301">
        <v>71.3</v>
      </c>
      <c r="AN386" s="297" cm="1">
        <f t="array" aca="1" ref="AN386" ca="1">INDIRECT("'"&amp;$C386&amp;"'!"&amp;"$"&amp;$D386&amp;$AL$1&amp;"")</f>
        <v>0</v>
      </c>
      <c r="AO386" s="300" t="s">
        <v>1</v>
      </c>
      <c r="AP386" s="298" t="s">
        <v>1</v>
      </c>
      <c r="AQ386" s="299" cm="1">
        <f t="array" aca="1" ref="AQ386" ca="1">INDIRECT("'"&amp;$C386&amp;"'!"&amp;"$"&amp;$D386&amp;$AQ$1&amp;"")</f>
        <v>2.1</v>
      </c>
      <c r="AR386" s="300">
        <v>0.98</v>
      </c>
      <c r="AS386" s="298">
        <v>0.37</v>
      </c>
      <c r="AT386" s="297">
        <v>14.07</v>
      </c>
      <c r="AU386" s="301">
        <v>71.69</v>
      </c>
      <c r="AV386" s="297" cm="1">
        <f t="array" aca="1" ref="AV386" ca="1">INDIRECT("'"&amp;$C386&amp;"'!"&amp;"$"&amp;$D386&amp;$AT$1&amp;"")</f>
        <v>8.7799999999999994</v>
      </c>
      <c r="AW386" s="300">
        <v>1</v>
      </c>
      <c r="AX386" s="301">
        <v>0.8</v>
      </c>
      <c r="AY386" s="387">
        <v>69.400000000000006</v>
      </c>
      <c r="AZ386" s="303" cm="1">
        <f t="array" aca="1" ref="AZ386" ca="1">INDIRECT("'"&amp;$C386&amp;"'!"&amp;"$"&amp;$D386&amp;$AY$1&amp;"")</f>
        <v>0</v>
      </c>
      <c r="BA386" s="300" t="s">
        <v>1</v>
      </c>
      <c r="BB386" s="298" t="s">
        <v>1</v>
      </c>
      <c r="BC386" s="299" cm="1">
        <f t="array" aca="1" ref="BC386" ca="1">INDIRECT("'"&amp;$C386&amp;"'!"&amp;"$"&amp;$D386&amp;$BC$1&amp;"")</f>
        <v>0.82</v>
      </c>
      <c r="BD386" s="300"/>
      <c r="BE386" s="300">
        <v>0.99</v>
      </c>
      <c r="BF386" s="298">
        <v>0.1</v>
      </c>
      <c r="BG386" s="299" cm="1">
        <f t="array" aca="1" ref="BG386" ca="1">INDIRECT("'"&amp;$C386&amp;"'!"&amp;"$"&amp;$D386&amp;$BG$1&amp;"")</f>
        <v>0.72</v>
      </c>
      <c r="BH386" s="300"/>
      <c r="BI386" s="300">
        <v>0.98</v>
      </c>
      <c r="BJ386" s="298">
        <v>0.22</v>
      </c>
      <c r="BK386" s="299" cm="1">
        <f t="array" aca="1" ref="BK386" ca="1">INDIRECT("'"&amp;$C386&amp;"'!"&amp;"$"&amp;$D386&amp;$BK$1&amp;"")</f>
        <v>0</v>
      </c>
      <c r="BL386" s="300"/>
      <c r="BM386" s="300" t="s">
        <v>1</v>
      </c>
      <c r="BN386" s="298" t="s">
        <v>1</v>
      </c>
    </row>
    <row r="387" spans="1:66" ht="15.75" thickBot="1" x14ac:dyDescent="0.25">
      <c r="A387" s="368">
        <v>45704</v>
      </c>
      <c r="B387" s="365">
        <v>0.29166666666666702</v>
      </c>
      <c r="C387" s="383">
        <v>16</v>
      </c>
      <c r="D387" s="319" t="s">
        <v>117</v>
      </c>
      <c r="E387" s="290">
        <v>14.1</v>
      </c>
      <c r="F387" s="291">
        <v>70.52</v>
      </c>
      <c r="G387" s="292" cm="1">
        <f t="array" aca="1" ref="G387" ca="1">INDIRECT("'"&amp;$C387&amp;"'!"&amp;"$"&amp;$D387&amp;$E$1&amp;"")</f>
        <v>6.3</v>
      </c>
      <c r="H387" s="293">
        <v>0.98</v>
      </c>
      <c r="I387" s="291">
        <v>1.31</v>
      </c>
      <c r="J387" s="292" cm="1">
        <f t="array" aca="1" ref="J387" ca="1">INDIRECT("'"&amp;$C387&amp;"'!"&amp;"$"&amp;$D387&amp;$J$1&amp;"")</f>
        <v>0</v>
      </c>
      <c r="K387" s="293"/>
      <c r="L387" s="293" t="s">
        <v>1</v>
      </c>
      <c r="M387" s="291" t="s">
        <v>1</v>
      </c>
      <c r="N387" s="292" cm="1">
        <f t="array" aca="1" ref="N387" ca="1">INDIRECT("'"&amp;$C387&amp;"'!"&amp;"$"&amp;$D387&amp;$N$1&amp;"")</f>
        <v>0</v>
      </c>
      <c r="O387" s="293"/>
      <c r="P387" s="293" t="s">
        <v>1</v>
      </c>
      <c r="Q387" s="291" t="s">
        <v>1</v>
      </c>
      <c r="R387" s="292" cm="1">
        <f t="array" aca="1" ref="R387" ca="1">INDIRECT("'"&amp;$C387&amp;"'!"&amp;"$"&amp;$D387&amp;$R$1&amp;"")</f>
        <v>6.4</v>
      </c>
      <c r="S387" s="293"/>
      <c r="T387" s="293">
        <v>0.96</v>
      </c>
      <c r="U387" s="291">
        <v>1.99</v>
      </c>
      <c r="V387" s="292" t="str" cm="1">
        <f t="array" aca="1" ref="V387" ca="1">INDIRECT("'"&amp;$C387&amp;"'!"&amp;"$"&amp;$D387&amp;$V$1&amp;"")</f>
        <v>CMS</v>
      </c>
      <c r="W387" s="293" t="s">
        <v>1</v>
      </c>
      <c r="X387" s="293" t="s">
        <v>1</v>
      </c>
      <c r="Y387" s="294" t="s">
        <v>1</v>
      </c>
      <c r="Z387" s="386" cm="1">
        <f t="array" aca="1" ref="Z387" ca="1">INDIRECT("'"&amp;$C387&amp;"'!"&amp;"$"&amp;$D387&amp;$Z$1&amp;"")</f>
        <v>0</v>
      </c>
      <c r="AA387" s="292" t="s">
        <v>1</v>
      </c>
      <c r="AB387" s="293" t="s">
        <v>1</v>
      </c>
      <c r="AC387" s="291" t="s">
        <v>1</v>
      </c>
      <c r="AD387" s="292" cm="1">
        <f t="array" aca="1" ref="AD387" ca="1">INDIRECT("'"&amp;$C387&amp;"'!"&amp;"$"&amp;$D387&amp;$AD$1&amp;"")</f>
        <v>0</v>
      </c>
      <c r="AE387" s="293" t="s">
        <v>1</v>
      </c>
      <c r="AF387" s="293" t="s">
        <v>1</v>
      </c>
      <c r="AG387" s="294" t="s">
        <v>1</v>
      </c>
      <c r="AH387" s="290" cm="1">
        <f t="array" aca="1" ref="AH387" ca="1">INDIRECT("'"&amp;$C387&amp;"'!"&amp;"$"&amp;$D387&amp;$AH$1&amp;"")</f>
        <v>3.8</v>
      </c>
      <c r="AI387" s="293">
        <v>13.96</v>
      </c>
      <c r="AJ387" s="293">
        <v>0.99</v>
      </c>
      <c r="AK387" s="291">
        <v>0.21199999999999999</v>
      </c>
      <c r="AL387" s="290">
        <v>11.9</v>
      </c>
      <c r="AM387" s="294">
        <v>71.3</v>
      </c>
      <c r="AN387" s="290" cm="1">
        <f t="array" aca="1" ref="AN387" ca="1">INDIRECT("'"&amp;$C387&amp;"'!"&amp;"$"&amp;$D387&amp;$AL$1&amp;"")</f>
        <v>0</v>
      </c>
      <c r="AO387" s="293" t="s">
        <v>1</v>
      </c>
      <c r="AP387" s="291" t="s">
        <v>1</v>
      </c>
      <c r="AQ387" s="292" cm="1">
        <f t="array" aca="1" ref="AQ387" ca="1">INDIRECT("'"&amp;$C387&amp;"'!"&amp;"$"&amp;$D387&amp;$AQ$1&amp;"")</f>
        <v>2</v>
      </c>
      <c r="AR387" s="293">
        <v>0.97</v>
      </c>
      <c r="AS387" s="291">
        <v>0.47</v>
      </c>
      <c r="AT387" s="290">
        <v>14.09</v>
      </c>
      <c r="AU387" s="294">
        <v>71.73</v>
      </c>
      <c r="AV387" s="290" cm="1">
        <f t="array" aca="1" ref="AV387" ca="1">INDIRECT("'"&amp;$C387&amp;"'!"&amp;"$"&amp;$D387&amp;$AT$1&amp;"")</f>
        <v>9.93</v>
      </c>
      <c r="AW387" s="293">
        <v>1</v>
      </c>
      <c r="AX387" s="294">
        <v>0.9</v>
      </c>
      <c r="AY387" s="386">
        <v>69.099999999999994</v>
      </c>
      <c r="AZ387" s="296" cm="1">
        <f t="array" aca="1" ref="AZ387" ca="1">INDIRECT("'"&amp;$C387&amp;"'!"&amp;"$"&amp;$D387&amp;$AY$1&amp;"")</f>
        <v>0.8</v>
      </c>
      <c r="BA387" s="293">
        <v>0.97</v>
      </c>
      <c r="BB387" s="291">
        <v>0.23</v>
      </c>
      <c r="BC387" s="292" cm="1">
        <f t="array" aca="1" ref="BC387" ca="1">INDIRECT("'"&amp;$C387&amp;"'!"&amp;"$"&amp;$D387&amp;$BC$1&amp;"")</f>
        <v>0.98</v>
      </c>
      <c r="BD387" s="293"/>
      <c r="BE387" s="293">
        <v>0.99</v>
      </c>
      <c r="BF387" s="291">
        <v>0.12</v>
      </c>
      <c r="BG387" s="292" cm="1">
        <f t="array" aca="1" ref="BG387" ca="1">INDIRECT("'"&amp;$C387&amp;"'!"&amp;"$"&amp;$D387&amp;$BG$1&amp;"")</f>
        <v>0.68</v>
      </c>
      <c r="BH387" s="293"/>
      <c r="BI387" s="293">
        <v>0.96</v>
      </c>
      <c r="BJ387" s="291">
        <v>0.2</v>
      </c>
      <c r="BK387" s="292" cm="1">
        <f t="array" aca="1" ref="BK387" ca="1">INDIRECT("'"&amp;$C387&amp;"'!"&amp;"$"&amp;$D387&amp;$BK$1&amp;"")</f>
        <v>2.35</v>
      </c>
      <c r="BL387" s="293"/>
      <c r="BM387" s="293">
        <v>0.95</v>
      </c>
      <c r="BN387" s="291">
        <v>0.71</v>
      </c>
    </row>
    <row r="388" spans="1:66" ht="15.75" thickBot="1" x14ac:dyDescent="0.25">
      <c r="A388" s="368">
        <v>45704</v>
      </c>
      <c r="B388" s="365">
        <v>0.33333333333333398</v>
      </c>
      <c r="C388" s="383">
        <v>16</v>
      </c>
      <c r="D388" s="319" t="s">
        <v>118</v>
      </c>
      <c r="E388" s="297">
        <v>14.2</v>
      </c>
      <c r="F388" s="298">
        <v>70.069999999999993</v>
      </c>
      <c r="G388" s="299" cm="1">
        <f t="array" aca="1" ref="G388" ca="1">INDIRECT("'"&amp;$C388&amp;"'!"&amp;"$"&amp;$D388&amp;$E$1&amp;"")</f>
        <v>0</v>
      </c>
      <c r="H388" s="300" t="s">
        <v>1</v>
      </c>
      <c r="I388" s="298" t="s">
        <v>1</v>
      </c>
      <c r="J388" s="299" cm="1">
        <f t="array" aca="1" ref="J388" ca="1">INDIRECT("'"&amp;$C388&amp;"'!"&amp;"$"&amp;$D388&amp;$J$1&amp;"")</f>
        <v>0</v>
      </c>
      <c r="K388" s="300"/>
      <c r="L388" s="300" t="s">
        <v>1</v>
      </c>
      <c r="M388" s="298" t="s">
        <v>1</v>
      </c>
      <c r="N388" s="299" cm="1">
        <f t="array" aca="1" ref="N388" ca="1">INDIRECT("'"&amp;$C388&amp;"'!"&amp;"$"&amp;$D388&amp;$N$1&amp;"")</f>
        <v>6.2</v>
      </c>
      <c r="O388" s="300"/>
      <c r="P388" s="300">
        <v>0.97</v>
      </c>
      <c r="Q388" s="298">
        <v>1.53</v>
      </c>
      <c r="R388" s="299" cm="1">
        <f t="array" aca="1" ref="R388" ca="1">INDIRECT("'"&amp;$C388&amp;"'!"&amp;"$"&amp;$D388&amp;$R$1&amp;"")</f>
        <v>6.2</v>
      </c>
      <c r="S388" s="300"/>
      <c r="T388" s="300">
        <v>0.94</v>
      </c>
      <c r="U388" s="298">
        <v>2.2999999999999998</v>
      </c>
      <c r="V388" s="299" t="str" cm="1">
        <f t="array" aca="1" ref="V388" ca="1">INDIRECT("'"&amp;$C388&amp;"'!"&amp;"$"&amp;$D388&amp;$V$1&amp;"")</f>
        <v>CMS</v>
      </c>
      <c r="W388" s="300" t="s">
        <v>1</v>
      </c>
      <c r="X388" s="300" t="s">
        <v>1</v>
      </c>
      <c r="Y388" s="301" t="s">
        <v>1</v>
      </c>
      <c r="Z388" s="387" cm="1">
        <f t="array" aca="1" ref="Z388" ca="1">INDIRECT("'"&amp;$C388&amp;"'!"&amp;"$"&amp;$D388&amp;$Z$1&amp;"")</f>
        <v>0</v>
      </c>
      <c r="AA388" s="299" t="s">
        <v>1</v>
      </c>
      <c r="AB388" s="300" t="s">
        <v>1</v>
      </c>
      <c r="AC388" s="298" t="s">
        <v>1</v>
      </c>
      <c r="AD388" s="299" cm="1">
        <f t="array" aca="1" ref="AD388" ca="1">INDIRECT("'"&amp;$C388&amp;"'!"&amp;"$"&amp;$D388&amp;$AD$1&amp;"")</f>
        <v>0</v>
      </c>
      <c r="AE388" s="300" t="s">
        <v>1</v>
      </c>
      <c r="AF388" s="300" t="s">
        <v>1</v>
      </c>
      <c r="AG388" s="301" t="s">
        <v>1</v>
      </c>
      <c r="AH388" s="297" cm="1">
        <f t="array" aca="1" ref="AH388" ca="1">INDIRECT("'"&amp;$C388&amp;"'!"&amp;"$"&amp;$D388&amp;$AH$1&amp;"")</f>
        <v>3.8</v>
      </c>
      <c r="AI388" s="300">
        <v>13.96</v>
      </c>
      <c r="AJ388" s="300">
        <v>0.99</v>
      </c>
      <c r="AK388" s="298">
        <v>0.37</v>
      </c>
      <c r="AL388" s="297">
        <v>11.8</v>
      </c>
      <c r="AM388" s="301">
        <v>71.48</v>
      </c>
      <c r="AN388" s="297" cm="1">
        <f t="array" aca="1" ref="AN388" ca="1">INDIRECT("'"&amp;$C388&amp;"'!"&amp;"$"&amp;$D388&amp;$AL$1&amp;"")</f>
        <v>0</v>
      </c>
      <c r="AO388" s="300" t="s">
        <v>1</v>
      </c>
      <c r="AP388" s="298" t="s">
        <v>1</v>
      </c>
      <c r="AQ388" s="299" cm="1">
        <f t="array" aca="1" ref="AQ388" ca="1">INDIRECT("'"&amp;$C388&amp;"'!"&amp;"$"&amp;$D388&amp;$AQ$1&amp;"")</f>
        <v>2.1</v>
      </c>
      <c r="AR388" s="300">
        <v>0.95</v>
      </c>
      <c r="AS388" s="298">
        <v>0.75</v>
      </c>
      <c r="AT388" s="297">
        <v>14.05</v>
      </c>
      <c r="AU388" s="301">
        <v>71.48</v>
      </c>
      <c r="AV388" s="297" cm="1">
        <f t="array" aca="1" ref="AV388" ca="1">INDIRECT("'"&amp;$C388&amp;"'!"&amp;"$"&amp;$D388&amp;$AT$1&amp;"")</f>
        <v>9.8000000000000007</v>
      </c>
      <c r="AW388" s="300">
        <v>1</v>
      </c>
      <c r="AX388" s="301">
        <v>0.9</v>
      </c>
      <c r="AY388" s="387">
        <v>68.8</v>
      </c>
      <c r="AZ388" s="303" cm="1">
        <f t="array" aca="1" ref="AZ388" ca="1">INDIRECT("'"&amp;$C388&amp;"'!"&amp;"$"&amp;$D388&amp;$AY$1&amp;"")</f>
        <v>2.33</v>
      </c>
      <c r="BA388" s="300">
        <v>0.95</v>
      </c>
      <c r="BB388" s="298">
        <v>0.76</v>
      </c>
      <c r="BC388" s="299" cm="1">
        <f t="array" aca="1" ref="BC388" ca="1">INDIRECT("'"&amp;$C388&amp;"'!"&amp;"$"&amp;$D388&amp;$BC$1&amp;"")</f>
        <v>0.99</v>
      </c>
      <c r="BD388" s="300"/>
      <c r="BE388" s="300">
        <v>0.99</v>
      </c>
      <c r="BF388" s="298">
        <v>0.14000000000000001</v>
      </c>
      <c r="BG388" s="299" cm="1">
        <f t="array" aca="1" ref="BG388" ca="1">INDIRECT("'"&amp;$C388&amp;"'!"&amp;"$"&amp;$D388&amp;$BG$1&amp;"")</f>
        <v>0.74</v>
      </c>
      <c r="BH388" s="300"/>
      <c r="BI388" s="300">
        <v>0.96</v>
      </c>
      <c r="BJ388" s="298">
        <v>0.22</v>
      </c>
      <c r="BK388" s="299" cm="1">
        <f t="array" aca="1" ref="BK388" ca="1">INDIRECT("'"&amp;$C388&amp;"'!"&amp;"$"&amp;$D388&amp;$BK$1&amp;"")</f>
        <v>3.73</v>
      </c>
      <c r="BL388" s="300"/>
      <c r="BM388" s="300">
        <v>0.95</v>
      </c>
      <c r="BN388" s="298">
        <v>1.2</v>
      </c>
    </row>
    <row r="389" spans="1:66" ht="15.75" thickBot="1" x14ac:dyDescent="0.25">
      <c r="A389" s="368">
        <v>45704</v>
      </c>
      <c r="B389" s="365">
        <v>0.375</v>
      </c>
      <c r="C389" s="383">
        <v>16</v>
      </c>
      <c r="D389" s="319" t="s">
        <v>119</v>
      </c>
      <c r="E389" s="290">
        <v>13.9</v>
      </c>
      <c r="F389" s="291">
        <v>68.709999999999994</v>
      </c>
      <c r="G389" s="292" cm="1">
        <f t="array" aca="1" ref="G389" ca="1">INDIRECT("'"&amp;$C389&amp;"'!"&amp;"$"&amp;$D389&amp;$E$1&amp;"")</f>
        <v>0</v>
      </c>
      <c r="H389" s="293" t="s">
        <v>1</v>
      </c>
      <c r="I389" s="291" t="s">
        <v>1</v>
      </c>
      <c r="J389" s="292" cm="1">
        <f t="array" aca="1" ref="J389" ca="1">INDIRECT("'"&amp;$C389&amp;"'!"&amp;"$"&amp;$D389&amp;$J$1&amp;"")</f>
        <v>0</v>
      </c>
      <c r="K389" s="293"/>
      <c r="L389" s="293" t="s">
        <v>1</v>
      </c>
      <c r="M389" s="291" t="s">
        <v>1</v>
      </c>
      <c r="N389" s="292" cm="1">
        <f t="array" aca="1" ref="N389" ca="1">INDIRECT("'"&amp;$C389&amp;"'!"&amp;"$"&amp;$D389&amp;$N$1&amp;"")</f>
        <v>6.2</v>
      </c>
      <c r="O389" s="293"/>
      <c r="P389" s="293">
        <v>0.94</v>
      </c>
      <c r="Q389" s="291">
        <v>2.3199999999999998</v>
      </c>
      <c r="R389" s="292" cm="1">
        <f t="array" aca="1" ref="R389" ca="1">INDIRECT("'"&amp;$C389&amp;"'!"&amp;"$"&amp;$D389&amp;$R$1&amp;"")</f>
        <v>6.2</v>
      </c>
      <c r="S389" s="293"/>
      <c r="T389" s="293">
        <v>0.94</v>
      </c>
      <c r="U389" s="291">
        <v>2.3199999999999998</v>
      </c>
      <c r="V389" s="292" t="str" cm="1">
        <f t="array" aca="1" ref="V389" ca="1">INDIRECT("'"&amp;$C389&amp;"'!"&amp;"$"&amp;$D389&amp;$V$1&amp;"")</f>
        <v>CMS</v>
      </c>
      <c r="W389" s="293" t="s">
        <v>1</v>
      </c>
      <c r="X389" s="293" t="s">
        <v>1</v>
      </c>
      <c r="Y389" s="294" t="s">
        <v>1</v>
      </c>
      <c r="Z389" s="386" cm="1">
        <f t="array" aca="1" ref="Z389" ca="1">INDIRECT("'"&amp;$C389&amp;"'!"&amp;"$"&amp;$D389&amp;$Z$1&amp;"")</f>
        <v>0</v>
      </c>
      <c r="AA389" s="292" t="s">
        <v>1</v>
      </c>
      <c r="AB389" s="293" t="s">
        <v>1</v>
      </c>
      <c r="AC389" s="291" t="s">
        <v>1</v>
      </c>
      <c r="AD389" s="292" cm="1">
        <f t="array" aca="1" ref="AD389" ca="1">INDIRECT("'"&amp;$C389&amp;"'!"&amp;"$"&amp;$D389&amp;$AD$1&amp;"")</f>
        <v>0</v>
      </c>
      <c r="AE389" s="293" t="s">
        <v>1</v>
      </c>
      <c r="AF389" s="293" t="s">
        <v>1</v>
      </c>
      <c r="AG389" s="294" t="s">
        <v>1</v>
      </c>
      <c r="AH389" s="290" cm="1">
        <f t="array" aca="1" ref="AH389" ca="1">INDIRECT("'"&amp;$C389&amp;"'!"&amp;"$"&amp;$D389&amp;$AH$1&amp;"")</f>
        <v>3.8</v>
      </c>
      <c r="AI389" s="293">
        <v>13.92</v>
      </c>
      <c r="AJ389" s="293">
        <v>0.98</v>
      </c>
      <c r="AK389" s="291">
        <v>0.747</v>
      </c>
      <c r="AL389" s="290">
        <v>11.8</v>
      </c>
      <c r="AM389" s="294">
        <v>70.3</v>
      </c>
      <c r="AN389" s="290" cm="1">
        <f t="array" aca="1" ref="AN389" ca="1">INDIRECT("'"&amp;$C389&amp;"'!"&amp;"$"&amp;$D389&amp;$AL$1&amp;"")</f>
        <v>0</v>
      </c>
      <c r="AO389" s="293" t="s">
        <v>1</v>
      </c>
      <c r="AP389" s="291" t="s">
        <v>1</v>
      </c>
      <c r="AQ389" s="292" cm="1">
        <f t="array" aca="1" ref="AQ389" ca="1">INDIRECT("'"&amp;$C389&amp;"'!"&amp;"$"&amp;$D389&amp;$AQ$1&amp;"")</f>
        <v>2</v>
      </c>
      <c r="AR389" s="293">
        <v>0.95</v>
      </c>
      <c r="AS389" s="291">
        <v>0.85</v>
      </c>
      <c r="AT389" s="290">
        <v>13.96</v>
      </c>
      <c r="AU389" s="294">
        <v>71.09</v>
      </c>
      <c r="AV389" s="290" cm="1">
        <f t="array" aca="1" ref="AV389" ca="1">INDIRECT("'"&amp;$C389&amp;"'!"&amp;"$"&amp;$D389&amp;$AT$1&amp;"")</f>
        <v>9.85</v>
      </c>
      <c r="AW389" s="293">
        <v>1</v>
      </c>
      <c r="AX389" s="294">
        <v>0.9</v>
      </c>
      <c r="AY389" s="386">
        <v>68</v>
      </c>
      <c r="AZ389" s="296" cm="1">
        <f t="array" aca="1" ref="AZ389" ca="1">INDIRECT("'"&amp;$C389&amp;"'!"&amp;"$"&amp;$D389&amp;$AY$1&amp;"")</f>
        <v>3.9000000000000004</v>
      </c>
      <c r="BA389" s="293">
        <v>0.96</v>
      </c>
      <c r="BB389" s="291">
        <v>1.1000000000000001</v>
      </c>
      <c r="BC389" s="292" cm="1">
        <f t="array" aca="1" ref="BC389" ca="1">INDIRECT("'"&amp;$C389&amp;"'!"&amp;"$"&amp;$D389&amp;$BC$1&amp;"")</f>
        <v>1.08</v>
      </c>
      <c r="BD389" s="293"/>
      <c r="BE389" s="293">
        <v>0.99</v>
      </c>
      <c r="BF389" s="291">
        <v>0.17</v>
      </c>
      <c r="BG389" s="292" cm="1">
        <f t="array" aca="1" ref="BG389" ca="1">INDIRECT("'"&amp;$C389&amp;"'!"&amp;"$"&amp;$D389&amp;$BG$1&amp;"")</f>
        <v>0.79</v>
      </c>
      <c r="BH389" s="293"/>
      <c r="BI389" s="293">
        <v>0.96</v>
      </c>
      <c r="BJ389" s="291">
        <v>0.24</v>
      </c>
      <c r="BK389" s="292" cm="1">
        <f t="array" aca="1" ref="BK389" ca="1">INDIRECT("'"&amp;$C389&amp;"'!"&amp;"$"&amp;$D389&amp;$BK$1&amp;"")</f>
        <v>4.05</v>
      </c>
      <c r="BL389" s="293"/>
      <c r="BM389" s="293">
        <v>0.95</v>
      </c>
      <c r="BN389" s="291">
        <v>1.3</v>
      </c>
    </row>
    <row r="390" spans="1:66" ht="15.75" thickBot="1" x14ac:dyDescent="0.25">
      <c r="A390" s="368">
        <v>45704</v>
      </c>
      <c r="B390" s="365">
        <v>0.41666666666666702</v>
      </c>
      <c r="C390" s="383">
        <v>16</v>
      </c>
      <c r="D390" s="319" t="s">
        <v>120</v>
      </c>
      <c r="E390" s="297">
        <v>14</v>
      </c>
      <c r="F390" s="298">
        <v>68.67</v>
      </c>
      <c r="G390" s="299" cm="1">
        <f t="array" aca="1" ref="G390" ca="1">INDIRECT("'"&amp;$C390&amp;"'!"&amp;"$"&amp;$D390&amp;$E$1&amp;"")</f>
        <v>0</v>
      </c>
      <c r="H390" s="300" t="s">
        <v>1</v>
      </c>
      <c r="I390" s="298" t="s">
        <v>1</v>
      </c>
      <c r="J390" s="299" cm="1">
        <f t="array" aca="1" ref="J390" ca="1">INDIRECT("'"&amp;$C390&amp;"'!"&amp;"$"&amp;$D390&amp;$J$1&amp;"")</f>
        <v>0</v>
      </c>
      <c r="K390" s="300"/>
      <c r="L390" s="300" t="s">
        <v>1</v>
      </c>
      <c r="M390" s="298" t="s">
        <v>1</v>
      </c>
      <c r="N390" s="299" cm="1">
        <f t="array" aca="1" ref="N390" ca="1">INDIRECT("'"&amp;$C390&amp;"'!"&amp;"$"&amp;$D390&amp;$N$1&amp;"")</f>
        <v>6.3</v>
      </c>
      <c r="O390" s="300"/>
      <c r="P390" s="300">
        <v>0.91</v>
      </c>
      <c r="Q390" s="298">
        <v>2.2400000000000002</v>
      </c>
      <c r="R390" s="299" cm="1">
        <f t="array" aca="1" ref="R390" ca="1">INDIRECT("'"&amp;$C390&amp;"'!"&amp;"$"&amp;$D390&amp;$R$1&amp;"")</f>
        <v>6.3</v>
      </c>
      <c r="S390" s="300"/>
      <c r="T390" s="300">
        <v>0.91</v>
      </c>
      <c r="U390" s="298">
        <v>2.2400000000000002</v>
      </c>
      <c r="V390" s="299" t="str" cm="1">
        <f t="array" aca="1" ref="V390" ca="1">INDIRECT("'"&amp;$C390&amp;"'!"&amp;"$"&amp;$D390&amp;$V$1&amp;"")</f>
        <v>CMS</v>
      </c>
      <c r="W390" s="300" t="s">
        <v>1</v>
      </c>
      <c r="X390" s="300" t="s">
        <v>1</v>
      </c>
      <c r="Y390" s="301" t="s">
        <v>1</v>
      </c>
      <c r="Z390" s="387" cm="1">
        <f t="array" aca="1" ref="Z390" ca="1">INDIRECT("'"&amp;$C390&amp;"'!"&amp;"$"&amp;$D390&amp;$Z$1&amp;"")</f>
        <v>0</v>
      </c>
      <c r="AA390" s="299" t="s">
        <v>1</v>
      </c>
      <c r="AB390" s="300" t="s">
        <v>1</v>
      </c>
      <c r="AC390" s="298" t="s">
        <v>1</v>
      </c>
      <c r="AD390" s="299" cm="1">
        <f t="array" aca="1" ref="AD390" ca="1">INDIRECT("'"&amp;$C390&amp;"'!"&amp;"$"&amp;$D390&amp;$AD$1&amp;"")</f>
        <v>0</v>
      </c>
      <c r="AE390" s="300" t="s">
        <v>1</v>
      </c>
      <c r="AF390" s="300" t="s">
        <v>1</v>
      </c>
      <c r="AG390" s="301" t="s">
        <v>1</v>
      </c>
      <c r="AH390" s="297" cm="1">
        <f t="array" aca="1" ref="AH390" ca="1">INDIRECT("'"&amp;$C390&amp;"'!"&amp;"$"&amp;$D390&amp;$AH$1&amp;"")</f>
        <v>3.8</v>
      </c>
      <c r="AI390" s="300">
        <v>13.92</v>
      </c>
      <c r="AJ390" s="300">
        <v>0.98</v>
      </c>
      <c r="AK390" s="298">
        <v>0.71799999999999997</v>
      </c>
      <c r="AL390" s="297">
        <v>11.8</v>
      </c>
      <c r="AM390" s="301">
        <v>70.3</v>
      </c>
      <c r="AN390" s="297" cm="1">
        <f t="array" aca="1" ref="AN390" ca="1">INDIRECT("'"&amp;$C390&amp;"'!"&amp;"$"&amp;$D390&amp;$AL$1&amp;"")</f>
        <v>0</v>
      </c>
      <c r="AO390" s="300" t="s">
        <v>1</v>
      </c>
      <c r="AP390" s="298" t="s">
        <v>1</v>
      </c>
      <c r="AQ390" s="299" cm="1">
        <f t="array" aca="1" ref="AQ390" ca="1">INDIRECT("'"&amp;$C390&amp;"'!"&amp;"$"&amp;$D390&amp;$AQ$1&amp;"")</f>
        <v>3.2</v>
      </c>
      <c r="AR390" s="300">
        <v>0.97</v>
      </c>
      <c r="AS390" s="298">
        <v>0.98</v>
      </c>
      <c r="AT390" s="297">
        <v>14.05</v>
      </c>
      <c r="AU390" s="301">
        <v>71.239999999999995</v>
      </c>
      <c r="AV390" s="297" cm="1">
        <f t="array" aca="1" ref="AV390" ca="1">INDIRECT("'"&amp;$C390&amp;"'!"&amp;"$"&amp;$D390&amp;$AT$1&amp;"")</f>
        <v>9.92</v>
      </c>
      <c r="AW390" s="300">
        <v>0.99</v>
      </c>
      <c r="AX390" s="301">
        <v>1.7</v>
      </c>
      <c r="AY390" s="387">
        <v>67.400000000000006</v>
      </c>
      <c r="AZ390" s="303" cm="1">
        <f t="array" aca="1" ref="AZ390" ca="1">INDIRECT("'"&amp;$C390&amp;"'!"&amp;"$"&amp;$D390&amp;$AY$1&amp;"")</f>
        <v>4.8</v>
      </c>
      <c r="BA390" s="300">
        <v>0.95</v>
      </c>
      <c r="BB390" s="298">
        <v>1.5</v>
      </c>
      <c r="BC390" s="299" cm="1">
        <f t="array" aca="1" ref="BC390" ca="1">INDIRECT("'"&amp;$C390&amp;"'!"&amp;"$"&amp;$D390&amp;$BC$1&amp;"")</f>
        <v>1.03</v>
      </c>
      <c r="BD390" s="300"/>
      <c r="BE390" s="300">
        <v>0.99</v>
      </c>
      <c r="BF390" s="298">
        <v>0.14000000000000001</v>
      </c>
      <c r="BG390" s="299" cm="1">
        <f t="array" aca="1" ref="BG390" ca="1">INDIRECT("'"&amp;$C390&amp;"'!"&amp;"$"&amp;$D390&amp;$BG$1&amp;"")</f>
        <v>0.82</v>
      </c>
      <c r="BH390" s="300"/>
      <c r="BI390" s="300">
        <v>0.96</v>
      </c>
      <c r="BJ390" s="298">
        <v>0.25</v>
      </c>
      <c r="BK390" s="299" cm="1">
        <f t="array" aca="1" ref="BK390" ca="1">INDIRECT("'"&amp;$C390&amp;"'!"&amp;"$"&amp;$D390&amp;$BK$1&amp;"")</f>
        <v>4.45</v>
      </c>
      <c r="BL390" s="300"/>
      <c r="BM390" s="300">
        <v>0.95</v>
      </c>
      <c r="BN390" s="298">
        <v>4.4000000000000004</v>
      </c>
    </row>
    <row r="391" spans="1:66" ht="15.75" thickBot="1" x14ac:dyDescent="0.25">
      <c r="A391" s="368">
        <v>45704</v>
      </c>
      <c r="B391" s="365">
        <v>0.45833333333333398</v>
      </c>
      <c r="C391" s="383">
        <v>16</v>
      </c>
      <c r="D391" s="319" t="s">
        <v>121</v>
      </c>
      <c r="E391" s="290">
        <v>14.3</v>
      </c>
      <c r="F391" s="291">
        <v>69.83</v>
      </c>
      <c r="G391" s="292" cm="1">
        <f t="array" aca="1" ref="G391" ca="1">INDIRECT("'"&amp;$C391&amp;"'!"&amp;"$"&amp;$D391&amp;$E$1&amp;"")</f>
        <v>0</v>
      </c>
      <c r="H391" s="293" t="s">
        <v>1</v>
      </c>
      <c r="I391" s="291" t="s">
        <v>1</v>
      </c>
      <c r="J391" s="292" cm="1">
        <f t="array" aca="1" ref="J391" ca="1">INDIRECT("'"&amp;$C391&amp;"'!"&amp;"$"&amp;$D391&amp;$J$1&amp;"")</f>
        <v>6.1</v>
      </c>
      <c r="K391" s="293"/>
      <c r="L391" s="293">
        <v>0.92</v>
      </c>
      <c r="M391" s="291">
        <v>2.66</v>
      </c>
      <c r="N391" s="292" cm="1">
        <f t="array" aca="1" ref="N391" ca="1">INDIRECT("'"&amp;$C391&amp;"'!"&amp;"$"&amp;$D391&amp;$N$1&amp;"")</f>
        <v>6.1</v>
      </c>
      <c r="O391" s="293"/>
      <c r="P391" s="293">
        <v>0.92</v>
      </c>
      <c r="Q391" s="291">
        <v>2.66</v>
      </c>
      <c r="R391" s="292" cm="1">
        <f t="array" aca="1" ref="R391" ca="1">INDIRECT("'"&amp;$C391&amp;"'!"&amp;"$"&amp;$D391&amp;$R$1&amp;"")</f>
        <v>6.1</v>
      </c>
      <c r="S391" s="293"/>
      <c r="T391" s="293">
        <v>0.92</v>
      </c>
      <c r="U391" s="291">
        <v>2.66</v>
      </c>
      <c r="V391" s="292" t="str" cm="1">
        <f t="array" aca="1" ref="V391" ca="1">INDIRECT("'"&amp;$C391&amp;"'!"&amp;"$"&amp;$D391&amp;$V$1&amp;"")</f>
        <v>CMS</v>
      </c>
      <c r="W391" s="293" t="s">
        <v>1</v>
      </c>
      <c r="X391" s="293" t="s">
        <v>1</v>
      </c>
      <c r="Y391" s="294" t="s">
        <v>1</v>
      </c>
      <c r="Z391" s="386" cm="1">
        <f t="array" aca="1" ref="Z391" ca="1">INDIRECT("'"&amp;$C391&amp;"'!"&amp;"$"&amp;$D391&amp;$Z$1&amp;"")</f>
        <v>0</v>
      </c>
      <c r="AA391" s="292" t="s">
        <v>1</v>
      </c>
      <c r="AB391" s="293" t="s">
        <v>1</v>
      </c>
      <c r="AC391" s="291" t="s">
        <v>1</v>
      </c>
      <c r="AD391" s="292" cm="1">
        <f t="array" aca="1" ref="AD391" ca="1">INDIRECT("'"&amp;$C391&amp;"'!"&amp;"$"&amp;$D391&amp;$AD$1&amp;"")</f>
        <v>0</v>
      </c>
      <c r="AE391" s="293" t="s">
        <v>1</v>
      </c>
      <c r="AF391" s="293" t="s">
        <v>1</v>
      </c>
      <c r="AG391" s="294" t="s">
        <v>1</v>
      </c>
      <c r="AH391" s="290" cm="1">
        <f t="array" aca="1" ref="AH391" ca="1">INDIRECT("'"&amp;$C391&amp;"'!"&amp;"$"&amp;$D391&amp;$AH$1&amp;"")</f>
        <v>3.8</v>
      </c>
      <c r="AI391" s="293">
        <v>14</v>
      </c>
      <c r="AJ391" s="293">
        <v>0.97</v>
      </c>
      <c r="AK391" s="291">
        <v>0.84</v>
      </c>
      <c r="AL391" s="290">
        <v>11.7</v>
      </c>
      <c r="AM391" s="294">
        <v>70.400000000000006</v>
      </c>
      <c r="AN391" s="290" cm="1">
        <f t="array" aca="1" ref="AN391" ca="1">INDIRECT("'"&amp;$C391&amp;"'!"&amp;"$"&amp;$D391&amp;$AL$1&amp;"")</f>
        <v>0</v>
      </c>
      <c r="AO391" s="293" t="s">
        <v>1</v>
      </c>
      <c r="AP391" s="291" t="s">
        <v>1</v>
      </c>
      <c r="AQ391" s="292" cm="1">
        <f t="array" aca="1" ref="AQ391" ca="1">INDIRECT("'"&amp;$C391&amp;"'!"&amp;"$"&amp;$D391&amp;$AQ$1&amp;"")</f>
        <v>2</v>
      </c>
      <c r="AR391" s="293">
        <v>0.95</v>
      </c>
      <c r="AS391" s="291">
        <v>0.73</v>
      </c>
      <c r="AT391" s="290">
        <v>14.08</v>
      </c>
      <c r="AU391" s="294">
        <v>71.53</v>
      </c>
      <c r="AV391" s="290" cm="1">
        <f t="array" aca="1" ref="AV391" ca="1">INDIRECT("'"&amp;$C391&amp;"'!"&amp;"$"&amp;$D391&amp;$AT$1&amp;"")</f>
        <v>9.92</v>
      </c>
      <c r="AW391" s="293">
        <v>0.99</v>
      </c>
      <c r="AX391" s="294">
        <v>1.6</v>
      </c>
      <c r="AY391" s="386">
        <v>68.7</v>
      </c>
      <c r="AZ391" s="296" cm="1">
        <f t="array" aca="1" ref="AZ391" ca="1">INDIRECT("'"&amp;$C391&amp;"'!"&amp;"$"&amp;$D391&amp;$AY$1&amp;"")</f>
        <v>4</v>
      </c>
      <c r="BA391" s="293">
        <v>0.94</v>
      </c>
      <c r="BB391" s="291">
        <v>1.4</v>
      </c>
      <c r="BC391" s="292" cm="1">
        <f t="array" aca="1" ref="BC391" ca="1">INDIRECT("'"&amp;$C391&amp;"'!"&amp;"$"&amp;$D391&amp;$BC$1&amp;"")</f>
        <v>1.03</v>
      </c>
      <c r="BD391" s="293"/>
      <c r="BE391" s="293">
        <v>0.99</v>
      </c>
      <c r="BF391" s="291">
        <v>0.14000000000000001</v>
      </c>
      <c r="BG391" s="292" cm="1">
        <f t="array" aca="1" ref="BG391" ca="1">INDIRECT("'"&amp;$C391&amp;"'!"&amp;"$"&amp;$D391&amp;$BG$1&amp;"")</f>
        <v>0.83</v>
      </c>
      <c r="BH391" s="293"/>
      <c r="BI391" s="293">
        <v>0.96</v>
      </c>
      <c r="BJ391" s="291">
        <v>0.26</v>
      </c>
      <c r="BK391" s="292" cm="1">
        <f t="array" aca="1" ref="BK391" ca="1">INDIRECT("'"&amp;$C391&amp;"'!"&amp;"$"&amp;$D391&amp;$BK$1&amp;"")</f>
        <v>4.3966666666666665</v>
      </c>
      <c r="BL391" s="293"/>
      <c r="BM391" s="293">
        <v>0.95</v>
      </c>
      <c r="BN391" s="291">
        <v>1.4</v>
      </c>
    </row>
    <row r="392" spans="1:66" ht="15.75" thickBot="1" x14ac:dyDescent="0.25">
      <c r="A392" s="368">
        <v>45704</v>
      </c>
      <c r="B392" s="365">
        <v>0.5</v>
      </c>
      <c r="C392" s="383">
        <v>16</v>
      </c>
      <c r="D392" s="319" t="s">
        <v>122</v>
      </c>
      <c r="E392" s="297">
        <v>14.3</v>
      </c>
      <c r="F392" s="298">
        <v>69.84</v>
      </c>
      <c r="G392" s="299" cm="1">
        <f t="array" aca="1" ref="G392" ca="1">INDIRECT("'"&amp;$C392&amp;"'!"&amp;"$"&amp;$D392&amp;$E$1&amp;"")</f>
        <v>5.9</v>
      </c>
      <c r="H392" s="300">
        <v>0.92</v>
      </c>
      <c r="I392" s="298">
        <v>2.16</v>
      </c>
      <c r="J392" s="299" cm="1">
        <f t="array" aca="1" ref="J392" ca="1">INDIRECT("'"&amp;$C392&amp;"'!"&amp;"$"&amp;$D392&amp;$J$1&amp;"")</f>
        <v>5.9</v>
      </c>
      <c r="K392" s="300"/>
      <c r="L392" s="300">
        <v>0.92</v>
      </c>
      <c r="M392" s="298">
        <v>2.16</v>
      </c>
      <c r="N392" s="299" cm="1">
        <f t="array" aca="1" ref="N392" ca="1">INDIRECT("'"&amp;$C392&amp;"'!"&amp;"$"&amp;$D392&amp;$N$1&amp;"")</f>
        <v>5.9</v>
      </c>
      <c r="O392" s="300"/>
      <c r="P392" s="300">
        <v>0.92</v>
      </c>
      <c r="Q392" s="298">
        <v>2.16</v>
      </c>
      <c r="R392" s="299" cm="1">
        <f t="array" aca="1" ref="R392" ca="1">INDIRECT("'"&amp;$C392&amp;"'!"&amp;"$"&amp;$D392&amp;$R$1&amp;"")</f>
        <v>5.9</v>
      </c>
      <c r="S392" s="300"/>
      <c r="T392" s="300">
        <v>0.92</v>
      </c>
      <c r="U392" s="298">
        <v>2.16</v>
      </c>
      <c r="V392" s="299" t="str" cm="1">
        <f t="array" aca="1" ref="V392" ca="1">INDIRECT("'"&amp;$C392&amp;"'!"&amp;"$"&amp;$D392&amp;$V$1&amp;"")</f>
        <v>CMS</v>
      </c>
      <c r="W392" s="300" t="s">
        <v>1</v>
      </c>
      <c r="X392" s="300" t="s">
        <v>1</v>
      </c>
      <c r="Y392" s="301" t="s">
        <v>1</v>
      </c>
      <c r="Z392" s="387" cm="1">
        <f t="array" aca="1" ref="Z392" ca="1">INDIRECT("'"&amp;$C392&amp;"'!"&amp;"$"&amp;$D392&amp;$Z$1&amp;"")</f>
        <v>0</v>
      </c>
      <c r="AA392" s="299" t="s">
        <v>1</v>
      </c>
      <c r="AB392" s="300" t="s">
        <v>1</v>
      </c>
      <c r="AC392" s="298" t="s">
        <v>1</v>
      </c>
      <c r="AD392" s="299" cm="1">
        <f t="array" aca="1" ref="AD392" ca="1">INDIRECT("'"&amp;$C392&amp;"'!"&amp;"$"&amp;$D392&amp;$AD$1&amp;"")</f>
        <v>0</v>
      </c>
      <c r="AE392" s="300" t="s">
        <v>1</v>
      </c>
      <c r="AF392" s="300" t="s">
        <v>1</v>
      </c>
      <c r="AG392" s="301" t="s">
        <v>1</v>
      </c>
      <c r="AH392" s="297" cm="1">
        <f t="array" aca="1" ref="AH392" ca="1">INDIRECT("'"&amp;$C392&amp;"'!"&amp;"$"&amp;$D392&amp;$AH$1&amp;"")</f>
        <v>3.8</v>
      </c>
      <c r="AI392" s="300">
        <v>13.96</v>
      </c>
      <c r="AJ392" s="300">
        <v>0.97</v>
      </c>
      <c r="AK392" s="298">
        <v>0.95499999999999996</v>
      </c>
      <c r="AL392" s="297">
        <v>11.7</v>
      </c>
      <c r="AM392" s="301">
        <v>70.5</v>
      </c>
      <c r="AN392" s="297" cm="1">
        <f t="array" aca="1" ref="AN392" ca="1">INDIRECT("'"&amp;$C392&amp;"'!"&amp;"$"&amp;$D392&amp;$AL$1&amp;"")</f>
        <v>0</v>
      </c>
      <c r="AO392" s="300" t="s">
        <v>1</v>
      </c>
      <c r="AP392" s="298" t="s">
        <v>1</v>
      </c>
      <c r="AQ392" s="299" cm="1">
        <f t="array" aca="1" ref="AQ392" ca="1">INDIRECT("'"&amp;$C392&amp;"'!"&amp;"$"&amp;$D392&amp;$AQ$1&amp;"")</f>
        <v>1.5</v>
      </c>
      <c r="AR392" s="300">
        <v>0.86</v>
      </c>
      <c r="AS392" s="298">
        <v>0.8</v>
      </c>
      <c r="AT392" s="297">
        <v>14.1</v>
      </c>
      <c r="AU392" s="301">
        <v>71.59</v>
      </c>
      <c r="AV392" s="297" cm="1">
        <f t="array" aca="1" ref="AV392" ca="1">INDIRECT("'"&amp;$C392&amp;"'!"&amp;"$"&amp;$D392&amp;$AT$1&amp;"")</f>
        <v>8.94</v>
      </c>
      <c r="AW392" s="300">
        <v>0.99</v>
      </c>
      <c r="AX392" s="301">
        <v>1.6</v>
      </c>
      <c r="AY392" s="387">
        <v>68</v>
      </c>
      <c r="AZ392" s="303" cm="1">
        <f t="array" aca="1" ref="AZ392" ca="1">INDIRECT("'"&amp;$C392&amp;"'!"&amp;"$"&amp;$D392&amp;$AY$1&amp;"")</f>
        <v>0</v>
      </c>
      <c r="BA392" s="300" t="s">
        <v>1</v>
      </c>
      <c r="BB392" s="298" t="s">
        <v>1</v>
      </c>
      <c r="BC392" s="299" cm="1">
        <f t="array" aca="1" ref="BC392" ca="1">INDIRECT("'"&amp;$C392&amp;"'!"&amp;"$"&amp;$D392&amp;$BC$1&amp;"")</f>
        <v>1.03</v>
      </c>
      <c r="BD392" s="300"/>
      <c r="BE392" s="300">
        <v>0.99</v>
      </c>
      <c r="BF392" s="298">
        <v>0.15</v>
      </c>
      <c r="BG392" s="299" cm="1">
        <f t="array" aca="1" ref="BG392" ca="1">INDIRECT("'"&amp;$C392&amp;"'!"&amp;"$"&amp;$D392&amp;$BG$1&amp;"")</f>
        <v>0.85</v>
      </c>
      <c r="BH392" s="300"/>
      <c r="BI392" s="300">
        <v>0.95</v>
      </c>
      <c r="BJ392" s="298">
        <v>0.27</v>
      </c>
      <c r="BK392" s="299" cm="1">
        <f t="array" aca="1" ref="BK392" ca="1">INDIRECT("'"&amp;$C392&amp;"'!"&amp;"$"&amp;$D392&amp;$BK$1&amp;"")</f>
        <v>4.3966666666666665</v>
      </c>
      <c r="BL392" s="300"/>
      <c r="BM392" s="300">
        <v>0.96</v>
      </c>
      <c r="BN392" s="298">
        <v>1.4</v>
      </c>
    </row>
    <row r="393" spans="1:66" ht="15.75" thickBot="1" x14ac:dyDescent="0.25">
      <c r="A393" s="368">
        <v>45704</v>
      </c>
      <c r="B393" s="365">
        <v>0.54166666666666696</v>
      </c>
      <c r="C393" s="383">
        <v>16</v>
      </c>
      <c r="D393" s="319" t="s">
        <v>123</v>
      </c>
      <c r="E393" s="290">
        <v>14.3</v>
      </c>
      <c r="F393" s="291">
        <v>69.56</v>
      </c>
      <c r="G393" s="292" cm="1">
        <f t="array" aca="1" ref="G393" ca="1">INDIRECT("'"&amp;$C393&amp;"'!"&amp;"$"&amp;$D393&amp;$E$1&amp;"")</f>
        <v>6</v>
      </c>
      <c r="H393" s="293">
        <v>0.94</v>
      </c>
      <c r="I393" s="291">
        <v>2.11</v>
      </c>
      <c r="J393" s="292" cm="1">
        <f t="array" aca="1" ref="J393" ca="1">INDIRECT("'"&amp;$C393&amp;"'!"&amp;"$"&amp;$D393&amp;$J$1&amp;"")</f>
        <v>6</v>
      </c>
      <c r="K393" s="293"/>
      <c r="L393" s="293">
        <v>0.94</v>
      </c>
      <c r="M393" s="291">
        <v>2.11</v>
      </c>
      <c r="N393" s="292" cm="1">
        <f t="array" aca="1" ref="N393" ca="1">INDIRECT("'"&amp;$C393&amp;"'!"&amp;"$"&amp;$D393&amp;$N$1&amp;"")</f>
        <v>6</v>
      </c>
      <c r="O393" s="293"/>
      <c r="P393" s="293">
        <v>0.94</v>
      </c>
      <c r="Q393" s="291">
        <v>2.11</v>
      </c>
      <c r="R393" s="292" cm="1">
        <f t="array" aca="1" ref="R393" ca="1">INDIRECT("'"&amp;$C393&amp;"'!"&amp;"$"&amp;$D393&amp;$R$1&amp;"")</f>
        <v>6</v>
      </c>
      <c r="S393" s="293"/>
      <c r="T393" s="293">
        <v>0.94</v>
      </c>
      <c r="U393" s="291">
        <v>2.11</v>
      </c>
      <c r="V393" s="292" t="str" cm="1">
        <f t="array" aca="1" ref="V393" ca="1">INDIRECT("'"&amp;$C393&amp;"'!"&amp;"$"&amp;$D393&amp;$V$1&amp;"")</f>
        <v>CMS</v>
      </c>
      <c r="W393" s="293" t="s">
        <v>1</v>
      </c>
      <c r="X393" s="293" t="s">
        <v>1</v>
      </c>
      <c r="Y393" s="294" t="s">
        <v>1</v>
      </c>
      <c r="Z393" s="386" cm="1">
        <f t="array" aca="1" ref="Z393" ca="1">INDIRECT("'"&amp;$C393&amp;"'!"&amp;"$"&amp;$D393&amp;$Z$1&amp;"")</f>
        <v>0</v>
      </c>
      <c r="AA393" s="292" t="s">
        <v>1</v>
      </c>
      <c r="AB393" s="293" t="s">
        <v>1</v>
      </c>
      <c r="AC393" s="291" t="s">
        <v>1</v>
      </c>
      <c r="AD393" s="292" cm="1">
        <f t="array" aca="1" ref="AD393" ca="1">INDIRECT("'"&amp;$C393&amp;"'!"&amp;"$"&amp;$D393&amp;$AD$1&amp;"")</f>
        <v>0</v>
      </c>
      <c r="AE393" s="293" t="s">
        <v>1</v>
      </c>
      <c r="AF393" s="293" t="s">
        <v>1</v>
      </c>
      <c r="AG393" s="294" t="s">
        <v>1</v>
      </c>
      <c r="AH393" s="290" cm="1">
        <f t="array" aca="1" ref="AH393" ca="1">INDIRECT("'"&amp;$C393&amp;"'!"&amp;"$"&amp;$D393&amp;$AH$1&amp;"")</f>
        <v>3</v>
      </c>
      <c r="AI393" s="293">
        <v>14</v>
      </c>
      <c r="AJ393" s="293">
        <v>0.97</v>
      </c>
      <c r="AK393" s="291">
        <v>0.84</v>
      </c>
      <c r="AL393" s="290">
        <v>11.7</v>
      </c>
      <c r="AM393" s="294">
        <v>70.599999999999994</v>
      </c>
      <c r="AN393" s="290" cm="1">
        <f t="array" aca="1" ref="AN393" ca="1">INDIRECT("'"&amp;$C393&amp;"'!"&amp;"$"&amp;$D393&amp;$AL$1&amp;"")</f>
        <v>0</v>
      </c>
      <c r="AO393" s="293" t="s">
        <v>1</v>
      </c>
      <c r="AP393" s="291" t="s">
        <v>1</v>
      </c>
      <c r="AQ393" s="292" cm="1">
        <f t="array" aca="1" ref="AQ393" ca="1">INDIRECT("'"&amp;$C393&amp;"'!"&amp;"$"&amp;$D393&amp;$AQ$1&amp;"")</f>
        <v>1</v>
      </c>
      <c r="AR393" s="293">
        <v>0.8</v>
      </c>
      <c r="AS393" s="291">
        <v>1.1000000000000001</v>
      </c>
      <c r="AT393" s="290">
        <v>14.03</v>
      </c>
      <c r="AU393" s="294">
        <v>71.25</v>
      </c>
      <c r="AV393" s="290" cm="1">
        <f t="array" aca="1" ref="AV393" ca="1">INDIRECT("'"&amp;$C393&amp;"'!"&amp;"$"&amp;$D393&amp;$AT$1&amp;"")</f>
        <v>7.52</v>
      </c>
      <c r="AW393" s="293">
        <v>0.99</v>
      </c>
      <c r="AX393" s="294">
        <v>1.4</v>
      </c>
      <c r="AY393" s="386">
        <v>68.3</v>
      </c>
      <c r="AZ393" s="296" cm="1">
        <f t="array" aca="1" ref="AZ393" ca="1">INDIRECT("'"&amp;$C393&amp;"'!"&amp;"$"&amp;$D393&amp;$AY$1&amp;"")</f>
        <v>0</v>
      </c>
      <c r="BA393" s="293" t="s">
        <v>1</v>
      </c>
      <c r="BB393" s="291" t="s">
        <v>1</v>
      </c>
      <c r="BC393" s="292" cm="1">
        <f t="array" aca="1" ref="BC393" ca="1">INDIRECT("'"&amp;$C393&amp;"'!"&amp;"$"&amp;$D393&amp;$BC$1&amp;"")</f>
        <v>1.02</v>
      </c>
      <c r="BD393" s="293"/>
      <c r="BE393" s="293">
        <v>0.99</v>
      </c>
      <c r="BF393" s="291">
        <v>0.14000000000000001</v>
      </c>
      <c r="BG393" s="292" cm="1">
        <f t="array" aca="1" ref="BG393" ca="1">INDIRECT("'"&amp;$C393&amp;"'!"&amp;"$"&amp;$D393&amp;$BG$1&amp;"")</f>
        <v>0.86</v>
      </c>
      <c r="BH393" s="293"/>
      <c r="BI393" s="293">
        <v>0.96</v>
      </c>
      <c r="BJ393" s="291">
        <v>0.27</v>
      </c>
      <c r="BK393" s="292" cm="1">
        <f t="array" aca="1" ref="BK393" ca="1">INDIRECT("'"&amp;$C393&amp;"'!"&amp;"$"&amp;$D393&amp;$BK$1&amp;"")</f>
        <v>4.4749999999999996</v>
      </c>
      <c r="BL393" s="293"/>
      <c r="BM393" s="293">
        <v>0.95</v>
      </c>
      <c r="BN393" s="291">
        <v>1.4</v>
      </c>
    </row>
    <row r="394" spans="1:66" ht="15.75" thickBot="1" x14ac:dyDescent="0.25">
      <c r="A394" s="368">
        <v>45704</v>
      </c>
      <c r="B394" s="365">
        <v>0.58333333333333404</v>
      </c>
      <c r="C394" s="383">
        <v>16</v>
      </c>
      <c r="D394" s="319" t="s">
        <v>124</v>
      </c>
      <c r="E394" s="297">
        <v>14.3</v>
      </c>
      <c r="F394" s="298">
        <v>69.62</v>
      </c>
      <c r="G394" s="299" cm="1">
        <f t="array" aca="1" ref="G394" ca="1">INDIRECT("'"&amp;$C394&amp;"'!"&amp;"$"&amp;$D394&amp;$E$1&amp;"")</f>
        <v>6</v>
      </c>
      <c r="H394" s="300">
        <v>0.94</v>
      </c>
      <c r="I394" s="298">
        <v>2.09</v>
      </c>
      <c r="J394" s="299" cm="1">
        <f t="array" aca="1" ref="J394" ca="1">INDIRECT("'"&amp;$C394&amp;"'!"&amp;"$"&amp;$D394&amp;$J$1&amp;"")</f>
        <v>6</v>
      </c>
      <c r="K394" s="300"/>
      <c r="L394" s="300">
        <v>0.94</v>
      </c>
      <c r="M394" s="298">
        <v>2.09</v>
      </c>
      <c r="N394" s="299" cm="1">
        <f t="array" aca="1" ref="N394" ca="1">INDIRECT("'"&amp;$C394&amp;"'!"&amp;"$"&amp;$D394&amp;$N$1&amp;"")</f>
        <v>6</v>
      </c>
      <c r="O394" s="300"/>
      <c r="P394" s="300">
        <v>0.94</v>
      </c>
      <c r="Q394" s="298">
        <v>2.09</v>
      </c>
      <c r="R394" s="299" cm="1">
        <f t="array" aca="1" ref="R394" ca="1">INDIRECT("'"&amp;$C394&amp;"'!"&amp;"$"&amp;$D394&amp;$R$1&amp;"")</f>
        <v>6</v>
      </c>
      <c r="S394" s="300"/>
      <c r="T394" s="300">
        <v>0.94</v>
      </c>
      <c r="U394" s="298">
        <v>2.09</v>
      </c>
      <c r="V394" s="299" t="str" cm="1">
        <f t="array" aca="1" ref="V394" ca="1">INDIRECT("'"&amp;$C394&amp;"'!"&amp;"$"&amp;$D394&amp;$V$1&amp;"")</f>
        <v>CMS</v>
      </c>
      <c r="W394" s="300" t="s">
        <v>1</v>
      </c>
      <c r="X394" s="300" t="s">
        <v>1</v>
      </c>
      <c r="Y394" s="301" t="s">
        <v>1</v>
      </c>
      <c r="Z394" s="387" cm="1">
        <f t="array" aca="1" ref="Z394" ca="1">INDIRECT("'"&amp;$C394&amp;"'!"&amp;"$"&amp;$D394&amp;$Z$1&amp;"")</f>
        <v>0</v>
      </c>
      <c r="AA394" s="299" t="s">
        <v>1</v>
      </c>
      <c r="AB394" s="300" t="s">
        <v>1</v>
      </c>
      <c r="AC394" s="298" t="s">
        <v>1</v>
      </c>
      <c r="AD394" s="299" cm="1">
        <f t="array" aca="1" ref="AD394" ca="1">INDIRECT("'"&amp;$C394&amp;"'!"&amp;"$"&amp;$D394&amp;$AD$1&amp;"")</f>
        <v>0</v>
      </c>
      <c r="AE394" s="300" t="s">
        <v>1</v>
      </c>
      <c r="AF394" s="300" t="s">
        <v>1</v>
      </c>
      <c r="AG394" s="301" t="s">
        <v>1</v>
      </c>
      <c r="AH394" s="297" cm="1">
        <f t="array" aca="1" ref="AH394" ca="1">INDIRECT("'"&amp;$C394&amp;"'!"&amp;"$"&amp;$D394&amp;$AH$1&amp;"")</f>
        <v>3</v>
      </c>
      <c r="AI394" s="300">
        <v>13.96</v>
      </c>
      <c r="AJ394" s="300">
        <v>0.97</v>
      </c>
      <c r="AK394" s="298">
        <v>0.90400000000000003</v>
      </c>
      <c r="AL394" s="297">
        <v>11.8</v>
      </c>
      <c r="AM394" s="301">
        <v>70.599999999999994</v>
      </c>
      <c r="AN394" s="297" cm="1">
        <f t="array" aca="1" ref="AN394" ca="1">INDIRECT("'"&amp;$C394&amp;"'!"&amp;"$"&amp;$D394&amp;$AL$1&amp;"")</f>
        <v>0</v>
      </c>
      <c r="AO394" s="300" t="s">
        <v>1</v>
      </c>
      <c r="AP394" s="298" t="s">
        <v>1</v>
      </c>
      <c r="AQ394" s="299" cm="1">
        <f t="array" aca="1" ref="AQ394" ca="1">INDIRECT("'"&amp;$C394&amp;"'!"&amp;"$"&amp;$D394&amp;$AQ$1&amp;"")</f>
        <v>1</v>
      </c>
      <c r="AR394" s="300">
        <v>0.82</v>
      </c>
      <c r="AS394" s="298">
        <v>1.1000000000000001</v>
      </c>
      <c r="AT394" s="297">
        <v>14.03</v>
      </c>
      <c r="AU394" s="301">
        <v>71.33</v>
      </c>
      <c r="AV394" s="297" cm="1">
        <f t="array" aca="1" ref="AV394" ca="1">INDIRECT("'"&amp;$C394&amp;"'!"&amp;"$"&amp;$D394&amp;$AT$1&amp;"")</f>
        <v>7.55</v>
      </c>
      <c r="AW394" s="300">
        <v>0.99</v>
      </c>
      <c r="AX394" s="301">
        <v>1.4</v>
      </c>
      <c r="AY394" s="387">
        <v>68.400000000000006</v>
      </c>
      <c r="AZ394" s="303" cm="1">
        <f t="array" aca="1" ref="AZ394" ca="1">INDIRECT("'"&amp;$C394&amp;"'!"&amp;"$"&amp;$D394&amp;$AY$1&amp;"")</f>
        <v>0</v>
      </c>
      <c r="BA394" s="300" t="s">
        <v>1</v>
      </c>
      <c r="BB394" s="298" t="s">
        <v>1</v>
      </c>
      <c r="BC394" s="299" cm="1">
        <f t="array" aca="1" ref="BC394" ca="1">INDIRECT("'"&amp;$C394&amp;"'!"&amp;"$"&amp;$D394&amp;$BC$1&amp;"")</f>
        <v>1</v>
      </c>
      <c r="BD394" s="300"/>
      <c r="BE394" s="300">
        <v>0.99</v>
      </c>
      <c r="BF394" s="298">
        <v>0.15</v>
      </c>
      <c r="BG394" s="299" cm="1">
        <f t="array" aca="1" ref="BG394" ca="1">INDIRECT("'"&amp;$C394&amp;"'!"&amp;"$"&amp;$D394&amp;$BG$1&amp;"")</f>
        <v>0.88</v>
      </c>
      <c r="BH394" s="300"/>
      <c r="BI394" s="300">
        <v>0.86</v>
      </c>
      <c r="BJ394" s="298">
        <v>0.28000000000000003</v>
      </c>
      <c r="BK394" s="299" cm="1">
        <f t="array" aca="1" ref="BK394" ca="1">INDIRECT("'"&amp;$C394&amp;"'!"&amp;"$"&amp;$D394&amp;$BK$1&amp;"")</f>
        <v>3.9</v>
      </c>
      <c r="BL394" s="300"/>
      <c r="BM394" s="300">
        <v>0.99</v>
      </c>
      <c r="BN394" s="298">
        <v>1.3</v>
      </c>
    </row>
    <row r="395" spans="1:66" ht="15.75" thickBot="1" x14ac:dyDescent="0.25">
      <c r="A395" s="368">
        <v>45704</v>
      </c>
      <c r="B395" s="365">
        <v>0.625</v>
      </c>
      <c r="C395" s="383">
        <v>16</v>
      </c>
      <c r="D395" s="319" t="s">
        <v>125</v>
      </c>
      <c r="E395" s="290">
        <v>14.3</v>
      </c>
      <c r="F395" s="291">
        <v>69.53</v>
      </c>
      <c r="G395" s="292" cm="1">
        <f t="array" aca="1" ref="G395" ca="1">INDIRECT("'"&amp;$C395&amp;"'!"&amp;"$"&amp;$D395&amp;$E$1&amp;"")</f>
        <v>6.1</v>
      </c>
      <c r="H395" s="293">
        <v>0.94</v>
      </c>
      <c r="I395" s="291">
        <v>2.14</v>
      </c>
      <c r="J395" s="292" cm="1">
        <f t="array" aca="1" ref="J395" ca="1">INDIRECT("'"&amp;$C395&amp;"'!"&amp;"$"&amp;$D395&amp;$J$1&amp;"")</f>
        <v>6.1</v>
      </c>
      <c r="K395" s="293"/>
      <c r="L395" s="293">
        <v>0.94</v>
      </c>
      <c r="M395" s="291">
        <v>2.14</v>
      </c>
      <c r="N395" s="292" cm="1">
        <f t="array" aca="1" ref="N395" ca="1">INDIRECT("'"&amp;$C395&amp;"'!"&amp;"$"&amp;$D395&amp;$N$1&amp;"")</f>
        <v>6.1</v>
      </c>
      <c r="O395" s="293"/>
      <c r="P395" s="293">
        <v>0.94</v>
      </c>
      <c r="Q395" s="291">
        <v>2.14</v>
      </c>
      <c r="R395" s="292" cm="1">
        <f t="array" aca="1" ref="R395" ca="1">INDIRECT("'"&amp;$C395&amp;"'!"&amp;"$"&amp;$D395&amp;$R$1&amp;"")</f>
        <v>6.1</v>
      </c>
      <c r="S395" s="293"/>
      <c r="T395" s="293">
        <v>0.94</v>
      </c>
      <c r="U395" s="291">
        <v>2.14</v>
      </c>
      <c r="V395" s="292" t="str" cm="1">
        <f t="array" aca="1" ref="V395" ca="1">INDIRECT("'"&amp;$C395&amp;"'!"&amp;"$"&amp;$D395&amp;$V$1&amp;"")</f>
        <v>CMS</v>
      </c>
      <c r="W395" s="293" t="s">
        <v>1</v>
      </c>
      <c r="X395" s="293" t="s">
        <v>1</v>
      </c>
      <c r="Y395" s="294" t="s">
        <v>1</v>
      </c>
      <c r="Z395" s="386" cm="1">
        <f t="array" aca="1" ref="Z395" ca="1">INDIRECT("'"&amp;$C395&amp;"'!"&amp;"$"&amp;$D395&amp;$Z$1&amp;"")</f>
        <v>0</v>
      </c>
      <c r="AA395" s="292" t="s">
        <v>1</v>
      </c>
      <c r="AB395" s="293" t="s">
        <v>1</v>
      </c>
      <c r="AC395" s="291" t="s">
        <v>1</v>
      </c>
      <c r="AD395" s="292" cm="1">
        <f t="array" aca="1" ref="AD395" ca="1">INDIRECT("'"&amp;$C395&amp;"'!"&amp;"$"&amp;$D395&amp;$AD$1&amp;"")</f>
        <v>0</v>
      </c>
      <c r="AE395" s="293" t="s">
        <v>1</v>
      </c>
      <c r="AF395" s="293" t="s">
        <v>1</v>
      </c>
      <c r="AG395" s="291" t="s">
        <v>1</v>
      </c>
      <c r="AH395" s="290" cm="1">
        <f t="array" aca="1" ref="AH395" ca="1">INDIRECT("'"&amp;$C395&amp;"'!"&amp;"$"&amp;$D395&amp;$AH$1&amp;"")</f>
        <v>3.2</v>
      </c>
      <c r="AI395" s="293">
        <v>13.96</v>
      </c>
      <c r="AJ395" s="293">
        <v>0.96</v>
      </c>
      <c r="AK395" s="291">
        <v>0.96</v>
      </c>
      <c r="AL395" s="290">
        <v>11.8</v>
      </c>
      <c r="AM395" s="294">
        <v>70</v>
      </c>
      <c r="AN395" s="290" cm="1">
        <f t="array" aca="1" ref="AN395" ca="1">INDIRECT("'"&amp;$C395&amp;"'!"&amp;"$"&amp;$D395&amp;$AL$1&amp;"")</f>
        <v>0</v>
      </c>
      <c r="AO395" s="293" t="s">
        <v>1</v>
      </c>
      <c r="AP395" s="291" t="s">
        <v>1</v>
      </c>
      <c r="AQ395" s="292" cm="1">
        <f t="array" aca="1" ref="AQ395" ca="1">INDIRECT("'"&amp;$C395&amp;"'!"&amp;"$"&amp;$D395&amp;$AQ$1&amp;"")</f>
        <v>1</v>
      </c>
      <c r="AR395" s="293">
        <v>0.84</v>
      </c>
      <c r="AS395" s="291">
        <v>1.1000000000000001</v>
      </c>
      <c r="AT395" s="290">
        <v>13.99</v>
      </c>
      <c r="AU395" s="294">
        <v>71.03</v>
      </c>
      <c r="AV395" s="290" cm="1">
        <f t="array" aca="1" ref="AV395" ca="1">INDIRECT("'"&amp;$C395&amp;"'!"&amp;"$"&amp;$D395&amp;$AT$1&amp;"")</f>
        <v>7.53</v>
      </c>
      <c r="AW395" s="293">
        <v>0.99</v>
      </c>
      <c r="AX395" s="294">
        <v>1.3</v>
      </c>
      <c r="AY395" s="386">
        <v>68</v>
      </c>
      <c r="AZ395" s="296" cm="1">
        <f t="array" aca="1" ref="AZ395" ca="1">INDIRECT("'"&amp;$C395&amp;"'!"&amp;"$"&amp;$D395&amp;$AY$1&amp;"")</f>
        <v>0</v>
      </c>
      <c r="BA395" s="293" t="s">
        <v>1</v>
      </c>
      <c r="BB395" s="291" t="s">
        <v>1</v>
      </c>
      <c r="BC395" s="292" cm="1">
        <f t="array" aca="1" ref="BC395" ca="1">INDIRECT("'"&amp;$C395&amp;"'!"&amp;"$"&amp;$D395&amp;$BC$1&amp;"")</f>
        <v>0.98</v>
      </c>
      <c r="BD395" s="293"/>
      <c r="BE395" s="293">
        <v>0.99</v>
      </c>
      <c r="BF395" s="291">
        <v>0.14000000000000001</v>
      </c>
      <c r="BG395" s="292" cm="1">
        <f t="array" aca="1" ref="BG395" ca="1">INDIRECT("'"&amp;$C395&amp;"'!"&amp;"$"&amp;$D395&amp;$BG$1&amp;"")</f>
        <v>0.85</v>
      </c>
      <c r="BH395" s="293"/>
      <c r="BI395" s="293">
        <v>0.95</v>
      </c>
      <c r="BJ395" s="291">
        <v>0.27</v>
      </c>
      <c r="BK395" s="292" cm="1">
        <f t="array" aca="1" ref="BK395" ca="1">INDIRECT("'"&amp;$C395&amp;"'!"&amp;"$"&amp;$D395&amp;$BK$1&amp;"")</f>
        <v>4.1399999999999997</v>
      </c>
      <c r="BL395" s="293"/>
      <c r="BM395" s="293">
        <v>0.95</v>
      </c>
      <c r="BN395" s="291">
        <v>1.3</v>
      </c>
    </row>
    <row r="396" spans="1:66" ht="15.75" thickBot="1" x14ac:dyDescent="0.25">
      <c r="A396" s="368">
        <v>45704</v>
      </c>
      <c r="B396" s="365">
        <v>0.66666666666666696</v>
      </c>
      <c r="C396" s="383">
        <v>16</v>
      </c>
      <c r="D396" s="319" t="s">
        <v>126</v>
      </c>
      <c r="E396" s="297">
        <v>14.3</v>
      </c>
      <c r="F396" s="298">
        <v>69.180000000000007</v>
      </c>
      <c r="G396" s="299" cm="1">
        <f t="array" aca="1" ref="G396" ca="1">INDIRECT("'"&amp;$C396&amp;"'!"&amp;"$"&amp;$D396&amp;$E$1&amp;"")</f>
        <v>6.5</v>
      </c>
      <c r="H396" s="300">
        <v>0.94</v>
      </c>
      <c r="I396" s="298">
        <v>2.52</v>
      </c>
      <c r="J396" s="299" cm="1">
        <f t="array" aca="1" ref="J396" ca="1">INDIRECT("'"&amp;$C396&amp;"'!"&amp;"$"&amp;$D396&amp;$J$1&amp;"")</f>
        <v>6.5</v>
      </c>
      <c r="K396" s="300"/>
      <c r="L396" s="300">
        <v>0.94</v>
      </c>
      <c r="M396" s="298">
        <v>2.52</v>
      </c>
      <c r="N396" s="299" cm="1">
        <f t="array" aca="1" ref="N396" ca="1">INDIRECT("'"&amp;$C396&amp;"'!"&amp;"$"&amp;$D396&amp;$N$1&amp;"")</f>
        <v>6.5</v>
      </c>
      <c r="O396" s="300"/>
      <c r="P396" s="300">
        <v>0.94</v>
      </c>
      <c r="Q396" s="298">
        <v>2.52</v>
      </c>
      <c r="R396" s="299" cm="1">
        <f t="array" aca="1" ref="R396" ca="1">INDIRECT("'"&amp;$C396&amp;"'!"&amp;"$"&amp;$D396&amp;$R$1&amp;"")</f>
        <v>6.5</v>
      </c>
      <c r="S396" s="300"/>
      <c r="T396" s="300">
        <v>0.94</v>
      </c>
      <c r="U396" s="298">
        <v>2.52</v>
      </c>
      <c r="V396" s="299" t="str" cm="1">
        <f t="array" aca="1" ref="V396" ca="1">INDIRECT("'"&amp;$C396&amp;"'!"&amp;"$"&amp;$D396&amp;$V$1&amp;"")</f>
        <v>CMS</v>
      </c>
      <c r="W396" s="300" t="s">
        <v>1</v>
      </c>
      <c r="X396" s="300" t="s">
        <v>1</v>
      </c>
      <c r="Y396" s="301" t="s">
        <v>1</v>
      </c>
      <c r="Z396" s="387" cm="1">
        <f t="array" aca="1" ref="Z396" ca="1">INDIRECT("'"&amp;$C396&amp;"'!"&amp;"$"&amp;$D396&amp;$Z$1&amp;"")</f>
        <v>0</v>
      </c>
      <c r="AA396" s="299" t="s">
        <v>1</v>
      </c>
      <c r="AB396" s="300" t="s">
        <v>1</v>
      </c>
      <c r="AC396" s="298" t="s">
        <v>1</v>
      </c>
      <c r="AD396" s="299" cm="1">
        <f t="array" aca="1" ref="AD396" ca="1">INDIRECT("'"&amp;$C396&amp;"'!"&amp;"$"&amp;$D396&amp;$AD$1&amp;"")</f>
        <v>0</v>
      </c>
      <c r="AE396" s="300" t="s">
        <v>1</v>
      </c>
      <c r="AF396" s="300" t="s">
        <v>1</v>
      </c>
      <c r="AG396" s="298" t="s">
        <v>1</v>
      </c>
      <c r="AH396" s="297" cm="1">
        <f t="array" aca="1" ref="AH396" ca="1">INDIRECT("'"&amp;$C396&amp;"'!"&amp;"$"&amp;$D396&amp;$AH$1&amp;"")</f>
        <v>3.8</v>
      </c>
      <c r="AI396" s="300">
        <v>14</v>
      </c>
      <c r="AJ396" s="300">
        <v>0.97</v>
      </c>
      <c r="AK396" s="298">
        <v>0.85199999999999998</v>
      </c>
      <c r="AL396" s="297">
        <v>11.7</v>
      </c>
      <c r="AM396" s="301">
        <v>70</v>
      </c>
      <c r="AN396" s="297" cm="1">
        <f t="array" aca="1" ref="AN396" ca="1">INDIRECT("'"&amp;$C396&amp;"'!"&amp;"$"&amp;$D396&amp;$AL$1&amp;"")</f>
        <v>0</v>
      </c>
      <c r="AO396" s="300" t="s">
        <v>1</v>
      </c>
      <c r="AP396" s="298" t="s">
        <v>1</v>
      </c>
      <c r="AQ396" s="299" cm="1">
        <f t="array" aca="1" ref="AQ396" ca="1">INDIRECT("'"&amp;$C396&amp;"'!"&amp;"$"&amp;$D396&amp;$AQ$1&amp;"")</f>
        <v>3.3</v>
      </c>
      <c r="AR396" s="300">
        <v>0.88</v>
      </c>
      <c r="AS396" s="298">
        <v>1.7</v>
      </c>
      <c r="AT396" s="297">
        <v>14.06</v>
      </c>
      <c r="AU396" s="301">
        <v>71.42</v>
      </c>
      <c r="AV396" s="297" cm="1">
        <f t="array" aca="1" ref="AV396" ca="1">INDIRECT("'"&amp;$C396&amp;"'!"&amp;"$"&amp;$D396&amp;$AT$1&amp;"")</f>
        <v>9.3000000000000007</v>
      </c>
      <c r="AW396" s="300">
        <v>0.99</v>
      </c>
      <c r="AX396" s="301">
        <v>1.6</v>
      </c>
      <c r="AY396" s="387">
        <v>68.400000000000006</v>
      </c>
      <c r="AZ396" s="303" cm="1">
        <f t="array" aca="1" ref="AZ396" ca="1">INDIRECT("'"&amp;$C396&amp;"'!"&amp;"$"&amp;$D396&amp;$AY$1&amp;"")</f>
        <v>0</v>
      </c>
      <c r="BA396" s="300" t="s">
        <v>1</v>
      </c>
      <c r="BB396" s="298" t="s">
        <v>1</v>
      </c>
      <c r="BC396" s="299" cm="1">
        <f t="array" aca="1" ref="BC396" ca="1">INDIRECT("'"&amp;$C396&amp;"'!"&amp;"$"&amp;$D396&amp;$BC$1&amp;"")</f>
        <v>0.99</v>
      </c>
      <c r="BD396" s="300"/>
      <c r="BE396" s="300">
        <v>0.99</v>
      </c>
      <c r="BF396" s="298">
        <v>0.14000000000000001</v>
      </c>
      <c r="BG396" s="299" cm="1">
        <f t="array" aca="1" ref="BG396" ca="1">INDIRECT("'"&amp;$C396&amp;"'!"&amp;"$"&amp;$D396&amp;$BG$1&amp;"")</f>
        <v>0.87</v>
      </c>
      <c r="BH396" s="300"/>
      <c r="BI396" s="300">
        <v>0.95</v>
      </c>
      <c r="BJ396" s="298">
        <v>0.27</v>
      </c>
      <c r="BK396" s="299" cm="1">
        <f t="array" aca="1" ref="BK396" ca="1">INDIRECT("'"&amp;$C396&amp;"'!"&amp;"$"&amp;$D396&amp;$BK$1&amp;"")</f>
        <v>3.91</v>
      </c>
      <c r="BL396" s="300"/>
      <c r="BM396" s="300">
        <v>0.95</v>
      </c>
      <c r="BN396" s="298">
        <v>1.2</v>
      </c>
    </row>
    <row r="397" spans="1:66" ht="15.75" thickBot="1" x14ac:dyDescent="0.25">
      <c r="A397" s="368">
        <v>45704</v>
      </c>
      <c r="B397" s="365">
        <v>0.70833333333333404</v>
      </c>
      <c r="C397" s="383">
        <v>16</v>
      </c>
      <c r="D397" s="319" t="s">
        <v>127</v>
      </c>
      <c r="E397" s="290">
        <v>14.1</v>
      </c>
      <c r="F397" s="291">
        <v>68.83</v>
      </c>
      <c r="G397" s="292" cm="1">
        <f t="array" aca="1" ref="G397" ca="1">INDIRECT("'"&amp;$C397&amp;"'!"&amp;"$"&amp;$D397&amp;$E$1&amp;"")</f>
        <v>7</v>
      </c>
      <c r="H397" s="293">
        <v>0.92</v>
      </c>
      <c r="I397" s="291">
        <v>3.02</v>
      </c>
      <c r="J397" s="292" cm="1">
        <f t="array" aca="1" ref="J397" ca="1">INDIRECT("'"&amp;$C397&amp;"'!"&amp;"$"&amp;$D397&amp;$J$1&amp;"")</f>
        <v>0</v>
      </c>
      <c r="K397" s="293"/>
      <c r="L397" s="293" t="s">
        <v>1</v>
      </c>
      <c r="M397" s="291" t="s">
        <v>1</v>
      </c>
      <c r="N397" s="292" cm="1">
        <f t="array" aca="1" ref="N397" ca="1">INDIRECT("'"&amp;$C397&amp;"'!"&amp;"$"&amp;$D397&amp;$N$1&amp;"")</f>
        <v>5.9</v>
      </c>
      <c r="O397" s="293"/>
      <c r="P397" s="293">
        <v>0.92</v>
      </c>
      <c r="Q397" s="291">
        <v>2.46</v>
      </c>
      <c r="R397" s="292" cm="1">
        <f t="array" aca="1" ref="R397" ca="1">INDIRECT("'"&amp;$C397&amp;"'!"&amp;"$"&amp;$D397&amp;$R$1&amp;"")</f>
        <v>5.9</v>
      </c>
      <c r="S397" s="293"/>
      <c r="T397" s="293">
        <v>0.92</v>
      </c>
      <c r="U397" s="291">
        <v>2.46</v>
      </c>
      <c r="V397" s="292" t="str" cm="1">
        <f t="array" aca="1" ref="V397" ca="1">INDIRECT("'"&amp;$C397&amp;"'!"&amp;"$"&amp;$D397&amp;$V$1&amp;"")</f>
        <v>CMS</v>
      </c>
      <c r="W397" s="293" t="s">
        <v>1</v>
      </c>
      <c r="X397" s="293" t="s">
        <v>1</v>
      </c>
      <c r="Y397" s="294" t="s">
        <v>1</v>
      </c>
      <c r="Z397" s="386" cm="1">
        <f t="array" aca="1" ref="Z397" ca="1">INDIRECT("'"&amp;$C397&amp;"'!"&amp;"$"&amp;$D397&amp;$Z$1&amp;"")</f>
        <v>0</v>
      </c>
      <c r="AA397" s="292" t="s">
        <v>1</v>
      </c>
      <c r="AB397" s="293" t="s">
        <v>1</v>
      </c>
      <c r="AC397" s="291" t="s">
        <v>1</v>
      </c>
      <c r="AD397" s="292" cm="1">
        <f t="array" aca="1" ref="AD397" ca="1">INDIRECT("'"&amp;$C397&amp;"'!"&amp;"$"&amp;$D397&amp;$AD$1&amp;"")</f>
        <v>2</v>
      </c>
      <c r="AE397" s="293">
        <f>3.8*3.45</f>
        <v>13.11</v>
      </c>
      <c r="AF397" s="293">
        <v>0.95</v>
      </c>
      <c r="AG397" s="291">
        <v>0.77</v>
      </c>
      <c r="AH397" s="290" cm="1">
        <f t="array" aca="1" ref="AH397" ca="1">INDIRECT("'"&amp;$C397&amp;"'!"&amp;"$"&amp;$D397&amp;$AH$1&amp;"")</f>
        <v>3.8</v>
      </c>
      <c r="AI397" s="293">
        <v>13.96</v>
      </c>
      <c r="AJ397" s="293">
        <v>0.95</v>
      </c>
      <c r="AK397" s="291">
        <v>1.1299999999999999</v>
      </c>
      <c r="AL397" s="290">
        <v>11.7</v>
      </c>
      <c r="AM397" s="294">
        <v>70</v>
      </c>
      <c r="AN397" s="290" cm="1">
        <f t="array" aca="1" ref="AN397" ca="1">INDIRECT("'"&amp;$C397&amp;"'!"&amp;"$"&amp;$D397&amp;$AL$1&amp;"")</f>
        <v>2.8</v>
      </c>
      <c r="AO397" s="293">
        <v>0.95</v>
      </c>
      <c r="AP397" s="291">
        <v>0.8</v>
      </c>
      <c r="AQ397" s="292" cm="1">
        <f t="array" aca="1" ref="AQ397" ca="1">INDIRECT("'"&amp;$C397&amp;"'!"&amp;"$"&amp;$D397&amp;$AQ$1&amp;"")</f>
        <v>2.8</v>
      </c>
      <c r="AR397" s="293">
        <v>0.95</v>
      </c>
      <c r="AS397" s="291">
        <v>0.88</v>
      </c>
      <c r="AT397" s="290">
        <v>14.05</v>
      </c>
      <c r="AU397" s="294">
        <v>71.180000000000007</v>
      </c>
      <c r="AV397" s="290" cm="1">
        <f t="array" aca="1" ref="AV397" ca="1">INDIRECT("'"&amp;$C397&amp;"'!"&amp;"$"&amp;$D397&amp;$AT$1&amp;"")</f>
        <v>12.85</v>
      </c>
      <c r="AW397" s="293">
        <v>0.99</v>
      </c>
      <c r="AX397" s="294">
        <v>2</v>
      </c>
      <c r="AY397" s="386">
        <v>67.400000000000006</v>
      </c>
      <c r="AZ397" s="296" cm="1">
        <f t="array" aca="1" ref="AZ397" ca="1">INDIRECT("'"&amp;$C397&amp;"'!"&amp;"$"&amp;$D397&amp;$AY$1&amp;"")</f>
        <v>0</v>
      </c>
      <c r="BA397" s="293" t="s">
        <v>1</v>
      </c>
      <c r="BB397" s="291" t="s">
        <v>1</v>
      </c>
      <c r="BC397" s="292" cm="1">
        <f t="array" aca="1" ref="BC397" ca="1">INDIRECT("'"&amp;$C397&amp;"'!"&amp;"$"&amp;$D397&amp;$BC$1&amp;"")</f>
        <v>0.97</v>
      </c>
      <c r="BD397" s="293"/>
      <c r="BE397" s="293">
        <v>0.99</v>
      </c>
      <c r="BF397" s="291">
        <v>0.13</v>
      </c>
      <c r="BG397" s="292" cm="1">
        <f t="array" aca="1" ref="BG397" ca="1">INDIRECT("'"&amp;$C397&amp;"'!"&amp;"$"&amp;$D397&amp;$BG$1&amp;"")</f>
        <v>0.86</v>
      </c>
      <c r="BH397" s="293"/>
      <c r="BI397" s="293">
        <v>0.95</v>
      </c>
      <c r="BJ397" s="291">
        <v>1.2</v>
      </c>
      <c r="BK397" s="292" cm="1">
        <f t="array" aca="1" ref="BK397" ca="1">INDIRECT("'"&amp;$C397&amp;"'!"&amp;"$"&amp;$D397&amp;$BK$1&amp;"")</f>
        <v>3.89</v>
      </c>
      <c r="BL397" s="293"/>
      <c r="BM397" s="293">
        <v>0.95</v>
      </c>
      <c r="BN397" s="291">
        <v>1.2</v>
      </c>
    </row>
    <row r="398" spans="1:66" ht="15.75" thickBot="1" x14ac:dyDescent="0.25">
      <c r="A398" s="368">
        <v>45704</v>
      </c>
      <c r="B398" s="365">
        <v>0.750000000000001</v>
      </c>
      <c r="C398" s="383">
        <v>16</v>
      </c>
      <c r="D398" s="319" t="s">
        <v>128</v>
      </c>
      <c r="E398" s="297">
        <v>14.1</v>
      </c>
      <c r="F398" s="298">
        <v>68.849999999999994</v>
      </c>
      <c r="G398" s="299" cm="1">
        <f t="array" aca="1" ref="G398" ca="1">INDIRECT("'"&amp;$C398&amp;"'!"&amp;"$"&amp;$D398&amp;$E$1&amp;"")</f>
        <v>0</v>
      </c>
      <c r="H398" s="300" t="s">
        <v>1</v>
      </c>
      <c r="I398" s="298" t="s">
        <v>1</v>
      </c>
      <c r="J398" s="299" cm="1">
        <f t="array" aca="1" ref="J398" ca="1">INDIRECT("'"&amp;$C398&amp;"'!"&amp;"$"&amp;$D398&amp;$J$1&amp;"")</f>
        <v>1.4</v>
      </c>
      <c r="K398" s="300"/>
      <c r="L398" s="300">
        <v>0.92</v>
      </c>
      <c r="M398" s="298">
        <v>0.51</v>
      </c>
      <c r="N398" s="299" cm="1">
        <f t="array" aca="1" ref="N398" ca="1">INDIRECT("'"&amp;$C398&amp;"'!"&amp;"$"&amp;$D398&amp;$N$1&amp;"")</f>
        <v>6.3</v>
      </c>
      <c r="O398" s="300"/>
      <c r="P398" s="300">
        <v>0.91</v>
      </c>
      <c r="Q398" s="298">
        <v>2.94</v>
      </c>
      <c r="R398" s="299" cm="1">
        <f t="array" aca="1" ref="R398" ca="1">INDIRECT("'"&amp;$C398&amp;"'!"&amp;"$"&amp;$D398&amp;$R$1&amp;"")</f>
        <v>6.3</v>
      </c>
      <c r="S398" s="300"/>
      <c r="T398" s="300">
        <v>0.91</v>
      </c>
      <c r="U398" s="298">
        <v>2.94</v>
      </c>
      <c r="V398" s="299" t="str" cm="1">
        <f t="array" aca="1" ref="V398" ca="1">INDIRECT("'"&amp;$C398&amp;"'!"&amp;"$"&amp;$D398&amp;$V$1&amp;"")</f>
        <v>CMS</v>
      </c>
      <c r="W398" s="300" t="s">
        <v>1</v>
      </c>
      <c r="X398" s="300" t="s">
        <v>1</v>
      </c>
      <c r="Y398" s="301" t="s">
        <v>1</v>
      </c>
      <c r="Z398" s="387" cm="1">
        <f t="array" aca="1" ref="Z398" ca="1">INDIRECT("'"&amp;$C398&amp;"'!"&amp;"$"&amp;$D398&amp;$Z$1&amp;"")</f>
        <v>0</v>
      </c>
      <c r="AA398" s="299" t="s">
        <v>1</v>
      </c>
      <c r="AB398" s="300" t="s">
        <v>1</v>
      </c>
      <c r="AC398" s="298" t="s">
        <v>1</v>
      </c>
      <c r="AD398" s="299" cm="1">
        <f t="array" aca="1" ref="AD398" ca="1">INDIRECT("'"&amp;$C398&amp;"'!"&amp;"$"&amp;$D398&amp;$AD$1&amp;"")</f>
        <v>3.3</v>
      </c>
      <c r="AE398" s="300">
        <f>3.8*3.51</f>
        <v>13.337999999999999</v>
      </c>
      <c r="AF398" s="300">
        <v>0.94</v>
      </c>
      <c r="AG398" s="298">
        <v>1.2</v>
      </c>
      <c r="AH398" s="297" cm="1">
        <f t="array" aca="1" ref="AH398" ca="1">INDIRECT("'"&amp;$C398&amp;"'!"&amp;"$"&amp;$D398&amp;$AH$1&amp;"")</f>
        <v>3.8</v>
      </c>
      <c r="AI398" s="300">
        <v>13.96</v>
      </c>
      <c r="AJ398" s="300">
        <v>0.98</v>
      </c>
      <c r="AK398" s="298">
        <v>0.70499999999999996</v>
      </c>
      <c r="AL398" s="297">
        <v>11.8</v>
      </c>
      <c r="AM398" s="301">
        <v>70.099999999999994</v>
      </c>
      <c r="AN398" s="297" cm="1">
        <f t="array" aca="1" ref="AN398" ca="1">INDIRECT("'"&amp;$C398&amp;"'!"&amp;"$"&amp;$D398&amp;$AL$1&amp;"")</f>
        <v>4</v>
      </c>
      <c r="AO398" s="300">
        <v>0.95</v>
      </c>
      <c r="AP398" s="298">
        <v>1.3</v>
      </c>
      <c r="AQ398" s="299" cm="1">
        <f t="array" aca="1" ref="AQ398" ca="1">INDIRECT("'"&amp;$C398&amp;"'!"&amp;"$"&amp;$D398&amp;$AQ$1&amp;"")</f>
        <v>4</v>
      </c>
      <c r="AR398" s="300">
        <v>0.95</v>
      </c>
      <c r="AS398" s="298">
        <v>1.3</v>
      </c>
      <c r="AT398" s="297">
        <v>14.14</v>
      </c>
      <c r="AU398" s="301">
        <v>71.709999999999994</v>
      </c>
      <c r="AV398" s="297" cm="1">
        <f t="array" aca="1" ref="AV398" ca="1">INDIRECT("'"&amp;$C398&amp;"'!"&amp;"$"&amp;$D398&amp;$AT$1&amp;"")</f>
        <v>13.75</v>
      </c>
      <c r="AW398" s="300">
        <v>0.99</v>
      </c>
      <c r="AX398" s="301">
        <v>2.2000000000000002</v>
      </c>
      <c r="AY398" s="387">
        <v>67.7</v>
      </c>
      <c r="AZ398" s="303" cm="1">
        <f t="array" aca="1" ref="AZ398" ca="1">INDIRECT("'"&amp;$C398&amp;"'!"&amp;"$"&amp;$D398&amp;$AY$1&amp;"")</f>
        <v>2.31</v>
      </c>
      <c r="BA398" s="300">
        <v>0.97</v>
      </c>
      <c r="BB398" s="298">
        <v>0.56999999999999995</v>
      </c>
      <c r="BC398" s="299" cm="1">
        <f t="array" aca="1" ref="BC398" ca="1">INDIRECT("'"&amp;$C398&amp;"'!"&amp;"$"&amp;$D398&amp;$BC$1&amp;"")</f>
        <v>1.17</v>
      </c>
      <c r="BD398" s="300"/>
      <c r="BE398" s="300">
        <v>0.99</v>
      </c>
      <c r="BF398" s="298">
        <v>0.16</v>
      </c>
      <c r="BG398" s="299" cm="1">
        <f t="array" aca="1" ref="BG398" ca="1">INDIRECT("'"&amp;$C398&amp;"'!"&amp;"$"&amp;$D398&amp;$BG$1&amp;"")</f>
        <v>0.86</v>
      </c>
      <c r="BH398" s="300"/>
      <c r="BI398" s="300">
        <v>0.95</v>
      </c>
      <c r="BJ398" s="298">
        <v>0.27</v>
      </c>
      <c r="BK398" s="299" cm="1">
        <f t="array" aca="1" ref="BK398" ca="1">INDIRECT("'"&amp;$C398&amp;"'!"&amp;"$"&amp;$D398&amp;$BK$1&amp;"")</f>
        <v>3.74</v>
      </c>
      <c r="BL398" s="300"/>
      <c r="BM398" s="300">
        <v>0.95</v>
      </c>
      <c r="BN398" s="298">
        <v>1.2</v>
      </c>
    </row>
    <row r="399" spans="1:66" ht="15.75" thickBot="1" x14ac:dyDescent="0.25">
      <c r="A399" s="368">
        <v>45704</v>
      </c>
      <c r="B399" s="365">
        <v>0.79166666666666696</v>
      </c>
      <c r="C399" s="383">
        <v>16</v>
      </c>
      <c r="D399" s="319" t="s">
        <v>129</v>
      </c>
      <c r="E399" s="290">
        <v>14.2</v>
      </c>
      <c r="F399" s="291">
        <v>69.59</v>
      </c>
      <c r="G399" s="292" cm="1">
        <f t="array" aca="1" ref="G399" ca="1">INDIRECT("'"&amp;$C399&amp;"'!"&amp;"$"&amp;$D399&amp;$E$1&amp;"")</f>
        <v>0</v>
      </c>
      <c r="H399" s="293" t="s">
        <v>1</v>
      </c>
      <c r="I399" s="291" t="s">
        <v>1</v>
      </c>
      <c r="J399" s="292" cm="1">
        <f t="array" aca="1" ref="J399" ca="1">INDIRECT("'"&amp;$C399&amp;"'!"&amp;"$"&amp;$D399&amp;$J$1&amp;"")</f>
        <v>0</v>
      </c>
      <c r="K399" s="304"/>
      <c r="L399" s="293" t="s">
        <v>1</v>
      </c>
      <c r="M399" s="291" t="s">
        <v>1</v>
      </c>
      <c r="N399" s="292" cm="1">
        <f t="array" aca="1" ref="N399" ca="1">INDIRECT("'"&amp;$C399&amp;"'!"&amp;"$"&amp;$D399&amp;$N$1&amp;"")</f>
        <v>6.6</v>
      </c>
      <c r="O399" s="293"/>
      <c r="P399" s="293">
        <v>0.91</v>
      </c>
      <c r="Q399" s="291">
        <v>3.08</v>
      </c>
      <c r="R399" s="292" cm="1">
        <f t="array" aca="1" ref="R399" ca="1">INDIRECT("'"&amp;$C399&amp;"'!"&amp;"$"&amp;$D399&amp;$R$1&amp;"")</f>
        <v>6.6</v>
      </c>
      <c r="S399" s="293"/>
      <c r="T399" s="293">
        <v>0.91</v>
      </c>
      <c r="U399" s="291">
        <v>3.08</v>
      </c>
      <c r="V399" s="292" t="str" cm="1">
        <f t="array" aca="1" ref="V399" ca="1">INDIRECT("'"&amp;$C399&amp;"'!"&amp;"$"&amp;$D399&amp;$V$1&amp;"")</f>
        <v>CMS</v>
      </c>
      <c r="W399" s="293" t="s">
        <v>1</v>
      </c>
      <c r="X399" s="293" t="s">
        <v>1</v>
      </c>
      <c r="Y399" s="294" t="s">
        <v>1</v>
      </c>
      <c r="Z399" s="386" cm="1">
        <f t="array" aca="1" ref="Z399" ca="1">INDIRECT("'"&amp;$C399&amp;"'!"&amp;"$"&amp;$D399&amp;$Z$1&amp;"")</f>
        <v>0</v>
      </c>
      <c r="AA399" s="292" t="s">
        <v>1</v>
      </c>
      <c r="AB399" s="293" t="s">
        <v>1</v>
      </c>
      <c r="AC399" s="291" t="s">
        <v>1</v>
      </c>
      <c r="AD399" s="292" cm="1">
        <f t="array" aca="1" ref="AD399" ca="1">INDIRECT("'"&amp;$C399&amp;"'!"&amp;"$"&amp;$D399&amp;$AD$1&amp;"")</f>
        <v>3.3</v>
      </c>
      <c r="AE399" s="293">
        <f>3.8*3.54</f>
        <v>13.452</v>
      </c>
      <c r="AF399" s="293">
        <v>0.95</v>
      </c>
      <c r="AG399" s="291">
        <v>1.07</v>
      </c>
      <c r="AH399" s="290" cm="1">
        <f t="array" aca="1" ref="AH399" ca="1">INDIRECT("'"&amp;$C399&amp;"'!"&amp;"$"&amp;$D399&amp;$AH$1&amp;"")</f>
        <v>3.8</v>
      </c>
      <c r="AI399" s="293">
        <v>14</v>
      </c>
      <c r="AJ399" s="293">
        <v>0.98</v>
      </c>
      <c r="AK399" s="291">
        <v>0.745</v>
      </c>
      <c r="AL399" s="290">
        <v>11.8</v>
      </c>
      <c r="AM399" s="294">
        <v>70.099999999999994</v>
      </c>
      <c r="AN399" s="290" cm="1">
        <f t="array" aca="1" ref="AN399" ca="1">INDIRECT("'"&amp;$C399&amp;"'!"&amp;"$"&amp;$D399&amp;$AL$1&amp;"")</f>
        <v>4</v>
      </c>
      <c r="AO399" s="293">
        <v>0.97</v>
      </c>
      <c r="AP399" s="291">
        <v>0.89</v>
      </c>
      <c r="AQ399" s="292" cm="1">
        <f t="array" aca="1" ref="AQ399" ca="1">INDIRECT("'"&amp;$C399&amp;"'!"&amp;"$"&amp;$D399&amp;$AQ$1&amp;"")</f>
        <v>4</v>
      </c>
      <c r="AR399" s="293">
        <v>0.97</v>
      </c>
      <c r="AS399" s="291">
        <v>0.89</v>
      </c>
      <c r="AT399" s="290">
        <v>14.06</v>
      </c>
      <c r="AU399" s="294">
        <v>71.56</v>
      </c>
      <c r="AV399" s="290" cm="1">
        <f t="array" aca="1" ref="AV399" ca="1">INDIRECT("'"&amp;$C399&amp;"'!"&amp;"$"&amp;$D399&amp;$AT$1&amp;"")</f>
        <v>13.74</v>
      </c>
      <c r="AW399" s="293">
        <v>1</v>
      </c>
      <c r="AX399" s="294">
        <v>1.2</v>
      </c>
      <c r="AY399" s="386">
        <v>68.599999999999994</v>
      </c>
      <c r="AZ399" s="296" cm="1">
        <f t="array" aca="1" ref="AZ399" ca="1">INDIRECT("'"&amp;$C399&amp;"'!"&amp;"$"&amp;$D399&amp;$AY$1&amp;"")</f>
        <v>5.6</v>
      </c>
      <c r="BA399" s="293">
        <v>0.98</v>
      </c>
      <c r="BB399" s="291">
        <v>1.1000000000000001</v>
      </c>
      <c r="BC399" s="292" cm="1">
        <f t="array" aca="1" ref="BC399" ca="1">INDIRECT("'"&amp;$C399&amp;"'!"&amp;"$"&amp;$D399&amp;$BC$1&amp;"")</f>
        <v>1.46</v>
      </c>
      <c r="BD399" s="293"/>
      <c r="BE399" s="293">
        <v>0.96</v>
      </c>
      <c r="BF399" s="291">
        <v>0.16</v>
      </c>
      <c r="BG399" s="292" cm="1">
        <f t="array" aca="1" ref="BG399" ca="1">INDIRECT("'"&amp;$C399&amp;"'!"&amp;"$"&amp;$D399&amp;$BG$1&amp;"")</f>
        <v>1</v>
      </c>
      <c r="BH399" s="293"/>
      <c r="BI399" s="293">
        <v>0.96</v>
      </c>
      <c r="BJ399" s="291">
        <v>0.27</v>
      </c>
      <c r="BK399" s="292" cm="1">
        <f t="array" aca="1" ref="BK399" ca="1">INDIRECT("'"&amp;$C399&amp;"'!"&amp;"$"&amp;$D399&amp;$BK$1&amp;"")</f>
        <v>4.6900000000000004</v>
      </c>
      <c r="BL399" s="293"/>
      <c r="BM399" s="293">
        <v>0.95</v>
      </c>
      <c r="BN399" s="291">
        <v>1.5</v>
      </c>
    </row>
    <row r="400" spans="1:66" ht="15.75" thickBot="1" x14ac:dyDescent="0.25">
      <c r="A400" s="368">
        <v>45704</v>
      </c>
      <c r="B400" s="365">
        <v>0.83333333333333337</v>
      </c>
      <c r="C400" s="383">
        <v>16</v>
      </c>
      <c r="D400" s="319" t="s">
        <v>130</v>
      </c>
      <c r="E400" s="297">
        <v>14.1</v>
      </c>
      <c r="F400" s="298">
        <v>69.38</v>
      </c>
      <c r="G400" s="299" cm="1">
        <f t="array" aca="1" ref="G400" ca="1">INDIRECT("'"&amp;$C400&amp;"'!"&amp;"$"&amp;$D400&amp;$E$1&amp;"")</f>
        <v>0</v>
      </c>
      <c r="H400" s="300" t="s">
        <v>1</v>
      </c>
      <c r="I400" s="298" t="s">
        <v>1</v>
      </c>
      <c r="J400" s="299" cm="1">
        <f t="array" aca="1" ref="J400" ca="1">INDIRECT("'"&amp;$C400&amp;"'!"&amp;"$"&amp;$D400&amp;$J$1&amp;"")</f>
        <v>0</v>
      </c>
      <c r="K400" s="300"/>
      <c r="L400" s="300" t="s">
        <v>1</v>
      </c>
      <c r="M400" s="298" t="s">
        <v>1</v>
      </c>
      <c r="N400" s="299" cm="1">
        <f t="array" aca="1" ref="N400" ca="1">INDIRECT("'"&amp;$C400&amp;"'!"&amp;"$"&amp;$D400&amp;$N$1&amp;"")</f>
        <v>6.6</v>
      </c>
      <c r="O400" s="300"/>
      <c r="P400" s="300">
        <v>0.93</v>
      </c>
      <c r="Q400" s="298">
        <v>2.72</v>
      </c>
      <c r="R400" s="299" cm="1">
        <f t="array" aca="1" ref="R400" ca="1">INDIRECT("'"&amp;$C400&amp;"'!"&amp;"$"&amp;$D400&amp;$R$1&amp;"")</f>
        <v>6.6</v>
      </c>
      <c r="S400" s="300"/>
      <c r="T400" s="300">
        <v>0.93</v>
      </c>
      <c r="U400" s="298">
        <v>2.67</v>
      </c>
      <c r="V400" s="299" t="str" cm="1">
        <f t="array" aca="1" ref="V400" ca="1">INDIRECT("'"&amp;$C400&amp;"'!"&amp;"$"&amp;$D400&amp;$V$1&amp;"")</f>
        <v>CMS</v>
      </c>
      <c r="W400" s="300" t="s">
        <v>1</v>
      </c>
      <c r="X400" s="300" t="s">
        <v>1</v>
      </c>
      <c r="Y400" s="301" t="s">
        <v>1</v>
      </c>
      <c r="Z400" s="387" cm="1">
        <f t="array" aca="1" ref="Z400" ca="1">INDIRECT("'"&amp;$C400&amp;"'!"&amp;"$"&amp;$D400&amp;$Z$1&amp;"")</f>
        <v>0</v>
      </c>
      <c r="AA400" s="299" t="s">
        <v>1</v>
      </c>
      <c r="AB400" s="300" t="s">
        <v>1</v>
      </c>
      <c r="AC400" s="298" t="s">
        <v>1</v>
      </c>
      <c r="AD400" s="299" cm="1">
        <f t="array" aca="1" ref="AD400" ca="1">INDIRECT("'"&amp;$C400&amp;"'!"&amp;"$"&amp;$D400&amp;$AD$1&amp;"")</f>
        <v>3.3</v>
      </c>
      <c r="AE400" s="300">
        <f>3.8*3.54</f>
        <v>13.452</v>
      </c>
      <c r="AF400" s="300">
        <v>0.95</v>
      </c>
      <c r="AG400" s="298">
        <v>1.05</v>
      </c>
      <c r="AH400" s="297" cm="1">
        <f t="array" aca="1" ref="AH400" ca="1">INDIRECT("'"&amp;$C400&amp;"'!"&amp;"$"&amp;$D400&amp;$AH$1&amp;"")</f>
        <v>3.8</v>
      </c>
      <c r="AI400" s="300">
        <v>14</v>
      </c>
      <c r="AJ400" s="300">
        <v>0.99</v>
      </c>
      <c r="AK400" s="298">
        <v>0.26800000000000002</v>
      </c>
      <c r="AL400" s="297">
        <v>11.8</v>
      </c>
      <c r="AM400" s="301">
        <v>70.8</v>
      </c>
      <c r="AN400" s="297" cm="1">
        <f t="array" aca="1" ref="AN400" ca="1">INDIRECT("'"&amp;$C400&amp;"'!"&amp;"$"&amp;$D400&amp;$AL$1&amp;"")</f>
        <v>4</v>
      </c>
      <c r="AO400" s="300">
        <v>0.98</v>
      </c>
      <c r="AP400" s="298">
        <v>0.79</v>
      </c>
      <c r="AQ400" s="299" cm="1">
        <f t="array" aca="1" ref="AQ400" ca="1">INDIRECT("'"&amp;$C400&amp;"'!"&amp;"$"&amp;$D400&amp;$AQ$1&amp;"")</f>
        <v>4</v>
      </c>
      <c r="AR400" s="300">
        <v>0.98</v>
      </c>
      <c r="AS400" s="298">
        <v>0.79</v>
      </c>
      <c r="AT400" s="297">
        <v>14.1</v>
      </c>
      <c r="AU400" s="301">
        <v>71.77</v>
      </c>
      <c r="AV400" s="297" cm="1">
        <f t="array" aca="1" ref="AV400" ca="1">INDIRECT("'"&amp;$C400&amp;"'!"&amp;"$"&amp;$D400&amp;$AT$1&amp;"")</f>
        <v>13.73</v>
      </c>
      <c r="AW400" s="300">
        <v>1</v>
      </c>
      <c r="AX400" s="301">
        <v>1.2</v>
      </c>
      <c r="AY400" s="387">
        <v>69</v>
      </c>
      <c r="AZ400" s="303" cm="1">
        <f t="array" aca="1" ref="AZ400" ca="1">INDIRECT("'"&amp;$C400&amp;"'!"&amp;"$"&amp;$D400&amp;$AY$1&amp;"")</f>
        <v>3.12</v>
      </c>
      <c r="BA400" s="300">
        <v>0.98</v>
      </c>
      <c r="BB400" s="298">
        <v>0.63</v>
      </c>
      <c r="BC400" s="299" cm="1">
        <f t="array" aca="1" ref="BC400" ca="1">INDIRECT("'"&amp;$C400&amp;"'!"&amp;"$"&amp;$D400&amp;$BC$1&amp;"")</f>
        <v>1.46</v>
      </c>
      <c r="BD400" s="300"/>
      <c r="BE400" s="300">
        <v>0.99</v>
      </c>
      <c r="BF400" s="298">
        <v>0.15</v>
      </c>
      <c r="BG400" s="299" cm="1">
        <f t="array" aca="1" ref="BG400" ca="1">INDIRECT("'"&amp;$C400&amp;"'!"&amp;"$"&amp;$D400&amp;$BG$1&amp;"")</f>
        <v>1</v>
      </c>
      <c r="BH400" s="300"/>
      <c r="BI400" s="300">
        <v>0.95</v>
      </c>
      <c r="BJ400" s="298">
        <v>0.27</v>
      </c>
      <c r="BK400" s="299" cm="1">
        <f t="array" aca="1" ref="BK400" ca="1">INDIRECT("'"&amp;$C400&amp;"'!"&amp;"$"&amp;$D400&amp;$BK$1&amp;"")</f>
        <v>4.62</v>
      </c>
      <c r="BL400" s="300"/>
      <c r="BM400" s="300">
        <v>0.95</v>
      </c>
      <c r="BN400" s="298">
        <v>1.5</v>
      </c>
    </row>
    <row r="401" spans="1:66" ht="15.75" thickBot="1" x14ac:dyDescent="0.25">
      <c r="A401" s="368">
        <v>45704</v>
      </c>
      <c r="B401" s="365">
        <v>0.875000000000001</v>
      </c>
      <c r="C401" s="383">
        <v>16</v>
      </c>
      <c r="D401" s="319" t="s">
        <v>131</v>
      </c>
      <c r="E401" s="290">
        <v>14</v>
      </c>
      <c r="F401" s="291">
        <v>69.08</v>
      </c>
      <c r="G401" s="292" cm="1">
        <f t="array" aca="1" ref="G401" ca="1">INDIRECT("'"&amp;$C401&amp;"'!"&amp;"$"&amp;$D401&amp;$E$1&amp;"")</f>
        <v>0</v>
      </c>
      <c r="H401" s="293" t="s">
        <v>1</v>
      </c>
      <c r="I401" s="291" t="s">
        <v>1</v>
      </c>
      <c r="J401" s="292" cm="1">
        <f t="array" aca="1" ref="J401" ca="1">INDIRECT("'"&amp;$C401&amp;"'!"&amp;"$"&amp;$D401&amp;$J$1&amp;"")</f>
        <v>0</v>
      </c>
      <c r="K401" s="293"/>
      <c r="L401" s="293" t="s">
        <v>1</v>
      </c>
      <c r="M401" s="291" t="s">
        <v>1</v>
      </c>
      <c r="N401" s="292" cm="1">
        <f t="array" aca="1" ref="N401" ca="1">INDIRECT("'"&amp;$C401&amp;"'!"&amp;"$"&amp;$D401&amp;$N$1&amp;"")</f>
        <v>6.5</v>
      </c>
      <c r="O401" s="293"/>
      <c r="P401" s="293">
        <v>0.94</v>
      </c>
      <c r="Q401" s="291">
        <v>2.4500000000000002</v>
      </c>
      <c r="R401" s="292" cm="1">
        <f t="array" aca="1" ref="R401" ca="1">INDIRECT("'"&amp;$C401&amp;"'!"&amp;"$"&amp;$D401&amp;$R$1&amp;"")</f>
        <v>6.5</v>
      </c>
      <c r="S401" s="293"/>
      <c r="T401" s="293">
        <v>0.94</v>
      </c>
      <c r="U401" s="291">
        <v>2.4</v>
      </c>
      <c r="V401" s="292" t="str" cm="1">
        <f t="array" aca="1" ref="V401" ca="1">INDIRECT("'"&amp;$C401&amp;"'!"&amp;"$"&amp;$D401&amp;$V$1&amp;"")</f>
        <v>CMS</v>
      </c>
      <c r="W401" s="293" t="s">
        <v>1</v>
      </c>
      <c r="X401" s="293" t="s">
        <v>1</v>
      </c>
      <c r="Y401" s="294" t="s">
        <v>1</v>
      </c>
      <c r="Z401" s="386" cm="1">
        <f t="array" aca="1" ref="Z401" ca="1">INDIRECT("'"&amp;$C401&amp;"'!"&amp;"$"&amp;$D401&amp;$Z$1&amp;"")</f>
        <v>0</v>
      </c>
      <c r="AA401" s="292" t="s">
        <v>1</v>
      </c>
      <c r="AB401" s="293" t="s">
        <v>1</v>
      </c>
      <c r="AC401" s="291" t="s">
        <v>1</v>
      </c>
      <c r="AD401" s="292" cm="1">
        <f t="array" aca="1" ref="AD401" ca="1">INDIRECT("'"&amp;$C401&amp;"'!"&amp;"$"&amp;$D401&amp;$AD$1&amp;"")</f>
        <v>3.3</v>
      </c>
      <c r="AE401" s="293">
        <f>3.8*3.54</f>
        <v>13.452</v>
      </c>
      <c r="AF401" s="293">
        <v>0.95</v>
      </c>
      <c r="AG401" s="291">
        <v>1.08</v>
      </c>
      <c r="AH401" s="290" cm="1">
        <f t="array" aca="1" ref="AH401" ca="1">INDIRECT("'"&amp;$C401&amp;"'!"&amp;"$"&amp;$D401&amp;$AH$1&amp;"")</f>
        <v>3.8</v>
      </c>
      <c r="AI401" s="293">
        <v>13.96</v>
      </c>
      <c r="AJ401" s="293">
        <v>0.98</v>
      </c>
      <c r="AK401" s="291">
        <v>0.48299999999999998</v>
      </c>
      <c r="AL401" s="290">
        <v>11.8</v>
      </c>
      <c r="AM401" s="294">
        <v>70.400000000000006</v>
      </c>
      <c r="AN401" s="290" cm="1">
        <f t="array" aca="1" ref="AN401" ca="1">INDIRECT("'"&amp;$C401&amp;"'!"&amp;"$"&amp;$D401&amp;$AL$1&amp;"")</f>
        <v>3.8</v>
      </c>
      <c r="AO401" s="293">
        <v>0.97</v>
      </c>
      <c r="AP401" s="291">
        <v>0.81</v>
      </c>
      <c r="AQ401" s="292" cm="1">
        <f t="array" aca="1" ref="AQ401" ca="1">INDIRECT("'"&amp;$C401&amp;"'!"&amp;"$"&amp;$D401&amp;$AQ$1&amp;"")</f>
        <v>3.8</v>
      </c>
      <c r="AR401" s="293">
        <v>0.97</v>
      </c>
      <c r="AS401" s="291">
        <v>0.86</v>
      </c>
      <c r="AT401" s="290">
        <v>14.04</v>
      </c>
      <c r="AU401" s="294">
        <v>71.36</v>
      </c>
      <c r="AV401" s="290" cm="1">
        <f t="array" aca="1" ref="AV401" ca="1">INDIRECT("'"&amp;$C401&amp;"'!"&amp;"$"&amp;$D401&amp;$AT$1&amp;"")</f>
        <v>13.82</v>
      </c>
      <c r="AW401" s="293">
        <v>1</v>
      </c>
      <c r="AX401" s="294">
        <v>1.2</v>
      </c>
      <c r="AY401" s="386">
        <v>67.8</v>
      </c>
      <c r="AZ401" s="296" cm="1">
        <f t="array" aca="1" ref="AZ401" ca="1">INDIRECT("'"&amp;$C401&amp;"'!"&amp;"$"&amp;$D401&amp;$AY$1&amp;"")</f>
        <v>2.2999999999999998</v>
      </c>
      <c r="BA401" s="293">
        <v>0.98</v>
      </c>
      <c r="BB401" s="291">
        <v>0.45</v>
      </c>
      <c r="BC401" s="292" cm="1">
        <f t="array" aca="1" ref="BC401" ca="1">INDIRECT("'"&amp;$C401&amp;"'!"&amp;"$"&amp;$D401&amp;$BC$1&amp;"")</f>
        <v>1.33</v>
      </c>
      <c r="BD401" s="293"/>
      <c r="BE401" s="293">
        <v>0.99</v>
      </c>
      <c r="BF401" s="291">
        <v>0.15</v>
      </c>
      <c r="BG401" s="292" cm="1">
        <f t="array" aca="1" ref="BG401" ca="1">INDIRECT("'"&amp;$C401&amp;"'!"&amp;"$"&amp;$D401&amp;$BG$1&amp;"")</f>
        <v>0.98</v>
      </c>
      <c r="BH401" s="293"/>
      <c r="BI401" s="293">
        <v>0.96</v>
      </c>
      <c r="BJ401" s="291">
        <v>0.26</v>
      </c>
      <c r="BK401" s="292" cm="1">
        <f t="array" aca="1" ref="BK401" ca="1">INDIRECT("'"&amp;$C401&amp;"'!"&amp;"$"&amp;$D401&amp;$BK$1&amp;"")</f>
        <v>4.4000000000000004</v>
      </c>
      <c r="BL401" s="293"/>
      <c r="BM401" s="293">
        <v>0.95</v>
      </c>
      <c r="BN401" s="291">
        <v>1.4</v>
      </c>
    </row>
    <row r="402" spans="1:66" ht="15.75" thickBot="1" x14ac:dyDescent="0.25">
      <c r="A402" s="368">
        <v>45704</v>
      </c>
      <c r="B402" s="365">
        <v>0.91666666666666696</v>
      </c>
      <c r="C402" s="383">
        <v>16</v>
      </c>
      <c r="D402" s="319" t="s">
        <v>132</v>
      </c>
      <c r="E402" s="297">
        <v>14.1</v>
      </c>
      <c r="F402" s="298">
        <v>69.67</v>
      </c>
      <c r="G402" s="299" cm="1">
        <f t="array" aca="1" ref="G402" ca="1">INDIRECT("'"&amp;$C402&amp;"'!"&amp;"$"&amp;$D402&amp;$E$1&amp;"")</f>
        <v>0</v>
      </c>
      <c r="H402" s="300" t="s">
        <v>1</v>
      </c>
      <c r="I402" s="298" t="s">
        <v>1</v>
      </c>
      <c r="J402" s="299" cm="1">
        <f t="array" aca="1" ref="J402" ca="1">INDIRECT("'"&amp;$C402&amp;"'!"&amp;"$"&amp;$D402&amp;$J$1&amp;"")</f>
        <v>0</v>
      </c>
      <c r="K402" s="300"/>
      <c r="L402" s="300" t="s">
        <v>1</v>
      </c>
      <c r="M402" s="298" t="s">
        <v>1</v>
      </c>
      <c r="N402" s="299" cm="1">
        <f t="array" aca="1" ref="N402" ca="1">INDIRECT("'"&amp;$C402&amp;"'!"&amp;"$"&amp;$D402&amp;$N$1&amp;"")</f>
        <v>6.6</v>
      </c>
      <c r="O402" s="300"/>
      <c r="P402" s="300">
        <v>0.95</v>
      </c>
      <c r="Q402" s="298">
        <v>2.23</v>
      </c>
      <c r="R402" s="299" cm="1">
        <f t="array" aca="1" ref="R402" ca="1">INDIRECT("'"&amp;$C402&amp;"'!"&amp;"$"&amp;$D402&amp;$R$1&amp;"")</f>
        <v>6.6</v>
      </c>
      <c r="S402" s="300"/>
      <c r="T402" s="300">
        <v>0.95</v>
      </c>
      <c r="U402" s="298">
        <v>2.2400000000000002</v>
      </c>
      <c r="V402" s="299" t="str" cm="1">
        <f t="array" aca="1" ref="V402" ca="1">INDIRECT("'"&amp;$C402&amp;"'!"&amp;"$"&amp;$D402&amp;$V$1&amp;"")</f>
        <v>CMS</v>
      </c>
      <c r="W402" s="300" t="s">
        <v>1</v>
      </c>
      <c r="X402" s="300" t="s">
        <v>1</v>
      </c>
      <c r="Y402" s="301" t="s">
        <v>1</v>
      </c>
      <c r="Z402" s="387" cm="1">
        <f t="array" aca="1" ref="Z402" ca="1">INDIRECT("'"&amp;$C402&amp;"'!"&amp;"$"&amp;$D402&amp;$Z$1&amp;"")</f>
        <v>0</v>
      </c>
      <c r="AA402" s="299" t="s">
        <v>1</v>
      </c>
      <c r="AB402" s="300" t="s">
        <v>1</v>
      </c>
      <c r="AC402" s="298" t="s">
        <v>1</v>
      </c>
      <c r="AD402" s="299" cm="1">
        <f t="array" aca="1" ref="AD402" ca="1">INDIRECT("'"&amp;$C402&amp;"'!"&amp;"$"&amp;$D402&amp;$AD$1&amp;"")</f>
        <v>3.3</v>
      </c>
      <c r="AE402" s="300">
        <f>3.8*3.58</f>
        <v>13.603999999999999</v>
      </c>
      <c r="AF402" s="300">
        <v>0.95</v>
      </c>
      <c r="AG402" s="298">
        <v>1.05</v>
      </c>
      <c r="AH402" s="297" cm="1">
        <f t="array" aca="1" ref="AH402" ca="1">INDIRECT("'"&amp;$C402&amp;"'!"&amp;"$"&amp;$D402&amp;$AH$1&amp;"")</f>
        <v>3.8</v>
      </c>
      <c r="AI402" s="300">
        <v>14</v>
      </c>
      <c r="AJ402" s="300">
        <v>0.99</v>
      </c>
      <c r="AK402" s="298">
        <v>0.37</v>
      </c>
      <c r="AL402" s="297">
        <v>11.8</v>
      </c>
      <c r="AM402" s="301">
        <v>70.7</v>
      </c>
      <c r="AN402" s="297" cm="1">
        <f t="array" aca="1" ref="AN402" ca="1">INDIRECT("'"&amp;$C402&amp;"'!"&amp;"$"&amp;$D402&amp;$AL$1&amp;"")</f>
        <v>4</v>
      </c>
      <c r="AO402" s="300">
        <v>0.99</v>
      </c>
      <c r="AP402" s="298">
        <v>0.55000000000000004</v>
      </c>
      <c r="AQ402" s="299" cm="1">
        <f t="array" aca="1" ref="AQ402" ca="1">INDIRECT("'"&amp;$C402&amp;"'!"&amp;"$"&amp;$D402&amp;$AQ$1&amp;"")</f>
        <v>4</v>
      </c>
      <c r="AR402" s="300">
        <v>0.99</v>
      </c>
      <c r="AS402" s="298">
        <v>0.55000000000000004</v>
      </c>
      <c r="AT402" s="297">
        <v>14.05</v>
      </c>
      <c r="AU402" s="301">
        <v>71.53</v>
      </c>
      <c r="AV402" s="297" cm="1">
        <f t="array" aca="1" ref="AV402" ca="1">INDIRECT("'"&amp;$C402&amp;"'!"&amp;"$"&amp;$D402&amp;$AT$1&amp;"")</f>
        <v>12.15</v>
      </c>
      <c r="AW402" s="300">
        <v>1</v>
      </c>
      <c r="AX402" s="301">
        <v>1.1000000000000001</v>
      </c>
      <c r="AY402" s="387">
        <v>68.3</v>
      </c>
      <c r="AZ402" s="303" cm="1">
        <f t="array" aca="1" ref="AZ402" ca="1">INDIRECT("'"&amp;$C402&amp;"'!"&amp;"$"&amp;$D402&amp;$AY$1&amp;"")</f>
        <v>0</v>
      </c>
      <c r="BA402" s="300" t="s">
        <v>1</v>
      </c>
      <c r="BB402" s="298" t="s">
        <v>1</v>
      </c>
      <c r="BC402" s="299" cm="1">
        <f t="array" aca="1" ref="BC402" ca="1">INDIRECT("'"&amp;$C402&amp;"'!"&amp;"$"&amp;$D402&amp;$BC$1&amp;"")</f>
        <v>1.17</v>
      </c>
      <c r="BD402" s="300"/>
      <c r="BE402" s="300">
        <v>0.99</v>
      </c>
      <c r="BF402" s="298">
        <v>0.16</v>
      </c>
      <c r="BG402" s="299" cm="1">
        <f t="array" aca="1" ref="BG402" ca="1">INDIRECT("'"&amp;$C402&amp;"'!"&amp;"$"&amp;$D402&amp;$BG$1&amp;"")</f>
        <v>0.93</v>
      </c>
      <c r="BH402" s="300"/>
      <c r="BI402" s="300">
        <v>0.96</v>
      </c>
      <c r="BJ402" s="298">
        <v>0.25</v>
      </c>
      <c r="BK402" s="299" cm="1">
        <f t="array" aca="1" ref="BK402" ca="1">INDIRECT("'"&amp;$C402&amp;"'!"&amp;"$"&amp;$D402&amp;$BK$1&amp;"")</f>
        <v>4.4000000000000004</v>
      </c>
      <c r="BL402" s="300"/>
      <c r="BM402" s="300">
        <v>0.95</v>
      </c>
      <c r="BN402" s="298">
        <v>1.4</v>
      </c>
    </row>
    <row r="403" spans="1:66" ht="15.75" thickBot="1" x14ac:dyDescent="0.25">
      <c r="A403" s="369">
        <v>45704</v>
      </c>
      <c r="B403" s="366">
        <v>0.95833333333333404</v>
      </c>
      <c r="C403" s="383">
        <v>16</v>
      </c>
      <c r="D403" s="321" t="s">
        <v>133</v>
      </c>
      <c r="E403" s="305">
        <v>14.2</v>
      </c>
      <c r="F403" s="306">
        <v>70.260000000000005</v>
      </c>
      <c r="G403" s="307" cm="1">
        <f t="array" aca="1" ref="G403" ca="1">INDIRECT("'"&amp;$C403&amp;"'!"&amp;"$"&amp;$D403&amp;$E$1&amp;"")</f>
        <v>0</v>
      </c>
      <c r="H403" s="308" t="s">
        <v>1</v>
      </c>
      <c r="I403" s="306" t="s">
        <v>1</v>
      </c>
      <c r="J403" s="307" cm="1">
        <f t="array" aca="1" ref="J403" ca="1">INDIRECT("'"&amp;$C403&amp;"'!"&amp;"$"&amp;$D403&amp;$J$1&amp;"")</f>
        <v>0</v>
      </c>
      <c r="K403" s="308"/>
      <c r="L403" s="308" t="s">
        <v>1</v>
      </c>
      <c r="M403" s="306" t="s">
        <v>1</v>
      </c>
      <c r="N403" s="307" cm="1">
        <f t="array" aca="1" ref="N403" ca="1">INDIRECT("'"&amp;$C403&amp;"'!"&amp;"$"&amp;$D403&amp;$N$1&amp;"")</f>
        <v>6.6</v>
      </c>
      <c r="O403" s="308"/>
      <c r="P403" s="308">
        <v>0.96</v>
      </c>
      <c r="Q403" s="306">
        <v>1.92</v>
      </c>
      <c r="R403" s="307" cm="1">
        <f t="array" aca="1" ref="R403" ca="1">INDIRECT("'"&amp;$C403&amp;"'!"&amp;"$"&amp;$D403&amp;$R$1&amp;"")</f>
        <v>6.6</v>
      </c>
      <c r="S403" s="308"/>
      <c r="T403" s="308">
        <v>0.96</v>
      </c>
      <c r="U403" s="306">
        <v>1.93</v>
      </c>
      <c r="V403" s="307" t="str" cm="1">
        <f t="array" aca="1" ref="V403" ca="1">INDIRECT("'"&amp;$C403&amp;"'!"&amp;"$"&amp;$D403&amp;$V$1&amp;"")</f>
        <v>CMS</v>
      </c>
      <c r="W403" s="308" t="s">
        <v>1</v>
      </c>
      <c r="X403" s="308" t="s">
        <v>1</v>
      </c>
      <c r="Y403" s="309" t="s">
        <v>1</v>
      </c>
      <c r="Z403" s="389" cm="1">
        <f t="array" aca="1" ref="Z403" ca="1">INDIRECT("'"&amp;$C403&amp;"'!"&amp;"$"&amp;$D403&amp;$Z$1&amp;"")</f>
        <v>0</v>
      </c>
      <c r="AA403" s="307" t="s">
        <v>1</v>
      </c>
      <c r="AB403" s="308" t="s">
        <v>1</v>
      </c>
      <c r="AC403" s="306" t="s">
        <v>1</v>
      </c>
      <c r="AD403" s="307" cm="1">
        <f t="array" aca="1" ref="AD403" ca="1">INDIRECT("'"&amp;$C403&amp;"'!"&amp;"$"&amp;$D403&amp;$AD$1&amp;"")</f>
        <v>3.3</v>
      </c>
      <c r="AE403" s="308">
        <f>3.8*3.562</f>
        <v>13.535599999999999</v>
      </c>
      <c r="AF403" s="308">
        <v>0.98</v>
      </c>
      <c r="AG403" s="309">
        <v>0.61</v>
      </c>
      <c r="AH403" s="305" cm="1">
        <f t="array" aca="1" ref="AH403" ca="1">INDIRECT("'"&amp;$C403&amp;"'!"&amp;"$"&amp;$D403&amp;$AH$1&amp;"")</f>
        <v>0</v>
      </c>
      <c r="AI403" s="308" t="s">
        <v>1</v>
      </c>
      <c r="AJ403" s="308" t="s">
        <v>1</v>
      </c>
      <c r="AK403" s="306" t="s">
        <v>1</v>
      </c>
      <c r="AL403" s="305">
        <v>11.8</v>
      </c>
      <c r="AM403" s="309">
        <v>70.599999999999994</v>
      </c>
      <c r="AN403" s="305" cm="1">
        <f t="array" aca="1" ref="AN403" ca="1">INDIRECT("'"&amp;$C403&amp;"'!"&amp;"$"&amp;$D403&amp;$AL$1&amp;"")</f>
        <v>3</v>
      </c>
      <c r="AO403" s="308">
        <v>0.99</v>
      </c>
      <c r="AP403" s="306">
        <v>0.5</v>
      </c>
      <c r="AQ403" s="307" cm="1">
        <f t="array" aca="1" ref="AQ403" ca="1">INDIRECT("'"&amp;$C403&amp;"'!"&amp;"$"&amp;$D403&amp;$AQ$1&amp;"")</f>
        <v>3.6</v>
      </c>
      <c r="AR403" s="308">
        <v>0.99</v>
      </c>
      <c r="AS403" s="306">
        <v>0.55000000000000004</v>
      </c>
      <c r="AT403" s="305">
        <v>14.08</v>
      </c>
      <c r="AU403" s="309">
        <v>71.59</v>
      </c>
      <c r="AV403" s="305" cm="1">
        <f t="array" aca="1" ref="AV403" ca="1">INDIRECT("'"&amp;$C403&amp;"'!"&amp;"$"&amp;$D403&amp;$AT$1&amp;"")</f>
        <v>13.62</v>
      </c>
      <c r="AW403" s="308">
        <v>1</v>
      </c>
      <c r="AX403" s="306">
        <v>1.2</v>
      </c>
      <c r="AY403" s="384">
        <v>69.099999999999994</v>
      </c>
      <c r="AZ403" s="310" cm="1">
        <f t="array" aca="1" ref="AZ403" ca="1">INDIRECT("'"&amp;$C403&amp;"'!"&amp;"$"&amp;$D403&amp;$AY$1&amp;"")</f>
        <v>0</v>
      </c>
      <c r="BA403" s="308" t="s">
        <v>1</v>
      </c>
      <c r="BB403" s="306" t="s">
        <v>1</v>
      </c>
      <c r="BC403" s="307" cm="1">
        <f t="array" aca="1" ref="BC403" ca="1">INDIRECT("'"&amp;$C403&amp;"'!"&amp;"$"&amp;$D403&amp;$BC$1&amp;"")</f>
        <v>0.99</v>
      </c>
      <c r="BD403" s="308"/>
      <c r="BE403" s="308">
        <v>0.99</v>
      </c>
      <c r="BF403" s="306">
        <v>0.15</v>
      </c>
      <c r="BG403" s="307" cm="1">
        <f t="array" aca="1" ref="BG403" ca="1">INDIRECT("'"&amp;$C403&amp;"'!"&amp;"$"&amp;$D403&amp;$BG$1&amp;"")</f>
        <v>0.88</v>
      </c>
      <c r="BH403" s="308"/>
      <c r="BI403" s="308">
        <v>0.96</v>
      </c>
      <c r="BJ403" s="306">
        <v>0.74</v>
      </c>
      <c r="BK403" s="307" cm="1">
        <f t="array" aca="1" ref="BK403" ca="1">INDIRECT("'"&amp;$C403&amp;"'!"&amp;"$"&amp;$D403&amp;$BK$1&amp;"")</f>
        <v>3.8</v>
      </c>
      <c r="BL403" s="308"/>
      <c r="BM403" s="308">
        <v>0.95</v>
      </c>
      <c r="BN403" s="306">
        <v>1.2</v>
      </c>
    </row>
    <row r="404" spans="1:66" ht="15" thickBot="1" x14ac:dyDescent="0.25"/>
    <row r="405" spans="1:66" ht="15.75" thickBot="1" x14ac:dyDescent="0.25">
      <c r="A405" s="367">
        <v>45705</v>
      </c>
      <c r="B405" s="364">
        <v>0</v>
      </c>
      <c r="C405" s="383">
        <f>C403+1</f>
        <v>17</v>
      </c>
      <c r="D405" s="316" t="s">
        <v>110</v>
      </c>
      <c r="E405" s="284">
        <v>14.3</v>
      </c>
      <c r="F405" s="285">
        <v>70.52</v>
      </c>
      <c r="G405" s="286" cm="1">
        <f t="array" aca="1" ref="G405" ca="1">INDIRECT("'"&amp;$C405&amp;"'!"&amp;"$"&amp;$D405&amp;$E$1&amp;"")</f>
        <v>6.6</v>
      </c>
      <c r="H405" s="287">
        <v>0.98</v>
      </c>
      <c r="I405" s="285">
        <v>1.44</v>
      </c>
      <c r="J405" s="286" cm="1">
        <f t="array" aca="1" ref="J405" ca="1">INDIRECT("'"&amp;$C405&amp;"'!"&amp;"$"&amp;$D405&amp;$J$1&amp;"")</f>
        <v>0</v>
      </c>
      <c r="K405" s="287"/>
      <c r="L405" s="287" t="s">
        <v>1</v>
      </c>
      <c r="M405" s="285" t="s">
        <v>1</v>
      </c>
      <c r="N405" s="286" cm="1">
        <f t="array" aca="1" ref="N405" ca="1">INDIRECT("'"&amp;$C405&amp;"'!"&amp;"$"&amp;$D405&amp;$N$1&amp;"")</f>
        <v>6.6</v>
      </c>
      <c r="O405" s="287"/>
      <c r="P405" s="287">
        <v>0.98</v>
      </c>
      <c r="Q405" s="285">
        <v>1.4450000000000001</v>
      </c>
      <c r="R405" s="286" cm="1">
        <f t="array" aca="1" ref="R405" ca="1">INDIRECT("'"&amp;$C405&amp;"'!"&amp;"$"&amp;$D405&amp;$R$1&amp;"")</f>
        <v>0</v>
      </c>
      <c r="S405" s="287"/>
      <c r="T405" s="287" t="s">
        <v>1</v>
      </c>
      <c r="U405" s="285" t="s">
        <v>1</v>
      </c>
      <c r="V405" s="286" t="str" cm="1">
        <f t="array" aca="1" ref="V405" ca="1">INDIRECT("'"&amp;$C405&amp;"'!"&amp;"$"&amp;$D405&amp;$V$1&amp;"")</f>
        <v>CMS</v>
      </c>
      <c r="W405" s="287" t="s">
        <v>1</v>
      </c>
      <c r="X405" s="287" t="s">
        <v>1</v>
      </c>
      <c r="Y405" s="288" t="s">
        <v>1</v>
      </c>
      <c r="Z405" s="385" cm="1">
        <f t="array" aca="1" ref="Z405" ca="1">INDIRECT("'"&amp;$C405&amp;"'!"&amp;"$"&amp;$D405&amp;$Z$1&amp;"")</f>
        <v>0</v>
      </c>
      <c r="AA405" s="286" t="s">
        <v>1</v>
      </c>
      <c r="AB405" s="287" t="s">
        <v>1</v>
      </c>
      <c r="AC405" s="285" t="s">
        <v>1</v>
      </c>
      <c r="AD405" s="286" cm="1">
        <f t="array" aca="1" ref="AD405" ca="1">INDIRECT("'"&amp;$C405&amp;"'!"&amp;"$"&amp;$D405&amp;$AD$1&amp;"")</f>
        <v>3.3</v>
      </c>
      <c r="AE405" s="287">
        <f>3.8*3.64</f>
        <v>13.831999999999999</v>
      </c>
      <c r="AF405" s="287">
        <v>0.99</v>
      </c>
      <c r="AG405" s="285">
        <v>0.37</v>
      </c>
      <c r="AH405" s="284" cm="1">
        <f t="array" aca="1" ref="AH405" ca="1">INDIRECT("'"&amp;$C405&amp;"'!"&amp;"$"&amp;$D405&amp;$AH$1&amp;"")</f>
        <v>0</v>
      </c>
      <c r="AI405" s="287" t="s">
        <v>1</v>
      </c>
      <c r="AJ405" s="287" t="s">
        <v>1</v>
      </c>
      <c r="AK405" s="285" t="s">
        <v>1</v>
      </c>
      <c r="AL405" s="284">
        <v>11.8</v>
      </c>
      <c r="AM405" s="288">
        <v>70.8</v>
      </c>
      <c r="AN405" s="284" cm="1">
        <f t="array" aca="1" ref="AN405" ca="1">INDIRECT("'"&amp;$C405&amp;"'!"&amp;"$"&amp;$D405&amp;$AL$1&amp;"")</f>
        <v>3.5</v>
      </c>
      <c r="AO405" s="287">
        <v>0.99</v>
      </c>
      <c r="AP405" s="285">
        <v>0.3</v>
      </c>
      <c r="AQ405" s="286" cm="1">
        <f t="array" aca="1" ref="AQ405" ca="1">INDIRECT("'"&amp;$C405&amp;"'!"&amp;"$"&amp;$D405&amp;$AQ$1&amp;"")</f>
        <v>1</v>
      </c>
      <c r="AR405" s="287">
        <v>0.99</v>
      </c>
      <c r="AS405" s="285">
        <v>0.25</v>
      </c>
      <c r="AT405" s="284">
        <v>14.15</v>
      </c>
      <c r="AU405" s="381">
        <v>72.03</v>
      </c>
      <c r="AV405" s="284" cm="1">
        <f t="array" aca="1" ref="AV405" ca="1">INDIRECT("'"&amp;$C405&amp;"'!"&amp;"$"&amp;$D405&amp;$AT$1&amp;"")</f>
        <v>12.48</v>
      </c>
      <c r="AW405" s="287">
        <v>1</v>
      </c>
      <c r="AX405" s="288">
        <v>1.1000000000000001</v>
      </c>
      <c r="AY405" s="385">
        <v>69.7</v>
      </c>
      <c r="AZ405" s="381" cm="1">
        <f t="array" aca="1" ref="AZ405" ca="1">INDIRECT("'"&amp;$C405&amp;"'!"&amp;"$"&amp;$D405&amp;$AY$1&amp;"")</f>
        <v>0</v>
      </c>
      <c r="BA405" s="287" t="s">
        <v>1</v>
      </c>
      <c r="BB405" s="285" t="s">
        <v>1</v>
      </c>
      <c r="BC405" s="286" cm="1">
        <f t="array" aca="1" ref="BC405" ca="1">INDIRECT("'"&amp;$C405&amp;"'!"&amp;"$"&amp;$D405&amp;$BC$1&amp;"")</f>
        <v>0.89</v>
      </c>
      <c r="BD405" s="287"/>
      <c r="BE405" s="287">
        <v>0.99</v>
      </c>
      <c r="BF405" s="285">
        <v>0.13</v>
      </c>
      <c r="BG405" s="286" cm="1">
        <f t="array" aca="1" ref="BG405" ca="1">INDIRECT("'"&amp;$C405&amp;"'!"&amp;"$"&amp;$D405&amp;$BG$1&amp;"")</f>
        <v>0.79</v>
      </c>
      <c r="BH405" s="287"/>
      <c r="BI405" s="287">
        <v>0.96</v>
      </c>
      <c r="BJ405" s="285">
        <v>0.23</v>
      </c>
      <c r="BK405" s="286" cm="1">
        <f t="array" aca="1" ref="BK405" ca="1">INDIRECT("'"&amp;$C405&amp;"'!"&amp;"$"&amp;$D405&amp;$BK$1&amp;"")</f>
        <v>3.5</v>
      </c>
      <c r="BL405" s="287"/>
      <c r="BM405" s="287">
        <v>0.95</v>
      </c>
      <c r="BN405" s="285">
        <v>1.1000000000000001</v>
      </c>
    </row>
    <row r="406" spans="1:66" ht="15.75" thickBot="1" x14ac:dyDescent="0.25">
      <c r="A406" s="368">
        <v>45705</v>
      </c>
      <c r="B406" s="365">
        <v>4.1666666666666699E-2</v>
      </c>
      <c r="C406" s="383">
        <f>C405</f>
        <v>17</v>
      </c>
      <c r="D406" s="319" t="s">
        <v>111</v>
      </c>
      <c r="E406" s="290">
        <v>14.3</v>
      </c>
      <c r="F406" s="291">
        <v>71.010000000000005</v>
      </c>
      <c r="G406" s="292" cm="1">
        <f t="array" aca="1" ref="G406" ca="1">INDIRECT("'"&amp;$C406&amp;"'!"&amp;"$"&amp;$D406&amp;$E$1&amp;"")</f>
        <v>6.3</v>
      </c>
      <c r="H406" s="293">
        <v>0.99</v>
      </c>
      <c r="I406" s="291">
        <v>1.03</v>
      </c>
      <c r="J406" s="292" cm="1">
        <f t="array" aca="1" ref="J406" ca="1">INDIRECT("'"&amp;$C406&amp;"'!"&amp;"$"&amp;$D406&amp;$J$1&amp;"")</f>
        <v>0</v>
      </c>
      <c r="K406" s="293"/>
      <c r="L406" s="293" t="s">
        <v>1</v>
      </c>
      <c r="M406" s="291" t="s">
        <v>1</v>
      </c>
      <c r="N406" s="292" cm="1">
        <f t="array" aca="1" ref="N406" ca="1">INDIRECT("'"&amp;$C406&amp;"'!"&amp;"$"&amp;$D406&amp;$N$1&amp;"")</f>
        <v>6.3</v>
      </c>
      <c r="O406" s="293"/>
      <c r="P406" s="293">
        <v>0.99</v>
      </c>
      <c r="Q406" s="291">
        <v>1.06</v>
      </c>
      <c r="R406" s="292" cm="1">
        <f t="array" aca="1" ref="R406" ca="1">INDIRECT("'"&amp;$C406&amp;"'!"&amp;"$"&amp;$D406&amp;$R$1&amp;"")</f>
        <v>0</v>
      </c>
      <c r="S406" s="293"/>
      <c r="T406" s="293" t="s">
        <v>1</v>
      </c>
      <c r="U406" s="291" t="s">
        <v>1</v>
      </c>
      <c r="V406" s="292" t="str" cm="1">
        <f t="array" aca="1" ref="V406" ca="1">INDIRECT("'"&amp;$C406&amp;"'!"&amp;"$"&amp;$D406&amp;$V$1&amp;"")</f>
        <v>CMS</v>
      </c>
      <c r="W406" s="293" t="s">
        <v>1</v>
      </c>
      <c r="X406" s="293" t="s">
        <v>1</v>
      </c>
      <c r="Y406" s="294" t="s">
        <v>1</v>
      </c>
      <c r="Z406" s="386" cm="1">
        <f t="array" aca="1" ref="Z406" ca="1">INDIRECT("'"&amp;$C406&amp;"'!"&amp;"$"&amp;$D406&amp;$Z$1&amp;"")</f>
        <v>0</v>
      </c>
      <c r="AA406" s="292" t="s">
        <v>1</v>
      </c>
      <c r="AB406" s="293" t="s">
        <v>1</v>
      </c>
      <c r="AC406" s="291" t="s">
        <v>1</v>
      </c>
      <c r="AD406" s="292" cm="1">
        <f t="array" aca="1" ref="AD406" ca="1">INDIRECT("'"&amp;$C406&amp;"'!"&amp;"$"&amp;$D406&amp;$AD$1&amp;"")</f>
        <v>2.8</v>
      </c>
      <c r="AE406" s="293">
        <f>3.8*3.65</f>
        <v>13.87</v>
      </c>
      <c r="AF406" s="293">
        <v>1</v>
      </c>
      <c r="AG406" s="294">
        <v>7.0000000000000007E-2</v>
      </c>
      <c r="AH406" s="290" cm="1">
        <f t="array" aca="1" ref="AH406" ca="1">INDIRECT("'"&amp;$C406&amp;"'!"&amp;"$"&amp;$D406&amp;$AH$1&amp;"")</f>
        <v>0</v>
      </c>
      <c r="AI406" s="293" t="s">
        <v>1</v>
      </c>
      <c r="AJ406" s="293" t="s">
        <v>1</v>
      </c>
      <c r="AK406" s="291" t="s">
        <v>1</v>
      </c>
      <c r="AL406" s="290">
        <v>11.8</v>
      </c>
      <c r="AM406" s="294">
        <v>70.900000000000006</v>
      </c>
      <c r="AN406" s="290" cm="1">
        <f t="array" aca="1" ref="AN406" ca="1">INDIRECT("'"&amp;$C406&amp;"'!"&amp;"$"&amp;$D406&amp;$AL$1&amp;"")</f>
        <v>0</v>
      </c>
      <c r="AO406" s="293" t="s">
        <v>1</v>
      </c>
      <c r="AP406" s="291" t="s">
        <v>1</v>
      </c>
      <c r="AQ406" s="292" cm="1">
        <f t="array" aca="1" ref="AQ406" ca="1">INDIRECT("'"&amp;$C406&amp;"'!"&amp;"$"&amp;$D406&amp;$AQ$1&amp;"")</f>
        <v>2.8</v>
      </c>
      <c r="AR406" s="293">
        <v>1</v>
      </c>
      <c r="AS406" s="291">
        <v>0.1</v>
      </c>
      <c r="AT406" s="290">
        <v>14.15</v>
      </c>
      <c r="AU406" s="296">
        <v>71.959999999999994</v>
      </c>
      <c r="AV406" s="290" cm="1">
        <f t="array" aca="1" ref="AV406" ca="1">INDIRECT("'"&amp;$C406&amp;"'!"&amp;"$"&amp;$D406&amp;$AT$1&amp;"")</f>
        <v>11.7</v>
      </c>
      <c r="AW406" s="293">
        <v>1</v>
      </c>
      <c r="AX406" s="294">
        <v>1.1000000000000001</v>
      </c>
      <c r="AY406" s="386">
        <v>70.099999999999994</v>
      </c>
      <c r="AZ406" s="296" cm="1">
        <f t="array" aca="1" ref="AZ406" ca="1">INDIRECT("'"&amp;$C406&amp;"'!"&amp;"$"&amp;$D406&amp;$AY$1&amp;"")</f>
        <v>0</v>
      </c>
      <c r="BA406" s="293" t="s">
        <v>1</v>
      </c>
      <c r="BB406" s="291" t="s">
        <v>1</v>
      </c>
      <c r="BC406" s="292" cm="1">
        <f t="array" aca="1" ref="BC406" ca="1">INDIRECT("'"&amp;$C406&amp;"'!"&amp;"$"&amp;$D406&amp;$BC$1&amp;"")</f>
        <v>0.84</v>
      </c>
      <c r="BD406" s="293"/>
      <c r="BE406" s="293">
        <v>0.99</v>
      </c>
      <c r="BF406" s="291">
        <v>0.12</v>
      </c>
      <c r="BG406" s="292" cm="1">
        <f t="array" aca="1" ref="BG406" ca="1">INDIRECT("'"&amp;$C406&amp;"'!"&amp;"$"&amp;$D406&amp;$BG$1&amp;"")</f>
        <v>0.77</v>
      </c>
      <c r="BH406" s="293"/>
      <c r="BI406" s="293">
        <v>0.96</v>
      </c>
      <c r="BJ406" s="291">
        <v>0.22</v>
      </c>
      <c r="BK406" s="292" cm="1">
        <f t="array" aca="1" ref="BK406" ca="1">INDIRECT("'"&amp;$C406&amp;"'!"&amp;"$"&amp;$D406&amp;$BK$1&amp;"")</f>
        <v>3.3</v>
      </c>
      <c r="BL406" s="293"/>
      <c r="BM406" s="293">
        <v>0.95</v>
      </c>
      <c r="BN406" s="291">
        <v>1</v>
      </c>
    </row>
    <row r="407" spans="1:66" ht="15.75" thickBot="1" x14ac:dyDescent="0.25">
      <c r="A407" s="368">
        <v>45705</v>
      </c>
      <c r="B407" s="365">
        <v>8.3333333333333301E-2</v>
      </c>
      <c r="C407" s="383">
        <f t="shared" ref="C407:C428" si="5">C406</f>
        <v>17</v>
      </c>
      <c r="D407" s="319" t="s">
        <v>112</v>
      </c>
      <c r="E407" s="297">
        <v>14.1</v>
      </c>
      <c r="F407" s="298">
        <v>70.36</v>
      </c>
      <c r="G407" s="299" cm="1">
        <f t="array" aca="1" ref="G407" ca="1">INDIRECT("'"&amp;$C407&amp;"'!"&amp;"$"&amp;$D407&amp;$E$1&amp;"")</f>
        <v>6.6</v>
      </c>
      <c r="H407" s="300">
        <v>1</v>
      </c>
      <c r="I407" s="298">
        <v>0</v>
      </c>
      <c r="J407" s="299" cm="1">
        <f t="array" aca="1" ref="J407" ca="1">INDIRECT("'"&amp;$C407&amp;"'!"&amp;"$"&amp;$D407&amp;$J$1&amp;"")</f>
        <v>0</v>
      </c>
      <c r="K407" s="300"/>
      <c r="L407" s="300" t="s">
        <v>1</v>
      </c>
      <c r="M407" s="298" t="s">
        <v>1</v>
      </c>
      <c r="N407" s="299" cm="1">
        <f t="array" aca="1" ref="N407" ca="1">INDIRECT("'"&amp;$C407&amp;"'!"&amp;"$"&amp;$D407&amp;$N$1&amp;"")</f>
        <v>6.6</v>
      </c>
      <c r="O407" s="300"/>
      <c r="P407" s="300">
        <v>1</v>
      </c>
      <c r="Q407" s="298">
        <v>0</v>
      </c>
      <c r="R407" s="299" cm="1">
        <f t="array" aca="1" ref="R407" ca="1">INDIRECT("'"&amp;$C407&amp;"'!"&amp;"$"&amp;$D407&amp;$R$1&amp;"")</f>
        <v>0</v>
      </c>
      <c r="S407" s="300"/>
      <c r="T407" s="300" t="s">
        <v>1</v>
      </c>
      <c r="U407" s="298" t="s">
        <v>1</v>
      </c>
      <c r="V407" s="299" t="str" cm="1">
        <f t="array" aca="1" ref="V407" ca="1">INDIRECT("'"&amp;$C407&amp;"'!"&amp;"$"&amp;$D407&amp;$V$1&amp;"")</f>
        <v>CMS</v>
      </c>
      <c r="W407" s="300" t="s">
        <v>1</v>
      </c>
      <c r="X407" s="300" t="s">
        <v>1</v>
      </c>
      <c r="Y407" s="301" t="s">
        <v>1</v>
      </c>
      <c r="Z407" s="387" cm="1">
        <f t="array" aca="1" ref="Z407" ca="1">INDIRECT("'"&amp;$C407&amp;"'!"&amp;"$"&amp;$D407&amp;$Z$1&amp;"")</f>
        <v>0</v>
      </c>
      <c r="AA407" s="299" t="s">
        <v>1</v>
      </c>
      <c r="AB407" s="300" t="s">
        <v>1</v>
      </c>
      <c r="AC407" s="298" t="s">
        <v>1</v>
      </c>
      <c r="AD407" s="299" cm="1">
        <f t="array" aca="1" ref="AD407" ca="1">INDIRECT("'"&amp;$C407&amp;"'!"&amp;"$"&amp;$D407&amp;$AD$1&amp;"")</f>
        <v>3.3</v>
      </c>
      <c r="AE407" s="300">
        <f>3.8*3.61</f>
        <v>13.717999999999998</v>
      </c>
      <c r="AF407" s="300">
        <v>1</v>
      </c>
      <c r="AG407" s="301">
        <v>7.0000000000000007E-2</v>
      </c>
      <c r="AH407" s="297" cm="1">
        <f t="array" aca="1" ref="AH407" ca="1">INDIRECT("'"&amp;$C407&amp;"'!"&amp;"$"&amp;$D407&amp;$AH$1&amp;"")</f>
        <v>0</v>
      </c>
      <c r="AI407" s="300" t="s">
        <v>1</v>
      </c>
      <c r="AJ407" s="300" t="s">
        <v>1</v>
      </c>
      <c r="AK407" s="298" t="s">
        <v>1</v>
      </c>
      <c r="AL407" s="297">
        <v>11.8</v>
      </c>
      <c r="AM407" s="301">
        <v>70.3</v>
      </c>
      <c r="AN407" s="297" cm="1">
        <f t="array" aca="1" ref="AN407" ca="1">INDIRECT("'"&amp;$C407&amp;"'!"&amp;"$"&amp;$D407&amp;$AL$1&amp;"")</f>
        <v>0</v>
      </c>
      <c r="AO407" s="300" t="s">
        <v>1</v>
      </c>
      <c r="AP407" s="298" t="s">
        <v>1</v>
      </c>
      <c r="AQ407" s="299" cm="1">
        <f t="array" aca="1" ref="AQ407" ca="1">INDIRECT("'"&amp;$C407&amp;"'!"&amp;"$"&amp;$D407&amp;$AQ$1&amp;"")</f>
        <v>0</v>
      </c>
      <c r="AR407" s="300" t="s">
        <v>1</v>
      </c>
      <c r="AS407" s="298" t="s">
        <v>1</v>
      </c>
      <c r="AT407" s="297">
        <v>14.17</v>
      </c>
      <c r="AU407" s="303">
        <v>71.78</v>
      </c>
      <c r="AV407" s="297" cm="1">
        <f t="array" aca="1" ref="AV407" ca="1">INDIRECT("'"&amp;$C407&amp;"'!"&amp;"$"&amp;$D407&amp;$AT$1&amp;"")</f>
        <v>12.24</v>
      </c>
      <c r="AW407" s="300">
        <v>0.99</v>
      </c>
      <c r="AX407" s="301">
        <v>1.9</v>
      </c>
      <c r="AY407" s="387">
        <v>67.5</v>
      </c>
      <c r="AZ407" s="303" cm="1">
        <f t="array" aca="1" ref="AZ407" ca="1">INDIRECT("'"&amp;$C407&amp;"'!"&amp;"$"&amp;$D407&amp;$AY$1&amp;"")</f>
        <v>0</v>
      </c>
      <c r="BA407" s="300" t="s">
        <v>1</v>
      </c>
      <c r="BB407" s="298" t="s">
        <v>1</v>
      </c>
      <c r="BC407" s="299" cm="1">
        <f t="array" aca="1" ref="BC407" ca="1">INDIRECT("'"&amp;$C407&amp;"'!"&amp;"$"&amp;$D407&amp;$BC$1&amp;"")</f>
        <v>0.78</v>
      </c>
      <c r="BD407" s="300"/>
      <c r="BE407" s="300">
        <v>0.99</v>
      </c>
      <c r="BF407" s="298">
        <v>0.1</v>
      </c>
      <c r="BG407" s="299" cm="1">
        <f t="array" aca="1" ref="BG407" ca="1">INDIRECT("'"&amp;$C407&amp;"'!"&amp;"$"&amp;$D407&amp;$BG$1&amp;"")</f>
        <v>0.73</v>
      </c>
      <c r="BH407" s="300"/>
      <c r="BI407" s="300">
        <v>0.95</v>
      </c>
      <c r="BJ407" s="298">
        <v>0.22</v>
      </c>
      <c r="BK407" s="299" cm="1">
        <f t="array" aca="1" ref="BK407" ca="1">INDIRECT("'"&amp;$C407&amp;"'!"&amp;"$"&amp;$D407&amp;$BK$1&amp;"")</f>
        <v>3.2</v>
      </c>
      <c r="BL407" s="300"/>
      <c r="BM407" s="300">
        <v>0.95</v>
      </c>
      <c r="BN407" s="298">
        <v>1</v>
      </c>
    </row>
    <row r="408" spans="1:66" ht="15.75" thickBot="1" x14ac:dyDescent="0.25">
      <c r="A408" s="368">
        <v>45705</v>
      </c>
      <c r="B408" s="365">
        <v>0.125</v>
      </c>
      <c r="C408" s="383">
        <f t="shared" si="5"/>
        <v>17</v>
      </c>
      <c r="D408" s="319" t="s">
        <v>113</v>
      </c>
      <c r="E408" s="290">
        <v>14</v>
      </c>
      <c r="F408" s="291">
        <v>70.400000000000006</v>
      </c>
      <c r="G408" s="292" cm="1">
        <f t="array" aca="1" ref="G408" ca="1">INDIRECT("'"&amp;$C408&amp;"'!"&amp;"$"&amp;$D408&amp;$E$1&amp;"")</f>
        <v>6.5</v>
      </c>
      <c r="H408" s="293">
        <v>1</v>
      </c>
      <c r="I408" s="291">
        <v>0</v>
      </c>
      <c r="J408" s="292" cm="1">
        <f t="array" aca="1" ref="J408" ca="1">INDIRECT("'"&amp;$C408&amp;"'!"&amp;"$"&amp;$D408&amp;$J$1&amp;"")</f>
        <v>0</v>
      </c>
      <c r="K408" s="293"/>
      <c r="L408" s="293" t="s">
        <v>1</v>
      </c>
      <c r="M408" s="291" t="s">
        <v>1</v>
      </c>
      <c r="N408" s="292" cm="1">
        <f t="array" aca="1" ref="N408" ca="1">INDIRECT("'"&amp;$C408&amp;"'!"&amp;"$"&amp;$D408&amp;$N$1&amp;"")</f>
        <v>6.5</v>
      </c>
      <c r="O408" s="293"/>
      <c r="P408" s="293">
        <v>1</v>
      </c>
      <c r="Q408" s="291">
        <v>0</v>
      </c>
      <c r="R408" s="292" cm="1">
        <f t="array" aca="1" ref="R408" ca="1">INDIRECT("'"&amp;$C408&amp;"'!"&amp;"$"&amp;$D408&amp;$R$1&amp;"")</f>
        <v>0</v>
      </c>
      <c r="S408" s="293"/>
      <c r="T408" s="293" t="s">
        <v>1</v>
      </c>
      <c r="U408" s="291" t="s">
        <v>1</v>
      </c>
      <c r="V408" s="292" t="str" cm="1">
        <f t="array" aca="1" ref="V408" ca="1">INDIRECT("'"&amp;$C408&amp;"'!"&amp;"$"&amp;$D408&amp;$V$1&amp;"")</f>
        <v>CMS</v>
      </c>
      <c r="W408" s="293" t="s">
        <v>1</v>
      </c>
      <c r="X408" s="293" t="s">
        <v>1</v>
      </c>
      <c r="Y408" s="294" t="s">
        <v>1</v>
      </c>
      <c r="Z408" s="386" cm="1">
        <f t="array" aca="1" ref="Z408" ca="1">INDIRECT("'"&amp;$C408&amp;"'!"&amp;"$"&amp;$D408&amp;$Z$1&amp;"")</f>
        <v>0</v>
      </c>
      <c r="AA408" s="292" t="s">
        <v>1</v>
      </c>
      <c r="AB408" s="293" t="s">
        <v>1</v>
      </c>
      <c r="AC408" s="291" t="s">
        <v>1</v>
      </c>
      <c r="AD408" s="292" cm="1">
        <f t="array" aca="1" ref="AD408" ca="1">INDIRECT("'"&amp;$C408&amp;"'!"&amp;"$"&amp;$D408&amp;$AD$1&amp;"")</f>
        <v>2.9</v>
      </c>
      <c r="AE408" s="293">
        <f>3.8*3.61</f>
        <v>13.717999999999998</v>
      </c>
      <c r="AF408" s="293">
        <v>1</v>
      </c>
      <c r="AG408" s="294">
        <v>0.03</v>
      </c>
      <c r="AH408" s="290" cm="1">
        <f t="array" aca="1" ref="AH408" ca="1">INDIRECT("'"&amp;$C408&amp;"'!"&amp;"$"&amp;$D408&amp;$AH$1&amp;"")</f>
        <v>0</v>
      </c>
      <c r="AI408" s="293" t="s">
        <v>1</v>
      </c>
      <c r="AJ408" s="293" t="s">
        <v>1</v>
      </c>
      <c r="AK408" s="291" t="s">
        <v>1</v>
      </c>
      <c r="AL408" s="290">
        <v>11.8</v>
      </c>
      <c r="AM408" s="294">
        <v>71.2</v>
      </c>
      <c r="AN408" s="290" cm="1">
        <f t="array" aca="1" ref="AN408" ca="1">INDIRECT("'"&amp;$C408&amp;"'!"&amp;"$"&amp;$D408&amp;$AL$1&amp;"")</f>
        <v>0</v>
      </c>
      <c r="AO408" s="293" t="s">
        <v>1</v>
      </c>
      <c r="AP408" s="291" t="s">
        <v>1</v>
      </c>
      <c r="AQ408" s="292" cm="1">
        <f t="array" aca="1" ref="AQ408" ca="1">INDIRECT("'"&amp;$C408&amp;"'!"&amp;"$"&amp;$D408&amp;$AQ$1&amp;"")</f>
        <v>0</v>
      </c>
      <c r="AR408" s="293" t="s">
        <v>1</v>
      </c>
      <c r="AS408" s="291" t="s">
        <v>1</v>
      </c>
      <c r="AT408" s="290">
        <v>13.94</v>
      </c>
      <c r="AU408" s="296">
        <v>70.94</v>
      </c>
      <c r="AV408" s="290" cm="1">
        <f t="array" aca="1" ref="AV408" ca="1">INDIRECT("'"&amp;$C408&amp;"'!"&amp;"$"&amp;$D408&amp;$AT$1&amp;"")</f>
        <v>11.72</v>
      </c>
      <c r="AW408" s="293">
        <v>1</v>
      </c>
      <c r="AX408" s="294">
        <v>1</v>
      </c>
      <c r="AY408" s="386">
        <v>70.3</v>
      </c>
      <c r="AZ408" s="296" cm="1">
        <f t="array" aca="1" ref="AZ408" ca="1">INDIRECT("'"&amp;$C408&amp;"'!"&amp;"$"&amp;$D408&amp;$AY$1&amp;"")</f>
        <v>0</v>
      </c>
      <c r="BA408" s="293" t="s">
        <v>1</v>
      </c>
      <c r="BB408" s="291" t="s">
        <v>1</v>
      </c>
      <c r="BC408" s="292" cm="1">
        <f t="array" aca="1" ref="BC408" ca="1">INDIRECT("'"&amp;$C408&amp;"'!"&amp;"$"&amp;$D408&amp;$BC$1&amp;"")</f>
        <v>0.77</v>
      </c>
      <c r="BD408" s="293"/>
      <c r="BE408" s="293">
        <v>0.99</v>
      </c>
      <c r="BF408" s="291">
        <v>0.11</v>
      </c>
      <c r="BG408" s="292" cm="1">
        <f t="array" aca="1" ref="BG408" ca="1">INDIRECT("'"&amp;$C408&amp;"'!"&amp;"$"&amp;$D408&amp;$BG$1&amp;"")</f>
        <v>0.73</v>
      </c>
      <c r="BH408" s="293"/>
      <c r="BI408" s="293">
        <v>0.95</v>
      </c>
      <c r="BJ408" s="291">
        <v>0.22</v>
      </c>
      <c r="BK408" s="292" cm="1">
        <f t="array" aca="1" ref="BK408" ca="1">INDIRECT("'"&amp;$C408&amp;"'!"&amp;"$"&amp;$D408&amp;$BK$1&amp;"")</f>
        <v>3.08</v>
      </c>
      <c r="BL408" s="293"/>
      <c r="BM408" s="293">
        <v>0.95</v>
      </c>
      <c r="BN408" s="291">
        <v>1</v>
      </c>
    </row>
    <row r="409" spans="1:66" ht="15.75" thickBot="1" x14ac:dyDescent="0.25">
      <c r="A409" s="368">
        <v>45705</v>
      </c>
      <c r="B409" s="365">
        <v>0.16666666666666699</v>
      </c>
      <c r="C409" s="383">
        <f t="shared" si="5"/>
        <v>17</v>
      </c>
      <c r="D409" s="319" t="s">
        <v>114</v>
      </c>
      <c r="E409" s="297">
        <v>14.1</v>
      </c>
      <c r="F409" s="298">
        <v>70.41</v>
      </c>
      <c r="G409" s="299" cm="1">
        <f t="array" aca="1" ref="G409" ca="1">INDIRECT("'"&amp;$C409&amp;"'!"&amp;"$"&amp;$D409&amp;$E$1&amp;"")</f>
        <v>6.7</v>
      </c>
      <c r="H409" s="300">
        <v>0.99</v>
      </c>
      <c r="I409" s="298">
        <v>0.93</v>
      </c>
      <c r="J409" s="299" cm="1">
        <f t="array" aca="1" ref="J409" ca="1">INDIRECT("'"&amp;$C409&amp;"'!"&amp;"$"&amp;$D409&amp;$J$1&amp;"")</f>
        <v>0</v>
      </c>
      <c r="K409" s="300"/>
      <c r="L409" s="300" t="s">
        <v>1</v>
      </c>
      <c r="M409" s="298" t="s">
        <v>1</v>
      </c>
      <c r="N409" s="299" cm="1">
        <f t="array" aca="1" ref="N409" ca="1">INDIRECT("'"&amp;$C409&amp;"'!"&amp;"$"&amp;$D409&amp;$N$1&amp;"")</f>
        <v>6.7</v>
      </c>
      <c r="O409" s="300"/>
      <c r="P409" s="300">
        <v>0.99</v>
      </c>
      <c r="Q409" s="298">
        <v>0.95</v>
      </c>
      <c r="R409" s="299" cm="1">
        <f t="array" aca="1" ref="R409" ca="1">INDIRECT("'"&amp;$C409&amp;"'!"&amp;"$"&amp;$D409&amp;$R$1&amp;"")</f>
        <v>0</v>
      </c>
      <c r="S409" s="300"/>
      <c r="T409" s="300" t="s">
        <v>1</v>
      </c>
      <c r="U409" s="298" t="s">
        <v>1</v>
      </c>
      <c r="V409" s="299" t="str" cm="1">
        <f t="array" aca="1" ref="V409" ca="1">INDIRECT("'"&amp;$C409&amp;"'!"&amp;"$"&amp;$D409&amp;$V$1&amp;"")</f>
        <v>CMS</v>
      </c>
      <c r="W409" s="300" t="s">
        <v>1</v>
      </c>
      <c r="X409" s="300" t="s">
        <v>1</v>
      </c>
      <c r="Y409" s="301" t="s">
        <v>1</v>
      </c>
      <c r="Z409" s="387" cm="1">
        <f t="array" aca="1" ref="Z409" ca="1">INDIRECT("'"&amp;$C409&amp;"'!"&amp;"$"&amp;$D409&amp;$Z$1&amp;"")</f>
        <v>0</v>
      </c>
      <c r="AA409" s="299" t="s">
        <v>1</v>
      </c>
      <c r="AB409" s="300" t="s">
        <v>1</v>
      </c>
      <c r="AC409" s="298" t="s">
        <v>1</v>
      </c>
      <c r="AD409" s="299" cm="1">
        <f t="array" aca="1" ref="AD409" ca="1">INDIRECT("'"&amp;$C409&amp;"'!"&amp;"$"&amp;$D409&amp;$AD$1&amp;"")</f>
        <v>3.3</v>
      </c>
      <c r="AE409" s="300">
        <f>3.8*3.62</f>
        <v>13.756</v>
      </c>
      <c r="AF409" s="300">
        <v>1</v>
      </c>
      <c r="AG409" s="301">
        <v>0.05</v>
      </c>
      <c r="AH409" s="297" cm="1">
        <f t="array" aca="1" ref="AH409" ca="1">INDIRECT("'"&amp;$C409&amp;"'!"&amp;"$"&amp;$D409&amp;$AH$1&amp;"")</f>
        <v>0</v>
      </c>
      <c r="AI409" s="300" t="s">
        <v>1</v>
      </c>
      <c r="AJ409" s="300" t="s">
        <v>1</v>
      </c>
      <c r="AK409" s="298" t="s">
        <v>1</v>
      </c>
      <c r="AL409" s="297">
        <v>11.8</v>
      </c>
      <c r="AM409" s="301">
        <v>70.2</v>
      </c>
      <c r="AN409" s="297" cm="1">
        <f t="array" aca="1" ref="AN409" ca="1">INDIRECT("'"&amp;$C409&amp;"'!"&amp;"$"&amp;$D409&amp;$AL$1&amp;"")</f>
        <v>0</v>
      </c>
      <c r="AO409" s="300" t="s">
        <v>1</v>
      </c>
      <c r="AP409" s="298" t="s">
        <v>1</v>
      </c>
      <c r="AQ409" s="299" cm="1">
        <f t="array" aca="1" ref="AQ409" ca="1">INDIRECT("'"&amp;$C409&amp;"'!"&amp;"$"&amp;$D409&amp;$AQ$1&amp;"")</f>
        <v>0</v>
      </c>
      <c r="AR409" s="300" t="s">
        <v>1</v>
      </c>
      <c r="AS409" s="298" t="s">
        <v>1</v>
      </c>
      <c r="AT409" s="297">
        <v>14</v>
      </c>
      <c r="AU409" s="303">
        <v>71.17</v>
      </c>
      <c r="AV409" s="297" cm="1">
        <f t="array" aca="1" ref="AV409" ca="1">INDIRECT("'"&amp;$C409&amp;"'!"&amp;"$"&amp;$D409&amp;$AT$1&amp;"")</f>
        <v>11.46</v>
      </c>
      <c r="AW409" s="300">
        <v>1</v>
      </c>
      <c r="AX409" s="301">
        <v>1</v>
      </c>
      <c r="AY409" s="387">
        <v>69.5</v>
      </c>
      <c r="AZ409" s="303" cm="1">
        <f t="array" aca="1" ref="AZ409" ca="1">INDIRECT("'"&amp;$C409&amp;"'!"&amp;"$"&amp;$D409&amp;$AY$1&amp;"")</f>
        <v>0</v>
      </c>
      <c r="BA409" s="300" t="s">
        <v>1</v>
      </c>
      <c r="BB409" s="298" t="s">
        <v>1</v>
      </c>
      <c r="BC409" s="299" cm="1">
        <f t="array" aca="1" ref="BC409" ca="1">INDIRECT("'"&amp;$C409&amp;"'!"&amp;"$"&amp;$D409&amp;$BC$1&amp;"")</f>
        <v>0.76</v>
      </c>
      <c r="BD409" s="300"/>
      <c r="BE409" s="300">
        <v>0.99</v>
      </c>
      <c r="BF409" s="298">
        <v>0.1</v>
      </c>
      <c r="BG409" s="299" cm="1">
        <f t="array" aca="1" ref="BG409" ca="1">INDIRECT("'"&amp;$C409&amp;"'!"&amp;"$"&amp;$D409&amp;$BG$1&amp;"")</f>
        <v>0.71</v>
      </c>
      <c r="BH409" s="300"/>
      <c r="BI409" s="300">
        <v>0.95</v>
      </c>
      <c r="BJ409" s="298">
        <v>0.21</v>
      </c>
      <c r="BK409" s="299" cm="1">
        <f t="array" aca="1" ref="BK409" ca="1">INDIRECT("'"&amp;$C409&amp;"'!"&amp;"$"&amp;$D409&amp;$BK$1&amp;"")</f>
        <v>3.04</v>
      </c>
      <c r="BL409" s="300"/>
      <c r="BM409" s="300">
        <v>0.95</v>
      </c>
      <c r="BN409" s="298">
        <v>0.99</v>
      </c>
    </row>
    <row r="410" spans="1:66" ht="15.75" thickBot="1" x14ac:dyDescent="0.25">
      <c r="A410" s="368">
        <v>45705</v>
      </c>
      <c r="B410" s="365">
        <v>0.20833333333333301</v>
      </c>
      <c r="C410" s="383">
        <f t="shared" si="5"/>
        <v>17</v>
      </c>
      <c r="D410" s="319" t="s">
        <v>115</v>
      </c>
      <c r="E410" s="290">
        <v>13.8</v>
      </c>
      <c r="F410" s="291">
        <v>68.47</v>
      </c>
      <c r="G410" s="292" cm="1">
        <f t="array" aca="1" ref="G410" ca="1">INDIRECT("'"&amp;$C410&amp;"'!"&amp;"$"&amp;$D410&amp;$E$1&amp;"")</f>
        <v>6.6</v>
      </c>
      <c r="H410" s="293">
        <v>0.99</v>
      </c>
      <c r="I410" s="291">
        <v>0.87</v>
      </c>
      <c r="J410" s="292" cm="1">
        <f t="array" aca="1" ref="J410" ca="1">INDIRECT("'"&amp;$C410&amp;"'!"&amp;"$"&amp;$D410&amp;$J$1&amp;"")</f>
        <v>0</v>
      </c>
      <c r="K410" s="293"/>
      <c r="L410" s="293" t="s">
        <v>1</v>
      </c>
      <c r="M410" s="291" t="s">
        <v>1</v>
      </c>
      <c r="N410" s="292" cm="1">
        <f t="array" aca="1" ref="N410" ca="1">INDIRECT("'"&amp;$C410&amp;"'!"&amp;"$"&amp;$D410&amp;$N$1&amp;"")</f>
        <v>6.6</v>
      </c>
      <c r="O410" s="293"/>
      <c r="P410" s="293">
        <v>0.99</v>
      </c>
      <c r="Q410" s="291">
        <v>0.99</v>
      </c>
      <c r="R410" s="292" cm="1">
        <f t="array" aca="1" ref="R410" ca="1">INDIRECT("'"&amp;$C410&amp;"'!"&amp;"$"&amp;$D410&amp;$R$1&amp;"")</f>
        <v>0</v>
      </c>
      <c r="S410" s="293"/>
      <c r="T410" s="293" t="s">
        <v>1</v>
      </c>
      <c r="U410" s="291" t="s">
        <v>1</v>
      </c>
      <c r="V410" s="292" t="str" cm="1">
        <f t="array" aca="1" ref="V410" ca="1">INDIRECT("'"&amp;$C410&amp;"'!"&amp;"$"&amp;$D410&amp;$V$1&amp;"")</f>
        <v>CMS</v>
      </c>
      <c r="W410" s="293" t="s">
        <v>1</v>
      </c>
      <c r="X410" s="293" t="s">
        <v>1</v>
      </c>
      <c r="Y410" s="294" t="s">
        <v>1</v>
      </c>
      <c r="Z410" s="386" cm="1">
        <f t="array" aca="1" ref="Z410" ca="1">INDIRECT("'"&amp;$C410&amp;"'!"&amp;"$"&amp;$D410&amp;$Z$1&amp;"")</f>
        <v>0</v>
      </c>
      <c r="AA410" s="292" t="s">
        <v>1</v>
      </c>
      <c r="AB410" s="293" t="s">
        <v>1</v>
      </c>
      <c r="AC410" s="291" t="s">
        <v>1</v>
      </c>
      <c r="AD410" s="292" cm="1">
        <f t="array" aca="1" ref="AD410" ca="1">INDIRECT("'"&amp;$C410&amp;"'!"&amp;"$"&amp;$D410&amp;$AD$1&amp;"")</f>
        <v>3.3</v>
      </c>
      <c r="AE410" s="293">
        <v>13.452</v>
      </c>
      <c r="AF410" s="293">
        <v>1</v>
      </c>
      <c r="AG410" s="294">
        <v>0.04</v>
      </c>
      <c r="AH410" s="290" cm="1">
        <f t="array" aca="1" ref="AH410" ca="1">INDIRECT("'"&amp;$C410&amp;"'!"&amp;"$"&amp;$D410&amp;$AH$1&amp;"")</f>
        <v>0</v>
      </c>
      <c r="AI410" s="293" t="s">
        <v>1</v>
      </c>
      <c r="AJ410" s="293" t="s">
        <v>1</v>
      </c>
      <c r="AK410" s="291" t="s">
        <v>1</v>
      </c>
      <c r="AL410" s="290">
        <v>11.8</v>
      </c>
      <c r="AM410" s="294">
        <v>70.099999999999994</v>
      </c>
      <c r="AN410" s="290" cm="1">
        <f t="array" aca="1" ref="AN410" ca="1">INDIRECT("'"&amp;$C410&amp;"'!"&amp;"$"&amp;$D410&amp;$AL$1&amp;"")</f>
        <v>0</v>
      </c>
      <c r="AO410" s="293" t="s">
        <v>1</v>
      </c>
      <c r="AP410" s="291" t="s">
        <v>1</v>
      </c>
      <c r="AQ410" s="292" cm="1">
        <f t="array" aca="1" ref="AQ410" ca="1">INDIRECT("'"&amp;$C410&amp;"'!"&amp;"$"&amp;$D410&amp;$AQ$1&amp;"")</f>
        <v>0</v>
      </c>
      <c r="AR410" s="293" t="s">
        <v>1</v>
      </c>
      <c r="AS410" s="291" t="s">
        <v>1</v>
      </c>
      <c r="AT410" s="290">
        <v>13.72</v>
      </c>
      <c r="AU410" s="296">
        <v>69.900000000000006</v>
      </c>
      <c r="AV410" s="290" cm="1">
        <f t="array" aca="1" ref="AV410" ca="1">INDIRECT("'"&amp;$C410&amp;"'!"&amp;"$"&amp;$D410&amp;$AT$1&amp;"")</f>
        <v>12.68</v>
      </c>
      <c r="AW410" s="293">
        <v>1</v>
      </c>
      <c r="AX410" s="294">
        <v>1.1000000000000001</v>
      </c>
      <c r="AY410" s="386">
        <v>69.400000000000006</v>
      </c>
      <c r="AZ410" s="296" cm="1">
        <f t="array" aca="1" ref="AZ410" ca="1">INDIRECT("'"&amp;$C410&amp;"'!"&amp;"$"&amp;$D410&amp;$AY$1&amp;"")</f>
        <v>0</v>
      </c>
      <c r="BA410" s="293" t="s">
        <v>1</v>
      </c>
      <c r="BB410" s="291" t="s">
        <v>1</v>
      </c>
      <c r="BC410" s="292" cm="1">
        <f t="array" aca="1" ref="BC410" ca="1">INDIRECT("'"&amp;$C410&amp;"'!"&amp;"$"&amp;$D410&amp;$BC$1&amp;"")</f>
        <v>0.86</v>
      </c>
      <c r="BD410" s="293"/>
      <c r="BE410" s="293">
        <v>0.99</v>
      </c>
      <c r="BF410" s="291">
        <v>0.1</v>
      </c>
      <c r="BG410" s="292" cm="1">
        <f t="array" aca="1" ref="BG410" ca="1">INDIRECT("'"&amp;$C410&amp;"'!"&amp;"$"&amp;$D410&amp;$BG$1&amp;"")</f>
        <v>0.73</v>
      </c>
      <c r="BH410" s="293"/>
      <c r="BI410" s="293">
        <v>0.96</v>
      </c>
      <c r="BJ410" s="291">
        <v>0.21</v>
      </c>
      <c r="BK410" s="292" cm="1">
        <f t="array" aca="1" ref="BK410" ca="1">INDIRECT("'"&amp;$C410&amp;"'!"&amp;"$"&amp;$D410&amp;$BK$1&amp;"")</f>
        <v>3.1</v>
      </c>
      <c r="BL410" s="293"/>
      <c r="BM410" s="293">
        <v>0.95</v>
      </c>
      <c r="BN410" s="291">
        <v>1</v>
      </c>
    </row>
    <row r="411" spans="1:66" ht="15.75" thickBot="1" x14ac:dyDescent="0.25">
      <c r="A411" s="368">
        <v>45705</v>
      </c>
      <c r="B411" s="365">
        <v>0.25</v>
      </c>
      <c r="C411" s="383">
        <f t="shared" si="5"/>
        <v>17</v>
      </c>
      <c r="D411" s="319" t="s">
        <v>116</v>
      </c>
      <c r="E411" s="297">
        <v>14.1</v>
      </c>
      <c r="F411" s="298">
        <v>69.900000000000006</v>
      </c>
      <c r="G411" s="299" cm="1">
        <f t="array" aca="1" ref="G411" ca="1">INDIRECT("'"&amp;$C411&amp;"'!"&amp;"$"&amp;$D411&amp;$E$1&amp;"")</f>
        <v>6.8</v>
      </c>
      <c r="H411" s="300">
        <v>0.98</v>
      </c>
      <c r="I411" s="298">
        <v>1.3</v>
      </c>
      <c r="J411" s="299" cm="1">
        <f t="array" aca="1" ref="J411" ca="1">INDIRECT("'"&amp;$C411&amp;"'!"&amp;"$"&amp;$D411&amp;$J$1&amp;"")</f>
        <v>0</v>
      </c>
      <c r="K411" s="300"/>
      <c r="L411" s="300" t="s">
        <v>1</v>
      </c>
      <c r="M411" s="298" t="s">
        <v>1</v>
      </c>
      <c r="N411" s="299" cm="1">
        <f t="array" aca="1" ref="N411" ca="1">INDIRECT("'"&amp;$C411&amp;"'!"&amp;"$"&amp;$D411&amp;$N$1&amp;"")</f>
        <v>6.8</v>
      </c>
      <c r="O411" s="300"/>
      <c r="P411" s="300">
        <v>0.98</v>
      </c>
      <c r="Q411" s="298">
        <v>1.3</v>
      </c>
      <c r="R411" s="299" cm="1">
        <f t="array" aca="1" ref="R411" ca="1">INDIRECT("'"&amp;$C411&amp;"'!"&amp;"$"&amp;$D411&amp;$R$1&amp;"")</f>
        <v>0</v>
      </c>
      <c r="S411" s="300"/>
      <c r="T411" s="300" t="s">
        <v>1</v>
      </c>
      <c r="U411" s="298" t="s">
        <v>1</v>
      </c>
      <c r="V411" s="299" t="str" cm="1">
        <f t="array" aca="1" ref="V411" ca="1">INDIRECT("'"&amp;$C411&amp;"'!"&amp;"$"&amp;$D411&amp;$V$1&amp;"")</f>
        <v>CMS</v>
      </c>
      <c r="W411" s="300" t="s">
        <v>1</v>
      </c>
      <c r="X411" s="300" t="s">
        <v>1</v>
      </c>
      <c r="Y411" s="301" t="s">
        <v>1</v>
      </c>
      <c r="Z411" s="387" cm="1">
        <f t="array" aca="1" ref="Z411" ca="1">INDIRECT("'"&amp;$C411&amp;"'!"&amp;"$"&amp;$D411&amp;$Z$1&amp;"")</f>
        <v>0</v>
      </c>
      <c r="AA411" s="299" t="s">
        <v>1</v>
      </c>
      <c r="AB411" s="300" t="s">
        <v>1</v>
      </c>
      <c r="AC411" s="298" t="s">
        <v>1</v>
      </c>
      <c r="AD411" s="299" cm="1">
        <f t="array" aca="1" ref="AD411" ca="1">INDIRECT("'"&amp;$C411&amp;"'!"&amp;"$"&amp;$D411&amp;$AD$1&amp;"")</f>
        <v>3.3</v>
      </c>
      <c r="AE411" s="300">
        <f>3.8*3.61</f>
        <v>13.717999999999998</v>
      </c>
      <c r="AF411" s="300">
        <v>0.99</v>
      </c>
      <c r="AG411" s="301">
        <v>0.39</v>
      </c>
      <c r="AH411" s="297" cm="1">
        <f t="array" aca="1" ref="AH411" ca="1">INDIRECT("'"&amp;$C411&amp;"'!"&amp;"$"&amp;$D411&amp;$AH$1&amp;"")</f>
        <v>0</v>
      </c>
      <c r="AI411" s="300" t="s">
        <v>1</v>
      </c>
      <c r="AJ411" s="300" t="s">
        <v>1</v>
      </c>
      <c r="AK411" s="298" t="s">
        <v>1</v>
      </c>
      <c r="AL411" s="297">
        <v>11.8</v>
      </c>
      <c r="AM411" s="301">
        <v>70.3</v>
      </c>
      <c r="AN411" s="297" cm="1">
        <f t="array" aca="1" ref="AN411" ca="1">INDIRECT("'"&amp;$C411&amp;"'!"&amp;"$"&amp;$D411&amp;$AL$1&amp;"")</f>
        <v>0</v>
      </c>
      <c r="AO411" s="300" t="s">
        <v>1</v>
      </c>
      <c r="AP411" s="298" t="s">
        <v>1</v>
      </c>
      <c r="AQ411" s="299" cm="1">
        <f t="array" aca="1" ref="AQ411" ca="1">INDIRECT("'"&amp;$C411&amp;"'!"&amp;"$"&amp;$D411&amp;$AQ$1&amp;"")</f>
        <v>4</v>
      </c>
      <c r="AR411" s="300">
        <v>0.98</v>
      </c>
      <c r="AS411" s="298">
        <v>0.82</v>
      </c>
      <c r="AT411" s="297">
        <v>13.97</v>
      </c>
      <c r="AU411" s="301">
        <v>71.11</v>
      </c>
      <c r="AV411" s="297" cm="1">
        <f t="array" aca="1" ref="AV411" ca="1">INDIRECT("'"&amp;$C411&amp;"'!"&amp;"$"&amp;$D411&amp;$AT$1&amp;"")</f>
        <v>12.13</v>
      </c>
      <c r="AW411" s="300">
        <v>1</v>
      </c>
      <c r="AX411" s="301">
        <v>1</v>
      </c>
      <c r="AY411" s="387">
        <v>69.400000000000006</v>
      </c>
      <c r="AZ411" s="303" cm="1">
        <f t="array" aca="1" ref="AZ411" ca="1">INDIRECT("'"&amp;$C411&amp;"'!"&amp;"$"&amp;$D411&amp;$AY$1&amp;"")</f>
        <v>0</v>
      </c>
      <c r="BA411" s="300" t="s">
        <v>1</v>
      </c>
      <c r="BB411" s="298" t="s">
        <v>1</v>
      </c>
      <c r="BC411" s="299" cm="1">
        <f t="array" aca="1" ref="BC411" ca="1">INDIRECT("'"&amp;$C411&amp;"'!"&amp;"$"&amp;$D411&amp;$BC$1&amp;"")</f>
        <v>1.08</v>
      </c>
      <c r="BD411" s="300"/>
      <c r="BE411" s="300">
        <v>0.99</v>
      </c>
      <c r="BF411" s="298">
        <v>0.1</v>
      </c>
      <c r="BG411" s="299" cm="1">
        <f t="array" aca="1" ref="BG411" ca="1">INDIRECT("'"&amp;$C411&amp;"'!"&amp;"$"&amp;$D411&amp;$BG$1&amp;"")</f>
        <v>0.78</v>
      </c>
      <c r="BH411" s="300"/>
      <c r="BI411" s="300">
        <v>0.97</v>
      </c>
      <c r="BJ411" s="298">
        <v>0.2</v>
      </c>
      <c r="BK411" s="299" cm="1">
        <f t="array" aca="1" ref="BK411" ca="1">INDIRECT("'"&amp;$C411&amp;"'!"&amp;"$"&amp;$D411&amp;$BK$1&amp;"")</f>
        <v>3.69</v>
      </c>
      <c r="BL411" s="300"/>
      <c r="BM411" s="300">
        <v>0.95</v>
      </c>
      <c r="BN411" s="298">
        <v>1.2</v>
      </c>
    </row>
    <row r="412" spans="1:66" ht="15.75" thickBot="1" x14ac:dyDescent="0.25">
      <c r="A412" s="368">
        <v>45705</v>
      </c>
      <c r="B412" s="365">
        <v>0.29166666666666702</v>
      </c>
      <c r="C412" s="383">
        <f t="shared" si="5"/>
        <v>17</v>
      </c>
      <c r="D412" s="319" t="s">
        <v>117</v>
      </c>
      <c r="E412" s="290">
        <v>14</v>
      </c>
      <c r="F412" s="291">
        <v>69.48</v>
      </c>
      <c r="G412" s="292" cm="1">
        <f t="array" aca="1" ref="G412" ca="1">INDIRECT("'"&amp;$C412&amp;"'!"&amp;"$"&amp;$D412&amp;$E$1&amp;"")</f>
        <v>6.3</v>
      </c>
      <c r="H412" s="293">
        <v>0.98</v>
      </c>
      <c r="I412" s="291">
        <v>1.1499999999999999</v>
      </c>
      <c r="J412" s="292" cm="1">
        <f t="array" aca="1" ref="J412" ca="1">INDIRECT("'"&amp;$C412&amp;"'!"&amp;"$"&amp;$D412&amp;$J$1&amp;"")</f>
        <v>0</v>
      </c>
      <c r="K412" s="293"/>
      <c r="L412" s="293" t="s">
        <v>1</v>
      </c>
      <c r="M412" s="291" t="s">
        <v>1</v>
      </c>
      <c r="N412" s="292" cm="1">
        <f t="array" aca="1" ref="N412" ca="1">INDIRECT("'"&amp;$C412&amp;"'!"&amp;"$"&amp;$D412&amp;$N$1&amp;"")</f>
        <v>6.3</v>
      </c>
      <c r="O412" s="293"/>
      <c r="P412" s="293">
        <v>0.98</v>
      </c>
      <c r="Q412" s="291">
        <v>1.1399999999999999</v>
      </c>
      <c r="R412" s="292" cm="1">
        <f t="array" aca="1" ref="R412" ca="1">INDIRECT("'"&amp;$C412&amp;"'!"&amp;"$"&amp;$D412&amp;$R$1&amp;"")</f>
        <v>0</v>
      </c>
      <c r="S412" s="293"/>
      <c r="T412" s="293" t="s">
        <v>1</v>
      </c>
      <c r="U412" s="291" t="s">
        <v>1</v>
      </c>
      <c r="V412" s="292" t="str" cm="1">
        <f t="array" aca="1" ref="V412" ca="1">INDIRECT("'"&amp;$C412&amp;"'!"&amp;"$"&amp;$D412&amp;$V$1&amp;"")</f>
        <v>CMS</v>
      </c>
      <c r="W412" s="293" t="s">
        <v>1</v>
      </c>
      <c r="X412" s="293" t="s">
        <v>1</v>
      </c>
      <c r="Y412" s="294" t="s">
        <v>1</v>
      </c>
      <c r="Z412" s="386" cm="1">
        <f t="array" aca="1" ref="Z412" ca="1">INDIRECT("'"&amp;$C412&amp;"'!"&amp;"$"&amp;$D412&amp;$Z$1&amp;"")</f>
        <v>0</v>
      </c>
      <c r="AA412" s="292" t="s">
        <v>1</v>
      </c>
      <c r="AB412" s="293" t="s">
        <v>1</v>
      </c>
      <c r="AC412" s="291" t="s">
        <v>1</v>
      </c>
      <c r="AD412" s="292" cm="1">
        <f t="array" aca="1" ref="AD412" ca="1">INDIRECT("'"&amp;$C412&amp;"'!"&amp;"$"&amp;$D412&amp;$AD$1&amp;"")</f>
        <v>3.3</v>
      </c>
      <c r="AE412" s="293">
        <f>3.8*3.57</f>
        <v>13.565999999999999</v>
      </c>
      <c r="AF412" s="293">
        <v>0.99</v>
      </c>
      <c r="AG412" s="294">
        <v>0.31</v>
      </c>
      <c r="AH412" s="290" cm="1">
        <f t="array" aca="1" ref="AH412" ca="1">INDIRECT("'"&amp;$C412&amp;"'!"&amp;"$"&amp;$D412&amp;$AH$1&amp;"")</f>
        <v>0</v>
      </c>
      <c r="AI412" s="293" t="s">
        <v>1</v>
      </c>
      <c r="AJ412" s="293" t="s">
        <v>1</v>
      </c>
      <c r="AK412" s="291" t="s">
        <v>1</v>
      </c>
      <c r="AL412" s="290">
        <v>11.8</v>
      </c>
      <c r="AM412" s="294">
        <v>69.7</v>
      </c>
      <c r="AN412" s="290" cm="1">
        <f t="array" aca="1" ref="AN412" ca="1">INDIRECT("'"&amp;$C412&amp;"'!"&amp;"$"&amp;$D412&amp;$AL$1&amp;"")</f>
        <v>0</v>
      </c>
      <c r="AO412" s="293" t="s">
        <v>1</v>
      </c>
      <c r="AP412" s="291" t="s">
        <v>1</v>
      </c>
      <c r="AQ412" s="292" cm="1">
        <f t="array" aca="1" ref="AQ412" ca="1">INDIRECT("'"&amp;$C412&amp;"'!"&amp;"$"&amp;$D412&amp;$AQ$1&amp;"")</f>
        <v>3.6</v>
      </c>
      <c r="AR412" s="293">
        <v>0.9</v>
      </c>
      <c r="AS412" s="291">
        <v>1.82</v>
      </c>
      <c r="AT412" s="290">
        <v>13.98</v>
      </c>
      <c r="AU412" s="294">
        <v>70.98</v>
      </c>
      <c r="AV412" s="290" cm="1">
        <f t="array" aca="1" ref="AV412" ca="1">INDIRECT("'"&amp;$C412&amp;"'!"&amp;"$"&amp;$D412&amp;$AT$1&amp;"")</f>
        <v>13.66</v>
      </c>
      <c r="AW412" s="293">
        <v>1</v>
      </c>
      <c r="AX412" s="294">
        <v>1.2</v>
      </c>
      <c r="AY412" s="386">
        <v>68</v>
      </c>
      <c r="AZ412" s="296" cm="1">
        <f t="array" aca="1" ref="AZ412" ca="1">INDIRECT("'"&amp;$C412&amp;"'!"&amp;"$"&amp;$D412&amp;$AY$1&amp;"")</f>
        <v>0</v>
      </c>
      <c r="BA412" s="293" t="s">
        <v>1</v>
      </c>
      <c r="BB412" s="291" t="s">
        <v>1</v>
      </c>
      <c r="BC412" s="292" cm="1">
        <f t="array" aca="1" ref="BC412" ca="1">INDIRECT("'"&amp;$C412&amp;"'!"&amp;"$"&amp;$D412&amp;$BC$1&amp;"")</f>
        <v>1.1100000000000001</v>
      </c>
      <c r="BD412" s="293"/>
      <c r="BE412" s="293">
        <v>0.99</v>
      </c>
      <c r="BF412" s="291">
        <v>0.13</v>
      </c>
      <c r="BG412" s="292" cm="1">
        <f t="array" aca="1" ref="BG412" ca="1">INDIRECT("'"&amp;$C412&amp;"'!"&amp;"$"&amp;$D412&amp;$BG$1&amp;"")</f>
        <v>0.81</v>
      </c>
      <c r="BH412" s="293"/>
      <c r="BI412" s="293">
        <v>0.96</v>
      </c>
      <c r="BJ412" s="291">
        <v>0.21</v>
      </c>
      <c r="BK412" s="292" cm="1">
        <f t="array" aca="1" ref="BK412" ca="1">INDIRECT("'"&amp;$C412&amp;"'!"&amp;"$"&amp;$D412&amp;$BK$1&amp;"")</f>
        <v>3.69</v>
      </c>
      <c r="BL412" s="293"/>
      <c r="BM412" s="293">
        <v>0.95</v>
      </c>
      <c r="BN412" s="291">
        <v>1.2</v>
      </c>
    </row>
    <row r="413" spans="1:66" ht="15.75" thickBot="1" x14ac:dyDescent="0.25">
      <c r="A413" s="368">
        <v>45705</v>
      </c>
      <c r="B413" s="365">
        <v>0.33333333333333398</v>
      </c>
      <c r="C413" s="383">
        <f t="shared" si="5"/>
        <v>17</v>
      </c>
      <c r="D413" s="319" t="s">
        <v>118</v>
      </c>
      <c r="E413" s="297">
        <v>13.8</v>
      </c>
      <c r="F413" s="298">
        <v>68.930000000000007</v>
      </c>
      <c r="G413" s="299" cm="1">
        <f t="array" aca="1" ref="G413" ca="1">INDIRECT("'"&amp;$C413&amp;"'!"&amp;"$"&amp;$D413&amp;$E$1&amp;"")</f>
        <v>6.7</v>
      </c>
      <c r="H413" s="300">
        <v>0.96</v>
      </c>
      <c r="I413" s="298">
        <v>2</v>
      </c>
      <c r="J413" s="299" cm="1">
        <f t="array" aca="1" ref="J413" ca="1">INDIRECT("'"&amp;$C413&amp;"'!"&amp;"$"&amp;$D413&amp;$J$1&amp;"")</f>
        <v>0</v>
      </c>
      <c r="K413" s="300"/>
      <c r="L413" s="300" t="s">
        <v>1</v>
      </c>
      <c r="M413" s="298" t="s">
        <v>1</v>
      </c>
      <c r="N413" s="299" cm="1">
        <f t="array" aca="1" ref="N413" ca="1">INDIRECT("'"&amp;$C413&amp;"'!"&amp;"$"&amp;$D413&amp;$N$1&amp;"")</f>
        <v>6.7</v>
      </c>
      <c r="O413" s="300"/>
      <c r="P413" s="300">
        <v>0.96</v>
      </c>
      <c r="Q413" s="298">
        <v>2</v>
      </c>
      <c r="R413" s="299" cm="1">
        <f t="array" aca="1" ref="R413" ca="1">INDIRECT("'"&amp;$C413&amp;"'!"&amp;"$"&amp;$D413&amp;$R$1&amp;"")</f>
        <v>0</v>
      </c>
      <c r="S413" s="300"/>
      <c r="T413" s="300" t="s">
        <v>1</v>
      </c>
      <c r="U413" s="298" t="s">
        <v>1</v>
      </c>
      <c r="V413" s="299" t="str" cm="1">
        <f t="array" aca="1" ref="V413" ca="1">INDIRECT("'"&amp;$C413&amp;"'!"&amp;"$"&amp;$D413&amp;$V$1&amp;"")</f>
        <v>CMS</v>
      </c>
      <c r="W413" s="300" t="s">
        <v>1</v>
      </c>
      <c r="X413" s="300" t="s">
        <v>1</v>
      </c>
      <c r="Y413" s="301" t="s">
        <v>1</v>
      </c>
      <c r="Z413" s="387" cm="1">
        <f t="array" aca="1" ref="Z413" ca="1">INDIRECT("'"&amp;$C413&amp;"'!"&amp;"$"&amp;$D413&amp;$Z$1&amp;"")</f>
        <v>0</v>
      </c>
      <c r="AA413" s="299" t="s">
        <v>1</v>
      </c>
      <c r="AB413" s="300" t="s">
        <v>1</v>
      </c>
      <c r="AC413" s="298" t="s">
        <v>1</v>
      </c>
      <c r="AD413" s="299" cm="1">
        <f t="array" aca="1" ref="AD413" ca="1">INDIRECT("'"&amp;$C413&amp;"'!"&amp;"$"&amp;$D413&amp;$AD$1&amp;"")</f>
        <v>3.3</v>
      </c>
      <c r="AE413" s="300">
        <f>3.8*3.55</f>
        <v>13.489999999999998</v>
      </c>
      <c r="AF413" s="300">
        <v>0.96</v>
      </c>
      <c r="AG413" s="301">
        <v>0.93</v>
      </c>
      <c r="AH413" s="297" cm="1">
        <f t="array" aca="1" ref="AH413" ca="1">INDIRECT("'"&amp;$C413&amp;"'!"&amp;"$"&amp;$D413&amp;$AH$1&amp;"")</f>
        <v>0</v>
      </c>
      <c r="AI413" s="300" t="s">
        <v>1</v>
      </c>
      <c r="AJ413" s="300" t="s">
        <v>1</v>
      </c>
      <c r="AK413" s="298" t="s">
        <v>1</v>
      </c>
      <c r="AL413" s="297">
        <v>11.8</v>
      </c>
      <c r="AM413" s="301">
        <v>69.5</v>
      </c>
      <c r="AN413" s="297" cm="1">
        <f t="array" aca="1" ref="AN413" ca="1">INDIRECT("'"&amp;$C413&amp;"'!"&amp;"$"&amp;$D413&amp;$AL$1&amp;"")</f>
        <v>0</v>
      </c>
      <c r="AO413" s="300" t="s">
        <v>1</v>
      </c>
      <c r="AP413" s="298" t="s">
        <v>1</v>
      </c>
      <c r="AQ413" s="299" cm="1">
        <f t="array" aca="1" ref="AQ413" ca="1">INDIRECT("'"&amp;$C413&amp;"'!"&amp;"$"&amp;$D413&amp;$AQ$1&amp;"")</f>
        <v>3.8</v>
      </c>
      <c r="AR413" s="300">
        <v>0.9</v>
      </c>
      <c r="AS413" s="298">
        <v>1.75</v>
      </c>
      <c r="AT413" s="297">
        <v>13.9</v>
      </c>
      <c r="AU413" s="301">
        <v>70.540000000000006</v>
      </c>
      <c r="AV413" s="297" cm="1">
        <f t="array" aca="1" ref="AV413" ca="1">INDIRECT("'"&amp;$C413&amp;"'!"&amp;"$"&amp;$D413&amp;$AT$1&amp;"")</f>
        <v>13.68</v>
      </c>
      <c r="AW413" s="300">
        <v>1</v>
      </c>
      <c r="AX413" s="301">
        <v>1.2</v>
      </c>
      <c r="AY413" s="387">
        <v>68.2</v>
      </c>
      <c r="AZ413" s="303" cm="1">
        <f t="array" aca="1" ref="AZ413" ca="1">INDIRECT("'"&amp;$C413&amp;"'!"&amp;"$"&amp;$D413&amp;$AY$1&amp;"")</f>
        <v>0.8</v>
      </c>
      <c r="BA413" s="300">
        <v>0.97</v>
      </c>
      <c r="BB413" s="298">
        <v>0.23</v>
      </c>
      <c r="BC413" s="299" cm="1">
        <f t="array" aca="1" ref="BC413" ca="1">INDIRECT("'"&amp;$C413&amp;"'!"&amp;"$"&amp;$D413&amp;$BC$1&amp;"")</f>
        <v>0.99</v>
      </c>
      <c r="BD413" s="300"/>
      <c r="BE413" s="300">
        <v>0.99</v>
      </c>
      <c r="BF413" s="298">
        <v>0.16</v>
      </c>
      <c r="BG413" s="299" cm="1">
        <f t="array" aca="1" ref="BG413" ca="1">INDIRECT("'"&amp;$C413&amp;"'!"&amp;"$"&amp;$D413&amp;$BG$1&amp;"")</f>
        <v>0.71</v>
      </c>
      <c r="BH413" s="300"/>
      <c r="BI413" s="300">
        <v>0.96</v>
      </c>
      <c r="BJ413" s="298">
        <v>0.22</v>
      </c>
      <c r="BK413" s="299" cm="1">
        <f t="array" aca="1" ref="BK413" ca="1">INDIRECT("'"&amp;$C413&amp;"'!"&amp;"$"&amp;$D413&amp;$BK$1&amp;"")</f>
        <v>3.65</v>
      </c>
      <c r="BL413" s="300"/>
      <c r="BM413" s="300">
        <v>0.95</v>
      </c>
      <c r="BN413" s="298">
        <v>1.1000000000000001</v>
      </c>
    </row>
    <row r="414" spans="1:66" ht="15.75" thickBot="1" x14ac:dyDescent="0.25">
      <c r="A414" s="368">
        <v>45705</v>
      </c>
      <c r="B414" s="365">
        <v>0.375</v>
      </c>
      <c r="C414" s="383">
        <f t="shared" si="5"/>
        <v>17</v>
      </c>
      <c r="D414" s="319" t="s">
        <v>119</v>
      </c>
      <c r="E414" s="290">
        <v>13.8</v>
      </c>
      <c r="F414" s="291">
        <v>68.040000000000006</v>
      </c>
      <c r="G414" s="292" cm="1">
        <f t="array" aca="1" ref="G414" ca="1">INDIRECT("'"&amp;$C414&amp;"'!"&amp;"$"&amp;$D414&amp;$E$1&amp;"")</f>
        <v>6.6</v>
      </c>
      <c r="H414" s="293">
        <v>0.93</v>
      </c>
      <c r="I414" s="291">
        <v>2.66</v>
      </c>
      <c r="J414" s="292" cm="1">
        <f t="array" aca="1" ref="J414" ca="1">INDIRECT("'"&amp;$C414&amp;"'!"&amp;"$"&amp;$D414&amp;$J$1&amp;"")</f>
        <v>0</v>
      </c>
      <c r="K414" s="293"/>
      <c r="L414" s="293" t="s">
        <v>1</v>
      </c>
      <c r="M414" s="291" t="s">
        <v>1</v>
      </c>
      <c r="N414" s="292" cm="1">
        <f t="array" aca="1" ref="N414" ca="1">INDIRECT("'"&amp;$C414&amp;"'!"&amp;"$"&amp;$D414&amp;$N$1&amp;"")</f>
        <v>6.6</v>
      </c>
      <c r="O414" s="293"/>
      <c r="P414" s="293">
        <v>0.93</v>
      </c>
      <c r="Q414" s="291">
        <v>2.66</v>
      </c>
      <c r="R414" s="292" cm="1">
        <f t="array" aca="1" ref="R414" ca="1">INDIRECT("'"&amp;$C414&amp;"'!"&amp;"$"&amp;$D414&amp;$R$1&amp;"")</f>
        <v>0</v>
      </c>
      <c r="S414" s="293"/>
      <c r="T414" s="293" t="s">
        <v>1</v>
      </c>
      <c r="U414" s="291" t="s">
        <v>1</v>
      </c>
      <c r="V414" s="292" t="str" cm="1">
        <f t="array" aca="1" ref="V414" ca="1">INDIRECT("'"&amp;$C414&amp;"'!"&amp;"$"&amp;$D414&amp;$V$1&amp;"")</f>
        <v>CMS</v>
      </c>
      <c r="W414" s="293" t="s">
        <v>1</v>
      </c>
      <c r="X414" s="293" t="s">
        <v>1</v>
      </c>
      <c r="Y414" s="294" t="s">
        <v>1</v>
      </c>
      <c r="Z414" s="386" cm="1">
        <f t="array" aca="1" ref="Z414" ca="1">INDIRECT("'"&amp;$C414&amp;"'!"&amp;"$"&amp;$D414&amp;$Z$1&amp;"")</f>
        <v>0</v>
      </c>
      <c r="AA414" s="292" t="s">
        <v>1</v>
      </c>
      <c r="AB414" s="293" t="s">
        <v>1</v>
      </c>
      <c r="AC414" s="291" t="s">
        <v>1</v>
      </c>
      <c r="AD414" s="292" cm="1">
        <f t="array" aca="1" ref="AD414" ca="1">INDIRECT("'"&amp;$C414&amp;"'!"&amp;"$"&amp;$D414&amp;$AD$1&amp;"")</f>
        <v>3.3</v>
      </c>
      <c r="AE414" s="293">
        <f>3.8*3.48</f>
        <v>13.224</v>
      </c>
      <c r="AF414" s="293">
        <v>0.94</v>
      </c>
      <c r="AG414" s="294">
        <v>1.38</v>
      </c>
      <c r="AH414" s="290" cm="1">
        <f t="array" aca="1" ref="AH414" ca="1">INDIRECT("'"&amp;$C414&amp;"'!"&amp;"$"&amp;$D414&amp;$AH$1&amp;"")</f>
        <v>3.8</v>
      </c>
      <c r="AI414" s="293">
        <v>14</v>
      </c>
      <c r="AJ414" s="293">
        <v>0.97</v>
      </c>
      <c r="AK414" s="291">
        <v>0.32</v>
      </c>
      <c r="AL414" s="290">
        <v>11.8</v>
      </c>
      <c r="AM414" s="294">
        <v>69.900000000000006</v>
      </c>
      <c r="AN414" s="290" cm="1">
        <f t="array" aca="1" ref="AN414" ca="1">INDIRECT("'"&amp;$C414&amp;"'!"&amp;"$"&amp;$D414&amp;$AL$1&amp;"")</f>
        <v>4</v>
      </c>
      <c r="AO414" s="293">
        <v>0.97</v>
      </c>
      <c r="AP414" s="291">
        <v>0.86</v>
      </c>
      <c r="AQ414" s="292" cm="1">
        <f t="array" aca="1" ref="AQ414" ca="1">INDIRECT("'"&amp;$C414&amp;"'!"&amp;"$"&amp;$D414&amp;$AQ$1&amp;"")</f>
        <v>4</v>
      </c>
      <c r="AR414" s="293">
        <v>0.97</v>
      </c>
      <c r="AS414" s="291">
        <v>0.95</v>
      </c>
      <c r="AT414" s="290">
        <v>14.22</v>
      </c>
      <c r="AU414" s="294">
        <v>71.64</v>
      </c>
      <c r="AV414" s="290" cm="1">
        <f t="array" aca="1" ref="AV414" ca="1">INDIRECT("'"&amp;$C414&amp;"'!"&amp;"$"&amp;$D414&amp;$AT$1&amp;"")</f>
        <v>13.9</v>
      </c>
      <c r="AW414" s="293">
        <v>0.98</v>
      </c>
      <c r="AX414" s="294">
        <v>3.2</v>
      </c>
      <c r="AY414" s="386">
        <v>67</v>
      </c>
      <c r="AZ414" s="296" cm="1">
        <f t="array" aca="1" ref="AZ414" ca="1">INDIRECT("'"&amp;$C414&amp;"'!"&amp;"$"&amp;$D414&amp;$AY$1&amp;"")</f>
        <v>1.5</v>
      </c>
      <c r="BA414" s="293">
        <v>0.94</v>
      </c>
      <c r="BB414" s="291">
        <v>0.54</v>
      </c>
      <c r="BC414" s="292" cm="1">
        <f t="array" aca="1" ref="BC414" ca="1">INDIRECT("'"&amp;$C414&amp;"'!"&amp;"$"&amp;$D414&amp;$BC$1&amp;"")</f>
        <v>1.2</v>
      </c>
      <c r="BD414" s="293"/>
      <c r="BE414" s="293">
        <v>0.99</v>
      </c>
      <c r="BF414" s="291">
        <v>0.16</v>
      </c>
      <c r="BG414" s="292" cm="1">
        <f t="array" aca="1" ref="BG414" ca="1">INDIRECT("'"&amp;$C414&amp;"'!"&amp;"$"&amp;$D414&amp;$BG$1&amp;"")</f>
        <v>0.73</v>
      </c>
      <c r="BH414" s="293"/>
      <c r="BI414" s="293">
        <v>0.96</v>
      </c>
      <c r="BJ414" s="291">
        <v>0.22</v>
      </c>
      <c r="BK414" s="292" cm="1">
        <f t="array" aca="1" ref="BK414" ca="1">INDIRECT("'"&amp;$C414&amp;"'!"&amp;"$"&amp;$D414&amp;$BK$1&amp;"")</f>
        <v>4.2</v>
      </c>
      <c r="BL414" s="293"/>
      <c r="BM414" s="293">
        <v>0.95</v>
      </c>
      <c r="BN414" s="291">
        <v>1.3</v>
      </c>
    </row>
    <row r="415" spans="1:66" ht="15.75" thickBot="1" x14ac:dyDescent="0.25">
      <c r="A415" s="368">
        <v>45705</v>
      </c>
      <c r="B415" s="365">
        <v>0.41666666666666702</v>
      </c>
      <c r="C415" s="383">
        <f t="shared" si="5"/>
        <v>17</v>
      </c>
      <c r="D415" s="319" t="s">
        <v>120</v>
      </c>
      <c r="E415" s="297">
        <v>14</v>
      </c>
      <c r="F415" s="298">
        <v>68.150000000000006</v>
      </c>
      <c r="G415" s="299" cm="1">
        <f t="array" aca="1" ref="G415" ca="1">INDIRECT("'"&amp;$C415&amp;"'!"&amp;"$"&amp;$D415&amp;$E$1&amp;"")</f>
        <v>6.6</v>
      </c>
      <c r="H415" s="300">
        <v>0.92</v>
      </c>
      <c r="I415" s="298">
        <v>2.8</v>
      </c>
      <c r="J415" s="299" cm="1">
        <f t="array" aca="1" ref="J415" ca="1">INDIRECT("'"&amp;$C415&amp;"'!"&amp;"$"&amp;$D415&amp;$J$1&amp;"")</f>
        <v>0</v>
      </c>
      <c r="K415" s="300"/>
      <c r="L415" s="300" t="s">
        <v>1</v>
      </c>
      <c r="M415" s="298" t="s">
        <v>1</v>
      </c>
      <c r="N415" s="299" cm="1">
        <f t="array" aca="1" ref="N415" ca="1">INDIRECT("'"&amp;$C415&amp;"'!"&amp;"$"&amp;$D415&amp;$N$1&amp;"")</f>
        <v>6.6</v>
      </c>
      <c r="O415" s="300"/>
      <c r="P415" s="300">
        <v>0.92</v>
      </c>
      <c r="Q415" s="298">
        <v>2.8</v>
      </c>
      <c r="R415" s="299" cm="1">
        <f t="array" aca="1" ref="R415" ca="1">INDIRECT("'"&amp;$C415&amp;"'!"&amp;"$"&amp;$D415&amp;$R$1&amp;"")</f>
        <v>6.6</v>
      </c>
      <c r="S415" s="300"/>
      <c r="T415" s="300">
        <v>0.92</v>
      </c>
      <c r="U415" s="298">
        <v>2.8</v>
      </c>
      <c r="V415" s="299" t="str" cm="1">
        <f t="array" aca="1" ref="V415" ca="1">INDIRECT("'"&amp;$C415&amp;"'!"&amp;"$"&amp;$D415&amp;$V$1&amp;"")</f>
        <v>CMS</v>
      </c>
      <c r="W415" s="300" t="s">
        <v>1</v>
      </c>
      <c r="X415" s="300" t="s">
        <v>1</v>
      </c>
      <c r="Y415" s="301" t="s">
        <v>1</v>
      </c>
      <c r="Z415" s="387" cm="1">
        <f t="array" aca="1" ref="Z415" ca="1">INDIRECT("'"&amp;$C415&amp;"'!"&amp;"$"&amp;$D415&amp;$Z$1&amp;"")</f>
        <v>0</v>
      </c>
      <c r="AA415" s="299" t="s">
        <v>1</v>
      </c>
      <c r="AB415" s="300" t="s">
        <v>1</v>
      </c>
      <c r="AC415" s="298" t="s">
        <v>1</v>
      </c>
      <c r="AD415" s="299" cm="1">
        <f t="array" aca="1" ref="AD415" ca="1">INDIRECT("'"&amp;$C415&amp;"'!"&amp;"$"&amp;$D415&amp;$AD$1&amp;"")</f>
        <v>3.3</v>
      </c>
      <c r="AE415" s="300">
        <f>3.8*3.45</f>
        <v>13.11</v>
      </c>
      <c r="AF415" s="300">
        <v>0.94</v>
      </c>
      <c r="AG415" s="301">
        <v>1.36</v>
      </c>
      <c r="AH415" s="297" cm="1">
        <f t="array" aca="1" ref="AH415" ca="1">INDIRECT("'"&amp;$C415&amp;"'!"&amp;"$"&amp;$D415&amp;$AH$1&amp;"")</f>
        <v>3.8</v>
      </c>
      <c r="AI415" s="300">
        <v>14</v>
      </c>
      <c r="AJ415" s="300">
        <v>0.97</v>
      </c>
      <c r="AK415" s="298">
        <v>0.96</v>
      </c>
      <c r="AL415" s="297">
        <v>11.8</v>
      </c>
      <c r="AM415" s="301">
        <v>69.7</v>
      </c>
      <c r="AN415" s="297" cm="1">
        <f t="array" aca="1" ref="AN415" ca="1">INDIRECT("'"&amp;$C415&amp;"'!"&amp;"$"&amp;$D415&amp;$AL$1&amp;"")</f>
        <v>4</v>
      </c>
      <c r="AO415" s="300">
        <v>0.94</v>
      </c>
      <c r="AP415" s="298">
        <v>1.41</v>
      </c>
      <c r="AQ415" s="299" cm="1">
        <f t="array" aca="1" ref="AQ415" ca="1">INDIRECT("'"&amp;$C415&amp;"'!"&amp;"$"&amp;$D415&amp;$AQ$1&amp;"")</f>
        <v>4</v>
      </c>
      <c r="AR415" s="300">
        <v>0.94</v>
      </c>
      <c r="AS415" s="298">
        <v>1.41</v>
      </c>
      <c r="AT415" s="297">
        <v>14.2</v>
      </c>
      <c r="AU415" s="301">
        <v>71.33</v>
      </c>
      <c r="AV415" s="297" cm="1">
        <f t="array" aca="1" ref="AV415" ca="1">INDIRECT("'"&amp;$C415&amp;"'!"&amp;"$"&amp;$D415&amp;$AT$1&amp;"")</f>
        <v>13.88</v>
      </c>
      <c r="AW415" s="300">
        <v>0.98</v>
      </c>
      <c r="AX415" s="301">
        <v>3.2</v>
      </c>
      <c r="AY415" s="387">
        <v>66.8</v>
      </c>
      <c r="AZ415" s="303" cm="1">
        <f t="array" aca="1" ref="AZ415" ca="1">INDIRECT("'"&amp;$C415&amp;"'!"&amp;"$"&amp;$D415&amp;$AY$1&amp;"")</f>
        <v>0</v>
      </c>
      <c r="BA415" s="300" t="s">
        <v>1</v>
      </c>
      <c r="BB415" s="298" t="s">
        <v>1</v>
      </c>
      <c r="BC415" s="299" cm="1">
        <f t="array" aca="1" ref="BC415" ca="1">INDIRECT("'"&amp;$C415&amp;"'!"&amp;"$"&amp;$D415&amp;$BC$1&amp;"")</f>
        <v>1.33</v>
      </c>
      <c r="BD415" s="300"/>
      <c r="BE415" s="300">
        <v>0.99</v>
      </c>
      <c r="BF415" s="298">
        <v>0.17</v>
      </c>
      <c r="BG415" s="299" cm="1">
        <f t="array" aca="1" ref="BG415" ca="1">INDIRECT("'"&amp;$C415&amp;"'!"&amp;"$"&amp;$D415&amp;$BG$1&amp;"")</f>
        <v>0.79</v>
      </c>
      <c r="BH415" s="300"/>
      <c r="BI415" s="300">
        <v>0.96</v>
      </c>
      <c r="BJ415" s="298">
        <v>0.24</v>
      </c>
      <c r="BK415" s="299" cm="1">
        <f t="array" aca="1" ref="BK415" ca="1">INDIRECT("'"&amp;$C415&amp;"'!"&amp;"$"&amp;$D415&amp;$BK$1&amp;"")</f>
        <v>0</v>
      </c>
      <c r="BL415" s="300"/>
      <c r="BM415" s="300" t="s">
        <v>1</v>
      </c>
      <c r="BN415" s="298" t="s">
        <v>1</v>
      </c>
    </row>
    <row r="416" spans="1:66" ht="15.75" thickBot="1" x14ac:dyDescent="0.25">
      <c r="A416" s="368">
        <v>45705</v>
      </c>
      <c r="B416" s="365">
        <v>0.45833333333333398</v>
      </c>
      <c r="C416" s="383">
        <f t="shared" si="5"/>
        <v>17</v>
      </c>
      <c r="D416" s="319" t="s">
        <v>121</v>
      </c>
      <c r="E416" s="290">
        <v>14.3</v>
      </c>
      <c r="F416" s="291">
        <v>68.2</v>
      </c>
      <c r="G416" s="292" cm="1">
        <f t="array" aca="1" ref="G416" ca="1">INDIRECT("'"&amp;$C416&amp;"'!"&amp;"$"&amp;$D416&amp;$E$1&amp;"")</f>
        <v>6.7</v>
      </c>
      <c r="H416" s="293">
        <v>0.92</v>
      </c>
      <c r="I416" s="291">
        <v>2.8</v>
      </c>
      <c r="J416" s="292" cm="1">
        <f t="array" aca="1" ref="J416" ca="1">INDIRECT("'"&amp;$C416&amp;"'!"&amp;"$"&amp;$D416&amp;$J$1&amp;"")</f>
        <v>0</v>
      </c>
      <c r="K416" s="293"/>
      <c r="L416" s="293" t="s">
        <v>1</v>
      </c>
      <c r="M416" s="291" t="s">
        <v>1</v>
      </c>
      <c r="N416" s="292" cm="1">
        <f t="array" aca="1" ref="N416" ca="1">INDIRECT("'"&amp;$C416&amp;"'!"&amp;"$"&amp;$D416&amp;$N$1&amp;"")</f>
        <v>6.7</v>
      </c>
      <c r="O416" s="293"/>
      <c r="P416" s="293">
        <v>0.92</v>
      </c>
      <c r="Q416" s="291">
        <v>2.8</v>
      </c>
      <c r="R416" s="292" cm="1">
        <f t="array" aca="1" ref="R416" ca="1">INDIRECT("'"&amp;$C416&amp;"'!"&amp;"$"&amp;$D416&amp;$R$1&amp;"")</f>
        <v>6.7</v>
      </c>
      <c r="S416" s="293"/>
      <c r="T416" s="293">
        <v>0.92</v>
      </c>
      <c r="U416" s="291">
        <v>2.8</v>
      </c>
      <c r="V416" s="292" t="str" cm="1">
        <f t="array" aca="1" ref="V416" ca="1">INDIRECT("'"&amp;$C416&amp;"'!"&amp;"$"&amp;$D416&amp;$V$1&amp;"")</f>
        <v>CMS</v>
      </c>
      <c r="W416" s="293" t="s">
        <v>1</v>
      </c>
      <c r="X416" s="293" t="s">
        <v>1</v>
      </c>
      <c r="Y416" s="294" t="s">
        <v>1</v>
      </c>
      <c r="Z416" s="386" cm="1">
        <f t="array" aca="1" ref="Z416" ca="1">INDIRECT("'"&amp;$C416&amp;"'!"&amp;"$"&amp;$D416&amp;$Z$1&amp;"")</f>
        <v>0</v>
      </c>
      <c r="AA416" s="292" t="s">
        <v>1</v>
      </c>
      <c r="AB416" s="293" t="s">
        <v>1</v>
      </c>
      <c r="AC416" s="291" t="s">
        <v>1</v>
      </c>
      <c r="AD416" s="292" cm="1">
        <f t="array" aca="1" ref="AD416" ca="1">INDIRECT("'"&amp;$C416&amp;"'!"&amp;"$"&amp;$D416&amp;$AD$1&amp;"")</f>
        <v>3.3</v>
      </c>
      <c r="AE416" s="293">
        <f>3.8*3.47</f>
        <v>13.186</v>
      </c>
      <c r="AF416" s="293">
        <v>0.9</v>
      </c>
      <c r="AG416" s="294">
        <v>1.74</v>
      </c>
      <c r="AH416" s="290" cm="1">
        <f t="array" aca="1" ref="AH416" ca="1">INDIRECT("'"&amp;$C416&amp;"'!"&amp;"$"&amp;$D416&amp;$AH$1&amp;"")</f>
        <v>3.8</v>
      </c>
      <c r="AI416" s="293">
        <v>13.96</v>
      </c>
      <c r="AJ416" s="293">
        <v>0.96</v>
      </c>
      <c r="AK416" s="291">
        <v>1.1299999999999999</v>
      </c>
      <c r="AL416" s="290">
        <v>11.8</v>
      </c>
      <c r="AM416" s="294">
        <v>69.8</v>
      </c>
      <c r="AN416" s="290" cm="1">
        <f t="array" aca="1" ref="AN416" ca="1">INDIRECT("'"&amp;$C416&amp;"'!"&amp;"$"&amp;$D416&amp;$AL$1&amp;"")</f>
        <v>4.2</v>
      </c>
      <c r="AO416" s="293">
        <v>0.94</v>
      </c>
      <c r="AP416" s="291">
        <v>1.44</v>
      </c>
      <c r="AQ416" s="292" cm="1">
        <f t="array" aca="1" ref="AQ416" ca="1">INDIRECT("'"&amp;$C416&amp;"'!"&amp;"$"&amp;$D416&amp;$AQ$1&amp;"")</f>
        <v>4.2</v>
      </c>
      <c r="AR416" s="293">
        <v>0.94</v>
      </c>
      <c r="AS416" s="291">
        <v>1.4</v>
      </c>
      <c r="AT416" s="290">
        <v>14.16</v>
      </c>
      <c r="AU416" s="294">
        <v>71.209999999999994</v>
      </c>
      <c r="AV416" s="290" cm="1">
        <f t="array" aca="1" ref="AV416" ca="1">INDIRECT("'"&amp;$C416&amp;"'!"&amp;"$"&amp;$D416&amp;$AT$1&amp;"")</f>
        <v>13.79</v>
      </c>
      <c r="AW416" s="293">
        <v>0.98</v>
      </c>
      <c r="AX416" s="294">
        <v>3.2</v>
      </c>
      <c r="AY416" s="386">
        <v>66.8</v>
      </c>
      <c r="AZ416" s="296" cm="1">
        <f t="array" aca="1" ref="AZ416" ca="1">INDIRECT("'"&amp;$C416&amp;"'!"&amp;"$"&amp;$D416&amp;$AY$1&amp;"")</f>
        <v>0.8</v>
      </c>
      <c r="BA416" s="293">
        <v>0.94</v>
      </c>
      <c r="BB416" s="291">
        <v>0.28999999999999998</v>
      </c>
      <c r="BC416" s="292" cm="1">
        <f t="array" aca="1" ref="BC416" ca="1">INDIRECT("'"&amp;$C416&amp;"'!"&amp;"$"&amp;$D416&amp;$BC$1&amp;"")</f>
        <v>1.4</v>
      </c>
      <c r="BD416" s="293"/>
      <c r="BE416" s="293">
        <v>0.99</v>
      </c>
      <c r="BF416" s="291">
        <v>0.19</v>
      </c>
      <c r="BG416" s="292" cm="1">
        <f t="array" aca="1" ref="BG416" ca="1">INDIRECT("'"&amp;$C416&amp;"'!"&amp;"$"&amp;$D416&amp;$BG$1&amp;"")</f>
        <v>0.82</v>
      </c>
      <c r="BH416" s="293"/>
      <c r="BI416" s="293">
        <v>0.96</v>
      </c>
      <c r="BJ416" s="291">
        <v>0.24</v>
      </c>
      <c r="BK416" s="292" cm="1">
        <f t="array" aca="1" ref="BK416" ca="1">INDIRECT("'"&amp;$C416&amp;"'!"&amp;"$"&amp;$D416&amp;$BK$1&amp;"")</f>
        <v>0</v>
      </c>
      <c r="BL416" s="293"/>
      <c r="BM416" s="293" t="s">
        <v>1</v>
      </c>
      <c r="BN416" s="291" t="s">
        <v>1</v>
      </c>
    </row>
    <row r="417" spans="1:66" ht="15.75" thickBot="1" x14ac:dyDescent="0.25">
      <c r="A417" s="368">
        <v>45705</v>
      </c>
      <c r="B417" s="365">
        <v>0.5</v>
      </c>
      <c r="C417" s="383">
        <f t="shared" si="5"/>
        <v>17</v>
      </c>
      <c r="D417" s="319" t="s">
        <v>122</v>
      </c>
      <c r="E417" s="297">
        <v>14.1</v>
      </c>
      <c r="F417" s="298">
        <v>69.28</v>
      </c>
      <c r="G417" s="299" cm="1">
        <f t="array" aca="1" ref="G417" ca="1">INDIRECT("'"&amp;$C417&amp;"'!"&amp;"$"&amp;$D417&amp;$E$1&amp;"")</f>
        <v>6.5</v>
      </c>
      <c r="H417" s="300">
        <v>0.92</v>
      </c>
      <c r="I417" s="298">
        <v>2.67</v>
      </c>
      <c r="J417" s="299" cm="1">
        <f t="array" aca="1" ref="J417" ca="1">INDIRECT("'"&amp;$C417&amp;"'!"&amp;"$"&amp;$D417&amp;$J$1&amp;"")</f>
        <v>6.5</v>
      </c>
      <c r="K417" s="300"/>
      <c r="L417" s="300">
        <v>0.92</v>
      </c>
      <c r="M417" s="298">
        <v>2.67</v>
      </c>
      <c r="N417" s="299" cm="1">
        <f t="array" aca="1" ref="N417" ca="1">INDIRECT("'"&amp;$C417&amp;"'!"&amp;"$"&amp;$D417&amp;$N$1&amp;"")</f>
        <v>6.5</v>
      </c>
      <c r="O417" s="300"/>
      <c r="P417" s="300">
        <v>0.92</v>
      </c>
      <c r="Q417" s="298">
        <v>2.67</v>
      </c>
      <c r="R417" s="299" cm="1">
        <f t="array" aca="1" ref="R417" ca="1">INDIRECT("'"&amp;$C417&amp;"'!"&amp;"$"&amp;$D417&amp;$R$1&amp;"")</f>
        <v>0</v>
      </c>
      <c r="S417" s="300"/>
      <c r="T417" s="300" t="s">
        <v>1</v>
      </c>
      <c r="U417" s="298" t="s">
        <v>1</v>
      </c>
      <c r="V417" s="299" t="str" cm="1">
        <f t="array" aca="1" ref="V417" ca="1">INDIRECT("'"&amp;$C417&amp;"'!"&amp;"$"&amp;$D417&amp;$V$1&amp;"")</f>
        <v>CMS</v>
      </c>
      <c r="W417" s="300" t="s">
        <v>1</v>
      </c>
      <c r="X417" s="300" t="s">
        <v>1</v>
      </c>
      <c r="Y417" s="301" t="s">
        <v>1</v>
      </c>
      <c r="Z417" s="387" cm="1">
        <f t="array" aca="1" ref="Z417" ca="1">INDIRECT("'"&amp;$C417&amp;"'!"&amp;"$"&amp;$D417&amp;$Z$1&amp;"")</f>
        <v>0</v>
      </c>
      <c r="AA417" s="299" t="s">
        <v>1</v>
      </c>
      <c r="AB417" s="300" t="s">
        <v>1</v>
      </c>
      <c r="AC417" s="298" t="s">
        <v>1</v>
      </c>
      <c r="AD417" s="299" cm="1">
        <f t="array" aca="1" ref="AD417" ca="1">INDIRECT("'"&amp;$C417&amp;"'!"&amp;"$"&amp;$D417&amp;$AD$1&amp;"")</f>
        <v>3.3</v>
      </c>
      <c r="AE417" s="300">
        <f>3.8*3.6</f>
        <v>13.68</v>
      </c>
      <c r="AF417" s="300">
        <v>0.9</v>
      </c>
      <c r="AG417" s="301">
        <v>1.76</v>
      </c>
      <c r="AH417" s="297" cm="1">
        <f t="array" aca="1" ref="AH417" ca="1">INDIRECT("'"&amp;$C417&amp;"'!"&amp;"$"&amp;$D417&amp;$AH$1&amp;"")</f>
        <v>3.8</v>
      </c>
      <c r="AI417" s="300">
        <v>14.04</v>
      </c>
      <c r="AJ417" s="300">
        <v>0.98</v>
      </c>
      <c r="AK417" s="298">
        <v>0.73499999999999999</v>
      </c>
      <c r="AL417" s="297">
        <v>11.9</v>
      </c>
      <c r="AM417" s="301">
        <v>70.5</v>
      </c>
      <c r="AN417" s="297" cm="1">
        <f t="array" aca="1" ref="AN417" ca="1">INDIRECT("'"&amp;$C417&amp;"'!"&amp;"$"&amp;$D417&amp;$AL$1&amp;"")</f>
        <v>3.9</v>
      </c>
      <c r="AO417" s="300">
        <v>0.94</v>
      </c>
      <c r="AP417" s="298">
        <v>1.01</v>
      </c>
      <c r="AQ417" s="299" cm="1">
        <f t="array" aca="1" ref="AQ417" ca="1">INDIRECT("'"&amp;$C417&amp;"'!"&amp;"$"&amp;$D417&amp;$AQ$1&amp;"")</f>
        <v>3.9</v>
      </c>
      <c r="AR417" s="300">
        <v>0.94</v>
      </c>
      <c r="AS417" s="298">
        <v>1.21</v>
      </c>
      <c r="AT417" s="297">
        <v>14.27</v>
      </c>
      <c r="AU417" s="301">
        <v>71.930000000000007</v>
      </c>
      <c r="AV417" s="297" cm="1">
        <f t="array" aca="1" ref="AV417" ca="1">INDIRECT("'"&amp;$C417&amp;"'!"&amp;"$"&amp;$D417&amp;$AT$1&amp;"")</f>
        <v>13.77</v>
      </c>
      <c r="AW417" s="300">
        <v>0.98</v>
      </c>
      <c r="AX417" s="301">
        <v>3.2</v>
      </c>
      <c r="AY417" s="387">
        <v>68</v>
      </c>
      <c r="AZ417" s="303" cm="1">
        <f t="array" aca="1" ref="AZ417" ca="1">INDIRECT("'"&amp;$C417&amp;"'!"&amp;"$"&amp;$D417&amp;$AY$1&amp;"")</f>
        <v>2.2999999999999998</v>
      </c>
      <c r="BA417" s="300">
        <v>0.94</v>
      </c>
      <c r="BB417" s="298">
        <v>0.84</v>
      </c>
      <c r="BC417" s="299" cm="1">
        <f t="array" aca="1" ref="BC417" ca="1">INDIRECT("'"&amp;$C417&amp;"'!"&amp;"$"&amp;$D417&amp;$BC$1&amp;"")</f>
        <v>1.38</v>
      </c>
      <c r="BD417" s="300"/>
      <c r="BE417" s="300">
        <v>0.99</v>
      </c>
      <c r="BF417" s="298">
        <v>0.18</v>
      </c>
      <c r="BG417" s="299" cm="1">
        <f t="array" aca="1" ref="BG417" ca="1">INDIRECT("'"&amp;$C417&amp;"'!"&amp;"$"&amp;$D417&amp;$BG$1&amp;"")</f>
        <v>0.84</v>
      </c>
      <c r="BH417" s="300"/>
      <c r="BI417" s="300">
        <v>0.96</v>
      </c>
      <c r="BJ417" s="298">
        <v>0.25</v>
      </c>
      <c r="BK417" s="299" cm="1">
        <f t="array" aca="1" ref="BK417" ca="1">INDIRECT("'"&amp;$C417&amp;"'!"&amp;"$"&amp;$D417&amp;$BK$1&amp;"")</f>
        <v>0</v>
      </c>
      <c r="BL417" s="300"/>
      <c r="BM417" s="300" t="s">
        <v>1</v>
      </c>
      <c r="BN417" s="298" t="s">
        <v>1</v>
      </c>
    </row>
    <row r="418" spans="1:66" ht="15.75" thickBot="1" x14ac:dyDescent="0.25">
      <c r="A418" s="368">
        <v>45705</v>
      </c>
      <c r="B418" s="365">
        <v>0.54166666666666696</v>
      </c>
      <c r="C418" s="383">
        <f t="shared" si="5"/>
        <v>17</v>
      </c>
      <c r="D418" s="319" t="s">
        <v>123</v>
      </c>
      <c r="E418" s="290">
        <v>14.1</v>
      </c>
      <c r="F418" s="291">
        <v>69.37</v>
      </c>
      <c r="G418" s="292" cm="1">
        <f t="array" aca="1" ref="G418" ca="1">INDIRECT("'"&amp;$C418&amp;"'!"&amp;"$"&amp;$D418&amp;$E$1&amp;"")</f>
        <v>6.7</v>
      </c>
      <c r="H418" s="293">
        <v>0.92</v>
      </c>
      <c r="I418" s="291">
        <v>2.76</v>
      </c>
      <c r="J418" s="292" cm="1">
        <f t="array" aca="1" ref="J418" ca="1">INDIRECT("'"&amp;$C418&amp;"'!"&amp;"$"&amp;$D418&amp;$J$1&amp;"")</f>
        <v>6.7</v>
      </c>
      <c r="K418" s="293"/>
      <c r="L418" s="293">
        <v>0.92</v>
      </c>
      <c r="M418" s="291">
        <v>2.76</v>
      </c>
      <c r="N418" s="292" cm="1">
        <f t="array" aca="1" ref="N418" ca="1">INDIRECT("'"&amp;$C418&amp;"'!"&amp;"$"&amp;$D418&amp;$N$1&amp;"")</f>
        <v>6.7</v>
      </c>
      <c r="O418" s="293"/>
      <c r="P418" s="293">
        <v>0.92</v>
      </c>
      <c r="Q418" s="291">
        <v>2.67</v>
      </c>
      <c r="R418" s="292" cm="1">
        <f t="array" aca="1" ref="R418" ca="1">INDIRECT("'"&amp;$C418&amp;"'!"&amp;"$"&amp;$D418&amp;$R$1&amp;"")</f>
        <v>0</v>
      </c>
      <c r="S418" s="293"/>
      <c r="T418" s="293" t="s">
        <v>1</v>
      </c>
      <c r="U418" s="291" t="s">
        <v>1</v>
      </c>
      <c r="V418" s="292" t="str" cm="1">
        <f t="array" aca="1" ref="V418" ca="1">INDIRECT("'"&amp;$C418&amp;"'!"&amp;"$"&amp;$D418&amp;$V$1&amp;"")</f>
        <v>CMS</v>
      </c>
      <c r="W418" s="293" t="s">
        <v>1</v>
      </c>
      <c r="X418" s="293" t="s">
        <v>1</v>
      </c>
      <c r="Y418" s="294" t="s">
        <v>1</v>
      </c>
      <c r="Z418" s="386" cm="1">
        <f t="array" aca="1" ref="Z418" ca="1">INDIRECT("'"&amp;$C418&amp;"'!"&amp;"$"&amp;$D418&amp;$Z$1&amp;"")</f>
        <v>0</v>
      </c>
      <c r="AA418" s="292" t="s">
        <v>1</v>
      </c>
      <c r="AB418" s="293" t="s">
        <v>1</v>
      </c>
      <c r="AC418" s="291" t="s">
        <v>1</v>
      </c>
      <c r="AD418" s="292" cm="1">
        <f t="array" aca="1" ref="AD418" ca="1">INDIRECT("'"&amp;$C418&amp;"'!"&amp;"$"&amp;$D418&amp;$AD$1&amp;"")</f>
        <v>3.3</v>
      </c>
      <c r="AE418" s="293">
        <f>3.51*3.8</f>
        <v>13.337999999999999</v>
      </c>
      <c r="AF418" s="293">
        <v>0.9</v>
      </c>
      <c r="AG418" s="294">
        <v>1.75</v>
      </c>
      <c r="AH418" s="290" cm="1">
        <f t="array" aca="1" ref="AH418" ca="1">INDIRECT("'"&amp;$C418&amp;"'!"&amp;"$"&amp;$D418&amp;$AH$1&amp;"")</f>
        <v>0.9</v>
      </c>
      <c r="AI418" s="293">
        <v>13.84</v>
      </c>
      <c r="AJ418" s="293">
        <v>0.96</v>
      </c>
      <c r="AK418" s="291">
        <v>1</v>
      </c>
      <c r="AL418" s="290">
        <v>11.9</v>
      </c>
      <c r="AM418" s="294">
        <v>70.3</v>
      </c>
      <c r="AN418" s="290" cm="1">
        <f t="array" aca="1" ref="AN418" ca="1">INDIRECT("'"&amp;$C418&amp;"'!"&amp;"$"&amp;$D418&amp;$AL$1&amp;"")</f>
        <v>4.0999999999999996</v>
      </c>
      <c r="AO418" s="293">
        <v>0.95</v>
      </c>
      <c r="AP418" s="291">
        <v>1.1599999999999999</v>
      </c>
      <c r="AQ418" s="292" cm="1">
        <f t="array" aca="1" ref="AQ418" ca="1">INDIRECT("'"&amp;$C418&amp;"'!"&amp;"$"&amp;$D418&amp;$AQ$1&amp;"")</f>
        <v>4.0999999999999996</v>
      </c>
      <c r="AR418" s="293">
        <v>0.95</v>
      </c>
      <c r="AS418" s="291">
        <v>1.25</v>
      </c>
      <c r="AT418" s="290">
        <v>14.11</v>
      </c>
      <c r="AU418" s="294">
        <v>71.52</v>
      </c>
      <c r="AV418" s="290" cm="1">
        <f t="array" aca="1" ref="AV418" ca="1">INDIRECT("'"&amp;$C418&amp;"'!"&amp;"$"&amp;$D418&amp;$AT$1&amp;"")</f>
        <v>13.87</v>
      </c>
      <c r="AW418" s="293">
        <v>0.99</v>
      </c>
      <c r="AX418" s="294">
        <v>2.2000000000000002</v>
      </c>
      <c r="AY418" s="386">
        <v>68.099999999999994</v>
      </c>
      <c r="AZ418" s="296" cm="1">
        <f t="array" aca="1" ref="AZ418" ca="1">INDIRECT("'"&amp;$C418&amp;"'!"&amp;"$"&amp;$D418&amp;$AY$1&amp;"")</f>
        <v>4</v>
      </c>
      <c r="BA418" s="293">
        <v>0.94</v>
      </c>
      <c r="BB418" s="291">
        <v>1.4</v>
      </c>
      <c r="BC418" s="292" cm="1">
        <f t="array" aca="1" ref="BC418" ca="1">INDIRECT("'"&amp;$C418&amp;"'!"&amp;"$"&amp;$D418&amp;$BC$1&amp;"")</f>
        <v>1.22</v>
      </c>
      <c r="BD418" s="293"/>
      <c r="BE418" s="293">
        <v>0.99</v>
      </c>
      <c r="BF418" s="291">
        <v>0.15</v>
      </c>
      <c r="BG418" s="292" cm="1">
        <f t="array" aca="1" ref="BG418" ca="1">INDIRECT("'"&amp;$C418&amp;"'!"&amp;"$"&amp;$D418&amp;$BG$1&amp;"")</f>
        <v>0.88</v>
      </c>
      <c r="BH418" s="293"/>
      <c r="BI418" s="293">
        <v>0.96</v>
      </c>
      <c r="BJ418" s="291">
        <v>0.25</v>
      </c>
      <c r="BK418" s="292" cm="1">
        <f t="array" aca="1" ref="BK418" ca="1">INDIRECT("'"&amp;$C418&amp;"'!"&amp;"$"&amp;$D418&amp;$BK$1&amp;"")</f>
        <v>0</v>
      </c>
      <c r="BL418" s="293"/>
      <c r="BM418" s="293" t="s">
        <v>1</v>
      </c>
      <c r="BN418" s="291" t="s">
        <v>1</v>
      </c>
    </row>
    <row r="419" spans="1:66" ht="15.75" thickBot="1" x14ac:dyDescent="0.25">
      <c r="A419" s="368">
        <v>45705</v>
      </c>
      <c r="B419" s="365">
        <v>0.58333333333333404</v>
      </c>
      <c r="C419" s="383">
        <f t="shared" si="5"/>
        <v>17</v>
      </c>
      <c r="D419" s="319" t="s">
        <v>124</v>
      </c>
      <c r="E419" s="297">
        <v>14</v>
      </c>
      <c r="F419" s="298">
        <v>68.94</v>
      </c>
      <c r="G419" s="299" cm="1">
        <f t="array" aca="1" ref="G419" ca="1">INDIRECT("'"&amp;$C419&amp;"'!"&amp;"$"&amp;$D419&amp;$E$1&amp;"")</f>
        <v>6.4</v>
      </c>
      <c r="H419" s="300">
        <v>0.92</v>
      </c>
      <c r="I419" s="298">
        <v>2.78</v>
      </c>
      <c r="J419" s="299" cm="1">
        <f t="array" aca="1" ref="J419" ca="1">INDIRECT("'"&amp;$C419&amp;"'!"&amp;"$"&amp;$D419&amp;$J$1&amp;"")</f>
        <v>6.4</v>
      </c>
      <c r="K419" s="300"/>
      <c r="L419" s="300">
        <v>0.92</v>
      </c>
      <c r="M419" s="298">
        <v>2.78</v>
      </c>
      <c r="N419" s="299" cm="1">
        <f t="array" aca="1" ref="N419" ca="1">INDIRECT("'"&amp;$C419&amp;"'!"&amp;"$"&amp;$D419&amp;$N$1&amp;"")</f>
        <v>6.4</v>
      </c>
      <c r="O419" s="300"/>
      <c r="P419" s="300">
        <v>0.92</v>
      </c>
      <c r="Q419" s="298">
        <v>2.78</v>
      </c>
      <c r="R419" s="299" cm="1">
        <f t="array" aca="1" ref="R419" ca="1">INDIRECT("'"&amp;$C419&amp;"'!"&amp;"$"&amp;$D419&amp;$R$1&amp;"")</f>
        <v>2.8</v>
      </c>
      <c r="S419" s="300"/>
      <c r="T419" s="300">
        <v>0.93</v>
      </c>
      <c r="U419" s="298">
        <v>1.23</v>
      </c>
      <c r="V419" s="299" t="str" cm="1">
        <f t="array" aca="1" ref="V419" ca="1">INDIRECT("'"&amp;$C419&amp;"'!"&amp;"$"&amp;$D419&amp;$V$1&amp;"")</f>
        <v>CMS</v>
      </c>
      <c r="W419" s="300" t="s">
        <v>1</v>
      </c>
      <c r="X419" s="300" t="s">
        <v>1</v>
      </c>
      <c r="Y419" s="301" t="s">
        <v>1</v>
      </c>
      <c r="Z419" s="387" cm="1">
        <f t="array" aca="1" ref="Z419" ca="1">INDIRECT("'"&amp;$C419&amp;"'!"&amp;"$"&amp;$D419&amp;$Z$1&amp;"")</f>
        <v>0</v>
      </c>
      <c r="AA419" s="299" t="s">
        <v>1</v>
      </c>
      <c r="AB419" s="300" t="s">
        <v>1</v>
      </c>
      <c r="AC419" s="298" t="s">
        <v>1</v>
      </c>
      <c r="AD419" s="299" cm="1">
        <f t="array" aca="1" ref="AD419" ca="1">INDIRECT("'"&amp;$C419&amp;"'!"&amp;"$"&amp;$D419&amp;$AD$1&amp;"")</f>
        <v>3.3</v>
      </c>
      <c r="AE419" s="300">
        <f>3.48*3.8</f>
        <v>13.224</v>
      </c>
      <c r="AF419" s="300">
        <v>0.91</v>
      </c>
      <c r="AG419" s="301">
        <v>1.78</v>
      </c>
      <c r="AH419" s="297" cm="1">
        <f t="array" aca="1" ref="AH419" ca="1">INDIRECT("'"&amp;$C419&amp;"'!"&amp;"$"&amp;$D419&amp;$AH$1&amp;"")</f>
        <v>3.8</v>
      </c>
      <c r="AI419" s="300">
        <v>14</v>
      </c>
      <c r="AJ419" s="300">
        <v>0.96</v>
      </c>
      <c r="AK419" s="298">
        <v>1.06</v>
      </c>
      <c r="AL419" s="297">
        <v>11.9</v>
      </c>
      <c r="AM419" s="301">
        <v>70.099999999999994</v>
      </c>
      <c r="AN419" s="297" cm="1">
        <f t="array" aca="1" ref="AN419" ca="1">INDIRECT("'"&amp;$C419&amp;"'!"&amp;"$"&amp;$D419&amp;$AL$1&amp;"")</f>
        <v>3.9</v>
      </c>
      <c r="AO419" s="300">
        <v>0.95</v>
      </c>
      <c r="AP419" s="298">
        <v>1.23</v>
      </c>
      <c r="AQ419" s="299" cm="1">
        <f t="array" aca="1" ref="AQ419" ca="1">INDIRECT("'"&amp;$C419&amp;"'!"&amp;"$"&amp;$D419&amp;$AQ$1&amp;"")</f>
        <v>3.9</v>
      </c>
      <c r="AR419" s="300">
        <v>0.95</v>
      </c>
      <c r="AS419" s="298">
        <v>1.31</v>
      </c>
      <c r="AT419" s="297">
        <v>14.23</v>
      </c>
      <c r="AU419" s="301">
        <v>71.73</v>
      </c>
      <c r="AV419" s="297" cm="1">
        <f t="array" aca="1" ref="AV419" ca="1">INDIRECT("'"&amp;$C419&amp;"'!"&amp;"$"&amp;$D419&amp;$AT$1&amp;"")</f>
        <v>13.9</v>
      </c>
      <c r="AW419" s="300">
        <v>0.98</v>
      </c>
      <c r="AX419" s="301">
        <v>3.2</v>
      </c>
      <c r="AY419" s="387">
        <v>67.599999999999994</v>
      </c>
      <c r="AZ419" s="303" cm="1">
        <f t="array" aca="1" ref="AZ419" ca="1">INDIRECT("'"&amp;$C419&amp;"'!"&amp;"$"&amp;$D419&amp;$AY$1&amp;"")</f>
        <v>3.0999999999999996</v>
      </c>
      <c r="BA419" s="300">
        <v>0.95</v>
      </c>
      <c r="BB419" s="298">
        <v>1</v>
      </c>
      <c r="BC419" s="299" cm="1">
        <f t="array" aca="1" ref="BC419" ca="1">INDIRECT("'"&amp;$C419&amp;"'!"&amp;"$"&amp;$D419&amp;$BC$1&amp;"")</f>
        <v>1.33</v>
      </c>
      <c r="BD419" s="300"/>
      <c r="BE419" s="300">
        <v>0.99</v>
      </c>
      <c r="BF419" s="298">
        <v>0.17</v>
      </c>
      <c r="BG419" s="299" cm="1">
        <f t="array" aca="1" ref="BG419" ca="1">INDIRECT("'"&amp;$C419&amp;"'!"&amp;"$"&amp;$D419&amp;$BG$1&amp;"")</f>
        <v>0.9</v>
      </c>
      <c r="BH419" s="300"/>
      <c r="BI419" s="300">
        <v>0.96</v>
      </c>
      <c r="BJ419" s="298">
        <v>0.26</v>
      </c>
      <c r="BK419" s="299" cm="1">
        <f t="array" aca="1" ref="BK419" ca="1">INDIRECT("'"&amp;$C419&amp;"'!"&amp;"$"&amp;$D419&amp;$BK$1&amp;"")</f>
        <v>0</v>
      </c>
      <c r="BL419" s="300"/>
      <c r="BM419" s="300" t="s">
        <v>1</v>
      </c>
      <c r="BN419" s="298" t="s">
        <v>1</v>
      </c>
    </row>
    <row r="420" spans="1:66" ht="15.75" thickBot="1" x14ac:dyDescent="0.25">
      <c r="A420" s="368">
        <v>45705</v>
      </c>
      <c r="B420" s="365">
        <v>0.625</v>
      </c>
      <c r="C420" s="383">
        <f t="shared" si="5"/>
        <v>17</v>
      </c>
      <c r="D420" s="319" t="s">
        <v>125</v>
      </c>
      <c r="E420" s="290">
        <v>14.2</v>
      </c>
      <c r="F420" s="291">
        <v>69.2</v>
      </c>
      <c r="G420" s="292" cm="1">
        <f t="array" aca="1" ref="G420" ca="1">INDIRECT("'"&amp;$C420&amp;"'!"&amp;"$"&amp;$D420&amp;$E$1&amp;"")</f>
        <v>6.6</v>
      </c>
      <c r="H420" s="293">
        <v>0.91</v>
      </c>
      <c r="I420" s="291">
        <v>3</v>
      </c>
      <c r="J420" s="292" cm="1">
        <f t="array" aca="1" ref="J420" ca="1">INDIRECT("'"&amp;$C420&amp;"'!"&amp;"$"&amp;$D420&amp;$J$1&amp;"")</f>
        <v>6.6</v>
      </c>
      <c r="K420" s="293"/>
      <c r="L420" s="293">
        <v>0.91</v>
      </c>
      <c r="M420" s="291">
        <v>3</v>
      </c>
      <c r="N420" s="292" cm="1">
        <f t="array" aca="1" ref="N420" ca="1">INDIRECT("'"&amp;$C420&amp;"'!"&amp;"$"&amp;$D420&amp;$N$1&amp;"")</f>
        <v>6.6</v>
      </c>
      <c r="O420" s="293"/>
      <c r="P420" s="293">
        <v>0.91</v>
      </c>
      <c r="Q420" s="291">
        <v>3</v>
      </c>
      <c r="R420" s="292" cm="1">
        <f t="array" aca="1" ref="R420" ca="1">INDIRECT("'"&amp;$C420&amp;"'!"&amp;"$"&amp;$D420&amp;$R$1&amp;"")</f>
        <v>6.6</v>
      </c>
      <c r="S420" s="293"/>
      <c r="T420" s="293">
        <v>0.91</v>
      </c>
      <c r="U420" s="291">
        <v>3</v>
      </c>
      <c r="V420" s="292" t="str" cm="1">
        <f t="array" aca="1" ref="V420" ca="1">INDIRECT("'"&amp;$C420&amp;"'!"&amp;"$"&amp;$D420&amp;$V$1&amp;"")</f>
        <v>CMS</v>
      </c>
      <c r="W420" s="293" t="s">
        <v>1</v>
      </c>
      <c r="X420" s="293" t="s">
        <v>1</v>
      </c>
      <c r="Y420" s="294" t="s">
        <v>1</v>
      </c>
      <c r="Z420" s="386" cm="1">
        <f t="array" aca="1" ref="Z420" ca="1">INDIRECT("'"&amp;$C420&amp;"'!"&amp;"$"&amp;$D420&amp;$Z$1&amp;"")</f>
        <v>0</v>
      </c>
      <c r="AA420" s="292" t="s">
        <v>1</v>
      </c>
      <c r="AB420" s="293" t="s">
        <v>1</v>
      </c>
      <c r="AC420" s="291" t="s">
        <v>1</v>
      </c>
      <c r="AD420" s="292" cm="1">
        <f t="array" aca="1" ref="AD420" ca="1">INDIRECT("'"&amp;$C420&amp;"'!"&amp;"$"&amp;$D420&amp;$AD$1&amp;"")</f>
        <v>3.3</v>
      </c>
      <c r="AE420" s="293">
        <f>3.8*3.47</f>
        <v>13.186</v>
      </c>
      <c r="AF420" s="293">
        <v>0.9</v>
      </c>
      <c r="AG420" s="291">
        <v>1.74</v>
      </c>
      <c r="AH420" s="290" cm="1">
        <f t="array" aca="1" ref="AH420" ca="1">INDIRECT("'"&amp;$C420&amp;"'!"&amp;"$"&amp;$D420&amp;$AH$1&amp;"")</f>
        <v>3.8</v>
      </c>
      <c r="AI420" s="293">
        <v>14</v>
      </c>
      <c r="AJ420" s="293">
        <v>0.97</v>
      </c>
      <c r="AK420" s="291">
        <v>0.99</v>
      </c>
      <c r="AL420" s="290">
        <v>11.9</v>
      </c>
      <c r="AM420" s="294">
        <v>70</v>
      </c>
      <c r="AN420" s="290" cm="1">
        <f t="array" aca="1" ref="AN420" ca="1">INDIRECT("'"&amp;$C420&amp;"'!"&amp;"$"&amp;$D420&amp;$AL$1&amp;"")</f>
        <v>3.8</v>
      </c>
      <c r="AO420" s="293">
        <v>0.95</v>
      </c>
      <c r="AP420" s="291">
        <v>1.2</v>
      </c>
      <c r="AQ420" s="292" cm="1">
        <f t="array" aca="1" ref="AQ420" ca="1">INDIRECT("'"&amp;$C420&amp;"'!"&amp;"$"&amp;$D420&amp;$AQ$1&amp;"")</f>
        <v>3.8</v>
      </c>
      <c r="AR420" s="293">
        <v>0.97</v>
      </c>
      <c r="AS420" s="291">
        <v>0.99</v>
      </c>
      <c r="AT420" s="290">
        <v>14.21</v>
      </c>
      <c r="AU420" s="294">
        <v>71.64</v>
      </c>
      <c r="AV420" s="290" cm="1">
        <f t="array" aca="1" ref="AV420" ca="1">INDIRECT("'"&amp;$C420&amp;"'!"&amp;"$"&amp;$D420&amp;$AT$1&amp;"")</f>
        <v>12.88</v>
      </c>
      <c r="AW420" s="293">
        <v>0.98</v>
      </c>
      <c r="AX420" s="294">
        <v>3.1</v>
      </c>
      <c r="AY420" s="386">
        <v>67.5</v>
      </c>
      <c r="AZ420" s="296" cm="1">
        <f t="array" aca="1" ref="AZ420" ca="1">INDIRECT("'"&amp;$C420&amp;"'!"&amp;"$"&amp;$D420&amp;$AY$1&amp;"")</f>
        <v>0</v>
      </c>
      <c r="BA420" s="293" t="s">
        <v>1</v>
      </c>
      <c r="BB420" s="291" t="s">
        <v>1</v>
      </c>
      <c r="BC420" s="292" cm="1">
        <f t="array" aca="1" ref="BC420" ca="1">INDIRECT("'"&amp;$C420&amp;"'!"&amp;"$"&amp;$D420&amp;$BC$1&amp;"")</f>
        <v>1.34</v>
      </c>
      <c r="BD420" s="293"/>
      <c r="BE420" s="293">
        <v>0.99</v>
      </c>
      <c r="BF420" s="291">
        <v>0.18</v>
      </c>
      <c r="BG420" s="292" cm="1">
        <f t="array" aca="1" ref="BG420" ca="1">INDIRECT("'"&amp;$C420&amp;"'!"&amp;"$"&amp;$D420&amp;$BG$1&amp;"")</f>
        <v>0.89</v>
      </c>
      <c r="BH420" s="293"/>
      <c r="BI420" s="293">
        <v>0.96</v>
      </c>
      <c r="BJ420" s="291">
        <v>0.26</v>
      </c>
      <c r="BK420" s="292" cm="1">
        <f t="array" aca="1" ref="BK420" ca="1">INDIRECT("'"&amp;$C420&amp;"'!"&amp;"$"&amp;$D420&amp;$BK$1&amp;"")</f>
        <v>0</v>
      </c>
      <c r="BL420" s="293"/>
      <c r="BM420" s="293" t="s">
        <v>1</v>
      </c>
      <c r="BN420" s="291" t="s">
        <v>1</v>
      </c>
    </row>
    <row r="421" spans="1:66" ht="15.75" thickBot="1" x14ac:dyDescent="0.25">
      <c r="A421" s="368">
        <v>45705</v>
      </c>
      <c r="B421" s="365">
        <v>0.66666666666666696</v>
      </c>
      <c r="C421" s="383">
        <f t="shared" si="5"/>
        <v>17</v>
      </c>
      <c r="D421" s="319" t="s">
        <v>126</v>
      </c>
      <c r="E421" s="297">
        <v>14.1</v>
      </c>
      <c r="F421" s="298">
        <v>69</v>
      </c>
      <c r="G421" s="299" cm="1">
        <f t="array" aca="1" ref="G421" ca="1">INDIRECT("'"&amp;$C421&amp;"'!"&amp;"$"&amp;$D421&amp;$E$1&amp;"")</f>
        <v>6.5</v>
      </c>
      <c r="H421" s="300">
        <v>0.91</v>
      </c>
      <c r="I421" s="298">
        <v>2.96</v>
      </c>
      <c r="J421" s="299" cm="1">
        <f t="array" aca="1" ref="J421" ca="1">INDIRECT("'"&amp;$C421&amp;"'!"&amp;"$"&amp;$D421&amp;$J$1&amp;"")</f>
        <v>6.5</v>
      </c>
      <c r="K421" s="300"/>
      <c r="L421" s="300">
        <v>0.91</v>
      </c>
      <c r="M421" s="298">
        <v>2.96</v>
      </c>
      <c r="N421" s="299" cm="1">
        <f t="array" aca="1" ref="N421" ca="1">INDIRECT("'"&amp;$C421&amp;"'!"&amp;"$"&amp;$D421&amp;$N$1&amp;"")</f>
        <v>6.5</v>
      </c>
      <c r="O421" s="300"/>
      <c r="P421" s="300">
        <v>0.91</v>
      </c>
      <c r="Q421" s="298">
        <v>2.96</v>
      </c>
      <c r="R421" s="299" cm="1">
        <f t="array" aca="1" ref="R421" ca="1">INDIRECT("'"&amp;$C421&amp;"'!"&amp;"$"&amp;$D421&amp;$R$1&amp;"")</f>
        <v>6.5</v>
      </c>
      <c r="S421" s="300"/>
      <c r="T421" s="300">
        <v>0.91</v>
      </c>
      <c r="U421" s="298">
        <v>2.96</v>
      </c>
      <c r="V421" s="299" t="str" cm="1">
        <f t="array" aca="1" ref="V421" ca="1">INDIRECT("'"&amp;$C421&amp;"'!"&amp;"$"&amp;$D421&amp;$V$1&amp;"")</f>
        <v>CMS</v>
      </c>
      <c r="W421" s="300" t="s">
        <v>1</v>
      </c>
      <c r="X421" s="300" t="s">
        <v>1</v>
      </c>
      <c r="Y421" s="301" t="s">
        <v>1</v>
      </c>
      <c r="Z421" s="387" cm="1">
        <f t="array" aca="1" ref="Z421" ca="1">INDIRECT("'"&amp;$C421&amp;"'!"&amp;"$"&amp;$D421&amp;$Z$1&amp;"")</f>
        <v>0</v>
      </c>
      <c r="AA421" s="299" t="s">
        <v>1</v>
      </c>
      <c r="AB421" s="300" t="s">
        <v>1</v>
      </c>
      <c r="AC421" s="298" t="s">
        <v>1</v>
      </c>
      <c r="AD421" s="299" cm="1">
        <f t="array" aca="1" ref="AD421" ca="1">INDIRECT("'"&amp;$C421&amp;"'!"&amp;"$"&amp;$D421&amp;$AD$1&amp;"")</f>
        <v>3.3</v>
      </c>
      <c r="AE421" s="300">
        <f>3.8*3.46</f>
        <v>13.148</v>
      </c>
      <c r="AF421" s="300">
        <v>0.9</v>
      </c>
      <c r="AG421" s="298">
        <v>1.77</v>
      </c>
      <c r="AH421" s="297" cm="1">
        <f t="array" aca="1" ref="AH421" ca="1">INDIRECT("'"&amp;$C421&amp;"'!"&amp;"$"&amp;$D421&amp;$AH$1&amp;"")</f>
        <v>4</v>
      </c>
      <c r="AI421" s="300">
        <v>13.96</v>
      </c>
      <c r="AJ421" s="300">
        <v>0.92</v>
      </c>
      <c r="AK421" s="298">
        <v>1.52</v>
      </c>
      <c r="AL421" s="297">
        <v>11.9</v>
      </c>
      <c r="AM421" s="301">
        <v>69.900000000000006</v>
      </c>
      <c r="AN421" s="297" cm="1">
        <f t="array" aca="1" ref="AN421" ca="1">INDIRECT("'"&amp;$C421&amp;"'!"&amp;"$"&amp;$D421&amp;$AL$1&amp;"")</f>
        <v>3.7</v>
      </c>
      <c r="AO421" s="300">
        <v>0.93</v>
      </c>
      <c r="AP421" s="298">
        <v>1.52</v>
      </c>
      <c r="AQ421" s="299" cm="1">
        <f t="array" aca="1" ref="AQ421" ca="1">INDIRECT("'"&amp;$C421&amp;"'!"&amp;"$"&amp;$D421&amp;$AQ$1&amp;"")</f>
        <v>3.7</v>
      </c>
      <c r="AR421" s="300">
        <v>0.93</v>
      </c>
      <c r="AS421" s="298">
        <v>1.59</v>
      </c>
      <c r="AT421" s="297">
        <v>14</v>
      </c>
      <c r="AU421" s="301">
        <v>70.88</v>
      </c>
      <c r="AV421" s="297" cm="1">
        <f t="array" aca="1" ref="AV421" ca="1">INDIRECT("'"&amp;$C421&amp;"'!"&amp;"$"&amp;$D421&amp;$AT$1&amp;"")</f>
        <v>13.03</v>
      </c>
      <c r="AW421" s="300">
        <v>0.99</v>
      </c>
      <c r="AX421" s="301">
        <v>2.1</v>
      </c>
      <c r="AY421" s="387">
        <v>67.2</v>
      </c>
      <c r="AZ421" s="303" cm="1">
        <f t="array" aca="1" ref="AZ421" ca="1">INDIRECT("'"&amp;$C421&amp;"'!"&amp;"$"&amp;$D421&amp;$AY$1&amp;"")</f>
        <v>0</v>
      </c>
      <c r="BA421" s="300" t="s">
        <v>1</v>
      </c>
      <c r="BB421" s="298" t="s">
        <v>1</v>
      </c>
      <c r="BC421" s="299" cm="1">
        <f t="array" aca="1" ref="BC421" ca="1">INDIRECT("'"&amp;$C421&amp;"'!"&amp;"$"&amp;$D421&amp;$BC$1&amp;"")</f>
        <v>1.32</v>
      </c>
      <c r="BD421" s="300"/>
      <c r="BE421" s="300">
        <v>0.99</v>
      </c>
      <c r="BF421" s="298">
        <v>0.16</v>
      </c>
      <c r="BG421" s="299" cm="1">
        <f t="array" aca="1" ref="BG421" ca="1">INDIRECT("'"&amp;$C421&amp;"'!"&amp;"$"&amp;$D421&amp;$BG$1&amp;"")</f>
        <v>0.87</v>
      </c>
      <c r="BH421" s="300"/>
      <c r="BI421" s="300">
        <v>0.96</v>
      </c>
      <c r="BJ421" s="298">
        <v>0.25</v>
      </c>
      <c r="BK421" s="299" cm="1">
        <f t="array" aca="1" ref="BK421" ca="1">INDIRECT("'"&amp;$C421&amp;"'!"&amp;"$"&amp;$D421&amp;$BK$1&amp;"")</f>
        <v>0</v>
      </c>
      <c r="BL421" s="300"/>
      <c r="BM421" s="300" t="s">
        <v>1</v>
      </c>
      <c r="BN421" s="298" t="s">
        <v>1</v>
      </c>
    </row>
    <row r="422" spans="1:66" ht="15.75" thickBot="1" x14ac:dyDescent="0.25">
      <c r="A422" s="368">
        <v>45705</v>
      </c>
      <c r="B422" s="365">
        <v>0.70833333333333404</v>
      </c>
      <c r="C422" s="383">
        <f t="shared" si="5"/>
        <v>17</v>
      </c>
      <c r="D422" s="319" t="s">
        <v>127</v>
      </c>
      <c r="E422" s="290">
        <v>14.1</v>
      </c>
      <c r="F422" s="291">
        <v>69.52</v>
      </c>
      <c r="G422" s="292" cm="1">
        <f t="array" aca="1" ref="G422" ca="1">INDIRECT("'"&amp;$C422&amp;"'!"&amp;"$"&amp;$D422&amp;$E$1&amp;"")</f>
        <v>6.4</v>
      </c>
      <c r="H422" s="293">
        <v>0.91</v>
      </c>
      <c r="I422" s="291">
        <v>2.87</v>
      </c>
      <c r="J422" s="292" cm="1">
        <f t="array" aca="1" ref="J422" ca="1">INDIRECT("'"&amp;$C422&amp;"'!"&amp;"$"&amp;$D422&amp;$J$1&amp;"")</f>
        <v>6.4</v>
      </c>
      <c r="K422" s="293"/>
      <c r="L422" s="293">
        <v>0.91</v>
      </c>
      <c r="M422" s="291">
        <v>2.87</v>
      </c>
      <c r="N422" s="292" cm="1">
        <f t="array" aca="1" ref="N422" ca="1">INDIRECT("'"&amp;$C422&amp;"'!"&amp;"$"&amp;$D422&amp;$N$1&amp;"")</f>
        <v>6.4</v>
      </c>
      <c r="O422" s="293"/>
      <c r="P422" s="293">
        <v>0.91</v>
      </c>
      <c r="Q422" s="291">
        <v>2.87</v>
      </c>
      <c r="R422" s="292" cm="1">
        <f t="array" aca="1" ref="R422" ca="1">INDIRECT("'"&amp;$C422&amp;"'!"&amp;"$"&amp;$D422&amp;$R$1&amp;"")</f>
        <v>6.4</v>
      </c>
      <c r="S422" s="293"/>
      <c r="T422" s="293">
        <v>0.91</v>
      </c>
      <c r="U422" s="291">
        <v>2.87</v>
      </c>
      <c r="V422" s="292" t="str" cm="1">
        <f t="array" aca="1" ref="V422" ca="1">INDIRECT("'"&amp;$C422&amp;"'!"&amp;"$"&amp;$D422&amp;$V$1&amp;"")</f>
        <v>CMS</v>
      </c>
      <c r="W422" s="293" t="s">
        <v>1</v>
      </c>
      <c r="X422" s="293" t="s">
        <v>1</v>
      </c>
      <c r="Y422" s="294" t="s">
        <v>1</v>
      </c>
      <c r="Z422" s="386" cm="1">
        <f t="array" aca="1" ref="Z422" ca="1">INDIRECT("'"&amp;$C422&amp;"'!"&amp;"$"&amp;$D422&amp;$Z$1&amp;"")</f>
        <v>0</v>
      </c>
      <c r="AA422" s="292" t="s">
        <v>1</v>
      </c>
      <c r="AB422" s="293" t="s">
        <v>1</v>
      </c>
      <c r="AC422" s="291" t="s">
        <v>1</v>
      </c>
      <c r="AD422" s="292" cm="1">
        <f t="array" aca="1" ref="AD422" ca="1">INDIRECT("'"&amp;$C422&amp;"'!"&amp;"$"&amp;$D422&amp;$AD$1&amp;"")</f>
        <v>3.3</v>
      </c>
      <c r="AE422" s="293">
        <f>3.8*3.49</f>
        <v>13.262</v>
      </c>
      <c r="AF422" s="293">
        <v>0.91</v>
      </c>
      <c r="AG422" s="291">
        <v>1.75</v>
      </c>
      <c r="AH422" s="290" cm="1">
        <f t="array" aca="1" ref="AH422" ca="1">INDIRECT("'"&amp;$C422&amp;"'!"&amp;"$"&amp;$D422&amp;$AH$1&amp;"")</f>
        <v>3.8</v>
      </c>
      <c r="AI422" s="293">
        <v>14</v>
      </c>
      <c r="AJ422" s="293">
        <v>0.94</v>
      </c>
      <c r="AK422" s="291">
        <v>1.23</v>
      </c>
      <c r="AL422" s="290">
        <v>11.9</v>
      </c>
      <c r="AM422" s="294">
        <v>70.2</v>
      </c>
      <c r="AN422" s="290" cm="1">
        <f t="array" aca="1" ref="AN422" ca="1">INDIRECT("'"&amp;$C422&amp;"'!"&amp;"$"&amp;$D422&amp;$AL$1&amp;"")</f>
        <v>3</v>
      </c>
      <c r="AO422" s="293">
        <v>0.93</v>
      </c>
      <c r="AP422" s="291">
        <v>1.1000000000000001</v>
      </c>
      <c r="AQ422" s="292" cm="1">
        <f t="array" aca="1" ref="AQ422" ca="1">INDIRECT("'"&amp;$C422&amp;"'!"&amp;"$"&amp;$D422&amp;$AQ$1&amp;"")</f>
        <v>3</v>
      </c>
      <c r="AR422" s="293">
        <v>0.93</v>
      </c>
      <c r="AS422" s="291">
        <v>1.22</v>
      </c>
      <c r="AT422" s="290">
        <v>14.09</v>
      </c>
      <c r="AU422" s="294">
        <v>71.36</v>
      </c>
      <c r="AV422" s="290" cm="1">
        <f t="array" aca="1" ref="AV422" ca="1">INDIRECT("'"&amp;$C422&amp;"'!"&amp;"$"&amp;$D422&amp;$AT$1&amp;"")</f>
        <v>12.45</v>
      </c>
      <c r="AW422" s="293">
        <v>0.99</v>
      </c>
      <c r="AX422" s="294">
        <v>2.1</v>
      </c>
      <c r="AY422" s="386">
        <v>67.7</v>
      </c>
      <c r="AZ422" s="296" cm="1">
        <f t="array" aca="1" ref="AZ422" ca="1">INDIRECT("'"&amp;$C422&amp;"'!"&amp;"$"&amp;$D422&amp;$AY$1&amp;"")</f>
        <v>0</v>
      </c>
      <c r="BA422" s="293" t="s">
        <v>1</v>
      </c>
      <c r="BB422" s="291" t="s">
        <v>1</v>
      </c>
      <c r="BC422" s="292" cm="1">
        <f t="array" aca="1" ref="BC422" ca="1">INDIRECT("'"&amp;$C422&amp;"'!"&amp;"$"&amp;$D422&amp;$BC$1&amp;"")</f>
        <v>1.35</v>
      </c>
      <c r="BD422" s="293"/>
      <c r="BE422" s="293">
        <v>0.99</v>
      </c>
      <c r="BF422" s="291">
        <v>0.19</v>
      </c>
      <c r="BG422" s="292" cm="1">
        <f t="array" aca="1" ref="BG422" ca="1">INDIRECT("'"&amp;$C422&amp;"'!"&amp;"$"&amp;$D422&amp;$BG$1&amp;"")</f>
        <v>0.88</v>
      </c>
      <c r="BH422" s="293"/>
      <c r="BI422" s="293">
        <v>0.96</v>
      </c>
      <c r="BJ422" s="291">
        <v>0.25</v>
      </c>
      <c r="BK422" s="292" cm="1">
        <f t="array" aca="1" ref="BK422" ca="1">INDIRECT("'"&amp;$C422&amp;"'!"&amp;"$"&amp;$D422&amp;$BK$1&amp;"")</f>
        <v>4.0999999999999996</v>
      </c>
      <c r="BL422" s="293"/>
      <c r="BM422" s="293">
        <v>0.95</v>
      </c>
      <c r="BN422" s="291">
        <v>1.3</v>
      </c>
    </row>
    <row r="423" spans="1:66" ht="15.75" thickBot="1" x14ac:dyDescent="0.25">
      <c r="A423" s="368">
        <v>45705</v>
      </c>
      <c r="B423" s="365">
        <v>0.750000000000001</v>
      </c>
      <c r="C423" s="383">
        <f t="shared" si="5"/>
        <v>17</v>
      </c>
      <c r="D423" s="319" t="s">
        <v>128</v>
      </c>
      <c r="E423" s="297">
        <v>14.2</v>
      </c>
      <c r="F423" s="298">
        <v>69.88</v>
      </c>
      <c r="G423" s="299" cm="1">
        <f t="array" aca="1" ref="G423" ca="1">INDIRECT("'"&amp;$C423&amp;"'!"&amp;"$"&amp;$D423&amp;$E$1&amp;"")</f>
        <v>6.2</v>
      </c>
      <c r="H423" s="300">
        <v>0.93</v>
      </c>
      <c r="I423" s="298">
        <v>2.5</v>
      </c>
      <c r="J423" s="299" cm="1">
        <f t="array" aca="1" ref="J423" ca="1">INDIRECT("'"&amp;$C423&amp;"'!"&amp;"$"&amp;$D423&amp;$J$1&amp;"")</f>
        <v>6.2</v>
      </c>
      <c r="K423" s="300"/>
      <c r="L423" s="300">
        <v>0.93</v>
      </c>
      <c r="M423" s="298">
        <v>2.5</v>
      </c>
      <c r="N423" s="299" cm="1">
        <f t="array" aca="1" ref="N423" ca="1">INDIRECT("'"&amp;$C423&amp;"'!"&amp;"$"&amp;$D423&amp;$N$1&amp;"")</f>
        <v>6.2</v>
      </c>
      <c r="O423" s="300"/>
      <c r="P423" s="300">
        <v>0.93</v>
      </c>
      <c r="Q423" s="298">
        <v>2.5</v>
      </c>
      <c r="R423" s="299" cm="1">
        <f t="array" aca="1" ref="R423" ca="1">INDIRECT("'"&amp;$C423&amp;"'!"&amp;"$"&amp;$D423&amp;$R$1&amp;"")</f>
        <v>6.2</v>
      </c>
      <c r="S423" s="300"/>
      <c r="T423" s="300">
        <v>0.93</v>
      </c>
      <c r="U423" s="298">
        <v>2.5</v>
      </c>
      <c r="V423" s="299" t="str" cm="1">
        <f t="array" aca="1" ref="V423" ca="1">INDIRECT("'"&amp;$C423&amp;"'!"&amp;"$"&amp;$D423&amp;$V$1&amp;"")</f>
        <v>CMS</v>
      </c>
      <c r="W423" s="300" t="s">
        <v>1</v>
      </c>
      <c r="X423" s="300" t="s">
        <v>1</v>
      </c>
      <c r="Y423" s="301" t="s">
        <v>1</v>
      </c>
      <c r="Z423" s="387" cm="1">
        <f t="array" aca="1" ref="Z423" ca="1">INDIRECT("'"&amp;$C423&amp;"'!"&amp;"$"&amp;$D423&amp;$Z$1&amp;"")</f>
        <v>0</v>
      </c>
      <c r="AA423" s="299" t="s">
        <v>1</v>
      </c>
      <c r="AB423" s="300" t="s">
        <v>1</v>
      </c>
      <c r="AC423" s="298" t="s">
        <v>1</v>
      </c>
      <c r="AD423" s="299" cm="1">
        <f t="array" aca="1" ref="AD423" ca="1">INDIRECT("'"&amp;$C423&amp;"'!"&amp;"$"&amp;$D423&amp;$AD$1&amp;"")</f>
        <v>3.3</v>
      </c>
      <c r="AE423" s="300">
        <f>3.8*3.52</f>
        <v>13.375999999999999</v>
      </c>
      <c r="AF423" s="300">
        <v>0.93</v>
      </c>
      <c r="AG423" s="298">
        <v>1.31</v>
      </c>
      <c r="AH423" s="297" cm="1">
        <f t="array" aca="1" ref="AH423" ca="1">INDIRECT("'"&amp;$C423&amp;"'!"&amp;"$"&amp;$D423&amp;$AH$1&amp;"")</f>
        <v>3</v>
      </c>
      <c r="AI423" s="300">
        <v>14.08</v>
      </c>
      <c r="AJ423" s="300">
        <v>0.95</v>
      </c>
      <c r="AK423" s="298">
        <v>0.93600000000000005</v>
      </c>
      <c r="AL423" s="297">
        <v>11.9</v>
      </c>
      <c r="AM423" s="301">
        <v>70.599999999999994</v>
      </c>
      <c r="AN423" s="297" cm="1">
        <f t="array" aca="1" ref="AN423" ca="1">INDIRECT("'"&amp;$C423&amp;"'!"&amp;"$"&amp;$D423&amp;$AL$1&amp;"")</f>
        <v>2.5</v>
      </c>
      <c r="AO423" s="300">
        <v>0.94</v>
      </c>
      <c r="AP423" s="298">
        <v>1</v>
      </c>
      <c r="AQ423" s="299" cm="1">
        <f t="array" aca="1" ref="AQ423" ca="1">INDIRECT("'"&amp;$C423&amp;"'!"&amp;"$"&amp;$D423&amp;$AQ$1&amp;"")</f>
        <v>2.5</v>
      </c>
      <c r="AR423" s="300">
        <v>0.94</v>
      </c>
      <c r="AS423" s="298">
        <v>1</v>
      </c>
      <c r="AT423" s="297">
        <v>14.17</v>
      </c>
      <c r="AU423" s="301">
        <v>71.849999999999994</v>
      </c>
      <c r="AV423" s="297" cm="1">
        <f t="array" aca="1" ref="AV423" ca="1">INDIRECT("'"&amp;$C423&amp;"'!"&amp;"$"&amp;$D423&amp;$AT$1&amp;"")</f>
        <v>12.55</v>
      </c>
      <c r="AW423" s="300">
        <v>0.99</v>
      </c>
      <c r="AX423" s="301">
        <v>2.1</v>
      </c>
      <c r="AY423" s="387">
        <v>68.5</v>
      </c>
      <c r="AZ423" s="303" cm="1">
        <f t="array" aca="1" ref="AZ423" ca="1">INDIRECT("'"&amp;$C423&amp;"'!"&amp;"$"&amp;$D423&amp;$AY$1&amp;"")</f>
        <v>0</v>
      </c>
      <c r="BA423" s="300" t="s">
        <v>1</v>
      </c>
      <c r="BB423" s="298" t="s">
        <v>1</v>
      </c>
      <c r="BC423" s="299" cm="1">
        <f t="array" aca="1" ref="BC423" ca="1">INDIRECT("'"&amp;$C423&amp;"'!"&amp;"$"&amp;$D423&amp;$BC$1&amp;"")</f>
        <v>1.33</v>
      </c>
      <c r="BD423" s="300"/>
      <c r="BE423" s="300">
        <v>0.99</v>
      </c>
      <c r="BF423" s="298">
        <v>0.16</v>
      </c>
      <c r="BG423" s="299" cm="1">
        <f t="array" aca="1" ref="BG423" ca="1">INDIRECT("'"&amp;$C423&amp;"'!"&amp;"$"&amp;$D423&amp;$BG$1&amp;"")</f>
        <v>0.89</v>
      </c>
      <c r="BH423" s="300"/>
      <c r="BI423" s="300">
        <v>0.96</v>
      </c>
      <c r="BJ423" s="298">
        <v>0.25</v>
      </c>
      <c r="BK423" s="299" cm="1">
        <f t="array" aca="1" ref="BK423" ca="1">INDIRECT("'"&amp;$C423&amp;"'!"&amp;"$"&amp;$D423&amp;$BK$1&amp;"")</f>
        <v>5</v>
      </c>
      <c r="BL423" s="300"/>
      <c r="BM423" s="300">
        <v>0.95</v>
      </c>
      <c r="BN423" s="298">
        <v>1.6</v>
      </c>
    </row>
    <row r="424" spans="1:66" ht="15.75" thickBot="1" x14ac:dyDescent="0.25">
      <c r="A424" s="368">
        <v>45705</v>
      </c>
      <c r="B424" s="365">
        <v>0.79166666666666696</v>
      </c>
      <c r="C424" s="383">
        <f t="shared" si="5"/>
        <v>17</v>
      </c>
      <c r="D424" s="319" t="s">
        <v>129</v>
      </c>
      <c r="E424" s="290">
        <v>14.1</v>
      </c>
      <c r="F424" s="291">
        <v>69.3</v>
      </c>
      <c r="G424" s="292" cm="1">
        <f t="array" aca="1" ref="G424" ca="1">INDIRECT("'"&amp;$C424&amp;"'!"&amp;"$"&amp;$D424&amp;$E$1&amp;"")</f>
        <v>6.5</v>
      </c>
      <c r="H424" s="293">
        <v>0.94</v>
      </c>
      <c r="I424" s="291">
        <v>2.4</v>
      </c>
      <c r="J424" s="292" cm="1">
        <f t="array" aca="1" ref="J424" ca="1">INDIRECT("'"&amp;$C424&amp;"'!"&amp;"$"&amp;$D424&amp;$J$1&amp;"")</f>
        <v>6.5</v>
      </c>
      <c r="K424" s="304"/>
      <c r="L424" s="293">
        <v>0.94</v>
      </c>
      <c r="M424" s="291">
        <v>2.4</v>
      </c>
      <c r="N424" s="292" cm="1">
        <f t="array" aca="1" ref="N424" ca="1">INDIRECT("'"&amp;$C424&amp;"'!"&amp;"$"&amp;$D424&amp;$N$1&amp;"")</f>
        <v>6.5</v>
      </c>
      <c r="O424" s="293"/>
      <c r="P424" s="293">
        <v>0.94</v>
      </c>
      <c r="Q424" s="291">
        <v>2.4</v>
      </c>
      <c r="R424" s="292" cm="1">
        <f t="array" aca="1" ref="R424" ca="1">INDIRECT("'"&amp;$C424&amp;"'!"&amp;"$"&amp;$D424&amp;$R$1&amp;"")</f>
        <v>6.5</v>
      </c>
      <c r="S424" s="293"/>
      <c r="T424" s="293">
        <v>0.94</v>
      </c>
      <c r="U424" s="291">
        <v>2.4</v>
      </c>
      <c r="V424" s="292" t="str" cm="1">
        <f t="array" aca="1" ref="V424" ca="1">INDIRECT("'"&amp;$C424&amp;"'!"&amp;"$"&amp;$D424&amp;$V$1&amp;"")</f>
        <v>CMS</v>
      </c>
      <c r="W424" s="293" t="s">
        <v>1</v>
      </c>
      <c r="X424" s="293" t="s">
        <v>1</v>
      </c>
      <c r="Y424" s="294" t="s">
        <v>1</v>
      </c>
      <c r="Z424" s="386" cm="1">
        <f t="array" aca="1" ref="Z424" ca="1">INDIRECT("'"&amp;$C424&amp;"'!"&amp;"$"&amp;$D424&amp;$Z$1&amp;"")</f>
        <v>0</v>
      </c>
      <c r="AA424" s="292" t="s">
        <v>1</v>
      </c>
      <c r="AB424" s="293" t="s">
        <v>1</v>
      </c>
      <c r="AC424" s="291" t="s">
        <v>1</v>
      </c>
      <c r="AD424" s="292" cm="1">
        <f t="array" aca="1" ref="AD424" ca="1">INDIRECT("'"&amp;$C424&amp;"'!"&amp;"$"&amp;$D424&amp;$AD$1&amp;"")</f>
        <v>3.3</v>
      </c>
      <c r="AE424" s="293">
        <f>3.8*3.51</f>
        <v>13.337999999999999</v>
      </c>
      <c r="AF424" s="293">
        <v>0.94</v>
      </c>
      <c r="AG424" s="291">
        <v>1.2</v>
      </c>
      <c r="AH424" s="290" cm="1">
        <f t="array" aca="1" ref="AH424" ca="1">INDIRECT("'"&amp;$C424&amp;"'!"&amp;"$"&amp;$D424&amp;$AH$1&amp;"")</f>
        <v>3.8</v>
      </c>
      <c r="AI424" s="293">
        <v>14</v>
      </c>
      <c r="AJ424" s="293">
        <v>0.98</v>
      </c>
      <c r="AK424" s="291">
        <v>0.79400000000000004</v>
      </c>
      <c r="AL424" s="290">
        <v>11.9</v>
      </c>
      <c r="AM424" s="294">
        <v>70.400000000000006</v>
      </c>
      <c r="AN424" s="290" cm="1">
        <f t="array" aca="1" ref="AN424" ca="1">INDIRECT("'"&amp;$C424&amp;"'!"&amp;"$"&amp;$D424&amp;$AL$1&amp;"")</f>
        <v>3.4</v>
      </c>
      <c r="AO424" s="293">
        <v>0.94</v>
      </c>
      <c r="AP424" s="291">
        <v>1.1000000000000001</v>
      </c>
      <c r="AQ424" s="292" cm="1">
        <f t="array" aca="1" ref="AQ424" ca="1">INDIRECT("'"&amp;$C424&amp;"'!"&amp;"$"&amp;$D424&amp;$AQ$1&amp;"")</f>
        <v>3.4</v>
      </c>
      <c r="AR424" s="293">
        <v>0.94</v>
      </c>
      <c r="AS424" s="291">
        <v>1.1000000000000001</v>
      </c>
      <c r="AT424" s="290">
        <v>14.19</v>
      </c>
      <c r="AU424" s="294">
        <v>71.86</v>
      </c>
      <c r="AV424" s="290" cm="1">
        <f t="array" aca="1" ref="AV424" ca="1">INDIRECT("'"&amp;$C424&amp;"'!"&amp;"$"&amp;$D424&amp;$AT$1&amp;"")</f>
        <v>12.4</v>
      </c>
      <c r="AW424" s="293">
        <v>0.99</v>
      </c>
      <c r="AX424" s="294">
        <v>2.1</v>
      </c>
      <c r="AY424" s="386">
        <v>68.5</v>
      </c>
      <c r="AZ424" s="296" cm="1">
        <f t="array" aca="1" ref="AZ424" ca="1">INDIRECT("'"&amp;$C424&amp;"'!"&amp;"$"&amp;$D424&amp;$AY$1&amp;"")</f>
        <v>0</v>
      </c>
      <c r="BA424" s="293" t="s">
        <v>1</v>
      </c>
      <c r="BB424" s="291" t="s">
        <v>1</v>
      </c>
      <c r="BC424" s="292" cm="1">
        <f t="array" aca="1" ref="BC424" ca="1">INDIRECT("'"&amp;$C424&amp;"'!"&amp;"$"&amp;$D424&amp;$BC$1&amp;"")</f>
        <v>1.64</v>
      </c>
      <c r="BD424" s="293"/>
      <c r="BE424" s="293">
        <v>0.99</v>
      </c>
      <c r="BF424" s="291">
        <v>0.19</v>
      </c>
      <c r="BG424" s="292" cm="1">
        <f t="array" aca="1" ref="BG424" ca="1">INDIRECT("'"&amp;$C424&amp;"'!"&amp;"$"&amp;$D424&amp;$BG$1&amp;"")</f>
        <v>1.01</v>
      </c>
      <c r="BH424" s="293"/>
      <c r="BI424" s="293">
        <v>0.96</v>
      </c>
      <c r="BJ424" s="291">
        <v>0.27</v>
      </c>
      <c r="BK424" s="292" cm="1">
        <f t="array" aca="1" ref="BK424" ca="1">INDIRECT("'"&amp;$C424&amp;"'!"&amp;"$"&amp;$D424&amp;$BK$1&amp;"")</f>
        <v>5.6</v>
      </c>
      <c r="BL424" s="293"/>
      <c r="BM424" s="293">
        <v>0.95</v>
      </c>
      <c r="BN424" s="291">
        <v>1.8</v>
      </c>
    </row>
    <row r="425" spans="1:66" ht="15.75" thickBot="1" x14ac:dyDescent="0.25">
      <c r="A425" s="368">
        <v>45705</v>
      </c>
      <c r="B425" s="365">
        <v>0.83333333333333337</v>
      </c>
      <c r="C425" s="383">
        <f t="shared" si="5"/>
        <v>17</v>
      </c>
      <c r="D425" s="319" t="s">
        <v>130</v>
      </c>
      <c r="E425" s="297">
        <v>14.1</v>
      </c>
      <c r="F425" s="298">
        <v>68.39</v>
      </c>
      <c r="G425" s="299" cm="1">
        <f t="array" aca="1" ref="G425" ca="1">INDIRECT("'"&amp;$C425&amp;"'!"&amp;"$"&amp;$D425&amp;$E$1&amp;"")</f>
        <v>6.7</v>
      </c>
      <c r="H425" s="300">
        <v>0.94</v>
      </c>
      <c r="I425" s="298">
        <v>2.56</v>
      </c>
      <c r="J425" s="299" cm="1">
        <f t="array" aca="1" ref="J425" ca="1">INDIRECT("'"&amp;$C425&amp;"'!"&amp;"$"&amp;$D425&amp;$J$1&amp;"")</f>
        <v>1</v>
      </c>
      <c r="K425" s="300"/>
      <c r="L425" s="300">
        <v>0.97</v>
      </c>
      <c r="M425" s="298">
        <v>0.25</v>
      </c>
      <c r="N425" s="299" cm="1">
        <f t="array" aca="1" ref="N425" ca="1">INDIRECT("'"&amp;$C425&amp;"'!"&amp;"$"&amp;$D425&amp;$N$1&amp;"")</f>
        <v>6.7</v>
      </c>
      <c r="O425" s="300"/>
      <c r="P425" s="300">
        <v>0.93</v>
      </c>
      <c r="Q425" s="298">
        <v>2.57</v>
      </c>
      <c r="R425" s="299" cm="1">
        <f t="array" aca="1" ref="R425" ca="1">INDIRECT("'"&amp;$C425&amp;"'!"&amp;"$"&amp;$D425&amp;$R$1&amp;"")</f>
        <v>6.7</v>
      </c>
      <c r="S425" s="300"/>
      <c r="T425" s="300">
        <v>0.93</v>
      </c>
      <c r="U425" s="298">
        <v>2.56</v>
      </c>
      <c r="V425" s="299" t="str" cm="1">
        <f t="array" aca="1" ref="V425" ca="1">INDIRECT("'"&amp;$C425&amp;"'!"&amp;"$"&amp;$D425&amp;$V$1&amp;"")</f>
        <v>CMS</v>
      </c>
      <c r="W425" s="300" t="s">
        <v>1</v>
      </c>
      <c r="X425" s="300" t="s">
        <v>1</v>
      </c>
      <c r="Y425" s="301" t="s">
        <v>1</v>
      </c>
      <c r="Z425" s="387" cm="1">
        <f t="array" aca="1" ref="Z425" ca="1">INDIRECT("'"&amp;$C425&amp;"'!"&amp;"$"&amp;$D425&amp;$Z$1&amp;"")</f>
        <v>0</v>
      </c>
      <c r="AA425" s="299" t="s">
        <v>1</v>
      </c>
      <c r="AB425" s="300" t="s">
        <v>1</v>
      </c>
      <c r="AC425" s="298" t="s">
        <v>1</v>
      </c>
      <c r="AD425" s="299" cm="1">
        <f t="array" aca="1" ref="AD425" ca="1">INDIRECT("'"&amp;$C425&amp;"'!"&amp;"$"&amp;$D425&amp;$AD$1&amp;"")</f>
        <v>3.5</v>
      </c>
      <c r="AE425" s="300">
        <f>3.8*3.5</f>
        <v>13.299999999999999</v>
      </c>
      <c r="AF425" s="300">
        <v>0.95</v>
      </c>
      <c r="AG425" s="298">
        <v>1.07</v>
      </c>
      <c r="AH425" s="297" cm="1">
        <f t="array" aca="1" ref="AH425" ca="1">INDIRECT("'"&amp;$C425&amp;"'!"&amp;"$"&amp;$D425&amp;$AH$1&amp;"")</f>
        <v>3.8</v>
      </c>
      <c r="AI425" s="300">
        <v>14</v>
      </c>
      <c r="AJ425" s="300">
        <v>0.99</v>
      </c>
      <c r="AK425" s="298">
        <v>0.44600000000000001</v>
      </c>
      <c r="AL425" s="297">
        <v>11.8</v>
      </c>
      <c r="AM425" s="301">
        <v>69.8</v>
      </c>
      <c r="AN425" s="297" cm="1">
        <f t="array" aca="1" ref="AN425" ca="1">INDIRECT("'"&amp;$C425&amp;"'!"&amp;"$"&amp;$D425&amp;$AL$1&amp;"")</f>
        <v>4.0999999999999996</v>
      </c>
      <c r="AO425" s="300">
        <v>0.95</v>
      </c>
      <c r="AP425" s="298">
        <v>1.1100000000000001</v>
      </c>
      <c r="AQ425" s="299" cm="1">
        <f t="array" aca="1" ref="AQ425" ca="1">INDIRECT("'"&amp;$C425&amp;"'!"&amp;"$"&amp;$D425&amp;$AQ$1&amp;"")</f>
        <v>4.0999999999999996</v>
      </c>
      <c r="AR425" s="300">
        <v>0.95</v>
      </c>
      <c r="AS425" s="298">
        <v>1.29</v>
      </c>
      <c r="AT425" s="297">
        <v>14.2</v>
      </c>
      <c r="AU425" s="301">
        <v>71.87</v>
      </c>
      <c r="AV425" s="297" cm="1">
        <f t="array" aca="1" ref="AV425" ca="1">INDIRECT("'"&amp;$C425&amp;"'!"&amp;"$"&amp;$D425&amp;$AT$1&amp;"")</f>
        <v>13.07</v>
      </c>
      <c r="AW425" s="300">
        <v>0.99</v>
      </c>
      <c r="AX425" s="301">
        <v>2.2000000000000002</v>
      </c>
      <c r="AY425" s="387">
        <v>67.2</v>
      </c>
      <c r="AZ425" s="303" cm="1">
        <f t="array" aca="1" ref="AZ425" ca="1">INDIRECT("'"&amp;$C425&amp;"'!"&amp;"$"&amp;$D425&amp;$AY$1&amp;"")</f>
        <v>0</v>
      </c>
      <c r="BA425" s="300" t="s">
        <v>1</v>
      </c>
      <c r="BB425" s="298" t="s">
        <v>1</v>
      </c>
      <c r="BC425" s="299" cm="1">
        <f t="array" aca="1" ref="BC425" ca="1">INDIRECT("'"&amp;$C425&amp;"'!"&amp;"$"&amp;$D425&amp;$BC$1&amp;"")</f>
        <v>1.6</v>
      </c>
      <c r="BD425" s="300"/>
      <c r="BE425" s="300">
        <v>0.99</v>
      </c>
      <c r="BF425" s="298">
        <v>0.18</v>
      </c>
      <c r="BG425" s="299" cm="1">
        <f t="array" aca="1" ref="BG425" ca="1">INDIRECT("'"&amp;$C425&amp;"'!"&amp;"$"&amp;$D425&amp;$BG$1&amp;"")</f>
        <v>1.01</v>
      </c>
      <c r="BH425" s="300"/>
      <c r="BI425" s="300">
        <v>0.96</v>
      </c>
      <c r="BJ425" s="298">
        <v>0.27</v>
      </c>
      <c r="BK425" s="299" cm="1">
        <f t="array" aca="1" ref="BK425" ca="1">INDIRECT("'"&amp;$C425&amp;"'!"&amp;"$"&amp;$D425&amp;$BK$1&amp;"")</f>
        <v>5.6</v>
      </c>
      <c r="BL425" s="300"/>
      <c r="BM425" s="300">
        <v>0.95</v>
      </c>
      <c r="BN425" s="298">
        <v>1.8</v>
      </c>
    </row>
    <row r="426" spans="1:66" ht="15.75" thickBot="1" x14ac:dyDescent="0.25">
      <c r="A426" s="368">
        <v>45705</v>
      </c>
      <c r="B426" s="365">
        <v>0.875000000000001</v>
      </c>
      <c r="C426" s="383">
        <f t="shared" si="5"/>
        <v>17</v>
      </c>
      <c r="D426" s="319" t="s">
        <v>131</v>
      </c>
      <c r="E426" s="290">
        <v>14.3</v>
      </c>
      <c r="F426" s="291">
        <v>69.709999999999994</v>
      </c>
      <c r="G426" s="292" cm="1">
        <f t="array" aca="1" ref="G426" ca="1">INDIRECT("'"&amp;$C426&amp;"'!"&amp;"$"&amp;$D426&amp;$E$1&amp;"")</f>
        <v>7</v>
      </c>
      <c r="H426" s="293">
        <v>0.94</v>
      </c>
      <c r="I426" s="291">
        <v>2.58</v>
      </c>
      <c r="J426" s="292" cm="1">
        <f t="array" aca="1" ref="J426" ca="1">INDIRECT("'"&amp;$C426&amp;"'!"&amp;"$"&amp;$D426&amp;$J$1&amp;"")</f>
        <v>0</v>
      </c>
      <c r="K426" s="293"/>
      <c r="L426" s="293" t="s">
        <v>1</v>
      </c>
      <c r="M426" s="291" t="s">
        <v>1</v>
      </c>
      <c r="N426" s="292" cm="1">
        <f t="array" aca="1" ref="N426" ca="1">INDIRECT("'"&amp;$C426&amp;"'!"&amp;"$"&amp;$D426&amp;$N$1&amp;"")</f>
        <v>6</v>
      </c>
      <c r="O426" s="293"/>
      <c r="P426" s="293">
        <v>0.94</v>
      </c>
      <c r="Q426" s="291">
        <v>2.2000000000000002</v>
      </c>
      <c r="R426" s="292" cm="1">
        <f t="array" aca="1" ref="R426" ca="1">INDIRECT("'"&amp;$C426&amp;"'!"&amp;"$"&amp;$D426&amp;$R$1&amp;"")</f>
        <v>6</v>
      </c>
      <c r="S426" s="293"/>
      <c r="T426" s="293">
        <v>0.94</v>
      </c>
      <c r="U426" s="291">
        <v>2.21</v>
      </c>
      <c r="V426" s="292" t="str" cm="1">
        <f t="array" aca="1" ref="V426" ca="1">INDIRECT("'"&amp;$C426&amp;"'!"&amp;"$"&amp;$D426&amp;$V$1&amp;"")</f>
        <v>CMS</v>
      </c>
      <c r="W426" s="293" t="s">
        <v>1</v>
      </c>
      <c r="X426" s="293" t="s">
        <v>1</v>
      </c>
      <c r="Y426" s="294" t="s">
        <v>1</v>
      </c>
      <c r="Z426" s="386" cm="1">
        <f t="array" aca="1" ref="Z426" ca="1">INDIRECT("'"&amp;$C426&amp;"'!"&amp;"$"&amp;$D426&amp;$Z$1&amp;"")</f>
        <v>0</v>
      </c>
      <c r="AA426" s="292" t="s">
        <v>1</v>
      </c>
      <c r="AB426" s="293" t="s">
        <v>1</v>
      </c>
      <c r="AC426" s="291" t="s">
        <v>1</v>
      </c>
      <c r="AD426" s="292" cm="1">
        <f t="array" aca="1" ref="AD426" ca="1">INDIRECT("'"&amp;$C426&amp;"'!"&amp;"$"&amp;$D426&amp;$AD$1&amp;"")</f>
        <v>3.3</v>
      </c>
      <c r="AE426" s="293">
        <f>3.8*3.54</f>
        <v>13.452</v>
      </c>
      <c r="AF426" s="293">
        <v>0.96</v>
      </c>
      <c r="AG426" s="291">
        <v>0.94</v>
      </c>
      <c r="AH426" s="290" cm="1">
        <f t="array" aca="1" ref="AH426" ca="1">INDIRECT("'"&amp;$C426&amp;"'!"&amp;"$"&amp;$D426&amp;$AH$1&amp;"")</f>
        <v>3.8</v>
      </c>
      <c r="AI426" s="293">
        <v>14</v>
      </c>
      <c r="AJ426" s="293">
        <v>0.98</v>
      </c>
      <c r="AK426" s="291">
        <v>0.505</v>
      </c>
      <c r="AL426" s="290">
        <v>11.8</v>
      </c>
      <c r="AM426" s="294">
        <v>70.3</v>
      </c>
      <c r="AN426" s="290" cm="1">
        <f t="array" aca="1" ref="AN426" ca="1">INDIRECT("'"&amp;$C426&amp;"'!"&amp;"$"&amp;$D426&amp;$AL$1&amp;"")</f>
        <v>3.6</v>
      </c>
      <c r="AO426" s="293">
        <v>0.98</v>
      </c>
      <c r="AP426" s="291">
        <v>0.85</v>
      </c>
      <c r="AQ426" s="292" cm="1">
        <f t="array" aca="1" ref="AQ426" ca="1">INDIRECT("'"&amp;$C426&amp;"'!"&amp;"$"&amp;$D426&amp;$AQ$1&amp;"")</f>
        <v>3.6</v>
      </c>
      <c r="AR426" s="293">
        <v>0.98</v>
      </c>
      <c r="AS426" s="291">
        <v>0.85</v>
      </c>
      <c r="AT426" s="290">
        <v>14.17</v>
      </c>
      <c r="AU426" s="294">
        <v>71.55</v>
      </c>
      <c r="AV426" s="290" cm="1">
        <f t="array" aca="1" ref="AV426" ca="1">INDIRECT("'"&amp;$C426&amp;"'!"&amp;"$"&amp;$D426&amp;$AT$1&amp;"")</f>
        <v>13.09</v>
      </c>
      <c r="AW426" s="293">
        <v>0.99</v>
      </c>
      <c r="AX426" s="294">
        <v>2.1</v>
      </c>
      <c r="AY426" s="386">
        <v>68.2</v>
      </c>
      <c r="AZ426" s="296" cm="1">
        <f t="array" aca="1" ref="AZ426" ca="1">INDIRECT("'"&amp;$C426&amp;"'!"&amp;"$"&amp;$D426&amp;$AY$1&amp;"")</f>
        <v>0</v>
      </c>
      <c r="BA426" s="293" t="s">
        <v>1</v>
      </c>
      <c r="BB426" s="291" t="s">
        <v>1</v>
      </c>
      <c r="BC426" s="292" cm="1">
        <f t="array" aca="1" ref="BC426" ca="1">INDIRECT("'"&amp;$C426&amp;"'!"&amp;"$"&amp;$D426&amp;$BC$1&amp;"")</f>
        <v>1.46</v>
      </c>
      <c r="BD426" s="293"/>
      <c r="BE426" s="293">
        <v>0.99</v>
      </c>
      <c r="BF426" s="291">
        <v>0.16</v>
      </c>
      <c r="BG426" s="292" cm="1">
        <f t="array" aca="1" ref="BG426" ca="1">INDIRECT("'"&amp;$C426&amp;"'!"&amp;"$"&amp;$D426&amp;$BG$1&amp;"")</f>
        <v>0.99</v>
      </c>
      <c r="BH426" s="293"/>
      <c r="BI426" s="293">
        <v>0.97</v>
      </c>
      <c r="BJ426" s="291">
        <v>0.25</v>
      </c>
      <c r="BK426" s="292" cm="1">
        <f t="array" aca="1" ref="BK426" ca="1">INDIRECT("'"&amp;$C426&amp;"'!"&amp;"$"&amp;$D426&amp;$BK$1&amp;"")</f>
        <v>5.6</v>
      </c>
      <c r="BL426" s="293"/>
      <c r="BM426" s="293">
        <v>0.95</v>
      </c>
      <c r="BN426" s="291">
        <v>1.8</v>
      </c>
    </row>
    <row r="427" spans="1:66" ht="15.75" thickBot="1" x14ac:dyDescent="0.25">
      <c r="A427" s="368">
        <v>45705</v>
      </c>
      <c r="B427" s="365">
        <v>0.91666666666666696</v>
      </c>
      <c r="C427" s="383">
        <f t="shared" si="5"/>
        <v>17</v>
      </c>
      <c r="D427" s="319" t="s">
        <v>132</v>
      </c>
      <c r="E427" s="297">
        <v>13.9</v>
      </c>
      <c r="F427" s="298">
        <v>68.62</v>
      </c>
      <c r="G427" s="299" cm="1">
        <f t="array" aca="1" ref="G427" ca="1">INDIRECT("'"&amp;$C427&amp;"'!"&amp;"$"&amp;$D427&amp;$E$1&amp;"")</f>
        <v>0</v>
      </c>
      <c r="H427" s="300" t="s">
        <v>1</v>
      </c>
      <c r="I427" s="298" t="s">
        <v>1</v>
      </c>
      <c r="J427" s="299" cm="1">
        <f t="array" aca="1" ref="J427" ca="1">INDIRECT("'"&amp;$C427&amp;"'!"&amp;"$"&amp;$D427&amp;$J$1&amp;"")</f>
        <v>0</v>
      </c>
      <c r="K427" s="300"/>
      <c r="L427" s="300" t="s">
        <v>1</v>
      </c>
      <c r="M427" s="298" t="s">
        <v>1</v>
      </c>
      <c r="N427" s="299" cm="1">
        <f t="array" aca="1" ref="N427" ca="1">INDIRECT("'"&amp;$C427&amp;"'!"&amp;"$"&amp;$D427&amp;$N$1&amp;"")</f>
        <v>6.4</v>
      </c>
      <c r="O427" s="300"/>
      <c r="P427" s="300">
        <v>0.94</v>
      </c>
      <c r="Q427" s="298">
        <v>2.2400000000000002</v>
      </c>
      <c r="R427" s="299" cm="1">
        <f t="array" aca="1" ref="R427" ca="1">INDIRECT("'"&amp;$C427&amp;"'!"&amp;"$"&amp;$D427&amp;$R$1&amp;"")</f>
        <v>6.4</v>
      </c>
      <c r="S427" s="300"/>
      <c r="T427" s="300">
        <v>0.94</v>
      </c>
      <c r="U427" s="298">
        <v>2.25</v>
      </c>
      <c r="V427" s="299" t="str" cm="1">
        <f t="array" aca="1" ref="V427" ca="1">INDIRECT("'"&amp;$C427&amp;"'!"&amp;"$"&amp;$D427&amp;$V$1&amp;"")</f>
        <v>CMS</v>
      </c>
      <c r="W427" s="300" t="s">
        <v>1</v>
      </c>
      <c r="X427" s="300" t="s">
        <v>1</v>
      </c>
      <c r="Y427" s="301" t="s">
        <v>1</v>
      </c>
      <c r="Z427" s="387" cm="1">
        <f t="array" aca="1" ref="Z427" ca="1">INDIRECT("'"&amp;$C427&amp;"'!"&amp;"$"&amp;$D427&amp;$Z$1&amp;"")</f>
        <v>0</v>
      </c>
      <c r="AA427" s="299" t="s">
        <v>1</v>
      </c>
      <c r="AB427" s="300" t="s">
        <v>1</v>
      </c>
      <c r="AC427" s="298" t="s">
        <v>1</v>
      </c>
      <c r="AD427" s="299" cm="1">
        <f t="array" aca="1" ref="AD427" ca="1">INDIRECT("'"&amp;$C427&amp;"'!"&amp;"$"&amp;$D427&amp;$AD$1&amp;"")</f>
        <v>3.3</v>
      </c>
      <c r="AE427" s="300">
        <f>3.8*3.51</f>
        <v>13.337999999999999</v>
      </c>
      <c r="AF427" s="300">
        <v>0.96</v>
      </c>
      <c r="AG427" s="298">
        <v>0.92</v>
      </c>
      <c r="AH427" s="297" cm="1">
        <f t="array" aca="1" ref="AH427" ca="1">INDIRECT("'"&amp;$C427&amp;"'!"&amp;"$"&amp;$D427&amp;$AH$1&amp;"")</f>
        <v>3.8</v>
      </c>
      <c r="AI427" s="300">
        <v>13.96</v>
      </c>
      <c r="AJ427" s="300">
        <v>0.98</v>
      </c>
      <c r="AK427" s="298">
        <v>0.84</v>
      </c>
      <c r="AL427" s="297">
        <v>11.8</v>
      </c>
      <c r="AM427" s="301">
        <v>70</v>
      </c>
      <c r="AN427" s="297" cm="1">
        <f t="array" aca="1" ref="AN427" ca="1">INDIRECT("'"&amp;$C427&amp;"'!"&amp;"$"&amp;$D427&amp;$AL$1&amp;"")</f>
        <v>3.9</v>
      </c>
      <c r="AO427" s="300">
        <v>0.96</v>
      </c>
      <c r="AP427" s="298">
        <v>1.2</v>
      </c>
      <c r="AQ427" s="299" cm="1">
        <f t="array" aca="1" ref="AQ427" ca="1">INDIRECT("'"&amp;$C427&amp;"'!"&amp;"$"&amp;$D427&amp;$AQ$1&amp;"")</f>
        <v>3.9</v>
      </c>
      <c r="AR427" s="300">
        <v>0.96</v>
      </c>
      <c r="AS427" s="298">
        <v>1.2</v>
      </c>
      <c r="AT427" s="297">
        <v>13.98</v>
      </c>
      <c r="AU427" s="301">
        <v>71.16</v>
      </c>
      <c r="AV427" s="297" cm="1">
        <f t="array" aca="1" ref="AV427" ca="1">INDIRECT("'"&amp;$C427&amp;"'!"&amp;"$"&amp;$D427&amp;$AT$1&amp;"")</f>
        <v>13.98</v>
      </c>
      <c r="AW427" s="300">
        <v>1</v>
      </c>
      <c r="AX427" s="301">
        <v>1.2</v>
      </c>
      <c r="AY427" s="387">
        <v>67.7</v>
      </c>
      <c r="AZ427" s="303" cm="1">
        <f t="array" aca="1" ref="AZ427" ca="1">INDIRECT("'"&amp;$C427&amp;"'!"&amp;"$"&amp;$D427&amp;$AY$1&amp;"")</f>
        <v>1.6</v>
      </c>
      <c r="BA427" s="300">
        <v>0.98</v>
      </c>
      <c r="BB427" s="298">
        <v>0.32</v>
      </c>
      <c r="BC427" s="299" cm="1">
        <f t="array" aca="1" ref="BC427" ca="1">INDIRECT("'"&amp;$C427&amp;"'!"&amp;"$"&amp;$D427&amp;$BC$1&amp;"")</f>
        <v>1.28</v>
      </c>
      <c r="BD427" s="300"/>
      <c r="BE427" s="300">
        <v>0.99</v>
      </c>
      <c r="BF427" s="298">
        <v>0.16</v>
      </c>
      <c r="BG427" s="299" cm="1">
        <f t="array" aca="1" ref="BG427" ca="1">INDIRECT("'"&amp;$C427&amp;"'!"&amp;"$"&amp;$D427&amp;$BG$1&amp;"")</f>
        <v>0.91</v>
      </c>
      <c r="BH427" s="300"/>
      <c r="BI427" s="300">
        <v>0.97</v>
      </c>
      <c r="BJ427" s="298">
        <v>0.24</v>
      </c>
      <c r="BK427" s="299" cm="1">
        <f t="array" aca="1" ref="BK427" ca="1">INDIRECT("'"&amp;$C427&amp;"'!"&amp;"$"&amp;$D427&amp;$BK$1&amp;"")</f>
        <v>4.9000000000000004</v>
      </c>
      <c r="BL427" s="300"/>
      <c r="BM427" s="300">
        <v>0.95</v>
      </c>
      <c r="BN427" s="298">
        <v>1.6</v>
      </c>
    </row>
    <row r="428" spans="1:66" ht="15.75" thickBot="1" x14ac:dyDescent="0.25">
      <c r="A428" s="369">
        <v>45705</v>
      </c>
      <c r="B428" s="366">
        <v>0.95833333333333404</v>
      </c>
      <c r="C428" s="383">
        <f t="shared" si="5"/>
        <v>17</v>
      </c>
      <c r="D428" s="321" t="s">
        <v>133</v>
      </c>
      <c r="E428" s="305">
        <v>14.1</v>
      </c>
      <c r="F428" s="306">
        <v>69.400000000000006</v>
      </c>
      <c r="G428" s="307" cm="1">
        <f t="array" aca="1" ref="G428" ca="1">INDIRECT("'"&amp;$C428&amp;"'!"&amp;"$"&amp;$D428&amp;$E$1&amp;"")</f>
        <v>0</v>
      </c>
      <c r="H428" s="308" t="s">
        <v>1</v>
      </c>
      <c r="I428" s="306" t="s">
        <v>1</v>
      </c>
      <c r="J428" s="307" cm="1">
        <f t="array" aca="1" ref="J428" ca="1">INDIRECT("'"&amp;$C428&amp;"'!"&amp;"$"&amp;$D428&amp;$J$1&amp;"")</f>
        <v>0</v>
      </c>
      <c r="K428" s="308"/>
      <c r="L428" s="308" t="s">
        <v>1</v>
      </c>
      <c r="M428" s="306" t="s">
        <v>1</v>
      </c>
      <c r="N428" s="307" cm="1">
        <f t="array" aca="1" ref="N428" ca="1">INDIRECT("'"&amp;$C428&amp;"'!"&amp;"$"&amp;$D428&amp;$N$1&amp;"")</f>
        <v>6.7</v>
      </c>
      <c r="O428" s="308"/>
      <c r="P428" s="308">
        <v>0.94</v>
      </c>
      <c r="Q428" s="306">
        <v>2.4900000000000002</v>
      </c>
      <c r="R428" s="307" cm="1">
        <f t="array" aca="1" ref="R428" ca="1">INDIRECT("'"&amp;$C428&amp;"'!"&amp;"$"&amp;$D428&amp;$R$1&amp;"")</f>
        <v>6.7</v>
      </c>
      <c r="S428" s="308"/>
      <c r="T428" s="308">
        <v>0.94</v>
      </c>
      <c r="U428" s="306">
        <v>2.5</v>
      </c>
      <c r="V428" s="307" t="str" cm="1">
        <f t="array" aca="1" ref="V428" ca="1">INDIRECT("'"&amp;$C428&amp;"'!"&amp;"$"&amp;$D428&amp;$V$1&amp;"")</f>
        <v>CMS</v>
      </c>
      <c r="W428" s="308" t="s">
        <v>1</v>
      </c>
      <c r="X428" s="308" t="s">
        <v>1</v>
      </c>
      <c r="Y428" s="309" t="s">
        <v>1</v>
      </c>
      <c r="Z428" s="389" cm="1">
        <f t="array" aca="1" ref="Z428" ca="1">INDIRECT("'"&amp;$C428&amp;"'!"&amp;"$"&amp;$D428&amp;$Z$1&amp;"")</f>
        <v>0</v>
      </c>
      <c r="AA428" s="307" t="s">
        <v>1</v>
      </c>
      <c r="AB428" s="308" t="s">
        <v>1</v>
      </c>
      <c r="AC428" s="306" t="s">
        <v>1</v>
      </c>
      <c r="AD428" s="307" cm="1">
        <f t="array" aca="1" ref="AD428" ca="1">INDIRECT("'"&amp;$C428&amp;"'!"&amp;"$"&amp;$D428&amp;$AD$1&amp;"")</f>
        <v>3.3</v>
      </c>
      <c r="AE428" s="308">
        <f>3.8*3.54</f>
        <v>13.452</v>
      </c>
      <c r="AF428" s="308">
        <v>0.96</v>
      </c>
      <c r="AG428" s="309">
        <v>0.95</v>
      </c>
      <c r="AH428" s="305" cm="1">
        <f t="array" aca="1" ref="AH428" ca="1">INDIRECT("'"&amp;$C428&amp;"'!"&amp;"$"&amp;$D428&amp;$AH$1&amp;"")</f>
        <v>3.8</v>
      </c>
      <c r="AI428" s="308">
        <v>13.96</v>
      </c>
      <c r="AJ428" s="308">
        <v>0.98</v>
      </c>
      <c r="AK428" s="306">
        <v>0.69299999999999995</v>
      </c>
      <c r="AL428" s="305">
        <v>11.8</v>
      </c>
      <c r="AM428" s="309">
        <v>70.3</v>
      </c>
      <c r="AN428" s="305" cm="1">
        <f t="array" aca="1" ref="AN428" ca="1">INDIRECT("'"&amp;$C428&amp;"'!"&amp;"$"&amp;$D428&amp;$AL$1&amp;"")</f>
        <v>3.5</v>
      </c>
      <c r="AO428" s="308">
        <v>0.97</v>
      </c>
      <c r="AP428" s="306">
        <v>0.75</v>
      </c>
      <c r="AQ428" s="307" cm="1">
        <f t="array" aca="1" ref="AQ428" ca="1">INDIRECT("'"&amp;$C428&amp;"'!"&amp;"$"&amp;$D428&amp;$AQ$1&amp;"")</f>
        <v>3.5</v>
      </c>
      <c r="AR428" s="308">
        <v>0.97</v>
      </c>
      <c r="AS428" s="306">
        <v>0.75</v>
      </c>
      <c r="AT428" s="305">
        <v>14.05</v>
      </c>
      <c r="AU428" s="309">
        <v>71.489999999999995</v>
      </c>
      <c r="AV428" s="305" cm="1">
        <f t="array" aca="1" ref="AV428" ca="1">INDIRECT("'"&amp;$C428&amp;"'!"&amp;"$"&amp;$D428&amp;$AT$1&amp;"")</f>
        <v>12.54</v>
      </c>
      <c r="AW428" s="308">
        <v>1</v>
      </c>
      <c r="AX428" s="306">
        <v>1.1000000000000001</v>
      </c>
      <c r="AY428" s="384">
        <v>68.400000000000006</v>
      </c>
      <c r="AZ428" s="310" cm="1">
        <f t="array" aca="1" ref="AZ428" ca="1">INDIRECT("'"&amp;$C428&amp;"'!"&amp;"$"&amp;$D428&amp;$AY$1&amp;"")</f>
        <v>0</v>
      </c>
      <c r="BA428" s="308" t="s">
        <v>1</v>
      </c>
      <c r="BB428" s="306" t="s">
        <v>1</v>
      </c>
      <c r="BC428" s="307" cm="1">
        <f t="array" aca="1" ref="BC428" ca="1">INDIRECT("'"&amp;$C428&amp;"'!"&amp;"$"&amp;$D428&amp;$BC$1&amp;"")</f>
        <v>1.1299999999999999</v>
      </c>
      <c r="BD428" s="308"/>
      <c r="BE428" s="308">
        <v>0.99</v>
      </c>
      <c r="BF428" s="306">
        <v>0.16</v>
      </c>
      <c r="BG428" s="307" cm="1">
        <f t="array" aca="1" ref="BG428" ca="1">INDIRECT("'"&amp;$C428&amp;"'!"&amp;"$"&amp;$D428&amp;$BG$1&amp;"")</f>
        <v>0.86</v>
      </c>
      <c r="BH428" s="308"/>
      <c r="BI428" s="308">
        <v>0.97</v>
      </c>
      <c r="BJ428" s="306">
        <v>0.23</v>
      </c>
      <c r="BK428" s="305" cm="1">
        <f t="array" aca="1" ref="BK428" ca="1">INDIRECT("'"&amp;$C428&amp;"'!"&amp;"$"&amp;$D428&amp;$BK$1&amp;"")</f>
        <v>4.4000000000000004</v>
      </c>
      <c r="BL428" s="308"/>
      <c r="BM428" s="308">
        <v>0.95</v>
      </c>
      <c r="BN428" s="306">
        <v>1.4</v>
      </c>
    </row>
    <row r="429" spans="1:66" ht="15" thickBot="1" x14ac:dyDescent="0.25"/>
    <row r="430" spans="1:66" ht="15.75" thickBot="1" x14ac:dyDescent="0.25">
      <c r="A430" s="367">
        <v>45706</v>
      </c>
      <c r="B430" s="364">
        <v>0</v>
      </c>
      <c r="C430" s="383">
        <f>C428+1</f>
        <v>18</v>
      </c>
      <c r="D430" s="316" t="s">
        <v>110</v>
      </c>
      <c r="E430" s="284">
        <v>14.1</v>
      </c>
      <c r="F430" s="285">
        <v>69.89</v>
      </c>
      <c r="G430" s="286" cm="1">
        <f t="array" aca="1" ref="G430" ca="1">INDIRECT("'"&amp;$C430&amp;"'!"&amp;"$"&amp;$D430&amp;$E$1&amp;"")</f>
        <v>0</v>
      </c>
      <c r="H430" s="287" t="s">
        <v>1</v>
      </c>
      <c r="I430" s="285" t="s">
        <v>1</v>
      </c>
      <c r="J430" s="286" cm="1">
        <f t="array" aca="1" ref="J430" ca="1">INDIRECT("'"&amp;$C430&amp;"'!"&amp;"$"&amp;$D430&amp;$J$1&amp;"")</f>
        <v>6.5</v>
      </c>
      <c r="K430" s="287"/>
      <c r="L430" s="287">
        <v>0.96</v>
      </c>
      <c r="M430" s="285">
        <v>1.95</v>
      </c>
      <c r="N430" s="286" cm="1">
        <f t="array" aca="1" ref="N430" ca="1">INDIRECT("'"&amp;$C430&amp;"'!"&amp;"$"&amp;$D430&amp;$N$1&amp;"")</f>
        <v>6.5</v>
      </c>
      <c r="O430" s="287"/>
      <c r="P430" s="287">
        <v>0.96</v>
      </c>
      <c r="Q430" s="285">
        <v>1.94</v>
      </c>
      <c r="R430" s="286" cm="1">
        <f t="array" aca="1" ref="R430" ca="1">INDIRECT("'"&amp;$C430&amp;"'!"&amp;"$"&amp;$D430&amp;$R$1&amp;"")</f>
        <v>0</v>
      </c>
      <c r="S430" s="287"/>
      <c r="T430" s="287" t="s">
        <v>1</v>
      </c>
      <c r="U430" s="285" t="s">
        <v>1</v>
      </c>
      <c r="V430" s="286" t="str" cm="1">
        <f t="array" aca="1" ref="V430" ca="1">INDIRECT("'"&amp;$C430&amp;"'!"&amp;"$"&amp;$D430&amp;$V$1&amp;"")</f>
        <v>CMS</v>
      </c>
      <c r="W430" s="287" t="s">
        <v>1</v>
      </c>
      <c r="X430" s="287" t="s">
        <v>1</v>
      </c>
      <c r="Y430" s="288" t="s">
        <v>1</v>
      </c>
      <c r="Z430" s="385" cm="1">
        <f t="array" aca="1" ref="Z430" ca="1">INDIRECT("'"&amp;$C430&amp;"'!"&amp;"$"&amp;$D430&amp;$Z$1&amp;"")</f>
        <v>0</v>
      </c>
      <c r="AA430" s="286" t="s">
        <v>1</v>
      </c>
      <c r="AB430" s="287" t="s">
        <v>1</v>
      </c>
      <c r="AC430" s="285" t="s">
        <v>1</v>
      </c>
      <c r="AD430" s="286" cm="1">
        <f t="array" aca="1" ref="AD430" ca="1">INDIRECT("'"&amp;$C430&amp;"'!"&amp;"$"&amp;$D430&amp;$AD$1&amp;"")</f>
        <v>3.3</v>
      </c>
      <c r="AE430" s="287">
        <f>3.8*3.54</f>
        <v>13.452</v>
      </c>
      <c r="AF430" s="287">
        <v>0.96</v>
      </c>
      <c r="AG430" s="285">
        <v>0.95</v>
      </c>
      <c r="AH430" s="284" cm="1">
        <f t="array" aca="1" ref="AH430" ca="1">INDIRECT("'"&amp;$C430&amp;"'!"&amp;"$"&amp;$D430&amp;$AH$1&amp;"")</f>
        <v>0</v>
      </c>
      <c r="AI430" s="287" t="s">
        <v>1</v>
      </c>
      <c r="AJ430" s="287" t="s">
        <v>1</v>
      </c>
      <c r="AK430" s="285" t="s">
        <v>1</v>
      </c>
      <c r="AL430" s="284">
        <v>11.8</v>
      </c>
      <c r="AM430" s="288">
        <v>70.400000000000006</v>
      </c>
      <c r="AN430" s="284" cm="1">
        <f t="array" aca="1" ref="AN430" ca="1">INDIRECT("'"&amp;$C430&amp;"'!"&amp;"$"&amp;$D430&amp;$AL$1&amp;"")</f>
        <v>3.6</v>
      </c>
      <c r="AO430" s="287">
        <v>0.98</v>
      </c>
      <c r="AP430" s="285">
        <v>0.7</v>
      </c>
      <c r="AQ430" s="286" cm="1">
        <f t="array" aca="1" ref="AQ430" ca="1">INDIRECT("'"&amp;$C430&amp;"'!"&amp;"$"&amp;$D430&amp;$AQ$1&amp;"")</f>
        <v>3.6</v>
      </c>
      <c r="AR430" s="287">
        <v>0.98</v>
      </c>
      <c r="AS430" s="285">
        <v>0.7</v>
      </c>
      <c r="AT430" s="284">
        <v>14.02</v>
      </c>
      <c r="AU430" s="381">
        <v>71.290000000000006</v>
      </c>
      <c r="AV430" s="284" cm="1">
        <f t="array" aca="1" ref="AV430" ca="1">INDIRECT("'"&amp;$C430&amp;"'!"&amp;"$"&amp;$D430&amp;$AT$1&amp;"")</f>
        <v>13.07</v>
      </c>
      <c r="AW430" s="287">
        <v>1</v>
      </c>
      <c r="AX430" s="288">
        <v>1.1000000000000001</v>
      </c>
      <c r="AY430" s="385">
        <v>68.8</v>
      </c>
      <c r="AZ430" s="381" cm="1">
        <f t="array" aca="1" ref="AZ430" ca="1">INDIRECT("'"&amp;$C430&amp;"'!"&amp;"$"&amp;$D430&amp;$AY$1&amp;"")</f>
        <v>0</v>
      </c>
      <c r="BA430" s="287" t="s">
        <v>1</v>
      </c>
      <c r="BB430" s="285" t="s">
        <v>1</v>
      </c>
      <c r="BC430" s="286" cm="1">
        <f t="array" aca="1" ref="BC430" ca="1">INDIRECT("'"&amp;$C430&amp;"'!"&amp;"$"&amp;$D430&amp;$BC$1&amp;"")</f>
        <v>1.02</v>
      </c>
      <c r="BD430" s="287"/>
      <c r="BE430" s="287">
        <v>0.99</v>
      </c>
      <c r="BF430" s="285">
        <v>0.16</v>
      </c>
      <c r="BG430" s="286" cm="1">
        <f t="array" aca="1" ref="BG430" ca="1">INDIRECT("'"&amp;$C430&amp;"'!"&amp;"$"&amp;$D430&amp;$BG$1&amp;"")</f>
        <v>0.81</v>
      </c>
      <c r="BH430" s="287"/>
      <c r="BI430" s="287">
        <v>0.96</v>
      </c>
      <c r="BJ430" s="285">
        <v>0.23</v>
      </c>
      <c r="BK430" s="286" cm="1">
        <f t="array" aca="1" ref="BK430" ca="1">INDIRECT("'"&amp;$C430&amp;"'!"&amp;"$"&amp;$D430&amp;$BK$1&amp;"")</f>
        <v>4.2</v>
      </c>
      <c r="BL430" s="287"/>
      <c r="BM430" s="287">
        <v>0.95</v>
      </c>
      <c r="BN430" s="285">
        <v>1.3</v>
      </c>
    </row>
    <row r="431" spans="1:66" ht="15.75" thickBot="1" x14ac:dyDescent="0.25">
      <c r="A431" s="367">
        <v>45706</v>
      </c>
      <c r="B431" s="365">
        <v>4.1666666666666699E-2</v>
      </c>
      <c r="C431" s="383">
        <f>C430</f>
        <v>18</v>
      </c>
      <c r="D431" s="319" t="s">
        <v>111</v>
      </c>
      <c r="E431" s="290">
        <v>14.3</v>
      </c>
      <c r="F431" s="291">
        <v>70.83</v>
      </c>
      <c r="G431" s="292" cm="1">
        <f t="array" aca="1" ref="G431" ca="1">INDIRECT("'"&amp;$C431&amp;"'!"&amp;"$"&amp;$D431&amp;$E$1&amp;"")</f>
        <v>0</v>
      </c>
      <c r="H431" s="293" t="s">
        <v>1</v>
      </c>
      <c r="I431" s="291" t="s">
        <v>1</v>
      </c>
      <c r="J431" s="292" cm="1">
        <f t="array" aca="1" ref="J431" ca="1">INDIRECT("'"&amp;$C431&amp;"'!"&amp;"$"&amp;$D431&amp;$J$1&amp;"")</f>
        <v>6.4</v>
      </c>
      <c r="K431" s="293"/>
      <c r="L431" s="293">
        <v>0.96</v>
      </c>
      <c r="M431" s="291">
        <v>1.76</v>
      </c>
      <c r="N431" s="292" cm="1">
        <f t="array" aca="1" ref="N431" ca="1">INDIRECT("'"&amp;$C431&amp;"'!"&amp;"$"&amp;$D431&amp;$N$1&amp;"")</f>
        <v>6.4</v>
      </c>
      <c r="O431" s="293"/>
      <c r="P431" s="293">
        <v>0.96</v>
      </c>
      <c r="Q431" s="291">
        <v>1.76</v>
      </c>
      <c r="R431" s="292" cm="1">
        <f t="array" aca="1" ref="R431" ca="1">INDIRECT("'"&amp;$C431&amp;"'!"&amp;"$"&amp;$D431&amp;$R$1&amp;"")</f>
        <v>0</v>
      </c>
      <c r="S431" s="293"/>
      <c r="T431" s="293" t="s">
        <v>1</v>
      </c>
      <c r="U431" s="291" t="s">
        <v>1</v>
      </c>
      <c r="V431" s="292" t="str" cm="1">
        <f t="array" aca="1" ref="V431" ca="1">INDIRECT("'"&amp;$C431&amp;"'!"&amp;"$"&amp;$D431&amp;$V$1&amp;"")</f>
        <v>CMS</v>
      </c>
      <c r="W431" s="293" t="s">
        <v>1</v>
      </c>
      <c r="X431" s="293" t="s">
        <v>1</v>
      </c>
      <c r="Y431" s="294" t="s">
        <v>1</v>
      </c>
      <c r="Z431" s="386" cm="1">
        <f t="array" aca="1" ref="Z431" ca="1">INDIRECT("'"&amp;$C431&amp;"'!"&amp;"$"&amp;$D431&amp;$Z$1&amp;"")</f>
        <v>0</v>
      </c>
      <c r="AA431" s="292" t="s">
        <v>1</v>
      </c>
      <c r="AB431" s="293" t="s">
        <v>1</v>
      </c>
      <c r="AC431" s="291" t="s">
        <v>1</v>
      </c>
      <c r="AD431" s="292" cm="1">
        <f t="array" aca="1" ref="AD431" ca="1">INDIRECT("'"&amp;$C431&amp;"'!"&amp;"$"&amp;$D431&amp;$AD$1&amp;"")</f>
        <v>3.3</v>
      </c>
      <c r="AE431" s="293">
        <f>3.8*3.61</f>
        <v>13.717999999999998</v>
      </c>
      <c r="AF431" s="293">
        <v>0.99</v>
      </c>
      <c r="AG431" s="294">
        <v>0.31</v>
      </c>
      <c r="AH431" s="290" cm="1">
        <f t="array" aca="1" ref="AH431" ca="1">INDIRECT("'"&amp;$C431&amp;"'!"&amp;"$"&amp;$D431&amp;$AH$1&amp;"")</f>
        <v>0</v>
      </c>
      <c r="AI431" s="293" t="s">
        <v>1</v>
      </c>
      <c r="AJ431" s="293" t="s">
        <v>1</v>
      </c>
      <c r="AK431" s="291" t="s">
        <v>1</v>
      </c>
      <c r="AL431" s="290">
        <v>11.8</v>
      </c>
      <c r="AM431" s="294">
        <v>70.900000000000006</v>
      </c>
      <c r="AN431" s="290" cm="1">
        <f t="array" aca="1" ref="AN431" ca="1">INDIRECT("'"&amp;$C431&amp;"'!"&amp;"$"&amp;$D431&amp;$AL$1&amp;"")</f>
        <v>3.1</v>
      </c>
      <c r="AO431" s="293">
        <v>0.99</v>
      </c>
      <c r="AP431" s="291">
        <v>0.7</v>
      </c>
      <c r="AQ431" s="292" cm="1">
        <f t="array" aca="1" ref="AQ431" ca="1">INDIRECT("'"&amp;$C431&amp;"'!"&amp;"$"&amp;$D431&amp;$AQ$1&amp;"")</f>
        <v>2.8</v>
      </c>
      <c r="AR431" s="293">
        <v>0.99</v>
      </c>
      <c r="AS431" s="291">
        <v>0.7</v>
      </c>
      <c r="AT431" s="290">
        <v>14.12</v>
      </c>
      <c r="AU431" s="296">
        <v>71.959999999999994</v>
      </c>
      <c r="AV431" s="290" cm="1">
        <f t="array" aca="1" ref="AV431" ca="1">INDIRECT("'"&amp;$C431&amp;"'!"&amp;"$"&amp;$D431&amp;$AT$1&amp;"")</f>
        <v>12.6</v>
      </c>
      <c r="AW431" s="293">
        <v>1</v>
      </c>
      <c r="AX431" s="294">
        <v>1.1000000000000001</v>
      </c>
      <c r="AY431" s="386">
        <v>69.7</v>
      </c>
      <c r="AZ431" s="296" cm="1">
        <f t="array" aca="1" ref="AZ431" ca="1">INDIRECT("'"&amp;$C431&amp;"'!"&amp;"$"&amp;$D431&amp;$AY$1&amp;"")</f>
        <v>0</v>
      </c>
      <c r="BA431" s="293" t="s">
        <v>1</v>
      </c>
      <c r="BB431" s="291" t="s">
        <v>1</v>
      </c>
      <c r="BC431" s="292" cm="1">
        <f t="array" aca="1" ref="BC431" ca="1">INDIRECT("'"&amp;$C431&amp;"'!"&amp;"$"&amp;$D431&amp;$BC$1&amp;"")</f>
        <v>0.94</v>
      </c>
      <c r="BD431" s="293"/>
      <c r="BE431" s="293">
        <v>0.99</v>
      </c>
      <c r="BF431" s="291">
        <v>0.14000000000000001</v>
      </c>
      <c r="BG431" s="292" cm="1">
        <f t="array" aca="1" ref="BG431" ca="1">INDIRECT("'"&amp;$C431&amp;"'!"&amp;"$"&amp;$D431&amp;$BG$1&amp;"")</f>
        <v>0.77</v>
      </c>
      <c r="BH431" s="293"/>
      <c r="BI431" s="293">
        <v>0.96</v>
      </c>
      <c r="BJ431" s="291">
        <v>0.22</v>
      </c>
      <c r="BK431" s="292" cm="1">
        <f t="array" aca="1" ref="BK431" ca="1">INDIRECT("'"&amp;$C431&amp;"'!"&amp;"$"&amp;$D431&amp;$BK$1&amp;"")</f>
        <v>4.4000000000000004</v>
      </c>
      <c r="BL431" s="293"/>
      <c r="BM431" s="293">
        <v>0.95</v>
      </c>
      <c r="BN431" s="291">
        <v>1.44</v>
      </c>
    </row>
    <row r="432" spans="1:66" ht="15.75" thickBot="1" x14ac:dyDescent="0.25">
      <c r="A432" s="367">
        <v>45706</v>
      </c>
      <c r="B432" s="365">
        <v>8.3333333333333301E-2</v>
      </c>
      <c r="C432" s="383">
        <f t="shared" ref="C432:C453" si="6">C431</f>
        <v>18</v>
      </c>
      <c r="D432" s="319" t="s">
        <v>112</v>
      </c>
      <c r="E432" s="297">
        <v>14.2</v>
      </c>
      <c r="F432" s="298">
        <v>70.48</v>
      </c>
      <c r="G432" s="299" cm="1">
        <f t="array" aca="1" ref="G432" ca="1">INDIRECT("'"&amp;$C432&amp;"'!"&amp;"$"&amp;$D432&amp;$E$1&amp;"")</f>
        <v>0</v>
      </c>
      <c r="H432" s="300" t="s">
        <v>1</v>
      </c>
      <c r="I432" s="298" t="s">
        <v>1</v>
      </c>
      <c r="J432" s="299" cm="1">
        <f t="array" aca="1" ref="J432" ca="1">INDIRECT("'"&amp;$C432&amp;"'!"&amp;"$"&amp;$D432&amp;$J$1&amp;"")</f>
        <v>6.6</v>
      </c>
      <c r="K432" s="300"/>
      <c r="L432" s="300">
        <v>0.98</v>
      </c>
      <c r="M432" s="298">
        <v>1.25</v>
      </c>
      <c r="N432" s="299" cm="1">
        <f t="array" aca="1" ref="N432" ca="1">INDIRECT("'"&amp;$C432&amp;"'!"&amp;"$"&amp;$D432&amp;$N$1&amp;"")</f>
        <v>6.6</v>
      </c>
      <c r="O432" s="300"/>
      <c r="P432" s="300">
        <v>0.98</v>
      </c>
      <c r="Q432" s="298">
        <v>1.25</v>
      </c>
      <c r="R432" s="299" cm="1">
        <f t="array" aca="1" ref="R432" ca="1">INDIRECT("'"&amp;$C432&amp;"'!"&amp;"$"&amp;$D432&amp;$R$1&amp;"")</f>
        <v>0</v>
      </c>
      <c r="S432" s="300"/>
      <c r="T432" s="300" t="s">
        <v>1</v>
      </c>
      <c r="U432" s="298" t="s">
        <v>1</v>
      </c>
      <c r="V432" s="299" t="str" cm="1">
        <f t="array" aca="1" ref="V432" ca="1">INDIRECT("'"&amp;$C432&amp;"'!"&amp;"$"&amp;$D432&amp;$V$1&amp;"")</f>
        <v>CMS</v>
      </c>
      <c r="W432" s="300" t="s">
        <v>1</v>
      </c>
      <c r="X432" s="300" t="s">
        <v>1</v>
      </c>
      <c r="Y432" s="301" t="s">
        <v>1</v>
      </c>
      <c r="Z432" s="387" cm="1">
        <f t="array" aca="1" ref="Z432" ca="1">INDIRECT("'"&amp;$C432&amp;"'!"&amp;"$"&amp;$D432&amp;$Z$1&amp;"")</f>
        <v>0</v>
      </c>
      <c r="AA432" s="299" t="s">
        <v>1</v>
      </c>
      <c r="AB432" s="300" t="s">
        <v>1</v>
      </c>
      <c r="AC432" s="298" t="s">
        <v>1</v>
      </c>
      <c r="AD432" s="299" cm="1">
        <f t="array" aca="1" ref="AD432" ca="1">INDIRECT("'"&amp;$C432&amp;"'!"&amp;"$"&amp;$D432&amp;$AD$1&amp;"")</f>
        <v>2.9</v>
      </c>
      <c r="AE432" s="300">
        <f>3.8*3.6</f>
        <v>13.68</v>
      </c>
      <c r="AF432" s="300">
        <v>0.99</v>
      </c>
      <c r="AG432" s="301">
        <v>0.28999999999999998</v>
      </c>
      <c r="AH432" s="297" cm="1">
        <f t="array" aca="1" ref="AH432" ca="1">INDIRECT("'"&amp;$C432&amp;"'!"&amp;"$"&amp;$D432&amp;$AH$1&amp;"")</f>
        <v>0</v>
      </c>
      <c r="AI432" s="300" t="s">
        <v>1</v>
      </c>
      <c r="AJ432" s="300" t="s">
        <v>1</v>
      </c>
      <c r="AK432" s="298" t="s">
        <v>1</v>
      </c>
      <c r="AL432" s="297">
        <v>11.8</v>
      </c>
      <c r="AM432" s="301">
        <v>70.599999999999994</v>
      </c>
      <c r="AN432" s="297" cm="1">
        <f t="array" aca="1" ref="AN432" ca="1">INDIRECT("'"&amp;$C432&amp;"'!"&amp;"$"&amp;$D432&amp;$AL$1&amp;"")</f>
        <v>0</v>
      </c>
      <c r="AO432" s="300" t="s">
        <v>1</v>
      </c>
      <c r="AP432" s="298" t="s">
        <v>1</v>
      </c>
      <c r="AQ432" s="299" cm="1">
        <f t="array" aca="1" ref="AQ432" ca="1">INDIRECT("'"&amp;$C432&amp;"'!"&amp;"$"&amp;$D432&amp;$AQ$1&amp;"")</f>
        <v>3.5</v>
      </c>
      <c r="AR432" s="300">
        <v>0.98</v>
      </c>
      <c r="AS432" s="298">
        <v>0.6</v>
      </c>
      <c r="AT432" s="297">
        <v>14.099</v>
      </c>
      <c r="AU432" s="303">
        <v>71.709999999999994</v>
      </c>
      <c r="AV432" s="297" cm="1">
        <f t="array" aca="1" ref="AV432" ca="1">INDIRECT("'"&amp;$C432&amp;"'!"&amp;"$"&amp;$D432&amp;$AT$1&amp;"")</f>
        <v>12.54</v>
      </c>
      <c r="AW432" s="300">
        <v>1</v>
      </c>
      <c r="AX432" s="301">
        <v>1.1000000000000001</v>
      </c>
      <c r="AY432" s="387">
        <v>69.599999999999994</v>
      </c>
      <c r="AZ432" s="303" cm="1">
        <f t="array" aca="1" ref="AZ432" ca="1">INDIRECT("'"&amp;$C432&amp;"'!"&amp;"$"&amp;$D432&amp;$AY$1&amp;"")</f>
        <v>0</v>
      </c>
      <c r="BA432" s="300" t="s">
        <v>1</v>
      </c>
      <c r="BB432" s="298" t="s">
        <v>1</v>
      </c>
      <c r="BC432" s="299" cm="1">
        <f t="array" aca="1" ref="BC432" ca="1">INDIRECT("'"&amp;$C432&amp;"'!"&amp;"$"&amp;$D432&amp;$BC$1&amp;"")</f>
        <v>0.9</v>
      </c>
      <c r="BD432" s="300"/>
      <c r="BE432" s="300">
        <v>0.99</v>
      </c>
      <c r="BF432" s="298">
        <v>0.13</v>
      </c>
      <c r="BG432" s="299" cm="1">
        <f t="array" aca="1" ref="BG432" ca="1">INDIRECT("'"&amp;$C432&amp;"'!"&amp;"$"&amp;$D432&amp;$BG$1&amp;"")</f>
        <v>0.73</v>
      </c>
      <c r="BH432" s="300"/>
      <c r="BI432" s="300">
        <v>0.96</v>
      </c>
      <c r="BJ432" s="298">
        <v>0.21</v>
      </c>
      <c r="BK432" s="299" cm="1">
        <f t="array" aca="1" ref="BK432" ca="1">INDIRECT("'"&amp;$C432&amp;"'!"&amp;"$"&amp;$D432&amp;$BK$1&amp;"")</f>
        <v>4.2</v>
      </c>
      <c r="BL432" s="300"/>
      <c r="BM432" s="300">
        <v>0.95</v>
      </c>
      <c r="BN432" s="298">
        <v>1.38</v>
      </c>
    </row>
    <row r="433" spans="1:66" ht="15.75" thickBot="1" x14ac:dyDescent="0.25">
      <c r="A433" s="367">
        <v>45706</v>
      </c>
      <c r="B433" s="365">
        <v>0.125</v>
      </c>
      <c r="C433" s="383">
        <f t="shared" si="6"/>
        <v>18</v>
      </c>
      <c r="D433" s="319" t="s">
        <v>113</v>
      </c>
      <c r="E433" s="290">
        <v>14.2</v>
      </c>
      <c r="F433" s="291">
        <v>70.62</v>
      </c>
      <c r="G433" s="292" cm="1">
        <f t="array" aca="1" ref="G433" ca="1">INDIRECT("'"&amp;$C433&amp;"'!"&amp;"$"&amp;$D433&amp;$E$1&amp;"")</f>
        <v>0</v>
      </c>
      <c r="H433" s="293" t="s">
        <v>1</v>
      </c>
      <c r="I433" s="291" t="s">
        <v>1</v>
      </c>
      <c r="J433" s="292" cm="1">
        <f t="array" aca="1" ref="J433" ca="1">INDIRECT("'"&amp;$C433&amp;"'!"&amp;"$"&amp;$D433&amp;$J$1&amp;"")</f>
        <v>6.4</v>
      </c>
      <c r="K433" s="293"/>
      <c r="L433" s="293">
        <v>0.98</v>
      </c>
      <c r="M433" s="291">
        <v>1.26</v>
      </c>
      <c r="N433" s="292" cm="1">
        <f t="array" aca="1" ref="N433" ca="1">INDIRECT("'"&amp;$C433&amp;"'!"&amp;"$"&amp;$D433&amp;$N$1&amp;"")</f>
        <v>6.4</v>
      </c>
      <c r="O433" s="293"/>
      <c r="P433" s="293">
        <v>0.98</v>
      </c>
      <c r="Q433" s="291">
        <v>1.26</v>
      </c>
      <c r="R433" s="292" cm="1">
        <f t="array" aca="1" ref="R433" ca="1">INDIRECT("'"&amp;$C433&amp;"'!"&amp;"$"&amp;$D433&amp;$R$1&amp;"")</f>
        <v>0</v>
      </c>
      <c r="S433" s="293"/>
      <c r="T433" s="293" t="s">
        <v>1</v>
      </c>
      <c r="U433" s="291" t="s">
        <v>1</v>
      </c>
      <c r="V433" s="292" t="str" cm="1">
        <f t="array" aca="1" ref="V433" ca="1">INDIRECT("'"&amp;$C433&amp;"'!"&amp;"$"&amp;$D433&amp;$V$1&amp;"")</f>
        <v>CMS</v>
      </c>
      <c r="W433" s="293" t="s">
        <v>1</v>
      </c>
      <c r="X433" s="293" t="s">
        <v>1</v>
      </c>
      <c r="Y433" s="294" t="s">
        <v>1</v>
      </c>
      <c r="Z433" s="386" cm="1">
        <f t="array" aca="1" ref="Z433" ca="1">INDIRECT("'"&amp;$C433&amp;"'!"&amp;"$"&amp;$D433&amp;$Z$1&amp;"")</f>
        <v>0</v>
      </c>
      <c r="AA433" s="292" t="s">
        <v>1</v>
      </c>
      <c r="AB433" s="293" t="s">
        <v>1</v>
      </c>
      <c r="AC433" s="291" t="s">
        <v>1</v>
      </c>
      <c r="AD433" s="292" cm="1">
        <f t="array" aca="1" ref="AD433" ca="1">INDIRECT("'"&amp;$C433&amp;"'!"&amp;"$"&amp;$D433&amp;$AD$1&amp;"")</f>
        <v>3.3</v>
      </c>
      <c r="AE433" s="293">
        <f>3.8*3.6</f>
        <v>13.68</v>
      </c>
      <c r="AF433" s="293">
        <v>0.99</v>
      </c>
      <c r="AG433" s="294">
        <v>0.31</v>
      </c>
      <c r="AH433" s="290" cm="1">
        <f t="array" aca="1" ref="AH433" ca="1">INDIRECT("'"&amp;$C433&amp;"'!"&amp;"$"&amp;$D433&amp;$AH$1&amp;"")</f>
        <v>0</v>
      </c>
      <c r="AI433" s="293" t="s">
        <v>1</v>
      </c>
      <c r="AJ433" s="293" t="s">
        <v>1</v>
      </c>
      <c r="AK433" s="291" t="s">
        <v>1</v>
      </c>
      <c r="AL433" s="290">
        <v>11.8</v>
      </c>
      <c r="AM433" s="294">
        <v>70.099999999999994</v>
      </c>
      <c r="AN433" s="290" cm="1">
        <f t="array" aca="1" ref="AN433" ca="1">INDIRECT("'"&amp;$C433&amp;"'!"&amp;"$"&amp;$D433&amp;$AL$1&amp;"")</f>
        <v>0</v>
      </c>
      <c r="AO433" s="293" t="s">
        <v>1</v>
      </c>
      <c r="AP433" s="291" t="s">
        <v>1</v>
      </c>
      <c r="AQ433" s="292" cm="1">
        <f t="array" aca="1" ref="AQ433" ca="1">INDIRECT("'"&amp;$C433&amp;"'!"&amp;"$"&amp;$D433&amp;$AQ$1&amp;"")</f>
        <v>0</v>
      </c>
      <c r="AR433" s="293" t="s">
        <v>1</v>
      </c>
      <c r="AS433" s="291" t="s">
        <v>1</v>
      </c>
      <c r="AT433" s="290">
        <v>14.06</v>
      </c>
      <c r="AU433" s="296">
        <v>71.459999999999994</v>
      </c>
      <c r="AV433" s="290" cm="1">
        <f t="array" aca="1" ref="AV433" ca="1">INDIRECT("'"&amp;$C433&amp;"'!"&amp;"$"&amp;$D433&amp;$AT$1&amp;"")</f>
        <v>14.09</v>
      </c>
      <c r="AW433" s="293">
        <v>1</v>
      </c>
      <c r="AX433" s="294">
        <v>1.1000000000000001</v>
      </c>
      <c r="AY433" s="386">
        <v>70.099999999999994</v>
      </c>
      <c r="AZ433" s="296" cm="1">
        <f t="array" aca="1" ref="AZ433" ca="1">INDIRECT("'"&amp;$C433&amp;"'!"&amp;"$"&amp;$D433&amp;$AY$1&amp;"")</f>
        <v>0.8</v>
      </c>
      <c r="BA433" s="293">
        <v>0.98</v>
      </c>
      <c r="BB433" s="291">
        <v>0.14000000000000001</v>
      </c>
      <c r="BC433" s="292" cm="1">
        <f t="array" aca="1" ref="BC433" ca="1">INDIRECT("'"&amp;$C433&amp;"'!"&amp;"$"&amp;$D433&amp;$BC$1&amp;"")</f>
        <v>0.88</v>
      </c>
      <c r="BD433" s="293"/>
      <c r="BE433" s="293">
        <v>0.99</v>
      </c>
      <c r="BF433" s="291">
        <v>0.13</v>
      </c>
      <c r="BG433" s="292" cm="1">
        <f t="array" aca="1" ref="BG433" ca="1">INDIRECT("'"&amp;$C433&amp;"'!"&amp;"$"&amp;$D433&amp;$BG$1&amp;"")</f>
        <v>0.72</v>
      </c>
      <c r="BH433" s="293"/>
      <c r="BI433" s="293">
        <v>0.96</v>
      </c>
      <c r="BJ433" s="291">
        <v>0.2</v>
      </c>
      <c r="BK433" s="292" cm="1">
        <f t="array" aca="1" ref="BK433" ca="1">INDIRECT("'"&amp;$C433&amp;"'!"&amp;"$"&amp;$D433&amp;$BK$1&amp;"")</f>
        <v>3.7</v>
      </c>
      <c r="BL433" s="293"/>
      <c r="BM433" s="293">
        <v>0.95</v>
      </c>
      <c r="BN433" s="291">
        <v>1.2</v>
      </c>
    </row>
    <row r="434" spans="1:66" ht="15.75" thickBot="1" x14ac:dyDescent="0.25">
      <c r="A434" s="367">
        <v>45706</v>
      </c>
      <c r="B434" s="365">
        <v>0.16666666666666699</v>
      </c>
      <c r="C434" s="383">
        <f t="shared" si="6"/>
        <v>18</v>
      </c>
      <c r="D434" s="319" t="s">
        <v>114</v>
      </c>
      <c r="E434" s="297">
        <v>14.1</v>
      </c>
      <c r="F434" s="298">
        <v>69.75</v>
      </c>
      <c r="G434" s="299" cm="1">
        <f t="array" aca="1" ref="G434" ca="1">INDIRECT("'"&amp;$C434&amp;"'!"&amp;"$"&amp;$D434&amp;$E$1&amp;"")</f>
        <v>0</v>
      </c>
      <c r="H434" s="300" t="s">
        <v>1</v>
      </c>
      <c r="I434" s="298" t="s">
        <v>1</v>
      </c>
      <c r="J434" s="299" cm="1">
        <f t="array" aca="1" ref="J434" ca="1">INDIRECT("'"&amp;$C434&amp;"'!"&amp;"$"&amp;$D434&amp;$J$1&amp;"")</f>
        <v>6.8</v>
      </c>
      <c r="K434" s="300"/>
      <c r="L434" s="300">
        <v>0.97</v>
      </c>
      <c r="M434" s="298">
        <v>1.59</v>
      </c>
      <c r="N434" s="299" cm="1">
        <f t="array" aca="1" ref="N434" ca="1">INDIRECT("'"&amp;$C434&amp;"'!"&amp;"$"&amp;$D434&amp;$N$1&amp;"")</f>
        <v>6.8</v>
      </c>
      <c r="O434" s="300"/>
      <c r="P434" s="300">
        <v>0.97</v>
      </c>
      <c r="Q434" s="298">
        <v>1.59</v>
      </c>
      <c r="R434" s="299" cm="1">
        <f t="array" aca="1" ref="R434" ca="1">INDIRECT("'"&amp;$C434&amp;"'!"&amp;"$"&amp;$D434&amp;$R$1&amp;"")</f>
        <v>0</v>
      </c>
      <c r="S434" s="300"/>
      <c r="T434" s="300" t="s">
        <v>1</v>
      </c>
      <c r="U434" s="298" t="s">
        <v>1</v>
      </c>
      <c r="V434" s="299" t="str" cm="1">
        <f t="array" aca="1" ref="V434" ca="1">INDIRECT("'"&amp;$C434&amp;"'!"&amp;"$"&amp;$D434&amp;$V$1&amp;"")</f>
        <v>CMS</v>
      </c>
      <c r="W434" s="300" t="s">
        <v>1</v>
      </c>
      <c r="X434" s="300" t="s">
        <v>1</v>
      </c>
      <c r="Y434" s="301" t="s">
        <v>1</v>
      </c>
      <c r="Z434" s="387" cm="1">
        <f t="array" aca="1" ref="Z434" ca="1">INDIRECT("'"&amp;$C434&amp;"'!"&amp;"$"&amp;$D434&amp;$Z$1&amp;"")</f>
        <v>0</v>
      </c>
      <c r="AA434" s="299" t="s">
        <v>1</v>
      </c>
      <c r="AB434" s="300" t="s">
        <v>1</v>
      </c>
      <c r="AC434" s="298" t="s">
        <v>1</v>
      </c>
      <c r="AD434" s="299" cm="1">
        <f t="array" aca="1" ref="AD434" ca="1">INDIRECT("'"&amp;$C434&amp;"'!"&amp;"$"&amp;$D434&amp;$AD$1&amp;"")</f>
        <v>3.3</v>
      </c>
      <c r="AE434" s="300">
        <f>3.8*3.59</f>
        <v>13.641999999999999</v>
      </c>
      <c r="AF434" s="300">
        <v>0.99</v>
      </c>
      <c r="AG434" s="301">
        <v>0.37</v>
      </c>
      <c r="AH434" s="297" cm="1">
        <f t="array" aca="1" ref="AH434" ca="1">INDIRECT("'"&amp;$C434&amp;"'!"&amp;"$"&amp;$D434&amp;$AH$1&amp;"")</f>
        <v>0</v>
      </c>
      <c r="AI434" s="300" t="s">
        <v>1</v>
      </c>
      <c r="AJ434" s="300" t="s">
        <v>1</v>
      </c>
      <c r="AK434" s="298" t="s">
        <v>1</v>
      </c>
      <c r="AL434" s="297">
        <v>11.8</v>
      </c>
      <c r="AM434" s="301">
        <v>69.5</v>
      </c>
      <c r="AN434" s="297" cm="1">
        <f t="array" aca="1" ref="AN434" ca="1">INDIRECT("'"&amp;$C434&amp;"'!"&amp;"$"&amp;$D434&amp;$AL$1&amp;"")</f>
        <v>0</v>
      </c>
      <c r="AO434" s="300" t="s">
        <v>1</v>
      </c>
      <c r="AP434" s="298" t="s">
        <v>1</v>
      </c>
      <c r="AQ434" s="299" cm="1">
        <f t="array" aca="1" ref="AQ434" ca="1">INDIRECT("'"&amp;$C434&amp;"'!"&amp;"$"&amp;$D434&amp;$AQ$1&amp;"")</f>
        <v>0</v>
      </c>
      <c r="AR434" s="300" t="s">
        <v>1</v>
      </c>
      <c r="AS434" s="298" t="s">
        <v>1</v>
      </c>
      <c r="AT434" s="297">
        <v>13.92</v>
      </c>
      <c r="AU434" s="303">
        <v>70.73</v>
      </c>
      <c r="AV434" s="297" cm="1">
        <f t="array" aca="1" ref="AV434" ca="1">INDIRECT("'"&amp;$C434&amp;"'!"&amp;"$"&amp;$D434&amp;$AT$1&amp;"")</f>
        <v>14.03</v>
      </c>
      <c r="AW434" s="300">
        <v>1</v>
      </c>
      <c r="AX434" s="301">
        <v>1.1000000000000001</v>
      </c>
      <c r="AY434" s="387">
        <v>68.900000000000006</v>
      </c>
      <c r="AZ434" s="303" cm="1">
        <f t="array" aca="1" ref="AZ434" ca="1">INDIRECT("'"&amp;$C434&amp;"'!"&amp;"$"&amp;$D434&amp;$AY$1&amp;"")</f>
        <v>0</v>
      </c>
      <c r="BA434" s="300" t="s">
        <v>1</v>
      </c>
      <c r="BB434" s="298" t="s">
        <v>1</v>
      </c>
      <c r="BC434" s="299" cm="1">
        <f t="array" aca="1" ref="BC434" ca="1">INDIRECT("'"&amp;$C434&amp;"'!"&amp;"$"&amp;$D434&amp;$BC$1&amp;"")</f>
        <v>0.85</v>
      </c>
      <c r="BD434" s="300"/>
      <c r="BE434" s="300">
        <v>0.99</v>
      </c>
      <c r="BF434" s="298">
        <v>0.11</v>
      </c>
      <c r="BG434" s="299" cm="1">
        <f t="array" aca="1" ref="BG434" ca="1">INDIRECT("'"&amp;$C434&amp;"'!"&amp;"$"&amp;$D434&amp;$BG$1&amp;"")</f>
        <v>0.71</v>
      </c>
      <c r="BH434" s="300"/>
      <c r="BI434" s="300">
        <v>0.96</v>
      </c>
      <c r="BJ434" s="298">
        <v>0.2</v>
      </c>
      <c r="BK434" s="299" cm="1">
        <f t="array" aca="1" ref="BK434" ca="1">INDIRECT("'"&amp;$C434&amp;"'!"&amp;"$"&amp;$D434&amp;$BK$1&amp;"")</f>
        <v>3.9</v>
      </c>
      <c r="BL434" s="300"/>
      <c r="BM434" s="300">
        <v>0.95</v>
      </c>
      <c r="BN434" s="298">
        <v>1.28</v>
      </c>
    </row>
    <row r="435" spans="1:66" ht="15.75" thickBot="1" x14ac:dyDescent="0.25">
      <c r="A435" s="367">
        <v>45706</v>
      </c>
      <c r="B435" s="365">
        <v>0.20833333333333301</v>
      </c>
      <c r="C435" s="383">
        <f t="shared" si="6"/>
        <v>18</v>
      </c>
      <c r="D435" s="319" t="s">
        <v>115</v>
      </c>
      <c r="E435" s="290">
        <v>14.3</v>
      </c>
      <c r="F435" s="291">
        <v>70.959999999999994</v>
      </c>
      <c r="G435" s="292" cm="1">
        <f t="array" aca="1" ref="G435" ca="1">INDIRECT("'"&amp;$C435&amp;"'!"&amp;"$"&amp;$D435&amp;$E$1&amp;"")</f>
        <v>0</v>
      </c>
      <c r="H435" s="293" t="s">
        <v>1</v>
      </c>
      <c r="I435" s="291" t="s">
        <v>1</v>
      </c>
      <c r="J435" s="292" cm="1">
        <f t="array" aca="1" ref="J435" ca="1">INDIRECT("'"&amp;$C435&amp;"'!"&amp;"$"&amp;$D435&amp;$J$1&amp;"")</f>
        <v>6.5</v>
      </c>
      <c r="K435" s="293"/>
      <c r="L435" s="293">
        <v>0.98</v>
      </c>
      <c r="M435" s="291">
        <v>1.43</v>
      </c>
      <c r="N435" s="292" cm="1">
        <f t="array" aca="1" ref="N435" ca="1">INDIRECT("'"&amp;$C435&amp;"'!"&amp;"$"&amp;$D435&amp;$N$1&amp;"")</f>
        <v>6.5</v>
      </c>
      <c r="O435" s="293"/>
      <c r="P435" s="293">
        <v>0.98</v>
      </c>
      <c r="Q435" s="291">
        <v>1.43</v>
      </c>
      <c r="R435" s="292" cm="1">
        <f t="array" aca="1" ref="R435" ca="1">INDIRECT("'"&amp;$C435&amp;"'!"&amp;"$"&amp;$D435&amp;$R$1&amp;"")</f>
        <v>0</v>
      </c>
      <c r="S435" s="293"/>
      <c r="T435" s="293" t="s">
        <v>1</v>
      </c>
      <c r="U435" s="291" t="s">
        <v>1</v>
      </c>
      <c r="V435" s="292" t="str" cm="1">
        <f t="array" aca="1" ref="V435" ca="1">INDIRECT("'"&amp;$C435&amp;"'!"&amp;"$"&amp;$D435&amp;$V$1&amp;"")</f>
        <v>CMS</v>
      </c>
      <c r="W435" s="293" t="s">
        <v>1</v>
      </c>
      <c r="X435" s="293" t="s">
        <v>1</v>
      </c>
      <c r="Y435" s="294" t="s">
        <v>1</v>
      </c>
      <c r="Z435" s="386" cm="1">
        <f t="array" aca="1" ref="Z435" ca="1">INDIRECT("'"&amp;$C435&amp;"'!"&amp;"$"&amp;$D435&amp;$Z$1&amp;"")</f>
        <v>0</v>
      </c>
      <c r="AA435" s="292" t="s">
        <v>1</v>
      </c>
      <c r="AB435" s="293" t="s">
        <v>1</v>
      </c>
      <c r="AC435" s="291" t="s">
        <v>1</v>
      </c>
      <c r="AD435" s="292" cm="1">
        <f t="array" aca="1" ref="AD435" ca="1">INDIRECT("'"&amp;$C435&amp;"'!"&amp;"$"&amp;$D435&amp;$AD$1&amp;"")</f>
        <v>3.3</v>
      </c>
      <c r="AE435" s="293">
        <f>3.8*3.64</f>
        <v>13.831999999999999</v>
      </c>
      <c r="AF435" s="293">
        <v>0.99</v>
      </c>
      <c r="AG435" s="294">
        <v>0.36</v>
      </c>
      <c r="AH435" s="290" cm="1">
        <f t="array" aca="1" ref="AH435" ca="1">INDIRECT("'"&amp;$C435&amp;"'!"&amp;"$"&amp;$D435&amp;$AH$1&amp;"")</f>
        <v>0</v>
      </c>
      <c r="AI435" s="293" t="s">
        <v>1</v>
      </c>
      <c r="AJ435" s="293" t="s">
        <v>1</v>
      </c>
      <c r="AK435" s="291" t="s">
        <v>1</v>
      </c>
      <c r="AL435" s="290">
        <v>11.8</v>
      </c>
      <c r="AM435" s="294">
        <v>70.3</v>
      </c>
      <c r="AN435" s="290" cm="1">
        <f t="array" aca="1" ref="AN435" ca="1">INDIRECT("'"&amp;$C435&amp;"'!"&amp;"$"&amp;$D435&amp;$AL$1&amp;"")</f>
        <v>0</v>
      </c>
      <c r="AO435" s="293" t="s">
        <v>1</v>
      </c>
      <c r="AP435" s="291" t="s">
        <v>1</v>
      </c>
      <c r="AQ435" s="292" cm="1">
        <f t="array" aca="1" ref="AQ435" ca="1">INDIRECT("'"&amp;$C435&amp;"'!"&amp;"$"&amp;$D435&amp;$AQ$1&amp;"")</f>
        <v>0</v>
      </c>
      <c r="AR435" s="293" t="s">
        <v>1</v>
      </c>
      <c r="AS435" s="291" t="s">
        <v>1</v>
      </c>
      <c r="AT435" s="290">
        <v>14</v>
      </c>
      <c r="AU435" s="296">
        <v>71.48</v>
      </c>
      <c r="AV435" s="290" cm="1">
        <f t="array" aca="1" ref="AV435" ca="1">INDIRECT("'"&amp;$C435&amp;"'!"&amp;"$"&amp;$D435&amp;$AT$1&amp;"")</f>
        <v>14.09</v>
      </c>
      <c r="AW435" s="293">
        <v>1</v>
      </c>
      <c r="AX435" s="294">
        <v>1.2</v>
      </c>
      <c r="AY435" s="386">
        <v>69.8</v>
      </c>
      <c r="AZ435" s="296" cm="1">
        <f t="array" aca="1" ref="AZ435" ca="1">INDIRECT("'"&amp;$C435&amp;"'!"&amp;"$"&amp;$D435&amp;$AY$1&amp;"")</f>
        <v>1.6</v>
      </c>
      <c r="BA435" s="293">
        <v>0.98</v>
      </c>
      <c r="BB435" s="291">
        <v>0.32</v>
      </c>
      <c r="BC435" s="292" cm="1">
        <f t="array" aca="1" ref="BC435" ca="1">INDIRECT("'"&amp;$C435&amp;"'!"&amp;"$"&amp;$D435&amp;$BC$1&amp;"")</f>
        <v>0.9</v>
      </c>
      <c r="BD435" s="293"/>
      <c r="BE435" s="293">
        <v>0.99</v>
      </c>
      <c r="BF435" s="291">
        <v>0.12</v>
      </c>
      <c r="BG435" s="292" cm="1">
        <f t="array" aca="1" ref="BG435" ca="1">INDIRECT("'"&amp;$C435&amp;"'!"&amp;"$"&amp;$D435&amp;$BG$1&amp;"")</f>
        <v>0.73</v>
      </c>
      <c r="BH435" s="293"/>
      <c r="BI435" s="293">
        <v>0.96</v>
      </c>
      <c r="BJ435" s="291">
        <v>0.21</v>
      </c>
      <c r="BK435" s="292" cm="1">
        <f t="array" aca="1" ref="BK435" ca="1">INDIRECT("'"&amp;$C435&amp;"'!"&amp;"$"&amp;$D435&amp;$BK$1&amp;"")</f>
        <v>4.0000000000000018</v>
      </c>
      <c r="BL435" s="293"/>
      <c r="BM435" s="293">
        <v>0.95</v>
      </c>
      <c r="BN435" s="291">
        <v>1.3</v>
      </c>
    </row>
    <row r="436" spans="1:66" ht="15.75" thickBot="1" x14ac:dyDescent="0.25">
      <c r="A436" s="367">
        <v>45706</v>
      </c>
      <c r="B436" s="365">
        <v>0.25</v>
      </c>
      <c r="C436" s="383">
        <f t="shared" si="6"/>
        <v>18</v>
      </c>
      <c r="D436" s="319" t="s">
        <v>116</v>
      </c>
      <c r="E436" s="297">
        <v>14.1</v>
      </c>
      <c r="F436" s="298">
        <v>69.33</v>
      </c>
      <c r="G436" s="299" cm="1">
        <f t="array" aca="1" ref="G436" ca="1">INDIRECT("'"&amp;$C436&amp;"'!"&amp;"$"&amp;$D436&amp;$E$1&amp;"")</f>
        <v>0</v>
      </c>
      <c r="H436" s="300" t="s">
        <v>1</v>
      </c>
      <c r="I436" s="298" t="s">
        <v>1</v>
      </c>
      <c r="J436" s="299" cm="1">
        <f t="array" aca="1" ref="J436" ca="1">INDIRECT("'"&amp;$C436&amp;"'!"&amp;"$"&amp;$D436&amp;$J$1&amp;"")</f>
        <v>6.7</v>
      </c>
      <c r="K436" s="300"/>
      <c r="L436" s="300">
        <v>0.97</v>
      </c>
      <c r="M436" s="298">
        <v>1.74</v>
      </c>
      <c r="N436" s="299" cm="1">
        <f t="array" aca="1" ref="N436" ca="1">INDIRECT("'"&amp;$C436&amp;"'!"&amp;"$"&amp;$D436&amp;$N$1&amp;"")</f>
        <v>6.7</v>
      </c>
      <c r="O436" s="300"/>
      <c r="P436" s="300">
        <v>0.97</v>
      </c>
      <c r="Q436" s="298">
        <v>1.74</v>
      </c>
      <c r="R436" s="299" cm="1">
        <f t="array" aca="1" ref="R436" ca="1">INDIRECT("'"&amp;$C436&amp;"'!"&amp;"$"&amp;$D436&amp;$R$1&amp;"")</f>
        <v>0</v>
      </c>
      <c r="S436" s="300"/>
      <c r="T436" s="300" t="s">
        <v>1</v>
      </c>
      <c r="U436" s="298" t="s">
        <v>1</v>
      </c>
      <c r="V436" s="299" t="str" cm="1">
        <f t="array" aca="1" ref="V436" ca="1">INDIRECT("'"&amp;$C436&amp;"'!"&amp;"$"&amp;$D436&amp;$V$1&amp;"")</f>
        <v>CMS</v>
      </c>
      <c r="W436" s="300" t="s">
        <v>1</v>
      </c>
      <c r="X436" s="300" t="s">
        <v>1</v>
      </c>
      <c r="Y436" s="301" t="s">
        <v>1</v>
      </c>
      <c r="Z436" s="387" cm="1">
        <f t="array" aca="1" ref="Z436" ca="1">INDIRECT("'"&amp;$C436&amp;"'!"&amp;"$"&amp;$D436&amp;$Z$1&amp;"")</f>
        <v>0</v>
      </c>
      <c r="AA436" s="299" t="s">
        <v>1</v>
      </c>
      <c r="AB436" s="300" t="s">
        <v>1</v>
      </c>
      <c r="AC436" s="298" t="s">
        <v>1</v>
      </c>
      <c r="AD436" s="299" cm="1">
        <f t="array" aca="1" ref="AD436" ca="1">INDIRECT("'"&amp;$C436&amp;"'!"&amp;"$"&amp;$D436&amp;$AD$1&amp;"")</f>
        <v>2.7</v>
      </c>
      <c r="AE436" s="300">
        <f>3.8*3.59</f>
        <v>13.641999999999999</v>
      </c>
      <c r="AF436" s="300">
        <v>0.99</v>
      </c>
      <c r="AG436" s="301">
        <v>0.28999999999999998</v>
      </c>
      <c r="AH436" s="297" cm="1">
        <f t="array" aca="1" ref="AH436" ca="1">INDIRECT("'"&amp;$C436&amp;"'!"&amp;"$"&amp;$D436&amp;$AH$1&amp;"")</f>
        <v>0</v>
      </c>
      <c r="AI436" s="300" t="s">
        <v>1</v>
      </c>
      <c r="AJ436" s="300" t="s">
        <v>1</v>
      </c>
      <c r="AK436" s="298" t="s">
        <v>1</v>
      </c>
      <c r="AL436" s="297">
        <v>11.8</v>
      </c>
      <c r="AM436" s="301">
        <v>70.2</v>
      </c>
      <c r="AN436" s="297" cm="1">
        <f t="array" aca="1" ref="AN436" ca="1">INDIRECT("'"&amp;$C436&amp;"'!"&amp;"$"&amp;$D436&amp;$AL$1&amp;"")</f>
        <v>0</v>
      </c>
      <c r="AO436" s="300" t="s">
        <v>1</v>
      </c>
      <c r="AP436" s="298" t="s">
        <v>1</v>
      </c>
      <c r="AQ436" s="299" cm="1">
        <f t="array" aca="1" ref="AQ436" ca="1">INDIRECT("'"&amp;$C436&amp;"'!"&amp;"$"&amp;$D436&amp;$AQ$1&amp;"")</f>
        <v>3.8</v>
      </c>
      <c r="AR436" s="300">
        <v>0.97</v>
      </c>
      <c r="AS436" s="298">
        <v>0.99</v>
      </c>
      <c r="AT436" s="297">
        <v>14.04</v>
      </c>
      <c r="AU436" s="301">
        <v>71.400000000000006</v>
      </c>
      <c r="AV436" s="297" cm="1">
        <f t="array" aca="1" ref="AV436" ca="1">INDIRECT("'"&amp;$C436&amp;"'!"&amp;"$"&amp;$D436&amp;$AT$1&amp;"")</f>
        <v>14.11</v>
      </c>
      <c r="AW436" s="300">
        <v>1</v>
      </c>
      <c r="AX436" s="301">
        <v>1.3</v>
      </c>
      <c r="AY436" s="387">
        <v>69.099999999999994</v>
      </c>
      <c r="AZ436" s="303" cm="1">
        <f t="array" aca="1" ref="AZ436" ca="1">INDIRECT("'"&amp;$C436&amp;"'!"&amp;"$"&amp;$D436&amp;$AY$1&amp;"")</f>
        <v>0.8</v>
      </c>
      <c r="BA436" s="300">
        <v>0.98</v>
      </c>
      <c r="BB436" s="298">
        <v>0.16</v>
      </c>
      <c r="BC436" s="299" cm="1">
        <f t="array" aca="1" ref="BC436" ca="1">INDIRECT("'"&amp;$C436&amp;"'!"&amp;"$"&amp;$D436&amp;$BC$1&amp;"")</f>
        <v>1.0900000000000001</v>
      </c>
      <c r="BD436" s="300"/>
      <c r="BE436" s="300">
        <v>0.99</v>
      </c>
      <c r="BF436" s="298">
        <v>0.13</v>
      </c>
      <c r="BG436" s="299" cm="1">
        <f t="array" aca="1" ref="BG436" ca="1">INDIRECT("'"&amp;$C436&amp;"'!"&amp;"$"&amp;$D436&amp;$BG$1&amp;"")</f>
        <v>0.79</v>
      </c>
      <c r="BH436" s="300"/>
      <c r="BI436" s="300">
        <v>0.96</v>
      </c>
      <c r="BJ436" s="298">
        <v>0.21</v>
      </c>
      <c r="BK436" s="299" cm="1">
        <f t="array" aca="1" ref="BK436" ca="1">INDIRECT("'"&amp;$C436&amp;"'!"&amp;"$"&amp;$D436&amp;$BK$1&amp;"")</f>
        <v>4.3</v>
      </c>
      <c r="BL436" s="300"/>
      <c r="BM436" s="300">
        <v>0.95</v>
      </c>
      <c r="BN436" s="298">
        <v>1.4</v>
      </c>
    </row>
    <row r="437" spans="1:66" ht="15.75" thickBot="1" x14ac:dyDescent="0.25">
      <c r="A437" s="367">
        <v>45706</v>
      </c>
      <c r="B437" s="365">
        <v>0.29166666666666702</v>
      </c>
      <c r="C437" s="383">
        <f t="shared" si="6"/>
        <v>18</v>
      </c>
      <c r="D437" s="319" t="s">
        <v>117</v>
      </c>
      <c r="E437" s="290">
        <v>14</v>
      </c>
      <c r="F437" s="291">
        <v>69.34</v>
      </c>
      <c r="G437" s="292" cm="1">
        <f t="array" aca="1" ref="G437" ca="1">INDIRECT("'"&amp;$C437&amp;"'!"&amp;"$"&amp;$D437&amp;$E$1&amp;"")</f>
        <v>0</v>
      </c>
      <c r="H437" s="293" t="s">
        <v>1</v>
      </c>
      <c r="I437" s="291" t="s">
        <v>1</v>
      </c>
      <c r="J437" s="292" cm="1">
        <f t="array" aca="1" ref="J437" ca="1">INDIRECT("'"&amp;$C437&amp;"'!"&amp;"$"&amp;$D437&amp;$J$1&amp;"")</f>
        <v>6.6</v>
      </c>
      <c r="K437" s="293"/>
      <c r="L437" s="293">
        <v>0.97</v>
      </c>
      <c r="M437" s="291">
        <v>1.75</v>
      </c>
      <c r="N437" s="292" cm="1">
        <f t="array" aca="1" ref="N437" ca="1">INDIRECT("'"&amp;$C437&amp;"'!"&amp;"$"&amp;$D437&amp;$N$1&amp;"")</f>
        <v>6.6</v>
      </c>
      <c r="O437" s="293"/>
      <c r="P437" s="293">
        <v>0.97</v>
      </c>
      <c r="Q437" s="291">
        <v>1.75</v>
      </c>
      <c r="R437" s="292" cm="1">
        <f t="array" aca="1" ref="R437" ca="1">INDIRECT("'"&amp;$C437&amp;"'!"&amp;"$"&amp;$D437&amp;$R$1&amp;"")</f>
        <v>0</v>
      </c>
      <c r="S437" s="293"/>
      <c r="T437" s="293" t="s">
        <v>1</v>
      </c>
      <c r="U437" s="291" t="s">
        <v>1</v>
      </c>
      <c r="V437" s="292" t="str" cm="1">
        <f t="array" aca="1" ref="V437" ca="1">INDIRECT("'"&amp;$C437&amp;"'!"&amp;"$"&amp;$D437&amp;$V$1&amp;"")</f>
        <v>CMS</v>
      </c>
      <c r="W437" s="293" t="s">
        <v>1</v>
      </c>
      <c r="X437" s="293" t="s">
        <v>1</v>
      </c>
      <c r="Y437" s="294" t="s">
        <v>1</v>
      </c>
      <c r="Z437" s="386" cm="1">
        <f t="array" aca="1" ref="Z437" ca="1">INDIRECT("'"&amp;$C437&amp;"'!"&amp;"$"&amp;$D437&amp;$Z$1&amp;"")</f>
        <v>0</v>
      </c>
      <c r="AA437" s="292" t="s">
        <v>1</v>
      </c>
      <c r="AB437" s="293" t="s">
        <v>1</v>
      </c>
      <c r="AC437" s="291" t="s">
        <v>1</v>
      </c>
      <c r="AD437" s="292" cm="1">
        <f t="array" aca="1" ref="AD437" ca="1">INDIRECT("'"&amp;$C437&amp;"'!"&amp;"$"&amp;$D437&amp;$AD$1&amp;"")</f>
        <v>3.3</v>
      </c>
      <c r="AE437" s="293">
        <f>3.8*3.56</f>
        <v>13.527999999999999</v>
      </c>
      <c r="AF437" s="293">
        <v>0.99</v>
      </c>
      <c r="AG437" s="294">
        <v>0.37</v>
      </c>
      <c r="AH437" s="290" cm="1">
        <f t="array" aca="1" ref="AH437" ca="1">INDIRECT("'"&amp;$C437&amp;"'!"&amp;"$"&amp;$D437&amp;$AH$1&amp;"")</f>
        <v>0</v>
      </c>
      <c r="AI437" s="293" t="s">
        <v>1</v>
      </c>
      <c r="AJ437" s="293" t="s">
        <v>1</v>
      </c>
      <c r="AK437" s="291" t="s">
        <v>1</v>
      </c>
      <c r="AL437" s="290">
        <v>11.8</v>
      </c>
      <c r="AM437" s="294">
        <v>69.5</v>
      </c>
      <c r="AN437" s="290" cm="1">
        <f t="array" aca="1" ref="AN437" ca="1">INDIRECT("'"&amp;$C437&amp;"'!"&amp;"$"&amp;$D437&amp;$AL$1&amp;"")</f>
        <v>0</v>
      </c>
      <c r="AO437" s="293" t="s">
        <v>1</v>
      </c>
      <c r="AP437" s="291" t="s">
        <v>1</v>
      </c>
      <c r="AQ437" s="292" cm="1">
        <f t="array" aca="1" ref="AQ437" ca="1">INDIRECT("'"&amp;$C437&amp;"'!"&amp;"$"&amp;$D437&amp;$AQ$1&amp;"")</f>
        <v>3.7</v>
      </c>
      <c r="AR437" s="293">
        <v>0.93</v>
      </c>
      <c r="AS437" s="291">
        <v>1.3</v>
      </c>
      <c r="AT437" s="290">
        <v>13.93</v>
      </c>
      <c r="AU437" s="294">
        <v>70.72</v>
      </c>
      <c r="AV437" s="290" cm="1">
        <f t="array" aca="1" ref="AV437" ca="1">INDIRECT("'"&amp;$C437&amp;"'!"&amp;"$"&amp;$D437&amp;$AT$1&amp;"")</f>
        <v>14.12</v>
      </c>
      <c r="AW437" s="293">
        <v>1</v>
      </c>
      <c r="AX437" s="294">
        <v>1.2</v>
      </c>
      <c r="AY437" s="386">
        <v>68.599999999999994</v>
      </c>
      <c r="AZ437" s="296" cm="1">
        <f t="array" aca="1" ref="AZ437" ca="1">INDIRECT("'"&amp;$C437&amp;"'!"&amp;"$"&amp;$D437&amp;$AY$1&amp;"")</f>
        <v>0.8</v>
      </c>
      <c r="BA437" s="293">
        <v>0.98</v>
      </c>
      <c r="BB437" s="291">
        <v>0.16</v>
      </c>
      <c r="BC437" s="292" cm="1">
        <f t="array" aca="1" ref="BC437" ca="1">INDIRECT("'"&amp;$C437&amp;"'!"&amp;"$"&amp;$D437&amp;$BC$1&amp;"")</f>
        <v>1.19</v>
      </c>
      <c r="BD437" s="293"/>
      <c r="BE437" s="293">
        <v>0.99</v>
      </c>
      <c r="BF437" s="291">
        <v>0.16</v>
      </c>
      <c r="BG437" s="292" cm="1">
        <f t="array" aca="1" ref="BG437" ca="1">INDIRECT("'"&amp;$C437&amp;"'!"&amp;"$"&amp;$D437&amp;$BG$1&amp;"")</f>
        <v>0.81</v>
      </c>
      <c r="BH437" s="293"/>
      <c r="BI437" s="293">
        <v>0.96</v>
      </c>
      <c r="BJ437" s="291">
        <v>0.21</v>
      </c>
      <c r="BK437" s="292" cm="1">
        <f t="array" aca="1" ref="BK437" ca="1">INDIRECT("'"&amp;$C437&amp;"'!"&amp;"$"&amp;$D437&amp;$BK$1&amp;"")</f>
        <v>4.0999999999999996</v>
      </c>
      <c r="BL437" s="293"/>
      <c r="BM437" s="293">
        <v>0.95</v>
      </c>
      <c r="BN437" s="291">
        <v>1.3</v>
      </c>
    </row>
    <row r="438" spans="1:66" ht="15.75" thickBot="1" x14ac:dyDescent="0.25">
      <c r="A438" s="367">
        <v>45706</v>
      </c>
      <c r="B438" s="365">
        <v>0.33333333333333398</v>
      </c>
      <c r="C438" s="383">
        <f t="shared" si="6"/>
        <v>18</v>
      </c>
      <c r="D438" s="319" t="s">
        <v>118</v>
      </c>
      <c r="E438" s="297">
        <v>14.1</v>
      </c>
      <c r="F438" s="298">
        <v>69.2</v>
      </c>
      <c r="G438" s="299" cm="1">
        <f t="array" aca="1" ref="G438" ca="1">INDIRECT("'"&amp;$C438&amp;"'!"&amp;"$"&amp;$D438&amp;$E$1&amp;"")</f>
        <v>0</v>
      </c>
      <c r="H438" s="300" t="s">
        <v>1</v>
      </c>
      <c r="I438" s="298" t="s">
        <v>1</v>
      </c>
      <c r="J438" s="299" cm="1">
        <f t="array" aca="1" ref="J438" ca="1">INDIRECT("'"&amp;$C438&amp;"'!"&amp;"$"&amp;$D438&amp;$J$1&amp;"")</f>
        <v>6.7</v>
      </c>
      <c r="K438" s="300"/>
      <c r="L438" s="300">
        <v>0.95</v>
      </c>
      <c r="M438" s="298">
        <v>2.2999999999999998</v>
      </c>
      <c r="N438" s="299" cm="1">
        <f t="array" aca="1" ref="N438" ca="1">INDIRECT("'"&amp;$C438&amp;"'!"&amp;"$"&amp;$D438&amp;$N$1&amp;"")</f>
        <v>6.7</v>
      </c>
      <c r="O438" s="300"/>
      <c r="P438" s="300">
        <v>0.95</v>
      </c>
      <c r="Q438" s="298">
        <v>2.2999999999999998</v>
      </c>
      <c r="R438" s="299" cm="1">
        <f t="array" aca="1" ref="R438" ca="1">INDIRECT("'"&amp;$C438&amp;"'!"&amp;"$"&amp;$D438&amp;$R$1&amp;"")</f>
        <v>0</v>
      </c>
      <c r="S438" s="300"/>
      <c r="T438" s="300" t="s">
        <v>1</v>
      </c>
      <c r="U438" s="298" t="s">
        <v>1</v>
      </c>
      <c r="V438" s="299" t="str" cm="1">
        <f t="array" aca="1" ref="V438" ca="1">INDIRECT("'"&amp;$C438&amp;"'!"&amp;"$"&amp;$D438&amp;$V$1&amp;"")</f>
        <v>CMS</v>
      </c>
      <c r="W438" s="300" t="s">
        <v>1</v>
      </c>
      <c r="X438" s="300" t="s">
        <v>1</v>
      </c>
      <c r="Y438" s="301" t="s">
        <v>1</v>
      </c>
      <c r="Z438" s="387" cm="1">
        <f t="array" aca="1" ref="Z438" ca="1">INDIRECT("'"&amp;$C438&amp;"'!"&amp;"$"&amp;$D438&amp;$Z$1&amp;"")</f>
        <v>0</v>
      </c>
      <c r="AA438" s="299" t="s">
        <v>1</v>
      </c>
      <c r="AB438" s="300" t="s">
        <v>1</v>
      </c>
      <c r="AC438" s="298" t="s">
        <v>1</v>
      </c>
      <c r="AD438" s="299" cm="1">
        <f t="array" aca="1" ref="AD438" ca="1">INDIRECT("'"&amp;$C438&amp;"'!"&amp;"$"&amp;$D438&amp;$AD$1&amp;"")</f>
        <v>3.3</v>
      </c>
      <c r="AE438" s="300">
        <f>3.8*3.57</f>
        <v>13.565999999999999</v>
      </c>
      <c r="AF438" s="300">
        <v>0.96</v>
      </c>
      <c r="AG438" s="301">
        <v>0.98</v>
      </c>
      <c r="AH438" s="297" cm="1">
        <f t="array" aca="1" ref="AH438" ca="1">INDIRECT("'"&amp;$C438&amp;"'!"&amp;"$"&amp;$D438&amp;$AH$1&amp;"")</f>
        <v>0</v>
      </c>
      <c r="AI438" s="300" t="s">
        <v>1</v>
      </c>
      <c r="AJ438" s="300" t="s">
        <v>1</v>
      </c>
      <c r="AK438" s="298" t="s">
        <v>1</v>
      </c>
      <c r="AL438" s="297">
        <v>11.8</v>
      </c>
      <c r="AM438" s="301">
        <v>69.900000000000006</v>
      </c>
      <c r="AN438" s="297" cm="1">
        <f t="array" aca="1" ref="AN438" ca="1">INDIRECT("'"&amp;$C438&amp;"'!"&amp;"$"&amp;$D438&amp;$AL$1&amp;"")</f>
        <v>0</v>
      </c>
      <c r="AO438" s="300" t="s">
        <v>1</v>
      </c>
      <c r="AP438" s="298" t="s">
        <v>1</v>
      </c>
      <c r="AQ438" s="299" cm="1">
        <f t="array" aca="1" ref="AQ438" ca="1">INDIRECT("'"&amp;$C438&amp;"'!"&amp;"$"&amp;$D438&amp;$AQ$1&amp;"")</f>
        <v>4</v>
      </c>
      <c r="AR438" s="300">
        <v>0.96</v>
      </c>
      <c r="AS438" s="298">
        <v>1.1499999999999999</v>
      </c>
      <c r="AT438" s="297">
        <v>14.13</v>
      </c>
      <c r="AU438" s="301">
        <v>71.38</v>
      </c>
      <c r="AV438" s="297" cm="1">
        <f t="array" aca="1" ref="AV438" ca="1">INDIRECT("'"&amp;$C438&amp;"'!"&amp;"$"&amp;$D438&amp;$AT$1&amp;"")</f>
        <v>14.13</v>
      </c>
      <c r="AW438" s="300">
        <v>0.99</v>
      </c>
      <c r="AX438" s="301">
        <v>2.2999999999999998</v>
      </c>
      <c r="AY438" s="387">
        <v>68.5</v>
      </c>
      <c r="AZ438" s="303" cm="1">
        <f t="array" aca="1" ref="AZ438" ca="1">INDIRECT("'"&amp;$C438&amp;"'!"&amp;"$"&amp;$D438&amp;$AY$1&amp;"")</f>
        <v>2.4000000000000004</v>
      </c>
      <c r="BA438" s="300">
        <v>0.96</v>
      </c>
      <c r="BB438" s="298">
        <v>0.7</v>
      </c>
      <c r="BC438" s="299" cm="1">
        <f t="array" aca="1" ref="BC438" ca="1">INDIRECT("'"&amp;$C438&amp;"'!"&amp;"$"&amp;$D438&amp;$BC$1&amp;"")</f>
        <v>1.1000000000000001</v>
      </c>
      <c r="BD438" s="300"/>
      <c r="BE438" s="300">
        <v>0.99</v>
      </c>
      <c r="BF438" s="298">
        <v>0.17</v>
      </c>
      <c r="BG438" s="299" cm="1">
        <f t="array" aca="1" ref="BG438" ca="1">INDIRECT("'"&amp;$C438&amp;"'!"&amp;"$"&amp;$D438&amp;$BG$1&amp;"")</f>
        <v>0.73</v>
      </c>
      <c r="BH438" s="300"/>
      <c r="BI438" s="300">
        <v>0.96</v>
      </c>
      <c r="BJ438" s="298">
        <v>0.22</v>
      </c>
      <c r="BK438" s="299" cm="1">
        <f t="array" aca="1" ref="BK438" ca="1">INDIRECT("'"&amp;$C438&amp;"'!"&amp;"$"&amp;$D438&amp;$BK$1&amp;"")</f>
        <v>4.3</v>
      </c>
      <c r="BL438" s="300"/>
      <c r="BM438" s="300">
        <v>0.95</v>
      </c>
      <c r="BN438" s="298">
        <v>1.4</v>
      </c>
    </row>
    <row r="439" spans="1:66" ht="15.75" thickBot="1" x14ac:dyDescent="0.25">
      <c r="A439" s="367">
        <v>45706</v>
      </c>
      <c r="B439" s="365">
        <v>0.375</v>
      </c>
      <c r="C439" s="383">
        <f t="shared" si="6"/>
        <v>18</v>
      </c>
      <c r="D439" s="319" t="s">
        <v>119</v>
      </c>
      <c r="E439" s="290">
        <v>13.8</v>
      </c>
      <c r="F439" s="291">
        <v>67.599999999999994</v>
      </c>
      <c r="G439" s="292" cm="1">
        <f t="array" aca="1" ref="G439" ca="1">INDIRECT("'"&amp;$C439&amp;"'!"&amp;"$"&amp;$D439&amp;$E$1&amp;"")</f>
        <v>3.5</v>
      </c>
      <c r="H439" s="293">
        <v>0.93</v>
      </c>
      <c r="I439" s="291">
        <v>1.32</v>
      </c>
      <c r="J439" s="292" cm="1">
        <f t="array" aca="1" ref="J439" ca="1">INDIRECT("'"&amp;$C439&amp;"'!"&amp;"$"&amp;$D439&amp;$J$1&amp;"")</f>
        <v>6.9</v>
      </c>
      <c r="K439" s="293"/>
      <c r="L439" s="293">
        <v>0.93</v>
      </c>
      <c r="M439" s="291">
        <v>2.6</v>
      </c>
      <c r="N439" s="292" cm="1">
        <f t="array" aca="1" ref="N439" ca="1">INDIRECT("'"&amp;$C439&amp;"'!"&amp;"$"&amp;$D439&amp;$N$1&amp;"")</f>
        <v>6.9</v>
      </c>
      <c r="O439" s="293"/>
      <c r="P439" s="293">
        <v>0.93</v>
      </c>
      <c r="Q439" s="291">
        <v>2.6</v>
      </c>
      <c r="R439" s="292" cm="1">
        <f t="array" aca="1" ref="R439" ca="1">INDIRECT("'"&amp;$C439&amp;"'!"&amp;"$"&amp;$D439&amp;$R$1&amp;"")</f>
        <v>0</v>
      </c>
      <c r="S439" s="293"/>
      <c r="T439" s="293" t="s">
        <v>1</v>
      </c>
      <c r="U439" s="291" t="s">
        <v>1</v>
      </c>
      <c r="V439" s="292" t="str" cm="1">
        <f t="array" aca="1" ref="V439" ca="1">INDIRECT("'"&amp;$C439&amp;"'!"&amp;"$"&amp;$D439&amp;$V$1&amp;"")</f>
        <v>CMS</v>
      </c>
      <c r="W439" s="293" t="s">
        <v>1</v>
      </c>
      <c r="X439" s="293" t="s">
        <v>1</v>
      </c>
      <c r="Y439" s="294" t="s">
        <v>1</v>
      </c>
      <c r="Z439" s="386" cm="1">
        <f t="array" aca="1" ref="Z439" ca="1">INDIRECT("'"&amp;$C439&amp;"'!"&amp;"$"&amp;$D439&amp;$Z$1&amp;"")</f>
        <v>0</v>
      </c>
      <c r="AA439" s="292" t="s">
        <v>1</v>
      </c>
      <c r="AB439" s="293" t="s">
        <v>1</v>
      </c>
      <c r="AC439" s="291" t="s">
        <v>1</v>
      </c>
      <c r="AD439" s="292" cm="1">
        <f t="array" aca="1" ref="AD439" ca="1">INDIRECT("'"&amp;$C439&amp;"'!"&amp;"$"&amp;$D439&amp;$AD$1&amp;"")</f>
        <v>3.3</v>
      </c>
      <c r="AE439" s="293">
        <f>3.8*3.48</f>
        <v>13.224</v>
      </c>
      <c r="AF439" s="293">
        <v>0.94</v>
      </c>
      <c r="AG439" s="294">
        <v>1.38</v>
      </c>
      <c r="AH439" s="290" cm="1">
        <f t="array" aca="1" ref="AH439" ca="1">INDIRECT("'"&amp;$C439&amp;"'!"&amp;"$"&amp;$D439&amp;$AH$1&amp;"")</f>
        <v>3.8</v>
      </c>
      <c r="AI439" s="293">
        <v>13.92</v>
      </c>
      <c r="AJ439" s="293">
        <v>0.97</v>
      </c>
      <c r="AK439" s="291">
        <v>1.05</v>
      </c>
      <c r="AL439" s="290">
        <v>11.7</v>
      </c>
      <c r="AM439" s="294">
        <v>68.900000000000006</v>
      </c>
      <c r="AN439" s="290" cm="1">
        <f t="array" aca="1" ref="AN439" ca="1">INDIRECT("'"&amp;$C439&amp;"'!"&amp;"$"&amp;$D439&amp;$AL$1&amp;"")</f>
        <v>1.6</v>
      </c>
      <c r="AO439" s="293">
        <v>0.91</v>
      </c>
      <c r="AP439" s="291">
        <v>0.26</v>
      </c>
      <c r="AQ439" s="292" cm="1">
        <f t="array" aca="1" ref="AQ439" ca="1">INDIRECT("'"&amp;$C439&amp;"'!"&amp;"$"&amp;$D439&amp;$AQ$1&amp;"")</f>
        <v>3.3</v>
      </c>
      <c r="AR439" s="293">
        <v>0.91</v>
      </c>
      <c r="AS439" s="291">
        <v>0.74</v>
      </c>
      <c r="AT439" s="290">
        <v>14.04</v>
      </c>
      <c r="AU439" s="294">
        <v>71.06</v>
      </c>
      <c r="AV439" s="290" cm="1">
        <f t="array" aca="1" ref="AV439" ca="1">INDIRECT("'"&amp;$C439&amp;"'!"&amp;"$"&amp;$D439&amp;$AT$1&amp;"")</f>
        <v>14.05</v>
      </c>
      <c r="AW439" s="293">
        <v>0.99</v>
      </c>
      <c r="AX439" s="294">
        <v>2.4</v>
      </c>
      <c r="AY439" s="386">
        <v>68.5</v>
      </c>
      <c r="AZ439" s="296" cm="1">
        <f t="array" aca="1" ref="AZ439" ca="1">INDIRECT("'"&amp;$C439&amp;"'!"&amp;"$"&amp;$D439&amp;$AY$1&amp;"")</f>
        <v>0.8</v>
      </c>
      <c r="BA439" s="293">
        <v>0.93</v>
      </c>
      <c r="BB439" s="291">
        <v>0.31</v>
      </c>
      <c r="BC439" s="292" cm="1">
        <f t="array" aca="1" ref="BC439" ca="1">INDIRECT("'"&amp;$C439&amp;"'!"&amp;"$"&amp;$D439&amp;$BC$1&amp;"")</f>
        <v>1.27</v>
      </c>
      <c r="BD439" s="293"/>
      <c r="BE439" s="293">
        <v>0.99</v>
      </c>
      <c r="BF439" s="291">
        <v>0.19</v>
      </c>
      <c r="BG439" s="292" cm="1">
        <f t="array" aca="1" ref="BG439" ca="1">INDIRECT("'"&amp;$C439&amp;"'!"&amp;"$"&amp;$D439&amp;$BG$1&amp;"")</f>
        <v>0.79</v>
      </c>
      <c r="BH439" s="293"/>
      <c r="BI439" s="293">
        <v>0.96</v>
      </c>
      <c r="BJ439" s="291">
        <v>0.23</v>
      </c>
      <c r="BK439" s="292" cm="1">
        <f t="array" aca="1" ref="BK439" ca="1">INDIRECT("'"&amp;$C439&amp;"'!"&amp;"$"&amp;$D439&amp;$BK$1&amp;"")</f>
        <v>5.4</v>
      </c>
      <c r="BL439" s="293"/>
      <c r="BM439" s="293">
        <v>0.99</v>
      </c>
      <c r="BN439" s="291">
        <v>0.7</v>
      </c>
    </row>
    <row r="440" spans="1:66" ht="15.75" thickBot="1" x14ac:dyDescent="0.25">
      <c r="A440" s="367">
        <v>45706</v>
      </c>
      <c r="B440" s="365">
        <v>0.41666666666666702</v>
      </c>
      <c r="C440" s="383">
        <f t="shared" si="6"/>
        <v>18</v>
      </c>
      <c r="D440" s="319" t="s">
        <v>120</v>
      </c>
      <c r="E440" s="297">
        <v>13.8</v>
      </c>
      <c r="F440" s="298">
        <v>67.900000000000006</v>
      </c>
      <c r="G440" s="299" cm="1">
        <f t="array" aca="1" ref="G440" ca="1">INDIRECT("'"&amp;$C440&amp;"'!"&amp;"$"&amp;$D440&amp;$E$1&amp;"")</f>
        <v>6.7</v>
      </c>
      <c r="H440" s="300">
        <v>0.91</v>
      </c>
      <c r="I440" s="298">
        <v>2.89</v>
      </c>
      <c r="J440" s="299" cm="1">
        <f t="array" aca="1" ref="J440" ca="1">INDIRECT("'"&amp;$C440&amp;"'!"&amp;"$"&amp;$D440&amp;$J$1&amp;"")</f>
        <v>6.7</v>
      </c>
      <c r="K440" s="300"/>
      <c r="L440" s="300">
        <v>0.91</v>
      </c>
      <c r="M440" s="298">
        <v>2.89</v>
      </c>
      <c r="N440" s="299" cm="1">
        <f t="array" aca="1" ref="N440" ca="1">INDIRECT("'"&amp;$C440&amp;"'!"&amp;"$"&amp;$D440&amp;$N$1&amp;"")</f>
        <v>6.7</v>
      </c>
      <c r="O440" s="300"/>
      <c r="P440" s="300">
        <v>0.91</v>
      </c>
      <c r="Q440" s="298">
        <v>2.89</v>
      </c>
      <c r="R440" s="299" cm="1">
        <f t="array" aca="1" ref="R440" ca="1">INDIRECT("'"&amp;$C440&amp;"'!"&amp;"$"&amp;$D440&amp;$R$1&amp;"")</f>
        <v>0</v>
      </c>
      <c r="S440" s="300"/>
      <c r="T440" s="300" t="s">
        <v>1</v>
      </c>
      <c r="U440" s="298" t="s">
        <v>1</v>
      </c>
      <c r="V440" s="299" t="str" cm="1">
        <f t="array" aca="1" ref="V440" ca="1">INDIRECT("'"&amp;$C440&amp;"'!"&amp;"$"&amp;$D440&amp;$V$1&amp;"")</f>
        <v>CMS</v>
      </c>
      <c r="W440" s="300" t="s">
        <v>1</v>
      </c>
      <c r="X440" s="300" t="s">
        <v>1</v>
      </c>
      <c r="Y440" s="301" t="s">
        <v>1</v>
      </c>
      <c r="Z440" s="387" cm="1">
        <f t="array" aca="1" ref="Z440" ca="1">INDIRECT("'"&amp;$C440&amp;"'!"&amp;"$"&amp;$D440&amp;$Z$1&amp;"")</f>
        <v>0</v>
      </c>
      <c r="AA440" s="299" t="s">
        <v>1</v>
      </c>
      <c r="AB440" s="300" t="s">
        <v>1</v>
      </c>
      <c r="AC440" s="298" t="s">
        <v>1</v>
      </c>
      <c r="AD440" s="299" cm="1">
        <f t="array" aca="1" ref="AD440" ca="1">INDIRECT("'"&amp;$C440&amp;"'!"&amp;"$"&amp;$D440&amp;$AD$1&amp;"")</f>
        <v>3.3</v>
      </c>
      <c r="AE440" s="300">
        <f>3.8*3.43</f>
        <v>13.034000000000001</v>
      </c>
      <c r="AF440" s="300">
        <v>0.94</v>
      </c>
      <c r="AG440" s="301">
        <v>1.39</v>
      </c>
      <c r="AH440" s="297" cm="1">
        <f t="array" aca="1" ref="AH440" ca="1">INDIRECT("'"&amp;$C440&amp;"'!"&amp;"$"&amp;$D440&amp;$AH$1&amp;"")</f>
        <v>3.8</v>
      </c>
      <c r="AI440" s="300">
        <v>14.04</v>
      </c>
      <c r="AJ440" s="300">
        <v>0.93</v>
      </c>
      <c r="AK440" s="298">
        <v>1.59</v>
      </c>
      <c r="AL440" s="297">
        <v>11.8</v>
      </c>
      <c r="AM440" s="301">
        <v>69.599999999999994</v>
      </c>
      <c r="AN440" s="297" cm="1">
        <f t="array" aca="1" ref="AN440" ca="1">INDIRECT("'"&amp;$C440&amp;"'!"&amp;"$"&amp;$D440&amp;$AL$1&amp;"")</f>
        <v>3.6</v>
      </c>
      <c r="AO440" s="300">
        <v>0.93</v>
      </c>
      <c r="AP440" s="298">
        <v>1.2</v>
      </c>
      <c r="AQ440" s="299" cm="1">
        <f t="array" aca="1" ref="AQ440" ca="1">INDIRECT("'"&amp;$C440&amp;"'!"&amp;"$"&amp;$D440&amp;$AQ$1&amp;"")</f>
        <v>3.6</v>
      </c>
      <c r="AR440" s="300">
        <v>0.93</v>
      </c>
      <c r="AS440" s="298">
        <v>1.37</v>
      </c>
      <c r="AT440" s="297">
        <v>14.15</v>
      </c>
      <c r="AU440" s="301">
        <v>71.31</v>
      </c>
      <c r="AV440" s="297" cm="1">
        <f t="array" aca="1" ref="AV440" ca="1">INDIRECT("'"&amp;$C440&amp;"'!"&amp;"$"&amp;$D440&amp;$AT$1&amp;"")</f>
        <v>14.1</v>
      </c>
      <c r="AW440" s="300">
        <v>0.98</v>
      </c>
      <c r="AX440" s="301">
        <v>3.4</v>
      </c>
      <c r="AY440" s="387">
        <v>66.8</v>
      </c>
      <c r="AZ440" s="303" cm="1">
        <f t="array" aca="1" ref="AZ440" ca="1">INDIRECT("'"&amp;$C440&amp;"'!"&amp;"$"&amp;$D440&amp;$AY$1&amp;"")</f>
        <v>0</v>
      </c>
      <c r="BA440" s="300" t="s">
        <v>1</v>
      </c>
      <c r="BB440" s="298" t="s">
        <v>1</v>
      </c>
      <c r="BC440" s="299" cm="1">
        <f t="array" aca="1" ref="BC440" ca="1">INDIRECT("'"&amp;$C440&amp;"'!"&amp;"$"&amp;$D440&amp;$BC$1&amp;"")</f>
        <v>1.32</v>
      </c>
      <c r="BD440" s="300"/>
      <c r="BE440" s="300">
        <v>0.99</v>
      </c>
      <c r="BF440" s="298">
        <v>0.18</v>
      </c>
      <c r="BG440" s="299" cm="1">
        <f t="array" aca="1" ref="BG440" ca="1">INDIRECT("'"&amp;$C440&amp;"'!"&amp;"$"&amp;$D440&amp;$BG$1&amp;"")</f>
        <v>0.8</v>
      </c>
      <c r="BH440" s="300"/>
      <c r="BI440" s="300">
        <v>0.96</v>
      </c>
      <c r="BJ440" s="298">
        <v>0.24</v>
      </c>
      <c r="BK440" s="299" cm="1">
        <f t="array" aca="1" ref="BK440" ca="1">INDIRECT("'"&amp;$C440&amp;"'!"&amp;"$"&amp;$D440&amp;$BK$1&amp;"")</f>
        <v>5.4</v>
      </c>
      <c r="BL440" s="300"/>
      <c r="BM440" s="300">
        <v>0.95</v>
      </c>
      <c r="BN440" s="298">
        <v>1.5</v>
      </c>
    </row>
    <row r="441" spans="1:66" ht="15.75" thickBot="1" x14ac:dyDescent="0.25">
      <c r="A441" s="367">
        <v>45706</v>
      </c>
      <c r="B441" s="365">
        <v>0.45833333333333398</v>
      </c>
      <c r="C441" s="383">
        <f t="shared" si="6"/>
        <v>18</v>
      </c>
      <c r="D441" s="319" t="s">
        <v>121</v>
      </c>
      <c r="E441" s="290">
        <v>14</v>
      </c>
      <c r="F441" s="291">
        <v>68.97</v>
      </c>
      <c r="G441" s="292" cm="1">
        <f t="array" aca="1" ref="G441" ca="1">INDIRECT("'"&amp;$C441&amp;"'!"&amp;"$"&amp;$D441&amp;$E$1&amp;"")</f>
        <v>6.6</v>
      </c>
      <c r="H441" s="293">
        <v>0.91</v>
      </c>
      <c r="I441" s="291">
        <v>2.9</v>
      </c>
      <c r="J441" s="292" cm="1">
        <f t="array" aca="1" ref="J441" ca="1">INDIRECT("'"&amp;$C441&amp;"'!"&amp;"$"&amp;$D441&amp;$J$1&amp;"")</f>
        <v>1.3</v>
      </c>
      <c r="K441" s="293"/>
      <c r="L441" s="293">
        <v>0.91</v>
      </c>
      <c r="M441" s="291">
        <v>0.54</v>
      </c>
      <c r="N441" s="292" cm="1">
        <f t="array" aca="1" ref="N441" ca="1">INDIRECT("'"&amp;$C441&amp;"'!"&amp;"$"&amp;$D441&amp;$N$1&amp;"")</f>
        <v>6.6</v>
      </c>
      <c r="O441" s="293"/>
      <c r="P441" s="293">
        <v>0.91</v>
      </c>
      <c r="Q441" s="291">
        <v>2.9</v>
      </c>
      <c r="R441" s="292" cm="1">
        <f t="array" aca="1" ref="R441" ca="1">INDIRECT("'"&amp;$C441&amp;"'!"&amp;"$"&amp;$D441&amp;$R$1&amp;"")</f>
        <v>5.5</v>
      </c>
      <c r="S441" s="293"/>
      <c r="T441" s="293">
        <v>0.91</v>
      </c>
      <c r="U441" s="291">
        <v>0.46</v>
      </c>
      <c r="V441" s="292" t="str" cm="1">
        <f t="array" aca="1" ref="V441" ca="1">INDIRECT("'"&amp;$C441&amp;"'!"&amp;"$"&amp;$D441&amp;$V$1&amp;"")</f>
        <v>CMS</v>
      </c>
      <c r="W441" s="293" t="s">
        <v>1</v>
      </c>
      <c r="X441" s="293" t="s">
        <v>1</v>
      </c>
      <c r="Y441" s="294" t="s">
        <v>1</v>
      </c>
      <c r="Z441" s="386" cm="1">
        <f t="array" aca="1" ref="Z441" ca="1">INDIRECT("'"&amp;$C441&amp;"'!"&amp;"$"&amp;$D441&amp;$Z$1&amp;"")</f>
        <v>0</v>
      </c>
      <c r="AA441" s="292" t="s">
        <v>1</v>
      </c>
      <c r="AB441" s="293" t="s">
        <v>1</v>
      </c>
      <c r="AC441" s="291" t="s">
        <v>1</v>
      </c>
      <c r="AD441" s="292" cm="1">
        <f t="array" aca="1" ref="AD441" ca="1">INDIRECT("'"&amp;$C441&amp;"'!"&amp;"$"&amp;$D441&amp;$AD$1&amp;"")</f>
        <v>3.3</v>
      </c>
      <c r="AE441" s="293">
        <f>3.8*3.49</f>
        <v>13.262</v>
      </c>
      <c r="AF441" s="293">
        <v>0.89</v>
      </c>
      <c r="AG441" s="294">
        <v>1.88</v>
      </c>
      <c r="AH441" s="290" cm="1">
        <f t="array" aca="1" ref="AH441" ca="1">INDIRECT("'"&amp;$C441&amp;"'!"&amp;"$"&amp;$D441&amp;$AH$1&amp;"")</f>
        <v>3.8</v>
      </c>
      <c r="AI441" s="293">
        <v>14.08</v>
      </c>
      <c r="AJ441" s="293">
        <v>0.94</v>
      </c>
      <c r="AK441" s="291">
        <v>1.38</v>
      </c>
      <c r="AL441" s="290">
        <v>11.9</v>
      </c>
      <c r="AM441" s="294">
        <v>70</v>
      </c>
      <c r="AN441" s="290" cm="1">
        <f t="array" aca="1" ref="AN441" ca="1">INDIRECT("'"&amp;$C441&amp;"'!"&amp;"$"&amp;$D441&amp;$AL$1&amp;"")</f>
        <v>3.8</v>
      </c>
      <c r="AO441" s="293">
        <v>0.94</v>
      </c>
      <c r="AP441" s="291">
        <v>1.1000000000000001</v>
      </c>
      <c r="AQ441" s="292" cm="1">
        <f t="array" aca="1" ref="AQ441" ca="1">INDIRECT("'"&amp;$C441&amp;"'!"&amp;"$"&amp;$D441&amp;$AQ$1&amp;"")</f>
        <v>3.8</v>
      </c>
      <c r="AR441" s="293">
        <v>0.94</v>
      </c>
      <c r="AS441" s="291">
        <v>1.42</v>
      </c>
      <c r="AT441" s="290">
        <v>14.22</v>
      </c>
      <c r="AU441" s="294">
        <v>71.62</v>
      </c>
      <c r="AV441" s="290" cm="1">
        <f t="array" aca="1" ref="AV441" ca="1">INDIRECT("'"&amp;$C441&amp;"'!"&amp;"$"&amp;$D441&amp;$AT$1&amp;"")</f>
        <v>14.09</v>
      </c>
      <c r="AW441" s="293">
        <v>0.98</v>
      </c>
      <c r="AX441" s="294">
        <v>0.35</v>
      </c>
      <c r="AY441" s="386">
        <v>67.3</v>
      </c>
      <c r="AZ441" s="296" cm="1">
        <f t="array" aca="1" ref="AZ441" ca="1">INDIRECT("'"&amp;$C441&amp;"'!"&amp;"$"&amp;$D441&amp;$AY$1&amp;"")</f>
        <v>1.5</v>
      </c>
      <c r="BA441" s="293">
        <v>0.93</v>
      </c>
      <c r="BB441" s="291">
        <v>0.59</v>
      </c>
      <c r="BC441" s="292" cm="1">
        <f t="array" aca="1" ref="BC441" ca="1">INDIRECT("'"&amp;$C441&amp;"'!"&amp;"$"&amp;$D441&amp;$BC$1&amp;"")</f>
        <v>1.41</v>
      </c>
      <c r="BD441" s="293"/>
      <c r="BE441" s="293">
        <v>0.99</v>
      </c>
      <c r="BF441" s="291">
        <v>0.23</v>
      </c>
      <c r="BG441" s="292" cm="1">
        <f t="array" aca="1" ref="BG441" ca="1">INDIRECT("'"&amp;$C441&amp;"'!"&amp;"$"&amp;$D441&amp;$BG$1&amp;"")</f>
        <v>0.82</v>
      </c>
      <c r="BH441" s="293"/>
      <c r="BI441" s="293">
        <v>0.96</v>
      </c>
      <c r="BJ441" s="291">
        <v>0.24</v>
      </c>
      <c r="BK441" s="292" cm="1">
        <f t="array" aca="1" ref="BK441" ca="1">INDIRECT("'"&amp;$C441&amp;"'!"&amp;"$"&amp;$D441&amp;$BK$1&amp;"")</f>
        <v>4.996666666666667</v>
      </c>
      <c r="BL441" s="293"/>
      <c r="BM441" s="293">
        <v>0.95</v>
      </c>
      <c r="BN441" s="291">
        <v>1.6</v>
      </c>
    </row>
    <row r="442" spans="1:66" ht="15.75" thickBot="1" x14ac:dyDescent="0.25">
      <c r="A442" s="367">
        <v>45706</v>
      </c>
      <c r="B442" s="365">
        <v>0.5</v>
      </c>
      <c r="C442" s="383">
        <f t="shared" si="6"/>
        <v>18</v>
      </c>
      <c r="D442" s="319" t="s">
        <v>122</v>
      </c>
      <c r="E442" s="297">
        <v>14</v>
      </c>
      <c r="F442" s="298">
        <v>68.37</v>
      </c>
      <c r="G442" s="299" cm="1">
        <f t="array" aca="1" ref="G442" ca="1">INDIRECT("'"&amp;$C442&amp;"'!"&amp;"$"&amp;$D442&amp;$E$1&amp;"")</f>
        <v>6.7</v>
      </c>
      <c r="H442" s="300">
        <v>0.9</v>
      </c>
      <c r="I442" s="298">
        <v>3.2</v>
      </c>
      <c r="J442" s="299" cm="1">
        <f t="array" aca="1" ref="J442" ca="1">INDIRECT("'"&amp;$C442&amp;"'!"&amp;"$"&amp;$D442&amp;$J$1&amp;"")</f>
        <v>0</v>
      </c>
      <c r="K442" s="300"/>
      <c r="L442" s="300" t="s">
        <v>1</v>
      </c>
      <c r="M442" s="298" t="s">
        <v>1</v>
      </c>
      <c r="N442" s="299" cm="1">
        <f t="array" aca="1" ref="N442" ca="1">INDIRECT("'"&amp;$C442&amp;"'!"&amp;"$"&amp;$D442&amp;$N$1&amp;"")</f>
        <v>6.7</v>
      </c>
      <c r="O442" s="300"/>
      <c r="P442" s="300">
        <v>0.9</v>
      </c>
      <c r="Q442" s="298">
        <v>3.2</v>
      </c>
      <c r="R442" s="299" cm="1">
        <f t="array" aca="1" ref="R442" ca="1">INDIRECT("'"&amp;$C442&amp;"'!"&amp;"$"&amp;$D442&amp;$R$1&amp;"")</f>
        <v>6.7</v>
      </c>
      <c r="S442" s="300"/>
      <c r="T442" s="300">
        <v>0.9</v>
      </c>
      <c r="U442" s="298">
        <v>3.2</v>
      </c>
      <c r="V442" s="299" t="str" cm="1">
        <f t="array" aca="1" ref="V442" ca="1">INDIRECT("'"&amp;$C442&amp;"'!"&amp;"$"&amp;$D442&amp;$V$1&amp;"")</f>
        <v>CMS</v>
      </c>
      <c r="W442" s="300" t="s">
        <v>1</v>
      </c>
      <c r="X442" s="300" t="s">
        <v>1</v>
      </c>
      <c r="Y442" s="301" t="s">
        <v>1</v>
      </c>
      <c r="Z442" s="387" cm="1">
        <f t="array" aca="1" ref="Z442" ca="1">INDIRECT("'"&amp;$C442&amp;"'!"&amp;"$"&amp;$D442&amp;$Z$1&amp;"")</f>
        <v>0</v>
      </c>
      <c r="AA442" s="299" t="s">
        <v>1</v>
      </c>
      <c r="AB442" s="300" t="s">
        <v>1</v>
      </c>
      <c r="AC442" s="298" t="s">
        <v>1</v>
      </c>
      <c r="AD442" s="299" cm="1">
        <f t="array" aca="1" ref="AD442" ca="1">INDIRECT("'"&amp;$C442&amp;"'!"&amp;"$"&amp;$D442&amp;$AD$1&amp;"")</f>
        <v>3.3</v>
      </c>
      <c r="AE442" s="300">
        <f>3.45*3.8</f>
        <v>13.11</v>
      </c>
      <c r="AF442" s="300">
        <v>0.89</v>
      </c>
      <c r="AG442" s="301">
        <v>1.85</v>
      </c>
      <c r="AH442" s="297" cm="1">
        <f t="array" aca="1" ref="AH442" ca="1">INDIRECT("'"&amp;$C442&amp;"'!"&amp;"$"&amp;$D442&amp;$AH$1&amp;"")</f>
        <v>3.8</v>
      </c>
      <c r="AI442" s="300">
        <v>14.04</v>
      </c>
      <c r="AJ442" s="300">
        <v>0.93</v>
      </c>
      <c r="AK442" s="298">
        <v>1.56</v>
      </c>
      <c r="AL442" s="297">
        <v>11.9</v>
      </c>
      <c r="AM442" s="301">
        <v>70</v>
      </c>
      <c r="AN442" s="297" cm="1">
        <f t="array" aca="1" ref="AN442" ca="1">INDIRECT("'"&amp;$C442&amp;"'!"&amp;"$"&amp;$D442&amp;$AL$1&amp;"")</f>
        <v>3.8</v>
      </c>
      <c r="AO442" s="300">
        <v>0.94</v>
      </c>
      <c r="AP442" s="298">
        <v>1.23</v>
      </c>
      <c r="AQ442" s="299" cm="1">
        <f t="array" aca="1" ref="AQ442" ca="1">INDIRECT("'"&amp;$C442&amp;"'!"&amp;"$"&amp;$D442&amp;$AQ$1&amp;"")</f>
        <v>3.8</v>
      </c>
      <c r="AR442" s="300">
        <v>0.94</v>
      </c>
      <c r="AS442" s="298">
        <v>1.59</v>
      </c>
      <c r="AT442" s="297">
        <v>14.08</v>
      </c>
      <c r="AU442" s="301">
        <v>71.22</v>
      </c>
      <c r="AV442" s="297" cm="1">
        <f t="array" aca="1" ref="AV442" ca="1">INDIRECT("'"&amp;$C442&amp;"'!"&amp;"$"&amp;$D442&amp;$AT$1&amp;"")</f>
        <v>14.13</v>
      </c>
      <c r="AW442" s="300">
        <v>0.99</v>
      </c>
      <c r="AX442" s="301">
        <v>2.4</v>
      </c>
      <c r="AY442" s="387">
        <v>67.3</v>
      </c>
      <c r="AZ442" s="303" cm="1">
        <f t="array" aca="1" ref="AZ442" ca="1">INDIRECT("'"&amp;$C442&amp;"'!"&amp;"$"&amp;$D442&amp;$AY$1&amp;"")</f>
        <v>0.8</v>
      </c>
      <c r="BA442" s="300">
        <v>0.93</v>
      </c>
      <c r="BB442" s="298">
        <v>0.31</v>
      </c>
      <c r="BC442" s="299" cm="1">
        <f t="array" aca="1" ref="BC442" ca="1">INDIRECT("'"&amp;$C442&amp;"'!"&amp;"$"&amp;$D442&amp;$BC$1&amp;"")</f>
        <v>1.2149999999999999</v>
      </c>
      <c r="BD442" s="300"/>
      <c r="BE442" s="300">
        <v>0.99</v>
      </c>
      <c r="BF442" s="298">
        <v>0.18</v>
      </c>
      <c r="BG442" s="299" cm="1">
        <f t="array" aca="1" ref="BG442" ca="1">INDIRECT("'"&amp;$C442&amp;"'!"&amp;"$"&amp;$D442&amp;$BG$1&amp;"")</f>
        <v>0.87</v>
      </c>
      <c r="BH442" s="300"/>
      <c r="BI442" s="300">
        <v>0.96</v>
      </c>
      <c r="BJ442" s="298">
        <v>0.25</v>
      </c>
      <c r="BK442" s="299" cm="1">
        <f t="array" aca="1" ref="BK442" ca="1">INDIRECT("'"&amp;$C442&amp;"'!"&amp;"$"&amp;$D442&amp;$BK$1&amp;"")</f>
        <v>4.8</v>
      </c>
      <c r="BL442" s="300"/>
      <c r="BM442" s="300">
        <v>0.95</v>
      </c>
      <c r="BN442" s="298">
        <v>1.5</v>
      </c>
    </row>
    <row r="443" spans="1:66" ht="15.75" thickBot="1" x14ac:dyDescent="0.25">
      <c r="A443" s="367">
        <v>45706</v>
      </c>
      <c r="B443" s="365">
        <v>0.54166666666666696</v>
      </c>
      <c r="C443" s="383">
        <f t="shared" si="6"/>
        <v>18</v>
      </c>
      <c r="D443" s="319" t="s">
        <v>123</v>
      </c>
      <c r="E443" s="290">
        <v>14</v>
      </c>
      <c r="F443" s="291">
        <v>68.900000000000006</v>
      </c>
      <c r="G443" s="292" cm="1">
        <f t="array" aca="1" ref="G443" ca="1">INDIRECT("'"&amp;$C443&amp;"'!"&amp;"$"&amp;$D443&amp;$E$1&amp;"")</f>
        <v>6.7</v>
      </c>
      <c r="H443" s="293">
        <v>0.9</v>
      </c>
      <c r="I443" s="291">
        <v>3.2</v>
      </c>
      <c r="J443" s="292" cm="1">
        <f t="array" aca="1" ref="J443" ca="1">INDIRECT("'"&amp;$C443&amp;"'!"&amp;"$"&amp;$D443&amp;$J$1&amp;"")</f>
        <v>0</v>
      </c>
      <c r="K443" s="293"/>
      <c r="L443" s="293" t="s">
        <v>1</v>
      </c>
      <c r="M443" s="291" t="s">
        <v>1</v>
      </c>
      <c r="N443" s="292" cm="1">
        <f t="array" aca="1" ref="N443" ca="1">INDIRECT("'"&amp;$C443&amp;"'!"&amp;"$"&amp;$D443&amp;$N$1&amp;"")</f>
        <v>6.7</v>
      </c>
      <c r="O443" s="293"/>
      <c r="P443" s="293">
        <v>0.9</v>
      </c>
      <c r="Q443" s="291">
        <v>3.2</v>
      </c>
      <c r="R443" s="292" cm="1">
        <f t="array" aca="1" ref="R443" ca="1">INDIRECT("'"&amp;$C443&amp;"'!"&amp;"$"&amp;$D443&amp;$R$1&amp;"")</f>
        <v>6.7</v>
      </c>
      <c r="S443" s="293"/>
      <c r="T443" s="293">
        <v>0.9</v>
      </c>
      <c r="U443" s="291">
        <v>3.2</v>
      </c>
      <c r="V443" s="292" t="str" cm="1">
        <f t="array" aca="1" ref="V443" ca="1">INDIRECT("'"&amp;$C443&amp;"'!"&amp;"$"&amp;$D443&amp;$V$1&amp;"")</f>
        <v>CMS</v>
      </c>
      <c r="W443" s="293" t="s">
        <v>1</v>
      </c>
      <c r="X443" s="293" t="s">
        <v>1</v>
      </c>
      <c r="Y443" s="294" t="s">
        <v>1</v>
      </c>
      <c r="Z443" s="386" cm="1">
        <f t="array" aca="1" ref="Z443" ca="1">INDIRECT("'"&amp;$C443&amp;"'!"&amp;"$"&amp;$D443&amp;$Z$1&amp;"")</f>
        <v>0</v>
      </c>
      <c r="AA443" s="292" t="s">
        <v>1</v>
      </c>
      <c r="AB443" s="293" t="s">
        <v>1</v>
      </c>
      <c r="AC443" s="291" t="s">
        <v>1</v>
      </c>
      <c r="AD443" s="292" cm="1">
        <f t="array" aca="1" ref="AD443" ca="1">INDIRECT("'"&amp;$C443&amp;"'!"&amp;"$"&amp;$D443&amp;$AD$1&amp;"")</f>
        <v>3.3</v>
      </c>
      <c r="AE443" s="293">
        <f>3.46*3.8</f>
        <v>13.148</v>
      </c>
      <c r="AF443" s="293">
        <v>0.89</v>
      </c>
      <c r="AG443" s="294">
        <v>1.86</v>
      </c>
      <c r="AH443" s="290" cm="1">
        <f t="array" aca="1" ref="AH443" ca="1">INDIRECT("'"&amp;$C443&amp;"'!"&amp;"$"&amp;$D443&amp;$AH$1&amp;"")</f>
        <v>3.8</v>
      </c>
      <c r="AI443" s="293">
        <v>14.04</v>
      </c>
      <c r="AJ443" s="293">
        <v>0.93</v>
      </c>
      <c r="AK443" s="291">
        <v>1.52</v>
      </c>
      <c r="AL443" s="290">
        <v>11.9</v>
      </c>
      <c r="AM443" s="294">
        <v>69.900000000000006</v>
      </c>
      <c r="AN443" s="290" cm="1">
        <f t="array" aca="1" ref="AN443" ca="1">INDIRECT("'"&amp;$C443&amp;"'!"&amp;"$"&amp;$D443&amp;$AL$1&amp;"")</f>
        <v>4</v>
      </c>
      <c r="AO443" s="293">
        <v>0.94</v>
      </c>
      <c r="AP443" s="291">
        <v>1.19</v>
      </c>
      <c r="AQ443" s="292" cm="1">
        <f t="array" aca="1" ref="AQ443" ca="1">INDIRECT("'"&amp;$C443&amp;"'!"&amp;"$"&amp;$D443&amp;$AQ$1&amp;"")</f>
        <v>4</v>
      </c>
      <c r="AR443" s="293">
        <v>0.94</v>
      </c>
      <c r="AS443" s="291">
        <v>1.48</v>
      </c>
      <c r="AT443" s="290">
        <v>14.07</v>
      </c>
      <c r="AU443" s="294">
        <v>71.25</v>
      </c>
      <c r="AV443" s="290" cm="1">
        <f t="array" aca="1" ref="AV443" ca="1">INDIRECT("'"&amp;$C443&amp;"'!"&amp;"$"&amp;$D443&amp;$AT$1&amp;"")</f>
        <v>14.11</v>
      </c>
      <c r="AW443" s="293">
        <v>0.99</v>
      </c>
      <c r="AX443" s="294">
        <v>2.4</v>
      </c>
      <c r="AY443" s="386">
        <v>67.2</v>
      </c>
      <c r="AZ443" s="296" cm="1">
        <f t="array" aca="1" ref="AZ443" ca="1">INDIRECT("'"&amp;$C443&amp;"'!"&amp;"$"&amp;$D443&amp;$AY$1&amp;"")</f>
        <v>1.5</v>
      </c>
      <c r="BA443" s="293">
        <v>0.93</v>
      </c>
      <c r="BB443" s="291">
        <v>0.59</v>
      </c>
      <c r="BC443" s="292" cm="1">
        <f t="array" aca="1" ref="BC443" ca="1">INDIRECT("'"&amp;$C443&amp;"'!"&amp;"$"&amp;$D443&amp;$BC$1&amp;"")</f>
        <v>1.27</v>
      </c>
      <c r="BD443" s="293"/>
      <c r="BE443" s="293">
        <v>0.99</v>
      </c>
      <c r="BF443" s="291">
        <v>0.15</v>
      </c>
      <c r="BG443" s="292" cm="1">
        <f t="array" aca="1" ref="BG443" ca="1">INDIRECT("'"&amp;$C443&amp;"'!"&amp;"$"&amp;$D443&amp;$BG$1&amp;"")</f>
        <v>0.9</v>
      </c>
      <c r="BH443" s="293"/>
      <c r="BI443" s="293">
        <v>0.96</v>
      </c>
      <c r="BJ443" s="291">
        <v>0.26</v>
      </c>
      <c r="BK443" s="292" cm="1">
        <f t="array" aca="1" ref="BK443" ca="1">INDIRECT("'"&amp;$C443&amp;"'!"&amp;"$"&amp;$D443&amp;$BK$1&amp;"")</f>
        <v>4.8</v>
      </c>
      <c r="BL443" s="293"/>
      <c r="BM443" s="293">
        <v>0.95</v>
      </c>
      <c r="BN443" s="291">
        <v>1.5</v>
      </c>
    </row>
    <row r="444" spans="1:66" ht="15.75" thickBot="1" x14ac:dyDescent="0.25">
      <c r="A444" s="367">
        <v>45706</v>
      </c>
      <c r="B444" s="365">
        <v>0.58333333333333404</v>
      </c>
      <c r="C444" s="383">
        <f t="shared" si="6"/>
        <v>18</v>
      </c>
      <c r="D444" s="319" t="s">
        <v>124</v>
      </c>
      <c r="E444" s="297">
        <v>14.1</v>
      </c>
      <c r="F444" s="298">
        <v>68.349999999999994</v>
      </c>
      <c r="G444" s="299" cm="1">
        <f t="array" aca="1" ref="G444" ca="1">INDIRECT("'"&amp;$C444&amp;"'!"&amp;"$"&amp;$D444&amp;$E$1&amp;"")</f>
        <v>6</v>
      </c>
      <c r="H444" s="300">
        <v>0.9</v>
      </c>
      <c r="I444" s="298">
        <v>2.85</v>
      </c>
      <c r="J444" s="299" cm="1">
        <f t="array" aca="1" ref="J444" ca="1">INDIRECT("'"&amp;$C444&amp;"'!"&amp;"$"&amp;$D444&amp;$J$1&amp;"")</f>
        <v>2.2999999999999998</v>
      </c>
      <c r="K444" s="300"/>
      <c r="L444" s="300">
        <v>0.94</v>
      </c>
      <c r="M444" s="298">
        <v>0.85</v>
      </c>
      <c r="N444" s="299" cm="1">
        <f t="array" aca="1" ref="N444" ca="1">INDIRECT("'"&amp;$C444&amp;"'!"&amp;"$"&amp;$D444&amp;$N$1&amp;"")</f>
        <v>6</v>
      </c>
      <c r="O444" s="300"/>
      <c r="P444" s="300">
        <v>0.9</v>
      </c>
      <c r="Q444" s="298">
        <v>2.85</v>
      </c>
      <c r="R444" s="299" cm="1">
        <f t="array" aca="1" ref="R444" ca="1">INDIRECT("'"&amp;$C444&amp;"'!"&amp;"$"&amp;$D444&amp;$R$1&amp;"")</f>
        <v>6</v>
      </c>
      <c r="S444" s="300"/>
      <c r="T444" s="300">
        <v>0.9</v>
      </c>
      <c r="U444" s="298">
        <v>2.85</v>
      </c>
      <c r="V444" s="299" t="str" cm="1">
        <f t="array" aca="1" ref="V444" ca="1">INDIRECT("'"&amp;$C444&amp;"'!"&amp;"$"&amp;$D444&amp;$V$1&amp;"")</f>
        <v>CMS</v>
      </c>
      <c r="W444" s="300" t="s">
        <v>1</v>
      </c>
      <c r="X444" s="300" t="s">
        <v>1</v>
      </c>
      <c r="Y444" s="301" t="s">
        <v>1</v>
      </c>
      <c r="Z444" s="387" cm="1">
        <f t="array" aca="1" ref="Z444" ca="1">INDIRECT("'"&amp;$C444&amp;"'!"&amp;"$"&amp;$D444&amp;$Z$1&amp;"")</f>
        <v>0</v>
      </c>
      <c r="AA444" s="299" t="s">
        <v>1</v>
      </c>
      <c r="AB444" s="300" t="s">
        <v>1</v>
      </c>
      <c r="AC444" s="298" t="s">
        <v>1</v>
      </c>
      <c r="AD444" s="299" cm="1">
        <f t="array" aca="1" ref="AD444" ca="1">INDIRECT("'"&amp;$C444&amp;"'!"&amp;"$"&amp;$D444&amp;$AD$1&amp;"")</f>
        <v>3.3</v>
      </c>
      <c r="AE444" s="300">
        <f>3.8*3.44</f>
        <v>13.071999999999999</v>
      </c>
      <c r="AF444" s="300">
        <v>0.89</v>
      </c>
      <c r="AG444" s="301">
        <v>1.82</v>
      </c>
      <c r="AH444" s="297" cm="1">
        <f t="array" aca="1" ref="AH444" ca="1">INDIRECT("'"&amp;$C444&amp;"'!"&amp;"$"&amp;$D444&amp;$AH$1&amp;"")</f>
        <v>3.8</v>
      </c>
      <c r="AI444" s="300">
        <v>14.16</v>
      </c>
      <c r="AJ444" s="300">
        <v>0.92</v>
      </c>
      <c r="AK444" s="298">
        <v>1.54</v>
      </c>
      <c r="AL444" s="297">
        <v>11.9</v>
      </c>
      <c r="AM444" s="301">
        <v>69.900000000000006</v>
      </c>
      <c r="AN444" s="297" cm="1">
        <f t="array" aca="1" ref="AN444" ca="1">INDIRECT("'"&amp;$C444&amp;"'!"&amp;"$"&amp;$D444&amp;$AL$1&amp;"")</f>
        <v>3.8</v>
      </c>
      <c r="AO444" s="300">
        <v>0.93</v>
      </c>
      <c r="AP444" s="298">
        <v>1.43</v>
      </c>
      <c r="AQ444" s="299" cm="1">
        <f t="array" aca="1" ref="AQ444" ca="1">INDIRECT("'"&amp;$C444&amp;"'!"&amp;"$"&amp;$D444&amp;$AQ$1&amp;"")</f>
        <v>3.8</v>
      </c>
      <c r="AR444" s="300">
        <v>0.93</v>
      </c>
      <c r="AS444" s="298">
        <v>1.48</v>
      </c>
      <c r="AT444" s="297">
        <v>14.13</v>
      </c>
      <c r="AU444" s="301">
        <v>71.569999999999993</v>
      </c>
      <c r="AV444" s="297" cm="1">
        <f t="array" aca="1" ref="AV444" ca="1">INDIRECT("'"&amp;$C444&amp;"'!"&amp;"$"&amp;$D444&amp;$AT$1&amp;"")</f>
        <v>14.12</v>
      </c>
      <c r="AW444" s="300">
        <v>0.99</v>
      </c>
      <c r="AX444" s="301">
        <v>2.4</v>
      </c>
      <c r="AY444" s="387">
        <v>67.099999999999994</v>
      </c>
      <c r="AZ444" s="303" cm="1">
        <f t="array" aca="1" ref="AZ444" ca="1">INDIRECT("'"&amp;$C444&amp;"'!"&amp;"$"&amp;$D444&amp;$AY$1&amp;"")</f>
        <v>2.2999999999999998</v>
      </c>
      <c r="BA444" s="300">
        <v>0.94</v>
      </c>
      <c r="BB444" s="298">
        <v>0.83</v>
      </c>
      <c r="BC444" s="299" cm="1">
        <f t="array" aca="1" ref="BC444" ca="1">INDIRECT("'"&amp;$C444&amp;"'!"&amp;"$"&amp;$D444&amp;$BC$1&amp;"")</f>
        <v>1.3</v>
      </c>
      <c r="BD444" s="300"/>
      <c r="BE444" s="300">
        <v>0.99</v>
      </c>
      <c r="BF444" s="298">
        <v>0.16</v>
      </c>
      <c r="BG444" s="299" cm="1">
        <f t="array" aca="1" ref="BG444" ca="1">INDIRECT("'"&amp;$C444&amp;"'!"&amp;"$"&amp;$D444&amp;$BG$1&amp;"")</f>
        <v>0.89</v>
      </c>
      <c r="BH444" s="300"/>
      <c r="BI444" s="300">
        <v>0.96</v>
      </c>
      <c r="BJ444" s="298">
        <v>0.27</v>
      </c>
      <c r="BK444" s="299" cm="1">
        <f t="array" aca="1" ref="BK444" ca="1">INDIRECT("'"&amp;$C444&amp;"'!"&amp;"$"&amp;$D444&amp;$BK$1&amp;"")</f>
        <v>4.9996666666666671</v>
      </c>
      <c r="BL444" s="300"/>
      <c r="BM444" s="300">
        <v>0.95</v>
      </c>
      <c r="BN444" s="298">
        <v>1.6</v>
      </c>
    </row>
    <row r="445" spans="1:66" ht="15.75" thickBot="1" x14ac:dyDescent="0.25">
      <c r="A445" s="367">
        <v>45706</v>
      </c>
      <c r="B445" s="365">
        <v>0.625</v>
      </c>
      <c r="C445" s="383">
        <f t="shared" si="6"/>
        <v>18</v>
      </c>
      <c r="D445" s="319" t="s">
        <v>125</v>
      </c>
      <c r="E445" s="290">
        <v>14</v>
      </c>
      <c r="F445" s="291">
        <v>68.58</v>
      </c>
      <c r="G445" s="292" t="str" cm="1">
        <f t="array" aca="1" ref="G445" ca="1">INDIRECT("'"&amp;$C445&amp;"'!"&amp;"$"&amp;$D445&amp;$E$1&amp;"")</f>
        <v>CMS</v>
      </c>
      <c r="H445" s="293" t="s">
        <v>1</v>
      </c>
      <c r="I445" s="291" t="s">
        <v>1</v>
      </c>
      <c r="J445" s="292" cm="1">
        <f t="array" aca="1" ref="J445" ca="1">INDIRECT("'"&amp;$C445&amp;"'!"&amp;"$"&amp;$D445&amp;$J$1&amp;"")</f>
        <v>6.4</v>
      </c>
      <c r="K445" s="293"/>
      <c r="L445" s="293">
        <v>0.89</v>
      </c>
      <c r="M445" s="291">
        <v>3.2</v>
      </c>
      <c r="N445" s="292" cm="1">
        <f t="array" aca="1" ref="N445" ca="1">INDIRECT("'"&amp;$C445&amp;"'!"&amp;"$"&amp;$D445&amp;$N$1&amp;"")</f>
        <v>6.4</v>
      </c>
      <c r="O445" s="293"/>
      <c r="P445" s="293">
        <v>0.89</v>
      </c>
      <c r="Q445" s="291">
        <v>3.2</v>
      </c>
      <c r="R445" s="292" cm="1">
        <f t="array" aca="1" ref="R445" ca="1">INDIRECT("'"&amp;$C445&amp;"'!"&amp;"$"&amp;$D445&amp;$R$1&amp;"")</f>
        <v>6.4</v>
      </c>
      <c r="S445" s="293"/>
      <c r="T445" s="293">
        <v>0.89</v>
      </c>
      <c r="U445" s="291">
        <v>3.2</v>
      </c>
      <c r="V445" s="292" t="str" cm="1">
        <f t="array" aca="1" ref="V445" ca="1">INDIRECT("'"&amp;$C445&amp;"'!"&amp;"$"&amp;$D445&amp;$V$1&amp;"")</f>
        <v>CMS</v>
      </c>
      <c r="W445" s="293" t="s">
        <v>1</v>
      </c>
      <c r="X445" s="293" t="s">
        <v>1</v>
      </c>
      <c r="Y445" s="294" t="s">
        <v>1</v>
      </c>
      <c r="Z445" s="386" cm="1">
        <f t="array" aca="1" ref="Z445" ca="1">INDIRECT("'"&amp;$C445&amp;"'!"&amp;"$"&amp;$D445&amp;$Z$1&amp;"")</f>
        <v>0</v>
      </c>
      <c r="AA445" s="292" t="s">
        <v>1</v>
      </c>
      <c r="AB445" s="293" t="s">
        <v>1</v>
      </c>
      <c r="AC445" s="291" t="s">
        <v>1</v>
      </c>
      <c r="AD445" s="292" cm="1">
        <f t="array" aca="1" ref="AD445" ca="1">INDIRECT("'"&amp;$C445&amp;"'!"&amp;"$"&amp;$D445&amp;$AD$1&amp;"")</f>
        <v>3.3</v>
      </c>
      <c r="AE445" s="293">
        <f>3.8*3.44</f>
        <v>13.071999999999999</v>
      </c>
      <c r="AF445" s="293">
        <v>0.89</v>
      </c>
      <c r="AG445" s="291">
        <v>1.84</v>
      </c>
      <c r="AH445" s="290" cm="1">
        <f t="array" aca="1" ref="AH445" ca="1">INDIRECT("'"&amp;$C445&amp;"'!"&amp;"$"&amp;$D445&amp;$AH$1&amp;"")</f>
        <v>3.8</v>
      </c>
      <c r="AI445" s="293">
        <v>14.16</v>
      </c>
      <c r="AJ445" s="293">
        <v>0.92</v>
      </c>
      <c r="AK445" s="291">
        <v>1.44</v>
      </c>
      <c r="AL445" s="290">
        <v>11.9</v>
      </c>
      <c r="AM445" s="294">
        <v>70.099999999999994</v>
      </c>
      <c r="AN445" s="290" cm="1">
        <f t="array" aca="1" ref="AN445" ca="1">INDIRECT("'"&amp;$C445&amp;"'!"&amp;"$"&amp;$D445&amp;$AL$1&amp;"")</f>
        <v>3.8</v>
      </c>
      <c r="AO445" s="293">
        <v>0.94</v>
      </c>
      <c r="AP445" s="291">
        <v>1.31</v>
      </c>
      <c r="AQ445" s="292" cm="1">
        <f t="array" aca="1" ref="AQ445" ca="1">INDIRECT("'"&amp;$C445&amp;"'!"&amp;"$"&amp;$D445&amp;$AQ$1&amp;"")</f>
        <v>3.8</v>
      </c>
      <c r="AR445" s="293">
        <v>0.94</v>
      </c>
      <c r="AS445" s="291">
        <v>1.35</v>
      </c>
      <c r="AT445" s="290">
        <v>14.16</v>
      </c>
      <c r="AU445" s="294">
        <v>71.67</v>
      </c>
      <c r="AV445" s="290" cm="1">
        <f t="array" aca="1" ref="AV445" ca="1">INDIRECT("'"&amp;$C445&amp;"'!"&amp;"$"&amp;$D445&amp;$AT$1&amp;"")</f>
        <v>14.08</v>
      </c>
      <c r="AW445" s="293">
        <v>0.99</v>
      </c>
      <c r="AX445" s="294">
        <v>2.4</v>
      </c>
      <c r="AY445" s="386">
        <v>67.099999999999994</v>
      </c>
      <c r="AZ445" s="296" cm="1">
        <f t="array" aca="1" ref="AZ445" ca="1">INDIRECT("'"&amp;$C445&amp;"'!"&amp;"$"&amp;$D445&amp;$AY$1&amp;"")</f>
        <v>3.1</v>
      </c>
      <c r="BA445" s="293">
        <v>0.94</v>
      </c>
      <c r="BB445" s="291">
        <v>1.1000000000000001</v>
      </c>
      <c r="BC445" s="292" cm="1">
        <f t="array" aca="1" ref="BC445" ca="1">INDIRECT("'"&amp;$C445&amp;"'!"&amp;"$"&amp;$D445&amp;$BC$1&amp;"")</f>
        <v>1.21</v>
      </c>
      <c r="BD445" s="293"/>
      <c r="BE445" s="293">
        <v>0.99</v>
      </c>
      <c r="BF445" s="291">
        <v>0.15</v>
      </c>
      <c r="BG445" s="292" cm="1">
        <f t="array" aca="1" ref="BG445" ca="1">INDIRECT("'"&amp;$C445&amp;"'!"&amp;"$"&amp;$D445&amp;$BG$1&amp;"")</f>
        <v>0.89</v>
      </c>
      <c r="BH445" s="293"/>
      <c r="BI445" s="293">
        <v>0.96</v>
      </c>
      <c r="BJ445" s="291">
        <v>0.28000000000000003</v>
      </c>
      <c r="BK445" s="292" cm="1">
        <f t="array" aca="1" ref="BK445" ca="1">INDIRECT("'"&amp;$C445&amp;"'!"&amp;"$"&amp;$D445&amp;$BK$1&amp;"")</f>
        <v>5</v>
      </c>
      <c r="BL445" s="293"/>
      <c r="BM445" s="293">
        <v>0.95</v>
      </c>
      <c r="BN445" s="291">
        <v>1.5</v>
      </c>
    </row>
    <row r="446" spans="1:66" ht="15.75" thickBot="1" x14ac:dyDescent="0.25">
      <c r="A446" s="367">
        <v>45706</v>
      </c>
      <c r="B446" s="365">
        <v>0.66666666666666696</v>
      </c>
      <c r="C446" s="383">
        <f t="shared" si="6"/>
        <v>18</v>
      </c>
      <c r="D446" s="319" t="s">
        <v>126</v>
      </c>
      <c r="E446" s="297">
        <v>14.1</v>
      </c>
      <c r="F446" s="298">
        <v>68.95</v>
      </c>
      <c r="G446" s="299" cm="1">
        <f t="array" aca="1" ref="G446" ca="1">INDIRECT("'"&amp;$C446&amp;"'!"&amp;"$"&amp;$D446&amp;$E$1&amp;"")</f>
        <v>2.5</v>
      </c>
      <c r="H446" s="300">
        <v>0.89</v>
      </c>
      <c r="I446" s="298">
        <v>1.29</v>
      </c>
      <c r="J446" s="299" cm="1">
        <f t="array" aca="1" ref="J446" ca="1">INDIRECT("'"&amp;$C446&amp;"'!"&amp;"$"&amp;$D446&amp;$J$1&amp;"")</f>
        <v>5.7</v>
      </c>
      <c r="K446" s="300"/>
      <c r="L446" s="300">
        <v>0.9</v>
      </c>
      <c r="M446" s="298">
        <v>2.82</v>
      </c>
      <c r="N446" s="299" cm="1">
        <f t="array" aca="1" ref="N446" ca="1">INDIRECT("'"&amp;$C446&amp;"'!"&amp;"$"&amp;$D446&amp;$N$1&amp;"")</f>
        <v>5.7</v>
      </c>
      <c r="O446" s="300"/>
      <c r="P446" s="300">
        <v>0.9</v>
      </c>
      <c r="Q446" s="298">
        <v>2.82</v>
      </c>
      <c r="R446" s="299" cm="1">
        <f t="array" aca="1" ref="R446" ca="1">INDIRECT("'"&amp;$C446&amp;"'!"&amp;"$"&amp;$D446&amp;$R$1&amp;"")</f>
        <v>5.7</v>
      </c>
      <c r="S446" s="300"/>
      <c r="T446" s="300">
        <v>0.9</v>
      </c>
      <c r="U446" s="298">
        <v>2.82</v>
      </c>
      <c r="V446" s="299" t="str" cm="1">
        <f t="array" aca="1" ref="V446" ca="1">INDIRECT("'"&amp;$C446&amp;"'!"&amp;"$"&amp;$D446&amp;$V$1&amp;"")</f>
        <v>CMS</v>
      </c>
      <c r="W446" s="300" t="s">
        <v>1</v>
      </c>
      <c r="X446" s="300" t="s">
        <v>1</v>
      </c>
      <c r="Y446" s="301" t="s">
        <v>1</v>
      </c>
      <c r="Z446" s="387" cm="1">
        <f t="array" aca="1" ref="Z446" ca="1">INDIRECT("'"&amp;$C446&amp;"'!"&amp;"$"&amp;$D446&amp;$Z$1&amp;"")</f>
        <v>0</v>
      </c>
      <c r="AA446" s="299" t="s">
        <v>1</v>
      </c>
      <c r="AB446" s="300" t="s">
        <v>1</v>
      </c>
      <c r="AC446" s="298" t="s">
        <v>1</v>
      </c>
      <c r="AD446" s="299" cm="1">
        <f t="array" aca="1" ref="AD446" ca="1">INDIRECT("'"&amp;$C446&amp;"'!"&amp;"$"&amp;$D446&amp;$AD$1&amp;"")</f>
        <v>3.3</v>
      </c>
      <c r="AE446" s="300">
        <f>3.8*3.46</f>
        <v>13.148</v>
      </c>
      <c r="AF446" s="300">
        <v>0.89</v>
      </c>
      <c r="AG446" s="298">
        <v>1.86</v>
      </c>
      <c r="AH446" s="297" cm="1">
        <f t="array" aca="1" ref="AH446" ca="1">INDIRECT("'"&amp;$C446&amp;"'!"&amp;"$"&amp;$D446&amp;$AH$1&amp;"")</f>
        <v>4</v>
      </c>
      <c r="AI446" s="300">
        <v>14.12</v>
      </c>
      <c r="AJ446" s="300">
        <v>0.95</v>
      </c>
      <c r="AK446" s="298">
        <v>1.18</v>
      </c>
      <c r="AL446" s="297">
        <v>11.8</v>
      </c>
      <c r="AM446" s="301">
        <v>70.2</v>
      </c>
      <c r="AN446" s="297" cm="1">
        <f t="array" aca="1" ref="AN446" ca="1">INDIRECT("'"&amp;$C446&amp;"'!"&amp;"$"&amp;$D446&amp;$AL$1&amp;"")</f>
        <v>3.8</v>
      </c>
      <c r="AO446" s="300">
        <v>0.98</v>
      </c>
      <c r="AP446" s="298">
        <v>0.73</v>
      </c>
      <c r="AQ446" s="299" cm="1">
        <f t="array" aca="1" ref="AQ446" ca="1">INDIRECT("'"&amp;$C446&amp;"'!"&amp;"$"&amp;$D446&amp;$AQ$1&amp;"")</f>
        <v>3.8</v>
      </c>
      <c r="AR446" s="300">
        <v>0.98</v>
      </c>
      <c r="AS446" s="298">
        <v>0.73</v>
      </c>
      <c r="AT446" s="297">
        <v>14.31</v>
      </c>
      <c r="AU446" s="301">
        <v>72.06</v>
      </c>
      <c r="AV446" s="297" cm="1">
        <f t="array" aca="1" ref="AV446" ca="1">INDIRECT("'"&amp;$C446&amp;"'!"&amp;"$"&amp;$D446&amp;$AT$1&amp;"")</f>
        <v>14.11</v>
      </c>
      <c r="AW446" s="300">
        <v>0.98</v>
      </c>
      <c r="AX446" s="301">
        <v>3.5</v>
      </c>
      <c r="AY446" s="387">
        <v>67.7</v>
      </c>
      <c r="AZ446" s="303" cm="1">
        <f t="array" aca="1" ref="AZ446" ca="1">INDIRECT("'"&amp;$C446&amp;"'!"&amp;"$"&amp;$D446&amp;$AY$1&amp;"")</f>
        <v>3.1</v>
      </c>
      <c r="BA446" s="300">
        <v>0.95</v>
      </c>
      <c r="BB446" s="298">
        <v>1</v>
      </c>
      <c r="BC446" s="299" cm="1">
        <f t="array" aca="1" ref="BC446" ca="1">INDIRECT("'"&amp;$C446&amp;"'!"&amp;"$"&amp;$D446&amp;$BC$1&amp;"")</f>
        <v>1.1399999999999999</v>
      </c>
      <c r="BD446" s="300"/>
      <c r="BE446" s="300">
        <v>0.99</v>
      </c>
      <c r="BF446" s="298">
        <v>0.13</v>
      </c>
      <c r="BG446" s="299" cm="1">
        <f t="array" aca="1" ref="BG446" ca="1">INDIRECT("'"&amp;$C446&amp;"'!"&amp;"$"&amp;$D446&amp;$BG$1&amp;"")</f>
        <v>0.89</v>
      </c>
      <c r="BH446" s="300"/>
      <c r="BI446" s="300">
        <v>0.96</v>
      </c>
      <c r="BJ446" s="298">
        <v>0.26</v>
      </c>
      <c r="BK446" s="299" cm="1">
        <f t="array" aca="1" ref="BK446" ca="1">INDIRECT("'"&amp;$C446&amp;"'!"&amp;"$"&amp;$D446&amp;$BK$1&amp;"")</f>
        <v>4.5999999999999996</v>
      </c>
      <c r="BL446" s="300"/>
      <c r="BM446" s="300">
        <v>0.95</v>
      </c>
      <c r="BN446" s="298">
        <v>1.5</v>
      </c>
    </row>
    <row r="447" spans="1:66" ht="15.75" thickBot="1" x14ac:dyDescent="0.25">
      <c r="A447" s="367">
        <v>45706</v>
      </c>
      <c r="B447" s="365">
        <v>0.70833333333333404</v>
      </c>
      <c r="C447" s="383">
        <f t="shared" si="6"/>
        <v>18</v>
      </c>
      <c r="D447" s="319" t="s">
        <v>127</v>
      </c>
      <c r="E447" s="290">
        <v>14.3</v>
      </c>
      <c r="F447" s="291">
        <v>70.7</v>
      </c>
      <c r="G447" s="292" cm="1">
        <f t="array" aca="1" ref="G447" ca="1">INDIRECT("'"&amp;$C447&amp;"'!"&amp;"$"&amp;$D447&amp;$E$1&amp;"")</f>
        <v>5.3</v>
      </c>
      <c r="H447" s="293">
        <v>0.91</v>
      </c>
      <c r="I447" s="291">
        <v>2.48</v>
      </c>
      <c r="J447" s="292" cm="1">
        <f t="array" aca="1" ref="J447" ca="1">INDIRECT("'"&amp;$C447&amp;"'!"&amp;"$"&amp;$D447&amp;$J$1&amp;"")</f>
        <v>5.3</v>
      </c>
      <c r="K447" s="293"/>
      <c r="L447" s="293">
        <v>0.91</v>
      </c>
      <c r="M447" s="291">
        <v>2.48</v>
      </c>
      <c r="N447" s="292" cm="1">
        <f t="array" aca="1" ref="N447" ca="1">INDIRECT("'"&amp;$C447&amp;"'!"&amp;"$"&amp;$D447&amp;$N$1&amp;"")</f>
        <v>5.3</v>
      </c>
      <c r="O447" s="293"/>
      <c r="P447" s="293">
        <v>0.91</v>
      </c>
      <c r="Q447" s="291">
        <v>2.48</v>
      </c>
      <c r="R447" s="292" cm="1">
        <f t="array" aca="1" ref="R447" ca="1">INDIRECT("'"&amp;$C447&amp;"'!"&amp;"$"&amp;$D447&amp;$R$1&amp;"")</f>
        <v>5.3</v>
      </c>
      <c r="S447" s="293"/>
      <c r="T447" s="293">
        <v>0.91</v>
      </c>
      <c r="U447" s="291">
        <v>2.48</v>
      </c>
      <c r="V447" s="292" t="str" cm="1">
        <f t="array" aca="1" ref="V447" ca="1">INDIRECT("'"&amp;$C447&amp;"'!"&amp;"$"&amp;$D447&amp;$V$1&amp;"")</f>
        <v>CMS</v>
      </c>
      <c r="W447" s="293" t="s">
        <v>1</v>
      </c>
      <c r="X447" s="293" t="s">
        <v>1</v>
      </c>
      <c r="Y447" s="294" t="s">
        <v>1</v>
      </c>
      <c r="Z447" s="386" cm="1">
        <f t="array" aca="1" ref="Z447" ca="1">INDIRECT("'"&amp;$C447&amp;"'!"&amp;"$"&amp;$D447&amp;$Z$1&amp;"")</f>
        <v>0</v>
      </c>
      <c r="AA447" s="292" t="s">
        <v>1</v>
      </c>
      <c r="AB447" s="293" t="s">
        <v>1</v>
      </c>
      <c r="AC447" s="291" t="s">
        <v>1</v>
      </c>
      <c r="AD447" s="292" cm="1">
        <f t="array" aca="1" ref="AD447" ca="1">INDIRECT("'"&amp;$C447&amp;"'!"&amp;"$"&amp;$D447&amp;$AD$1&amp;"")</f>
        <v>2.2000000000000002</v>
      </c>
      <c r="AE447" s="293">
        <f>3.8*3.55</f>
        <v>13.489999999999998</v>
      </c>
      <c r="AF447" s="293">
        <v>0.93</v>
      </c>
      <c r="AG447" s="291">
        <v>0.95</v>
      </c>
      <c r="AH447" s="290" cm="1">
        <f t="array" aca="1" ref="AH447" ca="1">INDIRECT("'"&amp;$C447&amp;"'!"&amp;"$"&amp;$D447&amp;$AH$1&amp;"")</f>
        <v>4</v>
      </c>
      <c r="AI447" s="293">
        <v>14.12</v>
      </c>
      <c r="AJ447" s="293">
        <v>0.97</v>
      </c>
      <c r="AK447" s="291">
        <v>0.95799999999999996</v>
      </c>
      <c r="AL447" s="290">
        <v>11.9</v>
      </c>
      <c r="AM447" s="294">
        <v>70.8</v>
      </c>
      <c r="AN447" s="290" cm="1">
        <f t="array" aca="1" ref="AN447" ca="1">INDIRECT("'"&amp;$C447&amp;"'!"&amp;"$"&amp;$D447&amp;$AL$1&amp;"")</f>
        <v>2</v>
      </c>
      <c r="AO447" s="293">
        <v>0.99</v>
      </c>
      <c r="AP447" s="291">
        <v>0.12</v>
      </c>
      <c r="AQ447" s="292" cm="1">
        <f t="array" aca="1" ref="AQ447" ca="1">INDIRECT("'"&amp;$C447&amp;"'!"&amp;"$"&amp;$D447&amp;$AQ$1&amp;"")</f>
        <v>2</v>
      </c>
      <c r="AR447" s="293">
        <v>0.99</v>
      </c>
      <c r="AS447" s="291">
        <v>0.41</v>
      </c>
      <c r="AT447" s="290">
        <v>14.17</v>
      </c>
      <c r="AU447" s="294">
        <v>71.989999999999995</v>
      </c>
      <c r="AV447" s="290" cm="1">
        <f t="array" aca="1" ref="AV447" ca="1">INDIRECT("'"&amp;$C447&amp;"'!"&amp;"$"&amp;$D447&amp;$AT$1&amp;"")</f>
        <v>10.62</v>
      </c>
      <c r="AW447" s="293">
        <v>0.99</v>
      </c>
      <c r="AX447" s="294">
        <v>1.9</v>
      </c>
      <c r="AY447" s="386">
        <v>69.8</v>
      </c>
      <c r="AZ447" s="296" cm="1">
        <f t="array" aca="1" ref="AZ447" ca="1">INDIRECT("'"&amp;$C447&amp;"'!"&amp;"$"&amp;$D447&amp;$AY$1&amp;"")</f>
        <v>0</v>
      </c>
      <c r="BA447" s="293" t="s">
        <v>1</v>
      </c>
      <c r="BB447" s="291" t="s">
        <v>1</v>
      </c>
      <c r="BC447" s="292" cm="1">
        <f t="array" aca="1" ref="BC447" ca="1">INDIRECT("'"&amp;$C447&amp;"'!"&amp;"$"&amp;$D447&amp;$BC$1&amp;"")</f>
        <v>1.2</v>
      </c>
      <c r="BD447" s="293"/>
      <c r="BE447" s="293">
        <v>0.99</v>
      </c>
      <c r="BF447" s="291">
        <v>0.14000000000000001</v>
      </c>
      <c r="BG447" s="292" cm="1">
        <f t="array" aca="1" ref="BG447" ca="1">INDIRECT("'"&amp;$C447&amp;"'!"&amp;"$"&amp;$D447&amp;$BG$1&amp;"")</f>
        <v>0.89</v>
      </c>
      <c r="BH447" s="293"/>
      <c r="BI447" s="293">
        <v>0.96</v>
      </c>
      <c r="BJ447" s="291">
        <v>0.25</v>
      </c>
      <c r="BK447" s="292" cm="1">
        <f t="array" aca="1" ref="BK447" ca="1">INDIRECT("'"&amp;$C447&amp;"'!"&amp;"$"&amp;$D447&amp;$BK$1&amp;"")</f>
        <v>4.4000000000000004</v>
      </c>
      <c r="BL447" s="293"/>
      <c r="BM447" s="293">
        <v>0.95</v>
      </c>
      <c r="BN447" s="291">
        <v>1.4</v>
      </c>
    </row>
    <row r="448" spans="1:66" ht="15.75" thickBot="1" x14ac:dyDescent="0.25">
      <c r="A448" s="367">
        <v>45706</v>
      </c>
      <c r="B448" s="365">
        <v>0.750000000000001</v>
      </c>
      <c r="C448" s="383">
        <f t="shared" si="6"/>
        <v>18</v>
      </c>
      <c r="D448" s="319" t="s">
        <v>128</v>
      </c>
      <c r="E448" s="297">
        <v>14.3</v>
      </c>
      <c r="F448" s="298">
        <v>70.3</v>
      </c>
      <c r="G448" s="299" cm="1">
        <f t="array" aca="1" ref="G448" ca="1">INDIRECT("'"&amp;$C448&amp;"'!"&amp;"$"&amp;$D448&amp;$E$1&amp;"")</f>
        <v>6.4</v>
      </c>
      <c r="H448" s="300">
        <v>0.93</v>
      </c>
      <c r="I448" s="298">
        <v>2.5</v>
      </c>
      <c r="J448" s="299" cm="1">
        <f t="array" aca="1" ref="J448" ca="1">INDIRECT("'"&amp;$C448&amp;"'!"&amp;"$"&amp;$D448&amp;$J$1&amp;"")</f>
        <v>6.4</v>
      </c>
      <c r="K448" s="300"/>
      <c r="L448" s="300">
        <v>0.93</v>
      </c>
      <c r="M448" s="298">
        <v>2.5</v>
      </c>
      <c r="N448" s="299" cm="1">
        <f t="array" aca="1" ref="N448" ca="1">INDIRECT("'"&amp;$C448&amp;"'!"&amp;"$"&amp;$D448&amp;$N$1&amp;"")</f>
        <v>6.4</v>
      </c>
      <c r="O448" s="300"/>
      <c r="P448" s="300">
        <v>0.93</v>
      </c>
      <c r="Q448" s="298">
        <v>2.5</v>
      </c>
      <c r="R448" s="299" cm="1">
        <f t="array" aca="1" ref="R448" ca="1">INDIRECT("'"&amp;$C448&amp;"'!"&amp;"$"&amp;$D448&amp;$R$1&amp;"")</f>
        <v>6.4</v>
      </c>
      <c r="S448" s="300"/>
      <c r="T448" s="300">
        <v>0.93</v>
      </c>
      <c r="U448" s="298">
        <v>2.5</v>
      </c>
      <c r="V448" s="299" t="str" cm="1">
        <f t="array" aca="1" ref="V448" ca="1">INDIRECT("'"&amp;$C448&amp;"'!"&amp;"$"&amp;$D448&amp;$V$1&amp;"")</f>
        <v>CMS</v>
      </c>
      <c r="W448" s="300" t="s">
        <v>1</v>
      </c>
      <c r="X448" s="300" t="s">
        <v>1</v>
      </c>
      <c r="Y448" s="301" t="s">
        <v>1</v>
      </c>
      <c r="Z448" s="387" cm="1">
        <f t="array" aca="1" ref="Z448" ca="1">INDIRECT("'"&amp;$C448&amp;"'!"&amp;"$"&amp;$D448&amp;$Z$1&amp;"")</f>
        <v>0</v>
      </c>
      <c r="AA448" s="299" t="s">
        <v>1</v>
      </c>
      <c r="AB448" s="300" t="s">
        <v>1</v>
      </c>
      <c r="AC448" s="298" t="s">
        <v>1</v>
      </c>
      <c r="AD448" s="299" cm="1">
        <f t="array" aca="1" ref="AD448" ca="1">INDIRECT("'"&amp;$C448&amp;"'!"&amp;"$"&amp;$D448&amp;$AD$1&amp;"")</f>
        <v>3.3</v>
      </c>
      <c r="AE448" s="300">
        <f>3.8*3.54</f>
        <v>13.452</v>
      </c>
      <c r="AF448" s="300">
        <v>0.93</v>
      </c>
      <c r="AG448" s="298">
        <v>1.27</v>
      </c>
      <c r="AH448" s="297" cm="1">
        <f t="array" aca="1" ref="AH448" ca="1">INDIRECT("'"&amp;$C448&amp;"'!"&amp;"$"&amp;$D448&amp;$AH$1&amp;"")</f>
        <v>3.8</v>
      </c>
      <c r="AI448" s="300">
        <v>14.08</v>
      </c>
      <c r="AJ448" s="300">
        <v>0.96</v>
      </c>
      <c r="AK448" s="298">
        <v>1.1100000000000001</v>
      </c>
      <c r="AL448" s="297">
        <v>11.9</v>
      </c>
      <c r="AM448" s="301">
        <v>70.5</v>
      </c>
      <c r="AN448" s="297" cm="1">
        <f t="array" aca="1" ref="AN448" ca="1">INDIRECT("'"&amp;$C448&amp;"'!"&amp;"$"&amp;$D448&amp;$AL$1&amp;"")</f>
        <v>2.2000000000000002</v>
      </c>
      <c r="AO448" s="300">
        <v>0.98</v>
      </c>
      <c r="AP448" s="298">
        <v>0.35</v>
      </c>
      <c r="AQ448" s="299" cm="1">
        <f t="array" aca="1" ref="AQ448" ca="1">INDIRECT("'"&amp;$C448&amp;"'!"&amp;"$"&amp;$D448&amp;$AQ$1&amp;"")</f>
        <v>2.2000000000000002</v>
      </c>
      <c r="AR448" s="300">
        <v>0.98</v>
      </c>
      <c r="AS448" s="298">
        <v>0.6</v>
      </c>
      <c r="AT448" s="297">
        <v>14.16</v>
      </c>
      <c r="AU448" s="301">
        <v>71.87</v>
      </c>
      <c r="AV448" s="297" cm="1">
        <f t="array" aca="1" ref="AV448" ca="1">INDIRECT("'"&amp;$C448&amp;"'!"&amp;"$"&amp;$D448&amp;$AT$1&amp;"")</f>
        <v>10.63</v>
      </c>
      <c r="AW448" s="300">
        <v>0.99</v>
      </c>
      <c r="AX448" s="301">
        <v>1.9</v>
      </c>
      <c r="AY448" s="387">
        <v>68.900000000000006</v>
      </c>
      <c r="AZ448" s="303" cm="1">
        <f t="array" aca="1" ref="AZ448" ca="1">INDIRECT("'"&amp;$C448&amp;"'!"&amp;"$"&amp;$D448&amp;$AY$1&amp;"")</f>
        <v>0</v>
      </c>
      <c r="BA448" s="300" t="s">
        <v>1</v>
      </c>
      <c r="BB448" s="298" t="s">
        <v>1</v>
      </c>
      <c r="BC448" s="299" cm="1">
        <f t="array" aca="1" ref="BC448" ca="1">INDIRECT("'"&amp;$C448&amp;"'!"&amp;"$"&amp;$D448&amp;$BC$1&amp;"")</f>
        <v>1.1499999999999999</v>
      </c>
      <c r="BD448" s="300"/>
      <c r="BE448" s="300">
        <v>0.99</v>
      </c>
      <c r="BF448" s="298">
        <v>0.12</v>
      </c>
      <c r="BG448" s="299" cm="1">
        <f t="array" aca="1" ref="BG448" ca="1">INDIRECT("'"&amp;$C448&amp;"'!"&amp;"$"&amp;$D448&amp;$BG$1&amp;"")</f>
        <v>0.9</v>
      </c>
      <c r="BH448" s="300"/>
      <c r="BI448" s="300">
        <v>0.96</v>
      </c>
      <c r="BJ448" s="298">
        <v>0.25</v>
      </c>
      <c r="BK448" s="299" cm="1">
        <f t="array" aca="1" ref="BK448" ca="1">INDIRECT("'"&amp;$C448&amp;"'!"&amp;"$"&amp;$D448&amp;$BK$1&amp;"")</f>
        <v>5</v>
      </c>
      <c r="BL448" s="300"/>
      <c r="BM448" s="300">
        <v>0.95</v>
      </c>
      <c r="BN448" s="298">
        <v>1.5</v>
      </c>
    </row>
    <row r="449" spans="1:66" ht="15.75" thickBot="1" x14ac:dyDescent="0.25">
      <c r="A449" s="367">
        <v>45706</v>
      </c>
      <c r="B449" s="365">
        <v>0.79166666666666696</v>
      </c>
      <c r="C449" s="383">
        <f t="shared" si="6"/>
        <v>18</v>
      </c>
      <c r="D449" s="319" t="s">
        <v>129</v>
      </c>
      <c r="E449" s="290">
        <v>14.1</v>
      </c>
      <c r="F449" s="291">
        <v>68.77</v>
      </c>
      <c r="G449" s="292" cm="1">
        <f t="array" aca="1" ref="G449" ca="1">INDIRECT("'"&amp;$C449&amp;"'!"&amp;"$"&amp;$D449&amp;$E$1&amp;"")</f>
        <v>6.7</v>
      </c>
      <c r="H449" s="293">
        <v>0.93</v>
      </c>
      <c r="I449" s="291">
        <v>2.5</v>
      </c>
      <c r="J449" s="292" cm="1">
        <f t="array" aca="1" ref="J449" ca="1">INDIRECT("'"&amp;$C449&amp;"'!"&amp;"$"&amp;$D449&amp;$J$1&amp;"")</f>
        <v>6.7</v>
      </c>
      <c r="K449" s="304"/>
      <c r="L449" s="293">
        <v>0.93</v>
      </c>
      <c r="M449" s="291">
        <v>2.5</v>
      </c>
      <c r="N449" s="292" cm="1">
        <f t="array" aca="1" ref="N449" ca="1">INDIRECT("'"&amp;$C449&amp;"'!"&amp;"$"&amp;$D449&amp;$N$1&amp;"")</f>
        <v>6.7</v>
      </c>
      <c r="O449" s="293"/>
      <c r="P449" s="293">
        <v>0.93</v>
      </c>
      <c r="Q449" s="291">
        <v>2.5</v>
      </c>
      <c r="R449" s="292" cm="1">
        <f t="array" aca="1" ref="R449" ca="1">INDIRECT("'"&amp;$C449&amp;"'!"&amp;"$"&amp;$D449&amp;$R$1&amp;"")</f>
        <v>6.7</v>
      </c>
      <c r="S449" s="293"/>
      <c r="T449" s="293">
        <v>0.93</v>
      </c>
      <c r="U449" s="291">
        <v>2.5</v>
      </c>
      <c r="V449" s="292" t="str" cm="1">
        <f t="array" aca="1" ref="V449" ca="1">INDIRECT("'"&amp;$C449&amp;"'!"&amp;"$"&amp;$D449&amp;$V$1&amp;"")</f>
        <v>CMS</v>
      </c>
      <c r="W449" s="293" t="s">
        <v>1</v>
      </c>
      <c r="X449" s="293" t="s">
        <v>1</v>
      </c>
      <c r="Y449" s="294" t="s">
        <v>1</v>
      </c>
      <c r="Z449" s="386" cm="1">
        <f t="array" aca="1" ref="Z449" ca="1">INDIRECT("'"&amp;$C449&amp;"'!"&amp;"$"&amp;$D449&amp;$Z$1&amp;"")</f>
        <v>0</v>
      </c>
      <c r="AA449" s="292" t="s">
        <v>1</v>
      </c>
      <c r="AB449" s="293" t="s">
        <v>1</v>
      </c>
      <c r="AC449" s="291" t="s">
        <v>1</v>
      </c>
      <c r="AD449" s="292" cm="1">
        <f t="array" aca="1" ref="AD449" ca="1">INDIRECT("'"&amp;$C449&amp;"'!"&amp;"$"&amp;$D449&amp;$AD$1&amp;"")</f>
        <v>3.3</v>
      </c>
      <c r="AE449" s="293">
        <f>3.8*3.47</f>
        <v>13.186</v>
      </c>
      <c r="AF449" s="293">
        <v>0.94</v>
      </c>
      <c r="AG449" s="291">
        <v>1.19</v>
      </c>
      <c r="AH449" s="290" cm="1">
        <f t="array" aca="1" ref="AH449" ca="1">INDIRECT("'"&amp;$C449&amp;"'!"&amp;"$"&amp;$D449&amp;$AH$1&amp;"")</f>
        <v>4</v>
      </c>
      <c r="AI449" s="293">
        <v>14.08</v>
      </c>
      <c r="AJ449" s="293">
        <v>0.93</v>
      </c>
      <c r="AK449" s="291">
        <v>1.57</v>
      </c>
      <c r="AL449" s="290">
        <v>11.8</v>
      </c>
      <c r="AM449" s="294">
        <v>69.900000000000006</v>
      </c>
      <c r="AN449" s="290" cm="1">
        <f t="array" aca="1" ref="AN449" ca="1">INDIRECT("'"&amp;$C449&amp;"'!"&amp;"$"&amp;$D449&amp;$AL$1&amp;"")</f>
        <v>3.6</v>
      </c>
      <c r="AO449" s="293">
        <v>0.98</v>
      </c>
      <c r="AP449" s="291">
        <v>0.97</v>
      </c>
      <c r="AQ449" s="292" cm="1">
        <f t="array" aca="1" ref="AQ449" ca="1">INDIRECT("'"&amp;$C449&amp;"'!"&amp;"$"&amp;$D449&amp;$AQ$1&amp;"")</f>
        <v>3.6</v>
      </c>
      <c r="AR449" s="293">
        <v>0.98</v>
      </c>
      <c r="AS449" s="291">
        <v>0.98</v>
      </c>
      <c r="AT449" s="290">
        <v>14.07</v>
      </c>
      <c r="AU449" s="294">
        <v>71.290000000000006</v>
      </c>
      <c r="AV449" s="290" cm="1">
        <f t="array" aca="1" ref="AV449" ca="1">INDIRECT("'"&amp;$C449&amp;"'!"&amp;"$"&amp;$D449&amp;$AT$1&amp;"")</f>
        <v>12.11</v>
      </c>
      <c r="AW449" s="293">
        <v>0.99</v>
      </c>
      <c r="AX449" s="294">
        <v>2.1</v>
      </c>
      <c r="AY449" s="386">
        <v>67.400000000000006</v>
      </c>
      <c r="AZ449" s="296" cm="1">
        <f t="array" aca="1" ref="AZ449" ca="1">INDIRECT("'"&amp;$C449&amp;"'!"&amp;"$"&amp;$D449&amp;$AY$1&amp;"")</f>
        <v>0</v>
      </c>
      <c r="BA449" s="293" t="s">
        <v>1</v>
      </c>
      <c r="BB449" s="291" t="s">
        <v>1</v>
      </c>
      <c r="BC449" s="292" cm="1">
        <f t="array" aca="1" ref="BC449" ca="1">INDIRECT("'"&amp;$C449&amp;"'!"&amp;"$"&amp;$D449&amp;$BC$1&amp;"")</f>
        <v>1.33</v>
      </c>
      <c r="BD449" s="293"/>
      <c r="BE449" s="293">
        <v>0.99</v>
      </c>
      <c r="BF449" s="291">
        <v>0.14000000000000001</v>
      </c>
      <c r="BG449" s="292" cm="1">
        <f t="array" aca="1" ref="BG449" ca="1">INDIRECT("'"&amp;$C449&amp;"'!"&amp;"$"&amp;$D449&amp;$BG$1&amp;"")</f>
        <v>0.95</v>
      </c>
      <c r="BH449" s="293"/>
      <c r="BI449" s="293">
        <v>0.96</v>
      </c>
      <c r="BJ449" s="291">
        <v>0.25</v>
      </c>
      <c r="BK449" s="292" cm="1">
        <f t="array" aca="1" ref="BK449" ca="1">INDIRECT("'"&amp;$C449&amp;"'!"&amp;"$"&amp;$D449&amp;$BK$1&amp;"")</f>
        <v>5.6999999999999993</v>
      </c>
      <c r="BL449" s="293"/>
      <c r="BM449" s="293">
        <v>0.95</v>
      </c>
      <c r="BN449" s="291">
        <v>1.8</v>
      </c>
    </row>
    <row r="450" spans="1:66" ht="15.75" thickBot="1" x14ac:dyDescent="0.25">
      <c r="A450" s="367">
        <v>45706</v>
      </c>
      <c r="B450" s="365">
        <v>0.83333333333333337</v>
      </c>
      <c r="C450" s="383">
        <f t="shared" si="6"/>
        <v>18</v>
      </c>
      <c r="D450" s="319" t="s">
        <v>130</v>
      </c>
      <c r="E450" s="297">
        <v>14.3</v>
      </c>
      <c r="F450" s="298">
        <v>69.47</v>
      </c>
      <c r="G450" s="299" cm="1">
        <f t="array" aca="1" ref="G450" ca="1">INDIRECT("'"&amp;$C450&amp;"'!"&amp;"$"&amp;$D450&amp;$E$1&amp;"")</f>
        <v>5.8</v>
      </c>
      <c r="H450" s="300">
        <v>0.93</v>
      </c>
      <c r="I450" s="298">
        <v>2.2200000000000002</v>
      </c>
      <c r="J450" s="299" cm="1">
        <f t="array" aca="1" ref="J450" ca="1">INDIRECT("'"&amp;$C450&amp;"'!"&amp;"$"&amp;$D450&amp;$J$1&amp;"")</f>
        <v>5.8</v>
      </c>
      <c r="K450" s="300"/>
      <c r="L450" s="300">
        <v>0.93</v>
      </c>
      <c r="M450" s="298">
        <v>2.2200000000000002</v>
      </c>
      <c r="N450" s="299" cm="1">
        <f t="array" aca="1" ref="N450" ca="1">INDIRECT("'"&amp;$C450&amp;"'!"&amp;"$"&amp;$D450&amp;$N$1&amp;"")</f>
        <v>5.8</v>
      </c>
      <c r="O450" s="300"/>
      <c r="P450" s="300">
        <v>0.93</v>
      </c>
      <c r="Q450" s="298">
        <v>2.2200000000000002</v>
      </c>
      <c r="R450" s="299" cm="1">
        <f t="array" aca="1" ref="R450" ca="1">INDIRECT("'"&amp;$C450&amp;"'!"&amp;"$"&amp;$D450&amp;$R$1&amp;"")</f>
        <v>5.2</v>
      </c>
      <c r="S450" s="300"/>
      <c r="T450" s="300">
        <v>0.93</v>
      </c>
      <c r="U450" s="298">
        <v>2.2200000000000002</v>
      </c>
      <c r="V450" s="299" t="str" cm="1">
        <f t="array" aca="1" ref="V450" ca="1">INDIRECT("'"&amp;$C450&amp;"'!"&amp;"$"&amp;$D450&amp;$V$1&amp;"")</f>
        <v>CMS</v>
      </c>
      <c r="W450" s="300" t="s">
        <v>1</v>
      </c>
      <c r="X450" s="300" t="s">
        <v>1</v>
      </c>
      <c r="Y450" s="301" t="s">
        <v>1</v>
      </c>
      <c r="Z450" s="387" cm="1">
        <f t="array" aca="1" ref="Z450" ca="1">INDIRECT("'"&amp;$C450&amp;"'!"&amp;"$"&amp;$D450&amp;$Z$1&amp;"")</f>
        <v>0</v>
      </c>
      <c r="AA450" s="299" t="s">
        <v>1</v>
      </c>
      <c r="AB450" s="300" t="s">
        <v>1</v>
      </c>
      <c r="AC450" s="298" t="s">
        <v>1</v>
      </c>
      <c r="AD450" s="299" cm="1">
        <f t="array" aca="1" ref="AD450" ca="1">INDIRECT("'"&amp;$C450&amp;"'!"&amp;"$"&amp;$D450&amp;$AD$1&amp;"")</f>
        <v>3.3</v>
      </c>
      <c r="AE450" s="300">
        <f>3.8*3.51</f>
        <v>13.337999999999999</v>
      </c>
      <c r="AF450" s="300">
        <v>0.94</v>
      </c>
      <c r="AG450" s="298">
        <v>1.2</v>
      </c>
      <c r="AH450" s="297" cm="1">
        <f t="array" aca="1" ref="AH450" ca="1">INDIRECT("'"&amp;$C450&amp;"'!"&amp;"$"&amp;$D450&amp;$AH$1&amp;"")</f>
        <v>4</v>
      </c>
      <c r="AI450" s="300">
        <v>14.08</v>
      </c>
      <c r="AJ450" s="300">
        <v>0.93</v>
      </c>
      <c r="AK450" s="298">
        <v>1.57</v>
      </c>
      <c r="AL450" s="297">
        <v>11.8</v>
      </c>
      <c r="AM450" s="301">
        <v>70.5</v>
      </c>
      <c r="AN450" s="297" cm="1">
        <f t="array" aca="1" ref="AN450" ca="1">INDIRECT("'"&amp;$C450&amp;"'!"&amp;"$"&amp;$D450&amp;$AL$1&amp;"")</f>
        <v>2.4</v>
      </c>
      <c r="AO450" s="300">
        <v>0.98</v>
      </c>
      <c r="AP450" s="298">
        <v>0.54</v>
      </c>
      <c r="AQ450" s="299" cm="1">
        <f t="array" aca="1" ref="AQ450" ca="1">INDIRECT("'"&amp;$C450&amp;"'!"&amp;"$"&amp;$D450&amp;$AQ$1&amp;"")</f>
        <v>2.4</v>
      </c>
      <c r="AR450" s="300">
        <v>0.98</v>
      </c>
      <c r="AS450" s="298">
        <v>0.54</v>
      </c>
      <c r="AT450" s="297">
        <v>14.18</v>
      </c>
      <c r="AU450" s="301">
        <v>71.83</v>
      </c>
      <c r="AV450" s="297" cm="1">
        <f t="array" aca="1" ref="AV450" ca="1">INDIRECT("'"&amp;$C450&amp;"'!"&amp;"$"&amp;$D450&amp;$AT$1&amp;"")</f>
        <v>12.12</v>
      </c>
      <c r="AW450" s="300">
        <v>0.99</v>
      </c>
      <c r="AX450" s="301">
        <v>2.1</v>
      </c>
      <c r="AY450" s="387">
        <v>68.2</v>
      </c>
      <c r="AZ450" s="303" cm="1">
        <f t="array" aca="1" ref="AZ450" ca="1">INDIRECT("'"&amp;$C450&amp;"'!"&amp;"$"&amp;$D450&amp;$AY$1&amp;"")</f>
        <v>0</v>
      </c>
      <c r="BA450" s="300" t="s">
        <v>1</v>
      </c>
      <c r="BB450" s="298" t="s">
        <v>1</v>
      </c>
      <c r="BC450" s="299" cm="1">
        <f t="array" aca="1" ref="BC450" ca="1">INDIRECT("'"&amp;$C450&amp;"'!"&amp;"$"&amp;$D450&amp;$BC$1&amp;"")</f>
        <v>1.31</v>
      </c>
      <c r="BD450" s="300"/>
      <c r="BE450" s="300">
        <v>0.99</v>
      </c>
      <c r="BF450" s="298">
        <v>0.15</v>
      </c>
      <c r="BG450" s="299" cm="1">
        <f t="array" aca="1" ref="BG450" ca="1">INDIRECT("'"&amp;$C450&amp;"'!"&amp;"$"&amp;$D450&amp;$BG$1&amp;"")</f>
        <v>0.97</v>
      </c>
      <c r="BH450" s="300"/>
      <c r="BI450" s="300">
        <v>0.96</v>
      </c>
      <c r="BJ450" s="298">
        <v>0.25</v>
      </c>
      <c r="BK450" s="299" cm="1">
        <f t="array" aca="1" ref="BK450" ca="1">INDIRECT("'"&amp;$C450&amp;"'!"&amp;"$"&amp;$D450&amp;$BK$1&amp;"")</f>
        <v>5.6</v>
      </c>
      <c r="BL450" s="300"/>
      <c r="BM450" s="300">
        <v>0.99</v>
      </c>
      <c r="BN450" s="298">
        <v>1.8</v>
      </c>
    </row>
    <row r="451" spans="1:66" ht="15.75" thickBot="1" x14ac:dyDescent="0.25">
      <c r="A451" s="367">
        <v>45706</v>
      </c>
      <c r="B451" s="365">
        <v>0.875000000000001</v>
      </c>
      <c r="C451" s="383">
        <f t="shared" si="6"/>
        <v>18</v>
      </c>
      <c r="D451" s="319" t="s">
        <v>131</v>
      </c>
      <c r="E451" s="290">
        <v>14.3</v>
      </c>
      <c r="F451" s="291">
        <v>69.400000000000006</v>
      </c>
      <c r="G451" s="292" cm="1">
        <f t="array" aca="1" ref="G451" ca="1">INDIRECT("'"&amp;$C451&amp;"'!"&amp;"$"&amp;$D451&amp;$E$1&amp;"")</f>
        <v>5.2</v>
      </c>
      <c r="H451" s="293">
        <v>0.95</v>
      </c>
      <c r="I451" s="291">
        <v>1.66</v>
      </c>
      <c r="J451" s="292" cm="1">
        <f t="array" aca="1" ref="J451" ca="1">INDIRECT("'"&amp;$C451&amp;"'!"&amp;"$"&amp;$D451&amp;$J$1&amp;"")</f>
        <v>5.2</v>
      </c>
      <c r="K451" s="293"/>
      <c r="L451" s="293">
        <v>0.95</v>
      </c>
      <c r="M451" s="291">
        <v>1.66</v>
      </c>
      <c r="N451" s="292" cm="1">
        <f t="array" aca="1" ref="N451" ca="1">INDIRECT("'"&amp;$C451&amp;"'!"&amp;"$"&amp;$D451&amp;$N$1&amp;"")</f>
        <v>5.2</v>
      </c>
      <c r="O451" s="293"/>
      <c r="P451" s="293">
        <v>0.95</v>
      </c>
      <c r="Q451" s="291">
        <v>1.66</v>
      </c>
      <c r="R451" s="292" cm="1">
        <f t="array" aca="1" ref="R451" ca="1">INDIRECT("'"&amp;$C451&amp;"'!"&amp;"$"&amp;$D451&amp;$R$1&amp;"")</f>
        <v>5.2</v>
      </c>
      <c r="S451" s="293"/>
      <c r="T451" s="293">
        <v>0.95</v>
      </c>
      <c r="U451" s="291">
        <v>1.66</v>
      </c>
      <c r="V451" s="292" t="str" cm="1">
        <f t="array" aca="1" ref="V451" ca="1">INDIRECT("'"&amp;$C451&amp;"'!"&amp;"$"&amp;$D451&amp;$V$1&amp;"")</f>
        <v>CMS</v>
      </c>
      <c r="W451" s="293" t="s">
        <v>1</v>
      </c>
      <c r="X451" s="293" t="s">
        <v>1</v>
      </c>
      <c r="Y451" s="294" t="s">
        <v>1</v>
      </c>
      <c r="Z451" s="386" cm="1">
        <f t="array" aca="1" ref="Z451" ca="1">INDIRECT("'"&amp;$C451&amp;"'!"&amp;"$"&amp;$D451&amp;$Z$1&amp;"")</f>
        <v>0</v>
      </c>
      <c r="AA451" s="292" t="s">
        <v>1</v>
      </c>
      <c r="AB451" s="293" t="s">
        <v>1</v>
      </c>
      <c r="AC451" s="291" t="s">
        <v>1</v>
      </c>
      <c r="AD451" s="292" cm="1">
        <f t="array" aca="1" ref="AD451" ca="1">INDIRECT("'"&amp;$C451&amp;"'!"&amp;"$"&amp;$D451&amp;$AD$1&amp;"")</f>
        <v>3</v>
      </c>
      <c r="AE451" s="293">
        <f>3.8*3.53</f>
        <v>13.413999999999998</v>
      </c>
      <c r="AF451" s="293">
        <v>0.93</v>
      </c>
      <c r="AG451" s="291">
        <v>0.98</v>
      </c>
      <c r="AH451" s="290" cm="1">
        <f t="array" aca="1" ref="AH451" ca="1">INDIRECT("'"&amp;$C451&amp;"'!"&amp;"$"&amp;$D451&amp;$AH$1&amp;"")</f>
        <v>3.8</v>
      </c>
      <c r="AI451" s="293">
        <v>14.04</v>
      </c>
      <c r="AJ451" s="293">
        <v>0.94</v>
      </c>
      <c r="AK451" s="291">
        <v>1.1000000000000001</v>
      </c>
      <c r="AL451" s="290">
        <v>11.7</v>
      </c>
      <c r="AM451" s="294">
        <v>70.5</v>
      </c>
      <c r="AN451" s="290" cm="1">
        <f t="array" aca="1" ref="AN451" ca="1">INDIRECT("'"&amp;$C451&amp;"'!"&amp;"$"&amp;$D451&amp;$AL$1&amp;"")</f>
        <v>1</v>
      </c>
      <c r="AO451" s="293">
        <v>1</v>
      </c>
      <c r="AP451" s="291">
        <v>5.1999999999999998E-2</v>
      </c>
      <c r="AQ451" s="292" cm="1">
        <f t="array" aca="1" ref="AQ451" ca="1">INDIRECT("'"&amp;$C451&amp;"'!"&amp;"$"&amp;$D451&amp;$AQ$1&amp;"")</f>
        <v>1</v>
      </c>
      <c r="AR451" s="293">
        <v>1</v>
      </c>
      <c r="AS451" s="291">
        <v>5.5E-2</v>
      </c>
      <c r="AT451" s="290">
        <v>14.09</v>
      </c>
      <c r="AU451" s="294">
        <v>71.48</v>
      </c>
      <c r="AV451" s="290" cm="1">
        <f t="array" aca="1" ref="AV451" ca="1">INDIRECT("'"&amp;$C451&amp;"'!"&amp;"$"&amp;$D451&amp;$AT$1&amp;"")</f>
        <v>9.2899999999999991</v>
      </c>
      <c r="AW451" s="293">
        <v>0.99</v>
      </c>
      <c r="AX451" s="294">
        <v>1.8</v>
      </c>
      <c r="AY451" s="386">
        <v>68</v>
      </c>
      <c r="AZ451" s="296" cm="1">
        <f t="array" aca="1" ref="AZ451" ca="1">INDIRECT("'"&amp;$C451&amp;"'!"&amp;"$"&amp;$D451&amp;$AY$1&amp;"")</f>
        <v>0</v>
      </c>
      <c r="BA451" s="293" t="s">
        <v>1</v>
      </c>
      <c r="BB451" s="291" t="s">
        <v>1</v>
      </c>
      <c r="BC451" s="292" cm="1">
        <f t="array" aca="1" ref="BC451" ca="1">INDIRECT("'"&amp;$C451&amp;"'!"&amp;"$"&amp;$D451&amp;$BC$1&amp;"")</f>
        <v>1.26</v>
      </c>
      <c r="BD451" s="293"/>
      <c r="BE451" s="293">
        <v>0.99</v>
      </c>
      <c r="BF451" s="291">
        <v>0.14000000000000001</v>
      </c>
      <c r="BG451" s="292" cm="1">
        <f t="array" aca="1" ref="BG451" ca="1">INDIRECT("'"&amp;$C451&amp;"'!"&amp;"$"&amp;$D451&amp;$BG$1&amp;"")</f>
        <v>0.89</v>
      </c>
      <c r="BH451" s="293"/>
      <c r="BI451" s="293">
        <v>0.96</v>
      </c>
      <c r="BJ451" s="291">
        <v>0.24</v>
      </c>
      <c r="BK451" s="292" cm="1">
        <f t="array" aca="1" ref="BK451" ca="1">INDIRECT("'"&amp;$C451&amp;"'!"&amp;"$"&amp;$D451&amp;$BK$1&amp;"")</f>
        <v>5.4</v>
      </c>
      <c r="BL451" s="293"/>
      <c r="BM451" s="293">
        <v>0.95</v>
      </c>
      <c r="BN451" s="291">
        <v>1.7</v>
      </c>
    </row>
    <row r="452" spans="1:66" ht="15.75" thickBot="1" x14ac:dyDescent="0.25">
      <c r="A452" s="367">
        <v>45706</v>
      </c>
      <c r="B452" s="365">
        <v>0.91666666666666696</v>
      </c>
      <c r="C452" s="383">
        <f t="shared" si="6"/>
        <v>18</v>
      </c>
      <c r="D452" s="319" t="s">
        <v>132</v>
      </c>
      <c r="E452" s="297">
        <v>14.3</v>
      </c>
      <c r="F452" s="298">
        <v>70.25</v>
      </c>
      <c r="G452" s="299" cm="1">
        <f t="array" aca="1" ref="G452" ca="1">INDIRECT("'"&amp;$C452&amp;"'!"&amp;"$"&amp;$D452&amp;$E$1&amp;"")</f>
        <v>6.1</v>
      </c>
      <c r="H452" s="300">
        <v>0.97</v>
      </c>
      <c r="I452" s="298">
        <v>1.55</v>
      </c>
      <c r="J452" s="299" cm="1">
        <f t="array" aca="1" ref="J452" ca="1">INDIRECT("'"&amp;$C452&amp;"'!"&amp;"$"&amp;$D452&amp;$J$1&amp;"")</f>
        <v>6.1</v>
      </c>
      <c r="K452" s="300"/>
      <c r="L452" s="300">
        <v>0.97</v>
      </c>
      <c r="M452" s="298">
        <v>1.55</v>
      </c>
      <c r="N452" s="299" cm="1">
        <f t="array" aca="1" ref="N452" ca="1">INDIRECT("'"&amp;$C452&amp;"'!"&amp;"$"&amp;$D452&amp;$N$1&amp;"")</f>
        <v>6.1</v>
      </c>
      <c r="O452" s="300"/>
      <c r="P452" s="300">
        <v>0.97</v>
      </c>
      <c r="Q452" s="298">
        <v>1.55</v>
      </c>
      <c r="R452" s="299" cm="1">
        <f t="array" aca="1" ref="R452" ca="1">INDIRECT("'"&amp;$C452&amp;"'!"&amp;"$"&amp;$D452&amp;$R$1&amp;"")</f>
        <v>6.1</v>
      </c>
      <c r="S452" s="300"/>
      <c r="T452" s="300">
        <v>0.97</v>
      </c>
      <c r="U452" s="298">
        <v>1.55</v>
      </c>
      <c r="V452" s="299" t="str" cm="1">
        <f t="array" aca="1" ref="V452" ca="1">INDIRECT("'"&amp;$C452&amp;"'!"&amp;"$"&amp;$D452&amp;$V$1&amp;"")</f>
        <v>CMS</v>
      </c>
      <c r="W452" s="300" t="s">
        <v>1</v>
      </c>
      <c r="X452" s="300" t="s">
        <v>1</v>
      </c>
      <c r="Y452" s="301" t="s">
        <v>1</v>
      </c>
      <c r="Z452" s="387" cm="1">
        <f t="array" aca="1" ref="Z452" ca="1">INDIRECT("'"&amp;$C452&amp;"'!"&amp;"$"&amp;$D452&amp;$Z$1&amp;"")</f>
        <v>0</v>
      </c>
      <c r="AA452" s="299" t="s">
        <v>1</v>
      </c>
      <c r="AB452" s="300" t="s">
        <v>1</v>
      </c>
      <c r="AC452" s="298" t="s">
        <v>1</v>
      </c>
      <c r="AD452" s="299" cm="1">
        <f t="array" aca="1" ref="AD452" ca="1">INDIRECT("'"&amp;$C452&amp;"'!"&amp;"$"&amp;$D452&amp;$AD$1&amp;"")</f>
        <v>3.3</v>
      </c>
      <c r="AE452" s="300">
        <f>3.8*3.57</f>
        <v>13.565999999999999</v>
      </c>
      <c r="AF452" s="300">
        <v>0.95</v>
      </c>
      <c r="AG452" s="298">
        <v>1.07</v>
      </c>
      <c r="AH452" s="297" t="str" cm="1">
        <f t="array" aca="1" ref="AH452" ca="1">INDIRECT("'"&amp;$C452&amp;"'!"&amp;"$"&amp;$D452&amp;$AH$1&amp;"")</f>
        <v>CMS</v>
      </c>
      <c r="AI452" s="300" t="s">
        <v>1</v>
      </c>
      <c r="AJ452" s="300" t="s">
        <v>1</v>
      </c>
      <c r="AK452" s="298" t="s">
        <v>1</v>
      </c>
      <c r="AL452" s="297">
        <v>11.7</v>
      </c>
      <c r="AM452" s="301">
        <v>70.5</v>
      </c>
      <c r="AN452" s="297" cm="1">
        <f t="array" aca="1" ref="AN452" ca="1">INDIRECT("'"&amp;$C452&amp;"'!"&amp;"$"&amp;$D452&amp;$AL$1&amp;"")</f>
        <v>1.3</v>
      </c>
      <c r="AO452" s="300">
        <v>1</v>
      </c>
      <c r="AP452" s="298">
        <v>0.02</v>
      </c>
      <c r="AQ452" s="299" cm="1">
        <f t="array" aca="1" ref="AQ452" ca="1">INDIRECT("'"&amp;$C452&amp;"'!"&amp;"$"&amp;$D452&amp;$AQ$1&amp;"")</f>
        <v>1.3</v>
      </c>
      <c r="AR452" s="300">
        <v>1</v>
      </c>
      <c r="AS452" s="298">
        <v>0.02</v>
      </c>
      <c r="AT452" s="297">
        <v>13.99</v>
      </c>
      <c r="AU452" s="301">
        <v>71.06</v>
      </c>
      <c r="AV452" s="297" cm="1">
        <f t="array" aca="1" ref="AV452" ca="1">INDIRECT("'"&amp;$C452&amp;"'!"&amp;"$"&amp;$D452&amp;$AT$1&amp;"")</f>
        <v>9.02</v>
      </c>
      <c r="AW452" s="300">
        <v>0.99</v>
      </c>
      <c r="AX452" s="301">
        <v>1.7</v>
      </c>
      <c r="AY452" s="387">
        <v>69.3</v>
      </c>
      <c r="AZ452" s="303" cm="1">
        <f t="array" aca="1" ref="AZ452" ca="1">INDIRECT("'"&amp;$C452&amp;"'!"&amp;"$"&amp;$D452&amp;$AY$1&amp;"")</f>
        <v>0</v>
      </c>
      <c r="BA452" s="300" t="s">
        <v>1</v>
      </c>
      <c r="BB452" s="298" t="s">
        <v>1</v>
      </c>
      <c r="BC452" s="299" cm="1">
        <f t="array" aca="1" ref="BC452" ca="1">INDIRECT("'"&amp;$C452&amp;"'!"&amp;"$"&amp;$D452&amp;$BC$1&amp;"")</f>
        <v>1.08</v>
      </c>
      <c r="BD452" s="300"/>
      <c r="BE452" s="300">
        <v>0.99</v>
      </c>
      <c r="BF452" s="298">
        <v>0.12</v>
      </c>
      <c r="BG452" s="299" cm="1">
        <f t="array" aca="1" ref="BG452" ca="1">INDIRECT("'"&amp;$C452&amp;"'!"&amp;"$"&amp;$D452&amp;$BG$1&amp;"")</f>
        <v>0.84</v>
      </c>
      <c r="BH452" s="300"/>
      <c r="BI452" s="300">
        <v>0.96</v>
      </c>
      <c r="BJ452" s="298">
        <v>0.21</v>
      </c>
      <c r="BK452" s="299" cm="1">
        <f t="array" aca="1" ref="BK452" ca="1">INDIRECT("'"&amp;$C452&amp;"'!"&amp;"$"&amp;$D452&amp;$BK$1&amp;"")</f>
        <v>5</v>
      </c>
      <c r="BL452" s="300"/>
      <c r="BM452" s="300">
        <v>0.95</v>
      </c>
      <c r="BN452" s="298">
        <v>1.6</v>
      </c>
    </row>
    <row r="453" spans="1:66" ht="15.75" thickBot="1" x14ac:dyDescent="0.25">
      <c r="A453" s="367">
        <v>45706</v>
      </c>
      <c r="B453" s="366">
        <v>0.95833333333333404</v>
      </c>
      <c r="C453" s="383">
        <f t="shared" si="6"/>
        <v>18</v>
      </c>
      <c r="D453" s="321" t="s">
        <v>133</v>
      </c>
      <c r="E453" s="305">
        <v>14.2</v>
      </c>
      <c r="F453" s="306">
        <v>69.94</v>
      </c>
      <c r="G453" s="307" cm="1">
        <f t="array" aca="1" ref="G453" ca="1">INDIRECT("'"&amp;$C453&amp;"'!"&amp;"$"&amp;$D453&amp;$E$1&amp;"")</f>
        <v>6.1</v>
      </c>
      <c r="H453" s="308">
        <v>0.97</v>
      </c>
      <c r="I453" s="306">
        <v>1.29</v>
      </c>
      <c r="J453" s="307" cm="1">
        <f t="array" aca="1" ref="J453" ca="1">INDIRECT("'"&amp;$C453&amp;"'!"&amp;"$"&amp;$D453&amp;$J$1&amp;"")</f>
        <v>0</v>
      </c>
      <c r="K453" s="308"/>
      <c r="L453" s="308" t="s">
        <v>1</v>
      </c>
      <c r="M453" s="306" t="s">
        <v>1</v>
      </c>
      <c r="N453" s="307" cm="1">
        <f t="array" aca="1" ref="N453" ca="1">INDIRECT("'"&amp;$C453&amp;"'!"&amp;"$"&amp;$D453&amp;$N$1&amp;"")</f>
        <v>6.1</v>
      </c>
      <c r="O453" s="308"/>
      <c r="P453" s="308">
        <v>0.97</v>
      </c>
      <c r="Q453" s="306">
        <v>1.29</v>
      </c>
      <c r="R453" s="307" cm="1">
        <f t="array" aca="1" ref="R453" ca="1">INDIRECT("'"&amp;$C453&amp;"'!"&amp;"$"&amp;$D453&amp;$R$1&amp;"")</f>
        <v>7.1</v>
      </c>
      <c r="S453" s="308"/>
      <c r="T453" s="308">
        <v>0.97</v>
      </c>
      <c r="U453" s="306">
        <v>1.79</v>
      </c>
      <c r="V453" s="307" t="str" cm="1">
        <f t="array" aca="1" ref="V453" ca="1">INDIRECT("'"&amp;$C453&amp;"'!"&amp;"$"&amp;$D453&amp;$V$1&amp;"")</f>
        <v>CMS</v>
      </c>
      <c r="W453" s="308" t="s">
        <v>1</v>
      </c>
      <c r="X453" s="308" t="s">
        <v>1</v>
      </c>
      <c r="Y453" s="309" t="s">
        <v>1</v>
      </c>
      <c r="Z453" s="389" cm="1">
        <f t="array" aca="1" ref="Z453" ca="1">INDIRECT("'"&amp;$C453&amp;"'!"&amp;"$"&amp;$D453&amp;$Z$1&amp;"")</f>
        <v>0</v>
      </c>
      <c r="AA453" s="307" t="s">
        <v>1</v>
      </c>
      <c r="AB453" s="308" t="s">
        <v>1</v>
      </c>
      <c r="AC453" s="306" t="s">
        <v>1</v>
      </c>
      <c r="AD453" s="307" cm="1">
        <f t="array" aca="1" ref="AD453" ca="1">INDIRECT("'"&amp;$C453&amp;"'!"&amp;"$"&amp;$D453&amp;$AD$1&amp;"")</f>
        <v>3.3</v>
      </c>
      <c r="AE453" s="308">
        <f>3.8*3.57</f>
        <v>13.565999999999999</v>
      </c>
      <c r="AF453" s="308">
        <v>0.96</v>
      </c>
      <c r="AG453" s="309">
        <v>0.94</v>
      </c>
      <c r="AH453" s="305" t="str" cm="1">
        <f t="array" aca="1" ref="AH453" ca="1">INDIRECT("'"&amp;$C453&amp;"'!"&amp;"$"&amp;$D453&amp;$AH$1&amp;"")</f>
        <v>CMS</v>
      </c>
      <c r="AI453" s="308" t="s">
        <v>1</v>
      </c>
      <c r="AJ453" s="308" t="s">
        <v>1</v>
      </c>
      <c r="AK453" s="306" t="s">
        <v>1</v>
      </c>
      <c r="AL453" s="305">
        <v>11.8</v>
      </c>
      <c r="AM453" s="309">
        <v>70.3</v>
      </c>
      <c r="AN453" s="305" cm="1">
        <f t="array" aca="1" ref="AN453" ca="1">INDIRECT("'"&amp;$C453&amp;"'!"&amp;"$"&amp;$D453&amp;$AL$1&amp;"")</f>
        <v>3.7</v>
      </c>
      <c r="AO453" s="308">
        <v>0.99</v>
      </c>
      <c r="AP453" s="306">
        <v>0.48</v>
      </c>
      <c r="AQ453" s="307" cm="1">
        <f t="array" aca="1" ref="AQ453" ca="1">INDIRECT("'"&amp;$C453&amp;"'!"&amp;"$"&amp;$D453&amp;$AQ$1&amp;"")</f>
        <v>3.7</v>
      </c>
      <c r="AR453" s="308">
        <v>0.99</v>
      </c>
      <c r="AS453" s="306">
        <v>0.48</v>
      </c>
      <c r="AT453" s="305">
        <v>13.92</v>
      </c>
      <c r="AU453" s="309">
        <v>70.75</v>
      </c>
      <c r="AV453" s="305" cm="1">
        <f t="array" aca="1" ref="AV453" ca="1">INDIRECT("'"&amp;$C453&amp;"'!"&amp;"$"&amp;$D453&amp;$AT$1&amp;"")</f>
        <v>10.08</v>
      </c>
      <c r="AW453" s="308">
        <v>0.99</v>
      </c>
      <c r="AX453" s="306">
        <v>1.7</v>
      </c>
      <c r="AY453" s="384">
        <v>68.5</v>
      </c>
      <c r="AZ453" s="310" cm="1">
        <f t="array" aca="1" ref="AZ453" ca="1">INDIRECT("'"&amp;$C453&amp;"'!"&amp;"$"&amp;$D453&amp;$AY$1&amp;"")</f>
        <v>0</v>
      </c>
      <c r="BA453" s="308" t="s">
        <v>1</v>
      </c>
      <c r="BB453" s="306" t="s">
        <v>1</v>
      </c>
      <c r="BC453" s="307" cm="1">
        <f t="array" aca="1" ref="BC453" ca="1">INDIRECT("'"&amp;$C453&amp;"'!"&amp;"$"&amp;$D453&amp;$BC$1&amp;"")</f>
        <v>0.97</v>
      </c>
      <c r="BD453" s="308"/>
      <c r="BE453" s="308">
        <v>0.99</v>
      </c>
      <c r="BF453" s="306">
        <v>0.11</v>
      </c>
      <c r="BG453" s="307" cm="1">
        <f t="array" aca="1" ref="BG453" ca="1">INDIRECT("'"&amp;$C453&amp;"'!"&amp;"$"&amp;$D453&amp;$BG$1&amp;"")</f>
        <v>0.81</v>
      </c>
      <c r="BH453" s="308"/>
      <c r="BI453" s="308">
        <v>0.96</v>
      </c>
      <c r="BJ453" s="306">
        <v>0.2</v>
      </c>
      <c r="BK453" s="307" cm="1">
        <f t="array" aca="1" ref="BK453" ca="1">INDIRECT("'"&amp;$C453&amp;"'!"&amp;"$"&amp;$D453&amp;$BK$1&amp;"")</f>
        <v>4.4000000000000004</v>
      </c>
      <c r="BL453" s="308"/>
      <c r="BM453" s="308">
        <v>0.95</v>
      </c>
      <c r="BN453" s="306">
        <v>1.4</v>
      </c>
    </row>
    <row r="454" spans="1:66" ht="15" thickBot="1" x14ac:dyDescent="0.25"/>
    <row r="455" spans="1:66" ht="15.75" thickBot="1" x14ac:dyDescent="0.25">
      <c r="A455" s="367">
        <v>45707</v>
      </c>
      <c r="B455" s="364">
        <v>0</v>
      </c>
      <c r="C455" s="383">
        <f>C453+1</f>
        <v>19</v>
      </c>
      <c r="D455" s="316" t="s">
        <v>110</v>
      </c>
      <c r="E455" s="284">
        <v>14.1</v>
      </c>
      <c r="F455" s="285">
        <v>69.599999999999994</v>
      </c>
      <c r="G455" s="286" cm="1">
        <f t="array" aca="1" ref="G455" ca="1">INDIRECT("'"&amp;$C455&amp;"'!"&amp;"$"&amp;$D455&amp;$E$1&amp;"")</f>
        <v>6.1</v>
      </c>
      <c r="H455" s="287">
        <v>0.97</v>
      </c>
      <c r="I455" s="285">
        <v>1.62</v>
      </c>
      <c r="J455" s="286" cm="1">
        <f t="array" aca="1" ref="J455" ca="1">INDIRECT("'"&amp;$C455&amp;"'!"&amp;"$"&amp;$D455&amp;$J$1&amp;"")</f>
        <v>0</v>
      </c>
      <c r="K455" s="287"/>
      <c r="L455" s="287" t="s">
        <v>1</v>
      </c>
      <c r="M455" s="285" t="s">
        <v>1</v>
      </c>
      <c r="N455" s="286" cm="1">
        <f t="array" aca="1" ref="N455" ca="1">INDIRECT("'"&amp;$C455&amp;"'!"&amp;"$"&amp;$D455&amp;$N$1&amp;"")</f>
        <v>6.1</v>
      </c>
      <c r="O455" s="287"/>
      <c r="P455" s="287">
        <v>0.97</v>
      </c>
      <c r="Q455" s="285">
        <v>1.62</v>
      </c>
      <c r="R455" s="286" cm="1">
        <f t="array" aca="1" ref="R455" ca="1">INDIRECT("'"&amp;$C455&amp;"'!"&amp;"$"&amp;$D455&amp;$R$1&amp;"")</f>
        <v>0</v>
      </c>
      <c r="S455" s="287"/>
      <c r="T455" s="287" t="s">
        <v>1</v>
      </c>
      <c r="U455" s="285" t="s">
        <v>1</v>
      </c>
      <c r="V455" s="286" t="str" cm="1">
        <f t="array" aca="1" ref="V455" ca="1">INDIRECT("'"&amp;$C455&amp;"'!"&amp;"$"&amp;$D455&amp;$V$1&amp;"")</f>
        <v>CMS</v>
      </c>
      <c r="W455" s="287" t="s">
        <v>1</v>
      </c>
      <c r="X455" s="287" t="s">
        <v>1</v>
      </c>
      <c r="Y455" s="288" t="s">
        <v>1</v>
      </c>
      <c r="Z455" s="385" cm="1">
        <f t="array" aca="1" ref="Z455" ca="1">INDIRECT("'"&amp;$C455&amp;"'!"&amp;"$"&amp;$D455&amp;$Z$1&amp;"")</f>
        <v>0</v>
      </c>
      <c r="AA455" s="286" t="s">
        <v>1</v>
      </c>
      <c r="AB455" s="287" t="s">
        <v>1</v>
      </c>
      <c r="AC455" s="285" t="s">
        <v>1</v>
      </c>
      <c r="AD455" s="286" cm="1">
        <f t="array" aca="1" ref="AD455" ca="1">INDIRECT("'"&amp;$C455&amp;"'!"&amp;"$"&amp;$D455&amp;$AD$1&amp;"")</f>
        <v>3.3</v>
      </c>
      <c r="AE455" s="287">
        <f>3.8*3.57</f>
        <v>13.565999999999999</v>
      </c>
      <c r="AF455" s="287">
        <v>0.99</v>
      </c>
      <c r="AG455" s="285">
        <v>0.34</v>
      </c>
      <c r="AH455" s="284" t="str" cm="1">
        <f t="array" aca="1" ref="AH455" ca="1">INDIRECT("'"&amp;$C455&amp;"'!"&amp;"$"&amp;$D455&amp;$AH$1&amp;"")</f>
        <v>CMS</v>
      </c>
      <c r="AI455" s="287" t="s">
        <v>1</v>
      </c>
      <c r="AJ455" s="287" t="s">
        <v>1</v>
      </c>
      <c r="AK455" s="285" t="s">
        <v>1</v>
      </c>
      <c r="AL455" s="284">
        <v>11.8</v>
      </c>
      <c r="AM455" s="288">
        <v>70.400000000000006</v>
      </c>
      <c r="AN455" s="284" cm="1">
        <f t="array" aca="1" ref="AN455" ca="1">INDIRECT("'"&amp;$C455&amp;"'!"&amp;"$"&amp;$D455&amp;$AL$1&amp;"")</f>
        <v>3.8</v>
      </c>
      <c r="AO455" s="287" t="s">
        <v>1</v>
      </c>
      <c r="AP455" s="285" t="s">
        <v>1</v>
      </c>
      <c r="AQ455" s="286" cm="1">
        <f t="array" aca="1" ref="AQ455" ca="1">INDIRECT("'"&amp;$C455&amp;"'!"&amp;"$"&amp;$D455&amp;$AQ$1&amp;"")</f>
        <v>3.8</v>
      </c>
      <c r="AR455" s="287">
        <v>0.99</v>
      </c>
      <c r="AS455" s="285">
        <v>0.35</v>
      </c>
      <c r="AT455" s="284">
        <v>14.13</v>
      </c>
      <c r="AU455" s="381">
        <v>71</v>
      </c>
      <c r="AV455" s="284" cm="1">
        <f t="array" aca="1" ref="AV455" ca="1">INDIRECT("'"&amp;$C455&amp;"'!"&amp;"$"&amp;$D455&amp;$AT$1&amp;"")</f>
        <v>12.01</v>
      </c>
      <c r="AW455" s="287">
        <v>0.99</v>
      </c>
      <c r="AX455" s="288">
        <v>2</v>
      </c>
      <c r="AY455" s="385">
        <v>68.7</v>
      </c>
      <c r="AZ455" s="381" cm="1">
        <f t="array" aca="1" ref="AZ455" ca="1">INDIRECT("'"&amp;$C455&amp;"'!"&amp;"$"&amp;$D455&amp;$AY$1&amp;"")</f>
        <v>0</v>
      </c>
      <c r="BA455" s="287" t="s">
        <v>1</v>
      </c>
      <c r="BB455" s="285" t="s">
        <v>1</v>
      </c>
      <c r="BC455" s="286" cm="1">
        <f t="array" aca="1" ref="BC455" ca="1">INDIRECT("'"&amp;$C455&amp;"'!"&amp;"$"&amp;$D455&amp;$BC$1&amp;"")</f>
        <v>0.88</v>
      </c>
      <c r="BD455" s="287"/>
      <c r="BE455" s="287">
        <v>0.99</v>
      </c>
      <c r="BF455" s="285">
        <v>0.11</v>
      </c>
      <c r="BG455" s="286" cm="1">
        <f t="array" aca="1" ref="BG455" ca="1">INDIRECT("'"&amp;$C455&amp;"'!"&amp;"$"&amp;$D455&amp;$BG$1&amp;"")</f>
        <v>0.74</v>
      </c>
      <c r="BH455" s="287"/>
      <c r="BI455" s="287">
        <v>0.96</v>
      </c>
      <c r="BJ455" s="285">
        <v>0.2</v>
      </c>
      <c r="BK455" s="286" cm="1">
        <f t="array" aca="1" ref="BK455" ca="1">INDIRECT("'"&amp;$C455&amp;"'!"&amp;"$"&amp;$D455&amp;$BK$1&amp;"")</f>
        <v>4.2</v>
      </c>
      <c r="BL455" s="287"/>
      <c r="BM455" s="287">
        <v>0.95</v>
      </c>
      <c r="BN455" s="285">
        <v>1.38</v>
      </c>
    </row>
    <row r="456" spans="1:66" ht="15.75" thickBot="1" x14ac:dyDescent="0.25">
      <c r="A456" s="367">
        <v>45707</v>
      </c>
      <c r="B456" s="365">
        <v>4.1666666666666699E-2</v>
      </c>
      <c r="C456" s="383">
        <f>C455</f>
        <v>19</v>
      </c>
      <c r="D456" s="319" t="s">
        <v>111</v>
      </c>
      <c r="E456" s="290">
        <v>14.1</v>
      </c>
      <c r="F456" s="291">
        <v>69.36</v>
      </c>
      <c r="G456" s="292" cm="1">
        <f t="array" aca="1" ref="G456" ca="1">INDIRECT("'"&amp;$C456&amp;"'!"&amp;"$"&amp;$D456&amp;$E$1&amp;"")</f>
        <v>6.5</v>
      </c>
      <c r="H456" s="293">
        <v>0.97</v>
      </c>
      <c r="I456" s="291">
        <v>1.62</v>
      </c>
      <c r="J456" s="292" cm="1">
        <f t="array" aca="1" ref="J456" ca="1">INDIRECT("'"&amp;$C456&amp;"'!"&amp;"$"&amp;$D456&amp;$J$1&amp;"")</f>
        <v>0</v>
      </c>
      <c r="K456" s="293"/>
      <c r="L456" s="293" t="s">
        <v>1</v>
      </c>
      <c r="M456" s="291" t="s">
        <v>1</v>
      </c>
      <c r="N456" s="292" cm="1">
        <f t="array" aca="1" ref="N456" ca="1">INDIRECT("'"&amp;$C456&amp;"'!"&amp;"$"&amp;$D456&amp;$N$1&amp;"")</f>
        <v>6.5</v>
      </c>
      <c r="O456" s="293"/>
      <c r="P456" s="293">
        <v>0.97</v>
      </c>
      <c r="Q456" s="291">
        <v>1.62</v>
      </c>
      <c r="R456" s="292" cm="1">
        <f t="array" aca="1" ref="R456" ca="1">INDIRECT("'"&amp;$C456&amp;"'!"&amp;"$"&amp;$D456&amp;$R$1&amp;"")</f>
        <v>0</v>
      </c>
      <c r="S456" s="293"/>
      <c r="T456" s="293" t="s">
        <v>1</v>
      </c>
      <c r="U456" s="291" t="s">
        <v>1</v>
      </c>
      <c r="V456" s="292" t="str" cm="1">
        <f t="array" aca="1" ref="V456" ca="1">INDIRECT("'"&amp;$C456&amp;"'!"&amp;"$"&amp;$D456&amp;$V$1&amp;"")</f>
        <v>CMS</v>
      </c>
      <c r="W456" s="293" t="s">
        <v>1</v>
      </c>
      <c r="X456" s="293" t="s">
        <v>1</v>
      </c>
      <c r="Y456" s="294" t="s">
        <v>1</v>
      </c>
      <c r="Z456" s="386" cm="1">
        <f t="array" aca="1" ref="Z456" ca="1">INDIRECT("'"&amp;$C456&amp;"'!"&amp;"$"&amp;$D456&amp;$Z$1&amp;"")</f>
        <v>0</v>
      </c>
      <c r="AA456" s="292" t="s">
        <v>1</v>
      </c>
      <c r="AB456" s="293" t="s">
        <v>1</v>
      </c>
      <c r="AC456" s="291" t="s">
        <v>1</v>
      </c>
      <c r="AD456" s="292" cm="1">
        <f t="array" aca="1" ref="AD456" ca="1">INDIRECT("'"&amp;$C456&amp;"'!"&amp;"$"&amp;$D456&amp;$AD$1&amp;"")</f>
        <v>3.3</v>
      </c>
      <c r="AE456" s="293">
        <f>3.8*3.58</f>
        <v>13.603999999999999</v>
      </c>
      <c r="AF456" s="293">
        <v>0.99</v>
      </c>
      <c r="AG456" s="294">
        <v>0.98</v>
      </c>
      <c r="AH456" s="290" t="str" cm="1">
        <f t="array" aca="1" ref="AH456" ca="1">INDIRECT("'"&amp;$C456&amp;"'!"&amp;"$"&amp;$D456&amp;$AH$1&amp;"")</f>
        <v>CMS</v>
      </c>
      <c r="AI456" s="293" t="s">
        <v>1</v>
      </c>
      <c r="AJ456" s="293" t="s">
        <v>1</v>
      </c>
      <c r="AK456" s="291" t="s">
        <v>1</v>
      </c>
      <c r="AL456" s="290">
        <v>11.8</v>
      </c>
      <c r="AM456" s="294">
        <v>70.400000000000006</v>
      </c>
      <c r="AN456" s="290" cm="1">
        <f t="array" aca="1" ref="AN456" ca="1">INDIRECT("'"&amp;$C456&amp;"'!"&amp;"$"&amp;$D456&amp;$AL$1&amp;"")</f>
        <v>2</v>
      </c>
      <c r="AO456" s="293">
        <v>0.99</v>
      </c>
      <c r="AP456" s="291">
        <v>0.4</v>
      </c>
      <c r="AQ456" s="292" cm="1">
        <f t="array" aca="1" ref="AQ456" ca="1">INDIRECT("'"&amp;$C456&amp;"'!"&amp;"$"&amp;$D456&amp;$AQ$1&amp;"")</f>
        <v>3</v>
      </c>
      <c r="AR456" s="293">
        <v>0.99</v>
      </c>
      <c r="AS456" s="291">
        <v>0.4</v>
      </c>
      <c r="AT456" s="290">
        <v>14</v>
      </c>
      <c r="AU456" s="296">
        <v>71.41</v>
      </c>
      <c r="AV456" s="290" cm="1">
        <f t="array" aca="1" ref="AV456" ca="1">INDIRECT("'"&amp;$C456&amp;"'!"&amp;"$"&amp;$D456&amp;$AT$1&amp;"")</f>
        <v>12.58</v>
      </c>
      <c r="AW456" s="293">
        <v>1</v>
      </c>
      <c r="AX456" s="294">
        <v>1.1000000000000001</v>
      </c>
      <c r="AY456" s="386">
        <v>69</v>
      </c>
      <c r="AZ456" s="296" cm="1">
        <f t="array" aca="1" ref="AZ456" ca="1">INDIRECT("'"&amp;$C456&amp;"'!"&amp;"$"&amp;$D456&amp;$AY$1&amp;"")</f>
        <v>0</v>
      </c>
      <c r="BA456" s="293" t="s">
        <v>1</v>
      </c>
      <c r="BB456" s="291" t="s">
        <v>1</v>
      </c>
      <c r="BC456" s="292" cm="1">
        <f t="array" aca="1" ref="BC456" ca="1">INDIRECT("'"&amp;$C456&amp;"'!"&amp;"$"&amp;$D456&amp;$BC$1&amp;"")</f>
        <v>0.83</v>
      </c>
      <c r="BD456" s="293"/>
      <c r="BE456" s="293">
        <v>0.99</v>
      </c>
      <c r="BF456" s="291">
        <v>0.11</v>
      </c>
      <c r="BG456" s="292" cm="1">
        <f t="array" aca="1" ref="BG456" ca="1">INDIRECT("'"&amp;$C456&amp;"'!"&amp;"$"&amp;$D456&amp;$BG$1&amp;"")</f>
        <v>0.73</v>
      </c>
      <c r="BH456" s="293"/>
      <c r="BI456" s="293">
        <v>0.96</v>
      </c>
      <c r="BJ456" s="291">
        <v>0.19</v>
      </c>
      <c r="BK456" s="292" cm="1">
        <f t="array" aca="1" ref="BK456" ca="1">INDIRECT("'"&amp;$C456&amp;"'!"&amp;"$"&amp;$D456&amp;$BK$1&amp;"")</f>
        <v>4</v>
      </c>
      <c r="BL456" s="293"/>
      <c r="BM456" s="293">
        <v>0.95</v>
      </c>
      <c r="BN456" s="291">
        <v>1.3</v>
      </c>
    </row>
    <row r="457" spans="1:66" ht="15.75" thickBot="1" x14ac:dyDescent="0.25">
      <c r="A457" s="367">
        <v>45707</v>
      </c>
      <c r="B457" s="365">
        <v>8.3333333333333301E-2</v>
      </c>
      <c r="C457" s="383">
        <f t="shared" ref="C457:C478" si="7">C456</f>
        <v>19</v>
      </c>
      <c r="D457" s="319" t="s">
        <v>112</v>
      </c>
      <c r="E457" s="297">
        <v>14.3</v>
      </c>
      <c r="F457" s="298">
        <v>70.73</v>
      </c>
      <c r="G457" s="299" cm="1">
        <f t="array" aca="1" ref="G457" ca="1">INDIRECT("'"&amp;$C457&amp;"'!"&amp;"$"&amp;$D457&amp;$E$1&amp;"")</f>
        <v>6.7</v>
      </c>
      <c r="H457" s="300">
        <v>0.97</v>
      </c>
      <c r="I457" s="298">
        <v>1.69</v>
      </c>
      <c r="J457" s="299" cm="1">
        <f t="array" aca="1" ref="J457" ca="1">INDIRECT("'"&amp;$C457&amp;"'!"&amp;"$"&amp;$D457&amp;$J$1&amp;"")</f>
        <v>0</v>
      </c>
      <c r="K457" s="300"/>
      <c r="L457" s="300" t="s">
        <v>1</v>
      </c>
      <c r="M457" s="298" t="s">
        <v>1</v>
      </c>
      <c r="N457" s="299" cm="1">
        <f t="array" aca="1" ref="N457" ca="1">INDIRECT("'"&amp;$C457&amp;"'!"&amp;"$"&amp;$D457&amp;$N$1&amp;"")</f>
        <v>6.7</v>
      </c>
      <c r="O457" s="300"/>
      <c r="P457" s="300">
        <v>0.97</v>
      </c>
      <c r="Q457" s="298">
        <v>1.69</v>
      </c>
      <c r="R457" s="299" cm="1">
        <f t="array" aca="1" ref="R457" ca="1">INDIRECT("'"&amp;$C457&amp;"'!"&amp;"$"&amp;$D457&amp;$R$1&amp;"")</f>
        <v>0</v>
      </c>
      <c r="S457" s="300"/>
      <c r="T457" s="300" t="s">
        <v>1</v>
      </c>
      <c r="U457" s="298" t="s">
        <v>1</v>
      </c>
      <c r="V457" s="299" t="str" cm="1">
        <f t="array" aca="1" ref="V457" ca="1">INDIRECT("'"&amp;$C457&amp;"'!"&amp;"$"&amp;$D457&amp;$V$1&amp;"")</f>
        <v>CMS</v>
      </c>
      <c r="W457" s="300" t="s">
        <v>1</v>
      </c>
      <c r="X457" s="300" t="s">
        <v>1</v>
      </c>
      <c r="Y457" s="301" t="s">
        <v>1</v>
      </c>
      <c r="Z457" s="387" cm="1">
        <f t="array" aca="1" ref="Z457" ca="1">INDIRECT("'"&amp;$C457&amp;"'!"&amp;"$"&amp;$D457&amp;$Z$1&amp;"")</f>
        <v>0</v>
      </c>
      <c r="AA457" s="299" t="s">
        <v>1</v>
      </c>
      <c r="AB457" s="300" t="s">
        <v>1</v>
      </c>
      <c r="AC457" s="298" t="s">
        <v>1</v>
      </c>
      <c r="AD457" s="299" cm="1">
        <f t="array" aca="1" ref="AD457" ca="1">INDIRECT("'"&amp;$C457&amp;"'!"&amp;"$"&amp;$D457&amp;$AD$1&amp;"")</f>
        <v>3.3</v>
      </c>
      <c r="AE457" s="300">
        <f>3.8*3.61</f>
        <v>13.717999999999998</v>
      </c>
      <c r="AF457" s="300">
        <v>0.99</v>
      </c>
      <c r="AG457" s="301">
        <v>0.35</v>
      </c>
      <c r="AH457" s="297" t="str" cm="1">
        <f t="array" aca="1" ref="AH457" ca="1">INDIRECT("'"&amp;$C457&amp;"'!"&amp;"$"&amp;$D457&amp;$AH$1&amp;"")</f>
        <v>CMS</v>
      </c>
      <c r="AI457" s="300" t="s">
        <v>1</v>
      </c>
      <c r="AJ457" s="300" t="s">
        <v>1</v>
      </c>
      <c r="AK457" s="298" t="s">
        <v>1</v>
      </c>
      <c r="AL457" s="297">
        <v>11.8</v>
      </c>
      <c r="AM457" s="301">
        <v>70.7</v>
      </c>
      <c r="AN457" s="297" cm="1">
        <f t="array" aca="1" ref="AN457" ca="1">INDIRECT("'"&amp;$C457&amp;"'!"&amp;"$"&amp;$D457&amp;$AL$1&amp;"")</f>
        <v>0</v>
      </c>
      <c r="AO457" s="300" t="s">
        <v>1</v>
      </c>
      <c r="AP457" s="298" t="s">
        <v>1</v>
      </c>
      <c r="AQ457" s="299" cm="1">
        <f t="array" aca="1" ref="AQ457" ca="1">INDIRECT("'"&amp;$C457&amp;"'!"&amp;"$"&amp;$D457&amp;$AQ$1&amp;"")</f>
        <v>2.5</v>
      </c>
      <c r="AR457" s="300">
        <v>1</v>
      </c>
      <c r="AS457" s="298">
        <v>0.12</v>
      </c>
      <c r="AT457" s="297">
        <v>14.08</v>
      </c>
      <c r="AU457" s="303">
        <v>71.69</v>
      </c>
      <c r="AV457" s="297" cm="1">
        <f t="array" aca="1" ref="AV457" ca="1">INDIRECT("'"&amp;$C457&amp;"'!"&amp;"$"&amp;$D457&amp;$AT$1&amp;"")</f>
        <v>12.62</v>
      </c>
      <c r="AW457" s="300">
        <v>1</v>
      </c>
      <c r="AX457" s="301">
        <v>1.1000000000000001</v>
      </c>
      <c r="AY457" s="387">
        <v>69.599999999999994</v>
      </c>
      <c r="AZ457" s="303" cm="1">
        <f t="array" aca="1" ref="AZ457" ca="1">INDIRECT("'"&amp;$C457&amp;"'!"&amp;"$"&amp;$D457&amp;$AY$1&amp;"")</f>
        <v>0</v>
      </c>
      <c r="BA457" s="300" t="s">
        <v>1</v>
      </c>
      <c r="BB457" s="298" t="s">
        <v>1</v>
      </c>
      <c r="BC457" s="299" cm="1">
        <f t="array" aca="1" ref="BC457" ca="1">INDIRECT("'"&amp;$C457&amp;"'!"&amp;"$"&amp;$D457&amp;$BC$1&amp;"")</f>
        <v>0.82</v>
      </c>
      <c r="BD457" s="300"/>
      <c r="BE457" s="300">
        <v>0.99</v>
      </c>
      <c r="BF457" s="298">
        <v>0.1</v>
      </c>
      <c r="BG457" s="299" cm="1">
        <f t="array" aca="1" ref="BG457" ca="1">INDIRECT("'"&amp;$C457&amp;"'!"&amp;"$"&amp;$D457&amp;$BG$1&amp;"")</f>
        <v>0.71</v>
      </c>
      <c r="BH457" s="300"/>
      <c r="BI457" s="300">
        <v>0.96</v>
      </c>
      <c r="BJ457" s="298">
        <v>0.19</v>
      </c>
      <c r="BK457" s="299" cm="1">
        <f t="array" aca="1" ref="BK457" ca="1">INDIRECT("'"&amp;$C457&amp;"'!"&amp;"$"&amp;$D457&amp;$BK$1&amp;"")</f>
        <v>3.9000000000000004</v>
      </c>
      <c r="BL457" s="300"/>
      <c r="BM457" s="300">
        <v>0.95</v>
      </c>
      <c r="BN457" s="298">
        <v>1.2</v>
      </c>
    </row>
    <row r="458" spans="1:66" ht="15.75" thickBot="1" x14ac:dyDescent="0.25">
      <c r="A458" s="367">
        <v>45707</v>
      </c>
      <c r="B458" s="365">
        <v>0.125</v>
      </c>
      <c r="C458" s="383">
        <f t="shared" si="7"/>
        <v>19</v>
      </c>
      <c r="D458" s="319" t="s">
        <v>113</v>
      </c>
      <c r="E458" s="290">
        <v>14.2</v>
      </c>
      <c r="F458" s="291">
        <v>70.47</v>
      </c>
      <c r="G458" s="292" cm="1">
        <f t="array" aca="1" ref="G458" ca="1">INDIRECT("'"&amp;$C458&amp;"'!"&amp;"$"&amp;$D458&amp;$E$1&amp;"")</f>
        <v>6.4</v>
      </c>
      <c r="H458" s="293">
        <v>0.98</v>
      </c>
      <c r="I458" s="291">
        <v>1.42</v>
      </c>
      <c r="J458" s="292" cm="1">
        <f t="array" aca="1" ref="J458" ca="1">INDIRECT("'"&amp;$C458&amp;"'!"&amp;"$"&amp;$D458&amp;$J$1&amp;"")</f>
        <v>0</v>
      </c>
      <c r="K458" s="293"/>
      <c r="L458" s="293" t="s">
        <v>1</v>
      </c>
      <c r="M458" s="291" t="s">
        <v>1</v>
      </c>
      <c r="N458" s="292" cm="1">
        <f t="array" aca="1" ref="N458" ca="1">INDIRECT("'"&amp;$C458&amp;"'!"&amp;"$"&amp;$D458&amp;$N$1&amp;"")</f>
        <v>6.4</v>
      </c>
      <c r="O458" s="293"/>
      <c r="P458" s="293">
        <v>0.98</v>
      </c>
      <c r="Q458" s="291">
        <v>1.42</v>
      </c>
      <c r="R458" s="292" cm="1">
        <f t="array" aca="1" ref="R458" ca="1">INDIRECT("'"&amp;$C458&amp;"'!"&amp;"$"&amp;$D458&amp;$R$1&amp;"")</f>
        <v>0</v>
      </c>
      <c r="S458" s="293"/>
      <c r="T458" s="293" t="s">
        <v>1</v>
      </c>
      <c r="U458" s="291" t="s">
        <v>1</v>
      </c>
      <c r="V458" s="292" t="str" cm="1">
        <f t="array" aca="1" ref="V458" ca="1">INDIRECT("'"&amp;$C458&amp;"'!"&amp;"$"&amp;$D458&amp;$V$1&amp;"")</f>
        <v>CMS</v>
      </c>
      <c r="W458" s="293" t="s">
        <v>1</v>
      </c>
      <c r="X458" s="293" t="s">
        <v>1</v>
      </c>
      <c r="Y458" s="294" t="s">
        <v>1</v>
      </c>
      <c r="Z458" s="386" cm="1">
        <f t="array" aca="1" ref="Z458" ca="1">INDIRECT("'"&amp;$C458&amp;"'!"&amp;"$"&amp;$D458&amp;$Z$1&amp;"")</f>
        <v>0</v>
      </c>
      <c r="AA458" s="292" t="s">
        <v>1</v>
      </c>
      <c r="AB458" s="293" t="s">
        <v>1</v>
      </c>
      <c r="AC458" s="291" t="s">
        <v>1</v>
      </c>
      <c r="AD458" s="292" cm="1">
        <f t="array" aca="1" ref="AD458" ca="1">INDIRECT("'"&amp;$C458&amp;"'!"&amp;"$"&amp;$D458&amp;$AD$1&amp;"")</f>
        <v>2.9</v>
      </c>
      <c r="AE458" s="293">
        <f>3.8*3.61</f>
        <v>13.717999999999998</v>
      </c>
      <c r="AF458" s="293">
        <v>0.99</v>
      </c>
      <c r="AG458" s="294">
        <v>0.95</v>
      </c>
      <c r="AH458" s="290" t="str" cm="1">
        <f t="array" aca="1" ref="AH458" ca="1">INDIRECT("'"&amp;$C458&amp;"'!"&amp;"$"&amp;$D458&amp;$AH$1&amp;"")</f>
        <v>CMS</v>
      </c>
      <c r="AI458" s="293" t="s">
        <v>1</v>
      </c>
      <c r="AJ458" s="293" t="s">
        <v>1</v>
      </c>
      <c r="AK458" s="291" t="s">
        <v>1</v>
      </c>
      <c r="AL458" s="290">
        <v>11.8</v>
      </c>
      <c r="AM458" s="294">
        <v>70.5</v>
      </c>
      <c r="AN458" s="290" cm="1">
        <f t="array" aca="1" ref="AN458" ca="1">INDIRECT("'"&amp;$C458&amp;"'!"&amp;"$"&amp;$D458&amp;$AL$1&amp;"")</f>
        <v>0</v>
      </c>
      <c r="AO458" s="293" t="s">
        <v>1</v>
      </c>
      <c r="AP458" s="291" t="s">
        <v>1</v>
      </c>
      <c r="AQ458" s="292" cm="1">
        <f t="array" aca="1" ref="AQ458" ca="1">INDIRECT("'"&amp;$C458&amp;"'!"&amp;"$"&amp;$D458&amp;$AQ$1&amp;"")</f>
        <v>2.4</v>
      </c>
      <c r="AR458" s="293">
        <v>1</v>
      </c>
      <c r="AS458" s="291">
        <v>0.21</v>
      </c>
      <c r="AT458" s="290">
        <v>14.08</v>
      </c>
      <c r="AU458" s="296">
        <v>71.73</v>
      </c>
      <c r="AV458" s="290" cm="1">
        <f t="array" aca="1" ref="AV458" ca="1">INDIRECT("'"&amp;$C458&amp;"'!"&amp;"$"&amp;$D458&amp;$AT$1&amp;"")</f>
        <v>12.55</v>
      </c>
      <c r="AW458" s="293">
        <v>1</v>
      </c>
      <c r="AX458" s="294">
        <v>1.1000000000000001</v>
      </c>
      <c r="AY458" s="386">
        <v>69.599999999999994</v>
      </c>
      <c r="AZ458" s="296" cm="1">
        <f t="array" aca="1" ref="AZ458" ca="1">INDIRECT("'"&amp;$C458&amp;"'!"&amp;"$"&amp;$D458&amp;$AY$1&amp;"")</f>
        <v>0</v>
      </c>
      <c r="BA458" s="293" t="s">
        <v>1</v>
      </c>
      <c r="BB458" s="291" t="s">
        <v>1</v>
      </c>
      <c r="BC458" s="292" cm="1">
        <f t="array" aca="1" ref="BC458" ca="1">INDIRECT("'"&amp;$C458&amp;"'!"&amp;"$"&amp;$D458&amp;$BC$1&amp;"")</f>
        <v>0.8</v>
      </c>
      <c r="BD458" s="293"/>
      <c r="BE458" s="293">
        <v>0.99</v>
      </c>
      <c r="BF458" s="291">
        <v>0.1</v>
      </c>
      <c r="BG458" s="292" cm="1">
        <f t="array" aca="1" ref="BG458" ca="1">INDIRECT("'"&amp;$C458&amp;"'!"&amp;"$"&amp;$D458&amp;$BG$1&amp;"")</f>
        <v>0.69</v>
      </c>
      <c r="BH458" s="293"/>
      <c r="BI458" s="293">
        <v>0.96</v>
      </c>
      <c r="BJ458" s="291">
        <v>0.18</v>
      </c>
      <c r="BK458" s="292" cm="1">
        <f t="array" aca="1" ref="BK458" ca="1">INDIRECT("'"&amp;$C458&amp;"'!"&amp;"$"&amp;$D458&amp;$BK$1&amp;"")</f>
        <v>3.7</v>
      </c>
      <c r="BL458" s="293"/>
      <c r="BM458" s="293">
        <v>0.95</v>
      </c>
      <c r="BN458" s="291">
        <v>1.2</v>
      </c>
    </row>
    <row r="459" spans="1:66" ht="15.75" thickBot="1" x14ac:dyDescent="0.25">
      <c r="A459" s="367">
        <v>45707</v>
      </c>
      <c r="B459" s="365">
        <v>0.16666666666666699</v>
      </c>
      <c r="C459" s="383">
        <f t="shared" si="7"/>
        <v>19</v>
      </c>
      <c r="D459" s="319" t="s">
        <v>114</v>
      </c>
      <c r="E459" s="297">
        <v>14.2</v>
      </c>
      <c r="F459" s="298">
        <v>70.260000000000005</v>
      </c>
      <c r="G459" s="299" cm="1">
        <f t="array" aca="1" ref="G459" ca="1">INDIRECT("'"&amp;$C459&amp;"'!"&amp;"$"&amp;$D459&amp;$E$1&amp;"")</f>
        <v>6.5</v>
      </c>
      <c r="H459" s="300">
        <v>0.98</v>
      </c>
      <c r="I459" s="298">
        <v>1.47</v>
      </c>
      <c r="J459" s="299" cm="1">
        <f t="array" aca="1" ref="J459" ca="1">INDIRECT("'"&amp;$C459&amp;"'!"&amp;"$"&amp;$D459&amp;$J$1&amp;"")</f>
        <v>0</v>
      </c>
      <c r="K459" s="300"/>
      <c r="L459" s="300" t="s">
        <v>1</v>
      </c>
      <c r="M459" s="298" t="s">
        <v>1</v>
      </c>
      <c r="N459" s="299" cm="1">
        <f t="array" aca="1" ref="N459" ca="1">INDIRECT("'"&amp;$C459&amp;"'!"&amp;"$"&amp;$D459&amp;$N$1&amp;"")</f>
        <v>6.5</v>
      </c>
      <c r="O459" s="300"/>
      <c r="P459" s="300">
        <v>0.98</v>
      </c>
      <c r="Q459" s="298">
        <v>1.47</v>
      </c>
      <c r="R459" s="299" cm="1">
        <f t="array" aca="1" ref="R459" ca="1">INDIRECT("'"&amp;$C459&amp;"'!"&amp;"$"&amp;$D459&amp;$R$1&amp;"")</f>
        <v>0</v>
      </c>
      <c r="S459" s="300"/>
      <c r="T459" s="300" t="s">
        <v>1</v>
      </c>
      <c r="U459" s="298" t="s">
        <v>1</v>
      </c>
      <c r="V459" s="299" t="str" cm="1">
        <f t="array" aca="1" ref="V459" ca="1">INDIRECT("'"&amp;$C459&amp;"'!"&amp;"$"&amp;$D459&amp;$V$1&amp;"")</f>
        <v>CMS</v>
      </c>
      <c r="W459" s="300" t="s">
        <v>1</v>
      </c>
      <c r="X459" s="300" t="s">
        <v>1</v>
      </c>
      <c r="Y459" s="301" t="s">
        <v>1</v>
      </c>
      <c r="Z459" s="387" cm="1">
        <f t="array" aca="1" ref="Z459" ca="1">INDIRECT("'"&amp;$C459&amp;"'!"&amp;"$"&amp;$D459&amp;$Z$1&amp;"")</f>
        <v>0</v>
      </c>
      <c r="AA459" s="299" t="s">
        <v>1</v>
      </c>
      <c r="AB459" s="300" t="s">
        <v>1</v>
      </c>
      <c r="AC459" s="298" t="s">
        <v>1</v>
      </c>
      <c r="AD459" s="299" cm="1">
        <f t="array" aca="1" ref="AD459" ca="1">INDIRECT("'"&amp;$C459&amp;"'!"&amp;"$"&amp;$D459&amp;$AD$1&amp;"")</f>
        <v>2.6</v>
      </c>
      <c r="AE459" s="300">
        <f>3.8*3.6</f>
        <v>13.68</v>
      </c>
      <c r="AF459" s="300">
        <v>0.99</v>
      </c>
      <c r="AG459" s="301">
        <v>0.22</v>
      </c>
      <c r="AH459" s="297" t="str" cm="1">
        <f t="array" aca="1" ref="AH459" ca="1">INDIRECT("'"&amp;$C459&amp;"'!"&amp;"$"&amp;$D459&amp;$AH$1&amp;"")</f>
        <v>CMS</v>
      </c>
      <c r="AI459" s="300" t="s">
        <v>1</v>
      </c>
      <c r="AJ459" s="300" t="s">
        <v>1</v>
      </c>
      <c r="AK459" s="298" t="s">
        <v>1</v>
      </c>
      <c r="AL459" s="297">
        <v>11.8</v>
      </c>
      <c r="AM459" s="301">
        <v>70.5</v>
      </c>
      <c r="AN459" s="297" cm="1">
        <f t="array" aca="1" ref="AN459" ca="1">INDIRECT("'"&amp;$C459&amp;"'!"&amp;"$"&amp;$D459&amp;$AL$1&amp;"")</f>
        <v>0</v>
      </c>
      <c r="AO459" s="300" t="s">
        <v>1</v>
      </c>
      <c r="AP459" s="298" t="s">
        <v>1</v>
      </c>
      <c r="AQ459" s="299" cm="1">
        <f t="array" aca="1" ref="AQ459" ca="1">INDIRECT("'"&amp;$C459&amp;"'!"&amp;"$"&amp;$D459&amp;$AQ$1&amp;"")</f>
        <v>2.4</v>
      </c>
      <c r="AR459" s="300">
        <v>1</v>
      </c>
      <c r="AS459" s="298">
        <v>0.25</v>
      </c>
      <c r="AT459" s="297">
        <v>14.04</v>
      </c>
      <c r="AU459" s="303">
        <v>71.58</v>
      </c>
      <c r="AV459" s="297" cm="1">
        <f t="array" aca="1" ref="AV459" ca="1">INDIRECT("'"&amp;$C459&amp;"'!"&amp;"$"&amp;$D459&amp;$AT$1&amp;"")</f>
        <v>12.54</v>
      </c>
      <c r="AW459" s="300">
        <v>1</v>
      </c>
      <c r="AX459" s="301">
        <v>1.1000000000000001</v>
      </c>
      <c r="AY459" s="387">
        <v>69.5</v>
      </c>
      <c r="AZ459" s="303" cm="1">
        <f t="array" aca="1" ref="AZ459" ca="1">INDIRECT("'"&amp;$C459&amp;"'!"&amp;"$"&amp;$D459&amp;$AY$1&amp;"")</f>
        <v>0</v>
      </c>
      <c r="BA459" s="300" t="s">
        <v>1</v>
      </c>
      <c r="BB459" s="298" t="s">
        <v>1</v>
      </c>
      <c r="BC459" s="299" cm="1">
        <f t="array" aca="1" ref="BC459" ca="1">INDIRECT("'"&amp;$C459&amp;"'!"&amp;"$"&amp;$D459&amp;$BC$1&amp;"")</f>
        <v>0.79</v>
      </c>
      <c r="BD459" s="300"/>
      <c r="BE459" s="300">
        <v>0.99</v>
      </c>
      <c r="BF459" s="298">
        <v>0.09</v>
      </c>
      <c r="BG459" s="299" cm="1">
        <f t="array" aca="1" ref="BG459" ca="1">INDIRECT("'"&amp;$C459&amp;"'!"&amp;"$"&amp;$D459&amp;$BG$1&amp;"")</f>
        <v>0.68</v>
      </c>
      <c r="BH459" s="300"/>
      <c r="BI459" s="300">
        <v>0.96</v>
      </c>
      <c r="BJ459" s="298">
        <v>0.18</v>
      </c>
      <c r="BK459" s="299" cm="1">
        <f t="array" aca="1" ref="BK459" ca="1">INDIRECT("'"&amp;$C459&amp;"'!"&amp;"$"&amp;$D459&amp;$BK$1&amp;"")</f>
        <v>3.8</v>
      </c>
      <c r="BL459" s="300"/>
      <c r="BM459" s="300">
        <v>0.95</v>
      </c>
      <c r="BN459" s="298">
        <v>1.2</v>
      </c>
    </row>
    <row r="460" spans="1:66" ht="15.75" thickBot="1" x14ac:dyDescent="0.25">
      <c r="A460" s="367">
        <v>45707</v>
      </c>
      <c r="B460" s="365">
        <v>0.20833333333333301</v>
      </c>
      <c r="C460" s="383">
        <f t="shared" si="7"/>
        <v>19</v>
      </c>
      <c r="D460" s="319" t="s">
        <v>115</v>
      </c>
      <c r="E460" s="290">
        <v>14.1</v>
      </c>
      <c r="F460" s="291">
        <v>69.17</v>
      </c>
      <c r="G460" s="292" cm="1">
        <f t="array" aca="1" ref="G460" ca="1">INDIRECT("'"&amp;$C460&amp;"'!"&amp;"$"&amp;$D460&amp;$E$1&amp;"")</f>
        <v>6.8</v>
      </c>
      <c r="H460" s="293">
        <v>0.98</v>
      </c>
      <c r="I460" s="291">
        <v>1.54</v>
      </c>
      <c r="J460" s="292" cm="1">
        <f t="array" aca="1" ref="J460" ca="1">INDIRECT("'"&amp;$C460&amp;"'!"&amp;"$"&amp;$D460&amp;$J$1&amp;"")</f>
        <v>0</v>
      </c>
      <c r="K460" s="293"/>
      <c r="L460" s="293" t="s">
        <v>1</v>
      </c>
      <c r="M460" s="291" t="s">
        <v>1</v>
      </c>
      <c r="N460" s="292" cm="1">
        <f t="array" aca="1" ref="N460" ca="1">INDIRECT("'"&amp;$C460&amp;"'!"&amp;"$"&amp;$D460&amp;$N$1&amp;"")</f>
        <v>6.8</v>
      </c>
      <c r="O460" s="293"/>
      <c r="P460" s="293">
        <v>0.98</v>
      </c>
      <c r="Q460" s="291">
        <v>1.54</v>
      </c>
      <c r="R460" s="292" cm="1">
        <f t="array" aca="1" ref="R460" ca="1">INDIRECT("'"&amp;$C460&amp;"'!"&amp;"$"&amp;$D460&amp;$R$1&amp;"")</f>
        <v>0</v>
      </c>
      <c r="S460" s="293"/>
      <c r="T460" s="293" t="s">
        <v>1</v>
      </c>
      <c r="U460" s="291" t="s">
        <v>1</v>
      </c>
      <c r="V460" s="292" t="str" cm="1">
        <f t="array" aca="1" ref="V460" ca="1">INDIRECT("'"&amp;$C460&amp;"'!"&amp;"$"&amp;$D460&amp;$V$1&amp;"")</f>
        <v>CMS</v>
      </c>
      <c r="W460" s="293" t="s">
        <v>1</v>
      </c>
      <c r="X460" s="293" t="s">
        <v>1</v>
      </c>
      <c r="Y460" s="294" t="s">
        <v>1</v>
      </c>
      <c r="Z460" s="386" cm="1">
        <f t="array" aca="1" ref="Z460" ca="1">INDIRECT("'"&amp;$C460&amp;"'!"&amp;"$"&amp;$D460&amp;$Z$1&amp;"")</f>
        <v>0</v>
      </c>
      <c r="AA460" s="292" t="s">
        <v>1</v>
      </c>
      <c r="AB460" s="293" t="s">
        <v>1</v>
      </c>
      <c r="AC460" s="291" t="s">
        <v>1</v>
      </c>
      <c r="AD460" s="292" cm="1">
        <f t="array" aca="1" ref="AD460" ca="1">INDIRECT("'"&amp;$C460&amp;"'!"&amp;"$"&amp;$D460&amp;$AD$1&amp;"")</f>
        <v>3.3</v>
      </c>
      <c r="AE460" s="293">
        <f>3.8*3.59</f>
        <v>13.641999999999999</v>
      </c>
      <c r="AF460" s="293">
        <v>0.99</v>
      </c>
      <c r="AG460" s="294">
        <v>0.37</v>
      </c>
      <c r="AH460" s="290" t="str" cm="1">
        <f t="array" aca="1" ref="AH460" ca="1">INDIRECT("'"&amp;$C460&amp;"'!"&amp;"$"&amp;$D460&amp;$AH$1&amp;"")</f>
        <v>CMS</v>
      </c>
      <c r="AI460" s="293" t="s">
        <v>1</v>
      </c>
      <c r="AJ460" s="293" t="s">
        <v>1</v>
      </c>
      <c r="AK460" s="291" t="s">
        <v>1</v>
      </c>
      <c r="AL460" s="290">
        <v>11.8</v>
      </c>
      <c r="AM460" s="294">
        <v>70.099999999999994</v>
      </c>
      <c r="AN460" s="290" cm="1">
        <f t="array" aca="1" ref="AN460" ca="1">INDIRECT("'"&amp;$C460&amp;"'!"&amp;"$"&amp;$D460&amp;$AL$1&amp;"")</f>
        <v>0</v>
      </c>
      <c r="AO460" s="293" t="s">
        <v>1</v>
      </c>
      <c r="AP460" s="291" t="s">
        <v>1</v>
      </c>
      <c r="AQ460" s="292" cm="1">
        <f t="array" aca="1" ref="AQ460" ca="1">INDIRECT("'"&amp;$C460&amp;"'!"&amp;"$"&amp;$D460&amp;$AQ$1&amp;"")</f>
        <v>3</v>
      </c>
      <c r="AR460" s="293">
        <v>1</v>
      </c>
      <c r="AS460" s="291">
        <v>0.5</v>
      </c>
      <c r="AT460" s="290">
        <v>14.04</v>
      </c>
      <c r="AU460" s="296">
        <v>71.58</v>
      </c>
      <c r="AV460" s="290" cm="1">
        <f t="array" aca="1" ref="AV460" ca="1">INDIRECT("'"&amp;$C460&amp;"'!"&amp;"$"&amp;$D460&amp;$AT$1&amp;"")</f>
        <v>12.54</v>
      </c>
      <c r="AW460" s="293">
        <v>1</v>
      </c>
      <c r="AX460" s="294">
        <v>1.1000000000000001</v>
      </c>
      <c r="AY460" s="386">
        <v>69.099999999999994</v>
      </c>
      <c r="AZ460" s="296" cm="1">
        <f t="array" aca="1" ref="AZ460" ca="1">INDIRECT("'"&amp;$C460&amp;"'!"&amp;"$"&amp;$D460&amp;$AY$1&amp;"")</f>
        <v>0</v>
      </c>
      <c r="BA460" s="293" t="s">
        <v>1</v>
      </c>
      <c r="BB460" s="291" t="s">
        <v>1</v>
      </c>
      <c r="BC460" s="292" cm="1">
        <f t="array" aca="1" ref="BC460" ca="1">INDIRECT("'"&amp;$C460&amp;"'!"&amp;"$"&amp;$D460&amp;$BC$1&amp;"")</f>
        <v>0.85</v>
      </c>
      <c r="BD460" s="293"/>
      <c r="BE460" s="293">
        <v>0.99</v>
      </c>
      <c r="BF460" s="291">
        <v>0.08</v>
      </c>
      <c r="BG460" s="292" cm="1">
        <f t="array" aca="1" ref="BG460" ca="1">INDIRECT("'"&amp;$C460&amp;"'!"&amp;"$"&amp;$D460&amp;$BG$1&amp;"")</f>
        <v>0.68</v>
      </c>
      <c r="BH460" s="293"/>
      <c r="BI460" s="293">
        <v>0.96</v>
      </c>
      <c r="BJ460" s="291">
        <v>0.18</v>
      </c>
      <c r="BK460" s="292" cm="1">
        <f t="array" aca="1" ref="BK460" ca="1">INDIRECT("'"&amp;$C460&amp;"'!"&amp;"$"&amp;$D460&amp;$BK$1&amp;"")</f>
        <v>3.9000000000000004</v>
      </c>
      <c r="BL460" s="293"/>
      <c r="BM460" s="293">
        <v>0.95</v>
      </c>
      <c r="BN460" s="291">
        <v>1.2</v>
      </c>
    </row>
    <row r="461" spans="1:66" ht="15.75" thickBot="1" x14ac:dyDescent="0.25">
      <c r="A461" s="367">
        <v>45707</v>
      </c>
      <c r="B461" s="365">
        <v>0.25</v>
      </c>
      <c r="C461" s="383">
        <f t="shared" si="7"/>
        <v>19</v>
      </c>
      <c r="D461" s="319" t="s">
        <v>116</v>
      </c>
      <c r="E461" s="297">
        <v>14.1</v>
      </c>
      <c r="F461" s="298">
        <v>69.44</v>
      </c>
      <c r="G461" s="299" cm="1">
        <f t="array" aca="1" ref="G461" ca="1">INDIRECT("'"&amp;$C461&amp;"'!"&amp;"$"&amp;$D461&amp;$E$1&amp;"")</f>
        <v>5</v>
      </c>
      <c r="H461" s="300">
        <v>0.96</v>
      </c>
      <c r="I461" s="298">
        <v>1.43</v>
      </c>
      <c r="J461" s="299" cm="1">
        <f t="array" aca="1" ref="J461" ca="1">INDIRECT("'"&amp;$C461&amp;"'!"&amp;"$"&amp;$D461&amp;$J$1&amp;"")</f>
        <v>3.5</v>
      </c>
      <c r="K461" s="300"/>
      <c r="L461" s="300">
        <v>0.96</v>
      </c>
      <c r="M461" s="298">
        <v>1.01</v>
      </c>
      <c r="N461" s="299" cm="1">
        <f t="array" aca="1" ref="N461" ca="1">INDIRECT("'"&amp;$C461&amp;"'!"&amp;"$"&amp;$D461&amp;$N$1&amp;"")</f>
        <v>5</v>
      </c>
      <c r="O461" s="300"/>
      <c r="P461" s="300">
        <v>0.96</v>
      </c>
      <c r="Q461" s="298">
        <v>1.43</v>
      </c>
      <c r="R461" s="299" cm="1">
        <f t="array" aca="1" ref="R461" ca="1">INDIRECT("'"&amp;$C461&amp;"'!"&amp;"$"&amp;$D461&amp;$R$1&amp;"")</f>
        <v>0</v>
      </c>
      <c r="S461" s="300"/>
      <c r="T461" s="300" t="s">
        <v>1</v>
      </c>
      <c r="U461" s="298" t="s">
        <v>1</v>
      </c>
      <c r="V461" s="299" t="str" cm="1">
        <f t="array" aca="1" ref="V461" ca="1">INDIRECT("'"&amp;$C461&amp;"'!"&amp;"$"&amp;$D461&amp;$V$1&amp;"")</f>
        <v>CMS</v>
      </c>
      <c r="W461" s="300" t="s">
        <v>1</v>
      </c>
      <c r="X461" s="300" t="s">
        <v>1</v>
      </c>
      <c r="Y461" s="301" t="s">
        <v>1</v>
      </c>
      <c r="Z461" s="387" cm="1">
        <f t="array" aca="1" ref="Z461" ca="1">INDIRECT("'"&amp;$C461&amp;"'!"&amp;"$"&amp;$D461&amp;$Z$1&amp;"")</f>
        <v>0</v>
      </c>
      <c r="AA461" s="299" t="s">
        <v>1</v>
      </c>
      <c r="AB461" s="300" t="s">
        <v>1</v>
      </c>
      <c r="AC461" s="298" t="s">
        <v>1</v>
      </c>
      <c r="AD461" s="299" cm="1">
        <f t="array" aca="1" ref="AD461" ca="1">INDIRECT("'"&amp;$C461&amp;"'!"&amp;"$"&amp;$D461&amp;$AD$1&amp;"")</f>
        <v>3.3</v>
      </c>
      <c r="AE461" s="300">
        <f>3.8*3.57</f>
        <v>13.565999999999999</v>
      </c>
      <c r="AF461" s="300">
        <v>0.99</v>
      </c>
      <c r="AG461" s="301">
        <v>0.38</v>
      </c>
      <c r="AH461" s="297" cm="1">
        <f t="array" aca="1" ref="AH461" ca="1">INDIRECT("'"&amp;$C461&amp;"'!"&amp;"$"&amp;$D461&amp;$AH$1&amp;"")</f>
        <v>0</v>
      </c>
      <c r="AI461" s="300" t="s">
        <v>1</v>
      </c>
      <c r="AJ461" s="300" t="s">
        <v>1</v>
      </c>
      <c r="AK461" s="298" t="s">
        <v>1</v>
      </c>
      <c r="AL461" s="297">
        <v>11.8</v>
      </c>
      <c r="AM461" s="301">
        <v>70.5</v>
      </c>
      <c r="AN461" s="297" cm="1">
        <f t="array" aca="1" ref="AN461" ca="1">INDIRECT("'"&amp;$C461&amp;"'!"&amp;"$"&amp;$D461&amp;$AL$1&amp;"")</f>
        <v>0</v>
      </c>
      <c r="AO461" s="300" t="s">
        <v>1</v>
      </c>
      <c r="AP461" s="298" t="s">
        <v>1</v>
      </c>
      <c r="AQ461" s="299" cm="1">
        <f t="array" aca="1" ref="AQ461" ca="1">INDIRECT("'"&amp;$C461&amp;"'!"&amp;"$"&amp;$D461&amp;$AQ$1&amp;"")</f>
        <v>3.8</v>
      </c>
      <c r="AR461" s="300">
        <v>1</v>
      </c>
      <c r="AS461" s="298">
        <v>0.05</v>
      </c>
      <c r="AT461" s="297">
        <v>13.95</v>
      </c>
      <c r="AU461" s="301">
        <v>70.930000000000007</v>
      </c>
      <c r="AV461" s="297" cm="1">
        <f t="array" aca="1" ref="AV461" ca="1">INDIRECT("'"&amp;$C461&amp;"'!"&amp;"$"&amp;$D461&amp;$AT$1&amp;"")</f>
        <v>14.15</v>
      </c>
      <c r="AW461" s="300">
        <v>1</v>
      </c>
      <c r="AX461" s="301">
        <v>1.1000000000000001</v>
      </c>
      <c r="AY461" s="387">
        <v>68.599999999999994</v>
      </c>
      <c r="AZ461" s="303" cm="1">
        <f t="array" aca="1" ref="AZ461" ca="1">INDIRECT("'"&amp;$C461&amp;"'!"&amp;"$"&amp;$D461&amp;$AY$1&amp;"")</f>
        <v>0.7</v>
      </c>
      <c r="BA461" s="300">
        <v>0.98</v>
      </c>
      <c r="BB461" s="298">
        <v>0.14000000000000001</v>
      </c>
      <c r="BC461" s="299" cm="1">
        <f t="array" aca="1" ref="BC461" ca="1">INDIRECT("'"&amp;$C461&amp;"'!"&amp;"$"&amp;$D461&amp;$BC$1&amp;"")</f>
        <v>1.06</v>
      </c>
      <c r="BD461" s="300"/>
      <c r="BE461" s="300">
        <v>0.99</v>
      </c>
      <c r="BF461" s="298">
        <v>0.1</v>
      </c>
      <c r="BG461" s="299" cm="1">
        <f t="array" aca="1" ref="BG461" ca="1">INDIRECT("'"&amp;$C461&amp;"'!"&amp;"$"&amp;$D461&amp;$BG$1&amp;"")</f>
        <v>0.78</v>
      </c>
      <c r="BH461" s="300"/>
      <c r="BI461" s="300">
        <v>0.97</v>
      </c>
      <c r="BJ461" s="298">
        <v>0.19</v>
      </c>
      <c r="BK461" s="299" cm="1">
        <f t="array" aca="1" ref="BK461" ca="1">INDIRECT("'"&amp;$C461&amp;"'!"&amp;"$"&amp;$D461&amp;$BK$1&amp;"")</f>
        <v>4.2</v>
      </c>
      <c r="BL461" s="300"/>
      <c r="BM461" s="300">
        <v>0.95</v>
      </c>
      <c r="BN461" s="298">
        <v>1.3</v>
      </c>
    </row>
    <row r="462" spans="1:66" ht="15.75" thickBot="1" x14ac:dyDescent="0.25">
      <c r="A462" s="367">
        <v>45707</v>
      </c>
      <c r="B462" s="365">
        <v>0.29166666666666702</v>
      </c>
      <c r="C462" s="383">
        <f t="shared" si="7"/>
        <v>19</v>
      </c>
      <c r="D462" s="319" t="s">
        <v>117</v>
      </c>
      <c r="E462" s="290">
        <v>14</v>
      </c>
      <c r="F462" s="291">
        <v>69.319999999999993</v>
      </c>
      <c r="G462" s="292" cm="1">
        <f t="array" aca="1" ref="G462" ca="1">INDIRECT("'"&amp;$C462&amp;"'!"&amp;"$"&amp;$D462&amp;$E$1&amp;"")</f>
        <v>6.4</v>
      </c>
      <c r="H462" s="293">
        <v>0.96</v>
      </c>
      <c r="I462" s="291">
        <v>1.88</v>
      </c>
      <c r="J462" s="292" cm="1">
        <f t="array" aca="1" ref="J462" ca="1">INDIRECT("'"&amp;$C462&amp;"'!"&amp;"$"&amp;$D462&amp;$J$1&amp;"")</f>
        <v>0</v>
      </c>
      <c r="K462" s="293"/>
      <c r="L462" s="293" t="s">
        <v>1</v>
      </c>
      <c r="M462" s="291" t="s">
        <v>1</v>
      </c>
      <c r="N462" s="292" cm="1">
        <f t="array" aca="1" ref="N462" ca="1">INDIRECT("'"&amp;$C462&amp;"'!"&amp;"$"&amp;$D462&amp;$N$1&amp;"")</f>
        <v>6.4</v>
      </c>
      <c r="O462" s="293"/>
      <c r="P462" s="293">
        <v>0.96</v>
      </c>
      <c r="Q462" s="291">
        <v>1.88</v>
      </c>
      <c r="R462" s="292" cm="1">
        <f t="array" aca="1" ref="R462" ca="1">INDIRECT("'"&amp;$C462&amp;"'!"&amp;"$"&amp;$D462&amp;$R$1&amp;"")</f>
        <v>0</v>
      </c>
      <c r="S462" s="293"/>
      <c r="T462" s="293" t="s">
        <v>1</v>
      </c>
      <c r="U462" s="291" t="s">
        <v>1</v>
      </c>
      <c r="V462" s="292" t="str" cm="1">
        <f t="array" aca="1" ref="V462" ca="1">INDIRECT("'"&amp;$C462&amp;"'!"&amp;"$"&amp;$D462&amp;$V$1&amp;"")</f>
        <v>CMS</v>
      </c>
      <c r="W462" s="293" t="s">
        <v>1</v>
      </c>
      <c r="X462" s="293" t="s">
        <v>1</v>
      </c>
      <c r="Y462" s="294" t="s">
        <v>1</v>
      </c>
      <c r="Z462" s="386" cm="1">
        <f t="array" aca="1" ref="Z462" ca="1">INDIRECT("'"&amp;$C462&amp;"'!"&amp;"$"&amp;$D462&amp;$Z$1&amp;"")</f>
        <v>0</v>
      </c>
      <c r="AA462" s="292" t="s">
        <v>1</v>
      </c>
      <c r="AB462" s="293" t="s">
        <v>1</v>
      </c>
      <c r="AC462" s="291" t="s">
        <v>1</v>
      </c>
      <c r="AD462" s="292" cm="1">
        <f t="array" aca="1" ref="AD462" ca="1">INDIRECT("'"&amp;$C462&amp;"'!"&amp;"$"&amp;$D462&amp;$AD$1&amp;"")</f>
        <v>3.3</v>
      </c>
      <c r="AE462" s="293">
        <f>3.56*3.8</f>
        <v>13.527999999999999</v>
      </c>
      <c r="AF462" s="293">
        <v>0.94</v>
      </c>
      <c r="AG462" s="294">
        <v>0.35</v>
      </c>
      <c r="AH462" s="290" cm="1">
        <f t="array" aca="1" ref="AH462" ca="1">INDIRECT("'"&amp;$C462&amp;"'!"&amp;"$"&amp;$D462&amp;$AH$1&amp;"")</f>
        <v>0</v>
      </c>
      <c r="AI462" s="293" t="s">
        <v>1</v>
      </c>
      <c r="AJ462" s="293" t="s">
        <v>1</v>
      </c>
      <c r="AK462" s="291" t="s">
        <v>1</v>
      </c>
      <c r="AL462" s="290">
        <v>11.8</v>
      </c>
      <c r="AM462" s="294">
        <v>69.8</v>
      </c>
      <c r="AN462" s="290" cm="1">
        <f t="array" aca="1" ref="AN462" ca="1">INDIRECT("'"&amp;$C462&amp;"'!"&amp;"$"&amp;$D462&amp;$AL$1&amp;"")</f>
        <v>0</v>
      </c>
      <c r="AO462" s="293" t="s">
        <v>1</v>
      </c>
      <c r="AP462" s="291" t="s">
        <v>1</v>
      </c>
      <c r="AQ462" s="292" cm="1">
        <f t="array" aca="1" ref="AQ462" ca="1">INDIRECT("'"&amp;$C462&amp;"'!"&amp;"$"&amp;$D462&amp;$AQ$1&amp;"")</f>
        <v>3.8</v>
      </c>
      <c r="AR462" s="293">
        <v>0.97</v>
      </c>
      <c r="AS462" s="291">
        <v>0.95</v>
      </c>
      <c r="AT462" s="290">
        <v>13.9</v>
      </c>
      <c r="AU462" s="294">
        <v>70.739999999999995</v>
      </c>
      <c r="AV462" s="290" cm="1">
        <f t="array" aca="1" ref="AV462" ca="1">INDIRECT("'"&amp;$C462&amp;"'!"&amp;"$"&amp;$D462&amp;$AT$1&amp;"")</f>
        <v>14.03</v>
      </c>
      <c r="AW462" s="293">
        <v>1</v>
      </c>
      <c r="AX462" s="294">
        <v>1.2</v>
      </c>
      <c r="AY462" s="386">
        <v>68.400000000000006</v>
      </c>
      <c r="AZ462" s="296" cm="1">
        <f t="array" aca="1" ref="AZ462" ca="1">INDIRECT("'"&amp;$C462&amp;"'!"&amp;"$"&amp;$D462&amp;$AY$1&amp;"")</f>
        <v>1.6</v>
      </c>
      <c r="BA462" s="293">
        <v>0.98</v>
      </c>
      <c r="BB462" s="291">
        <v>0.32</v>
      </c>
      <c r="BC462" s="292" cm="1">
        <f t="array" aca="1" ref="BC462" ca="1">INDIRECT("'"&amp;$C462&amp;"'!"&amp;"$"&amp;$D462&amp;$BC$1&amp;"")</f>
        <v>1.19</v>
      </c>
      <c r="BD462" s="293"/>
      <c r="BE462" s="293">
        <v>0.99</v>
      </c>
      <c r="BF462" s="291">
        <v>0.13</v>
      </c>
      <c r="BG462" s="292" cm="1">
        <f t="array" aca="1" ref="BG462" ca="1">INDIRECT("'"&amp;$C462&amp;"'!"&amp;"$"&amp;$D462&amp;$BG$1&amp;"")</f>
        <v>0.78</v>
      </c>
      <c r="BH462" s="293"/>
      <c r="BI462" s="293">
        <v>0.97</v>
      </c>
      <c r="BJ462" s="291">
        <v>0.19</v>
      </c>
      <c r="BK462" s="292" cm="1">
        <f t="array" aca="1" ref="BK462" ca="1">INDIRECT("'"&amp;$C462&amp;"'!"&amp;"$"&amp;$D462&amp;$BK$1&amp;"")</f>
        <v>5.0999999999999996</v>
      </c>
      <c r="BL462" s="293"/>
      <c r="BM462" s="293">
        <v>0.95</v>
      </c>
      <c r="BN462" s="291">
        <v>1.6</v>
      </c>
    </row>
    <row r="463" spans="1:66" ht="15.75" thickBot="1" x14ac:dyDescent="0.25">
      <c r="A463" s="367">
        <v>45707</v>
      </c>
      <c r="B463" s="365">
        <v>0.33333333333333398</v>
      </c>
      <c r="C463" s="383">
        <f t="shared" si="7"/>
        <v>19</v>
      </c>
      <c r="D463" s="319" t="s">
        <v>118</v>
      </c>
      <c r="E463" s="297">
        <v>14.1</v>
      </c>
      <c r="F463" s="298">
        <v>69.5</v>
      </c>
      <c r="G463" s="299" cm="1">
        <f t="array" aca="1" ref="G463" ca="1">INDIRECT("'"&amp;$C463&amp;"'!"&amp;"$"&amp;$D463&amp;$E$1&amp;"")</f>
        <v>6.9</v>
      </c>
      <c r="H463" s="300">
        <v>0.92</v>
      </c>
      <c r="I463" s="298">
        <v>3.07</v>
      </c>
      <c r="J463" s="299" cm="1">
        <f t="array" aca="1" ref="J463" ca="1">INDIRECT("'"&amp;$C463&amp;"'!"&amp;"$"&amp;$D463&amp;$J$1&amp;"")</f>
        <v>0</v>
      </c>
      <c r="K463" s="300"/>
      <c r="L463" s="300" t="s">
        <v>1</v>
      </c>
      <c r="M463" s="298" t="s">
        <v>1</v>
      </c>
      <c r="N463" s="299" cm="1">
        <f t="array" aca="1" ref="N463" ca="1">INDIRECT("'"&amp;$C463&amp;"'!"&amp;"$"&amp;$D463&amp;$N$1&amp;"")</f>
        <v>6.9</v>
      </c>
      <c r="O463" s="300"/>
      <c r="P463" s="300">
        <v>0.92</v>
      </c>
      <c r="Q463" s="298">
        <v>2.96</v>
      </c>
      <c r="R463" s="299" cm="1">
        <f t="array" aca="1" ref="R463" ca="1">INDIRECT("'"&amp;$C463&amp;"'!"&amp;"$"&amp;$D463&amp;$R$1&amp;"")</f>
        <v>0</v>
      </c>
      <c r="S463" s="300"/>
      <c r="T463" s="300" t="s">
        <v>1</v>
      </c>
      <c r="U463" s="298" t="s">
        <v>1</v>
      </c>
      <c r="V463" s="299" t="str" cm="1">
        <f t="array" aca="1" ref="V463" ca="1">INDIRECT("'"&amp;$C463&amp;"'!"&amp;"$"&amp;$D463&amp;$V$1&amp;"")</f>
        <v>CMS</v>
      </c>
      <c r="W463" s="300" t="s">
        <v>1</v>
      </c>
      <c r="X463" s="300" t="s">
        <v>1</v>
      </c>
      <c r="Y463" s="301" t="s">
        <v>1</v>
      </c>
      <c r="Z463" s="387" cm="1">
        <f t="array" aca="1" ref="Z463" ca="1">INDIRECT("'"&amp;$C463&amp;"'!"&amp;"$"&amp;$D463&amp;$Z$1&amp;"")</f>
        <v>0</v>
      </c>
      <c r="AA463" s="299" t="s">
        <v>1</v>
      </c>
      <c r="AB463" s="300" t="s">
        <v>1</v>
      </c>
      <c r="AC463" s="298" t="s">
        <v>1</v>
      </c>
      <c r="AD463" s="299" cm="1">
        <f t="array" aca="1" ref="AD463" ca="1">INDIRECT("'"&amp;$C463&amp;"'!"&amp;"$"&amp;$D463&amp;$AD$1&amp;"")</f>
        <v>3.3</v>
      </c>
      <c r="AE463" s="300">
        <f>3.55*3.8</f>
        <v>13.489999999999998</v>
      </c>
      <c r="AF463" s="300">
        <v>0.95</v>
      </c>
      <c r="AG463" s="301">
        <v>1.1499999999999999</v>
      </c>
      <c r="AH463" s="297" cm="1">
        <f t="array" aca="1" ref="AH463" ca="1">INDIRECT("'"&amp;$C463&amp;"'!"&amp;"$"&amp;$D463&amp;$AH$1&amp;"")</f>
        <v>3.8</v>
      </c>
      <c r="AI463" s="300">
        <v>14</v>
      </c>
      <c r="AJ463" s="300">
        <v>0.99</v>
      </c>
      <c r="AK463" s="298">
        <v>0.31</v>
      </c>
      <c r="AL463" s="297">
        <v>11.8</v>
      </c>
      <c r="AM463" s="301">
        <v>69.900000000000006</v>
      </c>
      <c r="AN463" s="297" cm="1">
        <f t="array" aca="1" ref="AN463" ca="1">INDIRECT("'"&amp;$C463&amp;"'!"&amp;"$"&amp;$D463&amp;$AL$1&amp;"")</f>
        <v>0</v>
      </c>
      <c r="AO463" s="300" t="s">
        <v>1</v>
      </c>
      <c r="AP463" s="298" t="s">
        <v>1</v>
      </c>
      <c r="AQ463" s="299" cm="1">
        <f t="array" aca="1" ref="AQ463" ca="1">INDIRECT("'"&amp;$C463&amp;"'!"&amp;"$"&amp;$D463&amp;$AQ$1&amp;"")</f>
        <v>4</v>
      </c>
      <c r="AR463" s="300">
        <v>0.99</v>
      </c>
      <c r="AS463" s="298">
        <v>0.65</v>
      </c>
      <c r="AT463" s="297">
        <v>14.21</v>
      </c>
      <c r="AU463" s="301">
        <v>71.930000000000007</v>
      </c>
      <c r="AV463" s="297" cm="1">
        <f t="array" aca="1" ref="AV463" ca="1">INDIRECT("'"&amp;$C463&amp;"'!"&amp;"$"&amp;$D463&amp;$AT$1&amp;"")</f>
        <v>13.65</v>
      </c>
      <c r="AW463" s="300">
        <v>0.99</v>
      </c>
      <c r="AX463" s="301">
        <v>2.1</v>
      </c>
      <c r="AY463" s="387">
        <v>68.099999999999994</v>
      </c>
      <c r="AZ463" s="303" cm="1">
        <f t="array" aca="1" ref="AZ463" ca="1">INDIRECT("'"&amp;$C463&amp;"'!"&amp;"$"&amp;$D463&amp;$AY$1&amp;"")</f>
        <v>0</v>
      </c>
      <c r="BA463" s="300" t="s">
        <v>1</v>
      </c>
      <c r="BB463" s="298" t="s">
        <v>1</v>
      </c>
      <c r="BC463" s="299" cm="1">
        <f t="array" aca="1" ref="BC463" ca="1">INDIRECT("'"&amp;$C463&amp;"'!"&amp;"$"&amp;$D463&amp;$BC$1&amp;"")</f>
        <v>1.02</v>
      </c>
      <c r="BD463" s="300"/>
      <c r="BE463" s="300">
        <v>0.99</v>
      </c>
      <c r="BF463" s="298">
        <v>0.14000000000000001</v>
      </c>
      <c r="BG463" s="299" cm="1">
        <f t="array" aca="1" ref="BG463" ca="1">INDIRECT("'"&amp;$C463&amp;"'!"&amp;"$"&amp;$D463&amp;$BG$1&amp;"")</f>
        <v>0.72</v>
      </c>
      <c r="BH463" s="300"/>
      <c r="BI463" s="300">
        <v>0.96</v>
      </c>
      <c r="BJ463" s="298">
        <v>0.2</v>
      </c>
      <c r="BK463" s="299" cm="1">
        <f t="array" aca="1" ref="BK463" ca="1">INDIRECT("'"&amp;$C463&amp;"'!"&amp;"$"&amp;$D463&amp;$BK$1&amp;"")</f>
        <v>4.8</v>
      </c>
      <c r="BL463" s="300"/>
      <c r="BM463" s="300">
        <v>0.95</v>
      </c>
      <c r="BN463" s="298">
        <v>1.5</v>
      </c>
    </row>
    <row r="464" spans="1:66" ht="15.75" thickBot="1" x14ac:dyDescent="0.25">
      <c r="A464" s="367">
        <v>45707</v>
      </c>
      <c r="B464" s="365">
        <v>0.375</v>
      </c>
      <c r="C464" s="383">
        <f t="shared" si="7"/>
        <v>19</v>
      </c>
      <c r="D464" s="319" t="s">
        <v>119</v>
      </c>
      <c r="E464" s="290">
        <v>14</v>
      </c>
      <c r="F464" s="291">
        <v>69.98</v>
      </c>
      <c r="G464" s="292" cm="1">
        <f t="array" aca="1" ref="G464" ca="1">INDIRECT("'"&amp;$C464&amp;"'!"&amp;"$"&amp;$D464&amp;$E$1&amp;"")</f>
        <v>6.7</v>
      </c>
      <c r="H464" s="293">
        <v>0.89</v>
      </c>
      <c r="I464" s="291">
        <v>3.7</v>
      </c>
      <c r="J464" s="292" cm="1">
        <f t="array" aca="1" ref="J464" ca="1">INDIRECT("'"&amp;$C464&amp;"'!"&amp;"$"&amp;$D464&amp;$J$1&amp;"")</f>
        <v>0</v>
      </c>
      <c r="K464" s="293"/>
      <c r="L464" s="293" t="s">
        <v>1</v>
      </c>
      <c r="M464" s="291" t="s">
        <v>1</v>
      </c>
      <c r="N464" s="292" cm="1">
        <f t="array" aca="1" ref="N464" ca="1">INDIRECT("'"&amp;$C464&amp;"'!"&amp;"$"&amp;$D464&amp;$N$1&amp;"")</f>
        <v>6.7</v>
      </c>
      <c r="O464" s="293"/>
      <c r="P464" s="293">
        <v>0.89</v>
      </c>
      <c r="Q464" s="291">
        <v>3.68</v>
      </c>
      <c r="R464" s="292" cm="1">
        <f t="array" aca="1" ref="R464" ca="1">INDIRECT("'"&amp;$C464&amp;"'!"&amp;"$"&amp;$D464&amp;$R$1&amp;"")</f>
        <v>1.6</v>
      </c>
      <c r="S464" s="293"/>
      <c r="T464" s="293">
        <v>0.94</v>
      </c>
      <c r="U464" s="291">
        <v>0.56000000000000005</v>
      </c>
      <c r="V464" s="292" t="str" cm="1">
        <f t="array" aca="1" ref="V464" ca="1">INDIRECT("'"&amp;$C464&amp;"'!"&amp;"$"&amp;$D464&amp;$V$1&amp;"")</f>
        <v>CMS</v>
      </c>
      <c r="W464" s="293" t="s">
        <v>1</v>
      </c>
      <c r="X464" s="293" t="s">
        <v>1</v>
      </c>
      <c r="Y464" s="294" t="s">
        <v>1</v>
      </c>
      <c r="Z464" s="386" cm="1">
        <f t="array" aca="1" ref="Z464" ca="1">INDIRECT("'"&amp;$C464&amp;"'!"&amp;"$"&amp;$D464&amp;$Z$1&amp;"")</f>
        <v>0</v>
      </c>
      <c r="AA464" s="292" t="s">
        <v>1</v>
      </c>
      <c r="AB464" s="293" t="s">
        <v>1</v>
      </c>
      <c r="AC464" s="291" t="s">
        <v>1</v>
      </c>
      <c r="AD464" s="292" cm="1">
        <f t="array" aca="1" ref="AD464" ca="1">INDIRECT("'"&amp;$C464&amp;"'!"&amp;"$"&amp;$D464&amp;$AD$1&amp;"")</f>
        <v>3.2</v>
      </c>
      <c r="AE464" s="293">
        <f>3.8*3.47</f>
        <v>13.186</v>
      </c>
      <c r="AF464" s="293">
        <v>0.94</v>
      </c>
      <c r="AG464" s="294">
        <v>1.34</v>
      </c>
      <c r="AH464" s="290" cm="1">
        <f t="array" aca="1" ref="AH464" ca="1">INDIRECT("'"&amp;$C464&amp;"'!"&amp;"$"&amp;$D464&amp;$AH$1&amp;"")</f>
        <v>3.8</v>
      </c>
      <c r="AI464" s="293">
        <v>13.96</v>
      </c>
      <c r="AJ464" s="293">
        <v>0.97</v>
      </c>
      <c r="AK464" s="291">
        <v>0.98599999999999999</v>
      </c>
      <c r="AL464" s="290">
        <v>11.7</v>
      </c>
      <c r="AM464" s="294">
        <v>69.3</v>
      </c>
      <c r="AN464" s="290" cm="1">
        <f t="array" aca="1" ref="AN464" ca="1">INDIRECT("'"&amp;$C464&amp;"'!"&amp;"$"&amp;$D464&amp;$AL$1&amp;"")</f>
        <v>2.8</v>
      </c>
      <c r="AO464" s="293">
        <v>0.98</v>
      </c>
      <c r="AP464" s="291">
        <v>0.48</v>
      </c>
      <c r="AQ464" s="292" cm="1">
        <f t="array" aca="1" ref="AQ464" ca="1">INDIRECT("'"&amp;$C464&amp;"'!"&amp;"$"&amp;$D464&amp;$AQ$1&amp;"")</f>
        <v>3.7</v>
      </c>
      <c r="AR464" s="293">
        <v>0.98</v>
      </c>
      <c r="AS464" s="291">
        <v>0.88</v>
      </c>
      <c r="AT464" s="290">
        <v>14.05</v>
      </c>
      <c r="AU464" s="294">
        <v>71.010000000000005</v>
      </c>
      <c r="AV464" s="290" cm="1">
        <f t="array" aca="1" ref="AV464" ca="1">INDIRECT("'"&amp;$C464&amp;"'!"&amp;"$"&amp;$D464&amp;$AT$1&amp;"")</f>
        <v>14.26</v>
      </c>
      <c r="AW464" s="293">
        <v>0.99</v>
      </c>
      <c r="AX464" s="294">
        <v>2.2999999999999998</v>
      </c>
      <c r="AY464" s="386">
        <v>67.3</v>
      </c>
      <c r="AZ464" s="296" cm="1">
        <f t="array" aca="1" ref="AZ464" ca="1">INDIRECT("'"&amp;$C464&amp;"'!"&amp;"$"&amp;$D464&amp;$AY$1&amp;"")</f>
        <v>2.5</v>
      </c>
      <c r="BA464" s="293">
        <v>0.98</v>
      </c>
      <c r="BB464" s="291">
        <v>0.45</v>
      </c>
      <c r="BC464" s="292" cm="1">
        <f t="array" aca="1" ref="BC464" ca="1">INDIRECT("'"&amp;$C464&amp;"'!"&amp;"$"&amp;$D464&amp;$BC$1&amp;"")</f>
        <v>1.26</v>
      </c>
      <c r="BD464" s="293"/>
      <c r="BE464" s="293">
        <v>0.99</v>
      </c>
      <c r="BF464" s="291">
        <v>0.16</v>
      </c>
      <c r="BG464" s="292" cm="1">
        <f t="array" aca="1" ref="BG464" ca="1">INDIRECT("'"&amp;$C464&amp;"'!"&amp;"$"&amp;$D464&amp;$BG$1&amp;"")</f>
        <v>0.73</v>
      </c>
      <c r="BH464" s="293"/>
      <c r="BI464" s="293">
        <v>0.96</v>
      </c>
      <c r="BJ464" s="291">
        <v>0.21</v>
      </c>
      <c r="BK464" s="292" cm="1">
        <f t="array" aca="1" ref="BK464" ca="1">INDIRECT("'"&amp;$C464&amp;"'!"&amp;"$"&amp;$D464&amp;$BK$1&amp;"")</f>
        <v>5.5</v>
      </c>
      <c r="BL464" s="293"/>
      <c r="BM464" s="293">
        <v>0.93</v>
      </c>
      <c r="BN464" s="291">
        <v>1.8</v>
      </c>
    </row>
    <row r="465" spans="1:66" ht="15.75" thickBot="1" x14ac:dyDescent="0.25">
      <c r="A465" s="367">
        <v>45707</v>
      </c>
      <c r="B465" s="365">
        <v>0.41666666666666702</v>
      </c>
      <c r="C465" s="383">
        <f t="shared" si="7"/>
        <v>19</v>
      </c>
      <c r="D465" s="319" t="s">
        <v>120</v>
      </c>
      <c r="E465" s="297">
        <v>14.1</v>
      </c>
      <c r="F465" s="298">
        <v>69.81</v>
      </c>
      <c r="G465" s="299" cm="1">
        <f t="array" aca="1" ref="G465" ca="1">INDIRECT("'"&amp;$C465&amp;"'!"&amp;"$"&amp;$D465&amp;$E$1&amp;"")</f>
        <v>6.6</v>
      </c>
      <c r="H465" s="300">
        <v>0.93</v>
      </c>
      <c r="I465" s="298">
        <v>2.71</v>
      </c>
      <c r="J465" s="299" cm="1">
        <f t="array" aca="1" ref="J465" ca="1">INDIRECT("'"&amp;$C465&amp;"'!"&amp;"$"&amp;$D465&amp;$J$1&amp;"")</f>
        <v>0</v>
      </c>
      <c r="K465" s="300"/>
      <c r="L465" s="300" t="s">
        <v>1</v>
      </c>
      <c r="M465" s="298" t="s">
        <v>1</v>
      </c>
      <c r="N465" s="299" cm="1">
        <f t="array" aca="1" ref="N465" ca="1">INDIRECT("'"&amp;$C465&amp;"'!"&amp;"$"&amp;$D465&amp;$N$1&amp;"")</f>
        <v>6.6</v>
      </c>
      <c r="O465" s="300"/>
      <c r="P465" s="300">
        <v>0.93</v>
      </c>
      <c r="Q465" s="298">
        <v>2.74</v>
      </c>
      <c r="R465" s="299" cm="1">
        <f t="array" aca="1" ref="R465" ca="1">INDIRECT("'"&amp;$C465&amp;"'!"&amp;"$"&amp;$D465&amp;$R$1&amp;"")</f>
        <v>6.6</v>
      </c>
      <c r="S465" s="300"/>
      <c r="T465" s="300">
        <v>0.93</v>
      </c>
      <c r="U465" s="298">
        <v>2.68</v>
      </c>
      <c r="V465" s="299" t="str" cm="1">
        <f t="array" aca="1" ref="V465" ca="1">INDIRECT("'"&amp;$C465&amp;"'!"&amp;"$"&amp;$D465&amp;$V$1&amp;"")</f>
        <v>CMS</v>
      </c>
      <c r="W465" s="300" t="s">
        <v>1</v>
      </c>
      <c r="X465" s="300" t="s">
        <v>1</v>
      </c>
      <c r="Y465" s="301" t="s">
        <v>1</v>
      </c>
      <c r="Z465" s="387" cm="1">
        <f t="array" aca="1" ref="Z465" ca="1">INDIRECT("'"&amp;$C465&amp;"'!"&amp;"$"&amp;$D465&amp;$Z$1&amp;"")</f>
        <v>0</v>
      </c>
      <c r="AA465" s="299" t="s">
        <v>1</v>
      </c>
      <c r="AB465" s="300" t="s">
        <v>1</v>
      </c>
      <c r="AC465" s="298" t="s">
        <v>1</v>
      </c>
      <c r="AD465" s="299" cm="1">
        <f t="array" aca="1" ref="AD465" ca="1">INDIRECT("'"&amp;$C465&amp;"'!"&amp;"$"&amp;$D465&amp;$AD$1&amp;"")</f>
        <v>3.3</v>
      </c>
      <c r="AE465" s="300">
        <f>3.53*3.8</f>
        <v>13.413999999999998</v>
      </c>
      <c r="AF465" s="300">
        <v>0.93</v>
      </c>
      <c r="AG465" s="301">
        <v>1.36</v>
      </c>
      <c r="AH465" s="297" cm="1">
        <f t="array" aca="1" ref="AH465" ca="1">INDIRECT("'"&amp;$C465&amp;"'!"&amp;"$"&amp;$D465&amp;$AH$1&amp;"")</f>
        <v>3.8</v>
      </c>
      <c r="AI465" s="300">
        <v>14</v>
      </c>
      <c r="AJ465" s="300">
        <v>0.98</v>
      </c>
      <c r="AK465" s="298">
        <v>0.63700000000000001</v>
      </c>
      <c r="AL465" s="297">
        <v>11.9</v>
      </c>
      <c r="AM465" s="301">
        <v>70.3</v>
      </c>
      <c r="AN465" s="297" cm="1">
        <f t="array" aca="1" ref="AN465" ca="1">INDIRECT("'"&amp;$C465&amp;"'!"&amp;"$"&amp;$D465&amp;$AL$1&amp;"")</f>
        <v>2.7</v>
      </c>
      <c r="AO465" s="300">
        <v>0.93</v>
      </c>
      <c r="AP465" s="298">
        <v>0.99</v>
      </c>
      <c r="AQ465" s="299" cm="1">
        <f t="array" aca="1" ref="AQ465" ca="1">INDIRECT("'"&amp;$C465&amp;"'!"&amp;"$"&amp;$D465&amp;$AQ$1&amp;"")</f>
        <v>2.7</v>
      </c>
      <c r="AR465" s="300">
        <v>0.93</v>
      </c>
      <c r="AS465" s="298">
        <v>0.99</v>
      </c>
      <c r="AT465" s="297">
        <v>14.27</v>
      </c>
      <c r="AU465" s="301">
        <v>71.849999999999994</v>
      </c>
      <c r="AV465" s="297" cm="1">
        <f t="array" aca="1" ref="AV465" ca="1">INDIRECT("'"&amp;$C465&amp;"'!"&amp;"$"&amp;$D465&amp;$AT$1&amp;"")</f>
        <v>12.28</v>
      </c>
      <c r="AW465" s="300">
        <v>0.98</v>
      </c>
      <c r="AX465" s="301">
        <v>3</v>
      </c>
      <c r="AY465" s="387">
        <v>68.099999999999994</v>
      </c>
      <c r="AZ465" s="303" cm="1">
        <f t="array" aca="1" ref="AZ465" ca="1">INDIRECT("'"&amp;$C465&amp;"'!"&amp;"$"&amp;$D465&amp;$AY$1&amp;"")</f>
        <v>0</v>
      </c>
      <c r="BA465" s="300" t="s">
        <v>1</v>
      </c>
      <c r="BB465" s="298" t="s">
        <v>1</v>
      </c>
      <c r="BC465" s="299" cm="1">
        <f t="array" aca="1" ref="BC465" ca="1">INDIRECT("'"&amp;$C465&amp;"'!"&amp;"$"&amp;$D465&amp;$BC$1&amp;"")</f>
        <v>1.32</v>
      </c>
      <c r="BD465" s="300"/>
      <c r="BE465" s="300">
        <v>0.99</v>
      </c>
      <c r="BF465" s="298">
        <v>0.17</v>
      </c>
      <c r="BG465" s="299" cm="1">
        <f t="array" aca="1" ref="BG465" ca="1">INDIRECT("'"&amp;$C465&amp;"'!"&amp;"$"&amp;$D465&amp;$BG$1&amp;"")</f>
        <v>0.8</v>
      </c>
      <c r="BH465" s="300"/>
      <c r="BI465" s="300">
        <v>0.96</v>
      </c>
      <c r="BJ465" s="298">
        <v>0.24</v>
      </c>
      <c r="BK465" s="299" cm="1">
        <f t="array" aca="1" ref="BK465" ca="1">INDIRECT("'"&amp;$C465&amp;"'!"&amp;"$"&amp;$D465&amp;$BK$1&amp;"")</f>
        <v>4.5</v>
      </c>
      <c r="BL465" s="300"/>
      <c r="BM465" s="300">
        <v>0.95</v>
      </c>
      <c r="BN465" s="298">
        <v>1.5</v>
      </c>
    </row>
    <row r="466" spans="1:66" ht="15.75" thickBot="1" x14ac:dyDescent="0.25">
      <c r="A466" s="367">
        <v>45707</v>
      </c>
      <c r="B466" s="365">
        <v>0.45833333333333398</v>
      </c>
      <c r="C466" s="383">
        <f t="shared" si="7"/>
        <v>19</v>
      </c>
      <c r="D466" s="319" t="s">
        <v>121</v>
      </c>
      <c r="E466" s="290">
        <v>14.2</v>
      </c>
      <c r="F466" s="291">
        <v>69.510000000000005</v>
      </c>
      <c r="G466" s="292" cm="1">
        <f t="array" aca="1" ref="G466" ca="1">INDIRECT("'"&amp;$C466&amp;"'!"&amp;"$"&amp;$D466&amp;$E$1&amp;"")</f>
        <v>6.7</v>
      </c>
      <c r="H466" s="293">
        <v>0.91</v>
      </c>
      <c r="I466" s="291">
        <v>3.05</v>
      </c>
      <c r="J466" s="292" cm="1">
        <f t="array" aca="1" ref="J466" ca="1">INDIRECT("'"&amp;$C466&amp;"'!"&amp;"$"&amp;$D466&amp;$J$1&amp;"")</f>
        <v>0</v>
      </c>
      <c r="K466" s="293"/>
      <c r="L466" s="293" t="s">
        <v>1</v>
      </c>
      <c r="M466" s="291" t="s">
        <v>1</v>
      </c>
      <c r="N466" s="292" cm="1">
        <f t="array" aca="1" ref="N466" ca="1">INDIRECT("'"&amp;$C466&amp;"'!"&amp;"$"&amp;$D466&amp;$N$1&amp;"")</f>
        <v>6.7</v>
      </c>
      <c r="O466" s="293"/>
      <c r="P466" s="293">
        <v>0.91</v>
      </c>
      <c r="Q466" s="291">
        <v>3.12</v>
      </c>
      <c r="R466" s="292" cm="1">
        <f t="array" aca="1" ref="R466" ca="1">INDIRECT("'"&amp;$C466&amp;"'!"&amp;"$"&amp;$D466&amp;$R$1&amp;"")</f>
        <v>6.7</v>
      </c>
      <c r="S466" s="293"/>
      <c r="T466" s="293">
        <v>0.91</v>
      </c>
      <c r="U466" s="291">
        <v>2.95</v>
      </c>
      <c r="V466" s="292" t="str" cm="1">
        <f t="array" aca="1" ref="V466" ca="1">INDIRECT("'"&amp;$C466&amp;"'!"&amp;"$"&amp;$D466&amp;$V$1&amp;"")</f>
        <v>CMS</v>
      </c>
      <c r="W466" s="293" t="s">
        <v>1</v>
      </c>
      <c r="X466" s="293" t="s">
        <v>1</v>
      </c>
      <c r="Y466" s="294" t="s">
        <v>1</v>
      </c>
      <c r="Z466" s="386" cm="1">
        <f t="array" aca="1" ref="Z466" ca="1">INDIRECT("'"&amp;$C466&amp;"'!"&amp;"$"&amp;$D466&amp;$Z$1&amp;"")</f>
        <v>0</v>
      </c>
      <c r="AA466" s="292" t="s">
        <v>1</v>
      </c>
      <c r="AB466" s="293" t="s">
        <v>1</v>
      </c>
      <c r="AC466" s="291" t="s">
        <v>1</v>
      </c>
      <c r="AD466" s="292" cm="1">
        <f t="array" aca="1" ref="AD466" ca="1">INDIRECT("'"&amp;$C466&amp;"'!"&amp;"$"&amp;$D466&amp;$AD$1&amp;"")</f>
        <v>3.3</v>
      </c>
      <c r="AE466" s="293">
        <f>3.8*3.51</f>
        <v>13.337999999999999</v>
      </c>
      <c r="AF466" s="293">
        <v>0.92</v>
      </c>
      <c r="AG466" s="294">
        <v>1.44</v>
      </c>
      <c r="AH466" s="290" cm="1">
        <f t="array" aca="1" ref="AH466" ca="1">INDIRECT("'"&amp;$C466&amp;"'!"&amp;"$"&amp;$D466&amp;$AH$1&amp;"")</f>
        <v>3.8</v>
      </c>
      <c r="AI466" s="293">
        <v>14</v>
      </c>
      <c r="AJ466" s="293">
        <v>0.97</v>
      </c>
      <c r="AK466" s="291">
        <v>0.76400000000000001</v>
      </c>
      <c r="AL466" s="290">
        <v>11.9</v>
      </c>
      <c r="AM466" s="294">
        <v>70.2</v>
      </c>
      <c r="AN466" s="290" cm="1">
        <f t="array" aca="1" ref="AN466" ca="1">INDIRECT("'"&amp;$C466&amp;"'!"&amp;"$"&amp;$D466&amp;$AL$1&amp;"")</f>
        <v>3.5</v>
      </c>
      <c r="AO466" s="293">
        <v>0.93</v>
      </c>
      <c r="AP466" s="291">
        <v>1.1399999999999999</v>
      </c>
      <c r="AQ466" s="292" cm="1">
        <f t="array" aca="1" ref="AQ466" ca="1">INDIRECT("'"&amp;$C466&amp;"'!"&amp;"$"&amp;$D466&amp;$AQ$1&amp;"")</f>
        <v>3.5</v>
      </c>
      <c r="AR466" s="293">
        <v>0.93</v>
      </c>
      <c r="AS466" s="291">
        <v>1.1200000000000001</v>
      </c>
      <c r="AT466" s="290">
        <v>14.22</v>
      </c>
      <c r="AU466" s="294">
        <v>71.61</v>
      </c>
      <c r="AV466" s="290" cm="1">
        <f t="array" aca="1" ref="AV466" ca="1">INDIRECT("'"&amp;$C466&amp;"'!"&amp;"$"&amp;$D466&amp;$AT$1&amp;"")</f>
        <v>12.23</v>
      </c>
      <c r="AW466" s="293">
        <v>0.98</v>
      </c>
      <c r="AX466" s="294">
        <v>2.9</v>
      </c>
      <c r="AY466" s="386">
        <v>67.900000000000006</v>
      </c>
      <c r="AZ466" s="296" cm="1">
        <f t="array" aca="1" ref="AZ466" ca="1">INDIRECT("'"&amp;$C466&amp;"'!"&amp;"$"&amp;$D466&amp;$AY$1&amp;"")</f>
        <v>0</v>
      </c>
      <c r="BA466" s="293" t="s">
        <v>1</v>
      </c>
      <c r="BB466" s="291" t="s">
        <v>1</v>
      </c>
      <c r="BC466" s="292" cm="1">
        <f t="array" aca="1" ref="BC466" ca="1">INDIRECT("'"&amp;$C466&amp;"'!"&amp;"$"&amp;$D466&amp;$BC$1&amp;"")</f>
        <v>1.4</v>
      </c>
      <c r="BD466" s="293"/>
      <c r="BE466" s="293">
        <v>0.99</v>
      </c>
      <c r="BF466" s="291">
        <v>0.2</v>
      </c>
      <c r="BG466" s="292" cm="1">
        <f t="array" aca="1" ref="BG466" ca="1">INDIRECT("'"&amp;$C466&amp;"'!"&amp;"$"&amp;$D466&amp;$BG$1&amp;"")</f>
        <v>0.83</v>
      </c>
      <c r="BH466" s="293"/>
      <c r="BI466" s="293">
        <v>0.96</v>
      </c>
      <c r="BJ466" s="291">
        <v>0.24</v>
      </c>
      <c r="BK466" s="292" cm="1">
        <f t="array" aca="1" ref="BK466" ca="1">INDIRECT("'"&amp;$C466&amp;"'!"&amp;"$"&amp;$D466&amp;$BK$1&amp;"")</f>
        <v>4.4000000000000004</v>
      </c>
      <c r="BL466" s="293"/>
      <c r="BM466" s="293">
        <v>0.95</v>
      </c>
      <c r="BN466" s="291">
        <v>1.4</v>
      </c>
    </row>
    <row r="467" spans="1:66" ht="15.75" thickBot="1" x14ac:dyDescent="0.25">
      <c r="A467" s="367">
        <v>45707</v>
      </c>
      <c r="B467" s="365">
        <v>0.5</v>
      </c>
      <c r="C467" s="383">
        <f t="shared" si="7"/>
        <v>19</v>
      </c>
      <c r="D467" s="319" t="s">
        <v>122</v>
      </c>
      <c r="E467" s="297">
        <v>14.2</v>
      </c>
      <c r="F467" s="298">
        <v>69.760000000000005</v>
      </c>
      <c r="G467" s="299" cm="1">
        <f t="array" aca="1" ref="G467" ca="1">INDIRECT("'"&amp;$C467&amp;"'!"&amp;"$"&amp;$D467&amp;$E$1&amp;"")</f>
        <v>6.6</v>
      </c>
      <c r="H467" s="300">
        <v>0.93</v>
      </c>
      <c r="I467" s="298">
        <v>2.7</v>
      </c>
      <c r="J467" s="299" cm="1">
        <f t="array" aca="1" ref="J467" ca="1">INDIRECT("'"&amp;$C467&amp;"'!"&amp;"$"&amp;$D467&amp;$J$1&amp;"")</f>
        <v>0</v>
      </c>
      <c r="K467" s="300"/>
      <c r="L467" s="300" t="s">
        <v>1</v>
      </c>
      <c r="M467" s="298" t="s">
        <v>1</v>
      </c>
      <c r="N467" s="299" cm="1">
        <f t="array" aca="1" ref="N467" ca="1">INDIRECT("'"&amp;$C467&amp;"'!"&amp;"$"&amp;$D467&amp;$N$1&amp;"")</f>
        <v>6.6</v>
      </c>
      <c r="O467" s="300"/>
      <c r="P467" s="300">
        <v>0.93</v>
      </c>
      <c r="Q467" s="298">
        <v>2.72</v>
      </c>
      <c r="R467" s="299" cm="1">
        <f t="array" aca="1" ref="R467" ca="1">INDIRECT("'"&amp;$C467&amp;"'!"&amp;"$"&amp;$D467&amp;$R$1&amp;"")</f>
        <v>6.7</v>
      </c>
      <c r="S467" s="300"/>
      <c r="T467" s="300">
        <v>0.92</v>
      </c>
      <c r="U467" s="298">
        <v>2.74</v>
      </c>
      <c r="V467" s="299" t="str" cm="1">
        <f t="array" aca="1" ref="V467" ca="1">INDIRECT("'"&amp;$C467&amp;"'!"&amp;"$"&amp;$D467&amp;$V$1&amp;"")</f>
        <v>CMS</v>
      </c>
      <c r="W467" s="300" t="s">
        <v>1</v>
      </c>
      <c r="X467" s="300" t="s">
        <v>1</v>
      </c>
      <c r="Y467" s="301" t="s">
        <v>1</v>
      </c>
      <c r="Z467" s="387" cm="1">
        <f t="array" aca="1" ref="Z467" ca="1">INDIRECT("'"&amp;$C467&amp;"'!"&amp;"$"&amp;$D467&amp;$Z$1&amp;"")</f>
        <v>0</v>
      </c>
      <c r="AA467" s="299" t="s">
        <v>1</v>
      </c>
      <c r="AB467" s="300" t="s">
        <v>1</v>
      </c>
      <c r="AC467" s="298" t="s">
        <v>1</v>
      </c>
      <c r="AD467" s="299" cm="1">
        <f t="array" aca="1" ref="AD467" ca="1">INDIRECT("'"&amp;$C467&amp;"'!"&amp;"$"&amp;$D467&amp;$AD$1&amp;"")</f>
        <v>3.3</v>
      </c>
      <c r="AE467" s="300">
        <f>3.8*3.52</f>
        <v>13.375999999999999</v>
      </c>
      <c r="AF467" s="300">
        <v>0.92</v>
      </c>
      <c r="AG467" s="301">
        <v>1.46</v>
      </c>
      <c r="AH467" s="297" cm="1">
        <f t="array" aca="1" ref="AH467" ca="1">INDIRECT("'"&amp;$C467&amp;"'!"&amp;"$"&amp;$D467&amp;$AH$1&amp;"")</f>
        <v>3.8</v>
      </c>
      <c r="AI467" s="300">
        <v>14</v>
      </c>
      <c r="AJ467" s="300">
        <v>0.99</v>
      </c>
      <c r="AK467" s="298">
        <v>0.52900000000000003</v>
      </c>
      <c r="AL467" s="297">
        <v>11.9</v>
      </c>
      <c r="AM467" s="301">
        <v>70.3</v>
      </c>
      <c r="AN467" s="297" cm="1">
        <f t="array" aca="1" ref="AN467" ca="1">INDIRECT("'"&amp;$C467&amp;"'!"&amp;"$"&amp;$D467&amp;$AL$1&amp;"")</f>
        <v>3</v>
      </c>
      <c r="AO467" s="300">
        <v>0.93</v>
      </c>
      <c r="AP467" s="298">
        <v>0.87</v>
      </c>
      <c r="AQ467" s="299" cm="1">
        <f t="array" aca="1" ref="AQ467" ca="1">INDIRECT("'"&amp;$C467&amp;"'!"&amp;"$"&amp;$D467&amp;$AQ$1&amp;"")</f>
        <v>3</v>
      </c>
      <c r="AR467" s="300">
        <v>0.93</v>
      </c>
      <c r="AS467" s="298">
        <v>0.95</v>
      </c>
      <c r="AT467" s="297">
        <v>14.28</v>
      </c>
      <c r="AU467" s="301">
        <v>71.849999999999994</v>
      </c>
      <c r="AV467" s="297" cm="1">
        <f t="array" aca="1" ref="AV467" ca="1">INDIRECT("'"&amp;$C467&amp;"'!"&amp;"$"&amp;$D467&amp;$AT$1&amp;"")</f>
        <v>12.32</v>
      </c>
      <c r="AW467" s="300">
        <v>0.98</v>
      </c>
      <c r="AX467" s="301">
        <v>2.9</v>
      </c>
      <c r="AY467" s="387">
        <v>68</v>
      </c>
      <c r="AZ467" s="303" cm="1">
        <f t="array" aca="1" ref="AZ467" ca="1">INDIRECT("'"&amp;$C467&amp;"'!"&amp;"$"&amp;$D467&amp;$AY$1&amp;"")</f>
        <v>0</v>
      </c>
      <c r="BA467" s="300" t="s">
        <v>1</v>
      </c>
      <c r="BB467" s="298" t="s">
        <v>1</v>
      </c>
      <c r="BC467" s="299" cm="1">
        <f t="array" aca="1" ref="BC467" ca="1">INDIRECT("'"&amp;$C467&amp;"'!"&amp;"$"&amp;$D467&amp;$BC$1&amp;"")</f>
        <v>1.22</v>
      </c>
      <c r="BD467" s="300"/>
      <c r="BE467" s="300">
        <v>0.99</v>
      </c>
      <c r="BF467" s="298">
        <v>0.18</v>
      </c>
      <c r="BG467" s="299" cm="1">
        <f t="array" aca="1" ref="BG467" ca="1">INDIRECT("'"&amp;$C467&amp;"'!"&amp;"$"&amp;$D467&amp;$BG$1&amp;"")</f>
        <v>0.82</v>
      </c>
      <c r="BH467" s="300"/>
      <c r="BI467" s="300">
        <v>0.96</v>
      </c>
      <c r="BJ467" s="298">
        <v>0.24</v>
      </c>
      <c r="BK467" s="299" cm="1">
        <f t="array" aca="1" ref="BK467" ca="1">INDIRECT("'"&amp;$C467&amp;"'!"&amp;"$"&amp;$D467&amp;$BK$1&amp;"")</f>
        <v>4.5</v>
      </c>
      <c r="BL467" s="300"/>
      <c r="BM467" s="300">
        <v>0.95</v>
      </c>
      <c r="BN467" s="298">
        <v>1.5</v>
      </c>
    </row>
    <row r="468" spans="1:66" ht="15.75" thickBot="1" x14ac:dyDescent="0.25">
      <c r="A468" s="367">
        <v>45707</v>
      </c>
      <c r="B468" s="365">
        <v>0.54166666666666696</v>
      </c>
      <c r="C468" s="383">
        <f t="shared" si="7"/>
        <v>19</v>
      </c>
      <c r="D468" s="319" t="s">
        <v>123</v>
      </c>
      <c r="E468" s="290">
        <v>14</v>
      </c>
      <c r="F468" s="291">
        <v>68.77</v>
      </c>
      <c r="G468" s="292" cm="1">
        <f t="array" aca="1" ref="G468" ca="1">INDIRECT("'"&amp;$C468&amp;"'!"&amp;"$"&amp;$D468&amp;$E$1&amp;"")</f>
        <v>6.1</v>
      </c>
      <c r="H468" s="293">
        <v>0.91</v>
      </c>
      <c r="I468" s="291">
        <v>2.9</v>
      </c>
      <c r="J468" s="292" cm="1">
        <f t="array" aca="1" ref="J468" ca="1">INDIRECT("'"&amp;$C468&amp;"'!"&amp;"$"&amp;$D468&amp;$J$1&amp;"")</f>
        <v>1.5</v>
      </c>
      <c r="K468" s="293"/>
      <c r="L468" s="293">
        <v>0.9</v>
      </c>
      <c r="M468" s="291">
        <v>0.43</v>
      </c>
      <c r="N468" s="292" cm="1">
        <f t="array" aca="1" ref="N468" ca="1">INDIRECT("'"&amp;$C468&amp;"'!"&amp;"$"&amp;$D468&amp;$N$1&amp;"")</f>
        <v>6</v>
      </c>
      <c r="O468" s="293"/>
      <c r="P468" s="293">
        <v>0.91</v>
      </c>
      <c r="Q468" s="291">
        <v>2.84</v>
      </c>
      <c r="R468" s="292" cm="1">
        <f t="array" aca="1" ref="R468" ca="1">INDIRECT("'"&amp;$C468&amp;"'!"&amp;"$"&amp;$D468&amp;$R$1&amp;"")</f>
        <v>6.1</v>
      </c>
      <c r="S468" s="293"/>
      <c r="T468" s="293">
        <v>0.91</v>
      </c>
      <c r="U468" s="291">
        <v>2.83</v>
      </c>
      <c r="V468" s="292" t="str" cm="1">
        <f t="array" aca="1" ref="V468" ca="1">INDIRECT("'"&amp;$C468&amp;"'!"&amp;"$"&amp;$D468&amp;$V$1&amp;"")</f>
        <v>CMS</v>
      </c>
      <c r="W468" s="293" t="s">
        <v>1</v>
      </c>
      <c r="X468" s="293" t="s">
        <v>1</v>
      </c>
      <c r="Y468" s="294" t="s">
        <v>1</v>
      </c>
      <c r="Z468" s="386" cm="1">
        <f t="array" aca="1" ref="Z468" ca="1">INDIRECT("'"&amp;$C468&amp;"'!"&amp;"$"&amp;$D468&amp;$Z$1&amp;"")</f>
        <v>0</v>
      </c>
      <c r="AA468" s="292" t="s">
        <v>1</v>
      </c>
      <c r="AB468" s="293" t="s">
        <v>1</v>
      </c>
      <c r="AC468" s="291" t="s">
        <v>1</v>
      </c>
      <c r="AD468" s="292" t="str" cm="1">
        <f t="array" aca="1" ref="AD468" ca="1">INDIRECT("'"&amp;$C468&amp;"'!"&amp;"$"&amp;$D468&amp;$AD$1&amp;"")</f>
        <v>CMS</v>
      </c>
      <c r="AE468" s="293" t="s">
        <v>1</v>
      </c>
      <c r="AF468" s="293" t="s">
        <v>1</v>
      </c>
      <c r="AG468" s="294" t="s">
        <v>1</v>
      </c>
      <c r="AH468" s="290" cm="1">
        <f t="array" aca="1" ref="AH468" ca="1">INDIRECT("'"&amp;$C468&amp;"'!"&amp;"$"&amp;$D468&amp;$AH$1&amp;"")</f>
        <v>3.8</v>
      </c>
      <c r="AI468" s="293">
        <v>14.08</v>
      </c>
      <c r="AJ468" s="293">
        <v>0.96</v>
      </c>
      <c r="AK468" s="291">
        <v>1.05</v>
      </c>
      <c r="AL468" s="290">
        <v>11.9</v>
      </c>
      <c r="AM468" s="294">
        <v>70</v>
      </c>
      <c r="AN468" s="290" cm="1">
        <f t="array" aca="1" ref="AN468" ca="1">INDIRECT("'"&amp;$C468&amp;"'!"&amp;"$"&amp;$D468&amp;$AL$1&amp;"")</f>
        <v>3.5</v>
      </c>
      <c r="AO468" s="293">
        <v>0.94</v>
      </c>
      <c r="AP468" s="291">
        <v>1.35</v>
      </c>
      <c r="AQ468" s="292" cm="1">
        <f t="array" aca="1" ref="AQ468" ca="1">INDIRECT("'"&amp;$C468&amp;"'!"&amp;"$"&amp;$D468&amp;$AQ$1&amp;"")</f>
        <v>3.5</v>
      </c>
      <c r="AR468" s="293">
        <v>0.94</v>
      </c>
      <c r="AS468" s="291">
        <v>1.35</v>
      </c>
      <c r="AT468" s="290">
        <v>14.31</v>
      </c>
      <c r="AU468" s="294">
        <v>71.81</v>
      </c>
      <c r="AV468" s="290" cm="1">
        <f t="array" aca="1" ref="AV468" ca="1">INDIRECT("'"&amp;$C468&amp;"'!"&amp;"$"&amp;$D468&amp;$AT$1&amp;"")</f>
        <v>14.29</v>
      </c>
      <c r="AW468" s="293">
        <v>0.98</v>
      </c>
      <c r="AX468" s="294">
        <v>3.5</v>
      </c>
      <c r="AY468" s="386">
        <v>67</v>
      </c>
      <c r="AZ468" s="296" cm="1">
        <f t="array" aca="1" ref="AZ468" ca="1">INDIRECT("'"&amp;$C468&amp;"'!"&amp;"$"&amp;$D468&amp;$AY$1&amp;"")</f>
        <v>0.8</v>
      </c>
      <c r="BA468" s="293">
        <v>0.95</v>
      </c>
      <c r="BB468" s="291">
        <v>0.26</v>
      </c>
      <c r="BC468" s="292" cm="1">
        <f t="array" aca="1" ref="BC468" ca="1">INDIRECT("'"&amp;$C468&amp;"'!"&amp;"$"&amp;$D468&amp;$BC$1&amp;"")</f>
        <v>1.25</v>
      </c>
      <c r="BD468" s="293"/>
      <c r="BE468" s="293">
        <v>0.99</v>
      </c>
      <c r="BF468" s="291">
        <v>0.16</v>
      </c>
      <c r="BG468" s="292" cm="1">
        <f t="array" aca="1" ref="BG468" ca="1">INDIRECT("'"&amp;$C468&amp;"'!"&amp;"$"&amp;$D468&amp;$BG$1&amp;"")</f>
        <v>0.81</v>
      </c>
      <c r="BH468" s="293"/>
      <c r="BI468" s="293">
        <v>0.96</v>
      </c>
      <c r="BJ468" s="291">
        <v>0.24</v>
      </c>
      <c r="BK468" s="292" cm="1">
        <f t="array" aca="1" ref="BK468" ca="1">INDIRECT("'"&amp;$C468&amp;"'!"&amp;"$"&amp;$D468&amp;$BK$1&amp;"")</f>
        <v>4.5999999999999996</v>
      </c>
      <c r="BL468" s="293"/>
      <c r="BM468" s="293">
        <v>0.95</v>
      </c>
      <c r="BN468" s="291">
        <v>1.5</v>
      </c>
    </row>
    <row r="469" spans="1:66" ht="15.75" thickBot="1" x14ac:dyDescent="0.25">
      <c r="A469" s="367">
        <v>45707</v>
      </c>
      <c r="B469" s="365">
        <v>0.58333333333333404</v>
      </c>
      <c r="C469" s="383">
        <f t="shared" si="7"/>
        <v>19</v>
      </c>
      <c r="D469" s="319" t="s">
        <v>124</v>
      </c>
      <c r="E469" s="297">
        <v>14.1</v>
      </c>
      <c r="F469" s="298">
        <v>68.709999999999994</v>
      </c>
      <c r="G469" s="299" cm="1">
        <f t="array" aca="1" ref="G469" ca="1">INDIRECT("'"&amp;$C469&amp;"'!"&amp;"$"&amp;$D469&amp;$E$1&amp;"")</f>
        <v>6.8</v>
      </c>
      <c r="H469" s="300">
        <v>0.9</v>
      </c>
      <c r="I469" s="298">
        <v>3.18</v>
      </c>
      <c r="J469" s="299" cm="1">
        <f t="array" aca="1" ref="J469" ca="1">INDIRECT("'"&amp;$C469&amp;"'!"&amp;"$"&amp;$D469&amp;$J$1&amp;"")</f>
        <v>6.7</v>
      </c>
      <c r="K469" s="300"/>
      <c r="L469" s="300">
        <v>0.91</v>
      </c>
      <c r="M469" s="298">
        <v>3</v>
      </c>
      <c r="N469" s="299" cm="1">
        <f t="array" aca="1" ref="N469" ca="1">INDIRECT("'"&amp;$C469&amp;"'!"&amp;"$"&amp;$D469&amp;$N$1&amp;"")</f>
        <v>6.7</v>
      </c>
      <c r="O469" s="300"/>
      <c r="P469" s="300">
        <v>0.91</v>
      </c>
      <c r="Q469" s="298">
        <v>3.09</v>
      </c>
      <c r="R469" s="299" cm="1">
        <f t="array" aca="1" ref="R469" ca="1">INDIRECT("'"&amp;$C469&amp;"'!"&amp;"$"&amp;$D469&amp;$R$1&amp;"")</f>
        <v>0</v>
      </c>
      <c r="S469" s="300"/>
      <c r="T469" s="300" t="s">
        <v>1</v>
      </c>
      <c r="U469" s="298" t="s">
        <v>1</v>
      </c>
      <c r="V469" s="299" t="str" cm="1">
        <f t="array" aca="1" ref="V469" ca="1">INDIRECT("'"&amp;$C469&amp;"'!"&amp;"$"&amp;$D469&amp;$V$1&amp;"")</f>
        <v>CMS</v>
      </c>
      <c r="W469" s="300" t="s">
        <v>1</v>
      </c>
      <c r="X469" s="300" t="s">
        <v>1</v>
      </c>
      <c r="Y469" s="301" t="s">
        <v>1</v>
      </c>
      <c r="Z469" s="387" cm="1">
        <f t="array" aca="1" ref="Z469" ca="1">INDIRECT("'"&amp;$C469&amp;"'!"&amp;"$"&amp;$D469&amp;$Z$1&amp;"")</f>
        <v>0</v>
      </c>
      <c r="AA469" s="299" t="s">
        <v>1</v>
      </c>
      <c r="AB469" s="300" t="s">
        <v>1</v>
      </c>
      <c r="AC469" s="298" t="s">
        <v>1</v>
      </c>
      <c r="AD469" s="299" cm="1">
        <f t="array" aca="1" ref="AD469" ca="1">INDIRECT("'"&amp;$C469&amp;"'!"&amp;"$"&amp;$D469&amp;$AD$1&amp;"")</f>
        <v>3.3</v>
      </c>
      <c r="AE469" s="300">
        <f>3.8*3.44</f>
        <v>13.071999999999999</v>
      </c>
      <c r="AF469" s="300">
        <v>0.92</v>
      </c>
      <c r="AG469" s="301">
        <v>1.48</v>
      </c>
      <c r="AH469" s="297" cm="1">
        <f t="array" aca="1" ref="AH469" ca="1">INDIRECT("'"&amp;$C469&amp;"'!"&amp;"$"&amp;$D469&amp;$AH$1&amp;"")</f>
        <v>3.8</v>
      </c>
      <c r="AI469" s="300">
        <v>14.04</v>
      </c>
      <c r="AJ469" s="300">
        <v>0.94</v>
      </c>
      <c r="AK469" s="298">
        <v>1.25</v>
      </c>
      <c r="AL469" s="297">
        <v>11.9</v>
      </c>
      <c r="AM469" s="301">
        <v>69.900000000000006</v>
      </c>
      <c r="AN469" s="297" cm="1">
        <f t="array" aca="1" ref="AN469" ca="1">INDIRECT("'"&amp;$C469&amp;"'!"&amp;"$"&amp;$D469&amp;$AL$1&amp;"")</f>
        <v>4</v>
      </c>
      <c r="AO469" s="300">
        <v>0.94</v>
      </c>
      <c r="AP469" s="298">
        <v>1.42</v>
      </c>
      <c r="AQ469" s="299" cm="1">
        <f t="array" aca="1" ref="AQ469" ca="1">INDIRECT("'"&amp;$C469&amp;"'!"&amp;"$"&amp;$D469&amp;$AQ$1&amp;"")</f>
        <v>4</v>
      </c>
      <c r="AR469" s="300">
        <v>0.94</v>
      </c>
      <c r="AS469" s="298">
        <v>1.49</v>
      </c>
      <c r="AT469" s="297">
        <v>14.25</v>
      </c>
      <c r="AU469" s="301">
        <v>71.569999999999993</v>
      </c>
      <c r="AV469" s="297" cm="1">
        <f t="array" aca="1" ref="AV469" ca="1">INDIRECT("'"&amp;$C469&amp;"'!"&amp;"$"&amp;$D469&amp;$AT$1&amp;"")</f>
        <v>14.31</v>
      </c>
      <c r="AW469" s="300">
        <v>0.98</v>
      </c>
      <c r="AX469" s="301">
        <v>3.4</v>
      </c>
      <c r="AY469" s="387">
        <v>67</v>
      </c>
      <c r="AZ469" s="303" cm="1">
        <f t="array" aca="1" ref="AZ469" ca="1">INDIRECT("'"&amp;$C469&amp;"'!"&amp;"$"&amp;$D469&amp;$AY$1&amp;"")</f>
        <v>1.5</v>
      </c>
      <c r="BA469" s="300">
        <v>0.95</v>
      </c>
      <c r="BB469" s="298">
        <v>0.48</v>
      </c>
      <c r="BC469" s="299" cm="1">
        <f t="array" aca="1" ref="BC469" ca="1">INDIRECT("'"&amp;$C469&amp;"'!"&amp;"$"&amp;$D469&amp;$BC$1&amp;"")</f>
        <v>1.32</v>
      </c>
      <c r="BD469" s="300"/>
      <c r="BE469" s="300">
        <v>0.99</v>
      </c>
      <c r="BF469" s="298">
        <v>0.18</v>
      </c>
      <c r="BG469" s="299" cm="1">
        <f t="array" aca="1" ref="BG469" ca="1">INDIRECT("'"&amp;$C469&amp;"'!"&amp;"$"&amp;$D469&amp;$BG$1&amp;"")</f>
        <v>0.81</v>
      </c>
      <c r="BH469" s="300"/>
      <c r="BI469" s="300">
        <v>0.96</v>
      </c>
      <c r="BJ469" s="298">
        <v>0.23</v>
      </c>
      <c r="BK469" s="299" cm="1">
        <f t="array" aca="1" ref="BK469" ca="1">INDIRECT("'"&amp;$C469&amp;"'!"&amp;"$"&amp;$D469&amp;$BK$1&amp;"")</f>
        <v>4.7</v>
      </c>
      <c r="BL469" s="300"/>
      <c r="BM469" s="300">
        <v>0.95</v>
      </c>
      <c r="BN469" s="298">
        <v>1.5</v>
      </c>
    </row>
    <row r="470" spans="1:66" ht="15.75" thickBot="1" x14ac:dyDescent="0.25">
      <c r="A470" s="367">
        <v>45707</v>
      </c>
      <c r="B470" s="365">
        <v>0.625</v>
      </c>
      <c r="C470" s="383">
        <f t="shared" si="7"/>
        <v>19</v>
      </c>
      <c r="D470" s="319" t="s">
        <v>125</v>
      </c>
      <c r="E470" s="290">
        <v>14</v>
      </c>
      <c r="F470" s="291">
        <v>68.739999999999995</v>
      </c>
      <c r="G470" s="292" cm="1">
        <f t="array" aca="1" ref="G470" ca="1">INDIRECT("'"&amp;$C470&amp;"'!"&amp;"$"&amp;$D470&amp;$E$1&amp;"")</f>
        <v>6.4</v>
      </c>
      <c r="H470" s="293">
        <v>0.91</v>
      </c>
      <c r="I470" s="291">
        <v>3.03</v>
      </c>
      <c r="J470" s="292" cm="1">
        <f t="array" aca="1" ref="J470" ca="1">INDIRECT("'"&amp;$C470&amp;"'!"&amp;"$"&amp;$D470&amp;$J$1&amp;"")</f>
        <v>0</v>
      </c>
      <c r="K470" s="293"/>
      <c r="L470" s="293" t="s">
        <v>1</v>
      </c>
      <c r="M470" s="291" t="s">
        <v>1</v>
      </c>
      <c r="N470" s="292" cm="1">
        <f t="array" aca="1" ref="N470" ca="1">INDIRECT("'"&amp;$C470&amp;"'!"&amp;"$"&amp;$D470&amp;$N$1&amp;"")</f>
        <v>6.4</v>
      </c>
      <c r="O470" s="293"/>
      <c r="P470" s="293">
        <v>0.91</v>
      </c>
      <c r="Q470" s="291">
        <v>3</v>
      </c>
      <c r="R470" s="292" cm="1">
        <f t="array" aca="1" ref="R470" ca="1">INDIRECT("'"&amp;$C470&amp;"'!"&amp;"$"&amp;$D470&amp;$R$1&amp;"")</f>
        <v>6.5</v>
      </c>
      <c r="S470" s="293"/>
      <c r="T470" s="293">
        <v>0.91</v>
      </c>
      <c r="U470" s="291">
        <v>2.99</v>
      </c>
      <c r="V470" s="292" t="str" cm="1">
        <f t="array" aca="1" ref="V470" ca="1">INDIRECT("'"&amp;$C470&amp;"'!"&amp;"$"&amp;$D470&amp;$V$1&amp;"")</f>
        <v>CMS</v>
      </c>
      <c r="W470" s="293" t="s">
        <v>1</v>
      </c>
      <c r="X470" s="293" t="s">
        <v>1</v>
      </c>
      <c r="Y470" s="294" t="s">
        <v>1</v>
      </c>
      <c r="Z470" s="386" cm="1">
        <f t="array" aca="1" ref="Z470" ca="1">INDIRECT("'"&amp;$C470&amp;"'!"&amp;"$"&amp;$D470&amp;$Z$1&amp;"")</f>
        <v>0</v>
      </c>
      <c r="AA470" s="292" t="s">
        <v>1</v>
      </c>
      <c r="AB470" s="293" t="s">
        <v>1</v>
      </c>
      <c r="AC470" s="291" t="s">
        <v>1</v>
      </c>
      <c r="AD470" s="292" cm="1">
        <f t="array" aca="1" ref="AD470" ca="1">INDIRECT("'"&amp;$C470&amp;"'!"&amp;"$"&amp;$D470&amp;$AD$1&amp;"")</f>
        <v>3.3</v>
      </c>
      <c r="AE470" s="293">
        <f>3.8*3.45</f>
        <v>13.11</v>
      </c>
      <c r="AF470" s="293">
        <v>0.92</v>
      </c>
      <c r="AG470" s="291">
        <v>1.45</v>
      </c>
      <c r="AH470" s="290" cm="1">
        <f t="array" aca="1" ref="AH470" ca="1">INDIRECT("'"&amp;$C470&amp;"'!"&amp;"$"&amp;$D470&amp;$AH$1&amp;"")</f>
        <v>3.8</v>
      </c>
      <c r="AI470" s="293">
        <v>14.04</v>
      </c>
      <c r="AJ470" s="293">
        <v>0.95</v>
      </c>
      <c r="AK470" s="291">
        <v>1.23</v>
      </c>
      <c r="AL470" s="290">
        <v>11.9</v>
      </c>
      <c r="AM470" s="294">
        <v>70.099999999999994</v>
      </c>
      <c r="AN470" s="290" cm="1">
        <f t="array" aca="1" ref="AN470" ca="1">INDIRECT("'"&amp;$C470&amp;"'!"&amp;"$"&amp;$D470&amp;$AL$1&amp;"")</f>
        <v>3.8</v>
      </c>
      <c r="AO470" s="293">
        <v>0.94</v>
      </c>
      <c r="AP470" s="291">
        <v>1.37</v>
      </c>
      <c r="AQ470" s="292" cm="1">
        <f t="array" aca="1" ref="AQ470" ca="1">INDIRECT("'"&amp;$C470&amp;"'!"&amp;"$"&amp;$D470&amp;$AQ$1&amp;"")</f>
        <v>3.8</v>
      </c>
      <c r="AR470" s="293">
        <v>0.94</v>
      </c>
      <c r="AS470" s="291">
        <v>1.37</v>
      </c>
      <c r="AT470" s="290">
        <v>14.25</v>
      </c>
      <c r="AU470" s="294">
        <v>71.569999999999993</v>
      </c>
      <c r="AV470" s="290" cm="1">
        <f t="array" aca="1" ref="AV470" ca="1">INDIRECT("'"&amp;$C470&amp;"'!"&amp;"$"&amp;$D470&amp;$AT$1&amp;"")</f>
        <v>14.31</v>
      </c>
      <c r="AW470" s="293">
        <v>0.98</v>
      </c>
      <c r="AX470" s="294">
        <v>3.4</v>
      </c>
      <c r="AY470" s="386">
        <v>67.2</v>
      </c>
      <c r="AZ470" s="296" cm="1">
        <f t="array" aca="1" ref="AZ470" ca="1">INDIRECT("'"&amp;$C470&amp;"'!"&amp;"$"&amp;$D470&amp;$AY$1&amp;"")</f>
        <v>0.81</v>
      </c>
      <c r="BA470" s="293">
        <v>0.95</v>
      </c>
      <c r="BB470" s="291">
        <v>0.25</v>
      </c>
      <c r="BC470" s="292" cm="1">
        <f t="array" aca="1" ref="BC470" ca="1">INDIRECT("'"&amp;$C470&amp;"'!"&amp;"$"&amp;$D470&amp;$BC$1&amp;"")</f>
        <v>1.3</v>
      </c>
      <c r="BD470" s="293"/>
      <c r="BE470" s="293">
        <v>0.99</v>
      </c>
      <c r="BF470" s="291">
        <v>0.15</v>
      </c>
      <c r="BG470" s="292" cm="1">
        <f t="array" aca="1" ref="BG470" ca="1">INDIRECT("'"&amp;$C470&amp;"'!"&amp;"$"&amp;$D470&amp;$BG$1&amp;"")</f>
        <v>0.82</v>
      </c>
      <c r="BH470" s="293"/>
      <c r="BI470" s="293">
        <v>0.96</v>
      </c>
      <c r="BJ470" s="291">
        <v>0.25</v>
      </c>
      <c r="BK470" s="292" cm="1">
        <f t="array" aca="1" ref="BK470" ca="1">INDIRECT("'"&amp;$C470&amp;"'!"&amp;"$"&amp;$D470&amp;$BK$1&amp;"")</f>
        <v>4.4000000000000004</v>
      </c>
      <c r="BL470" s="293"/>
      <c r="BM470" s="293">
        <v>0.95</v>
      </c>
      <c r="BN470" s="291">
        <v>1.4</v>
      </c>
    </row>
    <row r="471" spans="1:66" ht="15.75" thickBot="1" x14ac:dyDescent="0.25">
      <c r="A471" s="367">
        <v>45707</v>
      </c>
      <c r="B471" s="365">
        <v>0.66666666666666696</v>
      </c>
      <c r="C471" s="383">
        <f t="shared" si="7"/>
        <v>19</v>
      </c>
      <c r="D471" s="319" t="s">
        <v>126</v>
      </c>
      <c r="E471" s="297">
        <v>14</v>
      </c>
      <c r="F471" s="298">
        <v>68.819999999999993</v>
      </c>
      <c r="G471" s="299" cm="1">
        <f t="array" aca="1" ref="G471" ca="1">INDIRECT("'"&amp;$C471&amp;"'!"&amp;"$"&amp;$D471&amp;$E$1&amp;"")</f>
        <v>6.6</v>
      </c>
      <c r="H471" s="300">
        <v>0.91</v>
      </c>
      <c r="I471" s="298">
        <v>2.91</v>
      </c>
      <c r="J471" s="299" cm="1">
        <f t="array" aca="1" ref="J471" ca="1">INDIRECT("'"&amp;$C471&amp;"'!"&amp;"$"&amp;$D471&amp;$J$1&amp;"")</f>
        <v>0</v>
      </c>
      <c r="K471" s="300"/>
      <c r="L471" s="300" t="s">
        <v>1</v>
      </c>
      <c r="M471" s="298" t="s">
        <v>1</v>
      </c>
      <c r="N471" s="299" cm="1">
        <f t="array" aca="1" ref="N471" ca="1">INDIRECT("'"&amp;$C471&amp;"'!"&amp;"$"&amp;$D471&amp;$N$1&amp;"")</f>
        <v>6.6</v>
      </c>
      <c r="O471" s="300"/>
      <c r="P471" s="300">
        <v>0.91</v>
      </c>
      <c r="Q471" s="298">
        <v>2.89</v>
      </c>
      <c r="R471" s="299" cm="1">
        <f t="array" aca="1" ref="R471" ca="1">INDIRECT("'"&amp;$C471&amp;"'!"&amp;"$"&amp;$D471&amp;$R$1&amp;"")</f>
        <v>6.6</v>
      </c>
      <c r="S471" s="300"/>
      <c r="T471" s="300">
        <v>0.91</v>
      </c>
      <c r="U471" s="298">
        <v>2.9</v>
      </c>
      <c r="V471" s="299" t="str" cm="1">
        <f t="array" aca="1" ref="V471" ca="1">INDIRECT("'"&amp;$C471&amp;"'!"&amp;"$"&amp;$D471&amp;$V$1&amp;"")</f>
        <v>CMS</v>
      </c>
      <c r="W471" s="300" t="s">
        <v>1</v>
      </c>
      <c r="X471" s="300" t="s">
        <v>1</v>
      </c>
      <c r="Y471" s="301" t="s">
        <v>1</v>
      </c>
      <c r="Z471" s="387" cm="1">
        <f t="array" aca="1" ref="Z471" ca="1">INDIRECT("'"&amp;$C471&amp;"'!"&amp;"$"&amp;$D471&amp;$Z$1&amp;"")</f>
        <v>0</v>
      </c>
      <c r="AA471" s="299" t="s">
        <v>1</v>
      </c>
      <c r="AB471" s="300" t="s">
        <v>1</v>
      </c>
      <c r="AC471" s="298" t="s">
        <v>1</v>
      </c>
      <c r="AD471" s="299" cm="1">
        <f t="array" aca="1" ref="AD471" ca="1">INDIRECT("'"&amp;$C471&amp;"'!"&amp;"$"&amp;$D471&amp;$AD$1&amp;"")</f>
        <v>3.3</v>
      </c>
      <c r="AE471" s="300">
        <f>3.8*3.45</f>
        <v>13.11</v>
      </c>
      <c r="AF471" s="300">
        <v>0.92</v>
      </c>
      <c r="AG471" s="298">
        <v>1.47</v>
      </c>
      <c r="AH471" s="297" cm="1">
        <f t="array" aca="1" ref="AH471" ca="1">INDIRECT("'"&amp;$C471&amp;"'!"&amp;"$"&amp;$D471&amp;$AH$1&amp;"")</f>
        <v>4</v>
      </c>
      <c r="AI471" s="300">
        <v>14.04</v>
      </c>
      <c r="AJ471" s="300">
        <v>0.94</v>
      </c>
      <c r="AK471" s="298">
        <v>1.37</v>
      </c>
      <c r="AL471" s="297">
        <v>11.9</v>
      </c>
      <c r="AM471" s="301">
        <v>69.900000000000006</v>
      </c>
      <c r="AN471" s="297" cm="1">
        <f t="array" aca="1" ref="AN471" ca="1">INDIRECT("'"&amp;$C471&amp;"'!"&amp;"$"&amp;$D471&amp;$AL$1&amp;"")</f>
        <v>4</v>
      </c>
      <c r="AO471" s="300">
        <v>0.93</v>
      </c>
      <c r="AP471" s="298">
        <v>1.43</v>
      </c>
      <c r="AQ471" s="299" cm="1">
        <f t="array" aca="1" ref="AQ471" ca="1">INDIRECT("'"&amp;$C471&amp;"'!"&amp;"$"&amp;$D471&amp;$AQ$1&amp;"")</f>
        <v>4</v>
      </c>
      <c r="AR471" s="300">
        <v>0.93</v>
      </c>
      <c r="AS471" s="298">
        <v>1.54</v>
      </c>
      <c r="AT471" s="297">
        <v>14.25</v>
      </c>
      <c r="AU471" s="301">
        <v>71.63</v>
      </c>
      <c r="AV471" s="297" cm="1">
        <f t="array" aca="1" ref="AV471" ca="1">INDIRECT("'"&amp;$C471&amp;"'!"&amp;"$"&amp;$D471&amp;$AT$1&amp;"")</f>
        <v>14.35</v>
      </c>
      <c r="AW471" s="300">
        <v>0.98</v>
      </c>
      <c r="AX471" s="301">
        <v>3.4</v>
      </c>
      <c r="AY471" s="387">
        <v>67.099999999999994</v>
      </c>
      <c r="AZ471" s="303" cm="1">
        <f t="array" aca="1" ref="AZ471" ca="1">INDIRECT("'"&amp;$C471&amp;"'!"&amp;"$"&amp;$D471&amp;$AY$1&amp;"")</f>
        <v>2.2999999999999998</v>
      </c>
      <c r="BA471" s="300">
        <v>0.95</v>
      </c>
      <c r="BB471" s="298">
        <v>0.74</v>
      </c>
      <c r="BC471" s="299" cm="1">
        <f t="array" aca="1" ref="BC471" ca="1">INDIRECT("'"&amp;$C471&amp;"'!"&amp;"$"&amp;$D471&amp;$BC$1&amp;"")</f>
        <v>1.3</v>
      </c>
      <c r="BD471" s="300"/>
      <c r="BE471" s="300">
        <v>0.99</v>
      </c>
      <c r="BF471" s="298">
        <v>0.16</v>
      </c>
      <c r="BG471" s="299" cm="1">
        <f t="array" aca="1" ref="BG471" ca="1">INDIRECT("'"&amp;$C471&amp;"'!"&amp;"$"&amp;$D471&amp;$BG$1&amp;"")</f>
        <v>0.82</v>
      </c>
      <c r="BH471" s="300"/>
      <c r="BI471" s="300">
        <v>0.96</v>
      </c>
      <c r="BJ471" s="298">
        <v>0.24</v>
      </c>
      <c r="BK471" s="299" cm="1">
        <f t="array" aca="1" ref="BK471" ca="1">INDIRECT("'"&amp;$C471&amp;"'!"&amp;"$"&amp;$D471&amp;$BK$1&amp;"")</f>
        <v>4.3</v>
      </c>
      <c r="BL471" s="300"/>
      <c r="BM471" s="300">
        <v>0.95</v>
      </c>
      <c r="BN471" s="298">
        <v>1.4</v>
      </c>
    </row>
    <row r="472" spans="1:66" ht="15.75" thickBot="1" x14ac:dyDescent="0.25">
      <c r="A472" s="367">
        <v>45707</v>
      </c>
      <c r="B472" s="365">
        <v>0.70833333333333404</v>
      </c>
      <c r="C472" s="383">
        <f t="shared" si="7"/>
        <v>19</v>
      </c>
      <c r="D472" s="319" t="s">
        <v>127</v>
      </c>
      <c r="E472" s="290">
        <v>14</v>
      </c>
      <c r="F472" s="291">
        <v>68.819999999999993</v>
      </c>
      <c r="G472" s="292" cm="1">
        <f t="array" aca="1" ref="G472" ca="1">INDIRECT("'"&amp;$C472&amp;"'!"&amp;"$"&amp;$D472&amp;$E$1&amp;"")</f>
        <v>6.7</v>
      </c>
      <c r="H472" s="293">
        <v>0.9</v>
      </c>
      <c r="I472" s="291">
        <v>3</v>
      </c>
      <c r="J472" s="292" cm="1">
        <f t="array" aca="1" ref="J472" ca="1">INDIRECT("'"&amp;$C472&amp;"'!"&amp;"$"&amp;$D472&amp;$J$1&amp;"")</f>
        <v>0</v>
      </c>
      <c r="K472" s="293"/>
      <c r="L472" s="293" t="s">
        <v>1</v>
      </c>
      <c r="M472" s="291" t="s">
        <v>1</v>
      </c>
      <c r="N472" s="292" cm="1">
        <f t="array" aca="1" ref="N472" ca="1">INDIRECT("'"&amp;$C472&amp;"'!"&amp;"$"&amp;$D472&amp;$N$1&amp;"")</f>
        <v>6.7</v>
      </c>
      <c r="O472" s="293"/>
      <c r="P472" s="293">
        <v>0.91</v>
      </c>
      <c r="Q472" s="291">
        <v>2.61</v>
      </c>
      <c r="R472" s="292" cm="1">
        <f t="array" aca="1" ref="R472" ca="1">INDIRECT("'"&amp;$C472&amp;"'!"&amp;"$"&amp;$D472&amp;$R$1&amp;"")</f>
        <v>6.8</v>
      </c>
      <c r="S472" s="293"/>
      <c r="T472" s="293">
        <v>0.93</v>
      </c>
      <c r="U472" s="291">
        <v>2.72</v>
      </c>
      <c r="V472" s="292" t="str" cm="1">
        <f t="array" aca="1" ref="V472" ca="1">INDIRECT("'"&amp;$C472&amp;"'!"&amp;"$"&amp;$D472&amp;$V$1&amp;"")</f>
        <v>CMS</v>
      </c>
      <c r="W472" s="293" t="s">
        <v>1</v>
      </c>
      <c r="X472" s="293" t="s">
        <v>1</v>
      </c>
      <c r="Y472" s="294" t="s">
        <v>1</v>
      </c>
      <c r="Z472" s="386" cm="1">
        <f t="array" aca="1" ref="Z472" ca="1">INDIRECT("'"&amp;$C472&amp;"'!"&amp;"$"&amp;$D472&amp;$Z$1&amp;"")</f>
        <v>0</v>
      </c>
      <c r="AA472" s="292" t="s">
        <v>1</v>
      </c>
      <c r="AB472" s="293" t="s">
        <v>1</v>
      </c>
      <c r="AC472" s="291" t="s">
        <v>1</v>
      </c>
      <c r="AD472" s="292" cm="1">
        <f t="array" aca="1" ref="AD472" ca="1">INDIRECT("'"&amp;$C472&amp;"'!"&amp;"$"&amp;$D472&amp;$AD$1&amp;"")</f>
        <v>3.3</v>
      </c>
      <c r="AE472" s="293">
        <f>3.8*3.47</f>
        <v>13.186</v>
      </c>
      <c r="AF472" s="293">
        <v>0.93</v>
      </c>
      <c r="AG472" s="291">
        <v>1.31</v>
      </c>
      <c r="AH472" s="290" cm="1">
        <f t="array" aca="1" ref="AH472" ca="1">INDIRECT("'"&amp;$C472&amp;"'!"&amp;"$"&amp;$D472&amp;$AH$1&amp;"")</f>
        <v>4</v>
      </c>
      <c r="AI472" s="293">
        <v>14.04</v>
      </c>
      <c r="AJ472" s="293">
        <v>0.97</v>
      </c>
      <c r="AK472" s="291">
        <v>0.99</v>
      </c>
      <c r="AL472" s="290">
        <v>11.9</v>
      </c>
      <c r="AM472" s="294">
        <v>70.2</v>
      </c>
      <c r="AN472" s="290" cm="1">
        <f t="array" aca="1" ref="AN472" ca="1">INDIRECT("'"&amp;$C472&amp;"'!"&amp;"$"&amp;$D472&amp;$AL$1&amp;"")</f>
        <v>3.5</v>
      </c>
      <c r="AO472" s="293">
        <v>0.94</v>
      </c>
      <c r="AP472" s="291">
        <v>1.1499999999999999</v>
      </c>
      <c r="AQ472" s="292" cm="1">
        <f t="array" aca="1" ref="AQ472" ca="1">INDIRECT("'"&amp;$C472&amp;"'!"&amp;"$"&amp;$D472&amp;$AQ$1&amp;"")</f>
        <v>3.5</v>
      </c>
      <c r="AR472" s="293">
        <v>0.94</v>
      </c>
      <c r="AS472" s="291">
        <v>1.34</v>
      </c>
      <c r="AT472" s="290">
        <v>14.29</v>
      </c>
      <c r="AU472" s="294">
        <v>72.17</v>
      </c>
      <c r="AV472" s="290" cm="1">
        <f t="array" aca="1" ref="AV472" ca="1">INDIRECT("'"&amp;$C472&amp;"'!"&amp;"$"&amp;$D472&amp;$AT$1&amp;"")</f>
        <v>13.83</v>
      </c>
      <c r="AW472" s="293">
        <v>0.98</v>
      </c>
      <c r="AX472" s="294">
        <v>3.3</v>
      </c>
      <c r="AY472" s="386">
        <v>67.2</v>
      </c>
      <c r="AZ472" s="296" cm="1">
        <f t="array" aca="1" ref="AZ472" ca="1">INDIRECT("'"&amp;$C472&amp;"'!"&amp;"$"&amp;$D472&amp;$AY$1&amp;"")</f>
        <v>0</v>
      </c>
      <c r="BA472" s="293" t="s">
        <v>1</v>
      </c>
      <c r="BB472" s="291" t="s">
        <v>1</v>
      </c>
      <c r="BC472" s="292" cm="1">
        <f t="array" aca="1" ref="BC472" ca="1">INDIRECT("'"&amp;$C472&amp;"'!"&amp;"$"&amp;$D472&amp;$BC$1&amp;"")</f>
        <v>1.27</v>
      </c>
      <c r="BD472" s="293"/>
      <c r="BE472" s="293">
        <v>0.99</v>
      </c>
      <c r="BF472" s="291">
        <v>0.16</v>
      </c>
      <c r="BG472" s="292" cm="1">
        <f t="array" aca="1" ref="BG472" ca="1">INDIRECT("'"&amp;$C472&amp;"'!"&amp;"$"&amp;$D472&amp;$BG$1&amp;"")</f>
        <v>0.86</v>
      </c>
      <c r="BH472" s="293"/>
      <c r="BI472" s="293">
        <v>0.96</v>
      </c>
      <c r="BJ472" s="291">
        <v>0.25</v>
      </c>
      <c r="BK472" s="292" cm="1">
        <f t="array" aca="1" ref="BK472" ca="1">INDIRECT("'"&amp;$C472&amp;"'!"&amp;"$"&amp;$D472&amp;$BK$1&amp;"")</f>
        <v>3.9</v>
      </c>
      <c r="BL472" s="293"/>
      <c r="BM472" s="293">
        <v>0.95</v>
      </c>
      <c r="BN472" s="291">
        <v>1.2</v>
      </c>
    </row>
    <row r="473" spans="1:66" ht="15.75" thickBot="1" x14ac:dyDescent="0.25">
      <c r="A473" s="367">
        <v>45707</v>
      </c>
      <c r="B473" s="365">
        <v>0.750000000000001</v>
      </c>
      <c r="C473" s="383">
        <f t="shared" si="7"/>
        <v>19</v>
      </c>
      <c r="D473" s="319" t="s">
        <v>128</v>
      </c>
      <c r="E473" s="297">
        <v>14</v>
      </c>
      <c r="F473" s="298">
        <v>68.7</v>
      </c>
      <c r="G473" s="299" cm="1">
        <f t="array" aca="1" ref="G473" ca="1">INDIRECT("'"&amp;$C473&amp;"'!"&amp;"$"&amp;$D473&amp;$E$1&amp;"")</f>
        <v>6.7</v>
      </c>
      <c r="H473" s="300">
        <v>0.91</v>
      </c>
      <c r="I473" s="298">
        <v>2.78</v>
      </c>
      <c r="J473" s="299" cm="1">
        <f t="array" aca="1" ref="J473" ca="1">INDIRECT("'"&amp;$C473&amp;"'!"&amp;"$"&amp;$D473&amp;$J$1&amp;"")</f>
        <v>0</v>
      </c>
      <c r="K473" s="300"/>
      <c r="L473" s="300" t="s">
        <v>1</v>
      </c>
      <c r="M473" s="298" t="s">
        <v>1</v>
      </c>
      <c r="N473" s="299" cm="1">
        <f t="array" aca="1" ref="N473" ca="1">INDIRECT("'"&amp;$C473&amp;"'!"&amp;"$"&amp;$D473&amp;$N$1&amp;"")</f>
        <v>6.7</v>
      </c>
      <c r="O473" s="300"/>
      <c r="P473" s="300">
        <v>0.91</v>
      </c>
      <c r="Q473" s="298">
        <v>3</v>
      </c>
      <c r="R473" s="299" cm="1">
        <f t="array" aca="1" ref="R473" ca="1">INDIRECT("'"&amp;$C473&amp;"'!"&amp;"$"&amp;$D473&amp;$R$1&amp;"")</f>
        <v>6.9</v>
      </c>
      <c r="S473" s="300"/>
      <c r="T473" s="300">
        <v>0.93</v>
      </c>
      <c r="U473" s="298">
        <v>2.78</v>
      </c>
      <c r="V473" s="299" t="str" cm="1">
        <f t="array" aca="1" ref="V473" ca="1">INDIRECT("'"&amp;$C473&amp;"'!"&amp;"$"&amp;$D473&amp;$V$1&amp;"")</f>
        <v>CMS</v>
      </c>
      <c r="W473" s="300" t="s">
        <v>1</v>
      </c>
      <c r="X473" s="300" t="s">
        <v>1</v>
      </c>
      <c r="Y473" s="301" t="s">
        <v>1</v>
      </c>
      <c r="Z473" s="387" cm="1">
        <f t="array" aca="1" ref="Z473" ca="1">INDIRECT("'"&amp;$C473&amp;"'!"&amp;"$"&amp;$D473&amp;$Z$1&amp;"")</f>
        <v>0</v>
      </c>
      <c r="AA473" s="299" t="s">
        <v>1</v>
      </c>
      <c r="AB473" s="300" t="s">
        <v>1</v>
      </c>
      <c r="AC473" s="298" t="s">
        <v>1</v>
      </c>
      <c r="AD473" s="299" cm="1">
        <f t="array" aca="1" ref="AD473" ca="1">INDIRECT("'"&amp;$C473&amp;"'!"&amp;"$"&amp;$D473&amp;$AD$1&amp;"")</f>
        <v>3.3</v>
      </c>
      <c r="AE473" s="300">
        <f>3.8*3.46</f>
        <v>13.148</v>
      </c>
      <c r="AF473" s="300">
        <v>0.93</v>
      </c>
      <c r="AG473" s="298">
        <v>1.3</v>
      </c>
      <c r="AH473" s="297" cm="1">
        <f t="array" aca="1" ref="AH473" ca="1">INDIRECT("'"&amp;$C473&amp;"'!"&amp;"$"&amp;$D473&amp;$AH$1&amp;"")</f>
        <v>3.8</v>
      </c>
      <c r="AI473" s="300">
        <v>14.04</v>
      </c>
      <c r="AJ473" s="300">
        <v>0.94</v>
      </c>
      <c r="AK473" s="298">
        <v>1.28</v>
      </c>
      <c r="AL473" s="297">
        <v>11.8</v>
      </c>
      <c r="AM473" s="301">
        <v>69.8</v>
      </c>
      <c r="AN473" s="297" cm="1">
        <f t="array" aca="1" ref="AN473" ca="1">INDIRECT("'"&amp;$C473&amp;"'!"&amp;"$"&amp;$D473&amp;$AL$1&amp;"")</f>
        <v>3.5</v>
      </c>
      <c r="AO473" s="300">
        <v>0.96</v>
      </c>
      <c r="AP473" s="298">
        <v>1.03</v>
      </c>
      <c r="AQ473" s="299" cm="1">
        <f t="array" aca="1" ref="AQ473" ca="1">INDIRECT("'"&amp;$C473&amp;"'!"&amp;"$"&amp;$D473&amp;$AQ$1&amp;"")</f>
        <v>3.5</v>
      </c>
      <c r="AR473" s="300">
        <v>0.96</v>
      </c>
      <c r="AS473" s="298">
        <v>1.06</v>
      </c>
      <c r="AT473" s="297">
        <v>14.08</v>
      </c>
      <c r="AU473" s="301">
        <v>71.28</v>
      </c>
      <c r="AV473" s="297" cm="1">
        <f t="array" aca="1" ref="AV473" ca="1">INDIRECT("'"&amp;$C473&amp;"'!"&amp;"$"&amp;$D473&amp;$AT$1&amp;"")</f>
        <v>12.85</v>
      </c>
      <c r="AW473" s="300">
        <v>0.99</v>
      </c>
      <c r="AX473" s="301">
        <v>2.1</v>
      </c>
      <c r="AY473" s="387">
        <v>67</v>
      </c>
      <c r="AZ473" s="303" cm="1">
        <f t="array" aca="1" ref="AZ473" ca="1">INDIRECT("'"&amp;$C473&amp;"'!"&amp;"$"&amp;$D473&amp;$AY$1&amp;"")</f>
        <v>0</v>
      </c>
      <c r="BA473" s="300" t="s">
        <v>1</v>
      </c>
      <c r="BB473" s="298" t="s">
        <v>1</v>
      </c>
      <c r="BC473" s="299" cm="1">
        <f t="array" aca="1" ref="BC473" ca="1">INDIRECT("'"&amp;$C473&amp;"'!"&amp;"$"&amp;$D473&amp;$BC$1&amp;"")</f>
        <v>1.28</v>
      </c>
      <c r="BD473" s="300"/>
      <c r="BE473" s="300">
        <v>0.99</v>
      </c>
      <c r="BF473" s="298">
        <v>0.16</v>
      </c>
      <c r="BG473" s="299" cm="1">
        <f t="array" aca="1" ref="BG473" ca="1">INDIRECT("'"&amp;$C473&amp;"'!"&amp;"$"&amp;$D473&amp;$BG$1&amp;"")</f>
        <v>0.87</v>
      </c>
      <c r="BH473" s="300"/>
      <c r="BI473" s="300">
        <v>0.96</v>
      </c>
      <c r="BJ473" s="298">
        <v>0.25</v>
      </c>
      <c r="BK473" s="299" cm="1">
        <f t="array" aca="1" ref="BK473" ca="1">INDIRECT("'"&amp;$C473&amp;"'!"&amp;"$"&amp;$D473&amp;$BK$1&amp;"")</f>
        <v>3.7</v>
      </c>
      <c r="BL473" s="300"/>
      <c r="BM473" s="300">
        <v>0.95</v>
      </c>
      <c r="BN473" s="298">
        <v>1.2</v>
      </c>
    </row>
    <row r="474" spans="1:66" ht="15.75" thickBot="1" x14ac:dyDescent="0.25">
      <c r="A474" s="367">
        <v>45707</v>
      </c>
      <c r="B474" s="365">
        <v>0.79166666666666696</v>
      </c>
      <c r="C474" s="383">
        <f t="shared" si="7"/>
        <v>19</v>
      </c>
      <c r="D474" s="319" t="s">
        <v>129</v>
      </c>
      <c r="E474" s="290">
        <v>14</v>
      </c>
      <c r="F474" s="291">
        <v>68.900000000000006</v>
      </c>
      <c r="G474" s="292" cm="1">
        <f t="array" aca="1" ref="G474" ca="1">INDIRECT("'"&amp;$C474&amp;"'!"&amp;"$"&amp;$D474&amp;$E$1&amp;"")</f>
        <v>6.7</v>
      </c>
      <c r="H474" s="293">
        <v>0.92</v>
      </c>
      <c r="I474" s="291">
        <v>2.84</v>
      </c>
      <c r="J474" s="292" cm="1">
        <f t="array" aca="1" ref="J474" ca="1">INDIRECT("'"&amp;$C474&amp;"'!"&amp;"$"&amp;$D474&amp;$J$1&amp;"")</f>
        <v>0</v>
      </c>
      <c r="K474" s="304"/>
      <c r="L474" s="293" t="s">
        <v>1</v>
      </c>
      <c r="M474" s="291" t="s">
        <v>1</v>
      </c>
      <c r="N474" s="292" cm="1">
        <f t="array" aca="1" ref="N474" ca="1">INDIRECT("'"&amp;$C474&amp;"'!"&amp;"$"&amp;$D474&amp;$N$1&amp;"")</f>
        <v>6.6</v>
      </c>
      <c r="O474" s="293"/>
      <c r="P474" s="293">
        <v>0.92</v>
      </c>
      <c r="Q474" s="291">
        <v>2.8</v>
      </c>
      <c r="R474" s="292" cm="1">
        <f t="array" aca="1" ref="R474" ca="1">INDIRECT("'"&amp;$C474&amp;"'!"&amp;"$"&amp;$D474&amp;$R$1&amp;"")</f>
        <v>6.7</v>
      </c>
      <c r="S474" s="293"/>
      <c r="T474" s="293">
        <v>0.92</v>
      </c>
      <c r="U474" s="291">
        <v>2.89</v>
      </c>
      <c r="V474" s="292" t="str" cm="1">
        <f t="array" aca="1" ref="V474" ca="1">INDIRECT("'"&amp;$C474&amp;"'!"&amp;"$"&amp;$D474&amp;$V$1&amp;"")</f>
        <v>CMS</v>
      </c>
      <c r="W474" s="293" t="s">
        <v>1</v>
      </c>
      <c r="X474" s="293" t="s">
        <v>1</v>
      </c>
      <c r="Y474" s="294" t="s">
        <v>1</v>
      </c>
      <c r="Z474" s="386" cm="1">
        <f t="array" aca="1" ref="Z474" ca="1">INDIRECT("'"&amp;$C474&amp;"'!"&amp;"$"&amp;$D474&amp;$Z$1&amp;"")</f>
        <v>0</v>
      </c>
      <c r="AA474" s="292" t="s">
        <v>1</v>
      </c>
      <c r="AB474" s="293" t="s">
        <v>1</v>
      </c>
      <c r="AC474" s="291" t="s">
        <v>1</v>
      </c>
      <c r="AD474" s="292" cm="1">
        <f t="array" aca="1" ref="AD474" ca="1">INDIRECT("'"&amp;$C474&amp;"'!"&amp;"$"&amp;$D474&amp;$AD$1&amp;"")</f>
        <v>3.3</v>
      </c>
      <c r="AE474" s="293">
        <f>3.8*3.48</f>
        <v>13.224</v>
      </c>
      <c r="AF474" s="293">
        <v>0.91</v>
      </c>
      <c r="AG474" s="291">
        <v>1.59</v>
      </c>
      <c r="AH474" s="290" cm="1">
        <f t="array" aca="1" ref="AH474" ca="1">INDIRECT("'"&amp;$C474&amp;"'!"&amp;"$"&amp;$D474&amp;$AH$1&amp;"")</f>
        <v>4</v>
      </c>
      <c r="AI474" s="293">
        <v>14.04</v>
      </c>
      <c r="AJ474" s="293">
        <v>0.97</v>
      </c>
      <c r="AK474" s="291">
        <v>1.1100000000000001</v>
      </c>
      <c r="AL474" s="290">
        <v>11.9</v>
      </c>
      <c r="AM474" s="294">
        <v>70</v>
      </c>
      <c r="AN474" s="290" cm="1">
        <f t="array" aca="1" ref="AN474" ca="1">INDIRECT("'"&amp;$C474&amp;"'!"&amp;"$"&amp;$D474&amp;$AL$1&amp;"")</f>
        <v>3.8</v>
      </c>
      <c r="AO474" s="293">
        <v>0.96</v>
      </c>
      <c r="AP474" s="291">
        <v>1.1200000000000001</v>
      </c>
      <c r="AQ474" s="292" cm="1">
        <f t="array" aca="1" ref="AQ474" ca="1">INDIRECT("'"&amp;$C474&amp;"'!"&amp;"$"&amp;$D474&amp;$AQ$1&amp;"")</f>
        <v>3.8</v>
      </c>
      <c r="AR474" s="293">
        <v>0.96</v>
      </c>
      <c r="AS474" s="291">
        <v>1.02</v>
      </c>
      <c r="AT474" s="290">
        <v>14.19</v>
      </c>
      <c r="AU474" s="294">
        <v>71.78</v>
      </c>
      <c r="AV474" s="290" cm="1">
        <f t="array" aca="1" ref="AV474" ca="1">INDIRECT("'"&amp;$C474&amp;"'!"&amp;"$"&amp;$D474&amp;$AT$1&amp;"")</f>
        <v>14.33</v>
      </c>
      <c r="AW474" s="293">
        <v>0.99</v>
      </c>
      <c r="AX474" s="294">
        <v>2.2999999999999998</v>
      </c>
      <c r="AY474" s="386">
        <v>67.400000000000006</v>
      </c>
      <c r="AZ474" s="296" cm="1">
        <f t="array" aca="1" ref="AZ474" ca="1">INDIRECT("'"&amp;$C474&amp;"'!"&amp;"$"&amp;$D474&amp;$AY$1&amp;"")</f>
        <v>2.2999999999999998</v>
      </c>
      <c r="BA474" s="293">
        <v>0.96</v>
      </c>
      <c r="BB474" s="291">
        <v>0.67</v>
      </c>
      <c r="BC474" s="292" cm="1">
        <f t="array" aca="1" ref="BC474" ca="1">INDIRECT("'"&amp;$C474&amp;"'!"&amp;"$"&amp;$D474&amp;$BC$1&amp;"")</f>
        <v>1.6</v>
      </c>
      <c r="BD474" s="293"/>
      <c r="BE474" s="293">
        <v>0.99</v>
      </c>
      <c r="BF474" s="291">
        <v>0.18</v>
      </c>
      <c r="BG474" s="292" cm="1">
        <f t="array" aca="1" ref="BG474" ca="1">INDIRECT("'"&amp;$C474&amp;"'!"&amp;"$"&amp;$D474&amp;$BG$1&amp;"")</f>
        <v>1</v>
      </c>
      <c r="BH474" s="293"/>
      <c r="BI474" s="293">
        <v>0.97</v>
      </c>
      <c r="BJ474" s="291">
        <v>0.26</v>
      </c>
      <c r="BK474" s="292" cm="1">
        <f t="array" aca="1" ref="BK474" ca="1">INDIRECT("'"&amp;$C474&amp;"'!"&amp;"$"&amp;$D474&amp;$BK$1&amp;"")</f>
        <v>0</v>
      </c>
      <c r="BL474" s="293"/>
      <c r="BM474" s="293" t="s">
        <v>1</v>
      </c>
      <c r="BN474" s="291" t="s">
        <v>1</v>
      </c>
    </row>
    <row r="475" spans="1:66" ht="15.75" thickBot="1" x14ac:dyDescent="0.25">
      <c r="A475" s="367">
        <v>45707</v>
      </c>
      <c r="B475" s="365">
        <v>0.83333333333333337</v>
      </c>
      <c r="C475" s="383">
        <f t="shared" si="7"/>
        <v>19</v>
      </c>
      <c r="D475" s="319" t="s">
        <v>130</v>
      </c>
      <c r="E475" s="297">
        <v>14</v>
      </c>
      <c r="F475" s="298">
        <v>69.19</v>
      </c>
      <c r="G475" s="299" cm="1">
        <f t="array" aca="1" ref="G475" ca="1">INDIRECT("'"&amp;$C475&amp;"'!"&amp;"$"&amp;$D475&amp;$E$1&amp;"")</f>
        <v>6.7</v>
      </c>
      <c r="H475" s="300">
        <v>0.94</v>
      </c>
      <c r="I475" s="298">
        <v>2.5299999999999998</v>
      </c>
      <c r="J475" s="299" cm="1">
        <f t="array" aca="1" ref="J475" ca="1">INDIRECT("'"&amp;$C475&amp;"'!"&amp;"$"&amp;$D475&amp;$J$1&amp;"")</f>
        <v>0</v>
      </c>
      <c r="K475" s="300"/>
      <c r="L475" s="300" t="s">
        <v>1</v>
      </c>
      <c r="M475" s="298" t="s">
        <v>1</v>
      </c>
      <c r="N475" s="299" cm="1">
        <f t="array" aca="1" ref="N475" ca="1">INDIRECT("'"&amp;$C475&amp;"'!"&amp;"$"&amp;$D475&amp;$N$1&amp;"")</f>
        <v>6.7</v>
      </c>
      <c r="O475" s="300"/>
      <c r="P475" s="300">
        <v>0.92</v>
      </c>
      <c r="Q475" s="298">
        <v>2.82</v>
      </c>
      <c r="R475" s="299" cm="1">
        <f t="array" aca="1" ref="R475" ca="1">INDIRECT("'"&amp;$C475&amp;"'!"&amp;"$"&amp;$D475&amp;$R$1&amp;"")</f>
        <v>6.7</v>
      </c>
      <c r="S475" s="300"/>
      <c r="T475" s="300">
        <v>0.94</v>
      </c>
      <c r="U475" s="298">
        <v>2.5</v>
      </c>
      <c r="V475" s="299" t="str" cm="1">
        <f t="array" aca="1" ref="V475" ca="1">INDIRECT("'"&amp;$C475&amp;"'!"&amp;"$"&amp;$D475&amp;$V$1&amp;"")</f>
        <v>CMS</v>
      </c>
      <c r="W475" s="300" t="s">
        <v>1</v>
      </c>
      <c r="X475" s="300" t="s">
        <v>1</v>
      </c>
      <c r="Y475" s="301" t="s">
        <v>1</v>
      </c>
      <c r="Z475" s="387" cm="1">
        <f t="array" aca="1" ref="Z475" ca="1">INDIRECT("'"&amp;$C475&amp;"'!"&amp;"$"&amp;$D475&amp;$Z$1&amp;"")</f>
        <v>0</v>
      </c>
      <c r="AA475" s="299" t="s">
        <v>1</v>
      </c>
      <c r="AB475" s="300" t="s">
        <v>1</v>
      </c>
      <c r="AC475" s="298" t="s">
        <v>1</v>
      </c>
      <c r="AD475" s="299" cm="1">
        <f t="array" aca="1" ref="AD475" ca="1">INDIRECT("'"&amp;$C475&amp;"'!"&amp;"$"&amp;$D475&amp;$AD$1&amp;"")</f>
        <v>3.3</v>
      </c>
      <c r="AE475" s="300">
        <f>3.8*3.5</f>
        <v>13.299999999999999</v>
      </c>
      <c r="AF475" s="300">
        <v>0.93</v>
      </c>
      <c r="AG475" s="298">
        <v>1.31</v>
      </c>
      <c r="AH475" s="297" cm="1">
        <f t="array" aca="1" ref="AH475" ca="1">INDIRECT("'"&amp;$C475&amp;"'!"&amp;"$"&amp;$D475&amp;$AH$1&amp;"")</f>
        <v>4</v>
      </c>
      <c r="AI475" s="300">
        <v>14.08</v>
      </c>
      <c r="AJ475" s="300">
        <v>0.96</v>
      </c>
      <c r="AK475" s="298">
        <v>1.08</v>
      </c>
      <c r="AL475" s="297">
        <v>11.9</v>
      </c>
      <c r="AM475" s="301">
        <v>70.2</v>
      </c>
      <c r="AN475" s="297" cm="1">
        <f t="array" aca="1" ref="AN475" ca="1">INDIRECT("'"&amp;$C475&amp;"'!"&amp;"$"&amp;$D475&amp;$AL$1&amp;"")</f>
        <v>3.8</v>
      </c>
      <c r="AO475" s="300">
        <v>0.97</v>
      </c>
      <c r="AP475" s="298">
        <v>1.1000000000000001</v>
      </c>
      <c r="AQ475" s="299" cm="1">
        <f t="array" aca="1" ref="AQ475" ca="1">INDIRECT("'"&amp;$C475&amp;"'!"&amp;"$"&amp;$D475&amp;$AQ$1&amp;"")</f>
        <v>3.8</v>
      </c>
      <c r="AR475" s="300">
        <v>0.97</v>
      </c>
      <c r="AS475" s="298">
        <v>1</v>
      </c>
      <c r="AT475" s="297">
        <v>14.19</v>
      </c>
      <c r="AU475" s="301">
        <v>71.8</v>
      </c>
      <c r="AV475" s="297" cm="1">
        <f t="array" aca="1" ref="AV475" ca="1">INDIRECT("'"&amp;$C475&amp;"'!"&amp;"$"&amp;$D475&amp;$AT$1&amp;"")</f>
        <v>14.34</v>
      </c>
      <c r="AW475" s="300">
        <v>0.99</v>
      </c>
      <c r="AX475" s="301">
        <v>2.2999999999999998</v>
      </c>
      <c r="AY475" s="387">
        <v>67.599999999999994</v>
      </c>
      <c r="AZ475" s="303" cm="1">
        <f t="array" aca="1" ref="AZ475" ca="1">INDIRECT("'"&amp;$C475&amp;"'!"&amp;"$"&amp;$D475&amp;$AY$1&amp;"")</f>
        <v>0</v>
      </c>
      <c r="BA475" s="300" t="s">
        <v>1</v>
      </c>
      <c r="BB475" s="298" t="s">
        <v>1</v>
      </c>
      <c r="BC475" s="299" cm="1">
        <f t="array" aca="1" ref="BC475" ca="1">INDIRECT("'"&amp;$C475&amp;"'!"&amp;"$"&amp;$D475&amp;$BC$1&amp;"")</f>
        <v>1.55</v>
      </c>
      <c r="BD475" s="300"/>
      <c r="BE475" s="300">
        <v>0.99</v>
      </c>
      <c r="BF475" s="298">
        <v>0.17</v>
      </c>
      <c r="BG475" s="299" cm="1">
        <f t="array" aca="1" ref="BG475" ca="1">INDIRECT("'"&amp;$C475&amp;"'!"&amp;"$"&amp;$D475&amp;$BG$1&amp;"")</f>
        <v>0.96</v>
      </c>
      <c r="BH475" s="300"/>
      <c r="BI475" s="300">
        <v>0.96</v>
      </c>
      <c r="BJ475" s="298">
        <v>0.25</v>
      </c>
      <c r="BK475" s="299" cm="1">
        <f t="array" aca="1" ref="BK475" ca="1">INDIRECT("'"&amp;$C475&amp;"'!"&amp;"$"&amp;$D475&amp;$BK$1&amp;"")</f>
        <v>4.5</v>
      </c>
      <c r="BL475" s="300"/>
      <c r="BM475" s="300">
        <v>0.95</v>
      </c>
      <c r="BN475" s="298">
        <v>1.4</v>
      </c>
    </row>
    <row r="476" spans="1:66" ht="15.75" thickBot="1" x14ac:dyDescent="0.25">
      <c r="A476" s="367">
        <v>45707</v>
      </c>
      <c r="B476" s="365">
        <v>0.875000000000001</v>
      </c>
      <c r="C476" s="383">
        <f t="shared" si="7"/>
        <v>19</v>
      </c>
      <c r="D476" s="319" t="s">
        <v>131</v>
      </c>
      <c r="E476" s="290">
        <v>14.1</v>
      </c>
      <c r="F476" s="291">
        <v>69.23</v>
      </c>
      <c r="G476" s="292" cm="1">
        <f t="array" aca="1" ref="G476" ca="1">INDIRECT("'"&amp;$C476&amp;"'!"&amp;"$"&amp;$D476&amp;$E$1&amp;"")</f>
        <v>0</v>
      </c>
      <c r="H476" s="293" t="s">
        <v>1</v>
      </c>
      <c r="I476" s="291" t="s">
        <v>1</v>
      </c>
      <c r="J476" s="292" cm="1">
        <f t="array" aca="1" ref="J476" ca="1">INDIRECT("'"&amp;$C476&amp;"'!"&amp;"$"&amp;$D476&amp;$J$1&amp;"")</f>
        <v>0</v>
      </c>
      <c r="K476" s="293"/>
      <c r="L476" s="293" t="s">
        <v>1</v>
      </c>
      <c r="M476" s="291" t="s">
        <v>1</v>
      </c>
      <c r="N476" s="292" cm="1">
        <f t="array" aca="1" ref="N476" ca="1">INDIRECT("'"&amp;$C476&amp;"'!"&amp;"$"&amp;$D476&amp;$N$1&amp;"")</f>
        <v>6.5</v>
      </c>
      <c r="O476" s="293"/>
      <c r="P476" s="293">
        <v>0.93</v>
      </c>
      <c r="Q476" s="291">
        <v>2.64</v>
      </c>
      <c r="R476" s="292" cm="1">
        <f t="array" aca="1" ref="R476" ca="1">INDIRECT("'"&amp;$C476&amp;"'!"&amp;"$"&amp;$D476&amp;$R$1&amp;"")</f>
        <v>6.5</v>
      </c>
      <c r="S476" s="293"/>
      <c r="T476" s="293">
        <v>0.93</v>
      </c>
      <c r="U476" s="291">
        <v>2.64</v>
      </c>
      <c r="V476" s="292" t="str" cm="1">
        <f t="array" aca="1" ref="V476" ca="1">INDIRECT("'"&amp;$C476&amp;"'!"&amp;"$"&amp;$D476&amp;$V$1&amp;"")</f>
        <v>CMS</v>
      </c>
      <c r="W476" s="293" t="s">
        <v>1</v>
      </c>
      <c r="X476" s="293" t="s">
        <v>1</v>
      </c>
      <c r="Y476" s="294" t="s">
        <v>1</v>
      </c>
      <c r="Z476" s="386" cm="1">
        <f t="array" aca="1" ref="Z476" ca="1">INDIRECT("'"&amp;$C476&amp;"'!"&amp;"$"&amp;$D476&amp;$Z$1&amp;"")</f>
        <v>0</v>
      </c>
      <c r="AA476" s="292" t="s">
        <v>1</v>
      </c>
      <c r="AB476" s="293" t="s">
        <v>1</v>
      </c>
      <c r="AC476" s="291" t="s">
        <v>1</v>
      </c>
      <c r="AD476" s="292" cm="1">
        <f t="array" aca="1" ref="AD476" ca="1">INDIRECT("'"&amp;$C476&amp;"'!"&amp;"$"&amp;$D476&amp;$AD$1&amp;"")</f>
        <v>3.3</v>
      </c>
      <c r="AE476" s="293">
        <f>3.8*3.53</f>
        <v>13.413999999999998</v>
      </c>
      <c r="AF476" s="293">
        <v>0.93</v>
      </c>
      <c r="AG476" s="291">
        <v>1.3</v>
      </c>
      <c r="AH476" s="290" cm="1">
        <f t="array" aca="1" ref="AH476" ca="1">INDIRECT("'"&amp;$C476&amp;"'!"&amp;"$"&amp;$D476&amp;$AH$1&amp;"")</f>
        <v>4</v>
      </c>
      <c r="AI476" s="293">
        <v>14.08</v>
      </c>
      <c r="AJ476" s="293">
        <v>0.98</v>
      </c>
      <c r="AK476" s="291">
        <v>0.62</v>
      </c>
      <c r="AL476" s="290">
        <v>11.8</v>
      </c>
      <c r="AM476" s="294">
        <v>70.2</v>
      </c>
      <c r="AN476" s="290" cm="1">
        <f t="array" aca="1" ref="AN476" ca="1">INDIRECT("'"&amp;$C476&amp;"'!"&amp;"$"&amp;$D476&amp;$AL$1&amp;"")</f>
        <v>4.0999999999999996</v>
      </c>
      <c r="AO476" s="293">
        <v>0.97</v>
      </c>
      <c r="AP476" s="291">
        <v>1</v>
      </c>
      <c r="AQ476" s="292" cm="1">
        <f t="array" aca="1" ref="AQ476" ca="1">INDIRECT("'"&amp;$C476&amp;"'!"&amp;"$"&amp;$D476&amp;$AQ$1&amp;"")</f>
        <v>4.0999999999999996</v>
      </c>
      <c r="AR476" s="293">
        <v>0.97</v>
      </c>
      <c r="AS476" s="291">
        <v>1</v>
      </c>
      <c r="AT476" s="290">
        <v>14.01</v>
      </c>
      <c r="AU476" s="294">
        <v>71.53</v>
      </c>
      <c r="AV476" s="290" cm="1">
        <f t="array" aca="1" ref="AV476" ca="1">INDIRECT("'"&amp;$C476&amp;"'!"&amp;"$"&amp;$D476&amp;$AT$1&amp;"")</f>
        <v>14.32</v>
      </c>
      <c r="AW476" s="293">
        <v>1</v>
      </c>
      <c r="AX476" s="294">
        <v>1.2</v>
      </c>
      <c r="AY476" s="386">
        <v>68.2</v>
      </c>
      <c r="AZ476" s="296" cm="1">
        <f t="array" aca="1" ref="AZ476" ca="1">INDIRECT("'"&amp;$C476&amp;"'!"&amp;"$"&amp;$D476&amp;$AY$1&amp;"")</f>
        <v>3.1</v>
      </c>
      <c r="BA476" s="293">
        <v>0.98</v>
      </c>
      <c r="BB476" s="291">
        <v>0.62</v>
      </c>
      <c r="BC476" s="292" cm="1">
        <f t="array" aca="1" ref="BC476" ca="1">INDIRECT("'"&amp;$C476&amp;"'!"&amp;"$"&amp;$D476&amp;$BC$1&amp;"")</f>
        <v>1.39</v>
      </c>
      <c r="BD476" s="293"/>
      <c r="BE476" s="293">
        <v>0.99</v>
      </c>
      <c r="BF476" s="291">
        <v>0.15</v>
      </c>
      <c r="BG476" s="292" cm="1">
        <f t="array" aca="1" ref="BG476" ca="1">INDIRECT("'"&amp;$C476&amp;"'!"&amp;"$"&amp;$D476&amp;$BG$1&amp;"")</f>
        <v>0.92</v>
      </c>
      <c r="BH476" s="293"/>
      <c r="BI476" s="293">
        <v>0.96</v>
      </c>
      <c r="BJ476" s="291">
        <v>0.24</v>
      </c>
      <c r="BK476" s="292" cm="1">
        <f t="array" aca="1" ref="BK476" ca="1">INDIRECT("'"&amp;$C476&amp;"'!"&amp;"$"&amp;$D476&amp;$BK$1&amp;"")</f>
        <v>4.5</v>
      </c>
      <c r="BL476" s="293"/>
      <c r="BM476" s="293">
        <v>0.95</v>
      </c>
      <c r="BN476" s="291">
        <v>1.4</v>
      </c>
    </row>
    <row r="477" spans="1:66" ht="15.75" thickBot="1" x14ac:dyDescent="0.25">
      <c r="A477" s="367">
        <v>45707</v>
      </c>
      <c r="B477" s="365">
        <v>0.91666666666666696</v>
      </c>
      <c r="C477" s="383">
        <f t="shared" si="7"/>
        <v>19</v>
      </c>
      <c r="D477" s="319" t="s">
        <v>132</v>
      </c>
      <c r="E477" s="297">
        <v>14.1</v>
      </c>
      <c r="F477" s="298">
        <v>69.11</v>
      </c>
      <c r="G477" s="299" cm="1">
        <f t="array" aca="1" ref="G477" ca="1">INDIRECT("'"&amp;$C477&amp;"'!"&amp;"$"&amp;$D477&amp;$E$1&amp;"")</f>
        <v>0</v>
      </c>
      <c r="H477" s="300" t="s">
        <v>1</v>
      </c>
      <c r="I477" s="298" t="s">
        <v>1</v>
      </c>
      <c r="J477" s="299" cm="1">
        <f t="array" aca="1" ref="J477" ca="1">INDIRECT("'"&amp;$C477&amp;"'!"&amp;"$"&amp;$D477&amp;$J$1&amp;"")</f>
        <v>0</v>
      </c>
      <c r="K477" s="300"/>
      <c r="L477" s="300" t="s">
        <v>1</v>
      </c>
      <c r="M477" s="298" t="s">
        <v>1</v>
      </c>
      <c r="N477" s="299" cm="1">
        <f t="array" aca="1" ref="N477" ca="1">INDIRECT("'"&amp;$C477&amp;"'!"&amp;"$"&amp;$D477&amp;$N$1&amp;"")</f>
        <v>6.8</v>
      </c>
      <c r="O477" s="300"/>
      <c r="P477" s="300">
        <v>0.93</v>
      </c>
      <c r="Q477" s="298">
        <v>2.76</v>
      </c>
      <c r="R477" s="299" cm="1">
        <f t="array" aca="1" ref="R477" ca="1">INDIRECT("'"&amp;$C477&amp;"'!"&amp;"$"&amp;$D477&amp;$R$1&amp;"")</f>
        <v>6.8</v>
      </c>
      <c r="S477" s="300"/>
      <c r="T477" s="300">
        <v>0.93</v>
      </c>
      <c r="U477" s="298">
        <v>2.76</v>
      </c>
      <c r="V477" s="299" t="str" cm="1">
        <f t="array" aca="1" ref="V477" ca="1">INDIRECT("'"&amp;$C477&amp;"'!"&amp;"$"&amp;$D477&amp;$V$1&amp;"")</f>
        <v>CMS</v>
      </c>
      <c r="W477" s="300" t="s">
        <v>1</v>
      </c>
      <c r="X477" s="300" t="s">
        <v>1</v>
      </c>
      <c r="Y477" s="301" t="s">
        <v>1</v>
      </c>
      <c r="Z477" s="387" cm="1">
        <f t="array" aca="1" ref="Z477" ca="1">INDIRECT("'"&amp;$C477&amp;"'!"&amp;"$"&amp;$D477&amp;$Z$1&amp;"")</f>
        <v>0</v>
      </c>
      <c r="AA477" s="299" t="s">
        <v>1</v>
      </c>
      <c r="AB477" s="300" t="s">
        <v>1</v>
      </c>
      <c r="AC477" s="298" t="s">
        <v>1</v>
      </c>
      <c r="AD477" s="299" cm="1">
        <f t="array" aca="1" ref="AD477" ca="1">INDIRECT("'"&amp;$C477&amp;"'!"&amp;"$"&amp;$D477&amp;$AD$1&amp;"")</f>
        <v>3.3</v>
      </c>
      <c r="AE477" s="300">
        <f>3.8*3.53</f>
        <v>13.413999999999998</v>
      </c>
      <c r="AF477" s="300">
        <v>0.95</v>
      </c>
      <c r="AG477" s="298">
        <v>1.07</v>
      </c>
      <c r="AH477" s="297" cm="1">
        <f t="array" aca="1" ref="AH477" ca="1">INDIRECT("'"&amp;$C477&amp;"'!"&amp;"$"&amp;$D477&amp;$AH$1&amp;"")</f>
        <v>4</v>
      </c>
      <c r="AI477" s="300">
        <v>14</v>
      </c>
      <c r="AJ477" s="300">
        <v>0.96</v>
      </c>
      <c r="AK477" s="298">
        <v>1.03</v>
      </c>
      <c r="AL477" s="297">
        <v>11.8</v>
      </c>
      <c r="AM477" s="301">
        <v>70.099999999999994</v>
      </c>
      <c r="AN477" s="297" cm="1">
        <f t="array" aca="1" ref="AN477" ca="1">INDIRECT("'"&amp;$C477&amp;"'!"&amp;"$"&amp;$D477&amp;$AL$1&amp;"")</f>
        <v>3.5</v>
      </c>
      <c r="AO477" s="300">
        <v>0.97</v>
      </c>
      <c r="AP477" s="298">
        <v>0.75</v>
      </c>
      <c r="AQ477" s="299" cm="1">
        <f t="array" aca="1" ref="AQ477" ca="1">INDIRECT("'"&amp;$C477&amp;"'!"&amp;"$"&amp;$D477&amp;$AQ$1&amp;"")</f>
        <v>3.5</v>
      </c>
      <c r="AR477" s="300">
        <v>0.97</v>
      </c>
      <c r="AS477" s="298">
        <v>0.75</v>
      </c>
      <c r="AT477" s="297">
        <v>14.04</v>
      </c>
      <c r="AU477" s="301">
        <v>71.569999999999993</v>
      </c>
      <c r="AV477" s="297" cm="1">
        <f t="array" aca="1" ref="AV477" ca="1">INDIRECT("'"&amp;$C477&amp;"'!"&amp;"$"&amp;$D477&amp;$AT$1&amp;"")</f>
        <v>13.83</v>
      </c>
      <c r="AW477" s="300">
        <v>1</v>
      </c>
      <c r="AX477" s="301">
        <v>1.2</v>
      </c>
      <c r="AY477" s="387">
        <v>67.900000000000006</v>
      </c>
      <c r="AZ477" s="303" cm="1">
        <f t="array" aca="1" ref="AZ477" ca="1">INDIRECT("'"&amp;$C477&amp;"'!"&amp;"$"&amp;$D477&amp;$AY$1&amp;"")</f>
        <v>0</v>
      </c>
      <c r="BA477" s="300" t="s">
        <v>1</v>
      </c>
      <c r="BB477" s="298" t="s">
        <v>1</v>
      </c>
      <c r="BC477" s="299" cm="1">
        <f t="array" aca="1" ref="BC477" ca="1">INDIRECT("'"&amp;$C477&amp;"'!"&amp;"$"&amp;$D477&amp;$BC$1&amp;"")</f>
        <v>1.21</v>
      </c>
      <c r="BD477" s="300"/>
      <c r="BE477" s="300">
        <v>0.99</v>
      </c>
      <c r="BF477" s="298">
        <v>0.13</v>
      </c>
      <c r="BG477" s="299" cm="1">
        <f t="array" aca="1" ref="BG477" ca="1">INDIRECT("'"&amp;$C477&amp;"'!"&amp;"$"&amp;$D477&amp;$BG$1&amp;"")</f>
        <v>0.87</v>
      </c>
      <c r="BH477" s="300"/>
      <c r="BI477" s="300">
        <v>0.96</v>
      </c>
      <c r="BJ477" s="298">
        <v>0.23</v>
      </c>
      <c r="BK477" s="299" cm="1">
        <f t="array" aca="1" ref="BK477" ca="1">INDIRECT("'"&amp;$C477&amp;"'!"&amp;"$"&amp;$D477&amp;$BK$1&amp;"")</f>
        <v>4.5</v>
      </c>
      <c r="BL477" s="300"/>
      <c r="BM477" s="300">
        <v>0.95</v>
      </c>
      <c r="BN477" s="298">
        <v>1.3</v>
      </c>
    </row>
    <row r="478" spans="1:66" ht="15.75" thickBot="1" x14ac:dyDescent="0.25">
      <c r="A478" s="367">
        <v>45707</v>
      </c>
      <c r="B478" s="366">
        <v>0.95833333333333404</v>
      </c>
      <c r="C478" s="383">
        <f t="shared" si="7"/>
        <v>19</v>
      </c>
      <c r="D478" s="321" t="s">
        <v>133</v>
      </c>
      <c r="E478" s="305">
        <v>14.2</v>
      </c>
      <c r="F478" s="306">
        <v>69.87</v>
      </c>
      <c r="G478" s="307" cm="1">
        <f t="array" aca="1" ref="G478" ca="1">INDIRECT("'"&amp;$C478&amp;"'!"&amp;"$"&amp;$D478&amp;$E$1&amp;"")</f>
        <v>0</v>
      </c>
      <c r="H478" s="308" t="s">
        <v>1</v>
      </c>
      <c r="I478" s="306" t="s">
        <v>1</v>
      </c>
      <c r="J478" s="307" cm="1">
        <f t="array" aca="1" ref="J478" ca="1">INDIRECT("'"&amp;$C478&amp;"'!"&amp;"$"&amp;$D478&amp;$J$1&amp;"")</f>
        <v>0</v>
      </c>
      <c r="K478" s="308"/>
      <c r="L478" s="308" t="s">
        <v>1</v>
      </c>
      <c r="M478" s="306" t="s">
        <v>1</v>
      </c>
      <c r="N478" s="307" cm="1">
        <f t="array" aca="1" ref="N478" ca="1">INDIRECT("'"&amp;$C478&amp;"'!"&amp;"$"&amp;$D478&amp;$N$1&amp;"")</f>
        <v>6.6</v>
      </c>
      <c r="O478" s="308"/>
      <c r="P478" s="308">
        <v>0.93</v>
      </c>
      <c r="Q478" s="306">
        <v>2.72</v>
      </c>
      <c r="R478" s="307" cm="1">
        <f t="array" aca="1" ref="R478" ca="1">INDIRECT("'"&amp;$C478&amp;"'!"&amp;"$"&amp;$D478&amp;$R$1&amp;"")</f>
        <v>6.6</v>
      </c>
      <c r="S478" s="308"/>
      <c r="T478" s="308">
        <v>0.93</v>
      </c>
      <c r="U478" s="306">
        <v>2.72</v>
      </c>
      <c r="V478" s="307" t="str" cm="1">
        <f t="array" aca="1" ref="V478" ca="1">INDIRECT("'"&amp;$C478&amp;"'!"&amp;"$"&amp;$D478&amp;$V$1&amp;"")</f>
        <v>CMS</v>
      </c>
      <c r="W478" s="308" t="s">
        <v>1</v>
      </c>
      <c r="X478" s="308" t="s">
        <v>1</v>
      </c>
      <c r="Y478" s="309" t="s">
        <v>1</v>
      </c>
      <c r="Z478" s="389" cm="1">
        <f t="array" aca="1" ref="Z478" ca="1">INDIRECT("'"&amp;$C478&amp;"'!"&amp;"$"&amp;$D478&amp;$Z$1&amp;"")</f>
        <v>0</v>
      </c>
      <c r="AA478" s="307" t="s">
        <v>1</v>
      </c>
      <c r="AB478" s="308" t="s">
        <v>1</v>
      </c>
      <c r="AC478" s="306" t="s">
        <v>1</v>
      </c>
      <c r="AD478" s="307" cm="1">
        <f t="array" aca="1" ref="AD478" ca="1">INDIRECT("'"&amp;$C478&amp;"'!"&amp;"$"&amp;$D478&amp;$AD$1&amp;"")</f>
        <v>3.3</v>
      </c>
      <c r="AE478" s="308">
        <f>3.8*3.57</f>
        <v>13.565999999999999</v>
      </c>
      <c r="AF478" s="308">
        <v>0.96</v>
      </c>
      <c r="AG478" s="309">
        <v>0.95</v>
      </c>
      <c r="AH478" s="305" cm="1">
        <f t="array" aca="1" ref="AH478" ca="1">INDIRECT("'"&amp;$C478&amp;"'!"&amp;"$"&amp;$D478&amp;$AH$1&amp;"")</f>
        <v>0</v>
      </c>
      <c r="AI478" s="308" t="s">
        <v>1</v>
      </c>
      <c r="AJ478" s="308" t="s">
        <v>1</v>
      </c>
      <c r="AK478" s="306" t="s">
        <v>1</v>
      </c>
      <c r="AL478" s="305">
        <v>11.8</v>
      </c>
      <c r="AM478" s="309">
        <v>70.400000000000006</v>
      </c>
      <c r="AN478" s="305" cm="1">
        <f t="array" aca="1" ref="AN478" ca="1">INDIRECT("'"&amp;$C478&amp;"'!"&amp;"$"&amp;$D478&amp;$AL$1&amp;"")</f>
        <v>4.2</v>
      </c>
      <c r="AO478" s="308">
        <v>0.99</v>
      </c>
      <c r="AP478" s="306">
        <v>0.55000000000000004</v>
      </c>
      <c r="AQ478" s="307" cm="1">
        <f t="array" aca="1" ref="AQ478" ca="1">INDIRECT("'"&amp;$C478&amp;"'!"&amp;"$"&amp;$D478&amp;$AQ$1&amp;"")</f>
        <v>4.2</v>
      </c>
      <c r="AR478" s="308">
        <v>0.99</v>
      </c>
      <c r="AS478" s="306">
        <v>0.55000000000000004</v>
      </c>
      <c r="AT478" s="305">
        <v>14.02</v>
      </c>
      <c r="AU478" s="309">
        <v>71.53</v>
      </c>
      <c r="AV478" s="305" cm="1">
        <f t="array" aca="1" ref="AV478" ca="1">INDIRECT("'"&amp;$C478&amp;"'!"&amp;"$"&amp;$D478&amp;$AT$1&amp;"")</f>
        <v>14.32</v>
      </c>
      <c r="AW478" s="308">
        <v>1</v>
      </c>
      <c r="AX478" s="306">
        <v>1.2</v>
      </c>
      <c r="AY478" s="384">
        <v>68.599999999999994</v>
      </c>
      <c r="AZ478" s="310" cm="1">
        <f t="array" aca="1" ref="AZ478" ca="1">INDIRECT("'"&amp;$C478&amp;"'!"&amp;"$"&amp;$D478&amp;$AY$1&amp;"")</f>
        <v>0</v>
      </c>
      <c r="BA478" s="308" t="s">
        <v>1</v>
      </c>
      <c r="BB478" s="306" t="s">
        <v>1</v>
      </c>
      <c r="BC478" s="307" cm="1">
        <f t="array" aca="1" ref="BC478" ca="1">INDIRECT("'"&amp;$C478&amp;"'!"&amp;"$"&amp;$D478&amp;$BC$1&amp;"")</f>
        <v>1.06</v>
      </c>
      <c r="BD478" s="308"/>
      <c r="BE478" s="308">
        <v>0.99</v>
      </c>
      <c r="BF478" s="306">
        <v>0.13</v>
      </c>
      <c r="BG478" s="307" cm="1">
        <f t="array" aca="1" ref="BG478" ca="1">INDIRECT("'"&amp;$C478&amp;"'!"&amp;"$"&amp;$D478&amp;$BG$1&amp;"")</f>
        <v>0.81</v>
      </c>
      <c r="BH478" s="308"/>
      <c r="BI478" s="308">
        <v>0.96</v>
      </c>
      <c r="BJ478" s="306">
        <v>0.22</v>
      </c>
      <c r="BK478" s="307" cm="1">
        <f t="array" aca="1" ref="BK478" ca="1">INDIRECT("'"&amp;$C478&amp;"'!"&amp;"$"&amp;$D478&amp;$BK$1&amp;"")</f>
        <v>4.17</v>
      </c>
      <c r="BL478" s="308"/>
      <c r="BM478" s="308">
        <v>0.95</v>
      </c>
      <c r="BN478" s="306">
        <v>1.37</v>
      </c>
    </row>
    <row r="479" spans="1:66" ht="15" thickBot="1" x14ac:dyDescent="0.25"/>
    <row r="480" spans="1:66" ht="15.75" thickBot="1" x14ac:dyDescent="0.25">
      <c r="A480" s="367">
        <v>45708</v>
      </c>
      <c r="B480" s="364">
        <v>0</v>
      </c>
      <c r="C480" s="383">
        <f>C478+1</f>
        <v>20</v>
      </c>
      <c r="D480" s="316" t="s">
        <v>110</v>
      </c>
      <c r="E480" s="284">
        <v>14.3</v>
      </c>
      <c r="F480" s="285">
        <v>70.61</v>
      </c>
      <c r="G480" s="286" cm="1">
        <f t="array" aca="1" ref="G480" ca="1">INDIRECT("'"&amp;$C480&amp;"'!"&amp;"$"&amp;$D480&amp;$E$1&amp;"")</f>
        <v>0</v>
      </c>
      <c r="H480" s="287" t="s">
        <v>1</v>
      </c>
      <c r="I480" s="285" t="s">
        <v>1</v>
      </c>
      <c r="J480" s="286" cm="1">
        <f t="array" aca="1" ref="J480" ca="1">INDIRECT("'"&amp;$C480&amp;"'!"&amp;"$"&amp;$D480&amp;$J$1&amp;"")</f>
        <v>0</v>
      </c>
      <c r="K480" s="287"/>
      <c r="L480" s="287" t="s">
        <v>1</v>
      </c>
      <c r="M480" s="285" t="s">
        <v>1</v>
      </c>
      <c r="N480" s="286" cm="1">
        <f t="array" aca="1" ref="N480" ca="1">INDIRECT("'"&amp;$C480&amp;"'!"&amp;"$"&amp;$D480&amp;$N$1&amp;"")</f>
        <v>6.6</v>
      </c>
      <c r="O480" s="287"/>
      <c r="P480" s="287">
        <v>0.95</v>
      </c>
      <c r="Q480" s="285">
        <v>2.33</v>
      </c>
      <c r="R480" s="286" cm="1">
        <f t="array" aca="1" ref="R480" ca="1">INDIRECT("'"&amp;$C480&amp;"'!"&amp;"$"&amp;$D480&amp;$R$1&amp;"")</f>
        <v>6.6</v>
      </c>
      <c r="S480" s="287"/>
      <c r="T480" s="287">
        <v>0.95</v>
      </c>
      <c r="U480" s="285">
        <v>2.33</v>
      </c>
      <c r="V480" s="286" t="str" cm="1">
        <f t="array" aca="1" ref="V480" ca="1">INDIRECT("'"&amp;$C480&amp;"'!"&amp;"$"&amp;$D480&amp;$V$1&amp;"")</f>
        <v>CMS</v>
      </c>
      <c r="W480" s="287" t="s">
        <v>1</v>
      </c>
      <c r="X480" s="287" t="s">
        <v>1</v>
      </c>
      <c r="Y480" s="288" t="s">
        <v>1</v>
      </c>
      <c r="Z480" s="385" cm="1">
        <f t="array" aca="1" ref="Z480" ca="1">INDIRECT("'"&amp;$C480&amp;"'!"&amp;"$"&amp;$D480&amp;$Z$1&amp;"")</f>
        <v>0</v>
      </c>
      <c r="AA480" s="286" t="s">
        <v>1</v>
      </c>
      <c r="AB480" s="287" t="s">
        <v>1</v>
      </c>
      <c r="AC480" s="285" t="s">
        <v>1</v>
      </c>
      <c r="AD480" s="286" cm="1">
        <f t="array" aca="1" ref="AD480" ca="1">INDIRECT("'"&amp;$C480&amp;"'!"&amp;"$"&amp;$D480&amp;$AD$1&amp;"")</f>
        <v>3.3</v>
      </c>
      <c r="AE480" s="287">
        <f>3.8*3.6</f>
        <v>13.68</v>
      </c>
      <c r="AF480" s="287">
        <v>0.98</v>
      </c>
      <c r="AG480" s="285">
        <v>0.59</v>
      </c>
      <c r="AH480" s="284" cm="1">
        <f t="array" aca="1" ref="AH480" ca="1">INDIRECT("'"&amp;$C480&amp;"'!"&amp;"$"&amp;$D480&amp;$AH$1&amp;"")</f>
        <v>0</v>
      </c>
      <c r="AI480" s="287" t="s">
        <v>1</v>
      </c>
      <c r="AJ480" s="287" t="s">
        <v>1</v>
      </c>
      <c r="AK480" s="285" t="s">
        <v>1</v>
      </c>
      <c r="AL480" s="284">
        <v>11.8</v>
      </c>
      <c r="AM480" s="288">
        <v>70.900000000000006</v>
      </c>
      <c r="AN480" s="284" cm="1">
        <f t="array" aca="1" ref="AN480" ca="1">INDIRECT("'"&amp;$C480&amp;"'!"&amp;"$"&amp;$D480&amp;$AL$1&amp;"")</f>
        <v>2.5</v>
      </c>
      <c r="AO480" s="287">
        <v>0.99</v>
      </c>
      <c r="AP480" s="285">
        <v>0.18</v>
      </c>
      <c r="AQ480" s="286" cm="1">
        <f t="array" aca="1" ref="AQ480" ca="1">INDIRECT("'"&amp;$C480&amp;"'!"&amp;"$"&amp;$D480&amp;$AQ$1&amp;"")</f>
        <v>3.4</v>
      </c>
      <c r="AR480" s="287">
        <v>0.99</v>
      </c>
      <c r="AS480" s="285">
        <v>0.18</v>
      </c>
      <c r="AT480" s="284">
        <v>14.1</v>
      </c>
      <c r="AU480" s="381">
        <v>71.84</v>
      </c>
      <c r="AV480" s="284" cm="1">
        <f t="array" aca="1" ref="AV480" ca="1">INDIRECT("'"&amp;$C480&amp;"'!"&amp;"$"&amp;$D480&amp;$AT$1&amp;"")</f>
        <v>12.81</v>
      </c>
      <c r="AW480" s="287">
        <v>1</v>
      </c>
      <c r="AX480" s="288">
        <v>1.1000000000000001</v>
      </c>
      <c r="AY480" s="385">
        <v>69.400000000000006</v>
      </c>
      <c r="AZ480" s="381" cm="1">
        <f t="array" aca="1" ref="AZ480" ca="1">INDIRECT("'"&amp;$C480&amp;"'!"&amp;"$"&amp;$D480&amp;$AY$1&amp;"")</f>
        <v>0</v>
      </c>
      <c r="BA480" s="287" t="s">
        <v>1</v>
      </c>
      <c r="BB480" s="285" t="s">
        <v>1</v>
      </c>
      <c r="BC480" s="286" cm="1">
        <f t="array" aca="1" ref="BC480" ca="1">INDIRECT("'"&amp;$C480&amp;"'!"&amp;"$"&amp;$D480&amp;$BC$1&amp;"")</f>
        <v>1</v>
      </c>
      <c r="BD480" s="287"/>
      <c r="BE480" s="287">
        <v>0.99</v>
      </c>
      <c r="BF480" s="285">
        <v>0.13</v>
      </c>
      <c r="BG480" s="286" cm="1">
        <f t="array" aca="1" ref="BG480" ca="1">INDIRECT("'"&amp;$C480&amp;"'!"&amp;"$"&amp;$D480&amp;$BG$1&amp;"")</f>
        <v>0.87</v>
      </c>
      <c r="BH480" s="287"/>
      <c r="BI480" s="287">
        <v>0.96</v>
      </c>
      <c r="BJ480" s="285">
        <v>0.21</v>
      </c>
      <c r="BK480" s="286" cm="1">
        <f t="array" aca="1" ref="BK480" ca="1">INDIRECT("'"&amp;$C480&amp;"'!"&amp;"$"&amp;$D480&amp;$BK$1&amp;"")</f>
        <v>4.26</v>
      </c>
      <c r="BL480" s="287"/>
      <c r="BM480" s="287">
        <v>0.95</v>
      </c>
      <c r="BN480" s="285">
        <v>1.4</v>
      </c>
    </row>
    <row r="481" spans="1:66" ht="15.75" thickBot="1" x14ac:dyDescent="0.25">
      <c r="A481" s="367">
        <v>45708</v>
      </c>
      <c r="B481" s="365">
        <v>4.1666666666666699E-2</v>
      </c>
      <c r="C481" s="383">
        <f>C480</f>
        <v>20</v>
      </c>
      <c r="D481" s="319" t="s">
        <v>111</v>
      </c>
      <c r="E481" s="290">
        <v>14.1</v>
      </c>
      <c r="F481" s="291">
        <v>70.05</v>
      </c>
      <c r="G481" s="292" cm="1">
        <f t="array" aca="1" ref="G481" ca="1">INDIRECT("'"&amp;$C481&amp;"'!"&amp;"$"&amp;$D481&amp;$E$1&amp;"")</f>
        <v>0</v>
      </c>
      <c r="H481" s="293" t="s">
        <v>1</v>
      </c>
      <c r="I481" s="291" t="s">
        <v>1</v>
      </c>
      <c r="J481" s="292" cm="1">
        <f t="array" aca="1" ref="J481" ca="1">INDIRECT("'"&amp;$C481&amp;"'!"&amp;"$"&amp;$D481&amp;$J$1&amp;"")</f>
        <v>0</v>
      </c>
      <c r="K481" s="293"/>
      <c r="L481" s="293" t="s">
        <v>1</v>
      </c>
      <c r="M481" s="291" t="s">
        <v>1</v>
      </c>
      <c r="N481" s="292" cm="1">
        <f t="array" aca="1" ref="N481" ca="1">INDIRECT("'"&amp;$C481&amp;"'!"&amp;"$"&amp;$D481&amp;$N$1&amp;"")</f>
        <v>6.6</v>
      </c>
      <c r="O481" s="293"/>
      <c r="P481" s="293">
        <v>0.98</v>
      </c>
      <c r="Q481" s="291">
        <v>1.45</v>
      </c>
      <c r="R481" s="292" cm="1">
        <f t="array" aca="1" ref="R481" ca="1">INDIRECT("'"&amp;$C481&amp;"'!"&amp;"$"&amp;$D481&amp;$R$1&amp;"")</f>
        <v>6.6</v>
      </c>
      <c r="S481" s="293"/>
      <c r="T481" s="293">
        <v>0.98</v>
      </c>
      <c r="U481" s="291">
        <v>1.45</v>
      </c>
      <c r="V481" s="292" t="str" cm="1">
        <f t="array" aca="1" ref="V481" ca="1">INDIRECT("'"&amp;$C481&amp;"'!"&amp;"$"&amp;$D481&amp;$V$1&amp;"")</f>
        <v>CMS</v>
      </c>
      <c r="W481" s="293" t="s">
        <v>1</v>
      </c>
      <c r="X481" s="293" t="s">
        <v>1</v>
      </c>
      <c r="Y481" s="294" t="s">
        <v>1</v>
      </c>
      <c r="Z481" s="386" cm="1">
        <f t="array" aca="1" ref="Z481" ca="1">INDIRECT("'"&amp;$C481&amp;"'!"&amp;"$"&amp;$D481&amp;$Z$1&amp;"")</f>
        <v>0</v>
      </c>
      <c r="AA481" s="292" t="s">
        <v>1</v>
      </c>
      <c r="AB481" s="293" t="s">
        <v>1</v>
      </c>
      <c r="AC481" s="291" t="s">
        <v>1</v>
      </c>
      <c r="AD481" s="292" cm="1">
        <f t="array" aca="1" ref="AD481" ca="1">INDIRECT("'"&amp;$C481&amp;"'!"&amp;"$"&amp;$D481&amp;$AD$1&amp;"")</f>
        <v>3.3</v>
      </c>
      <c r="AE481" s="293">
        <f>3.8*3.58</f>
        <v>13.603999999999999</v>
      </c>
      <c r="AF481" s="293">
        <v>0.98</v>
      </c>
      <c r="AG481" s="294">
        <v>0.56999999999999995</v>
      </c>
      <c r="AH481" s="290" cm="1">
        <f t="array" aca="1" ref="AH481" ca="1">INDIRECT("'"&amp;$C481&amp;"'!"&amp;"$"&amp;$D481&amp;$AH$1&amp;"")</f>
        <v>0</v>
      </c>
      <c r="AI481" s="293" t="s">
        <v>1</v>
      </c>
      <c r="AJ481" s="293" t="s">
        <v>1</v>
      </c>
      <c r="AK481" s="291" t="s">
        <v>1</v>
      </c>
      <c r="AL481" s="290">
        <v>11.8</v>
      </c>
      <c r="AM481" s="294">
        <v>70.599999999999994</v>
      </c>
      <c r="AN481" s="290" cm="1">
        <f t="array" aca="1" ref="AN481" ca="1">INDIRECT("'"&amp;$C481&amp;"'!"&amp;"$"&amp;$D481&amp;$AL$1&amp;"")</f>
        <v>0</v>
      </c>
      <c r="AO481" s="293" t="s">
        <v>1</v>
      </c>
      <c r="AP481" s="291" t="s">
        <v>1</v>
      </c>
      <c r="AQ481" s="292" cm="1">
        <f t="array" aca="1" ref="AQ481" ca="1">INDIRECT("'"&amp;$C481&amp;"'!"&amp;"$"&amp;$D481&amp;$AQ$1&amp;"")</f>
        <v>3.8</v>
      </c>
      <c r="AR481" s="293">
        <v>0.96</v>
      </c>
      <c r="AS481" s="291">
        <v>1.1000000000000001</v>
      </c>
      <c r="AT481" s="290">
        <v>14.05</v>
      </c>
      <c r="AU481" s="296">
        <v>71.7</v>
      </c>
      <c r="AV481" s="290" cm="1">
        <f t="array" aca="1" ref="AV481" ca="1">INDIRECT("'"&amp;$C481&amp;"'!"&amp;"$"&amp;$D481&amp;$AT$1&amp;"")</f>
        <v>12.83</v>
      </c>
      <c r="AW481" s="293">
        <v>1</v>
      </c>
      <c r="AX481" s="294">
        <v>1.1000000000000001</v>
      </c>
      <c r="AY481" s="386">
        <v>68.8</v>
      </c>
      <c r="AZ481" s="296" cm="1">
        <f t="array" aca="1" ref="AZ481" ca="1">INDIRECT("'"&amp;$C481&amp;"'!"&amp;"$"&amp;$D481&amp;$AY$1&amp;"")</f>
        <v>0</v>
      </c>
      <c r="BA481" s="293" t="s">
        <v>1</v>
      </c>
      <c r="BB481" s="291" t="s">
        <v>1</v>
      </c>
      <c r="BC481" s="292" cm="1">
        <f t="array" aca="1" ref="BC481" ca="1">INDIRECT("'"&amp;$C481&amp;"'!"&amp;"$"&amp;$D481&amp;$BC$1&amp;"")</f>
        <v>0.91</v>
      </c>
      <c r="BD481" s="293"/>
      <c r="BE481" s="293">
        <v>0.99</v>
      </c>
      <c r="BF481" s="291">
        <v>0.13</v>
      </c>
      <c r="BG481" s="292" cm="1">
        <f t="array" aca="1" ref="BG481" ca="1">INDIRECT("'"&amp;$C481&amp;"'!"&amp;"$"&amp;$D481&amp;$BG$1&amp;"")</f>
        <v>0.74</v>
      </c>
      <c r="BH481" s="293"/>
      <c r="BI481" s="293">
        <v>0.96</v>
      </c>
      <c r="BJ481" s="291">
        <v>0.2</v>
      </c>
      <c r="BK481" s="292" cm="1">
        <f t="array" aca="1" ref="BK481" ca="1">INDIRECT("'"&amp;$C481&amp;"'!"&amp;"$"&amp;$D481&amp;$BK$1&amp;"")</f>
        <v>4.4400000000000004</v>
      </c>
      <c r="BL481" s="293"/>
      <c r="BM481" s="293">
        <v>0.95</v>
      </c>
      <c r="BN481" s="291">
        <v>1.2</v>
      </c>
    </row>
    <row r="482" spans="1:66" ht="15.75" thickBot="1" x14ac:dyDescent="0.25">
      <c r="A482" s="367">
        <v>45708</v>
      </c>
      <c r="B482" s="365">
        <v>8.3333333333333301E-2</v>
      </c>
      <c r="C482" s="383">
        <f t="shared" ref="C482:C503" si="8">C481</f>
        <v>20</v>
      </c>
      <c r="D482" s="319" t="s">
        <v>112</v>
      </c>
      <c r="E482" s="297">
        <v>14.2</v>
      </c>
      <c r="F482" s="298">
        <v>70.73</v>
      </c>
      <c r="G482" s="299" cm="1">
        <f t="array" aca="1" ref="G482" ca="1">INDIRECT("'"&amp;$C482&amp;"'!"&amp;"$"&amp;$D482&amp;$E$1&amp;"")</f>
        <v>0</v>
      </c>
      <c r="H482" s="300" t="s">
        <v>1</v>
      </c>
      <c r="I482" s="298" t="s">
        <v>1</v>
      </c>
      <c r="J482" s="299" cm="1">
        <f t="array" aca="1" ref="J482" ca="1">INDIRECT("'"&amp;$C482&amp;"'!"&amp;"$"&amp;$D482&amp;$J$1&amp;"")</f>
        <v>0</v>
      </c>
      <c r="K482" s="300"/>
      <c r="L482" s="300" t="s">
        <v>1</v>
      </c>
      <c r="M482" s="298" t="s">
        <v>1</v>
      </c>
      <c r="N482" s="299" cm="1">
        <f t="array" aca="1" ref="N482" ca="1">INDIRECT("'"&amp;$C482&amp;"'!"&amp;"$"&amp;$D482&amp;$N$1&amp;"")</f>
        <v>6.5</v>
      </c>
      <c r="O482" s="300"/>
      <c r="P482" s="300">
        <v>0.98</v>
      </c>
      <c r="Q482" s="298">
        <v>1.29</v>
      </c>
      <c r="R482" s="299" cm="1">
        <f t="array" aca="1" ref="R482" ca="1">INDIRECT("'"&amp;$C482&amp;"'!"&amp;"$"&amp;$D482&amp;$R$1&amp;"")</f>
        <v>6.5</v>
      </c>
      <c r="S482" s="300"/>
      <c r="T482" s="300">
        <v>0.98</v>
      </c>
      <c r="U482" s="298">
        <v>1.29</v>
      </c>
      <c r="V482" s="299" t="str" cm="1">
        <f t="array" aca="1" ref="V482" ca="1">INDIRECT("'"&amp;$C482&amp;"'!"&amp;"$"&amp;$D482&amp;$V$1&amp;"")</f>
        <v>CMS</v>
      </c>
      <c r="W482" s="300" t="s">
        <v>1</v>
      </c>
      <c r="X482" s="300" t="s">
        <v>1</v>
      </c>
      <c r="Y482" s="301" t="s">
        <v>1</v>
      </c>
      <c r="Z482" s="387" cm="1">
        <f t="array" aca="1" ref="Z482" ca="1">INDIRECT("'"&amp;$C482&amp;"'!"&amp;"$"&amp;$D482&amp;$Z$1&amp;"")</f>
        <v>0</v>
      </c>
      <c r="AA482" s="299" t="s">
        <v>1</v>
      </c>
      <c r="AB482" s="300" t="s">
        <v>1</v>
      </c>
      <c r="AC482" s="298" t="s">
        <v>1</v>
      </c>
      <c r="AD482" s="299" cm="1">
        <f t="array" aca="1" ref="AD482" ca="1">INDIRECT("'"&amp;$C482&amp;"'!"&amp;"$"&amp;$D482&amp;$AD$1&amp;"")</f>
        <v>2.8</v>
      </c>
      <c r="AE482" s="300">
        <f>3.8*3.6</f>
        <v>13.68</v>
      </c>
      <c r="AF482" s="300">
        <v>0.99</v>
      </c>
      <c r="AG482" s="301">
        <v>0.27</v>
      </c>
      <c r="AH482" s="297" cm="1">
        <f t="array" aca="1" ref="AH482" ca="1">INDIRECT("'"&amp;$C482&amp;"'!"&amp;"$"&amp;$D482&amp;$AH$1&amp;"")</f>
        <v>0</v>
      </c>
      <c r="AI482" s="300" t="s">
        <v>1</v>
      </c>
      <c r="AJ482" s="300" t="s">
        <v>1</v>
      </c>
      <c r="AK482" s="298" t="s">
        <v>1</v>
      </c>
      <c r="AL482" s="297">
        <v>11.8</v>
      </c>
      <c r="AM482" s="301">
        <v>70.599999999999994</v>
      </c>
      <c r="AN482" s="297" cm="1">
        <f t="array" aca="1" ref="AN482" ca="1">INDIRECT("'"&amp;$C482&amp;"'!"&amp;"$"&amp;$D482&amp;$AL$1&amp;"")</f>
        <v>0</v>
      </c>
      <c r="AO482" s="300" t="s">
        <v>1</v>
      </c>
      <c r="AP482" s="298" t="s">
        <v>1</v>
      </c>
      <c r="AQ482" s="299" cm="1">
        <f t="array" aca="1" ref="AQ482" ca="1">INDIRECT("'"&amp;$C482&amp;"'!"&amp;"$"&amp;$D482&amp;$AQ$1&amp;"")</f>
        <v>2.8</v>
      </c>
      <c r="AR482" s="300">
        <v>0.96</v>
      </c>
      <c r="AS482" s="298">
        <v>1.1000000000000001</v>
      </c>
      <c r="AT482" s="297">
        <v>14.15</v>
      </c>
      <c r="AU482" s="303">
        <v>71.739999999999995</v>
      </c>
      <c r="AV482" s="297" cm="1">
        <f t="array" aca="1" ref="AV482" ca="1">INDIRECT("'"&amp;$C482&amp;"'!"&amp;"$"&amp;$D482&amp;$AT$1&amp;"")</f>
        <v>12.84</v>
      </c>
      <c r="AW482" s="300">
        <v>1</v>
      </c>
      <c r="AX482" s="301">
        <v>1.1000000000000001</v>
      </c>
      <c r="AY482" s="387">
        <v>69.2</v>
      </c>
      <c r="AZ482" s="303" cm="1">
        <f t="array" aca="1" ref="AZ482" ca="1">INDIRECT("'"&amp;$C482&amp;"'!"&amp;"$"&amp;$D482&amp;$AY$1&amp;"")</f>
        <v>0</v>
      </c>
      <c r="BA482" s="300" t="s">
        <v>1</v>
      </c>
      <c r="BB482" s="298" t="s">
        <v>1</v>
      </c>
      <c r="BC482" s="299" cm="1">
        <f t="array" aca="1" ref="BC482" ca="1">INDIRECT("'"&amp;$C482&amp;"'!"&amp;"$"&amp;$D482&amp;$BC$1&amp;"")</f>
        <v>0.83</v>
      </c>
      <c r="BD482" s="300"/>
      <c r="BE482" s="300">
        <v>0.99</v>
      </c>
      <c r="BF482" s="298">
        <v>0.11</v>
      </c>
      <c r="BG482" s="299" cm="1">
        <f t="array" aca="1" ref="BG482" ca="1">INDIRECT("'"&amp;$C482&amp;"'!"&amp;"$"&amp;$D482&amp;$BG$1&amp;"")</f>
        <v>0.72</v>
      </c>
      <c r="BH482" s="300"/>
      <c r="BI482" s="300">
        <v>0.96</v>
      </c>
      <c r="BJ482" s="298">
        <v>0.28999999999999998</v>
      </c>
      <c r="BK482" s="299" cm="1">
        <f t="array" aca="1" ref="BK482" ca="1">INDIRECT("'"&amp;$C482&amp;"'!"&amp;"$"&amp;$D482&amp;$BK$1&amp;"")</f>
        <v>4.1100000000000003</v>
      </c>
      <c r="BL482" s="300"/>
      <c r="BM482" s="300">
        <v>0.95</v>
      </c>
      <c r="BN482" s="298">
        <v>1.3</v>
      </c>
    </row>
    <row r="483" spans="1:66" ht="15.75" thickBot="1" x14ac:dyDescent="0.25">
      <c r="A483" s="367">
        <v>45708</v>
      </c>
      <c r="B483" s="365">
        <v>0.125</v>
      </c>
      <c r="C483" s="383">
        <f t="shared" si="8"/>
        <v>20</v>
      </c>
      <c r="D483" s="319" t="s">
        <v>113</v>
      </c>
      <c r="E483" s="290">
        <v>14.1</v>
      </c>
      <c r="F483" s="291">
        <v>69.95</v>
      </c>
      <c r="G483" s="292" cm="1">
        <f t="array" aca="1" ref="G483" ca="1">INDIRECT("'"&amp;$C483&amp;"'!"&amp;"$"&amp;$D483&amp;$E$1&amp;"")</f>
        <v>0</v>
      </c>
      <c r="H483" s="293" t="s">
        <v>1</v>
      </c>
      <c r="I483" s="291" t="s">
        <v>1</v>
      </c>
      <c r="J483" s="292" cm="1">
        <f t="array" aca="1" ref="J483" ca="1">INDIRECT("'"&amp;$C483&amp;"'!"&amp;"$"&amp;$D483&amp;$J$1&amp;"")</f>
        <v>0</v>
      </c>
      <c r="K483" s="293"/>
      <c r="L483" s="293" t="s">
        <v>1</v>
      </c>
      <c r="M483" s="291" t="s">
        <v>1</v>
      </c>
      <c r="N483" s="292" cm="1">
        <f t="array" aca="1" ref="N483" ca="1">INDIRECT("'"&amp;$C483&amp;"'!"&amp;"$"&amp;$D483&amp;$N$1&amp;"")</f>
        <v>6.6</v>
      </c>
      <c r="O483" s="293"/>
      <c r="P483" s="293">
        <v>0.99</v>
      </c>
      <c r="Q483" s="291">
        <v>1.1499999999999999</v>
      </c>
      <c r="R483" s="292" cm="1">
        <f t="array" aca="1" ref="R483" ca="1">INDIRECT("'"&amp;$C483&amp;"'!"&amp;"$"&amp;$D483&amp;$R$1&amp;"")</f>
        <v>6.6</v>
      </c>
      <c r="S483" s="293"/>
      <c r="T483" s="293">
        <v>0.99</v>
      </c>
      <c r="U483" s="291">
        <v>1.1499999999999999</v>
      </c>
      <c r="V483" s="292" t="str" cm="1">
        <f t="array" aca="1" ref="V483" ca="1">INDIRECT("'"&amp;$C483&amp;"'!"&amp;"$"&amp;$D483&amp;$V$1&amp;"")</f>
        <v>CMS</v>
      </c>
      <c r="W483" s="293" t="s">
        <v>1</v>
      </c>
      <c r="X483" s="293" t="s">
        <v>1</v>
      </c>
      <c r="Y483" s="294" t="s">
        <v>1</v>
      </c>
      <c r="Z483" s="386" cm="1">
        <f t="array" aca="1" ref="Z483" ca="1">INDIRECT("'"&amp;$C483&amp;"'!"&amp;"$"&amp;$D483&amp;$Z$1&amp;"")</f>
        <v>0</v>
      </c>
      <c r="AA483" s="292" t="s">
        <v>1</v>
      </c>
      <c r="AB483" s="293" t="s">
        <v>1</v>
      </c>
      <c r="AC483" s="291" t="s">
        <v>1</v>
      </c>
      <c r="AD483" s="292" cm="1">
        <f t="array" aca="1" ref="AD483" ca="1">INDIRECT("'"&amp;$C483&amp;"'!"&amp;"$"&amp;$D483&amp;$AD$1&amp;"")</f>
        <v>3</v>
      </c>
      <c r="AE483" s="293">
        <f>3.8*3.59</f>
        <v>13.641999999999999</v>
      </c>
      <c r="AF483" s="293">
        <v>0.99</v>
      </c>
      <c r="AG483" s="294">
        <v>0.32</v>
      </c>
      <c r="AH483" s="290" cm="1">
        <f t="array" aca="1" ref="AH483" ca="1">INDIRECT("'"&amp;$C483&amp;"'!"&amp;"$"&amp;$D483&amp;$AH$1&amp;"")</f>
        <v>0</v>
      </c>
      <c r="AI483" s="293" t="s">
        <v>1</v>
      </c>
      <c r="AJ483" s="293" t="s">
        <v>1</v>
      </c>
      <c r="AK483" s="291" t="s">
        <v>1</v>
      </c>
      <c r="AL483" s="290" t="s">
        <v>1</v>
      </c>
      <c r="AM483" s="294">
        <v>70.599999999999994</v>
      </c>
      <c r="AN483" s="290" cm="1">
        <f t="array" aca="1" ref="AN483" ca="1">INDIRECT("'"&amp;$C483&amp;"'!"&amp;"$"&amp;$D483&amp;$AL$1&amp;"")</f>
        <v>0</v>
      </c>
      <c r="AO483" s="293" t="s">
        <v>1</v>
      </c>
      <c r="AP483" s="291" t="s">
        <v>1</v>
      </c>
      <c r="AQ483" s="292" cm="1">
        <f t="array" aca="1" ref="AQ483" ca="1">INDIRECT("'"&amp;$C483&amp;"'!"&amp;"$"&amp;$D483&amp;$AQ$1&amp;"")</f>
        <v>0</v>
      </c>
      <c r="AR483" s="293" t="s">
        <v>1</v>
      </c>
      <c r="AS483" s="291" t="s">
        <v>1</v>
      </c>
      <c r="AT483" s="290">
        <v>14.25</v>
      </c>
      <c r="AU483" s="296">
        <v>72.14</v>
      </c>
      <c r="AV483" s="290" cm="1">
        <f t="array" aca="1" ref="AV483" ca="1">INDIRECT("'"&amp;$C483&amp;"'!"&amp;"$"&amp;$D483&amp;$AT$1&amp;"")</f>
        <v>14.3</v>
      </c>
      <c r="AW483" s="293">
        <v>0.99</v>
      </c>
      <c r="AX483" s="294">
        <v>2.2000000000000002</v>
      </c>
      <c r="AY483" s="386">
        <v>69</v>
      </c>
      <c r="AZ483" s="296" cm="1">
        <f t="array" aca="1" ref="AZ483" ca="1">INDIRECT("'"&amp;$C483&amp;"'!"&amp;"$"&amp;$D483&amp;$AY$1&amp;"")</f>
        <v>0</v>
      </c>
      <c r="BA483" s="293" t="s">
        <v>1</v>
      </c>
      <c r="BB483" s="291" t="s">
        <v>1</v>
      </c>
      <c r="BC483" s="292" cm="1">
        <f t="array" aca="1" ref="BC483" ca="1">INDIRECT("'"&amp;$C483&amp;"'!"&amp;"$"&amp;$D483&amp;$BC$1&amp;"")</f>
        <v>0.8</v>
      </c>
      <c r="BD483" s="293"/>
      <c r="BE483" s="293">
        <v>0.99</v>
      </c>
      <c r="BF483" s="291">
        <v>0.17</v>
      </c>
      <c r="BG483" s="292" cm="1">
        <f t="array" aca="1" ref="BG483" ca="1">INDIRECT("'"&amp;$C483&amp;"'!"&amp;"$"&amp;$D483&amp;$BG$1&amp;"")</f>
        <v>0.71</v>
      </c>
      <c r="BH483" s="293"/>
      <c r="BI483" s="293">
        <v>0.96</v>
      </c>
      <c r="BJ483" s="291">
        <v>0.21</v>
      </c>
      <c r="BK483" s="292" cm="1">
        <f t="array" aca="1" ref="BK483" ca="1">INDIRECT("'"&amp;$C483&amp;"'!"&amp;"$"&amp;$D483&amp;$BK$1&amp;"")</f>
        <v>3.92</v>
      </c>
      <c r="BL483" s="293"/>
      <c r="BM483" s="293">
        <v>0.95</v>
      </c>
      <c r="BN483" s="291">
        <v>1.2</v>
      </c>
    </row>
    <row r="484" spans="1:66" ht="15.75" thickBot="1" x14ac:dyDescent="0.25">
      <c r="A484" s="367">
        <v>45708</v>
      </c>
      <c r="B484" s="365">
        <v>0.16666666666666699</v>
      </c>
      <c r="C484" s="383">
        <f t="shared" si="8"/>
        <v>20</v>
      </c>
      <c r="D484" s="319" t="s">
        <v>114</v>
      </c>
      <c r="E484" s="297">
        <v>14.2</v>
      </c>
      <c r="F484" s="298">
        <v>70.319999999999993</v>
      </c>
      <c r="G484" s="299" cm="1">
        <f t="array" aca="1" ref="G484" ca="1">INDIRECT("'"&amp;$C484&amp;"'!"&amp;"$"&amp;$D484&amp;$E$1&amp;"")</f>
        <v>0</v>
      </c>
      <c r="H484" s="300" t="s">
        <v>1</v>
      </c>
      <c r="I484" s="298" t="s">
        <v>1</v>
      </c>
      <c r="J484" s="299" cm="1">
        <f t="array" aca="1" ref="J484" ca="1">INDIRECT("'"&amp;$C484&amp;"'!"&amp;"$"&amp;$D484&amp;$J$1&amp;"")</f>
        <v>1.5</v>
      </c>
      <c r="K484" s="300"/>
      <c r="L484" s="300">
        <v>0.97</v>
      </c>
      <c r="M484" s="298">
        <v>0.36</v>
      </c>
      <c r="N484" s="299" cm="1">
        <f t="array" aca="1" ref="N484" ca="1">INDIRECT("'"&amp;$C484&amp;"'!"&amp;"$"&amp;$D484&amp;$N$1&amp;"")</f>
        <v>5.9</v>
      </c>
      <c r="O484" s="300"/>
      <c r="P484" s="300">
        <v>0.98</v>
      </c>
      <c r="Q484" s="298">
        <v>1.1599999999999999</v>
      </c>
      <c r="R484" s="299" cm="1">
        <f t="array" aca="1" ref="R484" ca="1">INDIRECT("'"&amp;$C484&amp;"'!"&amp;"$"&amp;$D484&amp;$R$1&amp;"")</f>
        <v>5.9</v>
      </c>
      <c r="S484" s="300"/>
      <c r="T484" s="300">
        <v>0.98</v>
      </c>
      <c r="U484" s="298">
        <v>1.1599999999999999</v>
      </c>
      <c r="V484" s="299" t="str" cm="1">
        <f t="array" aca="1" ref="V484" ca="1">INDIRECT("'"&amp;$C484&amp;"'!"&amp;"$"&amp;$D484&amp;$V$1&amp;"")</f>
        <v>CMS</v>
      </c>
      <c r="W484" s="300" t="s">
        <v>1</v>
      </c>
      <c r="X484" s="300" t="s">
        <v>1</v>
      </c>
      <c r="Y484" s="301" t="s">
        <v>1</v>
      </c>
      <c r="Z484" s="387" cm="1">
        <f t="array" aca="1" ref="Z484" ca="1">INDIRECT("'"&amp;$C484&amp;"'!"&amp;"$"&amp;$D484&amp;$Z$1&amp;"")</f>
        <v>0</v>
      </c>
      <c r="AA484" s="299" t="s">
        <v>1</v>
      </c>
      <c r="AB484" s="300" t="s">
        <v>1</v>
      </c>
      <c r="AC484" s="298" t="s">
        <v>1</v>
      </c>
      <c r="AD484" s="299" cm="1">
        <f t="array" aca="1" ref="AD484" ca="1">INDIRECT("'"&amp;$C484&amp;"'!"&amp;"$"&amp;$D484&amp;$AD$1&amp;"")</f>
        <v>3.1</v>
      </c>
      <c r="AE484" s="300">
        <f>3.8*3.6</f>
        <v>13.68</v>
      </c>
      <c r="AF484" s="300">
        <v>0.99</v>
      </c>
      <c r="AG484" s="301">
        <v>0.31</v>
      </c>
      <c r="AH484" s="297" cm="1">
        <f t="array" aca="1" ref="AH484" ca="1">INDIRECT("'"&amp;$C484&amp;"'!"&amp;"$"&amp;$D484&amp;$AH$1&amp;"")</f>
        <v>0</v>
      </c>
      <c r="AI484" s="300" t="s">
        <v>1</v>
      </c>
      <c r="AJ484" s="300" t="s">
        <v>1</v>
      </c>
      <c r="AK484" s="298" t="s">
        <v>1</v>
      </c>
      <c r="AL484" s="297" t="s">
        <v>1</v>
      </c>
      <c r="AM484" s="301">
        <v>70.5</v>
      </c>
      <c r="AN484" s="297" cm="1">
        <f t="array" aca="1" ref="AN484" ca="1">INDIRECT("'"&amp;$C484&amp;"'!"&amp;"$"&amp;$D484&amp;$AL$1&amp;"")</f>
        <v>0</v>
      </c>
      <c r="AO484" s="300" t="s">
        <v>1</v>
      </c>
      <c r="AP484" s="298" t="s">
        <v>1</v>
      </c>
      <c r="AQ484" s="299" cm="1">
        <f t="array" aca="1" ref="AQ484" ca="1">INDIRECT("'"&amp;$C484&amp;"'!"&amp;"$"&amp;$D484&amp;$AQ$1&amp;"")</f>
        <v>0</v>
      </c>
      <c r="AR484" s="300" t="s">
        <v>1</v>
      </c>
      <c r="AS484" s="298" t="s">
        <v>1</v>
      </c>
      <c r="AT484" s="297">
        <v>14.27</v>
      </c>
      <c r="AU484" s="303">
        <v>72.16</v>
      </c>
      <c r="AV484" s="297" cm="1">
        <f t="array" aca="1" ref="AV484" ca="1">INDIRECT("'"&amp;$C484&amp;"'!"&amp;"$"&amp;$D484&amp;$AT$1&amp;"")</f>
        <v>14.33</v>
      </c>
      <c r="AW484" s="300">
        <v>0.99</v>
      </c>
      <c r="AX484" s="301">
        <v>2.2999999999999998</v>
      </c>
      <c r="AY484" s="387">
        <v>69.400000000000006</v>
      </c>
      <c r="AZ484" s="303" cm="1">
        <f t="array" aca="1" ref="AZ484" ca="1">INDIRECT("'"&amp;$C484&amp;"'!"&amp;"$"&amp;$D484&amp;$AY$1&amp;"")</f>
        <v>0</v>
      </c>
      <c r="BA484" s="300" t="s">
        <v>1</v>
      </c>
      <c r="BB484" s="298" t="s">
        <v>1</v>
      </c>
      <c r="BC484" s="299" cm="1">
        <f t="array" aca="1" ref="BC484" ca="1">INDIRECT("'"&amp;$C484&amp;"'!"&amp;"$"&amp;$D484&amp;$BC$1&amp;"")</f>
        <v>0.78</v>
      </c>
      <c r="BD484" s="300"/>
      <c r="BE484" s="300">
        <v>0.99</v>
      </c>
      <c r="BF484" s="298">
        <v>0.11</v>
      </c>
      <c r="BG484" s="299" cm="1">
        <f t="array" aca="1" ref="BG484" ca="1">INDIRECT("'"&amp;$C484&amp;"'!"&amp;"$"&amp;$D484&amp;$BG$1&amp;"")</f>
        <v>0.72</v>
      </c>
      <c r="BH484" s="300"/>
      <c r="BI484" s="300">
        <v>0.96</v>
      </c>
      <c r="BJ484" s="298">
        <v>0.2</v>
      </c>
      <c r="BK484" s="299" cm="1">
        <f t="array" aca="1" ref="BK484" ca="1">INDIRECT("'"&amp;$C484&amp;"'!"&amp;"$"&amp;$D484&amp;$BK$1&amp;"")</f>
        <v>3.79</v>
      </c>
      <c r="BL484" s="300"/>
      <c r="BM484" s="300">
        <v>0.95</v>
      </c>
      <c r="BN484" s="298">
        <v>1.2</v>
      </c>
    </row>
    <row r="485" spans="1:66" ht="15.75" thickBot="1" x14ac:dyDescent="0.25">
      <c r="A485" s="367">
        <v>45708</v>
      </c>
      <c r="B485" s="365">
        <v>0.20833333333333301</v>
      </c>
      <c r="C485" s="383">
        <f t="shared" si="8"/>
        <v>20</v>
      </c>
      <c r="D485" s="319" t="s">
        <v>115</v>
      </c>
      <c r="E485" s="290">
        <v>14.2</v>
      </c>
      <c r="F485" s="291">
        <v>70.36</v>
      </c>
      <c r="G485" s="292" cm="1">
        <f t="array" aca="1" ref="G485" ca="1">INDIRECT("'"&amp;$C485&amp;"'!"&amp;"$"&amp;$D485&amp;$E$1&amp;"")</f>
        <v>0</v>
      </c>
      <c r="H485" s="293" t="s">
        <v>1</v>
      </c>
      <c r="I485" s="291" t="s">
        <v>1</v>
      </c>
      <c r="J485" s="292" cm="1">
        <f t="array" aca="1" ref="J485" ca="1">INDIRECT("'"&amp;$C485&amp;"'!"&amp;"$"&amp;$D485&amp;$J$1&amp;"")</f>
        <v>0</v>
      </c>
      <c r="K485" s="293"/>
      <c r="L485" s="293" t="s">
        <v>1</v>
      </c>
      <c r="M485" s="291" t="s">
        <v>1</v>
      </c>
      <c r="N485" s="292" cm="1">
        <f t="array" aca="1" ref="N485" ca="1">INDIRECT("'"&amp;$C485&amp;"'!"&amp;"$"&amp;$D485&amp;$N$1&amp;"")</f>
        <v>6.5</v>
      </c>
      <c r="O485" s="293"/>
      <c r="P485" s="293">
        <v>0.98</v>
      </c>
      <c r="Q485" s="291">
        <v>1.59</v>
      </c>
      <c r="R485" s="292" cm="1">
        <f t="array" aca="1" ref="R485" ca="1">INDIRECT("'"&amp;$C485&amp;"'!"&amp;"$"&amp;$D485&amp;$R$1&amp;"")</f>
        <v>6.5</v>
      </c>
      <c r="S485" s="293"/>
      <c r="T485" s="293">
        <v>0.98</v>
      </c>
      <c r="U485" s="291">
        <v>1.59</v>
      </c>
      <c r="V485" s="292" t="str" cm="1">
        <f t="array" aca="1" ref="V485" ca="1">INDIRECT("'"&amp;$C485&amp;"'!"&amp;"$"&amp;$D485&amp;$V$1&amp;"")</f>
        <v>CMS</v>
      </c>
      <c r="W485" s="293" t="s">
        <v>1</v>
      </c>
      <c r="X485" s="293" t="s">
        <v>1</v>
      </c>
      <c r="Y485" s="294" t="s">
        <v>1</v>
      </c>
      <c r="Z485" s="386" cm="1">
        <f t="array" aca="1" ref="Z485" ca="1">INDIRECT("'"&amp;$C485&amp;"'!"&amp;"$"&amp;$D485&amp;$Z$1&amp;"")</f>
        <v>0</v>
      </c>
      <c r="AA485" s="292" t="s">
        <v>1</v>
      </c>
      <c r="AB485" s="293" t="s">
        <v>1</v>
      </c>
      <c r="AC485" s="291" t="s">
        <v>1</v>
      </c>
      <c r="AD485" s="292" cm="1">
        <f t="array" aca="1" ref="AD485" ca="1">INDIRECT("'"&amp;$C485&amp;"'!"&amp;"$"&amp;$D485&amp;$AD$1&amp;"")</f>
        <v>2.7</v>
      </c>
      <c r="AE485" s="293">
        <f>3.8*3.6</f>
        <v>13.68</v>
      </c>
      <c r="AF485" s="293">
        <v>0.99</v>
      </c>
      <c r="AG485" s="294">
        <v>0.27</v>
      </c>
      <c r="AH485" s="290" cm="1">
        <f t="array" aca="1" ref="AH485" ca="1">INDIRECT("'"&amp;$C485&amp;"'!"&amp;"$"&amp;$D485&amp;$AH$1&amp;"")</f>
        <v>0</v>
      </c>
      <c r="AI485" s="293" t="s">
        <v>1</v>
      </c>
      <c r="AJ485" s="293" t="s">
        <v>1</v>
      </c>
      <c r="AK485" s="291" t="s">
        <v>1</v>
      </c>
      <c r="AL485" s="290">
        <v>11.8</v>
      </c>
      <c r="AM485" s="294">
        <v>70.8</v>
      </c>
      <c r="AN485" s="290" cm="1">
        <f t="array" aca="1" ref="AN485" ca="1">INDIRECT("'"&amp;$C485&amp;"'!"&amp;"$"&amp;$D485&amp;$AL$1&amp;"")</f>
        <v>0</v>
      </c>
      <c r="AO485" s="293" t="s">
        <v>1</v>
      </c>
      <c r="AP485" s="291" t="s">
        <v>1</v>
      </c>
      <c r="AQ485" s="292" cm="1">
        <f t="array" aca="1" ref="AQ485" ca="1">INDIRECT("'"&amp;$C485&amp;"'!"&amp;"$"&amp;$D485&amp;$AQ$1&amp;"")</f>
        <v>3</v>
      </c>
      <c r="AR485" s="293">
        <v>0.99</v>
      </c>
      <c r="AS485" s="291">
        <v>0.24</v>
      </c>
      <c r="AT485" s="290">
        <v>14.29</v>
      </c>
      <c r="AU485" s="296">
        <v>72.430000000000007</v>
      </c>
      <c r="AV485" s="290" cm="1">
        <f t="array" aca="1" ref="AV485" ca="1">INDIRECT("'"&amp;$C485&amp;"'!"&amp;"$"&amp;$D485&amp;$AT$1&amp;"")</f>
        <v>13.31</v>
      </c>
      <c r="AW485" s="293">
        <v>0.99</v>
      </c>
      <c r="AX485" s="294">
        <v>2.2000000000000002</v>
      </c>
      <c r="AY485" s="386">
        <v>69.400000000000006</v>
      </c>
      <c r="AZ485" s="296" cm="1">
        <f t="array" aca="1" ref="AZ485" ca="1">INDIRECT("'"&amp;$C485&amp;"'!"&amp;"$"&amp;$D485&amp;$AY$1&amp;"")</f>
        <v>0</v>
      </c>
      <c r="BA485" s="293" t="s">
        <v>1</v>
      </c>
      <c r="BB485" s="291" t="s">
        <v>1</v>
      </c>
      <c r="BC485" s="292" cm="1">
        <f t="array" aca="1" ref="BC485" ca="1">INDIRECT("'"&amp;$C485&amp;"'!"&amp;"$"&amp;$D485&amp;$BC$1&amp;"")</f>
        <v>0.87</v>
      </c>
      <c r="BD485" s="293"/>
      <c r="BE485" s="293">
        <v>0.99</v>
      </c>
      <c r="BF485" s="291">
        <v>0.1</v>
      </c>
      <c r="BG485" s="292" cm="1">
        <f t="array" aca="1" ref="BG485" ca="1">INDIRECT("'"&amp;$C485&amp;"'!"&amp;"$"&amp;$D485&amp;$BG$1&amp;"")</f>
        <v>0.73</v>
      </c>
      <c r="BH485" s="293"/>
      <c r="BI485" s="293">
        <v>0.96</v>
      </c>
      <c r="BJ485" s="291">
        <v>0.21</v>
      </c>
      <c r="BK485" s="292" cm="1">
        <f t="array" aca="1" ref="BK485" ca="1">INDIRECT("'"&amp;$C485&amp;"'!"&amp;"$"&amp;$D485&amp;$BK$1&amp;"")</f>
        <v>3.97</v>
      </c>
      <c r="BL485" s="293"/>
      <c r="BM485" s="293">
        <v>0.95</v>
      </c>
      <c r="BN485" s="291">
        <v>1.3</v>
      </c>
    </row>
    <row r="486" spans="1:66" ht="15.75" thickBot="1" x14ac:dyDescent="0.25">
      <c r="A486" s="367">
        <v>45708</v>
      </c>
      <c r="B486" s="365">
        <v>0.25</v>
      </c>
      <c r="C486" s="383">
        <f t="shared" si="8"/>
        <v>20</v>
      </c>
      <c r="D486" s="319" t="s">
        <v>116</v>
      </c>
      <c r="E486" s="297">
        <v>14.1</v>
      </c>
      <c r="F486" s="298">
        <v>69.760000000000005</v>
      </c>
      <c r="G486" s="299" cm="1">
        <f t="array" aca="1" ref="G486" ca="1">INDIRECT("'"&amp;$C486&amp;"'!"&amp;"$"&amp;$D486&amp;$E$1&amp;"")</f>
        <v>0</v>
      </c>
      <c r="H486" s="300" t="s">
        <v>1</v>
      </c>
      <c r="I486" s="298" t="s">
        <v>1</v>
      </c>
      <c r="J486" s="299" cm="1">
        <f t="array" aca="1" ref="J486" ca="1">INDIRECT("'"&amp;$C486&amp;"'!"&amp;"$"&amp;$D486&amp;$J$1&amp;"")</f>
        <v>0</v>
      </c>
      <c r="K486" s="300"/>
      <c r="L486" s="300" t="s">
        <v>1</v>
      </c>
      <c r="M486" s="298" t="s">
        <v>1</v>
      </c>
      <c r="N486" s="299" cm="1">
        <f t="array" aca="1" ref="N486" ca="1">INDIRECT("'"&amp;$C486&amp;"'!"&amp;"$"&amp;$D486&amp;$N$1&amp;"")</f>
        <v>6.7</v>
      </c>
      <c r="O486" s="300"/>
      <c r="P486" s="300">
        <v>0.98</v>
      </c>
      <c r="Q486" s="298">
        <v>1.43</v>
      </c>
      <c r="R486" s="299" cm="1">
        <f t="array" aca="1" ref="R486" ca="1">INDIRECT("'"&amp;$C486&amp;"'!"&amp;"$"&amp;$D486&amp;$R$1&amp;"")</f>
        <v>6.7</v>
      </c>
      <c r="S486" s="300"/>
      <c r="T486" s="300">
        <v>0.98</v>
      </c>
      <c r="U486" s="298">
        <v>1.43</v>
      </c>
      <c r="V486" s="299" t="str" cm="1">
        <f t="array" aca="1" ref="V486" ca="1">INDIRECT("'"&amp;$C486&amp;"'!"&amp;"$"&amp;$D486&amp;$V$1&amp;"")</f>
        <v>CMS</v>
      </c>
      <c r="W486" s="300" t="s">
        <v>1</v>
      </c>
      <c r="X486" s="300" t="s">
        <v>1</v>
      </c>
      <c r="Y486" s="301" t="s">
        <v>1</v>
      </c>
      <c r="Z486" s="387" cm="1">
        <f t="array" aca="1" ref="Z486" ca="1">INDIRECT("'"&amp;$C486&amp;"'!"&amp;"$"&amp;$D486&amp;$Z$1&amp;"")</f>
        <v>0</v>
      </c>
      <c r="AA486" s="299" t="s">
        <v>1</v>
      </c>
      <c r="AB486" s="300" t="s">
        <v>1</v>
      </c>
      <c r="AC486" s="298" t="s">
        <v>1</v>
      </c>
      <c r="AD486" s="299" cm="1">
        <f t="array" aca="1" ref="AD486" ca="1">INDIRECT("'"&amp;$C486&amp;"'!"&amp;"$"&amp;$D486&amp;$AD$1&amp;"")</f>
        <v>3.3</v>
      </c>
      <c r="AE486" s="300">
        <f>3.5*3.8</f>
        <v>13.299999999999999</v>
      </c>
      <c r="AF486" s="300">
        <v>0.99</v>
      </c>
      <c r="AG486" s="301">
        <v>0.32</v>
      </c>
      <c r="AH486" s="297" cm="1">
        <f t="array" aca="1" ref="AH486" ca="1">INDIRECT("'"&amp;$C486&amp;"'!"&amp;"$"&amp;$D486&amp;$AH$1&amp;"")</f>
        <v>0</v>
      </c>
      <c r="AI486" s="300" t="s">
        <v>1</v>
      </c>
      <c r="AJ486" s="300" t="s">
        <v>1</v>
      </c>
      <c r="AK486" s="298" t="s">
        <v>1</v>
      </c>
      <c r="AL486" s="297">
        <v>11.8</v>
      </c>
      <c r="AM486" s="301">
        <v>70.599999999999994</v>
      </c>
      <c r="AN486" s="297" cm="1">
        <f t="array" aca="1" ref="AN486" ca="1">INDIRECT("'"&amp;$C486&amp;"'!"&amp;"$"&amp;$D486&amp;$AL$1&amp;"")</f>
        <v>0</v>
      </c>
      <c r="AO486" s="300" t="s">
        <v>1</v>
      </c>
      <c r="AP486" s="298" t="s">
        <v>1</v>
      </c>
      <c r="AQ486" s="299" cm="1">
        <f t="array" aca="1" ref="AQ486" ca="1">INDIRECT("'"&amp;$C486&amp;"'!"&amp;"$"&amp;$D486&amp;$AQ$1&amp;"")</f>
        <v>3.6</v>
      </c>
      <c r="AR486" s="300">
        <v>0.98</v>
      </c>
      <c r="AS486" s="298">
        <v>0.77</v>
      </c>
      <c r="AT486" s="297">
        <v>14.14</v>
      </c>
      <c r="AU486" s="301">
        <v>71.650000000000006</v>
      </c>
      <c r="AV486" s="297" cm="1">
        <f t="array" aca="1" ref="AV486" ca="1">INDIRECT("'"&amp;$C486&amp;"'!"&amp;"$"&amp;$D486&amp;$AT$1&amp;"")</f>
        <v>14.37</v>
      </c>
      <c r="AW486" s="300">
        <v>0.99</v>
      </c>
      <c r="AX486" s="301">
        <v>2.2999999999999998</v>
      </c>
      <c r="AY486" s="387">
        <v>68.7</v>
      </c>
      <c r="AZ486" s="303" cm="1">
        <f t="array" aca="1" ref="AZ486" ca="1">INDIRECT("'"&amp;$C486&amp;"'!"&amp;"$"&amp;$D486&amp;$AY$1&amp;"")</f>
        <v>0</v>
      </c>
      <c r="BA486" s="300" t="s">
        <v>1</v>
      </c>
      <c r="BB486" s="298" t="s">
        <v>1</v>
      </c>
      <c r="BC486" s="299" cm="1">
        <f t="array" aca="1" ref="BC486" ca="1">INDIRECT("'"&amp;$C486&amp;"'!"&amp;"$"&amp;$D486&amp;$BC$1&amp;"")</f>
        <v>1.04</v>
      </c>
      <c r="BD486" s="300"/>
      <c r="BE486" s="300">
        <v>0.99</v>
      </c>
      <c r="BF486" s="298">
        <v>0.11</v>
      </c>
      <c r="BG486" s="299" cm="1">
        <f t="array" aca="1" ref="BG486" ca="1">INDIRECT("'"&amp;$C486&amp;"'!"&amp;"$"&amp;$D486&amp;$BG$1&amp;"")</f>
        <v>0.82</v>
      </c>
      <c r="BH486" s="300"/>
      <c r="BI486" s="300">
        <v>0.96</v>
      </c>
      <c r="BJ486" s="298">
        <v>0.19</v>
      </c>
      <c r="BK486" s="299" cm="1">
        <f t="array" aca="1" ref="BK486" ca="1">INDIRECT("'"&amp;$C486&amp;"'!"&amp;"$"&amp;$D486&amp;$BK$1&amp;"")</f>
        <v>4.74</v>
      </c>
      <c r="BL486" s="300"/>
      <c r="BM486" s="300">
        <v>0.95</v>
      </c>
      <c r="BN486" s="298">
        <v>1.5</v>
      </c>
    </row>
    <row r="487" spans="1:66" ht="15.75" thickBot="1" x14ac:dyDescent="0.25">
      <c r="A487" s="367">
        <v>45708</v>
      </c>
      <c r="B487" s="365">
        <v>0.29166666666666702</v>
      </c>
      <c r="C487" s="383">
        <f t="shared" si="8"/>
        <v>20</v>
      </c>
      <c r="D487" s="319" t="s">
        <v>117</v>
      </c>
      <c r="E487" s="290">
        <v>14</v>
      </c>
      <c r="F487" s="291">
        <v>69.17</v>
      </c>
      <c r="G487" s="292" cm="1">
        <f t="array" aca="1" ref="G487" ca="1">INDIRECT("'"&amp;$C487&amp;"'!"&amp;"$"&amp;$D487&amp;$E$1&amp;"")</f>
        <v>0</v>
      </c>
      <c r="H487" s="293" t="s">
        <v>1</v>
      </c>
      <c r="I487" s="291" t="s">
        <v>1</v>
      </c>
      <c r="J487" s="292" t="str" cm="1">
        <f t="array" aca="1" ref="J487" ca="1">INDIRECT("'"&amp;$C487&amp;"'!"&amp;"$"&amp;$D487&amp;$J$1&amp;"")</f>
        <v>PMS</v>
      </c>
      <c r="K487" s="293"/>
      <c r="L487" s="293" t="s">
        <v>1</v>
      </c>
      <c r="M487" s="291" t="s">
        <v>1</v>
      </c>
      <c r="N487" s="292" cm="1">
        <f t="array" aca="1" ref="N487" ca="1">INDIRECT("'"&amp;$C487&amp;"'!"&amp;"$"&amp;$D487&amp;$N$1&amp;"")</f>
        <v>6.7</v>
      </c>
      <c r="O487" s="293"/>
      <c r="P487" s="293">
        <v>0.98</v>
      </c>
      <c r="Q487" s="291">
        <v>1.44</v>
      </c>
      <c r="R487" s="292" cm="1">
        <f t="array" aca="1" ref="R487" ca="1">INDIRECT("'"&amp;$C487&amp;"'!"&amp;"$"&amp;$D487&amp;$R$1&amp;"")</f>
        <v>6.7</v>
      </c>
      <c r="S487" s="293"/>
      <c r="T487" s="293">
        <v>0.98</v>
      </c>
      <c r="U487" s="291">
        <v>1.44</v>
      </c>
      <c r="V487" s="292" t="str" cm="1">
        <f t="array" aca="1" ref="V487" ca="1">INDIRECT("'"&amp;$C487&amp;"'!"&amp;"$"&amp;$D487&amp;$V$1&amp;"")</f>
        <v>CMS</v>
      </c>
      <c r="W487" s="293" t="s">
        <v>1</v>
      </c>
      <c r="X487" s="293" t="s">
        <v>1</v>
      </c>
      <c r="Y487" s="294" t="s">
        <v>1</v>
      </c>
      <c r="Z487" s="386" cm="1">
        <f t="array" aca="1" ref="Z487" ca="1">INDIRECT("'"&amp;$C487&amp;"'!"&amp;"$"&amp;$D487&amp;$Z$1&amp;"")</f>
        <v>0</v>
      </c>
      <c r="AA487" s="292" t="s">
        <v>1</v>
      </c>
      <c r="AB487" s="293" t="s">
        <v>1</v>
      </c>
      <c r="AC487" s="291" t="s">
        <v>1</v>
      </c>
      <c r="AD487" s="292" cm="1">
        <f t="array" aca="1" ref="AD487" ca="1">INDIRECT("'"&amp;$C487&amp;"'!"&amp;"$"&amp;$D487&amp;$AD$1&amp;"")</f>
        <v>3.3</v>
      </c>
      <c r="AE487" s="293">
        <f>3.8*3.56</f>
        <v>13.527999999999999</v>
      </c>
      <c r="AF487" s="293">
        <v>0.99</v>
      </c>
      <c r="AG487" s="294">
        <v>0.31</v>
      </c>
      <c r="AH487" s="290" cm="1">
        <f t="array" aca="1" ref="AH487" ca="1">INDIRECT("'"&amp;$C487&amp;"'!"&amp;"$"&amp;$D487&amp;$AH$1&amp;"")</f>
        <v>0</v>
      </c>
      <c r="AI487" s="293" t="s">
        <v>1</v>
      </c>
      <c r="AJ487" s="293" t="s">
        <v>1</v>
      </c>
      <c r="AK487" s="291" t="s">
        <v>1</v>
      </c>
      <c r="AL487" s="290">
        <v>11.8</v>
      </c>
      <c r="AM487" s="294">
        <v>70.599999999999994</v>
      </c>
      <c r="AN487" s="290" cm="1">
        <f t="array" aca="1" ref="AN487" ca="1">INDIRECT("'"&amp;$C487&amp;"'!"&amp;"$"&amp;$D487&amp;$AL$1&amp;"")</f>
        <v>2</v>
      </c>
      <c r="AO487" s="293">
        <v>0.96</v>
      </c>
      <c r="AP487" s="291">
        <v>0.66</v>
      </c>
      <c r="AQ487" s="292" cm="1">
        <f t="array" aca="1" ref="AQ487" ca="1">INDIRECT("'"&amp;$C487&amp;"'!"&amp;"$"&amp;$D487&amp;$AQ$1&amp;"")</f>
        <v>3</v>
      </c>
      <c r="AR487" s="293">
        <v>0.96</v>
      </c>
      <c r="AS487" s="291">
        <v>0.66</v>
      </c>
      <c r="AT487" s="290">
        <v>14.15</v>
      </c>
      <c r="AU487" s="294">
        <v>71.510000000000005</v>
      </c>
      <c r="AV487" s="290" cm="1">
        <f t="array" aca="1" ref="AV487" ca="1">INDIRECT("'"&amp;$C487&amp;"'!"&amp;"$"&amp;$D487&amp;$AT$1&amp;"")</f>
        <v>13.39</v>
      </c>
      <c r="AW487" s="293">
        <v>0.99</v>
      </c>
      <c r="AX487" s="294">
        <v>2.2000000000000002</v>
      </c>
      <c r="AY487" s="386">
        <v>68.3</v>
      </c>
      <c r="AZ487" s="296" cm="1">
        <f t="array" aca="1" ref="AZ487" ca="1">INDIRECT("'"&amp;$C487&amp;"'!"&amp;"$"&amp;$D487&amp;$AY$1&amp;"")</f>
        <v>0</v>
      </c>
      <c r="BA487" s="293" t="s">
        <v>1</v>
      </c>
      <c r="BB487" s="291" t="s">
        <v>1</v>
      </c>
      <c r="BC487" s="292" cm="1">
        <f t="array" aca="1" ref="BC487" ca="1">INDIRECT("'"&amp;$C487&amp;"'!"&amp;"$"&amp;$D487&amp;$BC$1&amp;"")</f>
        <v>1.17</v>
      </c>
      <c r="BD487" s="293"/>
      <c r="BE487" s="293">
        <v>0.99</v>
      </c>
      <c r="BF487" s="291">
        <v>0.14000000000000001</v>
      </c>
      <c r="BG487" s="292" cm="1">
        <f t="array" aca="1" ref="BG487" ca="1">INDIRECT("'"&amp;$C487&amp;"'!"&amp;"$"&amp;$D487&amp;$BG$1&amp;"")</f>
        <v>0.81</v>
      </c>
      <c r="BH487" s="293"/>
      <c r="BI487" s="293">
        <v>0.96</v>
      </c>
      <c r="BJ487" s="291">
        <v>0.21</v>
      </c>
      <c r="BK487" s="292" cm="1">
        <f t="array" aca="1" ref="BK487" ca="1">INDIRECT("'"&amp;$C487&amp;"'!"&amp;"$"&amp;$D487&amp;$BK$1&amp;"")</f>
        <v>4.63</v>
      </c>
      <c r="BL487" s="293"/>
      <c r="BM487" s="293">
        <v>0.95</v>
      </c>
      <c r="BN487" s="291">
        <v>1.5</v>
      </c>
    </row>
    <row r="488" spans="1:66" ht="15.75" thickBot="1" x14ac:dyDescent="0.25">
      <c r="A488" s="367">
        <v>45708</v>
      </c>
      <c r="B488" s="365">
        <v>0.33333333333333398</v>
      </c>
      <c r="C488" s="383">
        <f t="shared" si="8"/>
        <v>20</v>
      </c>
      <c r="D488" s="319" t="s">
        <v>118</v>
      </c>
      <c r="E488" s="297">
        <v>14</v>
      </c>
      <c r="F488" s="298">
        <v>68.8</v>
      </c>
      <c r="G488" s="299" cm="1">
        <f t="array" aca="1" ref="G488" ca="1">INDIRECT("'"&amp;$C488&amp;"'!"&amp;"$"&amp;$D488&amp;$E$1&amp;"")</f>
        <v>0</v>
      </c>
      <c r="H488" s="300" t="s">
        <v>1</v>
      </c>
      <c r="I488" s="298" t="s">
        <v>1</v>
      </c>
      <c r="J488" s="299" t="str" cm="1">
        <f t="array" aca="1" ref="J488" ca="1">INDIRECT("'"&amp;$C488&amp;"'!"&amp;"$"&amp;$D488&amp;$J$1&amp;"")</f>
        <v>PMS</v>
      </c>
      <c r="K488" s="300"/>
      <c r="L488" s="300" t="s">
        <v>1</v>
      </c>
      <c r="M488" s="298" t="s">
        <v>1</v>
      </c>
      <c r="N488" s="299" cm="1">
        <f t="array" aca="1" ref="N488" ca="1">INDIRECT("'"&amp;$C488&amp;"'!"&amp;"$"&amp;$D488&amp;$N$1&amp;"")</f>
        <v>6.6</v>
      </c>
      <c r="O488" s="300"/>
      <c r="P488" s="300">
        <v>0.9</v>
      </c>
      <c r="Q488" s="298">
        <v>3.15</v>
      </c>
      <c r="R488" s="299" cm="1">
        <f t="array" aca="1" ref="R488" ca="1">INDIRECT("'"&amp;$C488&amp;"'!"&amp;"$"&amp;$D488&amp;$R$1&amp;"")</f>
        <v>6.6</v>
      </c>
      <c r="S488" s="300"/>
      <c r="T488" s="300">
        <v>0.91</v>
      </c>
      <c r="U488" s="298">
        <v>3.12</v>
      </c>
      <c r="V488" s="299" t="str" cm="1">
        <f t="array" aca="1" ref="V488" ca="1">INDIRECT("'"&amp;$C488&amp;"'!"&amp;"$"&amp;$D488&amp;$V$1&amp;"")</f>
        <v>CMS</v>
      </c>
      <c r="W488" s="300" t="s">
        <v>1</v>
      </c>
      <c r="X488" s="300" t="s">
        <v>1</v>
      </c>
      <c r="Y488" s="301" t="s">
        <v>1</v>
      </c>
      <c r="Z488" s="387" cm="1">
        <f t="array" aca="1" ref="Z488" ca="1">INDIRECT("'"&amp;$C488&amp;"'!"&amp;"$"&amp;$D488&amp;$Z$1&amp;"")</f>
        <v>0</v>
      </c>
      <c r="AA488" s="299" t="s">
        <v>1</v>
      </c>
      <c r="AB488" s="300" t="s">
        <v>1</v>
      </c>
      <c r="AC488" s="298" t="s">
        <v>1</v>
      </c>
      <c r="AD488" s="299" cm="1">
        <f t="array" aca="1" ref="AD488" ca="1">INDIRECT("'"&amp;$C488&amp;"'!"&amp;"$"&amp;$D488&amp;$AD$1&amp;"")</f>
        <v>3.3</v>
      </c>
      <c r="AE488" s="300">
        <f>3.8*3.49</f>
        <v>13.262</v>
      </c>
      <c r="AF488" s="300">
        <v>0.91</v>
      </c>
      <c r="AG488" s="301">
        <v>0.79</v>
      </c>
      <c r="AH488" s="297" cm="1">
        <f t="array" aca="1" ref="AH488" ca="1">INDIRECT("'"&amp;$C488&amp;"'!"&amp;"$"&amp;$D488&amp;$AH$1&amp;"")</f>
        <v>1.7</v>
      </c>
      <c r="AI488" s="300"/>
      <c r="AJ488" s="300"/>
      <c r="AK488" s="298"/>
      <c r="AL488" s="297">
        <v>11.8</v>
      </c>
      <c r="AM488" s="301">
        <v>70</v>
      </c>
      <c r="AN488" s="297" cm="1">
        <f t="array" aca="1" ref="AN488" ca="1">INDIRECT("'"&amp;$C488&amp;"'!"&amp;"$"&amp;$D488&amp;$AL$1&amp;"")</f>
        <v>3.8</v>
      </c>
      <c r="AO488" s="300">
        <v>0.97</v>
      </c>
      <c r="AP488" s="298">
        <v>0.82</v>
      </c>
      <c r="AQ488" s="299" cm="1">
        <f t="array" aca="1" ref="AQ488" ca="1">INDIRECT("'"&amp;$C488&amp;"'!"&amp;"$"&amp;$D488&amp;$AQ$1&amp;"")</f>
        <v>3.8</v>
      </c>
      <c r="AR488" s="300">
        <v>0.97</v>
      </c>
      <c r="AS488" s="298">
        <v>0.82</v>
      </c>
      <c r="AT488" s="297">
        <v>14.15</v>
      </c>
      <c r="AU488" s="301">
        <v>71.459999999999994</v>
      </c>
      <c r="AV488" s="297" cm="1">
        <f t="array" aca="1" ref="AV488" ca="1">INDIRECT("'"&amp;$C488&amp;"'!"&amp;"$"&amp;$D488&amp;$AT$1&amp;"")</f>
        <v>14.36</v>
      </c>
      <c r="AW488" s="300">
        <v>0.99</v>
      </c>
      <c r="AX488" s="301">
        <v>2.2999999999999998</v>
      </c>
      <c r="AY488" s="387">
        <v>67.099999999999994</v>
      </c>
      <c r="AZ488" s="303" cm="1">
        <f t="array" aca="1" ref="AZ488" ca="1">INDIRECT("'"&amp;$C488&amp;"'!"&amp;"$"&amp;$D488&amp;$AY$1&amp;"")</f>
        <v>0</v>
      </c>
      <c r="BA488" s="300" t="s">
        <v>1</v>
      </c>
      <c r="BB488" s="298" t="s">
        <v>1</v>
      </c>
      <c r="BC488" s="299" cm="1">
        <f t="array" aca="1" ref="BC488" ca="1">INDIRECT("'"&amp;$C488&amp;"'!"&amp;"$"&amp;$D488&amp;$BC$1&amp;"")</f>
        <v>1.07</v>
      </c>
      <c r="BD488" s="300"/>
      <c r="BE488" s="300">
        <v>0.99</v>
      </c>
      <c r="BF488" s="298">
        <v>0.16</v>
      </c>
      <c r="BG488" s="299" cm="1">
        <f t="array" aca="1" ref="BG488" ca="1">INDIRECT("'"&amp;$C488&amp;"'!"&amp;"$"&amp;$D488&amp;$BG$1&amp;"")</f>
        <v>0.71</v>
      </c>
      <c r="BH488" s="300"/>
      <c r="BI488" s="300">
        <v>0.96</v>
      </c>
      <c r="BJ488" s="298">
        <v>0.23</v>
      </c>
      <c r="BK488" s="299" cm="1">
        <f t="array" aca="1" ref="BK488" ca="1">INDIRECT("'"&amp;$C488&amp;"'!"&amp;"$"&amp;$D488&amp;$BK$1&amp;"")</f>
        <v>4.5</v>
      </c>
      <c r="BL488" s="300"/>
      <c r="BM488" s="300">
        <v>0.95</v>
      </c>
      <c r="BN488" s="298">
        <v>1.2</v>
      </c>
    </row>
    <row r="489" spans="1:66" ht="15.75" thickBot="1" x14ac:dyDescent="0.25">
      <c r="A489" s="367">
        <v>45708</v>
      </c>
      <c r="B489" s="365">
        <v>0.375</v>
      </c>
      <c r="C489" s="383">
        <f t="shared" si="8"/>
        <v>20</v>
      </c>
      <c r="D489" s="319" t="s">
        <v>119</v>
      </c>
      <c r="E489" s="290">
        <v>14.1</v>
      </c>
      <c r="F489" s="291">
        <v>69.86</v>
      </c>
      <c r="G489" s="292" cm="1">
        <f t="array" aca="1" ref="G489" ca="1">INDIRECT("'"&amp;$C489&amp;"'!"&amp;"$"&amp;$D489&amp;$E$1&amp;"")</f>
        <v>1.5</v>
      </c>
      <c r="H489" s="293">
        <v>0.96</v>
      </c>
      <c r="I489" s="291">
        <v>0.45</v>
      </c>
      <c r="J489" s="292" t="str" cm="1">
        <f t="array" aca="1" ref="J489" ca="1">INDIRECT("'"&amp;$C489&amp;"'!"&amp;"$"&amp;$D489&amp;$J$1&amp;"")</f>
        <v>PMS</v>
      </c>
      <c r="K489" s="293"/>
      <c r="L489" s="293" t="s">
        <v>1</v>
      </c>
      <c r="M489" s="291" t="s">
        <v>1</v>
      </c>
      <c r="N489" s="292" cm="1">
        <f t="array" aca="1" ref="N489" ca="1">INDIRECT("'"&amp;$C489&amp;"'!"&amp;"$"&amp;$D489&amp;$N$1&amp;"")</f>
        <v>6.6</v>
      </c>
      <c r="O489" s="293"/>
      <c r="P489" s="293">
        <v>0.91</v>
      </c>
      <c r="Q489" s="291">
        <v>3.05</v>
      </c>
      <c r="R489" s="292" cm="1">
        <f t="array" aca="1" ref="R489" ca="1">INDIRECT("'"&amp;$C489&amp;"'!"&amp;"$"&amp;$D489&amp;$R$1&amp;"")</f>
        <v>6.6</v>
      </c>
      <c r="S489" s="293"/>
      <c r="T489" s="293">
        <v>0.91</v>
      </c>
      <c r="U489" s="291">
        <v>3.08</v>
      </c>
      <c r="V489" s="292" t="str" cm="1">
        <f t="array" aca="1" ref="V489" ca="1">INDIRECT("'"&amp;$C489&amp;"'!"&amp;"$"&amp;$D489&amp;$V$1&amp;"")</f>
        <v>CMS</v>
      </c>
      <c r="W489" s="293" t="s">
        <v>1</v>
      </c>
      <c r="X489" s="293" t="s">
        <v>1</v>
      </c>
      <c r="Y489" s="294" t="s">
        <v>1</v>
      </c>
      <c r="Z489" s="386" cm="1">
        <f t="array" aca="1" ref="Z489" ca="1">INDIRECT("'"&amp;$C489&amp;"'!"&amp;"$"&amp;$D489&amp;$Z$1&amp;"")</f>
        <v>0</v>
      </c>
      <c r="AA489" s="292" t="s">
        <v>1</v>
      </c>
      <c r="AB489" s="293" t="s">
        <v>1</v>
      </c>
      <c r="AC489" s="291" t="s">
        <v>1</v>
      </c>
      <c r="AD489" s="292" t="str" cm="1">
        <f t="array" aca="1" ref="AD489" ca="1">INDIRECT("'"&amp;$C489&amp;"'!"&amp;"$"&amp;$D489&amp;$AD$1&amp;"")</f>
        <v>CMS</v>
      </c>
      <c r="AE489" s="293" t="s">
        <v>1</v>
      </c>
      <c r="AF489" s="293" t="s">
        <v>1</v>
      </c>
      <c r="AG489" s="294" t="s">
        <v>1</v>
      </c>
      <c r="AH489" s="290" t="str" cm="1">
        <f t="array" aca="1" ref="AH489" ca="1">INDIRECT("'"&amp;$C489&amp;"'!"&amp;"$"&amp;$D489&amp;$AH$1&amp;"")</f>
        <v>CMS</v>
      </c>
      <c r="AI489" s="293" t="s">
        <v>1</v>
      </c>
      <c r="AJ489" s="293" t="s">
        <v>1</v>
      </c>
      <c r="AK489" s="291" t="s">
        <v>1</v>
      </c>
      <c r="AL489" s="290">
        <v>11.9</v>
      </c>
      <c r="AM489" s="294">
        <v>70.2</v>
      </c>
      <c r="AN489" s="290" cm="1">
        <f t="array" aca="1" ref="AN489" ca="1">INDIRECT("'"&amp;$C489&amp;"'!"&amp;"$"&amp;$D489&amp;$AL$1&amp;"")</f>
        <v>3.7</v>
      </c>
      <c r="AO489" s="293">
        <v>0.95</v>
      </c>
      <c r="AP489" s="291">
        <v>1</v>
      </c>
      <c r="AQ489" s="292" cm="1">
        <f t="array" aca="1" ref="AQ489" ca="1">INDIRECT("'"&amp;$C489&amp;"'!"&amp;"$"&amp;$D489&amp;$AQ$1&amp;"")</f>
        <v>3.7</v>
      </c>
      <c r="AR489" s="293">
        <v>0.95</v>
      </c>
      <c r="AS489" s="291">
        <v>1.28</v>
      </c>
      <c r="AT489" s="290">
        <v>14.08</v>
      </c>
      <c r="AU489" s="294">
        <v>71.25</v>
      </c>
      <c r="AV489" s="290" cm="1">
        <f t="array" aca="1" ref="AV489" ca="1">INDIRECT("'"&amp;$C489&amp;"'!"&amp;"$"&amp;$D489&amp;$AT$1&amp;"")</f>
        <v>14.32</v>
      </c>
      <c r="AW489" s="293">
        <v>0.99</v>
      </c>
      <c r="AX489" s="294">
        <v>2.2999999999999998</v>
      </c>
      <c r="AY489" s="386">
        <v>68.400000000000006</v>
      </c>
      <c r="AZ489" s="296" cm="1">
        <f t="array" aca="1" ref="AZ489" ca="1">INDIRECT("'"&amp;$C489&amp;"'!"&amp;"$"&amp;$D489&amp;$AY$1&amp;"")</f>
        <v>7.9999999999999991</v>
      </c>
      <c r="BA489" s="293">
        <v>0.96</v>
      </c>
      <c r="BB489" s="291">
        <v>2.2999999999999998</v>
      </c>
      <c r="BC489" s="292" cm="1">
        <f t="array" aca="1" ref="BC489" ca="1">INDIRECT("'"&amp;$C489&amp;"'!"&amp;"$"&amp;$D489&amp;$BC$1&amp;"")</f>
        <v>1.23</v>
      </c>
      <c r="BD489" s="293"/>
      <c r="BE489" s="293">
        <v>0.99</v>
      </c>
      <c r="BF489" s="291">
        <v>0.16</v>
      </c>
      <c r="BG489" s="292" cm="1">
        <f t="array" aca="1" ref="BG489" ca="1">INDIRECT("'"&amp;$C489&amp;"'!"&amp;"$"&amp;$D489&amp;$BG$1&amp;"")</f>
        <v>0.77</v>
      </c>
      <c r="BH489" s="293"/>
      <c r="BI489" s="293">
        <v>0.96</v>
      </c>
      <c r="BJ489" s="291">
        <v>0.23</v>
      </c>
      <c r="BK489" s="292" cm="1">
        <f t="array" aca="1" ref="BK489" ca="1">INDIRECT("'"&amp;$C489&amp;"'!"&amp;"$"&amp;$D489&amp;$BK$1&amp;"")</f>
        <v>5.2999999999999989</v>
      </c>
      <c r="BL489" s="293"/>
      <c r="BM489" s="293">
        <v>0.95</v>
      </c>
      <c r="BN489" s="291">
        <v>1.7</v>
      </c>
    </row>
    <row r="490" spans="1:66" ht="15.75" thickBot="1" x14ac:dyDescent="0.25">
      <c r="A490" s="367">
        <v>45708</v>
      </c>
      <c r="B490" s="365">
        <v>0.41666666666666702</v>
      </c>
      <c r="C490" s="383">
        <f t="shared" si="8"/>
        <v>20</v>
      </c>
      <c r="D490" s="319" t="s">
        <v>120</v>
      </c>
      <c r="E490" s="297">
        <v>14</v>
      </c>
      <c r="F490" s="298">
        <v>69.05</v>
      </c>
      <c r="G490" s="299" cm="1">
        <f t="array" aca="1" ref="G490" ca="1">INDIRECT("'"&amp;$C490&amp;"'!"&amp;"$"&amp;$D490&amp;$E$1&amp;"")</f>
        <v>6.9</v>
      </c>
      <c r="H490" s="300">
        <v>0.93</v>
      </c>
      <c r="I490" s="298">
        <v>2.76</v>
      </c>
      <c r="J490" s="299" t="str" cm="1">
        <f t="array" aca="1" ref="J490" ca="1">INDIRECT("'"&amp;$C490&amp;"'!"&amp;"$"&amp;$D490&amp;$J$1&amp;"")</f>
        <v>PMS</v>
      </c>
      <c r="K490" s="300"/>
      <c r="L490" s="300" t="s">
        <v>1</v>
      </c>
      <c r="M490" s="298" t="s">
        <v>1</v>
      </c>
      <c r="N490" s="299" cm="1">
        <f t="array" aca="1" ref="N490" ca="1">INDIRECT("'"&amp;$C490&amp;"'!"&amp;"$"&amp;$D490&amp;$N$1&amp;"")</f>
        <v>6.8</v>
      </c>
      <c r="O490" s="300"/>
      <c r="P490" s="300">
        <v>0.93</v>
      </c>
      <c r="Q490" s="298">
        <v>2.74</v>
      </c>
      <c r="R490" s="299" cm="1">
        <f t="array" aca="1" ref="R490" ca="1">INDIRECT("'"&amp;$C490&amp;"'!"&amp;"$"&amp;$D490&amp;$R$1&amp;"")</f>
        <v>6.4</v>
      </c>
      <c r="S490" s="300"/>
      <c r="T490" s="300">
        <v>0.93</v>
      </c>
      <c r="U490" s="298">
        <v>2.44</v>
      </c>
      <c r="V490" s="299" t="str" cm="1">
        <f t="array" aca="1" ref="V490" ca="1">INDIRECT("'"&amp;$C490&amp;"'!"&amp;"$"&amp;$D490&amp;$V$1&amp;"")</f>
        <v>CMS</v>
      </c>
      <c r="W490" s="300" t="s">
        <v>1</v>
      </c>
      <c r="X490" s="300" t="s">
        <v>1</v>
      </c>
      <c r="Y490" s="301" t="s">
        <v>1</v>
      </c>
      <c r="Z490" s="387" cm="1">
        <f t="array" aca="1" ref="Z490" ca="1">INDIRECT("'"&amp;$C490&amp;"'!"&amp;"$"&amp;$D490&amp;$Z$1&amp;"")</f>
        <v>0</v>
      </c>
      <c r="AA490" s="299" t="s">
        <v>1</v>
      </c>
      <c r="AB490" s="300" t="s">
        <v>1</v>
      </c>
      <c r="AC490" s="298" t="s">
        <v>1</v>
      </c>
      <c r="AD490" s="299" t="str" cm="1">
        <f t="array" aca="1" ref="AD490" ca="1">INDIRECT("'"&amp;$C490&amp;"'!"&amp;"$"&amp;$D490&amp;$AD$1&amp;"")</f>
        <v>CMS</v>
      </c>
      <c r="AE490" s="300" t="s">
        <v>1</v>
      </c>
      <c r="AF490" s="300" t="s">
        <v>1</v>
      </c>
      <c r="AG490" s="301" t="s">
        <v>1</v>
      </c>
      <c r="AH490" s="297" t="str" cm="1">
        <f t="array" aca="1" ref="AH490" ca="1">INDIRECT("'"&amp;$C490&amp;"'!"&amp;"$"&amp;$D490&amp;$AH$1&amp;"")</f>
        <v>CMS</v>
      </c>
      <c r="AI490" s="300" t="s">
        <v>1</v>
      </c>
      <c r="AJ490" s="300" t="s">
        <v>1</v>
      </c>
      <c r="AK490" s="298" t="s">
        <v>1</v>
      </c>
      <c r="AL490" s="297">
        <v>11.8</v>
      </c>
      <c r="AM490" s="301">
        <v>69.7</v>
      </c>
      <c r="AN490" s="297" cm="1">
        <f t="array" aca="1" ref="AN490" ca="1">INDIRECT("'"&amp;$C490&amp;"'!"&amp;"$"&amp;$D490&amp;$AL$1&amp;"")</f>
        <v>3.9</v>
      </c>
      <c r="AO490" s="300">
        <v>0.94</v>
      </c>
      <c r="AP490" s="298">
        <v>1.26</v>
      </c>
      <c r="AQ490" s="299" cm="1">
        <f t="array" aca="1" ref="AQ490" ca="1">INDIRECT("'"&amp;$C490&amp;"'!"&amp;"$"&amp;$D490&amp;$AQ$1&amp;"")</f>
        <v>3.9</v>
      </c>
      <c r="AR490" s="300">
        <v>0.94</v>
      </c>
      <c r="AS490" s="298">
        <v>1.29</v>
      </c>
      <c r="AT490" s="297">
        <v>14.11</v>
      </c>
      <c r="AU490" s="301">
        <v>70.97</v>
      </c>
      <c r="AV490" s="297" cm="1">
        <f t="array" aca="1" ref="AV490" ca="1">INDIRECT("'"&amp;$C490&amp;"'!"&amp;"$"&amp;$D490&amp;$AT$1&amp;"")</f>
        <v>14.31</v>
      </c>
      <c r="AW490" s="300">
        <v>0.98</v>
      </c>
      <c r="AX490" s="301">
        <v>3.3</v>
      </c>
      <c r="AY490" s="387">
        <v>67.400000000000006</v>
      </c>
      <c r="AZ490" s="303" cm="1">
        <f t="array" aca="1" ref="AZ490" ca="1">INDIRECT("'"&amp;$C490&amp;"'!"&amp;"$"&amp;$D490&amp;$AY$1&amp;"")</f>
        <v>6.5</v>
      </c>
      <c r="BA490" s="300">
        <v>0.96</v>
      </c>
      <c r="BB490" s="298">
        <v>1.9</v>
      </c>
      <c r="BC490" s="299" cm="1">
        <f t="array" aca="1" ref="BC490" ca="1">INDIRECT("'"&amp;$C490&amp;"'!"&amp;"$"&amp;$D490&amp;$BC$1&amp;"")</f>
        <v>1.23</v>
      </c>
      <c r="BD490" s="300"/>
      <c r="BE490" s="300">
        <v>0.99</v>
      </c>
      <c r="BF490" s="298">
        <v>0.17</v>
      </c>
      <c r="BG490" s="299" cm="1">
        <f t="array" aca="1" ref="BG490" ca="1">INDIRECT("'"&amp;$C490&amp;"'!"&amp;"$"&amp;$D490&amp;$BG$1&amp;"")</f>
        <v>0.81</v>
      </c>
      <c r="BH490" s="300"/>
      <c r="BI490" s="300">
        <v>0.96</v>
      </c>
      <c r="BJ490" s="298">
        <v>0.25</v>
      </c>
      <c r="BK490" s="299" cm="1">
        <f t="array" aca="1" ref="BK490" ca="1">INDIRECT("'"&amp;$C490&amp;"'!"&amp;"$"&amp;$D490&amp;$BK$1&amp;"")</f>
        <v>0</v>
      </c>
      <c r="BL490" s="300"/>
      <c r="BM490" s="300"/>
      <c r="BN490" s="298"/>
    </row>
    <row r="491" spans="1:66" ht="15.75" thickBot="1" x14ac:dyDescent="0.25">
      <c r="A491" s="367">
        <v>45708</v>
      </c>
      <c r="B491" s="365">
        <v>0.45833333333333398</v>
      </c>
      <c r="C491" s="383">
        <f t="shared" si="8"/>
        <v>20</v>
      </c>
      <c r="D491" s="319" t="s">
        <v>121</v>
      </c>
      <c r="E491" s="290">
        <v>14</v>
      </c>
      <c r="F491" s="291">
        <v>69.8</v>
      </c>
      <c r="G491" s="292" cm="1">
        <f t="array" aca="1" ref="G491" ca="1">INDIRECT("'"&amp;$C491&amp;"'!"&amp;"$"&amp;$D491&amp;$E$1&amp;"")</f>
        <v>6.3</v>
      </c>
      <c r="H491" s="293">
        <v>0.93</v>
      </c>
      <c r="I491" s="291">
        <v>2.4700000000000002</v>
      </c>
      <c r="J491" s="292" t="str" cm="1">
        <f t="array" aca="1" ref="J491" ca="1">INDIRECT("'"&amp;$C491&amp;"'!"&amp;"$"&amp;$D491&amp;$J$1&amp;"")</f>
        <v>PMS</v>
      </c>
      <c r="K491" s="293"/>
      <c r="L491" s="293" t="s">
        <v>1</v>
      </c>
      <c r="M491" s="291" t="s">
        <v>1</v>
      </c>
      <c r="N491" s="292" cm="1">
        <f t="array" aca="1" ref="N491" ca="1">INDIRECT("'"&amp;$C491&amp;"'!"&amp;"$"&amp;$D491&amp;$N$1&amp;"")</f>
        <v>6.3</v>
      </c>
      <c r="O491" s="293"/>
      <c r="P491" s="293">
        <v>0.93</v>
      </c>
      <c r="Q491" s="291">
        <v>2.5099999999999998</v>
      </c>
      <c r="R491" s="292" cm="1">
        <f t="array" aca="1" ref="R491" ca="1">INDIRECT("'"&amp;$C491&amp;"'!"&amp;"$"&amp;$D491&amp;$R$1&amp;"")</f>
        <v>6.3</v>
      </c>
      <c r="S491" s="293"/>
      <c r="T491" s="293">
        <v>0.93</v>
      </c>
      <c r="U491" s="291">
        <v>2.44</v>
      </c>
      <c r="V491" s="292" t="str" cm="1">
        <f t="array" aca="1" ref="V491" ca="1">INDIRECT("'"&amp;$C491&amp;"'!"&amp;"$"&amp;$D491&amp;$V$1&amp;"")</f>
        <v>CMS</v>
      </c>
      <c r="W491" s="293" t="s">
        <v>1</v>
      </c>
      <c r="X491" s="293" t="s">
        <v>1</v>
      </c>
      <c r="Y491" s="294" t="s">
        <v>1</v>
      </c>
      <c r="Z491" s="386" cm="1">
        <f t="array" aca="1" ref="Z491" ca="1">INDIRECT("'"&amp;$C491&amp;"'!"&amp;"$"&amp;$D491&amp;$Z$1&amp;"")</f>
        <v>0</v>
      </c>
      <c r="AA491" s="292" t="s">
        <v>1</v>
      </c>
      <c r="AB491" s="293" t="s">
        <v>1</v>
      </c>
      <c r="AC491" s="291" t="s">
        <v>1</v>
      </c>
      <c r="AD491" s="292" t="str" cm="1">
        <f t="array" aca="1" ref="AD491" ca="1">INDIRECT("'"&amp;$C491&amp;"'!"&amp;"$"&amp;$D491&amp;$AD$1&amp;"")</f>
        <v>CMS</v>
      </c>
      <c r="AE491" s="293" t="s">
        <v>1</v>
      </c>
      <c r="AF491" s="293" t="s">
        <v>1</v>
      </c>
      <c r="AG491" s="294" t="s">
        <v>1</v>
      </c>
      <c r="AH491" s="290" t="str" cm="1">
        <f t="array" aca="1" ref="AH491" ca="1">INDIRECT("'"&amp;$C491&amp;"'!"&amp;"$"&amp;$D491&amp;$AH$1&amp;"")</f>
        <v>CMS</v>
      </c>
      <c r="AI491" s="293" t="s">
        <v>1</v>
      </c>
      <c r="AJ491" s="293" t="s">
        <v>1</v>
      </c>
      <c r="AK491" s="291" t="s">
        <v>1</v>
      </c>
      <c r="AL491" s="290">
        <v>11.9</v>
      </c>
      <c r="AM491" s="294">
        <v>69.900000000000006</v>
      </c>
      <c r="AN491" s="290" cm="1">
        <f t="array" aca="1" ref="AN491" ca="1">INDIRECT("'"&amp;$C491&amp;"'!"&amp;"$"&amp;$D491&amp;$AL$1&amp;"")</f>
        <v>3.9</v>
      </c>
      <c r="AO491" s="293">
        <v>0.94</v>
      </c>
      <c r="AP491" s="291">
        <v>1.29</v>
      </c>
      <c r="AQ491" s="292" cm="1">
        <f t="array" aca="1" ref="AQ491" ca="1">INDIRECT("'"&amp;$C491&amp;"'!"&amp;"$"&amp;$D491&amp;$AQ$1&amp;"")</f>
        <v>3.9</v>
      </c>
      <c r="AR491" s="293">
        <v>0.94</v>
      </c>
      <c r="AS491" s="291">
        <v>1.35</v>
      </c>
      <c r="AT491" s="290">
        <v>14.38</v>
      </c>
      <c r="AU491" s="294">
        <v>71.94</v>
      </c>
      <c r="AV491" s="290" cm="1">
        <f t="array" aca="1" ref="AV491" ca="1">INDIRECT("'"&amp;$C491&amp;"'!"&amp;"$"&amp;$D491&amp;$AT$1&amp;"")</f>
        <v>14.28</v>
      </c>
      <c r="AW491" s="293">
        <v>0.96</v>
      </c>
      <c r="AX491" s="294">
        <v>4.5</v>
      </c>
      <c r="AY491" s="386">
        <v>67.5</v>
      </c>
      <c r="AZ491" s="296" cm="1">
        <f t="array" aca="1" ref="AZ491" ca="1">INDIRECT("'"&amp;$C491&amp;"'!"&amp;"$"&amp;$D491&amp;$AY$1&amp;"")</f>
        <v>7.9999999999999991</v>
      </c>
      <c r="BA491" s="293">
        <v>0.96</v>
      </c>
      <c r="BB491" s="291">
        <v>2.4</v>
      </c>
      <c r="BC491" s="292" cm="1">
        <f t="array" aca="1" ref="BC491" ca="1">INDIRECT("'"&amp;$C491&amp;"'!"&amp;"$"&amp;$D491&amp;$BC$1&amp;"")</f>
        <v>1.22</v>
      </c>
      <c r="BD491" s="293"/>
      <c r="BE491" s="293">
        <v>0.99</v>
      </c>
      <c r="BF491" s="291">
        <v>0.18</v>
      </c>
      <c r="BG491" s="292" cm="1">
        <f t="array" aca="1" ref="BG491" ca="1">INDIRECT("'"&amp;$C491&amp;"'!"&amp;"$"&amp;$D491&amp;$BG$1&amp;"")</f>
        <v>0.86</v>
      </c>
      <c r="BH491" s="293"/>
      <c r="BI491" s="293">
        <v>0.96</v>
      </c>
      <c r="BJ491" s="291">
        <v>0.25</v>
      </c>
      <c r="BK491" s="292" cm="1">
        <f t="array" aca="1" ref="BK491" ca="1">INDIRECT("'"&amp;$C491&amp;"'!"&amp;"$"&amp;$D491&amp;$BK$1&amp;"")</f>
        <v>1.1100000000000001</v>
      </c>
      <c r="BL491" s="293"/>
      <c r="BM491" s="293">
        <v>0.95</v>
      </c>
      <c r="BN491" s="291">
        <v>0.37</v>
      </c>
    </row>
    <row r="492" spans="1:66" ht="15.75" thickBot="1" x14ac:dyDescent="0.25">
      <c r="A492" s="367">
        <v>45708</v>
      </c>
      <c r="B492" s="365">
        <v>0.5</v>
      </c>
      <c r="C492" s="383">
        <f t="shared" si="8"/>
        <v>20</v>
      </c>
      <c r="D492" s="319" t="s">
        <v>122</v>
      </c>
      <c r="E492" s="297">
        <v>14.1</v>
      </c>
      <c r="F492" s="298">
        <v>68.77</v>
      </c>
      <c r="G492" s="299" cm="1">
        <f t="array" aca="1" ref="G492" ca="1">INDIRECT("'"&amp;$C492&amp;"'!"&amp;"$"&amp;$D492&amp;$E$1&amp;"")</f>
        <v>6</v>
      </c>
      <c r="H492" s="300">
        <v>0.91</v>
      </c>
      <c r="I492" s="298">
        <v>2.77</v>
      </c>
      <c r="J492" s="299" cm="1">
        <f t="array" aca="1" ref="J492" ca="1">INDIRECT("'"&amp;$C492&amp;"'!"&amp;"$"&amp;$D492&amp;$J$1&amp;"")</f>
        <v>2</v>
      </c>
      <c r="K492" s="300"/>
      <c r="L492" s="300">
        <v>0.9</v>
      </c>
      <c r="M492" s="298">
        <v>0.89</v>
      </c>
      <c r="N492" s="299" cm="1">
        <f t="array" aca="1" ref="N492" ca="1">INDIRECT("'"&amp;$C492&amp;"'!"&amp;"$"&amp;$D492&amp;$N$1&amp;"")</f>
        <v>6</v>
      </c>
      <c r="O492" s="300"/>
      <c r="P492" s="300">
        <v>0.9</v>
      </c>
      <c r="Q492" s="298">
        <v>2.71</v>
      </c>
      <c r="R492" s="299" cm="1">
        <f t="array" aca="1" ref="R492" ca="1">INDIRECT("'"&amp;$C492&amp;"'!"&amp;"$"&amp;$D492&amp;$R$1&amp;"")</f>
        <v>6</v>
      </c>
      <c r="S492" s="300"/>
      <c r="T492" s="300">
        <v>0.9</v>
      </c>
      <c r="U492" s="298">
        <v>2.73</v>
      </c>
      <c r="V492" s="299" t="str" cm="1">
        <f t="array" aca="1" ref="V492" ca="1">INDIRECT("'"&amp;$C492&amp;"'!"&amp;"$"&amp;$D492&amp;$V$1&amp;"")</f>
        <v>CMS</v>
      </c>
      <c r="W492" s="300" t="s">
        <v>1</v>
      </c>
      <c r="X492" s="300" t="s">
        <v>1</v>
      </c>
      <c r="Y492" s="301" t="s">
        <v>1</v>
      </c>
      <c r="Z492" s="387" cm="1">
        <f t="array" aca="1" ref="Z492" ca="1">INDIRECT("'"&amp;$C492&amp;"'!"&amp;"$"&amp;$D492&amp;$Z$1&amp;"")</f>
        <v>0</v>
      </c>
      <c r="AA492" s="299" t="s">
        <v>1</v>
      </c>
      <c r="AB492" s="300" t="s">
        <v>1</v>
      </c>
      <c r="AC492" s="298" t="s">
        <v>1</v>
      </c>
      <c r="AD492" s="299" t="str" cm="1">
        <f t="array" aca="1" ref="AD492" ca="1">INDIRECT("'"&amp;$C492&amp;"'!"&amp;"$"&amp;$D492&amp;$AD$1&amp;"")</f>
        <v>CMS</v>
      </c>
      <c r="AE492" s="300" t="s">
        <v>1</v>
      </c>
      <c r="AF492" s="300" t="s">
        <v>1</v>
      </c>
      <c r="AG492" s="301" t="s">
        <v>1</v>
      </c>
      <c r="AH492" s="297" cm="1">
        <f t="array" aca="1" ref="AH492" ca="1">INDIRECT("'"&amp;$C492&amp;"'!"&amp;"$"&amp;$D492&amp;$AH$1&amp;"")</f>
        <v>3.5</v>
      </c>
      <c r="AI492" s="300">
        <v>14.08</v>
      </c>
      <c r="AJ492" s="300">
        <v>0.95</v>
      </c>
      <c r="AK492" s="298">
        <v>0.35199999999999998</v>
      </c>
      <c r="AL492" s="297">
        <v>11.9</v>
      </c>
      <c r="AM492" s="301">
        <v>70</v>
      </c>
      <c r="AN492" s="297" cm="1">
        <f t="array" aca="1" ref="AN492" ca="1">INDIRECT("'"&amp;$C492&amp;"'!"&amp;"$"&amp;$D492&amp;$AL$1&amp;"")</f>
        <v>3.5</v>
      </c>
      <c r="AO492" s="300">
        <v>0.93</v>
      </c>
      <c r="AP492" s="298">
        <v>1.34</v>
      </c>
      <c r="AQ492" s="299" cm="1">
        <f t="array" aca="1" ref="AQ492" ca="1">INDIRECT("'"&amp;$C492&amp;"'!"&amp;"$"&amp;$D492&amp;$AQ$1&amp;"")</f>
        <v>3.5</v>
      </c>
      <c r="AR492" s="300">
        <v>0.93</v>
      </c>
      <c r="AS492" s="298">
        <v>1.28</v>
      </c>
      <c r="AT492" s="297">
        <v>14.32</v>
      </c>
      <c r="AU492" s="301">
        <v>71.91</v>
      </c>
      <c r="AV492" s="297" cm="1">
        <f t="array" aca="1" ref="AV492" ca="1">INDIRECT("'"&amp;$C492&amp;"'!"&amp;"$"&amp;$D492&amp;$AT$1&amp;"")</f>
        <v>14.33</v>
      </c>
      <c r="AW492" s="300">
        <v>0.98</v>
      </c>
      <c r="AX492" s="301">
        <v>3.4</v>
      </c>
      <c r="AY492" s="387">
        <v>67</v>
      </c>
      <c r="AZ492" s="303" cm="1">
        <f t="array" aca="1" ref="AZ492" ca="1">INDIRECT("'"&amp;$C492&amp;"'!"&amp;"$"&amp;$D492&amp;$AY$1&amp;"")</f>
        <v>3.9000000000000004</v>
      </c>
      <c r="BA492" s="300">
        <v>0.95</v>
      </c>
      <c r="BB492" s="298">
        <v>0.13</v>
      </c>
      <c r="BC492" s="299" cm="1">
        <f t="array" aca="1" ref="BC492" ca="1">INDIRECT("'"&amp;$C492&amp;"'!"&amp;"$"&amp;$D492&amp;$BC$1&amp;"")</f>
        <v>1.28</v>
      </c>
      <c r="BD492" s="300"/>
      <c r="BE492" s="300">
        <v>0.99</v>
      </c>
      <c r="BF492" s="298">
        <v>0.16</v>
      </c>
      <c r="BG492" s="299" cm="1">
        <f t="array" aca="1" ref="BG492" ca="1">INDIRECT("'"&amp;$C492&amp;"'!"&amp;"$"&amp;$D492&amp;$BG$1&amp;"")</f>
        <v>0.83</v>
      </c>
      <c r="BH492" s="300"/>
      <c r="BI492" s="300">
        <v>0.93</v>
      </c>
      <c r="BJ492" s="298">
        <v>0.25</v>
      </c>
      <c r="BK492" s="299" cm="1">
        <f t="array" aca="1" ref="BK492" ca="1">INDIRECT("'"&amp;$C492&amp;"'!"&amp;"$"&amp;$D492&amp;$BK$1&amp;"")</f>
        <v>2.2000000000000002</v>
      </c>
      <c r="BL492" s="300"/>
      <c r="BM492" s="300">
        <v>0.95</v>
      </c>
      <c r="BN492" s="298">
        <v>0.73</v>
      </c>
    </row>
    <row r="493" spans="1:66" ht="15.75" thickBot="1" x14ac:dyDescent="0.25">
      <c r="A493" s="367">
        <v>45708</v>
      </c>
      <c r="B493" s="365">
        <v>0.54166666666666696</v>
      </c>
      <c r="C493" s="383">
        <f t="shared" si="8"/>
        <v>20</v>
      </c>
      <c r="D493" s="319" t="s">
        <v>123</v>
      </c>
      <c r="E493" s="290">
        <v>14.1</v>
      </c>
      <c r="F493" s="291">
        <v>68.819999999999993</v>
      </c>
      <c r="G493" s="292" cm="1">
        <f t="array" aca="1" ref="G493" ca="1">INDIRECT("'"&amp;$C493&amp;"'!"&amp;"$"&amp;$D493&amp;$E$1&amp;"")</f>
        <v>6.7</v>
      </c>
      <c r="H493" s="293">
        <v>0.9</v>
      </c>
      <c r="I493" s="291">
        <v>3.12</v>
      </c>
      <c r="J493" s="292" t="str" cm="1">
        <f t="array" aca="1" ref="J493" ca="1">INDIRECT("'"&amp;$C493&amp;"'!"&amp;"$"&amp;$D493&amp;$J$1&amp;"")</f>
        <v>PMS</v>
      </c>
      <c r="K493" s="293"/>
      <c r="L493" s="293" t="s">
        <v>1</v>
      </c>
      <c r="M493" s="291" t="s">
        <v>1</v>
      </c>
      <c r="N493" s="292" cm="1">
        <f t="array" aca="1" ref="N493" ca="1">INDIRECT("'"&amp;$C493&amp;"'!"&amp;"$"&amp;$D493&amp;$N$1&amp;"")</f>
        <v>6.7</v>
      </c>
      <c r="O493" s="293"/>
      <c r="P493" s="293">
        <v>0.9</v>
      </c>
      <c r="Q493" s="291">
        <v>3.14</v>
      </c>
      <c r="R493" s="292" cm="1">
        <f t="array" aca="1" ref="R493" ca="1">INDIRECT("'"&amp;$C493&amp;"'!"&amp;"$"&amp;$D493&amp;$R$1&amp;"")</f>
        <v>6.7</v>
      </c>
      <c r="S493" s="293"/>
      <c r="T493" s="293">
        <v>0.9</v>
      </c>
      <c r="U493" s="291">
        <v>3.1</v>
      </c>
      <c r="V493" s="292" t="str" cm="1">
        <f t="array" aca="1" ref="V493" ca="1">INDIRECT("'"&amp;$C493&amp;"'!"&amp;"$"&amp;$D493&amp;$V$1&amp;"")</f>
        <v>CMS</v>
      </c>
      <c r="W493" s="293" t="s">
        <v>1</v>
      </c>
      <c r="X493" s="293" t="s">
        <v>1</v>
      </c>
      <c r="Y493" s="294" t="s">
        <v>1</v>
      </c>
      <c r="Z493" s="386" cm="1">
        <f t="array" aca="1" ref="Z493" ca="1">INDIRECT("'"&amp;$C493&amp;"'!"&amp;"$"&amp;$D493&amp;$Z$1&amp;"")</f>
        <v>0</v>
      </c>
      <c r="AA493" s="292" t="s">
        <v>1</v>
      </c>
      <c r="AB493" s="293" t="s">
        <v>1</v>
      </c>
      <c r="AC493" s="291" t="s">
        <v>1</v>
      </c>
      <c r="AD493" s="292" t="str" cm="1">
        <f t="array" aca="1" ref="AD493" ca="1">INDIRECT("'"&amp;$C493&amp;"'!"&amp;"$"&amp;$D493&amp;$AD$1&amp;"")</f>
        <v>CMS</v>
      </c>
      <c r="AE493" s="293" t="s">
        <v>1</v>
      </c>
      <c r="AF493" s="293" t="s">
        <v>1</v>
      </c>
      <c r="AG493" s="294" t="s">
        <v>1</v>
      </c>
      <c r="AH493" s="290" cm="1">
        <f t="array" aca="1" ref="AH493" ca="1">INDIRECT("'"&amp;$C493&amp;"'!"&amp;"$"&amp;$D493&amp;$AH$1&amp;"")</f>
        <v>3.8</v>
      </c>
      <c r="AI493" s="293">
        <v>14.12</v>
      </c>
      <c r="AJ493" s="293">
        <v>0.95</v>
      </c>
      <c r="AK493" s="291">
        <v>1.1100000000000001</v>
      </c>
      <c r="AL493" s="290">
        <v>11.9</v>
      </c>
      <c r="AM493" s="294">
        <v>70.099999999999994</v>
      </c>
      <c r="AN493" s="290" cm="1">
        <f t="array" aca="1" ref="AN493" ca="1">INDIRECT("'"&amp;$C493&amp;"'!"&amp;"$"&amp;$D493&amp;$AL$1&amp;"")</f>
        <v>3.7</v>
      </c>
      <c r="AO493" s="293">
        <v>0.93</v>
      </c>
      <c r="AP493" s="291">
        <v>1.4</v>
      </c>
      <c r="AQ493" s="292" cm="1">
        <f t="array" aca="1" ref="AQ493" ca="1">INDIRECT("'"&amp;$C493&amp;"'!"&amp;"$"&amp;$D493&amp;$AQ$1&amp;"")</f>
        <v>3.7</v>
      </c>
      <c r="AR493" s="293">
        <v>0.93</v>
      </c>
      <c r="AS493" s="291">
        <v>1.33</v>
      </c>
      <c r="AT493" s="290">
        <v>14.32</v>
      </c>
      <c r="AU493" s="294">
        <v>71.95</v>
      </c>
      <c r="AV493" s="290" cm="1">
        <f t="array" aca="1" ref="AV493" ca="1">INDIRECT("'"&amp;$C493&amp;"'!"&amp;"$"&amp;$D493&amp;$AT$1&amp;"")</f>
        <v>14.24</v>
      </c>
      <c r="AW493" s="293">
        <v>0.98</v>
      </c>
      <c r="AX493" s="294">
        <v>3.3</v>
      </c>
      <c r="AY493" s="386">
        <v>67</v>
      </c>
      <c r="AZ493" s="296" cm="1">
        <f t="array" aca="1" ref="AZ493" ca="1">INDIRECT("'"&amp;$C493&amp;"'!"&amp;"$"&amp;$D493&amp;$AY$1&amp;"")</f>
        <v>3.9000000000000004</v>
      </c>
      <c r="BA493" s="293">
        <v>0.95</v>
      </c>
      <c r="BB493" s="291">
        <v>1.2</v>
      </c>
      <c r="BC493" s="292" cm="1">
        <f t="array" aca="1" ref="BC493" ca="1">INDIRECT("'"&amp;$C493&amp;"'!"&amp;"$"&amp;$D493&amp;$BC$1&amp;"")</f>
        <v>1.22</v>
      </c>
      <c r="BD493" s="293"/>
      <c r="BE493" s="293">
        <v>0.99</v>
      </c>
      <c r="BF493" s="291">
        <v>0.15</v>
      </c>
      <c r="BG493" s="292" cm="1">
        <f t="array" aca="1" ref="BG493" ca="1">INDIRECT("'"&amp;$C493&amp;"'!"&amp;"$"&amp;$D493&amp;$BG$1&amp;"")</f>
        <v>0.84</v>
      </c>
      <c r="BH493" s="293"/>
      <c r="BI493" s="293">
        <v>0.96</v>
      </c>
      <c r="BJ493" s="291">
        <v>0.25</v>
      </c>
      <c r="BK493" s="292" cm="1">
        <f t="array" aca="1" ref="BK493" ca="1">INDIRECT("'"&amp;$C493&amp;"'!"&amp;"$"&amp;$D493&amp;$BK$1&amp;"")</f>
        <v>2.2799999999999998</v>
      </c>
      <c r="BL493" s="293"/>
      <c r="BM493" s="293">
        <v>0.95</v>
      </c>
      <c r="BN493" s="291">
        <v>0.75</v>
      </c>
    </row>
    <row r="494" spans="1:66" ht="15.75" thickBot="1" x14ac:dyDescent="0.25">
      <c r="A494" s="367">
        <v>45708</v>
      </c>
      <c r="B494" s="365">
        <v>0.58333333333333404</v>
      </c>
      <c r="C494" s="383">
        <f t="shared" si="8"/>
        <v>20</v>
      </c>
      <c r="D494" s="319" t="s">
        <v>124</v>
      </c>
      <c r="E494" s="297">
        <v>14.4</v>
      </c>
      <c r="F494" s="298">
        <v>72.75</v>
      </c>
      <c r="G494" s="299" cm="1">
        <f t="array" aca="1" ref="G494" ca="1">INDIRECT("'"&amp;$C494&amp;"'!"&amp;"$"&amp;$D494&amp;$E$1&amp;"")</f>
        <v>3.7</v>
      </c>
      <c r="H494" s="300">
        <v>0.98</v>
      </c>
      <c r="I494" s="298">
        <v>0.435</v>
      </c>
      <c r="J494" s="299" t="str" cm="1">
        <f t="array" aca="1" ref="J494" ca="1">INDIRECT("'"&amp;$C494&amp;"'!"&amp;"$"&amp;$D494&amp;$J$1&amp;"")</f>
        <v>PMS</v>
      </c>
      <c r="K494" s="300"/>
      <c r="L494" s="300" t="s">
        <v>1</v>
      </c>
      <c r="M494" s="298" t="s">
        <v>1</v>
      </c>
      <c r="N494" s="299" cm="1">
        <f t="array" aca="1" ref="N494" ca="1">INDIRECT("'"&amp;$C494&amp;"'!"&amp;"$"&amp;$D494&amp;$N$1&amp;"")</f>
        <v>2.8</v>
      </c>
      <c r="O494" s="300"/>
      <c r="P494" s="300">
        <v>0.97</v>
      </c>
      <c r="Q494" s="298">
        <v>0.628</v>
      </c>
      <c r="R494" s="299" cm="1">
        <f t="array" aca="1" ref="R494" ca="1">INDIRECT("'"&amp;$C494&amp;"'!"&amp;"$"&amp;$D494&amp;$R$1&amp;"")</f>
        <v>2.7</v>
      </c>
      <c r="S494" s="300"/>
      <c r="T494" s="300">
        <v>0.99</v>
      </c>
      <c r="U494" s="298">
        <v>0.29399999999999998</v>
      </c>
      <c r="V494" s="299" t="str" cm="1">
        <f t="array" aca="1" ref="V494" ca="1">INDIRECT("'"&amp;$C494&amp;"'!"&amp;"$"&amp;$D494&amp;$V$1&amp;"")</f>
        <v>CMS</v>
      </c>
      <c r="W494" s="300" t="s">
        <v>1</v>
      </c>
      <c r="X494" s="300" t="s">
        <v>1</v>
      </c>
      <c r="Y494" s="301" t="s">
        <v>1</v>
      </c>
      <c r="Z494" s="387" cm="1">
        <f t="array" aca="1" ref="Z494" ca="1">INDIRECT("'"&amp;$C494&amp;"'!"&amp;"$"&amp;$D494&amp;$Z$1&amp;"")</f>
        <v>0</v>
      </c>
      <c r="AA494" s="299" t="s">
        <v>1</v>
      </c>
      <c r="AB494" s="300" t="s">
        <v>1</v>
      </c>
      <c r="AC494" s="298" t="s">
        <v>1</v>
      </c>
      <c r="AD494" s="299" t="str" cm="1">
        <f t="array" aca="1" ref="AD494" ca="1">INDIRECT("'"&amp;$C494&amp;"'!"&amp;"$"&amp;$D494&amp;$AD$1&amp;"")</f>
        <v>CMS</v>
      </c>
      <c r="AE494" s="300" t="s">
        <v>1</v>
      </c>
      <c r="AF494" s="300" t="s">
        <v>1</v>
      </c>
      <c r="AG494" s="301" t="s">
        <v>1</v>
      </c>
      <c r="AH494" s="297" cm="1">
        <f t="array" aca="1" ref="AH494" ca="1">INDIRECT("'"&amp;$C494&amp;"'!"&amp;"$"&amp;$D494&amp;$AH$1&amp;"")</f>
        <v>3.8</v>
      </c>
      <c r="AI494" s="300">
        <v>14</v>
      </c>
      <c r="AJ494" s="300">
        <v>0.95</v>
      </c>
      <c r="AK494" s="298">
        <v>1.21</v>
      </c>
      <c r="AL494" s="297">
        <v>11.9</v>
      </c>
      <c r="AM494" s="301">
        <v>71.2</v>
      </c>
      <c r="AN494" s="297" cm="1">
        <f t="array" aca="1" ref="AN494" ca="1">INDIRECT("'"&amp;$C494&amp;"'!"&amp;"$"&amp;$D494&amp;$AL$1&amp;"")</f>
        <v>3.4</v>
      </c>
      <c r="AO494" s="300">
        <v>1</v>
      </c>
      <c r="AP494" s="298">
        <v>0.08</v>
      </c>
      <c r="AQ494" s="299" cm="1">
        <f t="array" aca="1" ref="AQ494" ca="1">INDIRECT("'"&amp;$C494&amp;"'!"&amp;"$"&amp;$D494&amp;$AQ$1&amp;"")</f>
        <v>3.4</v>
      </c>
      <c r="AR494" s="300">
        <v>1</v>
      </c>
      <c r="AS494" s="298">
        <v>0.08</v>
      </c>
      <c r="AT494" s="297" t="s">
        <v>1</v>
      </c>
      <c r="AU494" s="301" t="s">
        <v>1</v>
      </c>
      <c r="AV494" s="297" t="str" cm="1">
        <f t="array" aca="1" ref="AV494" ca="1">INDIRECT("'"&amp;$C494&amp;"'!"&amp;"$"&amp;$D494&amp;$AT$1&amp;"")</f>
        <v>CMS</v>
      </c>
      <c r="AW494" s="300" t="s">
        <v>1</v>
      </c>
      <c r="AX494" s="301" t="s">
        <v>1</v>
      </c>
      <c r="AY494" s="387">
        <v>71.599999999999994</v>
      </c>
      <c r="AZ494" s="303" cm="1">
        <f t="array" aca="1" ref="AZ494" ca="1">INDIRECT("'"&amp;$C494&amp;"'!"&amp;"$"&amp;$D494&amp;$AY$1&amp;"")</f>
        <v>3.9000000000000004</v>
      </c>
      <c r="BA494" s="300">
        <v>0.97</v>
      </c>
      <c r="BB494" s="298">
        <v>0.98</v>
      </c>
      <c r="BC494" s="299" cm="1">
        <f t="array" aca="1" ref="BC494" ca="1">INDIRECT("'"&amp;$C494&amp;"'!"&amp;"$"&amp;$D494&amp;$BC$1&amp;"")</f>
        <v>1.1299999999999999</v>
      </c>
      <c r="BD494" s="300"/>
      <c r="BE494" s="300">
        <v>0.99</v>
      </c>
      <c r="BF494" s="298">
        <v>0.4</v>
      </c>
      <c r="BG494" s="299" cm="1">
        <f t="array" aca="1" ref="BG494" ca="1">INDIRECT("'"&amp;$C494&amp;"'!"&amp;"$"&amp;$D494&amp;$BG$1&amp;"")</f>
        <v>0.84</v>
      </c>
      <c r="BH494" s="300"/>
      <c r="BI494" s="300">
        <v>0.96</v>
      </c>
      <c r="BJ494" s="298">
        <v>0.24</v>
      </c>
      <c r="BK494" s="299" cm="1">
        <f t="array" aca="1" ref="BK494" ca="1">INDIRECT("'"&amp;$C494&amp;"'!"&amp;"$"&amp;$D494&amp;$BK$1&amp;"")</f>
        <v>2.48</v>
      </c>
      <c r="BL494" s="300"/>
      <c r="BM494" s="300">
        <v>0.95</v>
      </c>
      <c r="BN494" s="298">
        <v>0.81</v>
      </c>
    </row>
    <row r="495" spans="1:66" ht="15.75" thickBot="1" x14ac:dyDescent="0.25">
      <c r="A495" s="367">
        <v>45708</v>
      </c>
      <c r="B495" s="365">
        <v>0.625</v>
      </c>
      <c r="C495" s="383">
        <f t="shared" si="8"/>
        <v>20</v>
      </c>
      <c r="D495" s="319" t="s">
        <v>125</v>
      </c>
      <c r="E495" s="290">
        <v>14.1</v>
      </c>
      <c r="F495" s="291">
        <v>70.239999999999995</v>
      </c>
      <c r="G495" s="292" cm="1">
        <f t="array" aca="1" ref="G495" ca="1">INDIRECT("'"&amp;$C495&amp;"'!"&amp;"$"&amp;$D495&amp;$E$1&amp;"")</f>
        <v>7</v>
      </c>
      <c r="H495" s="293">
        <v>0.98</v>
      </c>
      <c r="I495" s="291">
        <v>1.4</v>
      </c>
      <c r="J495" s="292" t="str" cm="1">
        <f t="array" aca="1" ref="J495" ca="1">INDIRECT("'"&amp;$C495&amp;"'!"&amp;"$"&amp;$D495&amp;$J$1&amp;"")</f>
        <v>PMS</v>
      </c>
      <c r="K495" s="293"/>
      <c r="L495" s="293" t="s">
        <v>1</v>
      </c>
      <c r="M495" s="291" t="s">
        <v>1</v>
      </c>
      <c r="N495" s="292" cm="1">
        <f t="array" aca="1" ref="N495" ca="1">INDIRECT("'"&amp;$C495&amp;"'!"&amp;"$"&amp;$D495&amp;$N$1&amp;"")</f>
        <v>7</v>
      </c>
      <c r="O495" s="293"/>
      <c r="P495" s="293">
        <v>0.98</v>
      </c>
      <c r="Q495" s="291">
        <v>1.43</v>
      </c>
      <c r="R495" s="292" cm="1">
        <f t="array" aca="1" ref="R495" ca="1">INDIRECT("'"&amp;$C495&amp;"'!"&amp;"$"&amp;$D495&amp;$R$1&amp;"")</f>
        <v>7</v>
      </c>
      <c r="S495" s="293"/>
      <c r="T495" s="293">
        <v>0.98</v>
      </c>
      <c r="U495" s="291">
        <v>1.42</v>
      </c>
      <c r="V495" s="292" t="str" cm="1">
        <f t="array" aca="1" ref="V495" ca="1">INDIRECT("'"&amp;$C495&amp;"'!"&amp;"$"&amp;$D495&amp;$V$1&amp;"")</f>
        <v>CMS</v>
      </c>
      <c r="W495" s="293" t="s">
        <v>1</v>
      </c>
      <c r="X495" s="293" t="s">
        <v>1</v>
      </c>
      <c r="Y495" s="294" t="s">
        <v>1</v>
      </c>
      <c r="Z495" s="386" cm="1">
        <f t="array" aca="1" ref="Z495" ca="1">INDIRECT("'"&amp;$C495&amp;"'!"&amp;"$"&amp;$D495&amp;$Z$1&amp;"")</f>
        <v>0</v>
      </c>
      <c r="AA495" s="292" t="s">
        <v>1</v>
      </c>
      <c r="AB495" s="293" t="s">
        <v>1</v>
      </c>
      <c r="AC495" s="291" t="s">
        <v>1</v>
      </c>
      <c r="AD495" s="292" t="str" cm="1">
        <f t="array" aca="1" ref="AD495" ca="1">INDIRECT("'"&amp;$C495&amp;"'!"&amp;"$"&amp;$D495&amp;$AD$1&amp;"")</f>
        <v>CMS</v>
      </c>
      <c r="AE495" s="293" t="s">
        <v>1</v>
      </c>
      <c r="AF495" s="293" t="s">
        <v>1</v>
      </c>
      <c r="AG495" s="291" t="s">
        <v>1</v>
      </c>
      <c r="AH495" s="290" cm="1">
        <f t="array" aca="1" ref="AH495" ca="1">INDIRECT("'"&amp;$C495&amp;"'!"&amp;"$"&amp;$D495&amp;$AH$1&amp;"")</f>
        <v>3.8</v>
      </c>
      <c r="AI495" s="293">
        <v>13.88</v>
      </c>
      <c r="AJ495" s="293">
        <v>0.88</v>
      </c>
      <c r="AK495" s="291">
        <v>1.94</v>
      </c>
      <c r="AL495" s="290">
        <v>11.9</v>
      </c>
      <c r="AM495" s="294">
        <v>70</v>
      </c>
      <c r="AN495" s="290" cm="1">
        <f t="array" aca="1" ref="AN495" ca="1">INDIRECT("'"&amp;$C495&amp;"'!"&amp;"$"&amp;$D495&amp;$AL$1&amp;"")</f>
        <v>3.8</v>
      </c>
      <c r="AO495" s="293">
        <v>0.96</v>
      </c>
      <c r="AP495" s="291">
        <v>1.1000000000000001</v>
      </c>
      <c r="AQ495" s="292" cm="1">
        <f t="array" aca="1" ref="AQ495" ca="1">INDIRECT("'"&amp;$C495&amp;"'!"&amp;"$"&amp;$D495&amp;$AQ$1&amp;"")</f>
        <v>3.8</v>
      </c>
      <c r="AR495" s="293">
        <v>0.96</v>
      </c>
      <c r="AS495" s="291">
        <v>1.3</v>
      </c>
      <c r="AT495" s="290" t="s">
        <v>1</v>
      </c>
      <c r="AU495" s="294" t="s">
        <v>1</v>
      </c>
      <c r="AV495" s="290" t="str" cm="1">
        <f t="array" aca="1" ref="AV495" ca="1">INDIRECT("'"&amp;$C495&amp;"'!"&amp;"$"&amp;$D495&amp;$AT$1&amp;"")</f>
        <v>CMS</v>
      </c>
      <c r="AW495" s="293" t="s">
        <v>1</v>
      </c>
      <c r="AX495" s="294" t="s">
        <v>1</v>
      </c>
      <c r="AY495" s="386">
        <v>68.099999999999994</v>
      </c>
      <c r="AZ495" s="296" cm="1">
        <f t="array" aca="1" ref="AZ495" ca="1">INDIRECT("'"&amp;$C495&amp;"'!"&amp;"$"&amp;$D495&amp;$AY$1&amp;"")</f>
        <v>12.600000000000001</v>
      </c>
      <c r="BA495" s="293">
        <v>0.96</v>
      </c>
      <c r="BB495" s="291">
        <v>3.6</v>
      </c>
      <c r="BC495" s="292" cm="1">
        <f t="array" aca="1" ref="BC495" ca="1">INDIRECT("'"&amp;$C495&amp;"'!"&amp;"$"&amp;$D495&amp;$BC$1&amp;"")</f>
        <v>1.1200000000000001</v>
      </c>
      <c r="BD495" s="293"/>
      <c r="BE495" s="293">
        <v>0.99</v>
      </c>
      <c r="BF495" s="291">
        <v>0.14000000000000001</v>
      </c>
      <c r="BG495" s="292" cm="1">
        <f t="array" aca="1" ref="BG495" ca="1">INDIRECT("'"&amp;$C495&amp;"'!"&amp;"$"&amp;$D495&amp;$BG$1&amp;"")</f>
        <v>0.84</v>
      </c>
      <c r="BH495" s="293"/>
      <c r="BI495" s="293">
        <v>0.96</v>
      </c>
      <c r="BJ495" s="291">
        <v>0.25</v>
      </c>
      <c r="BK495" s="292" cm="1">
        <f t="array" aca="1" ref="BK495" ca="1">INDIRECT("'"&amp;$C495&amp;"'!"&amp;"$"&amp;$D495&amp;$BK$1&amp;"")</f>
        <v>2.41</v>
      </c>
      <c r="BL495" s="293"/>
      <c r="BM495" s="293">
        <v>0.95</v>
      </c>
      <c r="BN495" s="291">
        <v>0.78</v>
      </c>
    </row>
    <row r="496" spans="1:66" ht="15.75" thickBot="1" x14ac:dyDescent="0.25">
      <c r="A496" s="367">
        <v>45708</v>
      </c>
      <c r="B496" s="365">
        <v>0.66666666666666696</v>
      </c>
      <c r="C496" s="383">
        <f t="shared" si="8"/>
        <v>20</v>
      </c>
      <c r="D496" s="319" t="s">
        <v>126</v>
      </c>
      <c r="E496" s="297">
        <v>14</v>
      </c>
      <c r="F496" s="298">
        <v>69.760000000000005</v>
      </c>
      <c r="G496" s="299" cm="1">
        <f t="array" aca="1" ref="G496" ca="1">INDIRECT("'"&amp;$C496&amp;"'!"&amp;"$"&amp;$D496&amp;$E$1&amp;"")</f>
        <v>6.5</v>
      </c>
      <c r="H496" s="300">
        <v>0.95</v>
      </c>
      <c r="I496" s="298">
        <v>2.06</v>
      </c>
      <c r="J496" s="299" t="str" cm="1">
        <f t="array" aca="1" ref="J496" ca="1">INDIRECT("'"&amp;$C496&amp;"'!"&amp;"$"&amp;$D496&amp;$J$1&amp;"")</f>
        <v>PMS</v>
      </c>
      <c r="K496" s="300"/>
      <c r="L496" s="300" t="s">
        <v>1</v>
      </c>
      <c r="M496" s="298" t="s">
        <v>1</v>
      </c>
      <c r="N496" s="299" cm="1">
        <f t="array" aca="1" ref="N496" ca="1">INDIRECT("'"&amp;$C496&amp;"'!"&amp;"$"&amp;$D496&amp;$N$1&amp;"")</f>
        <v>6.4</v>
      </c>
      <c r="O496" s="300"/>
      <c r="P496" s="300">
        <v>0.93</v>
      </c>
      <c r="Q496" s="298">
        <v>2.48</v>
      </c>
      <c r="R496" s="299" cm="1">
        <f t="array" aca="1" ref="R496" ca="1">INDIRECT("'"&amp;$C496&amp;"'!"&amp;"$"&amp;$D496&amp;$R$1&amp;"")</f>
        <v>6.5</v>
      </c>
      <c r="S496" s="300"/>
      <c r="T496" s="300">
        <v>0.95</v>
      </c>
      <c r="U496" s="298">
        <v>2.04</v>
      </c>
      <c r="V496" s="299" t="str" cm="1">
        <f t="array" aca="1" ref="V496" ca="1">INDIRECT("'"&amp;$C496&amp;"'!"&amp;"$"&amp;$D496&amp;$V$1&amp;"")</f>
        <v>CMS</v>
      </c>
      <c r="W496" s="300" t="s">
        <v>1</v>
      </c>
      <c r="X496" s="300" t="s">
        <v>1</v>
      </c>
      <c r="Y496" s="301" t="s">
        <v>1</v>
      </c>
      <c r="Z496" s="387" cm="1">
        <f t="array" aca="1" ref="Z496" ca="1">INDIRECT("'"&amp;$C496&amp;"'!"&amp;"$"&amp;$D496&amp;$Z$1&amp;"")</f>
        <v>0</v>
      </c>
      <c r="AA496" s="299" t="s">
        <v>1</v>
      </c>
      <c r="AB496" s="300" t="s">
        <v>1</v>
      </c>
      <c r="AC496" s="298" t="s">
        <v>1</v>
      </c>
      <c r="AD496" s="299" t="str" cm="1">
        <f t="array" aca="1" ref="AD496" ca="1">INDIRECT("'"&amp;$C496&amp;"'!"&amp;"$"&amp;$D496&amp;$AD$1&amp;"")</f>
        <v>CMS</v>
      </c>
      <c r="AE496" s="300" t="s">
        <v>1</v>
      </c>
      <c r="AF496" s="300" t="s">
        <v>1</v>
      </c>
      <c r="AG496" s="298" t="s">
        <v>1</v>
      </c>
      <c r="AH496" s="297" cm="1">
        <f t="array" aca="1" ref="AH496" ca="1">INDIRECT("'"&amp;$C496&amp;"'!"&amp;"$"&amp;$D496&amp;$AH$1&amp;"")</f>
        <v>3.7</v>
      </c>
      <c r="AI496" s="300">
        <v>13.92</v>
      </c>
      <c r="AJ496" s="300">
        <v>0.92</v>
      </c>
      <c r="AK496" s="298">
        <v>1.57</v>
      </c>
      <c r="AL496" s="297">
        <v>11.9</v>
      </c>
      <c r="AM496" s="301">
        <v>70.3</v>
      </c>
      <c r="AN496" s="297" cm="1">
        <f t="array" aca="1" ref="AN496" ca="1">INDIRECT("'"&amp;$C496&amp;"'!"&amp;"$"&amp;$D496&amp;$AL$1&amp;"")</f>
        <v>4</v>
      </c>
      <c r="AO496" s="300">
        <v>0.97</v>
      </c>
      <c r="AP496" s="298">
        <v>0.93</v>
      </c>
      <c r="AQ496" s="299" cm="1">
        <f t="array" aca="1" ref="AQ496" ca="1">INDIRECT("'"&amp;$C496&amp;"'!"&amp;"$"&amp;$D496&amp;$AQ$1&amp;"")</f>
        <v>4</v>
      </c>
      <c r="AR496" s="300">
        <v>0.97</v>
      </c>
      <c r="AS496" s="298">
        <v>1.01</v>
      </c>
      <c r="AT496" s="297">
        <v>14.31</v>
      </c>
      <c r="AU496" s="301">
        <v>71.81</v>
      </c>
      <c r="AV496" s="297" cm="1">
        <f t="array" aca="1" ref="AV496" ca="1">INDIRECT("'"&amp;$C496&amp;"'!"&amp;"$"&amp;$D496&amp;$AT$1&amp;"")</f>
        <v>7.49</v>
      </c>
      <c r="AW496" s="300">
        <v>0.93</v>
      </c>
      <c r="AX496" s="301">
        <v>3.6</v>
      </c>
      <c r="AY496" s="387">
        <v>68.2</v>
      </c>
      <c r="AZ496" s="303" cm="1">
        <f t="array" aca="1" ref="AZ496" ca="1">INDIRECT("'"&amp;$C496&amp;"'!"&amp;"$"&amp;$D496&amp;$AY$1&amp;"")</f>
        <v>7.5999999999999988</v>
      </c>
      <c r="BA496" s="300">
        <v>0.97</v>
      </c>
      <c r="BB496" s="298">
        <v>1.9</v>
      </c>
      <c r="BC496" s="299" cm="1">
        <f t="array" aca="1" ref="BC496" ca="1">INDIRECT("'"&amp;$C496&amp;"'!"&amp;"$"&amp;$D496&amp;$BC$1&amp;"")</f>
        <v>1.1000000000000001</v>
      </c>
      <c r="BD496" s="300"/>
      <c r="BE496" s="300">
        <v>0.99</v>
      </c>
      <c r="BF496" s="298">
        <v>0.14000000000000001</v>
      </c>
      <c r="BG496" s="299" cm="1">
        <f t="array" aca="1" ref="BG496" ca="1">INDIRECT("'"&amp;$C496&amp;"'!"&amp;"$"&amp;$D496&amp;$BG$1&amp;"")</f>
        <v>0.87</v>
      </c>
      <c r="BH496" s="300"/>
      <c r="BI496" s="300">
        <v>0.96</v>
      </c>
      <c r="BJ496" s="298">
        <v>0.24</v>
      </c>
      <c r="BK496" s="299" cm="1">
        <f t="array" aca="1" ref="BK496" ca="1">INDIRECT("'"&amp;$C496&amp;"'!"&amp;"$"&amp;$D496&amp;$BK$1&amp;"")</f>
        <v>2.36</v>
      </c>
      <c r="BL496" s="300"/>
      <c r="BM496" s="300">
        <v>0.95</v>
      </c>
      <c r="BN496" s="298">
        <v>0.76</v>
      </c>
    </row>
    <row r="497" spans="1:66" ht="15.75" thickBot="1" x14ac:dyDescent="0.25">
      <c r="A497" s="367">
        <v>45708</v>
      </c>
      <c r="B497" s="365">
        <v>0.70833333333333404</v>
      </c>
      <c r="C497" s="383">
        <f t="shared" si="8"/>
        <v>20</v>
      </c>
      <c r="D497" s="319" t="s">
        <v>127</v>
      </c>
      <c r="E497" s="290">
        <v>14</v>
      </c>
      <c r="F497" s="291">
        <v>69.099999999999994</v>
      </c>
      <c r="G497" s="292" cm="1">
        <f t="array" aca="1" ref="G497" ca="1">INDIRECT("'"&amp;$C497&amp;"'!"&amp;"$"&amp;$D497&amp;$E$1&amp;"")</f>
        <v>6.3</v>
      </c>
      <c r="H497" s="293">
        <v>0.93</v>
      </c>
      <c r="I497" s="291">
        <v>2.2799999999999998</v>
      </c>
      <c r="J497" s="292" t="str" cm="1">
        <f t="array" aca="1" ref="J497" ca="1">INDIRECT("'"&amp;$C497&amp;"'!"&amp;"$"&amp;$D497&amp;$J$1&amp;"")</f>
        <v>PMS</v>
      </c>
      <c r="K497" s="293"/>
      <c r="L497" s="293" t="s">
        <v>1</v>
      </c>
      <c r="M497" s="291" t="s">
        <v>1</v>
      </c>
      <c r="N497" s="292" cm="1">
        <f t="array" aca="1" ref="N497" ca="1">INDIRECT("'"&amp;$C497&amp;"'!"&amp;"$"&amp;$D497&amp;$N$1&amp;"")</f>
        <v>6.3</v>
      </c>
      <c r="O497" s="293"/>
      <c r="P497" s="293">
        <v>0.9</v>
      </c>
      <c r="Q497" s="291">
        <v>3.01</v>
      </c>
      <c r="R497" s="292" cm="1">
        <f t="array" aca="1" ref="R497" ca="1">INDIRECT("'"&amp;$C497&amp;"'!"&amp;"$"&amp;$D497&amp;$R$1&amp;"")</f>
        <v>6.4</v>
      </c>
      <c r="S497" s="293"/>
      <c r="T497" s="293">
        <v>0.93</v>
      </c>
      <c r="U497" s="291">
        <v>2.31</v>
      </c>
      <c r="V497" s="292" t="str" cm="1">
        <f t="array" aca="1" ref="V497" ca="1">INDIRECT("'"&amp;$C497&amp;"'!"&amp;"$"&amp;$D497&amp;$V$1&amp;"")</f>
        <v>CMS</v>
      </c>
      <c r="W497" s="293" t="s">
        <v>1</v>
      </c>
      <c r="X497" s="293" t="s">
        <v>1</v>
      </c>
      <c r="Y497" s="294" t="s">
        <v>1</v>
      </c>
      <c r="Z497" s="386" cm="1">
        <f t="array" aca="1" ref="Z497" ca="1">INDIRECT("'"&amp;$C497&amp;"'!"&amp;"$"&amp;$D497&amp;$Z$1&amp;"")</f>
        <v>0</v>
      </c>
      <c r="AA497" s="292" t="s">
        <v>1</v>
      </c>
      <c r="AB497" s="293" t="s">
        <v>1</v>
      </c>
      <c r="AC497" s="291" t="s">
        <v>1</v>
      </c>
      <c r="AD497" s="292" t="str" cm="1">
        <f t="array" aca="1" ref="AD497" ca="1">INDIRECT("'"&amp;$C497&amp;"'!"&amp;"$"&amp;$D497&amp;$AD$1&amp;"")</f>
        <v>CMS</v>
      </c>
      <c r="AE497" s="293" t="s">
        <v>1</v>
      </c>
      <c r="AF497" s="293" t="s">
        <v>1</v>
      </c>
      <c r="AG497" s="291" t="s">
        <v>1</v>
      </c>
      <c r="AH497" s="290" cm="1">
        <f t="array" aca="1" ref="AH497" ca="1">INDIRECT("'"&amp;$C497&amp;"'!"&amp;"$"&amp;$D497&amp;$AH$1&amp;"")</f>
        <v>3.7</v>
      </c>
      <c r="AI497" s="293">
        <v>14.04</v>
      </c>
      <c r="AJ497" s="293">
        <v>0.98</v>
      </c>
      <c r="AK497" s="291">
        <v>0.65900000000000003</v>
      </c>
      <c r="AL497" s="290">
        <v>11.9</v>
      </c>
      <c r="AM497" s="294">
        <v>70.2</v>
      </c>
      <c r="AN497" s="290" cm="1">
        <f t="array" aca="1" ref="AN497" ca="1">INDIRECT("'"&amp;$C497&amp;"'!"&amp;"$"&amp;$D497&amp;$AL$1&amp;"")</f>
        <v>3.7</v>
      </c>
      <c r="AO497" s="293">
        <v>0.95</v>
      </c>
      <c r="AP497" s="291">
        <v>1.1000000000000001</v>
      </c>
      <c r="AQ497" s="292" cm="1">
        <f t="array" aca="1" ref="AQ497" ca="1">INDIRECT("'"&amp;$C497&amp;"'!"&amp;"$"&amp;$D497&amp;$AQ$1&amp;"")</f>
        <v>3.7</v>
      </c>
      <c r="AR497" s="293">
        <v>0.95</v>
      </c>
      <c r="AS497" s="291">
        <v>1.1000000000000001</v>
      </c>
      <c r="AT497" s="290">
        <v>14.28</v>
      </c>
      <c r="AU497" s="294">
        <v>71.84</v>
      </c>
      <c r="AV497" s="290" cm="1">
        <f t="array" aca="1" ref="AV497" ca="1">INDIRECT("'"&amp;$C497&amp;"'!"&amp;"$"&amp;$D497&amp;$AT$1&amp;"")</f>
        <v>13.83</v>
      </c>
      <c r="AW497" s="293">
        <v>0.98</v>
      </c>
      <c r="AX497" s="294">
        <v>3.2</v>
      </c>
      <c r="AY497" s="386">
        <v>67.400000000000006</v>
      </c>
      <c r="AZ497" s="296" cm="1">
        <f t="array" aca="1" ref="AZ497" ca="1">INDIRECT("'"&amp;$C497&amp;"'!"&amp;"$"&amp;$D497&amp;$AY$1&amp;"")</f>
        <v>4.8</v>
      </c>
      <c r="BA497" s="293">
        <v>0.95</v>
      </c>
      <c r="BB497" s="291">
        <v>1.6</v>
      </c>
      <c r="BC497" s="292" cm="1">
        <f t="array" aca="1" ref="BC497" ca="1">INDIRECT("'"&amp;$C497&amp;"'!"&amp;"$"&amp;$D497&amp;$BC$1&amp;"")</f>
        <v>1.1200000000000001</v>
      </c>
      <c r="BD497" s="293"/>
      <c r="BE497" s="293">
        <v>0.99</v>
      </c>
      <c r="BF497" s="291">
        <v>0.14000000000000001</v>
      </c>
      <c r="BG497" s="292" cm="1">
        <f t="array" aca="1" ref="BG497" ca="1">INDIRECT("'"&amp;$C497&amp;"'!"&amp;"$"&amp;$D497&amp;$BG$1&amp;"")</f>
        <v>0</v>
      </c>
      <c r="BH497" s="293"/>
      <c r="BI497" s="293" t="s">
        <v>1</v>
      </c>
      <c r="BJ497" s="291" t="s">
        <v>1</v>
      </c>
      <c r="BK497" s="292" cm="1">
        <f t="array" aca="1" ref="BK497" ca="1">INDIRECT("'"&amp;$C497&amp;"'!"&amp;"$"&amp;$D497&amp;$BK$1&amp;"")</f>
        <v>2.44</v>
      </c>
      <c r="BL497" s="293"/>
      <c r="BM497" s="293">
        <v>0.95</v>
      </c>
      <c r="BN497" s="291">
        <v>0.81</v>
      </c>
    </row>
    <row r="498" spans="1:66" ht="15.75" thickBot="1" x14ac:dyDescent="0.25">
      <c r="A498" s="367">
        <v>45708</v>
      </c>
      <c r="B498" s="365">
        <v>0.750000000000001</v>
      </c>
      <c r="C498" s="383">
        <f t="shared" si="8"/>
        <v>20</v>
      </c>
      <c r="D498" s="319" t="s">
        <v>128</v>
      </c>
      <c r="E498" s="297">
        <v>14</v>
      </c>
      <c r="F498" s="298">
        <v>68.73</v>
      </c>
      <c r="G498" s="299" cm="1">
        <f t="array" aca="1" ref="G498" ca="1">INDIRECT("'"&amp;$C498&amp;"'!"&amp;"$"&amp;$D498&amp;$E$1&amp;"")</f>
        <v>6.9</v>
      </c>
      <c r="H498" s="300">
        <v>0.92</v>
      </c>
      <c r="I498" s="298">
        <v>2.88</v>
      </c>
      <c r="J498" s="299" t="str" cm="1">
        <f t="array" aca="1" ref="J498" ca="1">INDIRECT("'"&amp;$C498&amp;"'!"&amp;"$"&amp;$D498&amp;$J$1&amp;"")</f>
        <v>PMS</v>
      </c>
      <c r="K498" s="300"/>
      <c r="L498" s="300" t="s">
        <v>1</v>
      </c>
      <c r="M498" s="298" t="s">
        <v>1</v>
      </c>
      <c r="N498" s="299" cm="1">
        <f t="array" aca="1" ref="N498" ca="1">INDIRECT("'"&amp;$C498&amp;"'!"&amp;"$"&amp;$D498&amp;$N$1&amp;"")</f>
        <v>6.8</v>
      </c>
      <c r="O498" s="300"/>
      <c r="P498" s="300">
        <v>0.91</v>
      </c>
      <c r="Q498" s="298">
        <v>3.1</v>
      </c>
      <c r="R498" s="299" cm="1">
        <f t="array" aca="1" ref="R498" ca="1">INDIRECT("'"&amp;$C498&amp;"'!"&amp;"$"&amp;$D498&amp;$R$1&amp;"")</f>
        <v>6.9</v>
      </c>
      <c r="S498" s="300"/>
      <c r="T498" s="300">
        <v>0.92</v>
      </c>
      <c r="U498" s="298">
        <v>2.81</v>
      </c>
      <c r="V498" s="299" t="str" cm="1">
        <f t="array" aca="1" ref="V498" ca="1">INDIRECT("'"&amp;$C498&amp;"'!"&amp;"$"&amp;$D498&amp;$V$1&amp;"")</f>
        <v>CMS</v>
      </c>
      <c r="W498" s="300" t="s">
        <v>1</v>
      </c>
      <c r="X498" s="300" t="s">
        <v>1</v>
      </c>
      <c r="Y498" s="301" t="s">
        <v>1</v>
      </c>
      <c r="Z498" s="387" cm="1">
        <f t="array" aca="1" ref="Z498" ca="1">INDIRECT("'"&amp;$C498&amp;"'!"&amp;"$"&amp;$D498&amp;$Z$1&amp;"")</f>
        <v>0</v>
      </c>
      <c r="AA498" s="299" t="s">
        <v>1</v>
      </c>
      <c r="AB498" s="300" t="s">
        <v>1</v>
      </c>
      <c r="AC498" s="298" t="s">
        <v>1</v>
      </c>
      <c r="AD498" s="299" t="str" cm="1">
        <f t="array" aca="1" ref="AD498" ca="1">INDIRECT("'"&amp;$C498&amp;"'!"&amp;"$"&amp;$D498&amp;$AD$1&amp;"")</f>
        <v>CMS</v>
      </c>
      <c r="AE498" s="300" t="s">
        <v>1</v>
      </c>
      <c r="AF498" s="300" t="s">
        <v>1</v>
      </c>
      <c r="AG498" s="298" t="s">
        <v>1</v>
      </c>
      <c r="AH498" s="297" cm="1">
        <f t="array" aca="1" ref="AH498" ca="1">INDIRECT("'"&amp;$C498&amp;"'!"&amp;"$"&amp;$D498&amp;$AH$1&amp;"")</f>
        <v>3.7</v>
      </c>
      <c r="AI498" s="300">
        <v>14.04</v>
      </c>
      <c r="AJ498" s="300">
        <v>0.98</v>
      </c>
      <c r="AK498" s="298">
        <v>0.76300000000000001</v>
      </c>
      <c r="AL498" s="297">
        <v>11.9</v>
      </c>
      <c r="AM498" s="301">
        <v>70</v>
      </c>
      <c r="AN498" s="297" cm="1">
        <f t="array" aca="1" ref="AN498" ca="1">INDIRECT("'"&amp;$C498&amp;"'!"&amp;"$"&amp;$D498&amp;$AL$1&amp;"")</f>
        <v>3.9</v>
      </c>
      <c r="AO498" s="300">
        <v>0.95</v>
      </c>
      <c r="AP498" s="298">
        <v>1.19</v>
      </c>
      <c r="AQ498" s="299" cm="1">
        <f t="array" aca="1" ref="AQ498" ca="1">INDIRECT("'"&amp;$C498&amp;"'!"&amp;"$"&amp;$D498&amp;$AQ$1&amp;"")</f>
        <v>3.9</v>
      </c>
      <c r="AR498" s="300">
        <v>0.95</v>
      </c>
      <c r="AS498" s="298">
        <v>1.28</v>
      </c>
      <c r="AT498" s="297">
        <v>14.34</v>
      </c>
      <c r="AU498" s="301">
        <v>71.900000000000006</v>
      </c>
      <c r="AV498" s="297" cm="1">
        <f t="array" aca="1" ref="AV498" ca="1">INDIRECT("'"&amp;$C498&amp;"'!"&amp;"$"&amp;$D498&amp;$AT$1&amp;"")</f>
        <v>13.81</v>
      </c>
      <c r="AW498" s="300">
        <v>0.98</v>
      </c>
      <c r="AX498" s="301">
        <v>3.2</v>
      </c>
      <c r="AY498" s="387">
        <v>67.3</v>
      </c>
      <c r="AZ498" s="303" cm="1">
        <f t="array" aca="1" ref="AZ498" ca="1">INDIRECT("'"&amp;$C498&amp;"'!"&amp;"$"&amp;$D498&amp;$AY$1&amp;"")</f>
        <v>1.5</v>
      </c>
      <c r="BA498" s="300">
        <v>0.95</v>
      </c>
      <c r="BB498" s="298">
        <v>0.49</v>
      </c>
      <c r="BC498" s="299" cm="1">
        <f t="array" aca="1" ref="BC498" ca="1">INDIRECT("'"&amp;$C498&amp;"'!"&amp;"$"&amp;$D498&amp;$BC$1&amp;"")</f>
        <v>1.21</v>
      </c>
      <c r="BD498" s="300"/>
      <c r="BE498" s="300">
        <v>0.99</v>
      </c>
      <c r="BF498" s="298">
        <v>0.13</v>
      </c>
      <c r="BG498" s="299" cm="1">
        <f t="array" aca="1" ref="BG498" ca="1">INDIRECT("'"&amp;$C498&amp;"'!"&amp;"$"&amp;$D498&amp;$BG$1&amp;"")</f>
        <v>0.91</v>
      </c>
      <c r="BH498" s="300"/>
      <c r="BI498" s="300">
        <v>0.96</v>
      </c>
      <c r="BJ498" s="298">
        <v>0.24</v>
      </c>
      <c r="BK498" s="299" cm="1">
        <f t="array" aca="1" ref="BK498" ca="1">INDIRECT("'"&amp;$C498&amp;"'!"&amp;"$"&amp;$D498&amp;$BK$1&amp;"")</f>
        <v>1.56</v>
      </c>
      <c r="BL498" s="300"/>
      <c r="BM498" s="300">
        <v>0.95</v>
      </c>
      <c r="BN498" s="298">
        <v>0.54</v>
      </c>
    </row>
    <row r="499" spans="1:66" ht="15.75" thickBot="1" x14ac:dyDescent="0.25">
      <c r="A499" s="367">
        <v>45708</v>
      </c>
      <c r="B499" s="365">
        <v>0.79166666666666696</v>
      </c>
      <c r="C499" s="383">
        <f t="shared" si="8"/>
        <v>20</v>
      </c>
      <c r="D499" s="319" t="s">
        <v>129</v>
      </c>
      <c r="E499" s="290"/>
      <c r="F499" s="291"/>
      <c r="G499" s="292" cm="1">
        <f t="array" aca="1" ref="G499" ca="1">INDIRECT("'"&amp;$C499&amp;"'!"&amp;"$"&amp;$D499&amp;$E$1&amp;"")</f>
        <v>6.7</v>
      </c>
      <c r="H499" s="293"/>
      <c r="I499" s="291"/>
      <c r="J499" s="292" t="str" cm="1">
        <f t="array" aca="1" ref="J499" ca="1">INDIRECT("'"&amp;$C499&amp;"'!"&amp;"$"&amp;$D499&amp;$J$1&amp;"")</f>
        <v>PMS</v>
      </c>
      <c r="K499" s="304"/>
      <c r="L499" s="293"/>
      <c r="M499" s="291"/>
      <c r="N499" s="292" cm="1">
        <f t="array" aca="1" ref="N499" ca="1">INDIRECT("'"&amp;$C499&amp;"'!"&amp;"$"&amp;$D499&amp;$N$1&amp;"")</f>
        <v>6.7</v>
      </c>
      <c r="O499" s="293"/>
      <c r="P499" s="293"/>
      <c r="Q499" s="291"/>
      <c r="R499" s="292" cm="1">
        <f t="array" aca="1" ref="R499" ca="1">INDIRECT("'"&amp;$C499&amp;"'!"&amp;"$"&amp;$D499&amp;$R$1&amp;"")</f>
        <v>6.7</v>
      </c>
      <c r="S499" s="293"/>
      <c r="T499" s="293"/>
      <c r="U499" s="291"/>
      <c r="V499" s="292" t="str" cm="1">
        <f t="array" aca="1" ref="V499" ca="1">INDIRECT("'"&amp;$C499&amp;"'!"&amp;"$"&amp;$D499&amp;$V$1&amp;"")</f>
        <v>CMS</v>
      </c>
      <c r="W499" s="293" t="s">
        <v>1</v>
      </c>
      <c r="X499" s="293" t="s">
        <v>1</v>
      </c>
      <c r="Y499" s="294" t="s">
        <v>1</v>
      </c>
      <c r="Z499" s="386" cm="1">
        <f t="array" aca="1" ref="Z499" ca="1">INDIRECT("'"&amp;$C499&amp;"'!"&amp;"$"&amp;$D499&amp;$Z$1&amp;"")</f>
        <v>0</v>
      </c>
      <c r="AA499" s="292" t="s">
        <v>1</v>
      </c>
      <c r="AB499" s="293" t="s">
        <v>1</v>
      </c>
      <c r="AC499" s="291" t="s">
        <v>1</v>
      </c>
      <c r="AD499" s="292" t="str" cm="1">
        <f t="array" aca="1" ref="AD499" ca="1">INDIRECT("'"&amp;$C499&amp;"'!"&amp;"$"&amp;$D499&amp;$AD$1&amp;"")</f>
        <v>CMS</v>
      </c>
      <c r="AE499" s="293"/>
      <c r="AF499" s="293"/>
      <c r="AG499" s="291"/>
      <c r="AH499" s="290" cm="1">
        <f t="array" aca="1" ref="AH499" ca="1">INDIRECT("'"&amp;$C499&amp;"'!"&amp;"$"&amp;$D499&amp;$AH$1&amp;"")</f>
        <v>4</v>
      </c>
      <c r="AI499" s="293"/>
      <c r="AJ499" s="293"/>
      <c r="AK499" s="291"/>
      <c r="AL499" s="290"/>
      <c r="AM499" s="294"/>
      <c r="AN499" s="290" cm="1">
        <f t="array" aca="1" ref="AN499" ca="1">INDIRECT("'"&amp;$C499&amp;"'!"&amp;"$"&amp;$D499&amp;$AL$1&amp;"")</f>
        <v>3.8</v>
      </c>
      <c r="AO499" s="293"/>
      <c r="AP499" s="291"/>
      <c r="AQ499" s="292" cm="1">
        <f t="array" aca="1" ref="AQ499" ca="1">INDIRECT("'"&amp;$C499&amp;"'!"&amp;"$"&amp;$D499&amp;$AQ$1&amp;"")</f>
        <v>3.8</v>
      </c>
      <c r="AR499" s="293"/>
      <c r="AS499" s="291"/>
      <c r="AT499" s="290"/>
      <c r="AU499" s="294"/>
      <c r="AV499" s="290" cm="1">
        <f t="array" aca="1" ref="AV499" ca="1">INDIRECT("'"&amp;$C499&amp;"'!"&amp;"$"&amp;$D499&amp;$AT$1&amp;"")</f>
        <v>14.17</v>
      </c>
      <c r="AW499" s="293"/>
      <c r="AX499" s="294"/>
      <c r="AY499" s="386"/>
      <c r="AZ499" s="296" cm="1">
        <f t="array" aca="1" ref="AZ499" ca="1">INDIRECT("'"&amp;$C499&amp;"'!"&amp;"$"&amp;$D499&amp;$AY$1&amp;"")</f>
        <v>4</v>
      </c>
      <c r="BA499" s="293"/>
      <c r="BB499" s="291"/>
      <c r="BC499" s="292" cm="1">
        <f t="array" aca="1" ref="BC499" ca="1">INDIRECT("'"&amp;$C499&amp;"'!"&amp;"$"&amp;$D499&amp;$BC$1&amp;"")</f>
        <v>1.3</v>
      </c>
      <c r="BD499" s="293"/>
      <c r="BE499" s="293"/>
      <c r="BF499" s="291"/>
      <c r="BG499" s="292" cm="1">
        <f t="array" aca="1" ref="BG499" ca="1">INDIRECT("'"&amp;$C499&amp;"'!"&amp;"$"&amp;$D499&amp;$BG$1&amp;"")</f>
        <v>0.97</v>
      </c>
      <c r="BH499" s="293"/>
      <c r="BI499" s="293"/>
      <c r="BJ499" s="291"/>
      <c r="BK499" s="292" cm="1">
        <f t="array" aca="1" ref="BK499" ca="1">INDIRECT("'"&amp;$C499&amp;"'!"&amp;"$"&amp;$D499&amp;$BK$1&amp;"")</f>
        <v>0</v>
      </c>
      <c r="BL499" s="293"/>
      <c r="BM499" s="293"/>
      <c r="BN499" s="291"/>
    </row>
    <row r="500" spans="1:66" ht="15.75" thickBot="1" x14ac:dyDescent="0.25">
      <c r="A500" s="367">
        <v>45708</v>
      </c>
      <c r="B500" s="365">
        <v>0.83333333333333337</v>
      </c>
      <c r="C500" s="383">
        <f t="shared" si="8"/>
        <v>20</v>
      </c>
      <c r="D500" s="319" t="s">
        <v>130</v>
      </c>
      <c r="E500" s="297"/>
      <c r="F500" s="298"/>
      <c r="G500" s="299" cm="1">
        <f t="array" aca="1" ref="G500" ca="1">INDIRECT("'"&amp;$C500&amp;"'!"&amp;"$"&amp;$D500&amp;$E$1&amp;"")</f>
        <v>6.8</v>
      </c>
      <c r="H500" s="300"/>
      <c r="I500" s="298"/>
      <c r="J500" s="299" t="str" cm="1">
        <f t="array" aca="1" ref="J500" ca="1">INDIRECT("'"&amp;$C500&amp;"'!"&amp;"$"&amp;$D500&amp;$J$1&amp;"")</f>
        <v>PMS</v>
      </c>
      <c r="K500" s="300"/>
      <c r="L500" s="300"/>
      <c r="M500" s="298"/>
      <c r="N500" s="299" cm="1">
        <f t="array" aca="1" ref="N500" ca="1">INDIRECT("'"&amp;$C500&amp;"'!"&amp;"$"&amp;$D500&amp;$N$1&amp;"")</f>
        <v>6.8</v>
      </c>
      <c r="O500" s="300"/>
      <c r="P500" s="300"/>
      <c r="Q500" s="298"/>
      <c r="R500" s="299" cm="1">
        <f t="array" aca="1" ref="R500" ca="1">INDIRECT("'"&amp;$C500&amp;"'!"&amp;"$"&amp;$D500&amp;$R$1&amp;"")</f>
        <v>6.8</v>
      </c>
      <c r="S500" s="300"/>
      <c r="T500" s="300"/>
      <c r="U500" s="298"/>
      <c r="V500" s="299" t="str" cm="1">
        <f t="array" aca="1" ref="V500" ca="1">INDIRECT("'"&amp;$C500&amp;"'!"&amp;"$"&amp;$D500&amp;$V$1&amp;"")</f>
        <v>CMS</v>
      </c>
      <c r="W500" s="300" t="s">
        <v>1</v>
      </c>
      <c r="X500" s="300" t="s">
        <v>1</v>
      </c>
      <c r="Y500" s="301" t="s">
        <v>1</v>
      </c>
      <c r="Z500" s="387" cm="1">
        <f t="array" aca="1" ref="Z500" ca="1">INDIRECT("'"&amp;$C500&amp;"'!"&amp;"$"&amp;$D500&amp;$Z$1&amp;"")</f>
        <v>0</v>
      </c>
      <c r="AA500" s="299" t="s">
        <v>1</v>
      </c>
      <c r="AB500" s="300" t="s">
        <v>1</v>
      </c>
      <c r="AC500" s="298" t="s">
        <v>1</v>
      </c>
      <c r="AD500" s="299" t="str" cm="1">
        <f t="array" aca="1" ref="AD500" ca="1">INDIRECT("'"&amp;$C500&amp;"'!"&amp;"$"&amp;$D500&amp;$AD$1&amp;"")</f>
        <v>CMS</v>
      </c>
      <c r="AE500" s="300"/>
      <c r="AF500" s="300"/>
      <c r="AG500" s="298"/>
      <c r="AH500" s="297" cm="1">
        <f t="array" aca="1" ref="AH500" ca="1">INDIRECT("'"&amp;$C500&amp;"'!"&amp;"$"&amp;$D500&amp;$AH$1&amp;"")</f>
        <v>4</v>
      </c>
      <c r="AI500" s="300"/>
      <c r="AJ500" s="300"/>
      <c r="AK500" s="298"/>
      <c r="AL500" s="297"/>
      <c r="AM500" s="301"/>
      <c r="AN500" s="297" cm="1">
        <f t="array" aca="1" ref="AN500" ca="1">INDIRECT("'"&amp;$C500&amp;"'!"&amp;"$"&amp;$D500&amp;$AL$1&amp;"")</f>
        <v>4.0999999999999996</v>
      </c>
      <c r="AO500" s="300"/>
      <c r="AP500" s="298"/>
      <c r="AQ500" s="299" cm="1">
        <f t="array" aca="1" ref="AQ500" ca="1">INDIRECT("'"&amp;$C500&amp;"'!"&amp;"$"&amp;$D500&amp;$AQ$1&amp;"")</f>
        <v>4.0999999999999996</v>
      </c>
      <c r="AR500" s="300"/>
      <c r="AS500" s="298"/>
      <c r="AT500" s="297"/>
      <c r="AU500" s="301"/>
      <c r="AV500" s="297" cm="1">
        <f t="array" aca="1" ref="AV500" ca="1">INDIRECT("'"&amp;$C500&amp;"'!"&amp;"$"&amp;$D500&amp;$AT$1&amp;"")</f>
        <v>14.37</v>
      </c>
      <c r="AW500" s="300"/>
      <c r="AX500" s="301"/>
      <c r="AY500" s="387"/>
      <c r="AZ500" s="303" cm="1">
        <f t="array" aca="1" ref="AZ500" ca="1">INDIRECT("'"&amp;$C500&amp;"'!"&amp;"$"&amp;$D500&amp;$AY$1&amp;"")</f>
        <v>0.8</v>
      </c>
      <c r="BA500" s="300"/>
      <c r="BB500" s="298"/>
      <c r="BC500" s="299" cm="1">
        <f t="array" aca="1" ref="BC500" ca="1">INDIRECT("'"&amp;$C500&amp;"'!"&amp;"$"&amp;$D500&amp;$BC$1&amp;"")</f>
        <v>1.22</v>
      </c>
      <c r="BD500" s="300"/>
      <c r="BE500" s="300"/>
      <c r="BF500" s="298"/>
      <c r="BG500" s="299" cm="1">
        <f t="array" aca="1" ref="BG500" ca="1">INDIRECT("'"&amp;$C500&amp;"'!"&amp;"$"&amp;$D500&amp;$BG$1&amp;"")</f>
        <v>0.96</v>
      </c>
      <c r="BH500" s="300"/>
      <c r="BI500" s="300"/>
      <c r="BJ500" s="298"/>
      <c r="BK500" s="299" cm="1">
        <f t="array" aca="1" ref="BK500" ca="1">INDIRECT("'"&amp;$C500&amp;"'!"&amp;"$"&amp;$D500&amp;$BK$1&amp;"")</f>
        <v>5.3100000000000005</v>
      </c>
      <c r="BL500" s="300"/>
      <c r="BM500" s="300"/>
      <c r="BN500" s="298"/>
    </row>
    <row r="501" spans="1:66" ht="15.75" thickBot="1" x14ac:dyDescent="0.25">
      <c r="A501" s="367">
        <v>45708</v>
      </c>
      <c r="B501" s="365">
        <v>0.875000000000001</v>
      </c>
      <c r="C501" s="383">
        <f t="shared" si="8"/>
        <v>20</v>
      </c>
      <c r="D501" s="319" t="s">
        <v>131</v>
      </c>
      <c r="E501" s="290"/>
      <c r="F501" s="291"/>
      <c r="G501" s="292" cm="1">
        <f t="array" aca="1" ref="G501" ca="1">INDIRECT("'"&amp;$C501&amp;"'!"&amp;"$"&amp;$D501&amp;$E$1&amp;"")</f>
        <v>0</v>
      </c>
      <c r="H501" s="293"/>
      <c r="I501" s="291"/>
      <c r="J501" s="292" t="str" cm="1">
        <f t="array" aca="1" ref="J501" ca="1">INDIRECT("'"&amp;$C501&amp;"'!"&amp;"$"&amp;$D501&amp;$J$1&amp;"")</f>
        <v>PMS</v>
      </c>
      <c r="K501" s="293"/>
      <c r="L501" s="293"/>
      <c r="M501" s="291"/>
      <c r="N501" s="292" cm="1">
        <f t="array" aca="1" ref="N501" ca="1">INDIRECT("'"&amp;$C501&amp;"'!"&amp;"$"&amp;$D501&amp;$N$1&amp;"")</f>
        <v>0</v>
      </c>
      <c r="O501" s="293"/>
      <c r="P501" s="293"/>
      <c r="Q501" s="291"/>
      <c r="R501" s="292" cm="1">
        <f t="array" aca="1" ref="R501" ca="1">INDIRECT("'"&amp;$C501&amp;"'!"&amp;"$"&amp;$D501&amp;$R$1&amp;"")</f>
        <v>0</v>
      </c>
      <c r="S501" s="293"/>
      <c r="T501" s="293"/>
      <c r="U501" s="291"/>
      <c r="V501" s="292" cm="1">
        <f t="array" aca="1" ref="V501" ca="1">INDIRECT("'"&amp;$C501&amp;"'!"&amp;"$"&amp;$D501&amp;$V$1&amp;"")</f>
        <v>0</v>
      </c>
      <c r="W501" s="293" t="s">
        <v>1</v>
      </c>
      <c r="X501" s="293" t="s">
        <v>1</v>
      </c>
      <c r="Y501" s="294" t="s">
        <v>1</v>
      </c>
      <c r="Z501" s="386" cm="1">
        <f t="array" aca="1" ref="Z501" ca="1">INDIRECT("'"&amp;$C501&amp;"'!"&amp;"$"&amp;$D501&amp;$Z$1&amp;"")</f>
        <v>0</v>
      </c>
      <c r="AA501" s="292" t="s">
        <v>1</v>
      </c>
      <c r="AB501" s="293" t="s">
        <v>1</v>
      </c>
      <c r="AC501" s="291" t="s">
        <v>1</v>
      </c>
      <c r="AD501" s="292" cm="1">
        <f t="array" aca="1" ref="AD501" ca="1">INDIRECT("'"&amp;$C501&amp;"'!"&amp;"$"&amp;$D501&amp;$AD$1&amp;"")</f>
        <v>0</v>
      </c>
      <c r="AE501" s="293"/>
      <c r="AF501" s="293"/>
      <c r="AG501" s="291"/>
      <c r="AH501" s="290" cm="1">
        <f t="array" aca="1" ref="AH501" ca="1">INDIRECT("'"&amp;$C501&amp;"'!"&amp;"$"&amp;$D501&amp;$AH$1&amp;"")</f>
        <v>0</v>
      </c>
      <c r="AI501" s="293"/>
      <c r="AJ501" s="293"/>
      <c r="AK501" s="291"/>
      <c r="AL501" s="290"/>
      <c r="AM501" s="294"/>
      <c r="AN501" s="290" cm="1">
        <f t="array" aca="1" ref="AN501" ca="1">INDIRECT("'"&amp;$C501&amp;"'!"&amp;"$"&amp;$D501&amp;$AL$1&amp;"")</f>
        <v>0</v>
      </c>
      <c r="AO501" s="293"/>
      <c r="AP501" s="291"/>
      <c r="AQ501" s="292" cm="1">
        <f t="array" aca="1" ref="AQ501" ca="1">INDIRECT("'"&amp;$C501&amp;"'!"&amp;"$"&amp;$D501&amp;$AQ$1&amp;"")</f>
        <v>0</v>
      </c>
      <c r="AR501" s="293"/>
      <c r="AS501" s="291"/>
      <c r="AT501" s="290"/>
      <c r="AU501" s="294"/>
      <c r="AV501" s="290" cm="1">
        <f t="array" aca="1" ref="AV501" ca="1">INDIRECT("'"&amp;$C501&amp;"'!"&amp;"$"&amp;$D501&amp;$AT$1&amp;"")</f>
        <v>0</v>
      </c>
      <c r="AW501" s="293"/>
      <c r="AX501" s="294"/>
      <c r="AY501" s="386"/>
      <c r="AZ501" s="296" cm="1">
        <f t="array" aca="1" ref="AZ501" ca="1">INDIRECT("'"&amp;$C501&amp;"'!"&amp;"$"&amp;$D501&amp;$AY$1&amp;"")</f>
        <v>0</v>
      </c>
      <c r="BA501" s="293"/>
      <c r="BB501" s="291"/>
      <c r="BC501" s="292" cm="1">
        <f t="array" aca="1" ref="BC501" ca="1">INDIRECT("'"&amp;$C501&amp;"'!"&amp;"$"&amp;$D501&amp;$BC$1&amp;"")</f>
        <v>0</v>
      </c>
      <c r="BD501" s="293"/>
      <c r="BE501" s="293"/>
      <c r="BF501" s="291"/>
      <c r="BG501" s="292" cm="1">
        <f t="array" aca="1" ref="BG501" ca="1">INDIRECT("'"&amp;$C501&amp;"'!"&amp;"$"&amp;$D501&amp;$BG$1&amp;"")</f>
        <v>0</v>
      </c>
      <c r="BH501" s="293"/>
      <c r="BI501" s="293"/>
      <c r="BJ501" s="291"/>
      <c r="BK501" s="292" cm="1">
        <f t="array" aca="1" ref="BK501" ca="1">INDIRECT("'"&amp;$C501&amp;"'!"&amp;"$"&amp;$D501&amp;$BK$1&amp;"")</f>
        <v>0</v>
      </c>
      <c r="BL501" s="293"/>
      <c r="BM501" s="293"/>
      <c r="BN501" s="291"/>
    </row>
    <row r="502" spans="1:66" ht="15.75" thickBot="1" x14ac:dyDescent="0.25">
      <c r="A502" s="367">
        <v>45708</v>
      </c>
      <c r="B502" s="365">
        <v>0.91666666666666696</v>
      </c>
      <c r="C502" s="383">
        <f t="shared" si="8"/>
        <v>20</v>
      </c>
      <c r="D502" s="319" t="s">
        <v>132</v>
      </c>
      <c r="E502" s="297"/>
      <c r="F502" s="298"/>
      <c r="G502" s="299" cm="1">
        <f t="array" aca="1" ref="G502" ca="1">INDIRECT("'"&amp;$C502&amp;"'!"&amp;"$"&amp;$D502&amp;$E$1&amp;"")</f>
        <v>0</v>
      </c>
      <c r="H502" s="300"/>
      <c r="I502" s="298"/>
      <c r="J502" s="299" t="str" cm="1">
        <f t="array" aca="1" ref="J502" ca="1">INDIRECT("'"&amp;$C502&amp;"'!"&amp;"$"&amp;$D502&amp;$J$1&amp;"")</f>
        <v>PMS</v>
      </c>
      <c r="K502" s="300"/>
      <c r="L502" s="300"/>
      <c r="M502" s="298"/>
      <c r="N502" s="299" cm="1">
        <f t="array" aca="1" ref="N502" ca="1">INDIRECT("'"&amp;$C502&amp;"'!"&amp;"$"&amp;$D502&amp;$N$1&amp;"")</f>
        <v>0</v>
      </c>
      <c r="O502" s="300"/>
      <c r="P502" s="300"/>
      <c r="Q502" s="298"/>
      <c r="R502" s="299" cm="1">
        <f t="array" aca="1" ref="R502" ca="1">INDIRECT("'"&amp;$C502&amp;"'!"&amp;"$"&amp;$D502&amp;$R$1&amp;"")</f>
        <v>0</v>
      </c>
      <c r="S502" s="300"/>
      <c r="T502" s="300"/>
      <c r="U502" s="298"/>
      <c r="V502" s="299" cm="1">
        <f t="array" aca="1" ref="V502" ca="1">INDIRECT("'"&amp;$C502&amp;"'!"&amp;"$"&amp;$D502&amp;$V$1&amp;"")</f>
        <v>0</v>
      </c>
      <c r="W502" s="300" t="s">
        <v>1</v>
      </c>
      <c r="X502" s="300" t="s">
        <v>1</v>
      </c>
      <c r="Y502" s="301" t="s">
        <v>1</v>
      </c>
      <c r="Z502" s="387" cm="1">
        <f t="array" aca="1" ref="Z502" ca="1">INDIRECT("'"&amp;$C502&amp;"'!"&amp;"$"&amp;$D502&amp;$Z$1&amp;"")</f>
        <v>0</v>
      </c>
      <c r="AA502" s="299" t="s">
        <v>1</v>
      </c>
      <c r="AB502" s="300" t="s">
        <v>1</v>
      </c>
      <c r="AC502" s="298" t="s">
        <v>1</v>
      </c>
      <c r="AD502" s="299" cm="1">
        <f t="array" aca="1" ref="AD502" ca="1">INDIRECT("'"&amp;$C502&amp;"'!"&amp;"$"&amp;$D502&amp;$AD$1&amp;"")</f>
        <v>0</v>
      </c>
      <c r="AE502" s="300"/>
      <c r="AF502" s="300"/>
      <c r="AG502" s="298"/>
      <c r="AH502" s="297" cm="1">
        <f t="array" aca="1" ref="AH502" ca="1">INDIRECT("'"&amp;$C502&amp;"'!"&amp;"$"&amp;$D502&amp;$AH$1&amp;"")</f>
        <v>0</v>
      </c>
      <c r="AI502" s="300"/>
      <c r="AJ502" s="300"/>
      <c r="AK502" s="298"/>
      <c r="AL502" s="297"/>
      <c r="AM502" s="301"/>
      <c r="AN502" s="297" cm="1">
        <f t="array" aca="1" ref="AN502" ca="1">INDIRECT("'"&amp;$C502&amp;"'!"&amp;"$"&amp;$D502&amp;$AL$1&amp;"")</f>
        <v>0</v>
      </c>
      <c r="AO502" s="300"/>
      <c r="AP502" s="298"/>
      <c r="AQ502" s="299" cm="1">
        <f t="array" aca="1" ref="AQ502" ca="1">INDIRECT("'"&amp;$C502&amp;"'!"&amp;"$"&amp;$D502&amp;$AQ$1&amp;"")</f>
        <v>0</v>
      </c>
      <c r="AR502" s="300"/>
      <c r="AS502" s="298"/>
      <c r="AT502" s="297"/>
      <c r="AU502" s="301"/>
      <c r="AV502" s="297" cm="1">
        <f t="array" aca="1" ref="AV502" ca="1">INDIRECT("'"&amp;$C502&amp;"'!"&amp;"$"&amp;$D502&amp;$AT$1&amp;"")</f>
        <v>0</v>
      </c>
      <c r="AW502" s="300"/>
      <c r="AX502" s="301"/>
      <c r="AY502" s="387"/>
      <c r="AZ502" s="303" cm="1">
        <f t="array" aca="1" ref="AZ502" ca="1">INDIRECT("'"&amp;$C502&amp;"'!"&amp;"$"&amp;$D502&amp;$AY$1&amp;"")</f>
        <v>0</v>
      </c>
      <c r="BA502" s="300"/>
      <c r="BB502" s="298"/>
      <c r="BC502" s="299" cm="1">
        <f t="array" aca="1" ref="BC502" ca="1">INDIRECT("'"&amp;$C502&amp;"'!"&amp;"$"&amp;$D502&amp;$BC$1&amp;"")</f>
        <v>0</v>
      </c>
      <c r="BD502" s="300"/>
      <c r="BE502" s="300"/>
      <c r="BF502" s="298"/>
      <c r="BG502" s="299" cm="1">
        <f t="array" aca="1" ref="BG502" ca="1">INDIRECT("'"&amp;$C502&amp;"'!"&amp;"$"&amp;$D502&amp;$BG$1&amp;"")</f>
        <v>0</v>
      </c>
      <c r="BH502" s="300"/>
      <c r="BI502" s="300"/>
      <c r="BJ502" s="298"/>
      <c r="BK502" s="299" cm="1">
        <f t="array" aca="1" ref="BK502" ca="1">INDIRECT("'"&amp;$C502&amp;"'!"&amp;"$"&amp;$D502&amp;$BK$1&amp;"")</f>
        <v>0</v>
      </c>
      <c r="BL502" s="300"/>
      <c r="BM502" s="300"/>
      <c r="BN502" s="298"/>
    </row>
    <row r="503" spans="1:66" ht="15.75" thickBot="1" x14ac:dyDescent="0.25">
      <c r="A503" s="367">
        <v>45708</v>
      </c>
      <c r="B503" s="366">
        <v>0.95833333333333404</v>
      </c>
      <c r="C503" s="383">
        <f t="shared" si="8"/>
        <v>20</v>
      </c>
      <c r="D503" s="321" t="s">
        <v>133</v>
      </c>
      <c r="E503" s="305"/>
      <c r="F503" s="306"/>
      <c r="G503" s="307" cm="1">
        <f t="array" aca="1" ref="G503" ca="1">INDIRECT("'"&amp;$C503&amp;"'!"&amp;"$"&amp;$D503&amp;$E$1&amp;"")</f>
        <v>0</v>
      </c>
      <c r="H503" s="308"/>
      <c r="I503" s="306"/>
      <c r="J503" s="307" t="str" cm="1">
        <f t="array" aca="1" ref="J503" ca="1">INDIRECT("'"&amp;$C503&amp;"'!"&amp;"$"&amp;$D503&amp;$J$1&amp;"")</f>
        <v>PMS</v>
      </c>
      <c r="K503" s="308"/>
      <c r="L503" s="308"/>
      <c r="M503" s="306"/>
      <c r="N503" s="307" cm="1">
        <f t="array" aca="1" ref="N503" ca="1">INDIRECT("'"&amp;$C503&amp;"'!"&amp;"$"&amp;$D503&amp;$N$1&amp;"")</f>
        <v>0</v>
      </c>
      <c r="O503" s="308"/>
      <c r="P503" s="308"/>
      <c r="Q503" s="306"/>
      <c r="R503" s="307" cm="1">
        <f t="array" aca="1" ref="R503" ca="1">INDIRECT("'"&amp;$C503&amp;"'!"&amp;"$"&amp;$D503&amp;$R$1&amp;"")</f>
        <v>0</v>
      </c>
      <c r="S503" s="308"/>
      <c r="T503" s="308"/>
      <c r="U503" s="306"/>
      <c r="V503" s="307" cm="1">
        <f t="array" aca="1" ref="V503" ca="1">INDIRECT("'"&amp;$C503&amp;"'!"&amp;"$"&amp;$D503&amp;$V$1&amp;"")</f>
        <v>0</v>
      </c>
      <c r="W503" s="308" t="s">
        <v>1</v>
      </c>
      <c r="X503" s="308" t="s">
        <v>1</v>
      </c>
      <c r="Y503" s="309" t="s">
        <v>1</v>
      </c>
      <c r="Z503" s="389" cm="1">
        <f t="array" aca="1" ref="Z503" ca="1">INDIRECT("'"&amp;$C503&amp;"'!"&amp;"$"&amp;$D503&amp;$Z$1&amp;"")</f>
        <v>0</v>
      </c>
      <c r="AA503" s="307" t="s">
        <v>1</v>
      </c>
      <c r="AB503" s="308" t="s">
        <v>1</v>
      </c>
      <c r="AC503" s="306" t="s">
        <v>1</v>
      </c>
      <c r="AD503" s="307" cm="1">
        <f t="array" aca="1" ref="AD503" ca="1">INDIRECT("'"&amp;$C503&amp;"'!"&amp;"$"&amp;$D503&amp;$AD$1&amp;"")</f>
        <v>0</v>
      </c>
      <c r="AE503" s="308"/>
      <c r="AF503" s="308"/>
      <c r="AG503" s="309"/>
      <c r="AH503" s="305" cm="1">
        <f t="array" aca="1" ref="AH503" ca="1">INDIRECT("'"&amp;$C503&amp;"'!"&amp;"$"&amp;$D503&amp;$AH$1&amp;"")</f>
        <v>0</v>
      </c>
      <c r="AI503" s="308"/>
      <c r="AJ503" s="308"/>
      <c r="AK503" s="306"/>
      <c r="AL503" s="305"/>
      <c r="AM503" s="309"/>
      <c r="AN503" s="305" cm="1">
        <f t="array" aca="1" ref="AN503" ca="1">INDIRECT("'"&amp;$C503&amp;"'!"&amp;"$"&amp;$D503&amp;$AL$1&amp;"")</f>
        <v>0</v>
      </c>
      <c r="AO503" s="308"/>
      <c r="AP503" s="306"/>
      <c r="AQ503" s="307" cm="1">
        <f t="array" aca="1" ref="AQ503" ca="1">INDIRECT("'"&amp;$C503&amp;"'!"&amp;"$"&amp;$D503&amp;$AQ$1&amp;"")</f>
        <v>0</v>
      </c>
      <c r="AR503" s="308"/>
      <c r="AS503" s="306"/>
      <c r="AT503" s="305"/>
      <c r="AU503" s="309"/>
      <c r="AV503" s="305" cm="1">
        <f t="array" aca="1" ref="AV503" ca="1">INDIRECT("'"&amp;$C503&amp;"'!"&amp;"$"&amp;$D503&amp;$AT$1&amp;"")</f>
        <v>0</v>
      </c>
      <c r="AW503" s="308"/>
      <c r="AX503" s="306"/>
      <c r="AY503" s="384"/>
      <c r="AZ503" s="310" cm="1">
        <f t="array" aca="1" ref="AZ503" ca="1">INDIRECT("'"&amp;$C503&amp;"'!"&amp;"$"&amp;$D503&amp;$AY$1&amp;"")</f>
        <v>0</v>
      </c>
      <c r="BA503" s="308"/>
      <c r="BB503" s="306"/>
      <c r="BC503" s="307" cm="1">
        <f t="array" aca="1" ref="BC503" ca="1">INDIRECT("'"&amp;$C503&amp;"'!"&amp;"$"&amp;$D503&amp;$BC$1&amp;"")</f>
        <v>0</v>
      </c>
      <c r="BD503" s="308"/>
      <c r="BE503" s="308"/>
      <c r="BF503" s="306"/>
      <c r="BG503" s="307" cm="1">
        <f t="array" aca="1" ref="BG503" ca="1">INDIRECT("'"&amp;$C503&amp;"'!"&amp;"$"&amp;$D503&amp;$BG$1&amp;"")</f>
        <v>0</v>
      </c>
      <c r="BH503" s="308"/>
      <c r="BI503" s="308"/>
      <c r="BJ503" s="306"/>
      <c r="BK503" s="307" cm="1">
        <f t="array" aca="1" ref="BK503" ca="1">INDIRECT("'"&amp;$C503&amp;"'!"&amp;"$"&amp;$D503&amp;$BK$1&amp;"")</f>
        <v>0</v>
      </c>
      <c r="BL503" s="308"/>
      <c r="BM503" s="308"/>
      <c r="BN503" s="306"/>
    </row>
  </sheetData>
  <mergeCells count="31">
    <mergeCell ref="BK4:BN4"/>
    <mergeCell ref="AQ4:AS4"/>
    <mergeCell ref="AT4:AU4"/>
    <mergeCell ref="AV4:AX4"/>
    <mergeCell ref="AZ4:BB4"/>
    <mergeCell ref="BC4:BF4"/>
    <mergeCell ref="BG4:BJ4"/>
    <mergeCell ref="AY2:BB2"/>
    <mergeCell ref="BC2:BF2"/>
    <mergeCell ref="BG2:BJ2"/>
    <mergeCell ref="V4:Y4"/>
    <mergeCell ref="Z4:AC4"/>
    <mergeCell ref="AD4:AG4"/>
    <mergeCell ref="AH4:AK4"/>
    <mergeCell ref="AL4:AM4"/>
    <mergeCell ref="BK2:BN2"/>
    <mergeCell ref="E3:F3"/>
    <mergeCell ref="AL3:AM3"/>
    <mergeCell ref="AT3:AU3"/>
    <mergeCell ref="A2:A4"/>
    <mergeCell ref="B2:B4"/>
    <mergeCell ref="E2:U2"/>
    <mergeCell ref="V2:AG2"/>
    <mergeCell ref="AH2:AK2"/>
    <mergeCell ref="AL2:AS2"/>
    <mergeCell ref="G4:I4"/>
    <mergeCell ref="J4:M4"/>
    <mergeCell ref="N4:Q4"/>
    <mergeCell ref="R4:U4"/>
    <mergeCell ref="AN4:AP4"/>
    <mergeCell ref="AT2:AX2"/>
  </mergeCells>
  <conditionalFormatting sqref="BD5:BF28 BH5:BJ28 E5:AX5 BA5:BB28 BL5:BL28 E6:AY28">
    <cfRule type="cellIs" dxfId="299" priority="697" operator="equal">
      <formula>"PMS"</formula>
    </cfRule>
    <cfRule type="cellIs" dxfId="298" priority="698" operator="equal">
      <formula>"CMS"</formula>
    </cfRule>
  </conditionalFormatting>
  <conditionalFormatting sqref="AY5:AZ5">
    <cfRule type="cellIs" dxfId="297" priority="689" operator="equal">
      <formula>"PMS"</formula>
    </cfRule>
    <cfRule type="cellIs" dxfId="296" priority="690" operator="equal">
      <formula>"CMS"</formula>
    </cfRule>
  </conditionalFormatting>
  <conditionalFormatting sqref="BM5:BN28">
    <cfRule type="cellIs" dxfId="295" priority="685" operator="equal">
      <formula>"PMS"</formula>
    </cfRule>
    <cfRule type="cellIs" dxfId="294" priority="686" operator="equal">
      <formula>"CMS"</formula>
    </cfRule>
  </conditionalFormatting>
  <conditionalFormatting sqref="BD30:BF53 BH30:BJ53 E30:AX30 BA30:BB53 BL30:BL53 E31:AY53">
    <cfRule type="cellIs" dxfId="293" priority="363" operator="equal">
      <formula>"PMS"</formula>
    </cfRule>
    <cfRule type="cellIs" dxfId="292" priority="364" operator="equal">
      <formula>"CMS"</formula>
    </cfRule>
  </conditionalFormatting>
  <conditionalFormatting sqref="AY30">
    <cfRule type="cellIs" dxfId="291" priority="355" operator="equal">
      <formula>"PMS"</formula>
    </cfRule>
    <cfRule type="cellIs" dxfId="290" priority="356" operator="equal">
      <formula>"CMS"</formula>
    </cfRule>
  </conditionalFormatting>
  <conditionalFormatting sqref="BM30:BN53">
    <cfRule type="cellIs" dxfId="289" priority="353" operator="equal">
      <formula>"PMS"</formula>
    </cfRule>
    <cfRule type="cellIs" dxfId="288" priority="354" operator="equal">
      <formula>"CMS"</formula>
    </cfRule>
  </conditionalFormatting>
  <conditionalFormatting sqref="BD55:BF78 BH55:BJ78 E55:AX55 BA55:BB78 BL55:BL78 E56:AY78">
    <cfRule type="cellIs" dxfId="287" priority="349" operator="equal">
      <formula>"PMS"</formula>
    </cfRule>
    <cfRule type="cellIs" dxfId="286" priority="350" operator="equal">
      <formula>"CMS"</formula>
    </cfRule>
  </conditionalFormatting>
  <conditionalFormatting sqref="AY55">
    <cfRule type="cellIs" dxfId="285" priority="341" operator="equal">
      <formula>"PMS"</formula>
    </cfRule>
    <cfRule type="cellIs" dxfId="284" priority="342" operator="equal">
      <formula>"CMS"</formula>
    </cfRule>
  </conditionalFormatting>
  <conditionalFormatting sqref="BM55:BN78">
    <cfRule type="cellIs" dxfId="283" priority="339" operator="equal">
      <formula>"PMS"</formula>
    </cfRule>
    <cfRule type="cellIs" dxfId="282" priority="340" operator="equal">
      <formula>"CMS"</formula>
    </cfRule>
  </conditionalFormatting>
  <conditionalFormatting sqref="BD80:BF103 BH80:BJ103 E80:AX80 BA80:BB103 BL80:BL103 E81:AY103">
    <cfRule type="cellIs" dxfId="281" priority="335" operator="equal">
      <formula>"PMS"</formula>
    </cfRule>
    <cfRule type="cellIs" dxfId="280" priority="336" operator="equal">
      <formula>"CMS"</formula>
    </cfRule>
  </conditionalFormatting>
  <conditionalFormatting sqref="AY80">
    <cfRule type="cellIs" dxfId="279" priority="327" operator="equal">
      <formula>"PMS"</formula>
    </cfRule>
    <cfRule type="cellIs" dxfId="278" priority="328" operator="equal">
      <formula>"CMS"</formula>
    </cfRule>
  </conditionalFormatting>
  <conditionalFormatting sqref="BM80:BN103">
    <cfRule type="cellIs" dxfId="277" priority="325" operator="equal">
      <formula>"PMS"</formula>
    </cfRule>
    <cfRule type="cellIs" dxfId="276" priority="326" operator="equal">
      <formula>"CMS"</formula>
    </cfRule>
  </conditionalFormatting>
  <conditionalFormatting sqref="BD105:BF128 BH105:BJ128 E105:AX105 BA105:BB128 BL105:BL128 E106:AY128 BD130:BF153 BH130:BJ153 E130:AX130 BA130:BB153 BL130:BL153 E131:AY153 BD155:BF178 BH155:BJ178 E155:AX155 BA155:BB178 BL155:BL178 E156:AY178">
    <cfRule type="cellIs" dxfId="275" priority="321" operator="equal">
      <formula>"PMS"</formula>
    </cfRule>
    <cfRule type="cellIs" dxfId="274" priority="322" operator="equal">
      <formula>"CMS"</formula>
    </cfRule>
  </conditionalFormatting>
  <conditionalFormatting sqref="BC105:BC128 BC130:BC153 BC155:BC178">
    <cfRule type="cellIs" dxfId="273" priority="319" operator="equal">
      <formula>"PMS"</formula>
    </cfRule>
    <cfRule type="cellIs" dxfId="272" priority="320" operator="equal">
      <formula>"CMS"</formula>
    </cfRule>
  </conditionalFormatting>
  <conditionalFormatting sqref="BG105:BG128 BG130:BG153 BG155:BG178">
    <cfRule type="cellIs" dxfId="271" priority="317" operator="equal">
      <formula>"PMS"</formula>
    </cfRule>
    <cfRule type="cellIs" dxfId="270" priority="318" operator="equal">
      <formula>"CMS"</formula>
    </cfRule>
  </conditionalFormatting>
  <conditionalFormatting sqref="BK105:BK128 BK130:BK153 BK155:BK178">
    <cfRule type="cellIs" dxfId="269" priority="315" operator="equal">
      <formula>"PMS"</formula>
    </cfRule>
    <cfRule type="cellIs" dxfId="268" priority="316" operator="equal">
      <formula>"CMS"</formula>
    </cfRule>
  </conditionalFormatting>
  <conditionalFormatting sqref="AY105">
    <cfRule type="cellIs" dxfId="267" priority="313" operator="equal">
      <formula>"PMS"</formula>
    </cfRule>
    <cfRule type="cellIs" dxfId="266" priority="314" operator="equal">
      <formula>"CMS"</formula>
    </cfRule>
  </conditionalFormatting>
  <conditionalFormatting sqref="BM105:BN128 BM130:BN153 BM155:BN178">
    <cfRule type="cellIs" dxfId="265" priority="311" operator="equal">
      <formula>"PMS"</formula>
    </cfRule>
    <cfRule type="cellIs" dxfId="264" priority="312" operator="equal">
      <formula>"CMS"</formula>
    </cfRule>
  </conditionalFormatting>
  <conditionalFormatting sqref="AZ130:AZ153 AZ155:AZ178">
    <cfRule type="cellIs" dxfId="263" priority="309" operator="equal">
      <formula>"PMS"</formula>
    </cfRule>
    <cfRule type="cellIs" dxfId="262" priority="310" operator="equal">
      <formula>"CMS"</formula>
    </cfRule>
  </conditionalFormatting>
  <conditionalFormatting sqref="AY130">
    <cfRule type="cellIs" dxfId="261" priority="307" operator="equal">
      <formula>"PMS"</formula>
    </cfRule>
    <cfRule type="cellIs" dxfId="260" priority="308" operator="equal">
      <formula>"CMS"</formula>
    </cfRule>
  </conditionalFormatting>
  <conditionalFormatting sqref="AZ105:AZ128">
    <cfRule type="cellIs" dxfId="259" priority="303" operator="equal">
      <formula>"PMS"</formula>
    </cfRule>
    <cfRule type="cellIs" dxfId="258" priority="304" operator="equal">
      <formula>"CMS"</formula>
    </cfRule>
  </conditionalFormatting>
  <conditionalFormatting sqref="AZ6:AZ27">
    <cfRule type="cellIs" dxfId="257" priority="295" operator="equal">
      <formula>"PMS"</formula>
    </cfRule>
    <cfRule type="cellIs" dxfId="256" priority="296" operator="equal">
      <formula>"CMS"</formula>
    </cfRule>
  </conditionalFormatting>
  <conditionalFormatting sqref="AZ28">
    <cfRule type="cellIs" dxfId="255" priority="293" operator="equal">
      <formula>"PMS"</formula>
    </cfRule>
    <cfRule type="cellIs" dxfId="254" priority="294" operator="equal">
      <formula>"CMS"</formula>
    </cfRule>
  </conditionalFormatting>
  <conditionalFormatting sqref="AZ30">
    <cfRule type="cellIs" dxfId="253" priority="291" operator="equal">
      <formula>"PMS"</formula>
    </cfRule>
    <cfRule type="cellIs" dxfId="252" priority="292" operator="equal">
      <formula>"CMS"</formula>
    </cfRule>
  </conditionalFormatting>
  <conditionalFormatting sqref="AZ31:AZ52">
    <cfRule type="cellIs" dxfId="251" priority="289" operator="equal">
      <formula>"PMS"</formula>
    </cfRule>
    <cfRule type="cellIs" dxfId="250" priority="290" operator="equal">
      <formula>"CMS"</formula>
    </cfRule>
  </conditionalFormatting>
  <conditionalFormatting sqref="AZ53">
    <cfRule type="cellIs" dxfId="249" priority="287" operator="equal">
      <formula>"PMS"</formula>
    </cfRule>
    <cfRule type="cellIs" dxfId="248" priority="288" operator="equal">
      <formula>"CMS"</formula>
    </cfRule>
  </conditionalFormatting>
  <conditionalFormatting sqref="AZ55">
    <cfRule type="cellIs" dxfId="247" priority="285" operator="equal">
      <formula>"PMS"</formula>
    </cfRule>
    <cfRule type="cellIs" dxfId="246" priority="286" operator="equal">
      <formula>"CMS"</formula>
    </cfRule>
  </conditionalFormatting>
  <conditionalFormatting sqref="AZ56:AZ77">
    <cfRule type="cellIs" dxfId="245" priority="283" operator="equal">
      <formula>"PMS"</formula>
    </cfRule>
    <cfRule type="cellIs" dxfId="244" priority="284" operator="equal">
      <formula>"CMS"</formula>
    </cfRule>
  </conditionalFormatting>
  <conditionalFormatting sqref="AZ78">
    <cfRule type="cellIs" dxfId="243" priority="281" operator="equal">
      <formula>"PMS"</formula>
    </cfRule>
    <cfRule type="cellIs" dxfId="242" priority="282" operator="equal">
      <formula>"CMS"</formula>
    </cfRule>
  </conditionalFormatting>
  <conditionalFormatting sqref="AZ80">
    <cfRule type="cellIs" dxfId="241" priority="279" operator="equal">
      <formula>"PMS"</formula>
    </cfRule>
    <cfRule type="cellIs" dxfId="240" priority="280" operator="equal">
      <formula>"CMS"</formula>
    </cfRule>
  </conditionalFormatting>
  <conditionalFormatting sqref="AZ81:AZ102">
    <cfRule type="cellIs" dxfId="239" priority="277" operator="equal">
      <formula>"PMS"</formula>
    </cfRule>
    <cfRule type="cellIs" dxfId="238" priority="278" operator="equal">
      <formula>"CMS"</formula>
    </cfRule>
  </conditionalFormatting>
  <conditionalFormatting sqref="AZ103">
    <cfRule type="cellIs" dxfId="237" priority="275" operator="equal">
      <formula>"PMS"</formula>
    </cfRule>
    <cfRule type="cellIs" dxfId="236" priority="276" operator="equal">
      <formula>"CMS"</formula>
    </cfRule>
  </conditionalFormatting>
  <conditionalFormatting sqref="BC6:BC28">
    <cfRule type="cellIs" dxfId="235" priority="273" operator="equal">
      <formula>"PMS"</formula>
    </cfRule>
    <cfRule type="cellIs" dxfId="234" priority="274" operator="equal">
      <formula>"CMS"</formula>
    </cfRule>
  </conditionalFormatting>
  <conditionalFormatting sqref="BC5">
    <cfRule type="cellIs" dxfId="233" priority="271" operator="equal">
      <formula>"PMS"</formula>
    </cfRule>
    <cfRule type="cellIs" dxfId="232" priority="272" operator="equal">
      <formula>"CMS"</formula>
    </cfRule>
  </conditionalFormatting>
  <conditionalFormatting sqref="BC56:BC78">
    <cfRule type="cellIs" dxfId="231" priority="265" operator="equal">
      <formula>"PMS"</formula>
    </cfRule>
    <cfRule type="cellIs" dxfId="230" priority="266" operator="equal">
      <formula>"CMS"</formula>
    </cfRule>
  </conditionalFormatting>
  <conditionalFormatting sqref="BC55">
    <cfRule type="cellIs" dxfId="229" priority="263" operator="equal">
      <formula>"PMS"</formula>
    </cfRule>
    <cfRule type="cellIs" dxfId="228" priority="264" operator="equal">
      <formula>"CMS"</formula>
    </cfRule>
  </conditionalFormatting>
  <conditionalFormatting sqref="BC81:BC103">
    <cfRule type="cellIs" dxfId="227" priority="261" operator="equal">
      <formula>"PMS"</formula>
    </cfRule>
    <cfRule type="cellIs" dxfId="226" priority="262" operator="equal">
      <formula>"CMS"</formula>
    </cfRule>
  </conditionalFormatting>
  <conditionalFormatting sqref="BC80">
    <cfRule type="cellIs" dxfId="225" priority="259" operator="equal">
      <formula>"PMS"</formula>
    </cfRule>
    <cfRule type="cellIs" dxfId="224" priority="260" operator="equal">
      <formula>"CMS"</formula>
    </cfRule>
  </conditionalFormatting>
  <conditionalFormatting sqref="BG6:BG28">
    <cfRule type="cellIs" dxfId="223" priority="257" operator="equal">
      <formula>"PMS"</formula>
    </cfRule>
    <cfRule type="cellIs" dxfId="222" priority="258" operator="equal">
      <formula>"CMS"</formula>
    </cfRule>
  </conditionalFormatting>
  <conditionalFormatting sqref="BG5">
    <cfRule type="cellIs" dxfId="221" priority="255" operator="equal">
      <formula>"PMS"</formula>
    </cfRule>
    <cfRule type="cellIs" dxfId="220" priority="256" operator="equal">
      <formula>"CMS"</formula>
    </cfRule>
  </conditionalFormatting>
  <conditionalFormatting sqref="BC31:BC53">
    <cfRule type="cellIs" dxfId="219" priority="253" operator="equal">
      <formula>"PMS"</formula>
    </cfRule>
    <cfRule type="cellIs" dxfId="218" priority="254" operator="equal">
      <formula>"CMS"</formula>
    </cfRule>
  </conditionalFormatting>
  <conditionalFormatting sqref="BC30">
    <cfRule type="cellIs" dxfId="217" priority="251" operator="equal">
      <formula>"PMS"</formula>
    </cfRule>
    <cfRule type="cellIs" dxfId="216" priority="252" operator="equal">
      <formula>"CMS"</formula>
    </cfRule>
  </conditionalFormatting>
  <conditionalFormatting sqref="BG31:BG53">
    <cfRule type="cellIs" dxfId="215" priority="249" operator="equal">
      <formula>"PMS"</formula>
    </cfRule>
    <cfRule type="cellIs" dxfId="214" priority="250" operator="equal">
      <formula>"CMS"</formula>
    </cfRule>
  </conditionalFormatting>
  <conditionalFormatting sqref="BG30">
    <cfRule type="cellIs" dxfId="213" priority="247" operator="equal">
      <formula>"PMS"</formula>
    </cfRule>
    <cfRule type="cellIs" dxfId="212" priority="248" operator="equal">
      <formula>"CMS"</formula>
    </cfRule>
  </conditionalFormatting>
  <conditionalFormatting sqref="BG56:BG78">
    <cfRule type="cellIs" dxfId="211" priority="245" operator="equal">
      <formula>"PMS"</formula>
    </cfRule>
    <cfRule type="cellIs" dxfId="210" priority="246" operator="equal">
      <formula>"CMS"</formula>
    </cfRule>
  </conditionalFormatting>
  <conditionalFormatting sqref="BG55">
    <cfRule type="cellIs" dxfId="209" priority="243" operator="equal">
      <formula>"PMS"</formula>
    </cfRule>
    <cfRule type="cellIs" dxfId="208" priority="244" operator="equal">
      <formula>"CMS"</formula>
    </cfRule>
  </conditionalFormatting>
  <conditionalFormatting sqref="BG81:BG103">
    <cfRule type="cellIs" dxfId="207" priority="241" operator="equal">
      <formula>"PMS"</formula>
    </cfRule>
    <cfRule type="cellIs" dxfId="206" priority="242" operator="equal">
      <formula>"CMS"</formula>
    </cfRule>
  </conditionalFormatting>
  <conditionalFormatting sqref="BG80">
    <cfRule type="cellIs" dxfId="205" priority="239" operator="equal">
      <formula>"PMS"</formula>
    </cfRule>
    <cfRule type="cellIs" dxfId="204" priority="240" operator="equal">
      <formula>"CMS"</formula>
    </cfRule>
  </conditionalFormatting>
  <conditionalFormatting sqref="BK6:BK28">
    <cfRule type="cellIs" dxfId="203" priority="237" operator="equal">
      <formula>"PMS"</formula>
    </cfRule>
    <cfRule type="cellIs" dxfId="202" priority="238" operator="equal">
      <formula>"CMS"</formula>
    </cfRule>
  </conditionalFormatting>
  <conditionalFormatting sqref="BK5">
    <cfRule type="cellIs" dxfId="201" priority="235" operator="equal">
      <formula>"PMS"</formula>
    </cfRule>
    <cfRule type="cellIs" dxfId="200" priority="236" operator="equal">
      <formula>"CMS"</formula>
    </cfRule>
  </conditionalFormatting>
  <conditionalFormatting sqref="BK31:BK53">
    <cfRule type="cellIs" dxfId="199" priority="233" operator="equal">
      <formula>"PMS"</formula>
    </cfRule>
    <cfRule type="cellIs" dxfId="198" priority="234" operator="equal">
      <formula>"CMS"</formula>
    </cfRule>
  </conditionalFormatting>
  <conditionalFormatting sqref="BK30">
    <cfRule type="cellIs" dxfId="197" priority="231" operator="equal">
      <formula>"PMS"</formula>
    </cfRule>
    <cfRule type="cellIs" dxfId="196" priority="232" operator="equal">
      <formula>"CMS"</formula>
    </cfRule>
  </conditionalFormatting>
  <conditionalFormatting sqref="BK56:BK78">
    <cfRule type="cellIs" dxfId="195" priority="229" operator="equal">
      <formula>"PMS"</formula>
    </cfRule>
    <cfRule type="cellIs" dxfId="194" priority="230" operator="equal">
      <formula>"CMS"</formula>
    </cfRule>
  </conditionalFormatting>
  <conditionalFormatting sqref="BK55">
    <cfRule type="cellIs" dxfId="193" priority="227" operator="equal">
      <formula>"PMS"</formula>
    </cfRule>
    <cfRule type="cellIs" dxfId="192" priority="228" operator="equal">
      <formula>"CMS"</formula>
    </cfRule>
  </conditionalFormatting>
  <conditionalFormatting sqref="BK81:BK103">
    <cfRule type="cellIs" dxfId="191" priority="225" operator="equal">
      <formula>"PMS"</formula>
    </cfRule>
    <cfRule type="cellIs" dxfId="190" priority="226" operator="equal">
      <formula>"CMS"</formula>
    </cfRule>
  </conditionalFormatting>
  <conditionalFormatting sqref="BK80">
    <cfRule type="cellIs" dxfId="189" priority="223" operator="equal">
      <formula>"PMS"</formula>
    </cfRule>
    <cfRule type="cellIs" dxfId="188" priority="224" operator="equal">
      <formula>"CMS"</formula>
    </cfRule>
  </conditionalFormatting>
  <conditionalFormatting sqref="AY155">
    <cfRule type="cellIs" dxfId="187" priority="221" operator="equal">
      <formula>"PMS"</formula>
    </cfRule>
    <cfRule type="cellIs" dxfId="186" priority="222" operator="equal">
      <formula>"CMS"</formula>
    </cfRule>
  </conditionalFormatting>
  <conditionalFormatting sqref="BD180:BF203 BH180:BJ203 E180:AX180 BA180:BB203 BL180:BL203 E181:AY203">
    <cfRule type="cellIs" dxfId="185" priority="219" operator="equal">
      <formula>"PMS"</formula>
    </cfRule>
    <cfRule type="cellIs" dxfId="184" priority="220" operator="equal">
      <formula>"CMS"</formula>
    </cfRule>
  </conditionalFormatting>
  <conditionalFormatting sqref="BC180:BC203">
    <cfRule type="cellIs" dxfId="183" priority="217" operator="equal">
      <formula>"PMS"</formula>
    </cfRule>
    <cfRule type="cellIs" dxfId="182" priority="218" operator="equal">
      <formula>"CMS"</formula>
    </cfRule>
  </conditionalFormatting>
  <conditionalFormatting sqref="BG180:BG203">
    <cfRule type="cellIs" dxfId="181" priority="215" operator="equal">
      <formula>"PMS"</formula>
    </cfRule>
    <cfRule type="cellIs" dxfId="180" priority="216" operator="equal">
      <formula>"CMS"</formula>
    </cfRule>
  </conditionalFormatting>
  <conditionalFormatting sqref="BK180:BK203">
    <cfRule type="cellIs" dxfId="179" priority="213" operator="equal">
      <formula>"PMS"</formula>
    </cfRule>
    <cfRule type="cellIs" dxfId="178" priority="214" operator="equal">
      <formula>"CMS"</formula>
    </cfRule>
  </conditionalFormatting>
  <conditionalFormatting sqref="BM180:BN203">
    <cfRule type="cellIs" dxfId="177" priority="211" operator="equal">
      <formula>"PMS"</formula>
    </cfRule>
    <cfRule type="cellIs" dxfId="176" priority="212" operator="equal">
      <formula>"CMS"</formula>
    </cfRule>
  </conditionalFormatting>
  <conditionalFormatting sqref="AZ180:AZ203">
    <cfRule type="cellIs" dxfId="175" priority="209" operator="equal">
      <formula>"PMS"</formula>
    </cfRule>
    <cfRule type="cellIs" dxfId="174" priority="210" operator="equal">
      <formula>"CMS"</formula>
    </cfRule>
  </conditionalFormatting>
  <conditionalFormatting sqref="AY180">
    <cfRule type="cellIs" dxfId="173" priority="207" operator="equal">
      <formula>"PMS"</formula>
    </cfRule>
    <cfRule type="cellIs" dxfId="172" priority="208" operator="equal">
      <formula>"CMS"</formula>
    </cfRule>
  </conditionalFormatting>
  <conditionalFormatting sqref="BD205:BF228 BH205:BJ228 BA205:BB228 BL205:BL228 AA206:AY208 AA205:AX205 E205:Z208 E209:AY228">
    <cfRule type="cellIs" dxfId="171" priority="185" operator="equal">
      <formula>"PMS"</formula>
    </cfRule>
    <cfRule type="cellIs" dxfId="170" priority="186" operator="equal">
      <formula>"CMS"</formula>
    </cfRule>
  </conditionalFormatting>
  <conditionalFormatting sqref="BC205:BC228">
    <cfRule type="cellIs" dxfId="169" priority="183" operator="equal">
      <formula>"PMS"</formula>
    </cfRule>
    <cfRule type="cellIs" dxfId="168" priority="184" operator="equal">
      <formula>"CMS"</formula>
    </cfRule>
  </conditionalFormatting>
  <conditionalFormatting sqref="BG205:BG228">
    <cfRule type="cellIs" dxfId="167" priority="181" operator="equal">
      <formula>"PMS"</formula>
    </cfRule>
    <cfRule type="cellIs" dxfId="166" priority="182" operator="equal">
      <formula>"CMS"</formula>
    </cfRule>
  </conditionalFormatting>
  <conditionalFormatting sqref="BK205:BK228">
    <cfRule type="cellIs" dxfId="165" priority="179" operator="equal">
      <formula>"PMS"</formula>
    </cfRule>
    <cfRule type="cellIs" dxfId="164" priority="180" operator="equal">
      <formula>"CMS"</formula>
    </cfRule>
  </conditionalFormatting>
  <conditionalFormatting sqref="BM205:BN228">
    <cfRule type="cellIs" dxfId="163" priority="177" operator="equal">
      <formula>"PMS"</formula>
    </cfRule>
    <cfRule type="cellIs" dxfId="162" priority="178" operator="equal">
      <formula>"CMS"</formula>
    </cfRule>
  </conditionalFormatting>
  <conditionalFormatting sqref="AZ205:AZ228">
    <cfRule type="cellIs" dxfId="161" priority="175" operator="equal">
      <formula>"PMS"</formula>
    </cfRule>
    <cfRule type="cellIs" dxfId="160" priority="176" operator="equal">
      <formula>"CMS"</formula>
    </cfRule>
  </conditionalFormatting>
  <conditionalFormatting sqref="AY205">
    <cfRule type="cellIs" dxfId="159" priority="173" operator="equal">
      <formula>"PMS"</formula>
    </cfRule>
    <cfRule type="cellIs" dxfId="158" priority="174" operator="equal">
      <formula>"CMS"</formula>
    </cfRule>
  </conditionalFormatting>
  <conditionalFormatting sqref="BD230:BF253 BH230:BJ253 BA230:BB253 BL230:BL253 AA231:AY233 AA230:AX230 E230:Z233 E234:AY253">
    <cfRule type="cellIs" dxfId="157" priority="171" operator="equal">
      <formula>"PMS"</formula>
    </cfRule>
    <cfRule type="cellIs" dxfId="156" priority="172" operator="equal">
      <formula>"CMS"</formula>
    </cfRule>
  </conditionalFormatting>
  <conditionalFormatting sqref="BC230:BC253">
    <cfRule type="cellIs" dxfId="155" priority="169" operator="equal">
      <formula>"PMS"</formula>
    </cfRule>
    <cfRule type="cellIs" dxfId="154" priority="170" operator="equal">
      <formula>"CMS"</formula>
    </cfRule>
  </conditionalFormatting>
  <conditionalFormatting sqref="BG230:BG253">
    <cfRule type="cellIs" dxfId="153" priority="167" operator="equal">
      <formula>"PMS"</formula>
    </cfRule>
    <cfRule type="cellIs" dxfId="152" priority="168" operator="equal">
      <formula>"CMS"</formula>
    </cfRule>
  </conditionalFormatting>
  <conditionalFormatting sqref="BK230:BK253">
    <cfRule type="cellIs" dxfId="151" priority="165" operator="equal">
      <formula>"PMS"</formula>
    </cfRule>
    <cfRule type="cellIs" dxfId="150" priority="166" operator="equal">
      <formula>"CMS"</formula>
    </cfRule>
  </conditionalFormatting>
  <conditionalFormatting sqref="BM230:BN253">
    <cfRule type="cellIs" dxfId="149" priority="163" operator="equal">
      <formula>"PMS"</formula>
    </cfRule>
    <cfRule type="cellIs" dxfId="148" priority="164" operator="equal">
      <formula>"CMS"</formula>
    </cfRule>
  </conditionalFormatting>
  <conditionalFormatting sqref="AZ230:AZ253">
    <cfRule type="cellIs" dxfId="147" priority="161" operator="equal">
      <formula>"PMS"</formula>
    </cfRule>
    <cfRule type="cellIs" dxfId="146" priority="162" operator="equal">
      <formula>"CMS"</formula>
    </cfRule>
  </conditionalFormatting>
  <conditionalFormatting sqref="AY230">
    <cfRule type="cellIs" dxfId="145" priority="159" operator="equal">
      <formula>"PMS"</formula>
    </cfRule>
    <cfRule type="cellIs" dxfId="144" priority="160" operator="equal">
      <formula>"CMS"</formula>
    </cfRule>
  </conditionalFormatting>
  <conditionalFormatting sqref="BD255:BF278 BH255:BJ278 BL255:BL278 AV255:AX255 AV256:AY259 E255:AU259 BA255:BB278 E260:AY278">
    <cfRule type="cellIs" dxfId="143" priority="157" operator="equal">
      <formula>"PMS"</formula>
    </cfRule>
    <cfRule type="cellIs" dxfId="142" priority="158" operator="equal">
      <formula>"CMS"</formula>
    </cfRule>
  </conditionalFormatting>
  <conditionalFormatting sqref="BC255:BC278">
    <cfRule type="cellIs" dxfId="141" priority="155" operator="equal">
      <formula>"PMS"</formula>
    </cfRule>
    <cfRule type="cellIs" dxfId="140" priority="156" operator="equal">
      <formula>"CMS"</formula>
    </cfRule>
  </conditionalFormatting>
  <conditionalFormatting sqref="BG255:BG278">
    <cfRule type="cellIs" dxfId="139" priority="153" operator="equal">
      <formula>"PMS"</formula>
    </cfRule>
    <cfRule type="cellIs" dxfId="138" priority="154" operator="equal">
      <formula>"CMS"</formula>
    </cfRule>
  </conditionalFormatting>
  <conditionalFormatting sqref="BK255:BK278">
    <cfRule type="cellIs" dxfId="137" priority="151" operator="equal">
      <formula>"PMS"</formula>
    </cfRule>
    <cfRule type="cellIs" dxfId="136" priority="152" operator="equal">
      <formula>"CMS"</formula>
    </cfRule>
  </conditionalFormatting>
  <conditionalFormatting sqref="BM255:BN278">
    <cfRule type="cellIs" dxfId="135" priority="149" operator="equal">
      <formula>"PMS"</formula>
    </cfRule>
    <cfRule type="cellIs" dxfId="134" priority="150" operator="equal">
      <formula>"CMS"</formula>
    </cfRule>
  </conditionalFormatting>
  <conditionalFormatting sqref="AZ255:AZ278">
    <cfRule type="cellIs" dxfId="133" priority="147" operator="equal">
      <formula>"PMS"</formula>
    </cfRule>
    <cfRule type="cellIs" dxfId="132" priority="148" operator="equal">
      <formula>"CMS"</formula>
    </cfRule>
  </conditionalFormatting>
  <conditionalFormatting sqref="AY255">
    <cfRule type="cellIs" dxfId="131" priority="145" operator="equal">
      <formula>"PMS"</formula>
    </cfRule>
    <cfRule type="cellIs" dxfId="130" priority="146" operator="equal">
      <formula>"CMS"</formula>
    </cfRule>
  </conditionalFormatting>
  <conditionalFormatting sqref="BD280:BF303 BH280:BJ303 BL280:BL303 AV280:AX280 AV281:AY284 BA280:BB303 V280:AU284 E280:U288 V285:AY288 E289:AY303">
    <cfRule type="cellIs" dxfId="129" priority="143" operator="equal">
      <formula>"PMS"</formula>
    </cfRule>
    <cfRule type="cellIs" dxfId="128" priority="144" operator="equal">
      <formula>"CMS"</formula>
    </cfRule>
  </conditionalFormatting>
  <conditionalFormatting sqref="BC280:BC303">
    <cfRule type="cellIs" dxfId="127" priority="141" operator="equal">
      <formula>"PMS"</formula>
    </cfRule>
    <cfRule type="cellIs" dxfId="126" priority="142" operator="equal">
      <formula>"CMS"</formula>
    </cfRule>
  </conditionalFormatting>
  <conditionalFormatting sqref="BG280:BG303">
    <cfRule type="cellIs" dxfId="125" priority="139" operator="equal">
      <formula>"PMS"</formula>
    </cfRule>
    <cfRule type="cellIs" dxfId="124" priority="140" operator="equal">
      <formula>"CMS"</formula>
    </cfRule>
  </conditionalFormatting>
  <conditionalFormatting sqref="BK280:BK303">
    <cfRule type="cellIs" dxfId="123" priority="137" operator="equal">
      <formula>"PMS"</formula>
    </cfRule>
    <cfRule type="cellIs" dxfId="122" priority="138" operator="equal">
      <formula>"CMS"</formula>
    </cfRule>
  </conditionalFormatting>
  <conditionalFormatting sqref="BM280:BN303">
    <cfRule type="cellIs" dxfId="121" priority="135" operator="equal">
      <formula>"PMS"</formula>
    </cfRule>
    <cfRule type="cellIs" dxfId="120" priority="136" operator="equal">
      <formula>"CMS"</formula>
    </cfRule>
  </conditionalFormatting>
  <conditionalFormatting sqref="AZ280:AZ303">
    <cfRule type="cellIs" dxfId="119" priority="133" operator="equal">
      <formula>"PMS"</formula>
    </cfRule>
    <cfRule type="cellIs" dxfId="118" priority="134" operator="equal">
      <formula>"CMS"</formula>
    </cfRule>
  </conditionalFormatting>
  <conditionalFormatting sqref="AY280">
    <cfRule type="cellIs" dxfId="117" priority="131" operator="equal">
      <formula>"PMS"</formula>
    </cfRule>
    <cfRule type="cellIs" dxfId="116" priority="132" operator="equal">
      <formula>"CMS"</formula>
    </cfRule>
  </conditionalFormatting>
  <conditionalFormatting sqref="BD305:BF328 BH305:BJ328 BL305:BL328 AV305:AX305 AV306:AY309 BA305:BB328 V305:AU309 E305:U313 V310:AY313 E314:AY328">
    <cfRule type="cellIs" dxfId="115" priority="129" operator="equal">
      <formula>"PMS"</formula>
    </cfRule>
    <cfRule type="cellIs" dxfId="114" priority="130" operator="equal">
      <formula>"CMS"</formula>
    </cfRule>
  </conditionalFormatting>
  <conditionalFormatting sqref="BC305:BC328">
    <cfRule type="cellIs" dxfId="113" priority="127" operator="equal">
      <formula>"PMS"</formula>
    </cfRule>
    <cfRule type="cellIs" dxfId="112" priority="128" operator="equal">
      <formula>"CMS"</formula>
    </cfRule>
  </conditionalFormatting>
  <conditionalFormatting sqref="BG305:BG328">
    <cfRule type="cellIs" dxfId="111" priority="125" operator="equal">
      <formula>"PMS"</formula>
    </cfRule>
    <cfRule type="cellIs" dxfId="110" priority="126" operator="equal">
      <formula>"CMS"</formula>
    </cfRule>
  </conditionalFormatting>
  <conditionalFormatting sqref="BK305:BK328">
    <cfRule type="cellIs" dxfId="109" priority="123" operator="equal">
      <formula>"PMS"</formula>
    </cfRule>
    <cfRule type="cellIs" dxfId="108" priority="124" operator="equal">
      <formula>"CMS"</formula>
    </cfRule>
  </conditionalFormatting>
  <conditionalFormatting sqref="BM305:BN328">
    <cfRule type="cellIs" dxfId="107" priority="121" operator="equal">
      <formula>"PMS"</formula>
    </cfRule>
    <cfRule type="cellIs" dxfId="106" priority="122" operator="equal">
      <formula>"CMS"</formula>
    </cfRule>
  </conditionalFormatting>
  <conditionalFormatting sqref="AZ305:AZ328">
    <cfRule type="cellIs" dxfId="105" priority="119" operator="equal">
      <formula>"PMS"</formula>
    </cfRule>
    <cfRule type="cellIs" dxfId="104" priority="120" operator="equal">
      <formula>"CMS"</formula>
    </cfRule>
  </conditionalFormatting>
  <conditionalFormatting sqref="AY305">
    <cfRule type="cellIs" dxfId="103" priority="117" operator="equal">
      <formula>"PMS"</formula>
    </cfRule>
    <cfRule type="cellIs" dxfId="102" priority="118" operator="equal">
      <formula>"CMS"</formula>
    </cfRule>
  </conditionalFormatting>
  <conditionalFormatting sqref="BD330:BF353 BH330:BJ353 BL330:BL353 AV330:AX330 AV331:AY334 BA330:BB353 V337:AY338 V330:AU332 E330:U338 AF333:AU334 AF335:AY336 V333:AE336 E339:AY353">
    <cfRule type="cellIs" dxfId="101" priority="115" operator="equal">
      <formula>"PMS"</formula>
    </cfRule>
    <cfRule type="cellIs" dxfId="100" priority="116" operator="equal">
      <formula>"CMS"</formula>
    </cfRule>
  </conditionalFormatting>
  <conditionalFormatting sqref="BC330:BC353">
    <cfRule type="cellIs" dxfId="99" priority="113" operator="equal">
      <formula>"PMS"</formula>
    </cfRule>
    <cfRule type="cellIs" dxfId="98" priority="114" operator="equal">
      <formula>"CMS"</formula>
    </cfRule>
  </conditionalFormatting>
  <conditionalFormatting sqref="BG330:BG353">
    <cfRule type="cellIs" dxfId="97" priority="111" operator="equal">
      <formula>"PMS"</formula>
    </cfRule>
    <cfRule type="cellIs" dxfId="96" priority="112" operator="equal">
      <formula>"CMS"</formula>
    </cfRule>
  </conditionalFormatting>
  <conditionalFormatting sqref="BK330:BK353">
    <cfRule type="cellIs" dxfId="95" priority="109" operator="equal">
      <formula>"PMS"</formula>
    </cfRule>
    <cfRule type="cellIs" dxfId="94" priority="110" operator="equal">
      <formula>"CMS"</formula>
    </cfRule>
  </conditionalFormatting>
  <conditionalFormatting sqref="BM330:BN353">
    <cfRule type="cellIs" dxfId="93" priority="107" operator="equal">
      <formula>"PMS"</formula>
    </cfRule>
    <cfRule type="cellIs" dxfId="92" priority="108" operator="equal">
      <formula>"CMS"</formula>
    </cfRule>
  </conditionalFormatting>
  <conditionalFormatting sqref="AZ330:AZ353">
    <cfRule type="cellIs" dxfId="91" priority="105" operator="equal">
      <formula>"PMS"</formula>
    </cfRule>
    <cfRule type="cellIs" dxfId="90" priority="106" operator="equal">
      <formula>"CMS"</formula>
    </cfRule>
  </conditionalFormatting>
  <conditionalFormatting sqref="AY330">
    <cfRule type="cellIs" dxfId="89" priority="103" operator="equal">
      <formula>"PMS"</formula>
    </cfRule>
    <cfRule type="cellIs" dxfId="88" priority="104" operator="equal">
      <formula>"CMS"</formula>
    </cfRule>
  </conditionalFormatting>
  <conditionalFormatting sqref="BD355:BF378 BH355:BJ378 BL355:BL378 AV355:AX355 AV356:AY359 E364:AY378 V362:AY363 V355:AU357 AQ358:AU359 AQ360:AY361 V358:AP361 BA355:BB378 E355:U363">
    <cfRule type="cellIs" dxfId="87" priority="101" operator="equal">
      <formula>"PMS"</formula>
    </cfRule>
    <cfRule type="cellIs" dxfId="86" priority="102" operator="equal">
      <formula>"CMS"</formula>
    </cfRule>
  </conditionalFormatting>
  <conditionalFormatting sqref="BC355:BC378">
    <cfRule type="cellIs" dxfId="85" priority="99" operator="equal">
      <formula>"PMS"</formula>
    </cfRule>
    <cfRule type="cellIs" dxfId="84" priority="100" operator="equal">
      <formula>"CMS"</formula>
    </cfRule>
  </conditionalFormatting>
  <conditionalFormatting sqref="BG355:BG378">
    <cfRule type="cellIs" dxfId="83" priority="97" operator="equal">
      <formula>"PMS"</formula>
    </cfRule>
    <cfRule type="cellIs" dxfId="82" priority="98" operator="equal">
      <formula>"CMS"</formula>
    </cfRule>
  </conditionalFormatting>
  <conditionalFormatting sqref="BK355:BK378">
    <cfRule type="cellIs" dxfId="81" priority="95" operator="equal">
      <formula>"PMS"</formula>
    </cfRule>
    <cfRule type="cellIs" dxfId="80" priority="96" operator="equal">
      <formula>"CMS"</formula>
    </cfRule>
  </conditionalFormatting>
  <conditionalFormatting sqref="BM355:BN378">
    <cfRule type="cellIs" dxfId="79" priority="93" operator="equal">
      <formula>"PMS"</formula>
    </cfRule>
    <cfRule type="cellIs" dxfId="78" priority="94" operator="equal">
      <formula>"CMS"</formula>
    </cfRule>
  </conditionalFormatting>
  <conditionalFormatting sqref="AZ355:AZ378">
    <cfRule type="cellIs" dxfId="77" priority="91" operator="equal">
      <formula>"PMS"</formula>
    </cfRule>
    <cfRule type="cellIs" dxfId="76" priority="92" operator="equal">
      <formula>"CMS"</formula>
    </cfRule>
  </conditionalFormatting>
  <conditionalFormatting sqref="AY355">
    <cfRule type="cellIs" dxfId="75" priority="89" operator="equal">
      <formula>"PMS"</formula>
    </cfRule>
    <cfRule type="cellIs" dxfId="74" priority="90" operator="equal">
      <formula>"CMS"</formula>
    </cfRule>
  </conditionalFormatting>
  <conditionalFormatting sqref="BD380:BF403 BH380:BJ403 BL380:BL403 AV380:AX380 AV381:AY384 V387:AY388 V380:AU382 AQ383:AU384 AQ385:AY386 V383:AP386 BA380:BB403 E380:U388 E389:AY403">
    <cfRule type="cellIs" dxfId="73" priority="87" operator="equal">
      <formula>"PMS"</formula>
    </cfRule>
    <cfRule type="cellIs" dxfId="72" priority="88" operator="equal">
      <formula>"CMS"</formula>
    </cfRule>
  </conditionalFormatting>
  <conditionalFormatting sqref="BC380:BC403">
    <cfRule type="cellIs" dxfId="71" priority="85" operator="equal">
      <formula>"PMS"</formula>
    </cfRule>
    <cfRule type="cellIs" dxfId="70" priority="86" operator="equal">
      <formula>"CMS"</formula>
    </cfRule>
  </conditionalFormatting>
  <conditionalFormatting sqref="BG380:BG403">
    <cfRule type="cellIs" dxfId="69" priority="83" operator="equal">
      <formula>"PMS"</formula>
    </cfRule>
    <cfRule type="cellIs" dxfId="68" priority="84" operator="equal">
      <formula>"CMS"</formula>
    </cfRule>
  </conditionalFormatting>
  <conditionalFormatting sqref="BK380:BK403">
    <cfRule type="cellIs" dxfId="67" priority="81" operator="equal">
      <formula>"PMS"</formula>
    </cfRule>
    <cfRule type="cellIs" dxfId="66" priority="82" operator="equal">
      <formula>"CMS"</formula>
    </cfRule>
  </conditionalFormatting>
  <conditionalFormatting sqref="BM380:BN403">
    <cfRule type="cellIs" dxfId="65" priority="79" operator="equal">
      <formula>"PMS"</formula>
    </cfRule>
    <cfRule type="cellIs" dxfId="64" priority="80" operator="equal">
      <formula>"CMS"</formula>
    </cfRule>
  </conditionalFormatting>
  <conditionalFormatting sqref="AZ380:AZ403">
    <cfRule type="cellIs" dxfId="63" priority="77" operator="equal">
      <formula>"PMS"</formula>
    </cfRule>
    <cfRule type="cellIs" dxfId="62" priority="78" operator="equal">
      <formula>"CMS"</formula>
    </cfRule>
  </conditionalFormatting>
  <conditionalFormatting sqref="AY380">
    <cfRule type="cellIs" dxfId="61" priority="75" operator="equal">
      <formula>"PMS"</formula>
    </cfRule>
    <cfRule type="cellIs" dxfId="60" priority="76" operator="equal">
      <formula>"CMS"</formula>
    </cfRule>
  </conditionalFormatting>
  <conditionalFormatting sqref="BD405:BF428 BH405:BJ428 BL405:BL428 AV405:AX405 AV406:AY409 V412:AY413 V405:AU407 AQ408:AU409 AQ410:AY411 V408:AP411 BA405:BB428 E405:U413 E414:AY4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C405:BC428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G405:BG428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K405:BK428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M405:BN42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AZ405:AZ42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AY405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D430:BF453 BH430:BJ453 BL430:BL453 AV431:AY434 V437:AY438 V430:AX430 AQ433:AU434 AQ435:AY436 V433:AP436 BA430:BB453 V432:AU432 V431:AD431 AF431:AU431 E430:U438 E439:AY453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C430:BC4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G430:BG4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K430:BK4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M430:BN4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AZ430:AZ4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AY430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D455:BF478 BH455:BJ478 BL455:BL478 AV455:AX455 AV456:AY459 V462:AY463 V455:AU457 AQ458:AU459 AQ460:AY461 V458:AP461 BA455:BB478 E455:U463 E464:AY478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C455:BC478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G455:BG478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K455:BK47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M455:BN478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AZ455:AZ478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Y455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D480:BF503 BH480:BJ503 BL480:BL503 AV480:AX480 AV481:AY484 V487:AY488 V480:AU481 AQ483:AU484 AQ485:AY486 V483:AP486 BA480:BB503 E480:U488 E489:AY503 V482:AD482 AF482:AU48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C480:BC50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G480:BG50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K480:BK503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M480:BN503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Z480:AZ5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Y48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AE431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E482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170"/>
  <sheetViews>
    <sheetView zoomScaleNormal="100" workbookViewId="0">
      <pane ySplit="1" topLeftCell="A1148" activePane="bottomLeft" state="frozen"/>
      <selection activeCell="F35" sqref="F35"/>
      <selection pane="bottomLeft" activeCell="J1161" sqref="J1161"/>
    </sheetView>
  </sheetViews>
  <sheetFormatPr defaultColWidth="8.85546875" defaultRowHeight="14.25" x14ac:dyDescent="0.25"/>
  <cols>
    <col min="1" max="1" width="23.42578125" style="37" bestFit="1" customWidth="1"/>
    <col min="2" max="2" width="15.42578125" style="94" bestFit="1" customWidth="1"/>
    <col min="3" max="3" width="15.42578125" style="37" bestFit="1" customWidth="1"/>
    <col min="4" max="4" width="15.42578125" style="94" bestFit="1" customWidth="1"/>
    <col min="5" max="5" width="15.5703125" style="37" bestFit="1" customWidth="1"/>
    <col min="6" max="6" width="18.5703125" style="101" customWidth="1"/>
    <col min="7" max="7" width="13.85546875" style="37" bestFit="1" customWidth="1"/>
    <col min="8" max="8" width="59.85546875" style="95" customWidth="1"/>
    <col min="9" max="9" width="8.85546875" style="37"/>
    <col min="10" max="10" width="16.28515625" style="37" bestFit="1" customWidth="1"/>
    <col min="11" max="12" width="16.7109375" style="101" bestFit="1" customWidth="1"/>
    <col min="13" max="16384" width="8.85546875" style="5"/>
  </cols>
  <sheetData>
    <row r="1" spans="1:12" ht="15" x14ac:dyDescent="0.25">
      <c r="A1" s="91" t="s">
        <v>134</v>
      </c>
      <c r="B1" s="238" t="s">
        <v>135</v>
      </c>
      <c r="C1" s="96" t="s">
        <v>136</v>
      </c>
      <c r="D1" s="96" t="s">
        <v>137</v>
      </c>
      <c r="E1" s="91" t="s">
        <v>138</v>
      </c>
      <c r="F1" s="100" t="s">
        <v>139</v>
      </c>
      <c r="G1" s="92" t="s">
        <v>140</v>
      </c>
      <c r="H1" s="93" t="s">
        <v>141</v>
      </c>
      <c r="J1" s="91"/>
      <c r="K1" s="170"/>
      <c r="L1" s="170"/>
    </row>
    <row r="2" spans="1:12" x14ac:dyDescent="0.25">
      <c r="A2" s="37" t="s">
        <v>142</v>
      </c>
      <c r="B2" s="94">
        <v>45631</v>
      </c>
      <c r="C2" s="37" t="s">
        <v>143</v>
      </c>
      <c r="G2" s="37" t="s">
        <v>9</v>
      </c>
    </row>
    <row r="3" spans="1:12" x14ac:dyDescent="0.25">
      <c r="A3" s="37" t="s">
        <v>149</v>
      </c>
      <c r="B3" s="94">
        <v>45633</v>
      </c>
      <c r="C3" s="37" t="s">
        <v>146</v>
      </c>
      <c r="G3" s="37" t="s">
        <v>9</v>
      </c>
    </row>
    <row r="4" spans="1:12" x14ac:dyDescent="0.25">
      <c r="A4" s="37" t="s">
        <v>151</v>
      </c>
      <c r="B4" s="94">
        <v>45683</v>
      </c>
      <c r="C4" s="37" t="s">
        <v>280</v>
      </c>
      <c r="D4" s="94">
        <v>45692</v>
      </c>
      <c r="E4" s="37" t="s">
        <v>1142</v>
      </c>
      <c r="F4" s="101">
        <f t="shared" ref="F4:F17" si="0">(D4 + TIME(LEFT(E4, 2), MID(E4, 3, 2), 0)) - (B4 + TIME(LEFT(C4, 2), MID(C4, 3, 2), 0))</f>
        <v>8.6784722222218988</v>
      </c>
    </row>
    <row r="5" spans="1:12" x14ac:dyDescent="0.25">
      <c r="A5" s="37" t="s">
        <v>154</v>
      </c>
      <c r="B5" s="94">
        <v>45684</v>
      </c>
      <c r="C5" s="37" t="s">
        <v>285</v>
      </c>
      <c r="D5" s="94">
        <v>45689</v>
      </c>
      <c r="E5" s="37" t="s">
        <v>567</v>
      </c>
      <c r="F5" s="101">
        <f t="shared" si="0"/>
        <v>4.9680555555605679</v>
      </c>
    </row>
    <row r="6" spans="1:12" x14ac:dyDescent="0.25">
      <c r="A6" s="37" t="s">
        <v>157</v>
      </c>
      <c r="B6" s="94">
        <v>45686</v>
      </c>
      <c r="C6" s="37" t="s">
        <v>201</v>
      </c>
      <c r="D6" s="94">
        <v>45690</v>
      </c>
      <c r="E6" s="37" t="s">
        <v>719</v>
      </c>
      <c r="F6" s="101">
        <f t="shared" si="0"/>
        <v>4.0666666666656965</v>
      </c>
    </row>
    <row r="7" spans="1:12" x14ac:dyDescent="0.25">
      <c r="A7" s="37" t="s">
        <v>175</v>
      </c>
      <c r="B7" s="94">
        <v>45686</v>
      </c>
      <c r="C7" s="37" t="s">
        <v>391</v>
      </c>
      <c r="D7" s="94">
        <v>45689</v>
      </c>
      <c r="E7" s="37" t="s">
        <v>569</v>
      </c>
      <c r="F7" s="101">
        <f t="shared" si="0"/>
        <v>2.3479166666656965</v>
      </c>
    </row>
    <row r="8" spans="1:12" x14ac:dyDescent="0.25">
      <c r="A8" s="37" t="s">
        <v>150</v>
      </c>
      <c r="B8" s="94">
        <v>45687</v>
      </c>
      <c r="C8" s="37" t="s">
        <v>241</v>
      </c>
      <c r="D8" s="94">
        <v>45702</v>
      </c>
      <c r="E8" s="37" t="s">
        <v>2639</v>
      </c>
      <c r="F8" s="101">
        <f t="shared" si="0"/>
        <v>15.436805555553292</v>
      </c>
      <c r="G8" s="37" t="s">
        <v>7</v>
      </c>
      <c r="H8" s="95" t="s">
        <v>394</v>
      </c>
    </row>
    <row r="9" spans="1:12" x14ac:dyDescent="0.25">
      <c r="A9" s="37" t="s">
        <v>162</v>
      </c>
      <c r="B9" s="94">
        <v>45688</v>
      </c>
      <c r="C9" s="37" t="s">
        <v>393</v>
      </c>
      <c r="D9" s="94">
        <v>45688</v>
      </c>
      <c r="E9" s="37" t="s">
        <v>200</v>
      </c>
      <c r="F9" s="101">
        <f t="shared" si="0"/>
        <v>1.3194444443797693E-2</v>
      </c>
    </row>
    <row r="10" spans="1:12" x14ac:dyDescent="0.25">
      <c r="A10" s="37" t="s">
        <v>173</v>
      </c>
      <c r="B10" s="94">
        <v>45688</v>
      </c>
      <c r="C10" s="37" t="s">
        <v>393</v>
      </c>
      <c r="D10" s="94">
        <v>45688</v>
      </c>
      <c r="E10" s="37" t="s">
        <v>401</v>
      </c>
      <c r="F10" s="101">
        <f t="shared" si="0"/>
        <v>2.0833333328482695E-2</v>
      </c>
    </row>
    <row r="11" spans="1:12" x14ac:dyDescent="0.25">
      <c r="A11" s="37" t="s">
        <v>163</v>
      </c>
      <c r="B11" s="94">
        <v>45688</v>
      </c>
      <c r="C11" s="37" t="s">
        <v>393</v>
      </c>
      <c r="D11" s="94">
        <v>45688</v>
      </c>
      <c r="E11" s="37" t="s">
        <v>404</v>
      </c>
      <c r="F11" s="101">
        <f t="shared" si="0"/>
        <v>4.7916666662786156E-2</v>
      </c>
    </row>
    <row r="12" spans="1:12" x14ac:dyDescent="0.25">
      <c r="A12" s="37" t="s">
        <v>164</v>
      </c>
      <c r="B12" s="94">
        <v>45688</v>
      </c>
      <c r="C12" s="37" t="s">
        <v>393</v>
      </c>
      <c r="D12" s="94">
        <v>45688</v>
      </c>
      <c r="E12" s="37" t="s">
        <v>284</v>
      </c>
      <c r="F12" s="101">
        <f t="shared" si="0"/>
        <v>8.4722222221898846E-2</v>
      </c>
    </row>
    <row r="13" spans="1:12" x14ac:dyDescent="0.25">
      <c r="A13" s="37" t="s">
        <v>158</v>
      </c>
      <c r="B13" s="94">
        <v>45688</v>
      </c>
      <c r="C13" s="37" t="s">
        <v>402</v>
      </c>
      <c r="D13" s="94">
        <v>45691</v>
      </c>
      <c r="E13" s="37" t="s">
        <v>894</v>
      </c>
      <c r="F13" s="101">
        <f t="shared" si="0"/>
        <v>3.0173611111094942</v>
      </c>
    </row>
    <row r="14" spans="1:12" x14ac:dyDescent="0.25">
      <c r="A14" s="37" t="s">
        <v>155</v>
      </c>
      <c r="B14" s="94">
        <v>45688</v>
      </c>
      <c r="C14" s="37" t="s">
        <v>408</v>
      </c>
      <c r="D14" s="94">
        <v>45688</v>
      </c>
      <c r="E14" s="37" t="s">
        <v>528</v>
      </c>
      <c r="F14" s="101">
        <f t="shared" si="0"/>
        <v>0.62291666666715173</v>
      </c>
    </row>
    <row r="15" spans="1:12" x14ac:dyDescent="0.2">
      <c r="A15" s="37" t="s">
        <v>268</v>
      </c>
      <c r="B15" s="94">
        <v>45688</v>
      </c>
      <c r="C15" s="37" t="s">
        <v>235</v>
      </c>
      <c r="D15" s="94">
        <v>45688</v>
      </c>
      <c r="E15" s="37" t="s">
        <v>541</v>
      </c>
      <c r="F15" s="101">
        <f t="shared" si="0"/>
        <v>0.87986111111240461</v>
      </c>
      <c r="H15" s="23" t="s">
        <v>418</v>
      </c>
    </row>
    <row r="16" spans="1:12" x14ac:dyDescent="0.2">
      <c r="A16" s="37" t="s">
        <v>263</v>
      </c>
      <c r="B16" s="94">
        <v>45688</v>
      </c>
      <c r="C16" s="37" t="s">
        <v>235</v>
      </c>
      <c r="D16" s="94">
        <v>45689</v>
      </c>
      <c r="E16" s="37" t="s">
        <v>634</v>
      </c>
      <c r="F16" s="101">
        <f t="shared" si="0"/>
        <v>1.6006944444452529</v>
      </c>
      <c r="G16" s="37" t="s">
        <v>9</v>
      </c>
      <c r="H16" s="23" t="s">
        <v>419</v>
      </c>
    </row>
    <row r="17" spans="1:8" x14ac:dyDescent="0.2">
      <c r="A17" s="37" t="s">
        <v>264</v>
      </c>
      <c r="B17" s="94">
        <v>45688</v>
      </c>
      <c r="C17" s="37" t="s">
        <v>235</v>
      </c>
      <c r="D17" s="94">
        <v>45688</v>
      </c>
      <c r="E17" s="37" t="s">
        <v>541</v>
      </c>
      <c r="F17" s="101">
        <f t="shared" si="0"/>
        <v>0.87986111111240461</v>
      </c>
      <c r="G17" s="37" t="s">
        <v>9</v>
      </c>
      <c r="H17" s="23" t="s">
        <v>420</v>
      </c>
    </row>
    <row r="18" spans="1:8" x14ac:dyDescent="0.2">
      <c r="A18" s="37" t="s">
        <v>305</v>
      </c>
      <c r="B18" s="94">
        <v>45688</v>
      </c>
      <c r="C18" s="37" t="s">
        <v>235</v>
      </c>
      <c r="G18" s="37" t="s">
        <v>9</v>
      </c>
      <c r="H18" s="23" t="s">
        <v>430</v>
      </c>
    </row>
    <row r="19" spans="1:8" x14ac:dyDescent="0.25">
      <c r="A19" s="37" t="s">
        <v>262</v>
      </c>
      <c r="B19" s="94">
        <v>45688</v>
      </c>
      <c r="C19" s="37" t="s">
        <v>221</v>
      </c>
      <c r="D19" s="94">
        <v>45688</v>
      </c>
      <c r="E19" s="37" t="s">
        <v>215</v>
      </c>
      <c r="F19" s="101">
        <f t="shared" ref="F19:F38" si="1">(D19 + TIME(LEFT(E19, 2), MID(E19, 3, 2), 0)) - (B19 + TIME(LEFT(C19, 2), MID(C19, 3, 2), 0))</f>
        <v>0.14930555555474712</v>
      </c>
    </row>
    <row r="20" spans="1:8" x14ac:dyDescent="0.25">
      <c r="A20" s="37" t="s">
        <v>165</v>
      </c>
      <c r="B20" s="94">
        <v>45688</v>
      </c>
      <c r="C20" s="37" t="s">
        <v>245</v>
      </c>
      <c r="D20" s="94">
        <v>45688</v>
      </c>
      <c r="E20" s="37" t="s">
        <v>254</v>
      </c>
      <c r="F20" s="101">
        <f t="shared" si="1"/>
        <v>7.4305555557657499E-2</v>
      </c>
    </row>
    <row r="21" spans="1:8" x14ac:dyDescent="0.25">
      <c r="A21" s="37" t="s">
        <v>168</v>
      </c>
      <c r="B21" s="94">
        <v>45688</v>
      </c>
      <c r="C21" s="37" t="s">
        <v>248</v>
      </c>
      <c r="D21" s="94">
        <v>45688</v>
      </c>
      <c r="E21" s="37" t="s">
        <v>195</v>
      </c>
      <c r="F21" s="101">
        <f t="shared" si="1"/>
        <v>0.13472222222480923</v>
      </c>
    </row>
    <row r="22" spans="1:8" x14ac:dyDescent="0.25">
      <c r="A22" s="37" t="s">
        <v>170</v>
      </c>
      <c r="B22" s="94">
        <v>45688</v>
      </c>
      <c r="C22" s="37" t="s">
        <v>246</v>
      </c>
      <c r="D22" s="94">
        <v>45688</v>
      </c>
      <c r="E22" s="37" t="s">
        <v>228</v>
      </c>
      <c r="F22" s="101">
        <f t="shared" si="1"/>
        <v>0.12777777777955635</v>
      </c>
    </row>
    <row r="23" spans="1:8" x14ac:dyDescent="0.25">
      <c r="A23" s="37" t="s">
        <v>174</v>
      </c>
      <c r="B23" s="94">
        <v>45688</v>
      </c>
      <c r="C23" s="37" t="s">
        <v>266</v>
      </c>
      <c r="D23" s="94">
        <v>45688</v>
      </c>
      <c r="E23" s="37" t="s">
        <v>206</v>
      </c>
      <c r="F23" s="101">
        <f t="shared" si="1"/>
        <v>0.11944444444816327</v>
      </c>
    </row>
    <row r="24" spans="1:8" x14ac:dyDescent="0.25">
      <c r="A24" s="37" t="s">
        <v>172</v>
      </c>
      <c r="B24" s="94">
        <v>45688</v>
      </c>
      <c r="C24" s="37" t="s">
        <v>285</v>
      </c>
      <c r="D24" s="94">
        <v>45688</v>
      </c>
      <c r="E24" s="37" t="s">
        <v>238</v>
      </c>
      <c r="F24" s="101">
        <f t="shared" si="1"/>
        <v>0.20208333333721384</v>
      </c>
    </row>
    <row r="25" spans="1:8" x14ac:dyDescent="0.25">
      <c r="A25" s="37" t="s">
        <v>159</v>
      </c>
      <c r="B25" s="94">
        <v>45688</v>
      </c>
      <c r="C25" s="37" t="s">
        <v>227</v>
      </c>
      <c r="D25" s="94">
        <v>45688</v>
      </c>
      <c r="E25" s="37" t="s">
        <v>191</v>
      </c>
      <c r="F25" s="101">
        <f t="shared" si="1"/>
        <v>0.54236111111094942</v>
      </c>
    </row>
    <row r="26" spans="1:8" x14ac:dyDescent="0.25">
      <c r="A26" s="37" t="s">
        <v>177</v>
      </c>
      <c r="B26" s="94">
        <v>45688</v>
      </c>
      <c r="C26" s="37" t="s">
        <v>219</v>
      </c>
      <c r="D26" s="94">
        <v>45688</v>
      </c>
      <c r="E26" s="37" t="s">
        <v>207</v>
      </c>
      <c r="F26" s="101">
        <f t="shared" si="1"/>
        <v>0.125</v>
      </c>
    </row>
    <row r="27" spans="1:8" x14ac:dyDescent="0.25">
      <c r="A27" s="37" t="s">
        <v>176</v>
      </c>
      <c r="B27" s="94">
        <v>45688</v>
      </c>
      <c r="C27" s="37" t="s">
        <v>432</v>
      </c>
      <c r="D27" s="94">
        <v>45688</v>
      </c>
      <c r="E27" s="37" t="s">
        <v>522</v>
      </c>
      <c r="F27" s="101">
        <f t="shared" si="1"/>
        <v>0.63611111111094942</v>
      </c>
    </row>
    <row r="28" spans="1:8" x14ac:dyDescent="0.25">
      <c r="A28" s="37" t="s">
        <v>178</v>
      </c>
      <c r="B28" s="94">
        <v>45688</v>
      </c>
      <c r="C28" s="37" t="s">
        <v>434</v>
      </c>
      <c r="D28" s="94">
        <v>45688</v>
      </c>
      <c r="E28" s="37" t="s">
        <v>217</v>
      </c>
      <c r="F28" s="101">
        <f t="shared" si="1"/>
        <v>0.63472222222480923</v>
      </c>
    </row>
    <row r="29" spans="1:8" x14ac:dyDescent="0.25">
      <c r="A29" s="37" t="s">
        <v>161</v>
      </c>
      <c r="B29" s="94">
        <v>45688</v>
      </c>
      <c r="C29" s="37" t="s">
        <v>434</v>
      </c>
      <c r="D29" s="94">
        <v>45688</v>
      </c>
      <c r="E29" s="37" t="s">
        <v>240</v>
      </c>
      <c r="F29" s="101">
        <f t="shared" si="1"/>
        <v>0.6055555555576575</v>
      </c>
    </row>
    <row r="30" spans="1:8" x14ac:dyDescent="0.25">
      <c r="A30" s="37" t="s">
        <v>153</v>
      </c>
      <c r="B30" s="94">
        <v>45688</v>
      </c>
      <c r="C30" s="37" t="s">
        <v>386</v>
      </c>
      <c r="D30" s="94">
        <v>45690</v>
      </c>
      <c r="E30" s="37" t="s">
        <v>845</v>
      </c>
      <c r="F30" s="101">
        <f t="shared" si="1"/>
        <v>2.5340277777795563</v>
      </c>
      <c r="G30" s="37" t="s">
        <v>9</v>
      </c>
    </row>
    <row r="31" spans="1:8" x14ac:dyDescent="0.25">
      <c r="A31" s="37" t="s">
        <v>162</v>
      </c>
      <c r="B31" s="94">
        <v>45688</v>
      </c>
      <c r="C31" s="37" t="s">
        <v>229</v>
      </c>
      <c r="D31" s="94">
        <v>45688</v>
      </c>
      <c r="E31" s="37" t="s">
        <v>283</v>
      </c>
      <c r="F31" s="101">
        <f t="shared" si="1"/>
        <v>0.63819444445107365</v>
      </c>
    </row>
    <row r="32" spans="1:8" x14ac:dyDescent="0.25">
      <c r="A32" s="37" t="s">
        <v>173</v>
      </c>
      <c r="B32" s="94">
        <v>45688</v>
      </c>
      <c r="C32" s="37" t="s">
        <v>230</v>
      </c>
      <c r="D32" s="94">
        <v>45688</v>
      </c>
      <c r="E32" s="37" t="s">
        <v>533</v>
      </c>
      <c r="F32" s="101">
        <f t="shared" si="1"/>
        <v>0.64861111110803904</v>
      </c>
    </row>
    <row r="33" spans="1:6" x14ac:dyDescent="0.25">
      <c r="A33" s="37" t="s">
        <v>163</v>
      </c>
      <c r="B33" s="94">
        <v>45688</v>
      </c>
      <c r="C33" s="37" t="s">
        <v>250</v>
      </c>
      <c r="D33" s="94">
        <v>45688</v>
      </c>
      <c r="E33" s="37" t="s">
        <v>535</v>
      </c>
      <c r="F33" s="101">
        <f t="shared" si="1"/>
        <v>0.648611111115315</v>
      </c>
    </row>
    <row r="34" spans="1:6" x14ac:dyDescent="0.25">
      <c r="A34" s="37" t="s">
        <v>164</v>
      </c>
      <c r="B34" s="94">
        <v>45688</v>
      </c>
      <c r="C34" s="37" t="s">
        <v>230</v>
      </c>
      <c r="D34" s="94">
        <v>45688</v>
      </c>
      <c r="E34" s="37" t="s">
        <v>537</v>
      </c>
      <c r="F34" s="101">
        <f t="shared" si="1"/>
        <v>0.65763888888614019</v>
      </c>
    </row>
    <row r="35" spans="1:6" x14ac:dyDescent="0.25">
      <c r="A35" s="37" t="s">
        <v>165</v>
      </c>
      <c r="B35" s="94">
        <v>45688</v>
      </c>
      <c r="C35" s="37" t="s">
        <v>234</v>
      </c>
      <c r="D35" s="94">
        <v>45688</v>
      </c>
      <c r="E35" s="37" t="s">
        <v>195</v>
      </c>
      <c r="F35" s="101">
        <f t="shared" si="1"/>
        <v>2.0833333335758653E-2</v>
      </c>
    </row>
    <row r="36" spans="1:6" x14ac:dyDescent="0.25">
      <c r="A36" s="37" t="s">
        <v>251</v>
      </c>
      <c r="B36" s="94">
        <v>45688</v>
      </c>
      <c r="C36" s="37" t="s">
        <v>255</v>
      </c>
      <c r="D36" s="94">
        <v>45688</v>
      </c>
      <c r="E36" s="37" t="s">
        <v>231</v>
      </c>
      <c r="F36" s="101">
        <f t="shared" si="1"/>
        <v>9.7222222175332718E-3</v>
      </c>
    </row>
    <row r="37" spans="1:6" x14ac:dyDescent="0.25">
      <c r="A37" s="37" t="s">
        <v>302</v>
      </c>
      <c r="B37" s="94">
        <v>45688</v>
      </c>
      <c r="C37" s="37" t="s">
        <v>171</v>
      </c>
      <c r="D37" s="94">
        <v>45688</v>
      </c>
      <c r="E37" s="37" t="s">
        <v>231</v>
      </c>
      <c r="F37" s="101">
        <f t="shared" si="1"/>
        <v>9.0277777781011537E-3</v>
      </c>
    </row>
    <row r="38" spans="1:6" x14ac:dyDescent="0.25">
      <c r="A38" s="37" t="s">
        <v>194</v>
      </c>
      <c r="B38" s="94">
        <v>45688</v>
      </c>
      <c r="C38" s="37" t="s">
        <v>152</v>
      </c>
      <c r="D38" s="94">
        <v>45691</v>
      </c>
      <c r="E38" s="37" t="s">
        <v>880</v>
      </c>
      <c r="F38" s="101">
        <f t="shared" si="1"/>
        <v>2.6812500000014552</v>
      </c>
    </row>
    <row r="39" spans="1:6" x14ac:dyDescent="0.25">
      <c r="A39" s="37" t="s">
        <v>168</v>
      </c>
      <c r="B39" s="94">
        <v>45688</v>
      </c>
      <c r="C39" s="37" t="s">
        <v>269</v>
      </c>
      <c r="D39" s="94">
        <v>45689</v>
      </c>
      <c r="E39" s="37" t="s">
        <v>545</v>
      </c>
      <c r="F39" s="101">
        <f t="shared" ref="F39:F70" si="2">(D39 + TIME(LEFT(E39, 2), MID(E39, 3, 2), 0)) - (B39 + TIME(LEFT(C39, 2), MID(C39, 3, 2), 0))</f>
        <v>0.60763888889050577</v>
      </c>
    </row>
    <row r="40" spans="1:6" x14ac:dyDescent="0.25">
      <c r="A40" s="37" t="s">
        <v>170</v>
      </c>
      <c r="B40" s="94">
        <v>45688</v>
      </c>
      <c r="C40" s="37" t="s">
        <v>216</v>
      </c>
      <c r="D40" s="94">
        <v>45689</v>
      </c>
      <c r="E40" s="37" t="s">
        <v>547</v>
      </c>
      <c r="F40" s="101">
        <f t="shared" si="2"/>
        <v>0.60833333333721384</v>
      </c>
    </row>
    <row r="41" spans="1:6" x14ac:dyDescent="0.25">
      <c r="A41" s="37" t="s">
        <v>174</v>
      </c>
      <c r="B41" s="94">
        <v>45688</v>
      </c>
      <c r="C41" s="37" t="s">
        <v>197</v>
      </c>
      <c r="D41" s="94">
        <v>45688</v>
      </c>
      <c r="E41" s="37" t="s">
        <v>519</v>
      </c>
      <c r="F41" s="101">
        <f t="shared" si="2"/>
        <v>0.51874999999563443</v>
      </c>
    </row>
    <row r="42" spans="1:6" x14ac:dyDescent="0.25">
      <c r="A42" s="37" t="s">
        <v>177</v>
      </c>
      <c r="B42" s="94">
        <v>45688</v>
      </c>
      <c r="C42" s="37" t="s">
        <v>236</v>
      </c>
      <c r="D42" s="94">
        <v>45688</v>
      </c>
      <c r="E42" s="37" t="s">
        <v>199</v>
      </c>
      <c r="F42" s="101">
        <f t="shared" si="2"/>
        <v>0.51666666666278616</v>
      </c>
    </row>
    <row r="43" spans="1:6" x14ac:dyDescent="0.25">
      <c r="A43" s="37" t="s">
        <v>251</v>
      </c>
      <c r="B43" s="94">
        <v>45688</v>
      </c>
      <c r="C43" s="37" t="s">
        <v>249</v>
      </c>
      <c r="D43" s="94">
        <v>45688</v>
      </c>
      <c r="E43" s="37" t="s">
        <v>242</v>
      </c>
      <c r="F43" s="101">
        <f t="shared" si="2"/>
        <v>0.3006944444423425</v>
      </c>
    </row>
    <row r="44" spans="1:6" x14ac:dyDescent="0.25">
      <c r="A44" s="37" t="s">
        <v>265</v>
      </c>
      <c r="B44" s="94">
        <v>45688</v>
      </c>
      <c r="C44" s="37" t="s">
        <v>387</v>
      </c>
      <c r="D44" s="94">
        <v>45688</v>
      </c>
      <c r="E44" s="37" t="s">
        <v>259</v>
      </c>
      <c r="F44" s="101">
        <f t="shared" si="2"/>
        <v>0.30138888888905058</v>
      </c>
    </row>
    <row r="45" spans="1:6" x14ac:dyDescent="0.25">
      <c r="A45" s="37" t="s">
        <v>261</v>
      </c>
      <c r="B45" s="94">
        <v>45688</v>
      </c>
      <c r="C45" s="37" t="s">
        <v>387</v>
      </c>
      <c r="D45" s="94">
        <v>45688</v>
      </c>
      <c r="E45" s="37" t="s">
        <v>259</v>
      </c>
      <c r="F45" s="101">
        <f t="shared" si="2"/>
        <v>0.30138888888905058</v>
      </c>
    </row>
    <row r="46" spans="1:6" x14ac:dyDescent="0.25">
      <c r="A46" s="37" t="s">
        <v>262</v>
      </c>
      <c r="B46" s="94">
        <v>45688</v>
      </c>
      <c r="C46" s="37" t="s">
        <v>387</v>
      </c>
      <c r="D46" s="94">
        <v>45688</v>
      </c>
      <c r="E46" s="37" t="s">
        <v>259</v>
      </c>
      <c r="F46" s="101">
        <f t="shared" si="2"/>
        <v>0.30138888888905058</v>
      </c>
    </row>
    <row r="47" spans="1:6" x14ac:dyDescent="0.25">
      <c r="A47" s="37" t="s">
        <v>302</v>
      </c>
      <c r="B47" s="94">
        <v>45688</v>
      </c>
      <c r="C47" s="37" t="s">
        <v>188</v>
      </c>
      <c r="D47" s="94">
        <v>45688</v>
      </c>
      <c r="E47" s="37" t="s">
        <v>277</v>
      </c>
      <c r="F47" s="101">
        <f t="shared" si="2"/>
        <v>0.25694444444525288</v>
      </c>
    </row>
    <row r="48" spans="1:6" x14ac:dyDescent="0.25">
      <c r="A48" s="37" t="s">
        <v>202</v>
      </c>
      <c r="B48" s="94">
        <v>45688</v>
      </c>
      <c r="C48" s="37" t="s">
        <v>238</v>
      </c>
      <c r="D48" s="94">
        <v>45688</v>
      </c>
      <c r="E48" s="37" t="s">
        <v>204</v>
      </c>
      <c r="F48" s="101">
        <f t="shared" si="2"/>
        <v>0.28611111111240461</v>
      </c>
    </row>
    <row r="49" spans="1:8" x14ac:dyDescent="0.25">
      <c r="A49" s="37" t="s">
        <v>166</v>
      </c>
      <c r="B49" s="94">
        <v>45688</v>
      </c>
      <c r="C49" s="37" t="s">
        <v>156</v>
      </c>
      <c r="D49" s="94">
        <v>45688</v>
      </c>
      <c r="E49" s="37" t="s">
        <v>531</v>
      </c>
      <c r="F49" s="101">
        <f t="shared" si="2"/>
        <v>0.50347222222626442</v>
      </c>
    </row>
    <row r="50" spans="1:8" x14ac:dyDescent="0.25">
      <c r="A50" s="37" t="s">
        <v>144</v>
      </c>
      <c r="B50" s="94">
        <v>45688</v>
      </c>
      <c r="C50" s="37" t="s">
        <v>274</v>
      </c>
      <c r="D50" s="94">
        <v>45688</v>
      </c>
      <c r="E50" s="37" t="s">
        <v>476</v>
      </c>
      <c r="F50" s="101">
        <f t="shared" si="2"/>
        <v>5.6944444448163267E-2</v>
      </c>
    </row>
    <row r="51" spans="1:8" x14ac:dyDescent="0.25">
      <c r="A51" s="37" t="s">
        <v>252</v>
      </c>
      <c r="B51" s="94">
        <v>45688</v>
      </c>
      <c r="C51" s="37" t="s">
        <v>179</v>
      </c>
      <c r="D51" s="94">
        <v>45688</v>
      </c>
      <c r="E51" s="37" t="s">
        <v>482</v>
      </c>
      <c r="F51" s="101">
        <f t="shared" si="2"/>
        <v>0.18125000000145519</v>
      </c>
    </row>
    <row r="52" spans="1:8" x14ac:dyDescent="0.25">
      <c r="A52" s="37" t="s">
        <v>260</v>
      </c>
      <c r="B52" s="94">
        <v>45688</v>
      </c>
      <c r="C52" s="37" t="s">
        <v>232</v>
      </c>
      <c r="D52" s="94">
        <v>45688</v>
      </c>
      <c r="E52" s="37" t="s">
        <v>489</v>
      </c>
      <c r="F52" s="101">
        <f t="shared" si="2"/>
        <v>0.21875</v>
      </c>
    </row>
    <row r="53" spans="1:8" x14ac:dyDescent="0.25">
      <c r="A53" s="37" t="s">
        <v>273</v>
      </c>
      <c r="B53" s="94">
        <v>45688</v>
      </c>
      <c r="C53" s="37" t="s">
        <v>473</v>
      </c>
      <c r="D53" s="94">
        <v>45688</v>
      </c>
      <c r="E53" s="37" t="s">
        <v>487</v>
      </c>
      <c r="F53" s="101">
        <f t="shared" si="2"/>
        <v>0.20416666667006211</v>
      </c>
    </row>
    <row r="54" spans="1:8" x14ac:dyDescent="0.25">
      <c r="A54" s="37" t="s">
        <v>272</v>
      </c>
      <c r="B54" s="94">
        <v>45688</v>
      </c>
      <c r="C54" s="37" t="s">
        <v>223</v>
      </c>
      <c r="D54" s="94">
        <v>45688</v>
      </c>
      <c r="E54" s="37" t="s">
        <v>189</v>
      </c>
      <c r="F54" s="101">
        <f t="shared" si="2"/>
        <v>0.1993055555576575</v>
      </c>
    </row>
    <row r="55" spans="1:8" x14ac:dyDescent="0.25">
      <c r="A55" s="37" t="s">
        <v>144</v>
      </c>
      <c r="B55" s="94">
        <v>45688</v>
      </c>
      <c r="C55" s="37" t="s">
        <v>211</v>
      </c>
      <c r="D55" s="94">
        <v>45688</v>
      </c>
      <c r="E55" s="37" t="s">
        <v>218</v>
      </c>
      <c r="F55" s="101">
        <f t="shared" si="2"/>
        <v>8.333333331393078E-3</v>
      </c>
    </row>
    <row r="56" spans="1:8" x14ac:dyDescent="0.25">
      <c r="A56" s="37" t="s">
        <v>144</v>
      </c>
      <c r="B56" s="94">
        <v>45688</v>
      </c>
      <c r="C56" s="37" t="s">
        <v>247</v>
      </c>
      <c r="D56" s="94">
        <v>45688</v>
      </c>
      <c r="E56" s="37" t="s">
        <v>480</v>
      </c>
      <c r="F56" s="101">
        <f t="shared" si="2"/>
        <v>5.6250000001455192E-2</v>
      </c>
      <c r="H56" s="95" t="s">
        <v>486</v>
      </c>
    </row>
    <row r="57" spans="1:8" x14ac:dyDescent="0.25">
      <c r="A57" s="37" t="s">
        <v>202</v>
      </c>
      <c r="B57" s="94">
        <v>45688</v>
      </c>
      <c r="C57" s="37" t="s">
        <v>180</v>
      </c>
      <c r="D57" s="94">
        <v>45688</v>
      </c>
      <c r="E57" s="37" t="s">
        <v>511</v>
      </c>
      <c r="F57" s="101">
        <f t="shared" si="2"/>
        <v>0.12291666666715173</v>
      </c>
    </row>
    <row r="58" spans="1:8" x14ac:dyDescent="0.25">
      <c r="A58" s="37" t="s">
        <v>172</v>
      </c>
      <c r="B58" s="94">
        <v>45688</v>
      </c>
      <c r="C58" s="37" t="s">
        <v>180</v>
      </c>
      <c r="D58" s="94">
        <v>45688</v>
      </c>
      <c r="E58" s="37" t="s">
        <v>220</v>
      </c>
      <c r="F58" s="101">
        <f t="shared" si="2"/>
        <v>0.16944444445107365</v>
      </c>
    </row>
    <row r="59" spans="1:8" x14ac:dyDescent="0.25">
      <c r="A59" s="37" t="s">
        <v>302</v>
      </c>
      <c r="B59" s="94">
        <v>45688</v>
      </c>
      <c r="C59" s="37" t="s">
        <v>226</v>
      </c>
      <c r="D59" s="94">
        <v>45688</v>
      </c>
      <c r="E59" s="37" t="s">
        <v>208</v>
      </c>
      <c r="F59" s="101">
        <f t="shared" si="2"/>
        <v>0.15416666666715173</v>
      </c>
    </row>
    <row r="60" spans="1:8" x14ac:dyDescent="0.25">
      <c r="A60" s="37" t="s">
        <v>251</v>
      </c>
      <c r="B60" s="94">
        <v>45688</v>
      </c>
      <c r="C60" s="37" t="s">
        <v>239</v>
      </c>
      <c r="D60" s="94">
        <v>45688</v>
      </c>
      <c r="E60" s="37" t="s">
        <v>193</v>
      </c>
      <c r="F60" s="101">
        <f t="shared" si="2"/>
        <v>0.15902777777955635</v>
      </c>
    </row>
    <row r="61" spans="1:8" x14ac:dyDescent="0.25">
      <c r="A61" s="37" t="s">
        <v>252</v>
      </c>
      <c r="B61" s="94">
        <v>45688</v>
      </c>
      <c r="C61" s="37" t="s">
        <v>253</v>
      </c>
      <c r="D61" s="94">
        <v>45688</v>
      </c>
      <c r="E61" s="37" t="s">
        <v>205</v>
      </c>
      <c r="F61" s="101">
        <f t="shared" si="2"/>
        <v>8.0555555556202307E-2</v>
      </c>
    </row>
    <row r="62" spans="1:8" x14ac:dyDescent="0.25">
      <c r="A62" s="37" t="s">
        <v>262</v>
      </c>
      <c r="B62" s="94">
        <v>45688</v>
      </c>
      <c r="C62" s="37" t="s">
        <v>270</v>
      </c>
      <c r="D62" s="94">
        <v>45689</v>
      </c>
      <c r="E62" s="37" t="s">
        <v>553</v>
      </c>
      <c r="F62" s="101">
        <f t="shared" si="2"/>
        <v>0.3006944444423425</v>
      </c>
    </row>
    <row r="63" spans="1:8" x14ac:dyDescent="0.25">
      <c r="A63" s="37" t="s">
        <v>261</v>
      </c>
      <c r="B63" s="94">
        <v>45688</v>
      </c>
      <c r="C63" s="37" t="s">
        <v>270</v>
      </c>
      <c r="D63" s="94">
        <v>45689</v>
      </c>
      <c r="E63" s="37" t="s">
        <v>549</v>
      </c>
      <c r="F63" s="101">
        <f t="shared" si="2"/>
        <v>0.27361111110803904</v>
      </c>
    </row>
    <row r="64" spans="1:8" x14ac:dyDescent="0.25">
      <c r="A64" s="37" t="s">
        <v>265</v>
      </c>
      <c r="B64" s="94">
        <v>45688</v>
      </c>
      <c r="C64" s="37" t="s">
        <v>270</v>
      </c>
      <c r="D64" s="94">
        <v>45688</v>
      </c>
      <c r="E64" s="37" t="s">
        <v>182</v>
      </c>
      <c r="F64" s="101">
        <f t="shared" si="2"/>
        <v>4.166666665696539E-3</v>
      </c>
    </row>
    <row r="65" spans="1:6" x14ac:dyDescent="0.25">
      <c r="A65" s="37" t="s">
        <v>272</v>
      </c>
      <c r="B65" s="94">
        <v>45688</v>
      </c>
      <c r="C65" s="37" t="s">
        <v>275</v>
      </c>
      <c r="D65" s="94">
        <v>45688</v>
      </c>
      <c r="E65" s="37" t="s">
        <v>181</v>
      </c>
      <c r="F65" s="101">
        <f t="shared" si="2"/>
        <v>0.12777777777955635</v>
      </c>
    </row>
    <row r="66" spans="1:6" x14ac:dyDescent="0.25">
      <c r="A66" s="37" t="s">
        <v>273</v>
      </c>
      <c r="B66" s="94">
        <v>45688</v>
      </c>
      <c r="C66" s="37" t="s">
        <v>279</v>
      </c>
      <c r="D66" s="94">
        <v>45688</v>
      </c>
      <c r="E66" s="37" t="s">
        <v>192</v>
      </c>
      <c r="F66" s="101">
        <f t="shared" si="2"/>
        <v>0.11527777777519077</v>
      </c>
    </row>
    <row r="67" spans="1:6" x14ac:dyDescent="0.25">
      <c r="A67" s="37" t="s">
        <v>265</v>
      </c>
      <c r="B67" s="94">
        <v>45688</v>
      </c>
      <c r="C67" s="37" t="s">
        <v>276</v>
      </c>
      <c r="D67" s="94">
        <v>45689</v>
      </c>
      <c r="E67" s="37" t="s">
        <v>555</v>
      </c>
      <c r="F67" s="101">
        <f t="shared" si="2"/>
        <v>0.37708333333284827</v>
      </c>
    </row>
    <row r="68" spans="1:6" x14ac:dyDescent="0.2">
      <c r="A68" s="37" t="s">
        <v>260</v>
      </c>
      <c r="B68" s="94">
        <v>45688</v>
      </c>
      <c r="C68" s="37" t="s">
        <v>276</v>
      </c>
      <c r="D68" s="94">
        <v>45688</v>
      </c>
      <c r="E68" s="23" t="s">
        <v>271</v>
      </c>
      <c r="F68" s="101">
        <f t="shared" si="2"/>
        <v>3.4722222226264421E-2</v>
      </c>
    </row>
    <row r="69" spans="1:6" x14ac:dyDescent="0.2">
      <c r="A69" s="37" t="s">
        <v>169</v>
      </c>
      <c r="B69" s="94">
        <v>45688</v>
      </c>
      <c r="C69" s="37" t="s">
        <v>185</v>
      </c>
      <c r="D69" s="94">
        <v>45688</v>
      </c>
      <c r="E69" s="23" t="s">
        <v>198</v>
      </c>
      <c r="F69" s="101">
        <f t="shared" si="2"/>
        <v>3.0555555553291924E-2</v>
      </c>
    </row>
    <row r="70" spans="1:6" x14ac:dyDescent="0.25">
      <c r="A70" s="37" t="s">
        <v>160</v>
      </c>
      <c r="B70" s="94">
        <v>45688</v>
      </c>
      <c r="C70" s="37" t="s">
        <v>526</v>
      </c>
      <c r="D70" s="94">
        <v>45689</v>
      </c>
      <c r="E70" s="37" t="s">
        <v>565</v>
      </c>
      <c r="F70" s="101">
        <f t="shared" si="2"/>
        <v>0.50347222222626442</v>
      </c>
    </row>
    <row r="71" spans="1:6" x14ac:dyDescent="0.25">
      <c r="A71" s="37" t="s">
        <v>155</v>
      </c>
      <c r="B71" s="94">
        <v>45688</v>
      </c>
      <c r="C71" s="37" t="s">
        <v>530</v>
      </c>
      <c r="D71" s="94">
        <v>45689</v>
      </c>
      <c r="E71" s="37" t="s">
        <v>167</v>
      </c>
      <c r="F71" s="101">
        <f t="shared" ref="F71:F102" si="3">(D71 + TIME(LEFT(E71, 2), MID(E71, 3, 2), 0)) - (B71 + TIME(LEFT(C71, 2), MID(C71, 3, 2), 0))</f>
        <v>0.49791666666715173</v>
      </c>
    </row>
    <row r="72" spans="1:6" x14ac:dyDescent="0.25">
      <c r="A72" s="37" t="s">
        <v>165</v>
      </c>
      <c r="B72" s="94">
        <v>45688</v>
      </c>
      <c r="C72" s="37" t="s">
        <v>539</v>
      </c>
      <c r="D72" s="94">
        <v>45689</v>
      </c>
      <c r="E72" s="37" t="s">
        <v>604</v>
      </c>
      <c r="F72" s="101">
        <f t="shared" si="3"/>
        <v>0.3868055555576575</v>
      </c>
    </row>
    <row r="73" spans="1:6" x14ac:dyDescent="0.25">
      <c r="A73" s="37" t="s">
        <v>186</v>
      </c>
      <c r="B73" s="94">
        <v>45689</v>
      </c>
      <c r="C73" s="37" t="s">
        <v>551</v>
      </c>
      <c r="D73" s="94">
        <v>45690</v>
      </c>
      <c r="E73" s="37" t="s">
        <v>735</v>
      </c>
      <c r="F73" s="101">
        <f t="shared" si="3"/>
        <v>1.2770833333343035</v>
      </c>
    </row>
    <row r="74" spans="1:6" x14ac:dyDescent="0.25">
      <c r="A74" s="37" t="s">
        <v>260</v>
      </c>
      <c r="B74" s="94">
        <v>45689</v>
      </c>
      <c r="C74" s="37" t="s">
        <v>555</v>
      </c>
      <c r="D74" s="94">
        <v>45689</v>
      </c>
      <c r="E74" s="37" t="s">
        <v>595</v>
      </c>
      <c r="F74" s="101">
        <f t="shared" si="3"/>
        <v>0.20555555555620231</v>
      </c>
    </row>
    <row r="75" spans="1:6" x14ac:dyDescent="0.25">
      <c r="A75" s="37" t="s">
        <v>262</v>
      </c>
      <c r="B75" s="94">
        <v>45689</v>
      </c>
      <c r="C75" s="37" t="s">
        <v>555</v>
      </c>
      <c r="D75" s="94">
        <v>45689</v>
      </c>
      <c r="E75" s="37" t="s">
        <v>595</v>
      </c>
      <c r="F75" s="101">
        <f t="shared" si="3"/>
        <v>0.20555555555620231</v>
      </c>
    </row>
    <row r="76" spans="1:6" x14ac:dyDescent="0.25">
      <c r="A76" s="37" t="s">
        <v>264</v>
      </c>
      <c r="B76" s="94">
        <v>45689</v>
      </c>
      <c r="C76" s="37" t="s">
        <v>559</v>
      </c>
      <c r="D76" s="94">
        <v>45689</v>
      </c>
      <c r="E76" s="37" t="s">
        <v>595</v>
      </c>
      <c r="F76" s="101">
        <f t="shared" si="3"/>
        <v>0.15833333333284827</v>
      </c>
    </row>
    <row r="77" spans="1:6" x14ac:dyDescent="0.25">
      <c r="A77" s="37" t="s">
        <v>268</v>
      </c>
      <c r="B77" s="94">
        <v>45689</v>
      </c>
      <c r="C77" s="37" t="s">
        <v>559</v>
      </c>
      <c r="D77" s="94">
        <v>45689</v>
      </c>
      <c r="E77" s="37" t="s">
        <v>595</v>
      </c>
      <c r="F77" s="101">
        <f t="shared" si="3"/>
        <v>0.15833333333284827</v>
      </c>
    </row>
    <row r="78" spans="1:6" x14ac:dyDescent="0.25">
      <c r="A78" s="37" t="s">
        <v>261</v>
      </c>
      <c r="B78" s="94">
        <v>45689</v>
      </c>
      <c r="C78" s="37" t="s">
        <v>555</v>
      </c>
      <c r="D78" s="94">
        <v>45689</v>
      </c>
      <c r="E78" s="37" t="s">
        <v>595</v>
      </c>
      <c r="F78" s="101">
        <f t="shared" si="3"/>
        <v>0.20555555555620231</v>
      </c>
    </row>
    <row r="79" spans="1:6" x14ac:dyDescent="0.25">
      <c r="A79" s="37" t="s">
        <v>166</v>
      </c>
      <c r="B79" s="94">
        <v>45689</v>
      </c>
      <c r="C79" s="37" t="s">
        <v>563</v>
      </c>
      <c r="D79" s="94">
        <v>45689</v>
      </c>
      <c r="E79" s="37" t="s">
        <v>528</v>
      </c>
      <c r="F79" s="101">
        <f t="shared" si="3"/>
        <v>0.49791666666715173</v>
      </c>
    </row>
    <row r="80" spans="1:6" x14ac:dyDescent="0.25">
      <c r="A80" s="37" t="s">
        <v>175</v>
      </c>
      <c r="B80" s="94">
        <v>45689</v>
      </c>
      <c r="C80" s="37" t="s">
        <v>571</v>
      </c>
      <c r="D80" s="94">
        <v>45689</v>
      </c>
      <c r="E80" s="37" t="s">
        <v>572</v>
      </c>
      <c r="F80" s="101">
        <f t="shared" si="3"/>
        <v>2.7083333334303461E-2</v>
      </c>
    </row>
    <row r="81" spans="1:6" x14ac:dyDescent="0.25">
      <c r="A81" s="37" t="s">
        <v>174</v>
      </c>
      <c r="B81" s="94">
        <v>45689</v>
      </c>
      <c r="C81" s="37" t="s">
        <v>577</v>
      </c>
      <c r="D81" s="94">
        <v>45689</v>
      </c>
      <c r="E81" s="37" t="s">
        <v>684</v>
      </c>
      <c r="F81" s="101">
        <f t="shared" si="3"/>
        <v>0.65763888889341615</v>
      </c>
    </row>
    <row r="82" spans="1:6" x14ac:dyDescent="0.25">
      <c r="A82" s="37" t="s">
        <v>159</v>
      </c>
      <c r="B82" s="94">
        <v>45689</v>
      </c>
      <c r="C82" s="37" t="s">
        <v>579</v>
      </c>
      <c r="D82" s="94">
        <v>45690</v>
      </c>
      <c r="E82" s="37" t="s">
        <v>156</v>
      </c>
      <c r="F82" s="101">
        <f t="shared" si="3"/>
        <v>1.140277777776646</v>
      </c>
    </row>
    <row r="83" spans="1:6" x14ac:dyDescent="0.25">
      <c r="A83" s="37" t="s">
        <v>169</v>
      </c>
      <c r="B83" s="94">
        <v>45689</v>
      </c>
      <c r="C83" s="37" t="s">
        <v>581</v>
      </c>
      <c r="D83" s="94">
        <v>45690</v>
      </c>
      <c r="E83" s="37" t="s">
        <v>721</v>
      </c>
      <c r="F83" s="101">
        <f t="shared" si="3"/>
        <v>0.89097222222335404</v>
      </c>
    </row>
    <row r="84" spans="1:6" x14ac:dyDescent="0.25">
      <c r="A84" s="37" t="s">
        <v>177</v>
      </c>
      <c r="B84" s="94">
        <v>45689</v>
      </c>
      <c r="C84" s="37" t="s">
        <v>583</v>
      </c>
      <c r="D84" s="94">
        <v>45689</v>
      </c>
      <c r="E84" s="37" t="s">
        <v>686</v>
      </c>
      <c r="F84" s="101">
        <f t="shared" si="3"/>
        <v>0.65555555555329192</v>
      </c>
    </row>
    <row r="85" spans="1:6" x14ac:dyDescent="0.25">
      <c r="A85" s="37" t="s">
        <v>172</v>
      </c>
      <c r="B85" s="94">
        <v>45689</v>
      </c>
      <c r="C85" s="37" t="s">
        <v>171</v>
      </c>
      <c r="D85" s="94">
        <v>45689</v>
      </c>
      <c r="E85" s="37" t="s">
        <v>678</v>
      </c>
      <c r="F85" s="101">
        <f t="shared" si="3"/>
        <v>0.62083333333430346</v>
      </c>
    </row>
    <row r="86" spans="1:6" x14ac:dyDescent="0.25">
      <c r="A86" s="37" t="s">
        <v>176</v>
      </c>
      <c r="B86" s="94">
        <v>45689</v>
      </c>
      <c r="C86" s="37" t="s">
        <v>586</v>
      </c>
      <c r="D86" s="94">
        <v>45689</v>
      </c>
      <c r="E86" s="37" t="s">
        <v>669</v>
      </c>
      <c r="F86" s="101">
        <f t="shared" si="3"/>
        <v>0.57638888889050577</v>
      </c>
    </row>
    <row r="87" spans="1:6" x14ac:dyDescent="0.25">
      <c r="A87" s="37" t="s">
        <v>178</v>
      </c>
      <c r="B87" s="94">
        <v>45689</v>
      </c>
      <c r="C87" s="37" t="s">
        <v>588</v>
      </c>
      <c r="D87" s="94">
        <v>45690</v>
      </c>
      <c r="E87" s="37" t="s">
        <v>688</v>
      </c>
      <c r="F87" s="101">
        <f t="shared" si="3"/>
        <v>0.66041666666569654</v>
      </c>
    </row>
    <row r="88" spans="1:6" x14ac:dyDescent="0.25">
      <c r="A88" s="37" t="s">
        <v>161</v>
      </c>
      <c r="B88" s="94">
        <v>45689</v>
      </c>
      <c r="C88" s="37" t="s">
        <v>590</v>
      </c>
      <c r="D88" s="94">
        <v>45689</v>
      </c>
      <c r="E88" s="37" t="s">
        <v>676</v>
      </c>
      <c r="F88" s="101">
        <f t="shared" si="3"/>
        <v>0.60277777777810115</v>
      </c>
    </row>
    <row r="89" spans="1:6" x14ac:dyDescent="0.25">
      <c r="A89" s="37" t="s">
        <v>173</v>
      </c>
      <c r="B89" s="94">
        <v>45689</v>
      </c>
      <c r="C89" s="37" t="s">
        <v>592</v>
      </c>
      <c r="D89" s="94">
        <v>45690</v>
      </c>
      <c r="E89" s="37" t="s">
        <v>692</v>
      </c>
      <c r="F89" s="101">
        <f t="shared" si="3"/>
        <v>0.66180555555911269</v>
      </c>
    </row>
    <row r="90" spans="1:6" x14ac:dyDescent="0.25">
      <c r="A90" s="37" t="s">
        <v>162</v>
      </c>
      <c r="B90" s="94">
        <v>45689</v>
      </c>
      <c r="C90" s="37" t="s">
        <v>592</v>
      </c>
      <c r="D90" s="94">
        <v>45690</v>
      </c>
      <c r="E90" s="37" t="s">
        <v>690</v>
      </c>
      <c r="F90" s="101">
        <f t="shared" si="3"/>
        <v>0.65208333333430346</v>
      </c>
    </row>
    <row r="91" spans="1:6" x14ac:dyDescent="0.25">
      <c r="A91" s="37" t="s">
        <v>163</v>
      </c>
      <c r="B91" s="94">
        <v>45689</v>
      </c>
      <c r="C91" s="37" t="s">
        <v>595</v>
      </c>
      <c r="D91" s="94">
        <v>45690</v>
      </c>
      <c r="E91" s="37" t="s">
        <v>694</v>
      </c>
      <c r="F91" s="101">
        <f t="shared" si="3"/>
        <v>0.66111111111240461</v>
      </c>
    </row>
    <row r="92" spans="1:6" x14ac:dyDescent="0.25">
      <c r="A92" s="37" t="s">
        <v>164</v>
      </c>
      <c r="B92" s="94">
        <v>45689</v>
      </c>
      <c r="C92" s="37" t="s">
        <v>595</v>
      </c>
      <c r="D92" s="94">
        <v>45690</v>
      </c>
      <c r="E92" s="37" t="s">
        <v>696</v>
      </c>
      <c r="F92" s="101">
        <f t="shared" si="3"/>
        <v>0.66527777777810115</v>
      </c>
    </row>
    <row r="93" spans="1:6" x14ac:dyDescent="0.25">
      <c r="A93" s="37" t="s">
        <v>265</v>
      </c>
      <c r="B93" s="94">
        <v>45689</v>
      </c>
      <c r="C93" s="37" t="s">
        <v>595</v>
      </c>
      <c r="D93" s="94">
        <v>45689</v>
      </c>
      <c r="E93" s="37" t="s">
        <v>634</v>
      </c>
      <c r="F93" s="101">
        <f t="shared" si="3"/>
        <v>0.32847222222335404</v>
      </c>
    </row>
    <row r="94" spans="1:6" x14ac:dyDescent="0.25">
      <c r="A94" s="37" t="s">
        <v>168</v>
      </c>
      <c r="B94" s="94">
        <v>45689</v>
      </c>
      <c r="C94" s="37" t="s">
        <v>604</v>
      </c>
      <c r="D94" s="94">
        <v>45690</v>
      </c>
      <c r="E94" s="37" t="s">
        <v>703</v>
      </c>
      <c r="F94" s="101">
        <f t="shared" si="3"/>
        <v>0.67638888888905058</v>
      </c>
    </row>
    <row r="95" spans="1:6" x14ac:dyDescent="0.25">
      <c r="A95" s="37" t="s">
        <v>170</v>
      </c>
      <c r="B95" s="94">
        <v>45689</v>
      </c>
      <c r="C95" s="37" t="s">
        <v>607</v>
      </c>
      <c r="D95" s="94">
        <v>45689</v>
      </c>
      <c r="E95" s="37" t="s">
        <v>672</v>
      </c>
      <c r="F95" s="101">
        <f t="shared" si="3"/>
        <v>0.54236111111094942</v>
      </c>
    </row>
    <row r="96" spans="1:6" x14ac:dyDescent="0.25">
      <c r="A96" s="37" t="s">
        <v>202</v>
      </c>
      <c r="B96" s="94">
        <v>45689</v>
      </c>
      <c r="C96" s="37" t="s">
        <v>269</v>
      </c>
      <c r="D96" s="94">
        <v>45689</v>
      </c>
      <c r="E96" s="37" t="s">
        <v>674</v>
      </c>
      <c r="F96" s="101">
        <f t="shared" si="3"/>
        <v>0.53541666666569654</v>
      </c>
    </row>
    <row r="97" spans="1:7" x14ac:dyDescent="0.25">
      <c r="A97" s="37" t="s">
        <v>175</v>
      </c>
      <c r="B97" s="94">
        <v>45689</v>
      </c>
      <c r="C97" s="37" t="s">
        <v>610</v>
      </c>
      <c r="D97" s="94">
        <v>45690</v>
      </c>
      <c r="E97" s="37" t="s">
        <v>241</v>
      </c>
      <c r="F97" s="101">
        <f t="shared" si="3"/>
        <v>0.73750000000291038</v>
      </c>
      <c r="G97" s="37" t="s">
        <v>9</v>
      </c>
    </row>
    <row r="98" spans="1:7" x14ac:dyDescent="0.25">
      <c r="A98" s="37" t="s">
        <v>154</v>
      </c>
      <c r="B98" s="94">
        <v>45689</v>
      </c>
      <c r="C98" s="37" t="s">
        <v>612</v>
      </c>
      <c r="D98" s="94">
        <v>45698</v>
      </c>
      <c r="E98" s="37" t="s">
        <v>221</v>
      </c>
      <c r="F98" s="101">
        <f t="shared" si="3"/>
        <v>8.8798611111124046</v>
      </c>
    </row>
    <row r="99" spans="1:7" x14ac:dyDescent="0.25">
      <c r="A99" s="37" t="s">
        <v>251</v>
      </c>
      <c r="B99" s="94">
        <v>45689</v>
      </c>
      <c r="C99" s="37" t="s">
        <v>233</v>
      </c>
      <c r="D99" s="94">
        <v>45689</v>
      </c>
      <c r="E99" s="37" t="s">
        <v>667</v>
      </c>
      <c r="F99" s="101">
        <f t="shared" si="3"/>
        <v>0.51388888889050577</v>
      </c>
    </row>
    <row r="100" spans="1:7" x14ac:dyDescent="0.25">
      <c r="A100" s="37" t="s">
        <v>302</v>
      </c>
      <c r="B100" s="94">
        <v>45689</v>
      </c>
      <c r="C100" s="37" t="s">
        <v>216</v>
      </c>
      <c r="D100" s="94">
        <v>45689</v>
      </c>
      <c r="E100" s="37" t="s">
        <v>664</v>
      </c>
      <c r="F100" s="101">
        <f t="shared" si="3"/>
        <v>0.49166666666860692</v>
      </c>
    </row>
    <row r="101" spans="1:7" x14ac:dyDescent="0.25">
      <c r="A101" s="37" t="s">
        <v>252</v>
      </c>
      <c r="B101" s="94">
        <v>45689</v>
      </c>
      <c r="C101" s="37" t="s">
        <v>616</v>
      </c>
      <c r="D101" s="94">
        <v>45689</v>
      </c>
      <c r="E101" s="37" t="s">
        <v>218</v>
      </c>
      <c r="F101" s="101">
        <f t="shared" si="3"/>
        <v>0.14166666666278616</v>
      </c>
    </row>
    <row r="102" spans="1:7" x14ac:dyDescent="0.25">
      <c r="A102" s="37" t="s">
        <v>144</v>
      </c>
      <c r="B102" s="94">
        <v>45689</v>
      </c>
      <c r="C102" s="37" t="s">
        <v>618</v>
      </c>
      <c r="D102" s="94">
        <v>45689</v>
      </c>
      <c r="E102" s="37" t="s">
        <v>627</v>
      </c>
      <c r="F102" s="101">
        <f t="shared" si="3"/>
        <v>0.12013888888759539</v>
      </c>
    </row>
    <row r="103" spans="1:7" x14ac:dyDescent="0.25">
      <c r="A103" s="37" t="s">
        <v>160</v>
      </c>
      <c r="B103" s="94">
        <v>45689</v>
      </c>
      <c r="C103" s="37" t="s">
        <v>156</v>
      </c>
      <c r="D103" s="94">
        <v>45689</v>
      </c>
      <c r="E103" s="37" t="s">
        <v>682</v>
      </c>
      <c r="F103" s="101">
        <f t="shared" ref="F103:F134" si="4">(D103 + TIME(LEFT(E103, 2), MID(E103, 3, 2), 0)) - (B103 + TIME(LEFT(C103, 2), MID(C103, 3, 2), 0))</f>
        <v>0.50069444444670808</v>
      </c>
    </row>
    <row r="104" spans="1:7" x14ac:dyDescent="0.25">
      <c r="A104" s="37" t="s">
        <v>272</v>
      </c>
      <c r="B104" s="94">
        <v>45689</v>
      </c>
      <c r="C104" s="37" t="s">
        <v>622</v>
      </c>
      <c r="D104" s="94">
        <v>45689</v>
      </c>
      <c r="E104" s="37" t="s">
        <v>647</v>
      </c>
      <c r="F104" s="101">
        <f t="shared" si="4"/>
        <v>0.18819444443943212</v>
      </c>
    </row>
    <row r="105" spans="1:7" x14ac:dyDescent="0.25">
      <c r="A105" s="37" t="s">
        <v>273</v>
      </c>
      <c r="B105" s="94">
        <v>45689</v>
      </c>
      <c r="C105" s="37" t="s">
        <v>624</v>
      </c>
      <c r="D105" s="94">
        <v>45689</v>
      </c>
      <c r="E105" s="37" t="s">
        <v>641</v>
      </c>
      <c r="F105" s="101">
        <f t="shared" si="4"/>
        <v>0.16944444444379769</v>
      </c>
    </row>
    <row r="106" spans="1:7" x14ac:dyDescent="0.25">
      <c r="A106" s="37" t="s">
        <v>144</v>
      </c>
      <c r="B106" s="94">
        <v>45689</v>
      </c>
      <c r="C106" s="37" t="s">
        <v>627</v>
      </c>
      <c r="D106" s="94">
        <v>45689</v>
      </c>
      <c r="E106" s="37" t="s">
        <v>630</v>
      </c>
      <c r="F106" s="101">
        <f t="shared" si="4"/>
        <v>4.5833333329937886E-2</v>
      </c>
      <c r="G106" s="37" t="s">
        <v>9</v>
      </c>
    </row>
    <row r="107" spans="1:7" x14ac:dyDescent="0.25">
      <c r="A107" s="37" t="s">
        <v>252</v>
      </c>
      <c r="B107" s="94">
        <v>45689</v>
      </c>
      <c r="C107" s="37" t="s">
        <v>629</v>
      </c>
      <c r="D107" s="94">
        <v>45689</v>
      </c>
      <c r="E107" s="37" t="s">
        <v>658</v>
      </c>
      <c r="F107" s="101">
        <f t="shared" si="4"/>
        <v>0.25</v>
      </c>
    </row>
    <row r="108" spans="1:7" x14ac:dyDescent="0.25">
      <c r="A108" s="37" t="s">
        <v>144</v>
      </c>
      <c r="B108" s="94">
        <v>45689</v>
      </c>
      <c r="C108" s="37" t="s">
        <v>630</v>
      </c>
      <c r="D108" s="94">
        <v>45689</v>
      </c>
      <c r="E108" s="37" t="s">
        <v>632</v>
      </c>
      <c r="F108" s="101">
        <f t="shared" si="4"/>
        <v>6.805555555911269E-2</v>
      </c>
    </row>
    <row r="109" spans="1:7" x14ac:dyDescent="0.25">
      <c r="A109" s="37" t="s">
        <v>260</v>
      </c>
      <c r="B109" s="94">
        <v>45689</v>
      </c>
      <c r="C109" s="37" t="s">
        <v>634</v>
      </c>
      <c r="D109" s="94">
        <v>45691</v>
      </c>
      <c r="E109" s="37" t="s">
        <v>929</v>
      </c>
      <c r="F109" s="101">
        <f t="shared" si="4"/>
        <v>1.6236111111138598</v>
      </c>
    </row>
    <row r="110" spans="1:7" x14ac:dyDescent="0.25">
      <c r="A110" s="37" t="s">
        <v>263</v>
      </c>
      <c r="B110" s="94">
        <v>45689</v>
      </c>
      <c r="C110" s="37" t="s">
        <v>634</v>
      </c>
      <c r="D110" s="94">
        <v>45689</v>
      </c>
      <c r="E110" s="37" t="s">
        <v>643</v>
      </c>
      <c r="F110" s="101">
        <f t="shared" si="4"/>
        <v>1.6666666662786156E-2</v>
      </c>
    </row>
    <row r="111" spans="1:7" x14ac:dyDescent="0.25">
      <c r="A111" s="37" t="s">
        <v>264</v>
      </c>
      <c r="B111" s="94">
        <v>45689</v>
      </c>
      <c r="C111" s="37" t="s">
        <v>634</v>
      </c>
      <c r="D111" s="94">
        <v>45690</v>
      </c>
      <c r="E111" s="37" t="s">
        <v>709</v>
      </c>
      <c r="F111" s="101">
        <f t="shared" si="4"/>
        <v>0.40763888888614019</v>
      </c>
    </row>
    <row r="112" spans="1:7" x14ac:dyDescent="0.25">
      <c r="A112" s="37" t="s">
        <v>261</v>
      </c>
      <c r="B112" s="94">
        <v>45689</v>
      </c>
      <c r="C112" s="37" t="s">
        <v>634</v>
      </c>
      <c r="D112" s="94">
        <v>45691</v>
      </c>
      <c r="E112" s="37" t="s">
        <v>234</v>
      </c>
      <c r="F112" s="101">
        <f t="shared" si="4"/>
        <v>1.6374999999970896</v>
      </c>
    </row>
    <row r="113" spans="1:8" x14ac:dyDescent="0.25">
      <c r="A113" s="37" t="s">
        <v>262</v>
      </c>
      <c r="B113" s="94">
        <v>45689</v>
      </c>
      <c r="C113" s="37" t="s">
        <v>634</v>
      </c>
      <c r="D113" s="94">
        <v>45691</v>
      </c>
      <c r="E113" s="37" t="s">
        <v>234</v>
      </c>
      <c r="F113" s="101">
        <f t="shared" si="4"/>
        <v>1.6374999999970896</v>
      </c>
    </row>
    <row r="114" spans="1:8" x14ac:dyDescent="0.25">
      <c r="A114" s="37" t="s">
        <v>155</v>
      </c>
      <c r="B114" s="94">
        <v>45689</v>
      </c>
      <c r="C114" s="37" t="s">
        <v>526</v>
      </c>
      <c r="D114" s="94">
        <v>45690</v>
      </c>
      <c r="E114" s="37" t="s">
        <v>711</v>
      </c>
      <c r="F114" s="101">
        <f t="shared" si="4"/>
        <v>0.41736111111094942</v>
      </c>
    </row>
    <row r="115" spans="1:8" x14ac:dyDescent="0.25">
      <c r="A115" s="37" t="s">
        <v>263</v>
      </c>
      <c r="B115" s="94">
        <v>45689</v>
      </c>
      <c r="C115" s="37" t="s">
        <v>649</v>
      </c>
      <c r="D115" s="94">
        <v>45690</v>
      </c>
      <c r="E115" s="37" t="s">
        <v>698</v>
      </c>
      <c r="F115" s="101">
        <f t="shared" si="4"/>
        <v>0.28819444444525288</v>
      </c>
    </row>
    <row r="116" spans="1:8" x14ac:dyDescent="0.25">
      <c r="A116" s="37" t="s">
        <v>272</v>
      </c>
      <c r="B116" s="94">
        <v>45689</v>
      </c>
      <c r="C116" s="37" t="s">
        <v>650</v>
      </c>
      <c r="D116" s="94">
        <v>45689</v>
      </c>
      <c r="E116" s="37" t="s">
        <v>662</v>
      </c>
      <c r="F116" s="101">
        <f t="shared" si="4"/>
        <v>0.14583333333575865</v>
      </c>
    </row>
    <row r="117" spans="1:8" x14ac:dyDescent="0.25">
      <c r="A117" s="37" t="s">
        <v>273</v>
      </c>
      <c r="B117" s="94">
        <v>45689</v>
      </c>
      <c r="C117" s="37" t="s">
        <v>651</v>
      </c>
      <c r="D117" s="94">
        <v>45689</v>
      </c>
      <c r="E117" s="37" t="s">
        <v>664</v>
      </c>
      <c r="F117" s="101">
        <f t="shared" si="4"/>
        <v>0.15000000000145519</v>
      </c>
    </row>
    <row r="118" spans="1:8" x14ac:dyDescent="0.25">
      <c r="A118" s="37" t="s">
        <v>144</v>
      </c>
      <c r="B118" s="94">
        <v>45689</v>
      </c>
      <c r="C118" s="37" t="s">
        <v>652</v>
      </c>
      <c r="D118" s="94">
        <v>45689</v>
      </c>
      <c r="E118" s="37" t="s">
        <v>660</v>
      </c>
      <c r="F118" s="101">
        <f t="shared" si="4"/>
        <v>0.11666666666860692</v>
      </c>
    </row>
    <row r="119" spans="1:8" x14ac:dyDescent="0.25">
      <c r="A119" s="37" t="s">
        <v>268</v>
      </c>
      <c r="B119" s="94">
        <v>45689</v>
      </c>
      <c r="C119" s="37" t="s">
        <v>654</v>
      </c>
      <c r="D119" s="94">
        <v>45689</v>
      </c>
      <c r="E119" s="37" t="s">
        <v>656</v>
      </c>
      <c r="F119" s="101">
        <f t="shared" si="4"/>
        <v>3.125E-2</v>
      </c>
    </row>
    <row r="120" spans="1:8" x14ac:dyDescent="0.25">
      <c r="A120" s="37" t="s">
        <v>166</v>
      </c>
      <c r="B120" s="94">
        <v>45689</v>
      </c>
      <c r="C120" s="37" t="s">
        <v>680</v>
      </c>
      <c r="D120" s="94">
        <v>45690</v>
      </c>
      <c r="E120" s="37" t="s">
        <v>167</v>
      </c>
      <c r="F120" s="101">
        <f t="shared" si="4"/>
        <v>0.50069444444670808</v>
      </c>
    </row>
    <row r="121" spans="1:8" x14ac:dyDescent="0.25">
      <c r="A121" s="37" t="s">
        <v>165</v>
      </c>
      <c r="B121" s="94">
        <v>45690</v>
      </c>
      <c r="C121" s="37" t="s">
        <v>700</v>
      </c>
      <c r="D121" s="94">
        <v>45690</v>
      </c>
      <c r="E121" s="37" t="s">
        <v>754</v>
      </c>
      <c r="F121" s="101">
        <f t="shared" si="4"/>
        <v>0.37152777777373558</v>
      </c>
    </row>
    <row r="122" spans="1:8" x14ac:dyDescent="0.25">
      <c r="A122" s="37" t="s">
        <v>175</v>
      </c>
      <c r="B122" s="94">
        <v>45690</v>
      </c>
      <c r="C122" s="37" t="s">
        <v>241</v>
      </c>
      <c r="D122" s="94">
        <v>45690</v>
      </c>
      <c r="E122" s="37" t="s">
        <v>706</v>
      </c>
      <c r="F122" s="101">
        <f t="shared" si="4"/>
        <v>7.013888889196096E-2</v>
      </c>
      <c r="H122" s="95" t="s">
        <v>705</v>
      </c>
    </row>
    <row r="123" spans="1:8" x14ac:dyDescent="0.25">
      <c r="A123" s="37" t="s">
        <v>175</v>
      </c>
      <c r="B123" s="94">
        <v>45690</v>
      </c>
      <c r="C123" s="37" t="s">
        <v>706</v>
      </c>
      <c r="D123" s="94">
        <v>45690</v>
      </c>
      <c r="E123" s="37" t="s">
        <v>734</v>
      </c>
      <c r="F123" s="101">
        <f t="shared" si="4"/>
        <v>0.20069444444379769</v>
      </c>
      <c r="G123" s="37" t="s">
        <v>9</v>
      </c>
      <c r="H123" s="95" t="s">
        <v>708</v>
      </c>
    </row>
    <row r="124" spans="1:8" x14ac:dyDescent="0.25">
      <c r="A124" s="37" t="s">
        <v>170</v>
      </c>
      <c r="B124" s="94">
        <v>45690</v>
      </c>
      <c r="C124" s="37" t="s">
        <v>713</v>
      </c>
      <c r="D124" s="94">
        <v>45690</v>
      </c>
      <c r="E124" s="37" t="s">
        <v>726</v>
      </c>
      <c r="F124" s="101">
        <f t="shared" si="4"/>
        <v>6.1111111113859806E-2</v>
      </c>
    </row>
    <row r="125" spans="1:8" x14ac:dyDescent="0.25">
      <c r="A125" s="37" t="s">
        <v>174</v>
      </c>
      <c r="B125" s="94">
        <v>45690</v>
      </c>
      <c r="C125" s="37" t="s">
        <v>713</v>
      </c>
      <c r="D125" s="94">
        <v>45690</v>
      </c>
      <c r="E125" s="37" t="s">
        <v>748</v>
      </c>
      <c r="F125" s="101">
        <f t="shared" si="4"/>
        <v>0.17291666667006211</v>
      </c>
    </row>
    <row r="126" spans="1:8" x14ac:dyDescent="0.25">
      <c r="A126" s="37" t="s">
        <v>172</v>
      </c>
      <c r="B126" s="94">
        <v>45690</v>
      </c>
      <c r="C126" s="37" t="s">
        <v>713</v>
      </c>
      <c r="D126" s="94">
        <v>45690</v>
      </c>
      <c r="E126" s="37" t="s">
        <v>750</v>
      </c>
      <c r="F126" s="101">
        <f t="shared" si="4"/>
        <v>0.17638888888905058</v>
      </c>
    </row>
    <row r="127" spans="1:8" x14ac:dyDescent="0.25">
      <c r="A127" s="37" t="s">
        <v>202</v>
      </c>
      <c r="B127" s="94">
        <v>45690</v>
      </c>
      <c r="C127" s="37" t="s">
        <v>713</v>
      </c>
      <c r="D127" s="94">
        <v>45690</v>
      </c>
      <c r="E127" s="37" t="s">
        <v>230</v>
      </c>
      <c r="F127" s="101">
        <f t="shared" si="4"/>
        <v>0.1472222222291748</v>
      </c>
    </row>
    <row r="128" spans="1:8" x14ac:dyDescent="0.25">
      <c r="A128" s="37" t="s">
        <v>177</v>
      </c>
      <c r="B128" s="94">
        <v>45690</v>
      </c>
      <c r="C128" s="37" t="s">
        <v>713</v>
      </c>
      <c r="D128" s="94">
        <v>45690</v>
      </c>
      <c r="E128" s="37" t="s">
        <v>752</v>
      </c>
      <c r="F128" s="101">
        <f t="shared" si="4"/>
        <v>0.18125000000145519</v>
      </c>
    </row>
    <row r="129" spans="1:6" x14ac:dyDescent="0.25">
      <c r="A129" s="37" t="s">
        <v>160</v>
      </c>
      <c r="B129" s="94">
        <v>45690</v>
      </c>
      <c r="C129" s="37" t="s">
        <v>245</v>
      </c>
      <c r="D129" s="94">
        <v>45690</v>
      </c>
      <c r="E129" s="37" t="s">
        <v>528</v>
      </c>
      <c r="F129" s="101">
        <f t="shared" si="4"/>
        <v>0.49583333333430346</v>
      </c>
    </row>
    <row r="130" spans="1:6" x14ac:dyDescent="0.25">
      <c r="A130" s="37" t="s">
        <v>178</v>
      </c>
      <c r="B130" s="94">
        <v>45690</v>
      </c>
      <c r="C130" s="37" t="s">
        <v>724</v>
      </c>
      <c r="D130" s="94">
        <v>45690</v>
      </c>
      <c r="E130" s="37" t="s">
        <v>771</v>
      </c>
      <c r="F130" s="101">
        <f t="shared" si="4"/>
        <v>0.17152777777664596</v>
      </c>
    </row>
    <row r="131" spans="1:6" x14ac:dyDescent="0.25">
      <c r="A131" s="37" t="s">
        <v>161</v>
      </c>
      <c r="B131" s="94">
        <v>45690</v>
      </c>
      <c r="C131" s="37" t="s">
        <v>219</v>
      </c>
      <c r="D131" s="94">
        <v>45690</v>
      </c>
      <c r="E131" s="37" t="s">
        <v>821</v>
      </c>
      <c r="F131" s="101">
        <f t="shared" si="4"/>
        <v>0.38125000000582077</v>
      </c>
    </row>
    <row r="132" spans="1:6" x14ac:dyDescent="0.25">
      <c r="A132" s="37" t="s">
        <v>157</v>
      </c>
      <c r="B132" s="94">
        <v>45690</v>
      </c>
      <c r="C132" s="37" t="s">
        <v>729</v>
      </c>
      <c r="D132" s="94">
        <v>45690</v>
      </c>
      <c r="E132" s="37" t="s">
        <v>754</v>
      </c>
      <c r="F132" s="101">
        <f t="shared" si="4"/>
        <v>8.611111110803904E-2</v>
      </c>
    </row>
    <row r="133" spans="1:6" x14ac:dyDescent="0.25">
      <c r="A133" s="37" t="s">
        <v>263</v>
      </c>
      <c r="B133" s="94">
        <v>45690</v>
      </c>
      <c r="C133" s="37" t="s">
        <v>581</v>
      </c>
      <c r="D133" s="94">
        <v>45690</v>
      </c>
      <c r="E133" s="37" t="s">
        <v>823</v>
      </c>
      <c r="F133" s="101">
        <f t="shared" si="4"/>
        <v>0.32986111110949423</v>
      </c>
    </row>
    <row r="134" spans="1:6" x14ac:dyDescent="0.25">
      <c r="A134" s="37" t="s">
        <v>162</v>
      </c>
      <c r="B134" s="94">
        <v>45690</v>
      </c>
      <c r="C134" s="37" t="s">
        <v>733</v>
      </c>
      <c r="D134" s="94">
        <v>45690</v>
      </c>
      <c r="E134" s="37" t="s">
        <v>826</v>
      </c>
      <c r="F134" s="101">
        <f t="shared" si="4"/>
        <v>0.35347222222480923</v>
      </c>
    </row>
    <row r="135" spans="1:6" x14ac:dyDescent="0.25">
      <c r="A135" s="37" t="s">
        <v>173</v>
      </c>
      <c r="B135" s="94">
        <v>45690</v>
      </c>
      <c r="C135" s="37" t="s">
        <v>737</v>
      </c>
      <c r="D135" s="94">
        <v>45690</v>
      </c>
      <c r="E135" s="37" t="s">
        <v>860</v>
      </c>
      <c r="F135" s="101">
        <f t="shared" ref="F135:F159" si="5">(D135 + TIME(LEFT(E135, 2), MID(E135, 3, 2), 0)) - (B135 + TIME(LEFT(C135, 2), MID(C135, 3, 2), 0))</f>
        <v>0.56527777777955635</v>
      </c>
    </row>
    <row r="136" spans="1:6" x14ac:dyDescent="0.25">
      <c r="A136" s="37" t="s">
        <v>186</v>
      </c>
      <c r="B136" s="94">
        <v>45690</v>
      </c>
      <c r="C136" s="37" t="s">
        <v>739</v>
      </c>
      <c r="D136" s="94">
        <v>45691</v>
      </c>
      <c r="E136" s="37" t="s">
        <v>904</v>
      </c>
      <c r="F136" s="101">
        <f t="shared" si="5"/>
        <v>0.80902777778101154</v>
      </c>
    </row>
    <row r="137" spans="1:6" x14ac:dyDescent="0.25">
      <c r="A137" s="37" t="s">
        <v>163</v>
      </c>
      <c r="B137" s="94">
        <v>45690</v>
      </c>
      <c r="C137" s="37" t="s">
        <v>741</v>
      </c>
      <c r="D137" s="94">
        <v>45690</v>
      </c>
      <c r="E137" s="37" t="s">
        <v>862</v>
      </c>
      <c r="F137" s="101">
        <f t="shared" si="5"/>
        <v>0.56874999999854481</v>
      </c>
    </row>
    <row r="138" spans="1:6" x14ac:dyDescent="0.25">
      <c r="A138" s="37" t="s">
        <v>202</v>
      </c>
      <c r="B138" s="94">
        <v>45690</v>
      </c>
      <c r="C138" s="37" t="s">
        <v>744</v>
      </c>
      <c r="D138" s="94">
        <v>45690</v>
      </c>
      <c r="E138" s="37" t="s">
        <v>595</v>
      </c>
      <c r="F138" s="101">
        <f t="shared" si="5"/>
        <v>1.7361111109494232E-2</v>
      </c>
    </row>
    <row r="139" spans="1:6" x14ac:dyDescent="0.25">
      <c r="A139" s="37" t="s">
        <v>164</v>
      </c>
      <c r="B139" s="94">
        <v>45690</v>
      </c>
      <c r="C139" s="37" t="s">
        <v>746</v>
      </c>
      <c r="D139" s="94">
        <v>45690</v>
      </c>
      <c r="E139" s="37" t="s">
        <v>864</v>
      </c>
      <c r="F139" s="101">
        <f t="shared" si="5"/>
        <v>0.55694444444088731</v>
      </c>
    </row>
    <row r="140" spans="1:6" x14ac:dyDescent="0.25">
      <c r="A140" s="37" t="s">
        <v>273</v>
      </c>
      <c r="B140" s="94">
        <v>45690</v>
      </c>
      <c r="C140" s="37" t="s">
        <v>754</v>
      </c>
      <c r="D140" s="94">
        <v>45690</v>
      </c>
      <c r="E140" s="37" t="s">
        <v>765</v>
      </c>
      <c r="F140" s="101">
        <f t="shared" si="5"/>
        <v>2.0833333335758653E-2</v>
      </c>
    </row>
    <row r="141" spans="1:6" x14ac:dyDescent="0.25">
      <c r="A141" s="37" t="s">
        <v>252</v>
      </c>
      <c r="B141" s="94">
        <v>45690</v>
      </c>
      <c r="C141" s="37" t="s">
        <v>754</v>
      </c>
      <c r="D141" s="94">
        <v>45690</v>
      </c>
      <c r="E141" s="37" t="s">
        <v>767</v>
      </c>
      <c r="F141" s="101">
        <f t="shared" si="5"/>
        <v>2.1527777782466728E-2</v>
      </c>
    </row>
    <row r="142" spans="1:6" x14ac:dyDescent="0.25">
      <c r="A142" s="37" t="s">
        <v>202</v>
      </c>
      <c r="B142" s="94">
        <v>45690</v>
      </c>
      <c r="C142" s="37" t="s">
        <v>754</v>
      </c>
      <c r="D142" s="94">
        <v>45690</v>
      </c>
      <c r="E142" s="37" t="s">
        <v>804</v>
      </c>
      <c r="F142" s="101">
        <f t="shared" si="5"/>
        <v>0.22916666667151731</v>
      </c>
    </row>
    <row r="143" spans="1:6" x14ac:dyDescent="0.25">
      <c r="A143" s="37" t="s">
        <v>174</v>
      </c>
      <c r="B143" s="94">
        <v>45690</v>
      </c>
      <c r="C143" s="37" t="s">
        <v>754</v>
      </c>
      <c r="D143" s="94">
        <v>45690</v>
      </c>
      <c r="E143" s="37" t="s">
        <v>283</v>
      </c>
      <c r="F143" s="101">
        <f t="shared" si="5"/>
        <v>0.58402777778246673</v>
      </c>
    </row>
    <row r="144" spans="1:6" x14ac:dyDescent="0.25">
      <c r="A144" s="37" t="s">
        <v>172</v>
      </c>
      <c r="B144" s="94">
        <v>45690</v>
      </c>
      <c r="C144" s="37" t="s">
        <v>754</v>
      </c>
      <c r="D144" s="94">
        <v>45690</v>
      </c>
      <c r="E144" s="37" t="s">
        <v>870</v>
      </c>
      <c r="F144" s="101">
        <f t="shared" si="5"/>
        <v>0.56805555555911269</v>
      </c>
    </row>
    <row r="145" spans="1:7" x14ac:dyDescent="0.25">
      <c r="A145" s="37" t="s">
        <v>168</v>
      </c>
      <c r="B145" s="94">
        <v>45690</v>
      </c>
      <c r="C145" s="37" t="s">
        <v>754</v>
      </c>
      <c r="D145" s="94">
        <v>45690</v>
      </c>
      <c r="E145" s="37" t="s">
        <v>867</v>
      </c>
      <c r="F145" s="101">
        <f t="shared" si="5"/>
        <v>0.54722222222335404</v>
      </c>
    </row>
    <row r="146" spans="1:7" x14ac:dyDescent="0.25">
      <c r="A146" s="37" t="s">
        <v>177</v>
      </c>
      <c r="B146" s="94">
        <v>45690</v>
      </c>
      <c r="C146" s="37" t="s">
        <v>754</v>
      </c>
      <c r="D146" s="94">
        <v>45690</v>
      </c>
      <c r="E146" s="37" t="s">
        <v>802</v>
      </c>
      <c r="F146" s="101">
        <f t="shared" si="5"/>
        <v>0.22708333333139308</v>
      </c>
    </row>
    <row r="147" spans="1:7" x14ac:dyDescent="0.25">
      <c r="A147" s="37" t="s">
        <v>170</v>
      </c>
      <c r="B147" s="94">
        <v>45690</v>
      </c>
      <c r="C147" s="37" t="s">
        <v>754</v>
      </c>
      <c r="D147" s="94">
        <v>45690</v>
      </c>
      <c r="E147" s="37" t="s">
        <v>519</v>
      </c>
      <c r="F147" s="101">
        <f t="shared" si="5"/>
        <v>0.5506944444423425</v>
      </c>
    </row>
    <row r="148" spans="1:7" x14ac:dyDescent="0.25">
      <c r="A148" s="37" t="s">
        <v>157</v>
      </c>
      <c r="B148" s="94">
        <v>45690</v>
      </c>
      <c r="C148" s="37" t="s">
        <v>754</v>
      </c>
      <c r="D148" s="94">
        <v>45693</v>
      </c>
      <c r="E148" s="37" t="s">
        <v>1232</v>
      </c>
      <c r="F148" s="101">
        <f t="shared" si="5"/>
        <v>2.7847222222262644</v>
      </c>
      <c r="G148" s="37" t="s">
        <v>9</v>
      </c>
    </row>
    <row r="149" spans="1:7" x14ac:dyDescent="0.25">
      <c r="A149" s="37" t="s">
        <v>302</v>
      </c>
      <c r="B149" s="94">
        <v>45690</v>
      </c>
      <c r="C149" s="37" t="s">
        <v>761</v>
      </c>
      <c r="D149" s="94">
        <v>45690</v>
      </c>
      <c r="E149" s="37" t="s">
        <v>761</v>
      </c>
      <c r="F149" s="101">
        <f t="shared" si="5"/>
        <v>0</v>
      </c>
    </row>
    <row r="150" spans="1:7" x14ac:dyDescent="0.25">
      <c r="A150" s="37" t="s">
        <v>302</v>
      </c>
      <c r="B150" s="94">
        <v>45690</v>
      </c>
      <c r="C150" s="37" t="s">
        <v>764</v>
      </c>
      <c r="D150" s="94">
        <v>45690</v>
      </c>
      <c r="E150" s="37" t="s">
        <v>839</v>
      </c>
      <c r="F150" s="101">
        <f t="shared" si="5"/>
        <v>0.36527777777519077</v>
      </c>
    </row>
    <row r="151" spans="1:7" x14ac:dyDescent="0.25">
      <c r="A151" s="37" t="s">
        <v>251</v>
      </c>
      <c r="B151" s="94">
        <v>45690</v>
      </c>
      <c r="C151" s="37" t="s">
        <v>754</v>
      </c>
      <c r="D151" s="94">
        <v>45690</v>
      </c>
      <c r="E151" s="37" t="s">
        <v>770</v>
      </c>
      <c r="F151" s="101">
        <f t="shared" si="5"/>
        <v>2.5000000001455192E-2</v>
      </c>
    </row>
    <row r="152" spans="1:7" x14ac:dyDescent="0.25">
      <c r="A152" s="37" t="s">
        <v>155</v>
      </c>
      <c r="B152" s="94">
        <v>45690</v>
      </c>
      <c r="C152" s="37" t="s">
        <v>156</v>
      </c>
      <c r="D152" s="94">
        <v>45690</v>
      </c>
      <c r="E152" s="37" t="s">
        <v>680</v>
      </c>
      <c r="F152" s="101">
        <f t="shared" si="5"/>
        <v>0.5</v>
      </c>
    </row>
    <row r="153" spans="1:7" x14ac:dyDescent="0.25">
      <c r="A153" s="37" t="s">
        <v>178</v>
      </c>
      <c r="B153" s="94">
        <v>45690</v>
      </c>
      <c r="C153" s="37" t="s">
        <v>776</v>
      </c>
      <c r="D153" s="94">
        <v>45690</v>
      </c>
      <c r="E153" s="37" t="s">
        <v>806</v>
      </c>
      <c r="F153" s="101">
        <f t="shared" si="5"/>
        <v>8.8194444448163267E-2</v>
      </c>
    </row>
    <row r="154" spans="1:7" x14ac:dyDescent="0.25">
      <c r="A154" s="37" t="s">
        <v>251</v>
      </c>
      <c r="B154" s="94">
        <v>45690</v>
      </c>
      <c r="C154" s="37" t="s">
        <v>778</v>
      </c>
      <c r="D154" s="94">
        <v>45690</v>
      </c>
      <c r="E154" s="37" t="s">
        <v>795</v>
      </c>
      <c r="F154" s="101">
        <f t="shared" si="5"/>
        <v>4.9999999995634425E-2</v>
      </c>
    </row>
    <row r="155" spans="1:7" x14ac:dyDescent="0.25">
      <c r="A155" s="37" t="s">
        <v>252</v>
      </c>
      <c r="B155" s="94">
        <v>45690</v>
      </c>
      <c r="C155" s="37" t="s">
        <v>780</v>
      </c>
      <c r="D155" s="94">
        <v>45690</v>
      </c>
      <c r="E155" s="37" t="s">
        <v>782</v>
      </c>
      <c r="F155" s="101">
        <f t="shared" si="5"/>
        <v>7.6388888919609599E-3</v>
      </c>
    </row>
    <row r="156" spans="1:7" x14ac:dyDescent="0.25">
      <c r="A156" s="37" t="s">
        <v>159</v>
      </c>
      <c r="B156" s="94">
        <v>45690</v>
      </c>
      <c r="C156" s="37" t="s">
        <v>784</v>
      </c>
      <c r="D156" s="94">
        <v>45690</v>
      </c>
      <c r="E156" s="37" t="s">
        <v>787</v>
      </c>
      <c r="F156" s="101">
        <f t="shared" si="5"/>
        <v>1.1805555557657499E-2</v>
      </c>
    </row>
    <row r="157" spans="1:7" x14ac:dyDescent="0.25">
      <c r="A157" s="37" t="s">
        <v>169</v>
      </c>
      <c r="B157" s="94">
        <v>45690</v>
      </c>
      <c r="C157" s="37" t="s">
        <v>784</v>
      </c>
      <c r="D157" s="94">
        <v>45690</v>
      </c>
      <c r="E157" s="37" t="s">
        <v>784</v>
      </c>
      <c r="F157" s="101">
        <f t="shared" si="5"/>
        <v>0</v>
      </c>
    </row>
    <row r="158" spans="1:7" x14ac:dyDescent="0.25">
      <c r="A158" s="37" t="s">
        <v>273</v>
      </c>
      <c r="B158" s="94">
        <v>45690</v>
      </c>
      <c r="C158" s="37" t="s">
        <v>788</v>
      </c>
      <c r="D158" s="94">
        <v>45690</v>
      </c>
      <c r="E158" s="37" t="s">
        <v>790</v>
      </c>
      <c r="F158" s="101">
        <f t="shared" si="5"/>
        <v>7.6388888846850023E-3</v>
      </c>
    </row>
    <row r="159" spans="1:7" x14ac:dyDescent="0.25">
      <c r="A159" s="37" t="s">
        <v>264</v>
      </c>
      <c r="B159" s="94">
        <v>45690</v>
      </c>
      <c r="C159" s="37" t="s">
        <v>791</v>
      </c>
      <c r="D159" s="94">
        <v>45690</v>
      </c>
      <c r="E159" s="37" t="s">
        <v>827</v>
      </c>
      <c r="F159" s="101">
        <f t="shared" si="5"/>
        <v>8.6805555554747116E-2</v>
      </c>
    </row>
    <row r="160" spans="1:7" x14ac:dyDescent="0.2">
      <c r="A160" s="37" t="s">
        <v>175</v>
      </c>
      <c r="B160" s="94">
        <v>45690</v>
      </c>
      <c r="C160" s="37" t="s">
        <v>793</v>
      </c>
      <c r="D160" s="94">
        <v>45690</v>
      </c>
      <c r="E160" s="23" t="s">
        <v>815</v>
      </c>
    </row>
    <row r="161" spans="1:7" x14ac:dyDescent="0.25">
      <c r="A161" s="37" t="s">
        <v>169</v>
      </c>
      <c r="B161" s="94">
        <v>45690</v>
      </c>
      <c r="C161" s="37" t="s">
        <v>799</v>
      </c>
      <c r="D161" s="94">
        <v>45691</v>
      </c>
      <c r="E161" s="37" t="s">
        <v>978</v>
      </c>
      <c r="F161" s="101">
        <f t="shared" ref="F161:F192" si="6">(D161 + TIME(LEFT(E161, 2), MID(E161, 3, 2), 0)) - (B161 + TIME(LEFT(C161, 2), MID(C161, 3, 2), 0))</f>
        <v>0.90486111110658385</v>
      </c>
    </row>
    <row r="162" spans="1:7" x14ac:dyDescent="0.25">
      <c r="A162" s="37" t="s">
        <v>178</v>
      </c>
      <c r="B162" s="94">
        <v>45690</v>
      </c>
      <c r="C162" s="37" t="s">
        <v>808</v>
      </c>
      <c r="D162" s="94">
        <v>45690</v>
      </c>
      <c r="E162" s="37" t="s">
        <v>876</v>
      </c>
      <c r="F162" s="101">
        <f t="shared" si="6"/>
        <v>0.33750000000145519</v>
      </c>
    </row>
    <row r="163" spans="1:7" x14ac:dyDescent="0.25">
      <c r="A163" s="37" t="s">
        <v>177</v>
      </c>
      <c r="B163" s="94">
        <v>45690</v>
      </c>
      <c r="C163" s="37" t="s">
        <v>808</v>
      </c>
      <c r="D163" s="94">
        <v>45690</v>
      </c>
      <c r="E163" s="37" t="s">
        <v>283</v>
      </c>
      <c r="F163" s="101">
        <f t="shared" si="6"/>
        <v>0.33194444444961846</v>
      </c>
    </row>
    <row r="164" spans="1:7" x14ac:dyDescent="0.25">
      <c r="A164" s="37" t="s">
        <v>202</v>
      </c>
      <c r="B164" s="94">
        <v>45690</v>
      </c>
      <c r="C164" s="37" t="s">
        <v>808</v>
      </c>
      <c r="D164" s="94">
        <v>45690</v>
      </c>
      <c r="E164" s="37" t="s">
        <v>820</v>
      </c>
      <c r="F164" s="101">
        <f t="shared" si="6"/>
        <v>6.9444444452528842E-3</v>
      </c>
    </row>
    <row r="165" spans="1:7" x14ac:dyDescent="0.2">
      <c r="A165" s="23" t="s">
        <v>251</v>
      </c>
      <c r="B165" s="94">
        <v>45690</v>
      </c>
      <c r="C165" s="23" t="s">
        <v>813</v>
      </c>
      <c r="D165" s="94">
        <v>45690</v>
      </c>
      <c r="E165" s="37" t="s">
        <v>856</v>
      </c>
      <c r="F165" s="101">
        <f t="shared" si="6"/>
        <v>0.25</v>
      </c>
    </row>
    <row r="166" spans="1:7" x14ac:dyDescent="0.2">
      <c r="A166" s="23" t="s">
        <v>175</v>
      </c>
      <c r="B166" s="94">
        <v>45690</v>
      </c>
      <c r="C166" s="23" t="s">
        <v>815</v>
      </c>
      <c r="D166" s="94">
        <v>45692</v>
      </c>
      <c r="E166" s="37" t="s">
        <v>1081</v>
      </c>
      <c r="F166" s="101">
        <f t="shared" si="6"/>
        <v>1.6888888888861402</v>
      </c>
      <c r="G166" s="37" t="s">
        <v>9</v>
      </c>
    </row>
    <row r="167" spans="1:7" x14ac:dyDescent="0.25">
      <c r="A167" s="37" t="s">
        <v>252</v>
      </c>
      <c r="B167" s="94">
        <v>45690</v>
      </c>
      <c r="C167" s="37" t="s">
        <v>816</v>
      </c>
      <c r="D167" s="94">
        <v>45690</v>
      </c>
      <c r="E167" s="37" t="s">
        <v>848</v>
      </c>
      <c r="F167" s="101">
        <f t="shared" si="6"/>
        <v>0.20902777777519077</v>
      </c>
    </row>
    <row r="168" spans="1:7" x14ac:dyDescent="0.25">
      <c r="A168" s="37" t="s">
        <v>273</v>
      </c>
      <c r="B168" s="94">
        <v>45690</v>
      </c>
      <c r="C168" s="37" t="s">
        <v>818</v>
      </c>
      <c r="D168" s="94">
        <v>45690</v>
      </c>
      <c r="E168" s="37" t="s">
        <v>511</v>
      </c>
      <c r="F168" s="101">
        <f t="shared" si="6"/>
        <v>0.22777777777810115</v>
      </c>
    </row>
    <row r="169" spans="1:7" x14ac:dyDescent="0.25">
      <c r="A169" s="37" t="s">
        <v>264</v>
      </c>
      <c r="B169" s="94">
        <v>45690</v>
      </c>
      <c r="C169" s="37" t="s">
        <v>829</v>
      </c>
      <c r="D169" s="94">
        <v>45691</v>
      </c>
      <c r="E169" s="37" t="s">
        <v>891</v>
      </c>
      <c r="F169" s="101">
        <f t="shared" si="6"/>
        <v>0.34097222222044365</v>
      </c>
    </row>
    <row r="170" spans="1:7" x14ac:dyDescent="0.25">
      <c r="A170" s="37" t="s">
        <v>166</v>
      </c>
      <c r="B170" s="94">
        <v>45690</v>
      </c>
      <c r="C170" s="37" t="s">
        <v>526</v>
      </c>
      <c r="D170" s="94">
        <v>45691</v>
      </c>
      <c r="E170" s="37" t="s">
        <v>910</v>
      </c>
      <c r="F170" s="101">
        <f t="shared" si="6"/>
        <v>0.50069444444670808</v>
      </c>
    </row>
    <row r="171" spans="1:7" x14ac:dyDescent="0.25">
      <c r="A171" s="37" t="s">
        <v>161</v>
      </c>
      <c r="B171" s="94">
        <v>45690</v>
      </c>
      <c r="C171" s="37" t="s">
        <v>832</v>
      </c>
      <c r="D171" s="94">
        <v>45690</v>
      </c>
      <c r="E171" s="37" t="s">
        <v>878</v>
      </c>
      <c r="F171" s="101">
        <f t="shared" si="6"/>
        <v>0.22638888889196096</v>
      </c>
    </row>
    <row r="172" spans="1:7" x14ac:dyDescent="0.25">
      <c r="A172" s="37" t="s">
        <v>162</v>
      </c>
      <c r="B172" s="94">
        <v>45690</v>
      </c>
      <c r="C172" s="37" t="s">
        <v>835</v>
      </c>
      <c r="D172" s="94">
        <v>45690</v>
      </c>
      <c r="E172" s="37" t="s">
        <v>858</v>
      </c>
      <c r="F172" s="101">
        <f t="shared" si="6"/>
        <v>0.12986111110512866</v>
      </c>
    </row>
    <row r="173" spans="1:7" x14ac:dyDescent="0.25">
      <c r="A173" s="37" t="s">
        <v>144</v>
      </c>
      <c r="B173" s="94">
        <v>45690</v>
      </c>
      <c r="C173" s="37" t="s">
        <v>837</v>
      </c>
      <c r="D173" s="94">
        <v>45690</v>
      </c>
      <c r="E173" s="37" t="s">
        <v>287</v>
      </c>
      <c r="F173" s="101">
        <f t="shared" si="6"/>
        <v>0.10972222222335404</v>
      </c>
    </row>
    <row r="174" spans="1:7" x14ac:dyDescent="0.25">
      <c r="A174" s="37" t="s">
        <v>272</v>
      </c>
      <c r="B174" s="94">
        <v>45690</v>
      </c>
      <c r="C174" s="37" t="s">
        <v>841</v>
      </c>
      <c r="D174" s="94">
        <v>45690</v>
      </c>
      <c r="E174" s="37" t="s">
        <v>852</v>
      </c>
      <c r="F174" s="101">
        <f t="shared" si="6"/>
        <v>0.10694444444379769</v>
      </c>
    </row>
    <row r="175" spans="1:7" x14ac:dyDescent="0.25">
      <c r="A175" s="37" t="s">
        <v>202</v>
      </c>
      <c r="B175" s="94">
        <v>45690</v>
      </c>
      <c r="C175" s="37" t="s">
        <v>843</v>
      </c>
      <c r="D175" s="94">
        <v>45690</v>
      </c>
      <c r="E175" s="37" t="s">
        <v>658</v>
      </c>
      <c r="F175" s="101">
        <f t="shared" si="6"/>
        <v>1.0416666664241347E-2</v>
      </c>
    </row>
    <row r="176" spans="1:7" x14ac:dyDescent="0.25">
      <c r="A176" s="37" t="s">
        <v>153</v>
      </c>
      <c r="B176" s="94">
        <v>45690</v>
      </c>
      <c r="C176" s="37" t="s">
        <v>845</v>
      </c>
      <c r="D176" s="94">
        <v>45698</v>
      </c>
      <c r="E176" s="37" t="s">
        <v>221</v>
      </c>
      <c r="F176" s="101">
        <f t="shared" si="6"/>
        <v>7.3402777777810115</v>
      </c>
    </row>
    <row r="177" spans="1:8" x14ac:dyDescent="0.25">
      <c r="A177" s="37" t="s">
        <v>302</v>
      </c>
      <c r="B177" s="94">
        <v>45690</v>
      </c>
      <c r="C177" s="37" t="s">
        <v>854</v>
      </c>
      <c r="D177" s="94">
        <v>45691</v>
      </c>
      <c r="E177" s="37" t="s">
        <v>969</v>
      </c>
      <c r="F177" s="101">
        <f t="shared" si="6"/>
        <v>0.53680555555911269</v>
      </c>
    </row>
    <row r="178" spans="1:8" x14ac:dyDescent="0.25">
      <c r="A178" s="37" t="s">
        <v>165</v>
      </c>
      <c r="B178" s="94">
        <v>45690</v>
      </c>
      <c r="C178" s="37" t="s">
        <v>667</v>
      </c>
      <c r="D178" s="94">
        <v>45691</v>
      </c>
      <c r="E178" s="37" t="s">
        <v>880</v>
      </c>
      <c r="F178" s="101">
        <f t="shared" si="6"/>
        <v>0.10277777777810115</v>
      </c>
    </row>
    <row r="179" spans="1:8" x14ac:dyDescent="0.25">
      <c r="A179" s="37" t="s">
        <v>160</v>
      </c>
      <c r="B179" s="94">
        <v>45690</v>
      </c>
      <c r="C179" s="37" t="s">
        <v>680</v>
      </c>
      <c r="D179" s="94">
        <v>45691</v>
      </c>
      <c r="E179" s="37" t="s">
        <v>995</v>
      </c>
      <c r="F179" s="101">
        <f t="shared" si="6"/>
        <v>0.71458333333430346</v>
      </c>
    </row>
    <row r="180" spans="1:8" x14ac:dyDescent="0.25">
      <c r="A180" s="37" t="s">
        <v>162</v>
      </c>
      <c r="B180" s="94">
        <v>45691</v>
      </c>
      <c r="C180" s="37" t="s">
        <v>880</v>
      </c>
      <c r="D180" s="94">
        <v>45691</v>
      </c>
      <c r="E180" s="37" t="s">
        <v>886</v>
      </c>
      <c r="F180" s="101">
        <f t="shared" si="6"/>
        <v>8.333333331393078E-3</v>
      </c>
    </row>
    <row r="181" spans="1:8" x14ac:dyDescent="0.25">
      <c r="A181" s="37" t="s">
        <v>164</v>
      </c>
      <c r="B181" s="94">
        <v>45691</v>
      </c>
      <c r="C181" s="37" t="s">
        <v>880</v>
      </c>
      <c r="D181" s="94">
        <v>45691</v>
      </c>
      <c r="E181" s="37" t="s">
        <v>889</v>
      </c>
      <c r="F181" s="101">
        <f t="shared" si="6"/>
        <v>3.888888889196096E-2</v>
      </c>
    </row>
    <row r="182" spans="1:8" x14ac:dyDescent="0.25">
      <c r="A182" s="37" t="s">
        <v>173</v>
      </c>
      <c r="B182" s="94">
        <v>45691</v>
      </c>
      <c r="C182" s="37" t="s">
        <v>880</v>
      </c>
      <c r="D182" s="94">
        <v>45691</v>
      </c>
      <c r="E182" s="37" t="s">
        <v>887</v>
      </c>
      <c r="F182" s="101">
        <f t="shared" si="6"/>
        <v>2.8472222220443655E-2</v>
      </c>
    </row>
    <row r="183" spans="1:8" x14ac:dyDescent="0.25">
      <c r="A183" s="37" t="s">
        <v>194</v>
      </c>
      <c r="B183" s="94">
        <v>45691</v>
      </c>
      <c r="C183" s="37" t="s">
        <v>703</v>
      </c>
      <c r="D183" s="94">
        <v>45692</v>
      </c>
      <c r="E183" s="37" t="s">
        <v>1054</v>
      </c>
      <c r="F183" s="101">
        <f t="shared" si="6"/>
        <v>1.1340277777781012</v>
      </c>
    </row>
    <row r="184" spans="1:8" x14ac:dyDescent="0.25">
      <c r="A184" s="37" t="s">
        <v>158</v>
      </c>
      <c r="B184" s="94">
        <v>45691</v>
      </c>
      <c r="C184" s="37" t="s">
        <v>896</v>
      </c>
      <c r="D184" s="94">
        <v>45691</v>
      </c>
      <c r="E184" s="37" t="s">
        <v>900</v>
      </c>
      <c r="F184" s="101">
        <f t="shared" si="6"/>
        <v>1.2500000004365575E-2</v>
      </c>
      <c r="H184" s="95" t="s">
        <v>901</v>
      </c>
    </row>
    <row r="185" spans="1:8" x14ac:dyDescent="0.25">
      <c r="A185" s="37" t="s">
        <v>165</v>
      </c>
      <c r="B185" s="94">
        <v>45691</v>
      </c>
      <c r="C185" s="37" t="s">
        <v>880</v>
      </c>
      <c r="D185" s="94">
        <v>45691</v>
      </c>
      <c r="E185" s="37" t="s">
        <v>898</v>
      </c>
      <c r="F185" s="101">
        <f t="shared" si="6"/>
        <v>7.2916666664241347E-2</v>
      </c>
    </row>
    <row r="186" spans="1:8" x14ac:dyDescent="0.25">
      <c r="A186" s="37" t="s">
        <v>158</v>
      </c>
      <c r="B186" s="94">
        <v>45691</v>
      </c>
      <c r="C186" s="37" t="s">
        <v>902</v>
      </c>
      <c r="D186" s="94">
        <v>45692</v>
      </c>
      <c r="E186" s="37" t="s">
        <v>1047</v>
      </c>
      <c r="F186" s="101">
        <f t="shared" si="6"/>
        <v>0.92083333332993789</v>
      </c>
    </row>
    <row r="187" spans="1:8" x14ac:dyDescent="0.25">
      <c r="A187" s="37" t="s">
        <v>163</v>
      </c>
      <c r="B187" s="94">
        <v>45691</v>
      </c>
      <c r="C187" s="37" t="s">
        <v>906</v>
      </c>
      <c r="D187" s="94">
        <v>45691</v>
      </c>
      <c r="E187" s="37" t="s">
        <v>920</v>
      </c>
      <c r="F187" s="101">
        <f t="shared" si="6"/>
        <v>9.7916666665696539E-2</v>
      </c>
    </row>
    <row r="188" spans="1:8" x14ac:dyDescent="0.25">
      <c r="A188" s="37" t="s">
        <v>155</v>
      </c>
      <c r="B188" s="94">
        <v>45691</v>
      </c>
      <c r="C188" s="37" t="s">
        <v>908</v>
      </c>
      <c r="D188" s="94">
        <v>45691</v>
      </c>
      <c r="E188" s="37" t="s">
        <v>682</v>
      </c>
      <c r="F188" s="101">
        <f t="shared" si="6"/>
        <v>0.75069444444670808</v>
      </c>
    </row>
    <row r="189" spans="1:8" x14ac:dyDescent="0.25">
      <c r="A189" s="37" t="s">
        <v>168</v>
      </c>
      <c r="B189" s="94">
        <v>45691</v>
      </c>
      <c r="C189" s="37" t="s">
        <v>912</v>
      </c>
      <c r="D189" s="94">
        <v>45691</v>
      </c>
      <c r="E189" s="37" t="s">
        <v>922</v>
      </c>
      <c r="F189" s="101">
        <f t="shared" si="6"/>
        <v>7.8472222223354038E-2</v>
      </c>
    </row>
    <row r="190" spans="1:8" x14ac:dyDescent="0.25">
      <c r="A190" s="37" t="s">
        <v>170</v>
      </c>
      <c r="B190" s="94">
        <v>45691</v>
      </c>
      <c r="C190" s="37" t="s">
        <v>248</v>
      </c>
      <c r="D190" s="94">
        <v>45691</v>
      </c>
      <c r="E190" s="37" t="s">
        <v>250</v>
      </c>
      <c r="F190" s="101">
        <f t="shared" si="6"/>
        <v>0.11180555555620231</v>
      </c>
    </row>
    <row r="191" spans="1:8" x14ac:dyDescent="0.25">
      <c r="A191" s="37" t="s">
        <v>172</v>
      </c>
      <c r="B191" s="94">
        <v>45691</v>
      </c>
      <c r="C191" s="37" t="s">
        <v>724</v>
      </c>
      <c r="D191" s="94">
        <v>45691</v>
      </c>
      <c r="E191" s="37" t="s">
        <v>943</v>
      </c>
      <c r="F191" s="101">
        <f t="shared" si="6"/>
        <v>0.10486111111094942</v>
      </c>
    </row>
    <row r="192" spans="1:8" x14ac:dyDescent="0.25">
      <c r="A192" s="37" t="s">
        <v>177</v>
      </c>
      <c r="B192" s="94">
        <v>45691</v>
      </c>
      <c r="C192" s="37" t="s">
        <v>916</v>
      </c>
      <c r="D192" s="94">
        <v>45691</v>
      </c>
      <c r="E192" s="37" t="s">
        <v>948</v>
      </c>
      <c r="F192" s="101">
        <f t="shared" si="6"/>
        <v>0.101388888884685</v>
      </c>
    </row>
    <row r="193" spans="1:6" x14ac:dyDescent="0.25">
      <c r="A193" s="37" t="s">
        <v>174</v>
      </c>
      <c r="B193" s="94">
        <v>45691</v>
      </c>
      <c r="C193" s="37" t="s">
        <v>918</v>
      </c>
      <c r="D193" s="94">
        <v>45691</v>
      </c>
      <c r="E193" s="37" t="s">
        <v>943</v>
      </c>
      <c r="F193" s="101">
        <f t="shared" ref="F193:F224" si="7">(D193 + TIME(LEFT(E193, 2), MID(E193, 3, 2), 0)) - (B193 + TIME(LEFT(C193, 2), MID(C193, 3, 2), 0))</f>
        <v>0.117361111115315</v>
      </c>
    </row>
    <row r="194" spans="1:6" x14ac:dyDescent="0.25">
      <c r="A194" s="37" t="s">
        <v>178</v>
      </c>
      <c r="B194" s="94">
        <v>45691</v>
      </c>
      <c r="C194" s="37" t="s">
        <v>924</v>
      </c>
      <c r="D194" s="94">
        <v>45691</v>
      </c>
      <c r="E194" s="37" t="s">
        <v>948</v>
      </c>
      <c r="F194" s="101">
        <f t="shared" si="7"/>
        <v>9.0972222220443655E-2</v>
      </c>
    </row>
    <row r="195" spans="1:6" x14ac:dyDescent="0.25">
      <c r="A195" s="37" t="s">
        <v>162</v>
      </c>
      <c r="B195" s="94">
        <v>45691</v>
      </c>
      <c r="C195" s="37" t="s">
        <v>926</v>
      </c>
      <c r="D195" s="94">
        <v>45691</v>
      </c>
      <c r="E195" s="37" t="s">
        <v>971</v>
      </c>
      <c r="F195" s="101">
        <f t="shared" si="7"/>
        <v>0.101388888884685</v>
      </c>
    </row>
    <row r="196" spans="1:6" x14ac:dyDescent="0.25">
      <c r="A196" s="37" t="s">
        <v>161</v>
      </c>
      <c r="B196" s="94">
        <v>45691</v>
      </c>
      <c r="C196" s="37" t="s">
        <v>926</v>
      </c>
      <c r="D196" s="94">
        <v>45691</v>
      </c>
      <c r="E196" s="37" t="s">
        <v>951</v>
      </c>
      <c r="F196" s="101">
        <f t="shared" si="7"/>
        <v>3.125E-2</v>
      </c>
    </row>
    <row r="197" spans="1:6" x14ac:dyDescent="0.25">
      <c r="A197" s="37" t="s">
        <v>186</v>
      </c>
      <c r="B197" s="94">
        <v>45691</v>
      </c>
      <c r="C197" s="37" t="s">
        <v>931</v>
      </c>
      <c r="D197" s="94">
        <v>45693</v>
      </c>
      <c r="E197" s="37" t="s">
        <v>1238</v>
      </c>
      <c r="F197" s="101">
        <f t="shared" si="7"/>
        <v>1.9020833333343035</v>
      </c>
    </row>
    <row r="198" spans="1:6" x14ac:dyDescent="0.25">
      <c r="A198" s="37" t="s">
        <v>265</v>
      </c>
      <c r="B198" s="94">
        <v>45691</v>
      </c>
      <c r="C198" s="37" t="s">
        <v>234</v>
      </c>
      <c r="D198" s="94">
        <v>45691</v>
      </c>
      <c r="E198" s="37" t="s">
        <v>206</v>
      </c>
      <c r="F198" s="101">
        <f t="shared" si="7"/>
        <v>2.8472222227719612E-2</v>
      </c>
    </row>
    <row r="199" spans="1:6" x14ac:dyDescent="0.25">
      <c r="A199" s="37" t="s">
        <v>163</v>
      </c>
      <c r="B199" s="94">
        <v>45691</v>
      </c>
      <c r="C199" s="37" t="s">
        <v>171</v>
      </c>
      <c r="D199" s="94">
        <v>45691</v>
      </c>
      <c r="E199" s="37" t="s">
        <v>634</v>
      </c>
      <c r="F199" s="101">
        <f t="shared" si="7"/>
        <v>0.35833333333721384</v>
      </c>
    </row>
    <row r="200" spans="1:6" x14ac:dyDescent="0.25">
      <c r="A200" s="37" t="s">
        <v>164</v>
      </c>
      <c r="B200" s="94">
        <v>45691</v>
      </c>
      <c r="C200" s="37" t="s">
        <v>171</v>
      </c>
      <c r="D200" s="94">
        <v>45691</v>
      </c>
      <c r="E200" s="37" t="s">
        <v>829</v>
      </c>
      <c r="F200" s="101">
        <f t="shared" si="7"/>
        <v>0.36527777778246673</v>
      </c>
    </row>
    <row r="201" spans="1:6" x14ac:dyDescent="0.25">
      <c r="A201" s="37" t="s">
        <v>170</v>
      </c>
      <c r="B201" s="94">
        <v>45691</v>
      </c>
      <c r="C201" s="37" t="s">
        <v>171</v>
      </c>
      <c r="D201" s="94">
        <v>45691</v>
      </c>
      <c r="E201" s="37" t="s">
        <v>1013</v>
      </c>
      <c r="F201" s="101">
        <f t="shared" si="7"/>
        <v>0.49097222222189885</v>
      </c>
    </row>
    <row r="202" spans="1:6" x14ac:dyDescent="0.25">
      <c r="A202" s="37" t="s">
        <v>165</v>
      </c>
      <c r="B202" s="94">
        <v>45691</v>
      </c>
      <c r="C202" s="37" t="s">
        <v>171</v>
      </c>
      <c r="D202" s="94">
        <v>45691</v>
      </c>
      <c r="E202" s="37" t="s">
        <v>1001</v>
      </c>
      <c r="F202" s="101">
        <f t="shared" si="7"/>
        <v>0.37708333333284827</v>
      </c>
    </row>
    <row r="203" spans="1:6" x14ac:dyDescent="0.25">
      <c r="A203" s="37" t="s">
        <v>173</v>
      </c>
      <c r="B203" s="94">
        <v>45691</v>
      </c>
      <c r="C203" s="37" t="s">
        <v>171</v>
      </c>
      <c r="D203" s="94">
        <v>45691</v>
      </c>
      <c r="E203" s="37" t="s">
        <v>983</v>
      </c>
      <c r="F203" s="101">
        <f t="shared" si="7"/>
        <v>0.26041666667151731</v>
      </c>
    </row>
    <row r="204" spans="1:6" x14ac:dyDescent="0.25">
      <c r="A204" s="37" t="s">
        <v>168</v>
      </c>
      <c r="B204" s="94">
        <v>45691</v>
      </c>
      <c r="C204" s="37" t="s">
        <v>171</v>
      </c>
      <c r="D204" s="94">
        <v>45691</v>
      </c>
      <c r="E204" s="37" t="s">
        <v>647</v>
      </c>
      <c r="F204" s="101">
        <f t="shared" si="7"/>
        <v>0.38194444444525288</v>
      </c>
    </row>
    <row r="205" spans="1:6" x14ac:dyDescent="0.25">
      <c r="A205" s="37" t="s">
        <v>261</v>
      </c>
      <c r="B205" s="94">
        <v>45691</v>
      </c>
      <c r="C205" s="37" t="s">
        <v>946</v>
      </c>
      <c r="D205" s="94">
        <v>45691</v>
      </c>
      <c r="E205" s="37" t="s">
        <v>815</v>
      </c>
      <c r="F205" s="101">
        <f t="shared" si="7"/>
        <v>0.29375000000436557</v>
      </c>
    </row>
    <row r="206" spans="1:6" x14ac:dyDescent="0.25">
      <c r="A206" s="37" t="s">
        <v>174</v>
      </c>
      <c r="B206" s="94">
        <v>45691</v>
      </c>
      <c r="C206" s="37" t="s">
        <v>953</v>
      </c>
      <c r="D206" s="94">
        <v>45691</v>
      </c>
      <c r="E206" s="37" t="s">
        <v>208</v>
      </c>
      <c r="F206" s="101">
        <f t="shared" si="7"/>
        <v>0.54444444444379769</v>
      </c>
    </row>
    <row r="207" spans="1:6" x14ac:dyDescent="0.25">
      <c r="A207" s="37" t="s">
        <v>262</v>
      </c>
      <c r="B207" s="94">
        <v>45691</v>
      </c>
      <c r="C207" s="37" t="s">
        <v>750</v>
      </c>
      <c r="D207" s="94">
        <v>45691</v>
      </c>
      <c r="E207" s="37" t="s">
        <v>989</v>
      </c>
      <c r="F207" s="101">
        <f t="shared" si="7"/>
        <v>0.27916666666715173</v>
      </c>
    </row>
    <row r="208" spans="1:6" x14ac:dyDescent="0.25">
      <c r="A208" s="37" t="s">
        <v>177</v>
      </c>
      <c r="B208" s="94">
        <v>45691</v>
      </c>
      <c r="C208" s="37" t="s">
        <v>955</v>
      </c>
      <c r="D208" s="94">
        <v>45691</v>
      </c>
      <c r="E208" s="37" t="s">
        <v>1028</v>
      </c>
      <c r="F208" s="101">
        <f t="shared" si="7"/>
        <v>0.55347222222189885</v>
      </c>
    </row>
    <row r="209" spans="1:8" x14ac:dyDescent="0.25">
      <c r="A209" s="37" t="s">
        <v>161</v>
      </c>
      <c r="B209" s="94">
        <v>45691</v>
      </c>
      <c r="C209" s="37" t="s">
        <v>957</v>
      </c>
      <c r="D209" s="94">
        <v>45691</v>
      </c>
      <c r="E209" s="37" t="s">
        <v>1032</v>
      </c>
      <c r="F209" s="101">
        <f t="shared" si="7"/>
        <v>0.56874999999854481</v>
      </c>
    </row>
    <row r="210" spans="1:8" x14ac:dyDescent="0.25">
      <c r="A210" s="37" t="s">
        <v>178</v>
      </c>
      <c r="B210" s="94">
        <v>45691</v>
      </c>
      <c r="C210" s="37" t="s">
        <v>958</v>
      </c>
      <c r="D210" s="94">
        <v>45691</v>
      </c>
      <c r="E210" s="37" t="s">
        <v>1030</v>
      </c>
      <c r="F210" s="101">
        <f t="shared" si="7"/>
        <v>0.55833333333430346</v>
      </c>
    </row>
    <row r="211" spans="1:8" x14ac:dyDescent="0.25">
      <c r="A211" s="37" t="s">
        <v>172</v>
      </c>
      <c r="B211" s="94">
        <v>45691</v>
      </c>
      <c r="C211" s="37" t="s">
        <v>948</v>
      </c>
      <c r="D211" s="94">
        <v>45691</v>
      </c>
      <c r="E211" s="37" t="s">
        <v>1025</v>
      </c>
      <c r="F211" s="101">
        <f t="shared" si="7"/>
        <v>0.54583333333721384</v>
      </c>
    </row>
    <row r="212" spans="1:8" x14ac:dyDescent="0.25">
      <c r="A212" s="37" t="s">
        <v>251</v>
      </c>
      <c r="B212" s="94">
        <v>45691</v>
      </c>
      <c r="C212" s="37" t="s">
        <v>959</v>
      </c>
      <c r="D212" s="94">
        <v>45691</v>
      </c>
      <c r="E212" s="37" t="s">
        <v>999</v>
      </c>
      <c r="F212" s="101">
        <f t="shared" si="7"/>
        <v>0.32986111110949423</v>
      </c>
    </row>
    <row r="213" spans="1:8" x14ac:dyDescent="0.25">
      <c r="A213" s="37" t="s">
        <v>252</v>
      </c>
      <c r="B213" s="94">
        <v>45691</v>
      </c>
      <c r="C213" s="37" t="s">
        <v>961</v>
      </c>
      <c r="D213" s="94">
        <v>45691</v>
      </c>
      <c r="E213" s="37" t="s">
        <v>1020</v>
      </c>
      <c r="F213" s="101">
        <f t="shared" si="7"/>
        <v>0.47847222222480923</v>
      </c>
    </row>
    <row r="214" spans="1:8" x14ac:dyDescent="0.25">
      <c r="A214" s="37" t="s">
        <v>260</v>
      </c>
      <c r="B214" s="94">
        <v>45691</v>
      </c>
      <c r="C214" s="37" t="s">
        <v>963</v>
      </c>
      <c r="D214" s="94">
        <v>45691</v>
      </c>
      <c r="E214" s="37" t="s">
        <v>985</v>
      </c>
      <c r="F214" s="101">
        <f t="shared" si="7"/>
        <v>0.24791666666715173</v>
      </c>
    </row>
    <row r="215" spans="1:8" x14ac:dyDescent="0.25">
      <c r="A215" s="37" t="s">
        <v>273</v>
      </c>
      <c r="B215" s="94">
        <v>45691</v>
      </c>
      <c r="C215" s="37" t="s">
        <v>237</v>
      </c>
      <c r="D215" s="94">
        <v>45691</v>
      </c>
      <c r="E215" s="37" t="s">
        <v>852</v>
      </c>
      <c r="F215" s="101">
        <f t="shared" si="7"/>
        <v>0.48263888888322981</v>
      </c>
    </row>
    <row r="216" spans="1:8" x14ac:dyDescent="0.25">
      <c r="A216" s="37" t="s">
        <v>272</v>
      </c>
      <c r="B216" s="94">
        <v>45691</v>
      </c>
      <c r="C216" s="37" t="s">
        <v>196</v>
      </c>
      <c r="D216" s="94">
        <v>45691</v>
      </c>
      <c r="E216" s="37" t="s">
        <v>1023</v>
      </c>
      <c r="F216" s="101">
        <f t="shared" si="7"/>
        <v>0.48125000000436557</v>
      </c>
    </row>
    <row r="217" spans="1:8" x14ac:dyDescent="0.25">
      <c r="A217" s="37" t="s">
        <v>144</v>
      </c>
      <c r="B217" s="94">
        <v>45691</v>
      </c>
      <c r="C217" s="37" t="s">
        <v>967</v>
      </c>
      <c r="D217" s="94">
        <v>45691</v>
      </c>
      <c r="E217" s="37" t="s">
        <v>1018</v>
      </c>
      <c r="F217" s="101">
        <f t="shared" si="7"/>
        <v>0.45833333333575865</v>
      </c>
    </row>
    <row r="218" spans="1:8" x14ac:dyDescent="0.25">
      <c r="A218" s="37" t="s">
        <v>162</v>
      </c>
      <c r="B218" s="94">
        <v>45691</v>
      </c>
      <c r="C218" s="37" t="s">
        <v>243</v>
      </c>
      <c r="D218" s="94">
        <v>45691</v>
      </c>
      <c r="E218" s="37" t="s">
        <v>522</v>
      </c>
      <c r="F218" s="101">
        <f t="shared" si="7"/>
        <v>0.48194444445107365</v>
      </c>
    </row>
    <row r="219" spans="1:8" x14ac:dyDescent="0.25">
      <c r="A219" s="37" t="s">
        <v>202</v>
      </c>
      <c r="B219" s="94">
        <v>45691</v>
      </c>
      <c r="C219" s="37" t="s">
        <v>974</v>
      </c>
      <c r="D219" s="94">
        <v>45691</v>
      </c>
      <c r="E219" s="37" t="s">
        <v>980</v>
      </c>
      <c r="F219" s="101">
        <f t="shared" si="7"/>
        <v>7.5694444443797693E-2</v>
      </c>
      <c r="H219" s="95" t="s">
        <v>705</v>
      </c>
    </row>
    <row r="220" spans="1:8" x14ac:dyDescent="0.25">
      <c r="A220" s="37" t="s">
        <v>159</v>
      </c>
      <c r="B220" s="94">
        <v>45691</v>
      </c>
      <c r="C220" s="37" t="s">
        <v>976</v>
      </c>
      <c r="D220" s="94">
        <v>45692</v>
      </c>
      <c r="E220" s="37" t="s">
        <v>1079</v>
      </c>
      <c r="F220" s="101">
        <f t="shared" si="7"/>
        <v>0.788888888884685</v>
      </c>
    </row>
    <row r="221" spans="1:8" x14ac:dyDescent="0.25">
      <c r="A221" s="37" t="s">
        <v>202</v>
      </c>
      <c r="B221" s="94">
        <v>45691</v>
      </c>
      <c r="C221" s="37" t="s">
        <v>980</v>
      </c>
      <c r="D221" s="94">
        <v>45692</v>
      </c>
      <c r="E221" s="37" t="s">
        <v>1148</v>
      </c>
      <c r="F221" s="101">
        <f t="shared" si="7"/>
        <v>1.0972222222189885</v>
      </c>
      <c r="G221" s="37" t="s">
        <v>9</v>
      </c>
      <c r="H221" s="95" t="s">
        <v>982</v>
      </c>
    </row>
    <row r="222" spans="1:8" x14ac:dyDescent="0.25">
      <c r="A222" s="37" t="s">
        <v>265</v>
      </c>
      <c r="B222" s="94">
        <v>45691</v>
      </c>
      <c r="C222" s="37" t="s">
        <v>985</v>
      </c>
      <c r="D222" s="94">
        <v>45691</v>
      </c>
      <c r="E222" s="37" t="s">
        <v>821</v>
      </c>
      <c r="F222" s="101">
        <f t="shared" si="7"/>
        <v>1.1111111110949423E-2</v>
      </c>
    </row>
    <row r="223" spans="1:8" x14ac:dyDescent="0.25">
      <c r="A223" s="37" t="s">
        <v>173</v>
      </c>
      <c r="B223" s="94">
        <v>45691</v>
      </c>
      <c r="C223" s="37" t="s">
        <v>815</v>
      </c>
      <c r="D223" s="94">
        <v>45691</v>
      </c>
      <c r="E223" s="37" t="s">
        <v>870</v>
      </c>
      <c r="F223" s="101">
        <f t="shared" si="7"/>
        <v>0.3125</v>
      </c>
    </row>
    <row r="224" spans="1:8" x14ac:dyDescent="0.25">
      <c r="A224" s="37" t="s">
        <v>261</v>
      </c>
      <c r="B224" s="94">
        <v>45691</v>
      </c>
      <c r="C224" s="37" t="s">
        <v>821</v>
      </c>
      <c r="D224" s="94">
        <v>45698</v>
      </c>
      <c r="E224" s="37" t="s">
        <v>1530</v>
      </c>
      <c r="F224" s="101">
        <f t="shared" si="7"/>
        <v>7.3444444444394321</v>
      </c>
    </row>
    <row r="225" spans="1:6" x14ac:dyDescent="0.25">
      <c r="A225" s="37" t="s">
        <v>262</v>
      </c>
      <c r="B225" s="94">
        <v>45691</v>
      </c>
      <c r="C225" s="37" t="s">
        <v>821</v>
      </c>
      <c r="D225" s="94">
        <v>45694</v>
      </c>
      <c r="E225" s="37" t="s">
        <v>217</v>
      </c>
      <c r="F225" s="101">
        <f t="shared" ref="F225:F256" si="8">(D225 + TIME(LEFT(E225, 2), MID(E225, 3, 2), 0)) - (B225 + TIME(LEFT(C225, 2), MID(C225, 3, 2), 0))</f>
        <v>3.304861111108039</v>
      </c>
    </row>
    <row r="226" spans="1:6" x14ac:dyDescent="0.25">
      <c r="A226" s="37" t="s">
        <v>260</v>
      </c>
      <c r="B226" s="94">
        <v>45691</v>
      </c>
      <c r="C226" s="37" t="s">
        <v>992</v>
      </c>
      <c r="D226" s="94">
        <v>45694</v>
      </c>
      <c r="E226" s="37" t="s">
        <v>1479</v>
      </c>
      <c r="F226" s="101">
        <f t="shared" si="8"/>
        <v>3.0756944444437977</v>
      </c>
    </row>
    <row r="227" spans="1:6" x14ac:dyDescent="0.25">
      <c r="A227" s="37" t="s">
        <v>263</v>
      </c>
      <c r="B227" s="94">
        <v>45691</v>
      </c>
      <c r="C227" s="37" t="s">
        <v>992</v>
      </c>
      <c r="D227" s="94">
        <v>45691</v>
      </c>
      <c r="E227" s="37" t="s">
        <v>1036</v>
      </c>
      <c r="F227" s="101">
        <f t="shared" si="8"/>
        <v>0.32083333333866904</v>
      </c>
    </row>
    <row r="228" spans="1:6" x14ac:dyDescent="0.25">
      <c r="A228" s="37" t="s">
        <v>166</v>
      </c>
      <c r="B228" s="94">
        <v>45691</v>
      </c>
      <c r="C228" s="37" t="s">
        <v>482</v>
      </c>
      <c r="D228" s="94">
        <v>45692</v>
      </c>
      <c r="E228" s="37" t="s">
        <v>910</v>
      </c>
      <c r="F228" s="101">
        <f t="shared" si="8"/>
        <v>0.53680555555183673</v>
      </c>
    </row>
    <row r="229" spans="1:6" x14ac:dyDescent="0.25">
      <c r="A229" s="37" t="s">
        <v>163</v>
      </c>
      <c r="B229" s="94">
        <v>45691</v>
      </c>
      <c r="C229" s="37" t="s">
        <v>1004</v>
      </c>
      <c r="D229" s="94">
        <v>45691</v>
      </c>
      <c r="E229" s="37" t="s">
        <v>1036</v>
      </c>
      <c r="F229" s="101">
        <f t="shared" si="8"/>
        <v>0.22638888889196096</v>
      </c>
    </row>
    <row r="230" spans="1:6" x14ac:dyDescent="0.25">
      <c r="A230" s="37" t="s">
        <v>164</v>
      </c>
      <c r="B230" s="94">
        <v>45691</v>
      </c>
      <c r="C230" s="37" t="s">
        <v>1006</v>
      </c>
      <c r="D230" s="94">
        <v>45691</v>
      </c>
      <c r="E230" s="37" t="s">
        <v>535</v>
      </c>
      <c r="F230" s="101">
        <f t="shared" si="8"/>
        <v>0.21805555556056788</v>
      </c>
    </row>
    <row r="231" spans="1:6" x14ac:dyDescent="0.25">
      <c r="A231" s="37" t="s">
        <v>165</v>
      </c>
      <c r="B231" s="94">
        <v>45691</v>
      </c>
      <c r="C231" s="37" t="s">
        <v>1008</v>
      </c>
      <c r="D231" s="94">
        <v>45691</v>
      </c>
      <c r="E231" s="37" t="s">
        <v>684</v>
      </c>
      <c r="F231" s="101">
        <f t="shared" si="8"/>
        <v>0.21458333333430346</v>
      </c>
    </row>
    <row r="232" spans="1:6" x14ac:dyDescent="0.25">
      <c r="A232" s="37" t="s">
        <v>168</v>
      </c>
      <c r="B232" s="94">
        <v>45691</v>
      </c>
      <c r="C232" s="37" t="s">
        <v>841</v>
      </c>
      <c r="D232" s="94">
        <v>45691</v>
      </c>
      <c r="E232" s="37" t="s">
        <v>1043</v>
      </c>
      <c r="F232" s="101">
        <f t="shared" si="8"/>
        <v>0.22638888889196096</v>
      </c>
    </row>
    <row r="233" spans="1:6" x14ac:dyDescent="0.25">
      <c r="A233" s="37" t="s">
        <v>251</v>
      </c>
      <c r="B233" s="94">
        <v>45691</v>
      </c>
      <c r="C233" s="37" t="s">
        <v>1011</v>
      </c>
      <c r="D233" s="94">
        <v>45691</v>
      </c>
      <c r="E233" s="37" t="s">
        <v>1015</v>
      </c>
      <c r="F233" s="101">
        <f t="shared" si="8"/>
        <v>6.25E-2</v>
      </c>
    </row>
    <row r="234" spans="1:6" x14ac:dyDescent="0.25">
      <c r="A234" s="37" t="s">
        <v>302</v>
      </c>
      <c r="B234" s="94">
        <v>45691</v>
      </c>
      <c r="C234" s="37" t="s">
        <v>848</v>
      </c>
      <c r="D234" s="94">
        <v>45692</v>
      </c>
      <c r="E234" s="37" t="s">
        <v>1154</v>
      </c>
      <c r="F234" s="101">
        <f t="shared" si="8"/>
        <v>0.83472222222189885</v>
      </c>
    </row>
    <row r="235" spans="1:6" x14ac:dyDescent="0.25">
      <c r="A235" s="37" t="s">
        <v>160</v>
      </c>
      <c r="B235" s="94">
        <v>45691</v>
      </c>
      <c r="C235" s="37" t="s">
        <v>680</v>
      </c>
      <c r="D235" s="94">
        <v>45692</v>
      </c>
      <c r="E235" s="37" t="s">
        <v>232</v>
      </c>
      <c r="F235" s="101">
        <f t="shared" si="8"/>
        <v>0.54236111111094942</v>
      </c>
    </row>
    <row r="236" spans="1:6" x14ac:dyDescent="0.25">
      <c r="A236" s="37" t="s">
        <v>170</v>
      </c>
      <c r="B236" s="94">
        <v>45692</v>
      </c>
      <c r="C236" s="37" t="s">
        <v>1045</v>
      </c>
      <c r="D236" s="94">
        <v>45692</v>
      </c>
      <c r="E236" s="37" t="s">
        <v>1049</v>
      </c>
      <c r="F236" s="101">
        <f t="shared" si="8"/>
        <v>2.1527777775190771E-2</v>
      </c>
    </row>
    <row r="237" spans="1:6" x14ac:dyDescent="0.25">
      <c r="A237" s="37" t="s">
        <v>158</v>
      </c>
      <c r="B237" s="94">
        <v>45692</v>
      </c>
      <c r="C237" s="37" t="s">
        <v>1050</v>
      </c>
      <c r="D237" s="94">
        <v>45693</v>
      </c>
      <c r="E237" s="37" t="s">
        <v>1228</v>
      </c>
      <c r="F237" s="101">
        <f t="shared" si="8"/>
        <v>0.90555555555329192</v>
      </c>
    </row>
    <row r="238" spans="1:6" x14ac:dyDescent="0.25">
      <c r="A238" s="37" t="s">
        <v>174</v>
      </c>
      <c r="B238" s="94">
        <v>45692</v>
      </c>
      <c r="C238" s="37" t="s">
        <v>1052</v>
      </c>
      <c r="D238" s="94">
        <v>45692</v>
      </c>
      <c r="E238" s="37" t="s">
        <v>1071</v>
      </c>
      <c r="F238" s="101">
        <f t="shared" si="8"/>
        <v>0.11041666667006211</v>
      </c>
    </row>
    <row r="239" spans="1:6" x14ac:dyDescent="0.25">
      <c r="A239" s="37" t="s">
        <v>155</v>
      </c>
      <c r="B239" s="94">
        <v>45692</v>
      </c>
      <c r="C239" s="37" t="s">
        <v>908</v>
      </c>
      <c r="D239" s="94">
        <v>45692</v>
      </c>
      <c r="E239" s="37" t="s">
        <v>528</v>
      </c>
      <c r="F239" s="101">
        <f t="shared" si="8"/>
        <v>0.50069444444670808</v>
      </c>
    </row>
    <row r="240" spans="1:6" x14ac:dyDescent="0.25">
      <c r="A240" s="37" t="s">
        <v>172</v>
      </c>
      <c r="B240" s="94">
        <v>45692</v>
      </c>
      <c r="C240" s="37" t="s">
        <v>908</v>
      </c>
      <c r="D240" s="94">
        <v>45692</v>
      </c>
      <c r="E240" s="37" t="s">
        <v>1069</v>
      </c>
      <c r="F240" s="101">
        <f t="shared" si="8"/>
        <v>7.777777778392192E-2</v>
      </c>
    </row>
    <row r="241" spans="1:6" x14ac:dyDescent="0.25">
      <c r="A241" s="37" t="s">
        <v>177</v>
      </c>
      <c r="B241" s="94">
        <v>45692</v>
      </c>
      <c r="C241" s="37" t="s">
        <v>1059</v>
      </c>
      <c r="D241" s="94">
        <v>45692</v>
      </c>
      <c r="E241" s="37" t="s">
        <v>1073</v>
      </c>
      <c r="F241" s="101">
        <f t="shared" si="8"/>
        <v>7.6388888883229811E-2</v>
      </c>
    </row>
    <row r="242" spans="1:6" x14ac:dyDescent="0.25">
      <c r="A242" s="37" t="s">
        <v>178</v>
      </c>
      <c r="B242" s="94">
        <v>45692</v>
      </c>
      <c r="C242" s="37" t="s">
        <v>1061</v>
      </c>
      <c r="D242" s="94">
        <v>45692</v>
      </c>
      <c r="E242" s="37" t="s">
        <v>1090</v>
      </c>
      <c r="F242" s="101">
        <f t="shared" si="8"/>
        <v>0.10763888889050577</v>
      </c>
    </row>
    <row r="243" spans="1:6" x14ac:dyDescent="0.25">
      <c r="A243" s="37" t="s">
        <v>161</v>
      </c>
      <c r="B243" s="94">
        <v>45692</v>
      </c>
      <c r="C243" s="37" t="s">
        <v>1063</v>
      </c>
      <c r="D243" s="94">
        <v>45692</v>
      </c>
      <c r="E243" s="37" t="s">
        <v>1090</v>
      </c>
      <c r="F243" s="101">
        <f t="shared" si="8"/>
        <v>9.9305555551836733E-2</v>
      </c>
    </row>
    <row r="244" spans="1:6" x14ac:dyDescent="0.25">
      <c r="A244" s="37" t="s">
        <v>162</v>
      </c>
      <c r="B244" s="94">
        <v>45692</v>
      </c>
      <c r="C244" s="37" t="s">
        <v>1065</v>
      </c>
      <c r="D244" s="94">
        <v>45692</v>
      </c>
      <c r="E244" s="37" t="s">
        <v>195</v>
      </c>
      <c r="F244" s="101">
        <f t="shared" si="8"/>
        <v>9.0972222220443655E-2</v>
      </c>
    </row>
    <row r="245" spans="1:6" x14ac:dyDescent="0.25">
      <c r="A245" s="37" t="s">
        <v>263</v>
      </c>
      <c r="B245" s="94">
        <v>45692</v>
      </c>
      <c r="C245" s="37" t="s">
        <v>1067</v>
      </c>
      <c r="D245" s="94">
        <v>45693</v>
      </c>
      <c r="E245" s="37" t="s">
        <v>1226</v>
      </c>
      <c r="F245" s="101">
        <f t="shared" si="8"/>
        <v>0.81041666666715173</v>
      </c>
    </row>
    <row r="246" spans="1:6" x14ac:dyDescent="0.25">
      <c r="A246" s="37" t="s">
        <v>173</v>
      </c>
      <c r="B246" s="94">
        <v>45692</v>
      </c>
      <c r="C246" s="37" t="s">
        <v>1075</v>
      </c>
      <c r="D246" s="94">
        <v>45692</v>
      </c>
      <c r="E246" s="37" t="s">
        <v>1097</v>
      </c>
      <c r="F246" s="101">
        <f t="shared" si="8"/>
        <v>4.2361111110949423E-2</v>
      </c>
    </row>
    <row r="247" spans="1:6" x14ac:dyDescent="0.25">
      <c r="A247" s="37" t="s">
        <v>169</v>
      </c>
      <c r="B247" s="94">
        <v>45692</v>
      </c>
      <c r="C247" s="37" t="s">
        <v>1077</v>
      </c>
      <c r="D247" s="94">
        <v>45692</v>
      </c>
      <c r="E247" s="37" t="s">
        <v>239</v>
      </c>
      <c r="F247" s="101">
        <f t="shared" si="8"/>
        <v>0.45972222222189885</v>
      </c>
    </row>
    <row r="248" spans="1:6" x14ac:dyDescent="0.25">
      <c r="A248" s="37" t="s">
        <v>175</v>
      </c>
      <c r="B248" s="94">
        <v>45692</v>
      </c>
      <c r="C248" s="37" t="s">
        <v>1081</v>
      </c>
      <c r="D248" s="94">
        <v>45693</v>
      </c>
      <c r="E248" s="37" t="s">
        <v>193</v>
      </c>
      <c r="F248" s="101">
        <f t="shared" si="8"/>
        <v>1.586111111115315</v>
      </c>
    </row>
    <row r="249" spans="1:6" x14ac:dyDescent="0.25">
      <c r="A249" s="37" t="s">
        <v>163</v>
      </c>
      <c r="B249" s="94">
        <v>45692</v>
      </c>
      <c r="C249" s="37" t="s">
        <v>215</v>
      </c>
      <c r="D249" s="94">
        <v>45692</v>
      </c>
      <c r="E249" s="37" t="s">
        <v>1099</v>
      </c>
      <c r="F249" s="101">
        <f t="shared" si="8"/>
        <v>3.7499999998544808E-2</v>
      </c>
    </row>
    <row r="250" spans="1:6" x14ac:dyDescent="0.25">
      <c r="A250" s="37" t="s">
        <v>164</v>
      </c>
      <c r="B250" s="94">
        <v>45692</v>
      </c>
      <c r="C250" s="37" t="s">
        <v>234</v>
      </c>
      <c r="D250" s="94">
        <v>45692</v>
      </c>
      <c r="E250" s="37" t="s">
        <v>1099</v>
      </c>
      <c r="F250" s="101">
        <f t="shared" si="8"/>
        <v>3.6111111112404615E-2</v>
      </c>
    </row>
    <row r="251" spans="1:6" x14ac:dyDescent="0.25">
      <c r="A251" s="37" t="s">
        <v>168</v>
      </c>
      <c r="B251" s="94">
        <v>45692</v>
      </c>
      <c r="C251" s="37" t="s">
        <v>255</v>
      </c>
      <c r="D251" s="94">
        <v>45692</v>
      </c>
      <c r="E251" s="37" t="s">
        <v>1118</v>
      </c>
      <c r="F251" s="101">
        <f t="shared" si="8"/>
        <v>0.11249999999563443</v>
      </c>
    </row>
    <row r="252" spans="1:6" x14ac:dyDescent="0.25">
      <c r="A252" s="37" t="s">
        <v>165</v>
      </c>
      <c r="B252" s="94">
        <v>45692</v>
      </c>
      <c r="C252" s="37" t="s">
        <v>1086</v>
      </c>
      <c r="D252" s="94">
        <v>45692</v>
      </c>
      <c r="E252" s="37" t="s">
        <v>1116</v>
      </c>
      <c r="F252" s="101">
        <f t="shared" si="8"/>
        <v>0.10972222222335404</v>
      </c>
    </row>
    <row r="253" spans="1:6" x14ac:dyDescent="0.25">
      <c r="A253" s="37" t="s">
        <v>252</v>
      </c>
      <c r="B253" s="94">
        <v>45692</v>
      </c>
      <c r="C253" s="37" t="s">
        <v>948</v>
      </c>
      <c r="D253" s="94">
        <v>45692</v>
      </c>
      <c r="E253" s="37" t="s">
        <v>1219</v>
      </c>
      <c r="F253" s="101">
        <f t="shared" si="8"/>
        <v>0.60000000000582077</v>
      </c>
    </row>
    <row r="254" spans="1:6" x14ac:dyDescent="0.25">
      <c r="A254" s="37" t="s">
        <v>273</v>
      </c>
      <c r="B254" s="94">
        <v>45692</v>
      </c>
      <c r="C254" s="37" t="s">
        <v>948</v>
      </c>
      <c r="D254" s="94">
        <v>45692</v>
      </c>
      <c r="E254" s="37" t="s">
        <v>283</v>
      </c>
      <c r="F254" s="101">
        <f t="shared" si="8"/>
        <v>0.61805555556202307</v>
      </c>
    </row>
    <row r="255" spans="1:6" x14ac:dyDescent="0.25">
      <c r="A255" s="37" t="s">
        <v>272</v>
      </c>
      <c r="B255" s="94">
        <v>45692</v>
      </c>
      <c r="C255" s="37" t="s">
        <v>195</v>
      </c>
      <c r="D255" s="94">
        <v>45692</v>
      </c>
      <c r="E255" s="37" t="s">
        <v>541</v>
      </c>
      <c r="F255" s="101">
        <f t="shared" si="8"/>
        <v>0.62083333333430346</v>
      </c>
    </row>
    <row r="256" spans="1:6" x14ac:dyDescent="0.25">
      <c r="A256" s="37" t="s">
        <v>144</v>
      </c>
      <c r="B256" s="94">
        <v>45692</v>
      </c>
      <c r="C256" s="37" t="s">
        <v>746</v>
      </c>
      <c r="D256" s="94">
        <v>45692</v>
      </c>
      <c r="E256" s="37" t="s">
        <v>1217</v>
      </c>
      <c r="F256" s="101">
        <f t="shared" si="8"/>
        <v>0.59166666666715173</v>
      </c>
    </row>
    <row r="257" spans="1:6" x14ac:dyDescent="0.25">
      <c r="A257" s="37" t="s">
        <v>170</v>
      </c>
      <c r="B257" s="94">
        <v>45692</v>
      </c>
      <c r="C257" s="37" t="s">
        <v>206</v>
      </c>
      <c r="D257" s="94">
        <v>45692</v>
      </c>
      <c r="E257" s="37" t="s">
        <v>1136</v>
      </c>
      <c r="F257" s="101">
        <f t="shared" ref="F257:F288" si="9">(D257 + TIME(LEFT(E257, 2), MID(E257, 3, 2), 0)) - (B257 + TIME(LEFT(C257, 2), MID(C257, 3, 2), 0))</f>
        <v>0.25416666666569654</v>
      </c>
    </row>
    <row r="258" spans="1:6" x14ac:dyDescent="0.25">
      <c r="A258" s="37" t="s">
        <v>264</v>
      </c>
      <c r="B258" s="94">
        <v>45692</v>
      </c>
      <c r="C258" s="37" t="s">
        <v>1102</v>
      </c>
      <c r="D258" s="94">
        <v>45692</v>
      </c>
      <c r="E258" s="37" t="s">
        <v>1119</v>
      </c>
      <c r="F258" s="101">
        <f t="shared" si="9"/>
        <v>0.12222222222044365</v>
      </c>
    </row>
    <row r="259" spans="1:6" x14ac:dyDescent="0.25">
      <c r="A259" s="37" t="s">
        <v>194</v>
      </c>
      <c r="B259" s="94">
        <v>45692</v>
      </c>
      <c r="C259" s="37" t="s">
        <v>1104</v>
      </c>
      <c r="D259" s="94">
        <v>45693</v>
      </c>
      <c r="E259" s="37" t="s">
        <v>541</v>
      </c>
      <c r="F259" s="101">
        <f t="shared" si="9"/>
        <v>1.632638888891961</v>
      </c>
    </row>
    <row r="260" spans="1:6" x14ac:dyDescent="0.25">
      <c r="A260" s="37" t="s">
        <v>174</v>
      </c>
      <c r="B260" s="94">
        <v>45692</v>
      </c>
      <c r="C260" s="37" t="s">
        <v>1106</v>
      </c>
      <c r="D260" s="94">
        <v>45692</v>
      </c>
      <c r="E260" s="37" t="s">
        <v>1152</v>
      </c>
      <c r="F260" s="101">
        <f t="shared" si="9"/>
        <v>0.31458333333284827</v>
      </c>
    </row>
    <row r="261" spans="1:6" x14ac:dyDescent="0.25">
      <c r="A261" s="37" t="s">
        <v>172</v>
      </c>
      <c r="B261" s="94">
        <v>45692</v>
      </c>
      <c r="C261" s="37" t="s">
        <v>1108</v>
      </c>
      <c r="D261" s="94">
        <v>45692</v>
      </c>
      <c r="E261" s="37" t="s">
        <v>1157</v>
      </c>
      <c r="F261" s="101">
        <f t="shared" si="9"/>
        <v>0.30347222222189885</v>
      </c>
    </row>
    <row r="262" spans="1:6" x14ac:dyDescent="0.25">
      <c r="A262" s="37" t="s">
        <v>177</v>
      </c>
      <c r="B262" s="94">
        <v>45692</v>
      </c>
      <c r="C262" s="37" t="s">
        <v>607</v>
      </c>
      <c r="D262" s="94">
        <v>45692</v>
      </c>
      <c r="E262" s="37" t="s">
        <v>1167</v>
      </c>
      <c r="F262" s="101">
        <f t="shared" si="9"/>
        <v>0.35208333333139308</v>
      </c>
    </row>
    <row r="263" spans="1:6" x14ac:dyDescent="0.25">
      <c r="A263" s="37" t="s">
        <v>178</v>
      </c>
      <c r="B263" s="94">
        <v>45692</v>
      </c>
      <c r="C263" s="37" t="s">
        <v>1111</v>
      </c>
      <c r="D263" s="94">
        <v>45692</v>
      </c>
      <c r="E263" s="37" t="s">
        <v>999</v>
      </c>
      <c r="F263" s="101">
        <f t="shared" si="9"/>
        <v>0.31180555555329192</v>
      </c>
    </row>
    <row r="264" spans="1:6" x14ac:dyDescent="0.25">
      <c r="A264" s="37" t="s">
        <v>161</v>
      </c>
      <c r="B264" s="94">
        <v>45692</v>
      </c>
      <c r="C264" s="37" t="s">
        <v>770</v>
      </c>
      <c r="D264" s="94">
        <v>45692</v>
      </c>
      <c r="E264" s="37" t="s">
        <v>1001</v>
      </c>
      <c r="F264" s="101">
        <f t="shared" si="9"/>
        <v>0.30694444444088731</v>
      </c>
    </row>
    <row r="265" spans="1:6" x14ac:dyDescent="0.25">
      <c r="A265" s="37" t="s">
        <v>162</v>
      </c>
      <c r="B265" s="94">
        <v>45692</v>
      </c>
      <c r="C265" s="37" t="s">
        <v>1114</v>
      </c>
      <c r="D265" s="94">
        <v>45692</v>
      </c>
      <c r="E265" s="37" t="s">
        <v>1164</v>
      </c>
      <c r="F265" s="101">
        <f t="shared" si="9"/>
        <v>0.30069444444961846</v>
      </c>
    </row>
    <row r="266" spans="1:6" x14ac:dyDescent="0.25">
      <c r="A266" s="37" t="s">
        <v>264</v>
      </c>
      <c r="B266" s="94">
        <v>45692</v>
      </c>
      <c r="C266" s="37" t="s">
        <v>1121</v>
      </c>
      <c r="D266" s="94">
        <v>45692</v>
      </c>
      <c r="E266" s="37" t="s">
        <v>1127</v>
      </c>
      <c r="F266" s="101">
        <f t="shared" si="9"/>
        <v>2.0833333335758653E-2</v>
      </c>
    </row>
    <row r="267" spans="1:6" x14ac:dyDescent="0.25">
      <c r="A267" s="37" t="s">
        <v>166</v>
      </c>
      <c r="B267" s="94">
        <v>45692</v>
      </c>
      <c r="C267" s="37" t="s">
        <v>1122</v>
      </c>
      <c r="D267" s="94">
        <v>45692</v>
      </c>
      <c r="E267" s="37" t="s">
        <v>682</v>
      </c>
      <c r="F267" s="101">
        <f t="shared" si="9"/>
        <v>0.45902777777519077</v>
      </c>
    </row>
    <row r="268" spans="1:6" x14ac:dyDescent="0.25">
      <c r="A268" s="37" t="s">
        <v>268</v>
      </c>
      <c r="B268" s="94">
        <v>45692</v>
      </c>
      <c r="C268" s="37" t="s">
        <v>1125</v>
      </c>
      <c r="D268" s="94">
        <v>45692</v>
      </c>
      <c r="E268" s="37" t="s">
        <v>1159</v>
      </c>
      <c r="F268" s="101">
        <f t="shared" si="9"/>
        <v>0.17291666666278616</v>
      </c>
    </row>
    <row r="269" spans="1:6" x14ac:dyDescent="0.25">
      <c r="A269" s="37" t="s">
        <v>173</v>
      </c>
      <c r="B269" s="94">
        <v>45692</v>
      </c>
      <c r="C269" s="37" t="s">
        <v>1130</v>
      </c>
      <c r="D269" s="94">
        <v>45692</v>
      </c>
      <c r="E269" s="37" t="s">
        <v>647</v>
      </c>
      <c r="F269" s="101">
        <f t="shared" si="9"/>
        <v>0.16527777777810115</v>
      </c>
    </row>
    <row r="270" spans="1:6" x14ac:dyDescent="0.25">
      <c r="A270" s="37" t="s">
        <v>163</v>
      </c>
      <c r="B270" s="94">
        <v>45692</v>
      </c>
      <c r="C270" s="37" t="s">
        <v>1132</v>
      </c>
      <c r="D270" s="94">
        <v>45692</v>
      </c>
      <c r="E270" s="37" t="s">
        <v>271</v>
      </c>
      <c r="F270" s="101">
        <f t="shared" si="9"/>
        <v>0.26458333333721384</v>
      </c>
    </row>
    <row r="271" spans="1:6" x14ac:dyDescent="0.25">
      <c r="A271" s="37" t="s">
        <v>164</v>
      </c>
      <c r="B271" s="94">
        <v>45692</v>
      </c>
      <c r="C271" s="37" t="s">
        <v>1134</v>
      </c>
      <c r="D271" s="94">
        <v>45692</v>
      </c>
      <c r="E271" s="37" t="s">
        <v>1197</v>
      </c>
      <c r="F271" s="101">
        <f t="shared" si="9"/>
        <v>0.24791666666715173</v>
      </c>
    </row>
    <row r="272" spans="1:6" x14ac:dyDescent="0.25">
      <c r="A272" s="37" t="s">
        <v>165</v>
      </c>
      <c r="B272" s="94">
        <v>45692</v>
      </c>
      <c r="C272" s="37" t="s">
        <v>1139</v>
      </c>
      <c r="D272" s="94">
        <v>45692</v>
      </c>
      <c r="E272" s="37" t="s">
        <v>674</v>
      </c>
      <c r="F272" s="101">
        <f t="shared" si="9"/>
        <v>0.31597222222626442</v>
      </c>
    </row>
    <row r="273" spans="1:7" x14ac:dyDescent="0.25">
      <c r="A273" s="37" t="s">
        <v>168</v>
      </c>
      <c r="B273" s="94">
        <v>45692</v>
      </c>
      <c r="C273" s="37" t="s">
        <v>1139</v>
      </c>
      <c r="D273" s="94">
        <v>45692</v>
      </c>
      <c r="E273" s="37" t="s">
        <v>1203</v>
      </c>
      <c r="F273" s="101">
        <f t="shared" si="9"/>
        <v>0.23750000000291038</v>
      </c>
    </row>
    <row r="274" spans="1:7" x14ac:dyDescent="0.25">
      <c r="A274" s="37" t="s">
        <v>170</v>
      </c>
      <c r="B274" s="94">
        <v>45692</v>
      </c>
      <c r="C274" s="37" t="s">
        <v>1139</v>
      </c>
      <c r="D274" s="94">
        <v>45692</v>
      </c>
      <c r="E274" s="37" t="s">
        <v>1146</v>
      </c>
      <c r="F274" s="101">
        <f t="shared" si="9"/>
        <v>2.5694444448163267E-2</v>
      </c>
    </row>
    <row r="275" spans="1:7" x14ac:dyDescent="0.25">
      <c r="A275" s="37" t="s">
        <v>151</v>
      </c>
      <c r="B275" s="94">
        <v>45692</v>
      </c>
      <c r="C275" s="37" t="s">
        <v>1142</v>
      </c>
      <c r="D275" s="94">
        <v>45695</v>
      </c>
      <c r="E275" s="37" t="s">
        <v>1612</v>
      </c>
      <c r="F275" s="101">
        <f t="shared" si="9"/>
        <v>3.0416666666642413</v>
      </c>
      <c r="G275" s="37" t="s">
        <v>9</v>
      </c>
    </row>
    <row r="276" spans="1:7" x14ac:dyDescent="0.25">
      <c r="A276" s="37" t="s">
        <v>251</v>
      </c>
      <c r="B276" s="94">
        <v>45692</v>
      </c>
      <c r="C276" s="37" t="s">
        <v>1144</v>
      </c>
      <c r="D276" s="94">
        <v>45692</v>
      </c>
      <c r="E276" s="37" t="s">
        <v>1194</v>
      </c>
      <c r="F276" s="101">
        <f t="shared" si="9"/>
        <v>0.18888888888614019</v>
      </c>
    </row>
    <row r="277" spans="1:7" x14ac:dyDescent="0.25">
      <c r="A277" s="37" t="s">
        <v>202</v>
      </c>
      <c r="B277" s="94">
        <v>45692</v>
      </c>
      <c r="C277" s="37" t="s">
        <v>1148</v>
      </c>
      <c r="D277" s="94">
        <v>45692</v>
      </c>
      <c r="E277" s="37" t="s">
        <v>1172</v>
      </c>
      <c r="F277" s="101">
        <f t="shared" si="9"/>
        <v>8.6111111115314998E-2</v>
      </c>
    </row>
    <row r="278" spans="1:7" x14ac:dyDescent="0.25">
      <c r="A278" s="37" t="s">
        <v>264</v>
      </c>
      <c r="B278" s="94">
        <v>45692</v>
      </c>
      <c r="C278" s="37" t="s">
        <v>1150</v>
      </c>
      <c r="D278" s="94">
        <v>45692</v>
      </c>
      <c r="E278" s="37" t="s">
        <v>282</v>
      </c>
      <c r="F278" s="101">
        <f t="shared" si="9"/>
        <v>0.31041666666715173</v>
      </c>
    </row>
    <row r="279" spans="1:7" x14ac:dyDescent="0.25">
      <c r="A279" s="37" t="s">
        <v>170</v>
      </c>
      <c r="B279" s="94">
        <v>45692</v>
      </c>
      <c r="C279" s="37" t="s">
        <v>1154</v>
      </c>
      <c r="D279" s="94">
        <v>45692</v>
      </c>
      <c r="E279" s="37" t="s">
        <v>1157</v>
      </c>
      <c r="F279" s="101">
        <f t="shared" si="9"/>
        <v>5.5555555591126904E-3</v>
      </c>
    </row>
    <row r="280" spans="1:7" x14ac:dyDescent="0.25">
      <c r="A280" s="37" t="s">
        <v>160</v>
      </c>
      <c r="B280" s="94">
        <v>45692</v>
      </c>
      <c r="C280" s="37" t="s">
        <v>526</v>
      </c>
      <c r="D280" s="94">
        <v>45693</v>
      </c>
      <c r="E280" s="37" t="s">
        <v>910</v>
      </c>
      <c r="F280" s="101">
        <f t="shared" si="9"/>
        <v>0.50069444444670808</v>
      </c>
    </row>
    <row r="281" spans="1:7" x14ac:dyDescent="0.25">
      <c r="A281" s="37" t="s">
        <v>170</v>
      </c>
      <c r="B281" s="94">
        <v>45692</v>
      </c>
      <c r="C281" s="37" t="s">
        <v>226</v>
      </c>
      <c r="D281" s="94">
        <v>45692</v>
      </c>
      <c r="E281" s="37" t="s">
        <v>1020</v>
      </c>
      <c r="F281" s="101">
        <f t="shared" si="9"/>
        <v>0.11875000000145519</v>
      </c>
    </row>
    <row r="282" spans="1:7" x14ac:dyDescent="0.25">
      <c r="A282" s="37" t="s">
        <v>159</v>
      </c>
      <c r="B282" s="94">
        <v>45692</v>
      </c>
      <c r="C282" s="37" t="s">
        <v>1174</v>
      </c>
      <c r="D282" s="94">
        <v>45692</v>
      </c>
      <c r="E282" s="37" t="s">
        <v>1183</v>
      </c>
      <c r="F282" s="101">
        <f t="shared" si="9"/>
        <v>1.1111111110949423E-2</v>
      </c>
    </row>
    <row r="283" spans="1:7" x14ac:dyDescent="0.25">
      <c r="A283" s="37" t="s">
        <v>174</v>
      </c>
      <c r="B283" s="94">
        <v>45692</v>
      </c>
      <c r="C283" s="37" t="s">
        <v>1177</v>
      </c>
      <c r="D283" s="94">
        <v>45692</v>
      </c>
      <c r="E283" s="37" t="s">
        <v>852</v>
      </c>
      <c r="F283" s="101">
        <f t="shared" si="9"/>
        <v>0.11805555555474712</v>
      </c>
    </row>
    <row r="284" spans="1:7" x14ac:dyDescent="0.25">
      <c r="A284" s="37" t="s">
        <v>172</v>
      </c>
      <c r="B284" s="94">
        <v>45692</v>
      </c>
      <c r="C284" s="37" t="s">
        <v>1179</v>
      </c>
      <c r="D284" s="94">
        <v>45692</v>
      </c>
      <c r="E284" s="37" t="s">
        <v>1028</v>
      </c>
      <c r="F284" s="101">
        <f t="shared" si="9"/>
        <v>0.15138888888759539</v>
      </c>
    </row>
    <row r="285" spans="1:7" x14ac:dyDescent="0.25">
      <c r="A285" s="37" t="s">
        <v>177</v>
      </c>
      <c r="B285" s="94">
        <v>45692</v>
      </c>
      <c r="C285" s="37" t="s">
        <v>837</v>
      </c>
      <c r="D285" s="94">
        <v>45692</v>
      </c>
      <c r="E285" s="37" t="s">
        <v>1207</v>
      </c>
      <c r="F285" s="101">
        <f t="shared" si="9"/>
        <v>0.12430555556056788</v>
      </c>
    </row>
    <row r="286" spans="1:7" x14ac:dyDescent="0.25">
      <c r="A286" s="37" t="s">
        <v>202</v>
      </c>
      <c r="B286" s="94">
        <v>45692</v>
      </c>
      <c r="C286" s="37" t="s">
        <v>279</v>
      </c>
      <c r="D286" s="94">
        <v>45692</v>
      </c>
      <c r="E286" s="37" t="s">
        <v>1201</v>
      </c>
      <c r="F286" s="101">
        <f t="shared" si="9"/>
        <v>6.5972222218988463E-2</v>
      </c>
    </row>
    <row r="287" spans="1:7" x14ac:dyDescent="0.25">
      <c r="A287" s="37" t="s">
        <v>178</v>
      </c>
      <c r="B287" s="94">
        <v>45692</v>
      </c>
      <c r="C287" s="37" t="s">
        <v>1184</v>
      </c>
      <c r="D287" s="94">
        <v>45692</v>
      </c>
      <c r="E287" s="37" t="s">
        <v>1209</v>
      </c>
      <c r="F287" s="101">
        <f t="shared" si="9"/>
        <v>0.12708333333284827</v>
      </c>
    </row>
    <row r="288" spans="1:7" x14ac:dyDescent="0.25">
      <c r="A288" s="37" t="s">
        <v>161</v>
      </c>
      <c r="B288" s="94">
        <v>45692</v>
      </c>
      <c r="C288" s="37" t="s">
        <v>1186</v>
      </c>
      <c r="D288" s="94">
        <v>45692</v>
      </c>
      <c r="E288" s="37" t="s">
        <v>1211</v>
      </c>
      <c r="F288" s="101">
        <f t="shared" si="9"/>
        <v>0.12361111111385981</v>
      </c>
    </row>
    <row r="289" spans="1:6" x14ac:dyDescent="0.25">
      <c r="A289" s="37" t="s">
        <v>169</v>
      </c>
      <c r="B289" s="94">
        <v>45692</v>
      </c>
      <c r="C289" s="37" t="s">
        <v>1188</v>
      </c>
      <c r="D289" s="94">
        <v>45692</v>
      </c>
      <c r="E289" s="37" t="s">
        <v>1191</v>
      </c>
      <c r="F289" s="101">
        <f t="shared" ref="F289:F320" si="10">(D289 + TIME(LEFT(E289, 2), MID(E289, 3, 2), 0)) - (B289 + TIME(LEFT(C289, 2), MID(C289, 3, 2), 0))</f>
        <v>1.3888888934161514E-3</v>
      </c>
    </row>
    <row r="290" spans="1:6" x14ac:dyDescent="0.25">
      <c r="A290" s="37" t="s">
        <v>159</v>
      </c>
      <c r="B290" s="94">
        <v>45692</v>
      </c>
      <c r="C290" s="37" t="s">
        <v>1188</v>
      </c>
      <c r="D290" s="94">
        <v>45693</v>
      </c>
      <c r="E290" s="37" t="s">
        <v>1079</v>
      </c>
      <c r="F290" s="101">
        <f t="shared" si="10"/>
        <v>0.49305555555474712</v>
      </c>
    </row>
    <row r="291" spans="1:6" x14ac:dyDescent="0.25">
      <c r="A291" s="37" t="s">
        <v>302</v>
      </c>
      <c r="B291" s="94">
        <v>45692</v>
      </c>
      <c r="C291" s="37" t="s">
        <v>1192</v>
      </c>
      <c r="D291" s="94">
        <v>45693</v>
      </c>
      <c r="E291" s="37" t="s">
        <v>1305</v>
      </c>
      <c r="F291" s="101">
        <f t="shared" si="10"/>
        <v>0.73541666666278616</v>
      </c>
    </row>
    <row r="292" spans="1:6" x14ac:dyDescent="0.25">
      <c r="A292" s="37" t="s">
        <v>162</v>
      </c>
      <c r="B292" s="94">
        <v>45692</v>
      </c>
      <c r="C292" s="37" t="s">
        <v>1199</v>
      </c>
      <c r="D292" s="94">
        <v>45692</v>
      </c>
      <c r="E292" s="37" t="s">
        <v>1214</v>
      </c>
      <c r="F292" s="101">
        <f t="shared" si="10"/>
        <v>0.12361111110658385</v>
      </c>
    </row>
    <row r="293" spans="1:6" x14ac:dyDescent="0.25">
      <c r="A293" s="37" t="s">
        <v>155</v>
      </c>
      <c r="B293" s="94">
        <v>45692</v>
      </c>
      <c r="C293" s="37" t="s">
        <v>680</v>
      </c>
      <c r="D293" s="94">
        <v>45693</v>
      </c>
      <c r="E293" s="37" t="s">
        <v>167</v>
      </c>
      <c r="F293" s="101">
        <f t="shared" si="10"/>
        <v>0.50069444444670808</v>
      </c>
    </row>
    <row r="294" spans="1:6" x14ac:dyDescent="0.25">
      <c r="A294" s="37" t="s">
        <v>158</v>
      </c>
      <c r="B294" s="94">
        <v>45693</v>
      </c>
      <c r="C294" s="37" t="s">
        <v>1230</v>
      </c>
      <c r="D294" s="94">
        <v>45694</v>
      </c>
      <c r="E294" s="37" t="s">
        <v>1530</v>
      </c>
      <c r="F294" s="101">
        <f t="shared" si="10"/>
        <v>1.8430555555532919</v>
      </c>
    </row>
    <row r="295" spans="1:6" x14ac:dyDescent="0.25">
      <c r="A295" s="37" t="s">
        <v>157</v>
      </c>
      <c r="B295" s="94">
        <v>45693</v>
      </c>
      <c r="C295" s="37" t="s">
        <v>1234</v>
      </c>
      <c r="D295" s="94">
        <v>45695</v>
      </c>
      <c r="E295" s="37" t="s">
        <v>1663</v>
      </c>
      <c r="F295" s="101">
        <f t="shared" si="10"/>
        <v>2.6229166666671517</v>
      </c>
    </row>
    <row r="296" spans="1:6" x14ac:dyDescent="0.25">
      <c r="A296" s="37" t="s">
        <v>166</v>
      </c>
      <c r="B296" s="94">
        <v>45693</v>
      </c>
      <c r="C296" s="37" t="s">
        <v>908</v>
      </c>
      <c r="D296" s="94">
        <v>45693</v>
      </c>
      <c r="E296" s="37" t="s">
        <v>528</v>
      </c>
      <c r="F296" s="101">
        <f t="shared" si="10"/>
        <v>0.50069444444670808</v>
      </c>
    </row>
    <row r="297" spans="1:6" x14ac:dyDescent="0.25">
      <c r="A297" s="37" t="s">
        <v>163</v>
      </c>
      <c r="B297" s="94">
        <v>45693</v>
      </c>
      <c r="C297" s="37" t="s">
        <v>1238</v>
      </c>
      <c r="D297" s="94">
        <v>45693</v>
      </c>
      <c r="E297" s="37" t="s">
        <v>1245</v>
      </c>
      <c r="F297" s="101">
        <f t="shared" si="10"/>
        <v>2.361111110803904E-2</v>
      </c>
    </row>
    <row r="298" spans="1:6" x14ac:dyDescent="0.25">
      <c r="A298" s="37" t="s">
        <v>164</v>
      </c>
      <c r="B298" s="94">
        <v>45693</v>
      </c>
      <c r="C298" s="37" t="s">
        <v>1238</v>
      </c>
      <c r="D298" s="94">
        <v>45693</v>
      </c>
      <c r="E298" s="37" t="s">
        <v>1249</v>
      </c>
      <c r="F298" s="101">
        <f t="shared" si="10"/>
        <v>2.9861111113859806E-2</v>
      </c>
    </row>
    <row r="299" spans="1:6" x14ac:dyDescent="0.25">
      <c r="A299" s="37" t="s">
        <v>273</v>
      </c>
      <c r="B299" s="94">
        <v>45693</v>
      </c>
      <c r="C299" s="37" t="s">
        <v>1241</v>
      </c>
      <c r="D299" s="94">
        <v>45694</v>
      </c>
      <c r="E299" s="37" t="s">
        <v>1392</v>
      </c>
      <c r="F299" s="101">
        <f t="shared" si="10"/>
        <v>0.85347222222480923</v>
      </c>
    </row>
    <row r="300" spans="1:6" x14ac:dyDescent="0.25">
      <c r="A300" s="37" t="s">
        <v>252</v>
      </c>
      <c r="B300" s="94">
        <v>45693</v>
      </c>
      <c r="C300" s="37" t="s">
        <v>281</v>
      </c>
      <c r="D300" s="94">
        <v>45694</v>
      </c>
      <c r="E300" s="37" t="s">
        <v>1387</v>
      </c>
      <c r="F300" s="101">
        <f t="shared" si="10"/>
        <v>0.77361111110803904</v>
      </c>
    </row>
    <row r="301" spans="1:6" x14ac:dyDescent="0.25">
      <c r="A301" s="37" t="s">
        <v>144</v>
      </c>
      <c r="B301" s="94">
        <v>45693</v>
      </c>
      <c r="C301" s="37" t="s">
        <v>1247</v>
      </c>
      <c r="D301" s="94">
        <v>45693</v>
      </c>
      <c r="E301" s="37" t="s">
        <v>1257</v>
      </c>
      <c r="F301" s="101">
        <f t="shared" si="10"/>
        <v>4.8611111109494232E-2</v>
      </c>
    </row>
    <row r="302" spans="1:6" x14ac:dyDescent="0.25">
      <c r="A302" s="37" t="s">
        <v>272</v>
      </c>
      <c r="B302" s="94">
        <v>45693</v>
      </c>
      <c r="C302" s="37" t="s">
        <v>1251</v>
      </c>
      <c r="D302" s="94">
        <v>45694</v>
      </c>
      <c r="E302" s="37" t="s">
        <v>1390</v>
      </c>
      <c r="F302" s="101">
        <f t="shared" si="10"/>
        <v>0.81458333333284827</v>
      </c>
    </row>
    <row r="303" spans="1:6" x14ac:dyDescent="0.25">
      <c r="A303" s="37" t="s">
        <v>168</v>
      </c>
      <c r="B303" s="94">
        <v>45693</v>
      </c>
      <c r="C303" s="37" t="s">
        <v>219</v>
      </c>
      <c r="D303" s="94">
        <v>45693</v>
      </c>
      <c r="E303" s="37" t="s">
        <v>1256</v>
      </c>
      <c r="F303" s="101">
        <f t="shared" si="10"/>
        <v>2.0138888889050577E-2</v>
      </c>
    </row>
    <row r="304" spans="1:6" x14ac:dyDescent="0.25">
      <c r="A304" s="37" t="s">
        <v>263</v>
      </c>
      <c r="B304" s="94">
        <v>45693</v>
      </c>
      <c r="C304" s="37" t="s">
        <v>1254</v>
      </c>
      <c r="D304" s="94">
        <v>45696</v>
      </c>
      <c r="E304" s="37" t="s">
        <v>1808</v>
      </c>
      <c r="F304" s="101">
        <f t="shared" si="10"/>
        <v>3.6034722222248092</v>
      </c>
    </row>
    <row r="305" spans="1:6" x14ac:dyDescent="0.25">
      <c r="A305" s="37" t="s">
        <v>144</v>
      </c>
      <c r="B305" s="94">
        <v>45693</v>
      </c>
      <c r="C305" s="37" t="s">
        <v>234</v>
      </c>
      <c r="D305" s="94">
        <v>45693</v>
      </c>
      <c r="E305" s="37" t="s">
        <v>1299</v>
      </c>
      <c r="F305" s="101">
        <f t="shared" si="10"/>
        <v>0.15277777778101154</v>
      </c>
    </row>
    <row r="306" spans="1:6" x14ac:dyDescent="0.25">
      <c r="A306" s="37" t="s">
        <v>174</v>
      </c>
      <c r="B306" s="94">
        <v>45693</v>
      </c>
      <c r="C306" s="37" t="s">
        <v>234</v>
      </c>
      <c r="D306" s="94">
        <v>45693</v>
      </c>
      <c r="E306" s="37" t="s">
        <v>1268</v>
      </c>
      <c r="F306" s="101">
        <f t="shared" si="10"/>
        <v>3.2638888893416151E-2</v>
      </c>
    </row>
    <row r="307" spans="1:6" x14ac:dyDescent="0.25">
      <c r="A307" s="37" t="s">
        <v>170</v>
      </c>
      <c r="B307" s="94">
        <v>45693</v>
      </c>
      <c r="C307" s="37" t="s">
        <v>255</v>
      </c>
      <c r="D307" s="94">
        <v>45693</v>
      </c>
      <c r="E307" s="37" t="s">
        <v>195</v>
      </c>
      <c r="F307" s="101">
        <f t="shared" si="10"/>
        <v>1.7361111109494232E-2</v>
      </c>
    </row>
    <row r="308" spans="1:6" x14ac:dyDescent="0.25">
      <c r="A308" s="37" t="s">
        <v>169</v>
      </c>
      <c r="B308" s="94">
        <v>45693</v>
      </c>
      <c r="C308" s="37" t="s">
        <v>1077</v>
      </c>
      <c r="D308" s="94">
        <v>45693</v>
      </c>
      <c r="E308" s="37" t="s">
        <v>1346</v>
      </c>
      <c r="F308" s="101">
        <f t="shared" si="10"/>
        <v>0.45833333332848269</v>
      </c>
    </row>
    <row r="309" spans="1:6" x14ac:dyDescent="0.25">
      <c r="A309" s="37" t="s">
        <v>172</v>
      </c>
      <c r="B309" s="94">
        <v>45693</v>
      </c>
      <c r="C309" s="37" t="s">
        <v>1263</v>
      </c>
      <c r="D309" s="94">
        <v>45693</v>
      </c>
      <c r="E309" s="37" t="s">
        <v>750</v>
      </c>
      <c r="F309" s="101">
        <f t="shared" si="10"/>
        <v>1.2499999997089617E-2</v>
      </c>
    </row>
    <row r="310" spans="1:6" x14ac:dyDescent="0.25">
      <c r="A310" s="37" t="s">
        <v>186</v>
      </c>
      <c r="B310" s="94">
        <v>45693</v>
      </c>
      <c r="C310" s="37" t="s">
        <v>1266</v>
      </c>
      <c r="D310" s="94">
        <v>45695</v>
      </c>
      <c r="E310" s="37" t="s">
        <v>1538</v>
      </c>
      <c r="F310" s="101">
        <f t="shared" si="10"/>
        <v>1.710416666661331</v>
      </c>
    </row>
    <row r="311" spans="1:6" x14ac:dyDescent="0.25">
      <c r="A311" s="37" t="s">
        <v>173</v>
      </c>
      <c r="B311" s="94">
        <v>45693</v>
      </c>
      <c r="C311" s="37" t="s">
        <v>1106</v>
      </c>
      <c r="D311" s="94">
        <v>45693</v>
      </c>
      <c r="E311" s="37" t="s">
        <v>528</v>
      </c>
      <c r="F311" s="101">
        <f t="shared" si="10"/>
        <v>0.32777777777664596</v>
      </c>
    </row>
    <row r="312" spans="1:6" x14ac:dyDescent="0.25">
      <c r="A312" s="37" t="s">
        <v>162</v>
      </c>
      <c r="B312" s="94">
        <v>45693</v>
      </c>
      <c r="C312" s="37" t="s">
        <v>1271</v>
      </c>
      <c r="D312" s="94">
        <v>45693</v>
      </c>
      <c r="E312" s="37" t="s">
        <v>1330</v>
      </c>
      <c r="F312" s="101">
        <f t="shared" si="10"/>
        <v>0.32499999999708962</v>
      </c>
    </row>
    <row r="313" spans="1:6" x14ac:dyDescent="0.25">
      <c r="A313" s="37" t="s">
        <v>163</v>
      </c>
      <c r="B313" s="94">
        <v>45693</v>
      </c>
      <c r="C313" s="37" t="s">
        <v>1273</v>
      </c>
      <c r="D313" s="94">
        <v>45693</v>
      </c>
      <c r="E313" s="37" t="s">
        <v>641</v>
      </c>
      <c r="F313" s="101">
        <f t="shared" si="10"/>
        <v>0.32708333333721384</v>
      </c>
    </row>
    <row r="314" spans="1:6" x14ac:dyDescent="0.25">
      <c r="A314" s="37" t="s">
        <v>164</v>
      </c>
      <c r="B314" s="94">
        <v>45693</v>
      </c>
      <c r="C314" s="37" t="s">
        <v>1275</v>
      </c>
      <c r="D314" s="94">
        <v>45693</v>
      </c>
      <c r="E314" s="37" t="s">
        <v>1164</v>
      </c>
      <c r="F314" s="101">
        <f t="shared" si="10"/>
        <v>0.32361111111094942</v>
      </c>
    </row>
    <row r="315" spans="1:6" x14ac:dyDescent="0.25">
      <c r="A315" s="37" t="s">
        <v>264</v>
      </c>
      <c r="B315" s="94">
        <v>45693</v>
      </c>
      <c r="C315" s="37" t="s">
        <v>1277</v>
      </c>
      <c r="D315" s="94">
        <v>45693</v>
      </c>
      <c r="E315" s="37" t="s">
        <v>1312</v>
      </c>
      <c r="F315" s="101">
        <f t="shared" si="10"/>
        <v>0.18055555555474712</v>
      </c>
    </row>
    <row r="316" spans="1:6" x14ac:dyDescent="0.25">
      <c r="A316" s="37" t="s">
        <v>178</v>
      </c>
      <c r="B316" s="94">
        <v>45693</v>
      </c>
      <c r="C316" s="37" t="s">
        <v>1102</v>
      </c>
      <c r="D316" s="94">
        <v>45693</v>
      </c>
      <c r="E316" s="37" t="s">
        <v>1315</v>
      </c>
      <c r="F316" s="101">
        <f t="shared" si="10"/>
        <v>0.22222222222626442</v>
      </c>
    </row>
    <row r="317" spans="1:6" x14ac:dyDescent="0.25">
      <c r="A317" s="37" t="s">
        <v>177</v>
      </c>
      <c r="B317" s="94">
        <v>45693</v>
      </c>
      <c r="C317" s="37" t="s">
        <v>586</v>
      </c>
      <c r="D317" s="94">
        <v>45693</v>
      </c>
      <c r="E317" s="37" t="s">
        <v>1301</v>
      </c>
      <c r="F317" s="101">
        <f t="shared" si="10"/>
        <v>0.16666666666424135</v>
      </c>
    </row>
    <row r="318" spans="1:6" x14ac:dyDescent="0.25">
      <c r="A318" s="37" t="s">
        <v>165</v>
      </c>
      <c r="B318" s="94">
        <v>45693</v>
      </c>
      <c r="C318" s="37" t="s">
        <v>1281</v>
      </c>
      <c r="D318" s="94">
        <v>45693</v>
      </c>
      <c r="E318" s="37" t="s">
        <v>244</v>
      </c>
      <c r="F318" s="101">
        <f t="shared" si="10"/>
        <v>0.30972222222044365</v>
      </c>
    </row>
    <row r="319" spans="1:6" x14ac:dyDescent="0.25">
      <c r="A319" s="37" t="s">
        <v>168</v>
      </c>
      <c r="B319" s="94">
        <v>45693</v>
      </c>
      <c r="C319" s="37" t="s">
        <v>216</v>
      </c>
      <c r="D319" s="94">
        <v>45693</v>
      </c>
      <c r="E319" s="37" t="s">
        <v>1338</v>
      </c>
      <c r="F319" s="101">
        <f t="shared" si="10"/>
        <v>0.32291666667151731</v>
      </c>
    </row>
    <row r="320" spans="1:6" x14ac:dyDescent="0.25">
      <c r="A320" s="37" t="s">
        <v>170</v>
      </c>
      <c r="B320" s="94">
        <v>45693</v>
      </c>
      <c r="C320" s="37" t="s">
        <v>1284</v>
      </c>
      <c r="D320" s="94">
        <v>45693</v>
      </c>
      <c r="E320" s="37" t="s">
        <v>1357</v>
      </c>
      <c r="F320" s="101">
        <f t="shared" si="10"/>
        <v>0.42847222222189885</v>
      </c>
    </row>
    <row r="321" spans="1:8" x14ac:dyDescent="0.25">
      <c r="A321" s="37" t="s">
        <v>174</v>
      </c>
      <c r="B321" s="94">
        <v>45693</v>
      </c>
      <c r="C321" s="37" t="s">
        <v>1285</v>
      </c>
      <c r="D321" s="94">
        <v>45693</v>
      </c>
      <c r="E321" s="37" t="s">
        <v>878</v>
      </c>
      <c r="F321" s="101">
        <f t="shared" ref="F321:F322" si="11">(D321 + TIME(LEFT(E321, 2), MID(E321, 3, 2), 0)) - (B321 + TIME(LEFT(C321, 2), MID(C321, 3, 2), 0))</f>
        <v>0.55902777778101154</v>
      </c>
    </row>
    <row r="322" spans="1:8" x14ac:dyDescent="0.25">
      <c r="A322" s="37" t="s">
        <v>172</v>
      </c>
      <c r="B322" s="94">
        <v>45693</v>
      </c>
      <c r="C322" s="37" t="s">
        <v>1287</v>
      </c>
      <c r="D322" s="94">
        <v>45693</v>
      </c>
      <c r="E322" s="37" t="s">
        <v>1367</v>
      </c>
      <c r="F322" s="101">
        <f t="shared" si="11"/>
        <v>0.54166666666424135</v>
      </c>
    </row>
    <row r="323" spans="1:8" x14ac:dyDescent="0.25">
      <c r="A323" s="37" t="s">
        <v>184</v>
      </c>
      <c r="B323" s="94">
        <v>45693</v>
      </c>
      <c r="C323" s="37" t="s">
        <v>1289</v>
      </c>
      <c r="G323" s="37" t="s">
        <v>9</v>
      </c>
    </row>
    <row r="324" spans="1:8" x14ac:dyDescent="0.25">
      <c r="A324" s="37" t="s">
        <v>176</v>
      </c>
      <c r="B324" s="94">
        <v>45693</v>
      </c>
      <c r="C324" s="37" t="s">
        <v>1289</v>
      </c>
      <c r="G324" s="37" t="s">
        <v>9</v>
      </c>
    </row>
    <row r="325" spans="1:8" x14ac:dyDescent="0.25">
      <c r="A325" s="37" t="s">
        <v>202</v>
      </c>
      <c r="B325" s="94">
        <v>45693</v>
      </c>
      <c r="C325" s="37" t="s">
        <v>1289</v>
      </c>
      <c r="D325" s="94">
        <v>45693</v>
      </c>
      <c r="E325" s="37" t="s">
        <v>1318</v>
      </c>
      <c r="F325" s="101">
        <f>(D325 + TIME(LEFT(E325, 2), MID(E325, 3, 2), 0)) - (B325 + TIME(LEFT(C325, 2), MID(C325, 3, 2), 0))</f>
        <v>0.35694444444379769</v>
      </c>
      <c r="G325" s="37" t="s">
        <v>9</v>
      </c>
    </row>
    <row r="326" spans="1:8" x14ac:dyDescent="0.25">
      <c r="A326" s="37" t="s">
        <v>145</v>
      </c>
      <c r="B326" s="94">
        <v>45693</v>
      </c>
      <c r="C326" s="37" t="s">
        <v>1289</v>
      </c>
      <c r="G326" s="37" t="s">
        <v>9</v>
      </c>
      <c r="H326" s="95" t="s">
        <v>1294</v>
      </c>
    </row>
    <row r="327" spans="1:8" x14ac:dyDescent="0.25">
      <c r="A327" s="37" t="s">
        <v>161</v>
      </c>
      <c r="B327" s="94">
        <v>45693</v>
      </c>
      <c r="C327" s="37" t="s">
        <v>1295</v>
      </c>
      <c r="D327" s="94">
        <v>45693</v>
      </c>
      <c r="E327" s="37" t="s">
        <v>1328</v>
      </c>
      <c r="F327" s="101">
        <f>(D327 + TIME(LEFT(E327, 2), MID(E327, 3, 2), 0)) - (B327 + TIME(LEFT(C327, 2), MID(C327, 3, 2), 0))</f>
        <v>0.25555555555183673</v>
      </c>
    </row>
    <row r="328" spans="1:8" x14ac:dyDescent="0.25">
      <c r="A328" s="37" t="s">
        <v>160</v>
      </c>
      <c r="B328" s="94">
        <v>45693</v>
      </c>
      <c r="C328" s="37" t="s">
        <v>156</v>
      </c>
      <c r="D328" s="94">
        <v>45693</v>
      </c>
      <c r="E328" s="37" t="s">
        <v>682</v>
      </c>
      <c r="F328" s="101">
        <f>(D328 + TIME(LEFT(E328, 2), MID(E328, 3, 2), 0)) - (B328 + TIME(LEFT(C328, 2), MID(C328, 3, 2), 0))</f>
        <v>0.50069444444670808</v>
      </c>
    </row>
    <row r="329" spans="1:8" x14ac:dyDescent="0.25">
      <c r="A329" s="37" t="s">
        <v>144</v>
      </c>
      <c r="B329" s="94">
        <v>45693</v>
      </c>
      <c r="C329" s="37" t="s">
        <v>179</v>
      </c>
      <c r="D329" s="94">
        <v>45694</v>
      </c>
      <c r="E329" s="37" t="s">
        <v>696</v>
      </c>
      <c r="F329" s="101">
        <f>(D329 + TIME(LEFT(E329, 2), MID(E329, 3, 2), 0)) - (B329 + TIME(LEFT(C329, 2), MID(C329, 3, 2), 0))</f>
        <v>0.53958333333139308</v>
      </c>
    </row>
    <row r="330" spans="1:8" x14ac:dyDescent="0.25">
      <c r="A330" s="37" t="s">
        <v>177</v>
      </c>
      <c r="B330" s="94">
        <v>45693</v>
      </c>
      <c r="C330" s="37" t="s">
        <v>223</v>
      </c>
      <c r="D330" s="94">
        <v>45693</v>
      </c>
      <c r="E330" s="37" t="s">
        <v>878</v>
      </c>
      <c r="F330" s="101">
        <f>(D330 + TIME(LEFT(E330, 2), MID(E330, 3, 2), 0)) - (B330 + TIME(LEFT(C330, 2), MID(C330, 3, 2), 0))</f>
        <v>0.45833333333575865</v>
      </c>
    </row>
    <row r="331" spans="1:8" x14ac:dyDescent="0.25">
      <c r="A331" s="37" t="s">
        <v>251</v>
      </c>
      <c r="B331" s="94">
        <v>45693</v>
      </c>
      <c r="C331" s="37" t="s">
        <v>1303</v>
      </c>
      <c r="D331" s="94">
        <v>45693</v>
      </c>
      <c r="E331" s="37" t="s">
        <v>1307</v>
      </c>
      <c r="F331" s="101">
        <f>(D331 + TIME(LEFT(E331, 2), MID(E331, 3, 2), 0)) - (B331 + TIME(LEFT(C331, 2), MID(C331, 3, 2), 0))</f>
        <v>1.1111111110949423E-2</v>
      </c>
    </row>
    <row r="332" spans="1:8" x14ac:dyDescent="0.25">
      <c r="A332" s="37" t="s">
        <v>148</v>
      </c>
      <c r="B332" s="94">
        <v>45693</v>
      </c>
      <c r="C332" s="37" t="s">
        <v>1305</v>
      </c>
    </row>
    <row r="333" spans="1:8" x14ac:dyDescent="0.25">
      <c r="A333" s="37" t="s">
        <v>251</v>
      </c>
      <c r="B333" s="94">
        <v>45693</v>
      </c>
      <c r="C333" s="37" t="s">
        <v>1307</v>
      </c>
      <c r="D333" s="94">
        <v>45693</v>
      </c>
      <c r="E333" s="37" t="s">
        <v>1307</v>
      </c>
      <c r="F333" s="101">
        <f t="shared" ref="F333:F364" si="12">(D333 + TIME(LEFT(E333, 2), MID(E333, 3, 2), 0)) - (B333 + TIME(LEFT(C333, 2), MID(C333, 3, 2), 0))</f>
        <v>0</v>
      </c>
      <c r="G333" s="37" t="s">
        <v>9</v>
      </c>
      <c r="H333" s="95" t="s">
        <v>1309</v>
      </c>
    </row>
    <row r="334" spans="1:8" x14ac:dyDescent="0.25">
      <c r="A334" s="37" t="s">
        <v>302</v>
      </c>
      <c r="B334" s="94">
        <v>45693</v>
      </c>
      <c r="C334" s="37" t="s">
        <v>1310</v>
      </c>
      <c r="D334" s="94">
        <v>45693</v>
      </c>
      <c r="E334" s="37" t="s">
        <v>1323</v>
      </c>
      <c r="F334" s="101">
        <f t="shared" si="12"/>
        <v>7.4305555550381541E-2</v>
      </c>
    </row>
    <row r="335" spans="1:8" x14ac:dyDescent="0.25">
      <c r="A335" s="37" t="s">
        <v>268</v>
      </c>
      <c r="B335" s="94">
        <v>45693</v>
      </c>
      <c r="C335" s="37" t="s">
        <v>247</v>
      </c>
      <c r="D335" s="94">
        <v>45693</v>
      </c>
      <c r="E335" s="37" t="s">
        <v>1321</v>
      </c>
      <c r="F335" s="101">
        <f t="shared" si="12"/>
        <v>1.3194444443797693E-2</v>
      </c>
    </row>
    <row r="336" spans="1:8" x14ac:dyDescent="0.25">
      <c r="A336" s="37" t="s">
        <v>202</v>
      </c>
      <c r="B336" s="94">
        <v>45693</v>
      </c>
      <c r="C336" s="37" t="s">
        <v>1318</v>
      </c>
      <c r="D336" s="94">
        <v>45693</v>
      </c>
      <c r="E336" s="37" t="s">
        <v>1359</v>
      </c>
      <c r="F336" s="101">
        <f t="shared" si="12"/>
        <v>0.23680555555620231</v>
      </c>
    </row>
    <row r="337" spans="1:8" x14ac:dyDescent="0.25">
      <c r="A337" s="37" t="s">
        <v>264</v>
      </c>
      <c r="B337" s="94">
        <v>45693</v>
      </c>
      <c r="C337" s="37" t="s">
        <v>1314</v>
      </c>
      <c r="D337" s="94">
        <v>45693</v>
      </c>
      <c r="E337" s="37" t="s">
        <v>1372</v>
      </c>
      <c r="F337" s="101">
        <f t="shared" si="12"/>
        <v>0.39236111111677019</v>
      </c>
    </row>
    <row r="338" spans="1:8" x14ac:dyDescent="0.25">
      <c r="A338" s="37" t="s">
        <v>178</v>
      </c>
      <c r="B338" s="94">
        <v>45693</v>
      </c>
      <c r="C338" s="37" t="s">
        <v>480</v>
      </c>
      <c r="D338" s="94">
        <v>45693</v>
      </c>
      <c r="E338" s="37" t="s">
        <v>1327</v>
      </c>
      <c r="F338" s="101">
        <f t="shared" si="12"/>
        <v>1.1111111110949423E-2</v>
      </c>
    </row>
    <row r="339" spans="1:8" x14ac:dyDescent="0.25">
      <c r="A339" s="37" t="s">
        <v>302</v>
      </c>
      <c r="B339" s="94">
        <v>45693</v>
      </c>
      <c r="C339" s="37" t="s">
        <v>1326</v>
      </c>
      <c r="D339" s="94">
        <v>45693</v>
      </c>
      <c r="E339" s="37" t="s">
        <v>1367</v>
      </c>
      <c r="F339" s="101">
        <f t="shared" si="12"/>
        <v>0.31319444444670808</v>
      </c>
    </row>
    <row r="340" spans="1:8" x14ac:dyDescent="0.25">
      <c r="A340" s="37" t="s">
        <v>155</v>
      </c>
      <c r="B340" s="94">
        <v>45693</v>
      </c>
      <c r="C340" s="37" t="s">
        <v>526</v>
      </c>
      <c r="D340" s="94">
        <v>45694</v>
      </c>
      <c r="E340" s="37" t="s">
        <v>1394</v>
      </c>
      <c r="F340" s="101">
        <f t="shared" si="12"/>
        <v>0.375</v>
      </c>
    </row>
    <row r="341" spans="1:8" x14ac:dyDescent="0.25">
      <c r="A341" s="37" t="s">
        <v>178</v>
      </c>
      <c r="B341" s="94">
        <v>45693</v>
      </c>
      <c r="C341" s="37" t="s">
        <v>1340</v>
      </c>
      <c r="D341" s="94">
        <v>45693</v>
      </c>
      <c r="E341" s="37" t="s">
        <v>1374</v>
      </c>
      <c r="F341" s="101">
        <f t="shared" si="12"/>
        <v>0.25624999999854481</v>
      </c>
    </row>
    <row r="342" spans="1:8" x14ac:dyDescent="0.25">
      <c r="A342" s="37" t="s">
        <v>162</v>
      </c>
      <c r="B342" s="94">
        <v>45693</v>
      </c>
      <c r="C342" s="37" t="s">
        <v>190</v>
      </c>
      <c r="D342" s="94">
        <v>45694</v>
      </c>
      <c r="E342" s="37" t="s">
        <v>1378</v>
      </c>
      <c r="F342" s="101">
        <f t="shared" si="12"/>
        <v>0.26597222222335404</v>
      </c>
    </row>
    <row r="343" spans="1:8" x14ac:dyDescent="0.25">
      <c r="A343" s="37" t="s">
        <v>161</v>
      </c>
      <c r="B343" s="94">
        <v>45693</v>
      </c>
      <c r="C343" s="37" t="s">
        <v>190</v>
      </c>
      <c r="D343" s="94">
        <v>45694</v>
      </c>
      <c r="E343" s="37" t="s">
        <v>1376</v>
      </c>
      <c r="F343" s="101">
        <f t="shared" si="12"/>
        <v>0.26041666666424135</v>
      </c>
    </row>
    <row r="344" spans="1:8" x14ac:dyDescent="0.25">
      <c r="A344" s="37" t="s">
        <v>159</v>
      </c>
      <c r="B344" s="94">
        <v>45693</v>
      </c>
      <c r="C344" s="37" t="s">
        <v>1344</v>
      </c>
      <c r="D344" s="94">
        <v>45694</v>
      </c>
      <c r="E344" s="37" t="s">
        <v>1409</v>
      </c>
      <c r="F344" s="101">
        <f t="shared" si="12"/>
        <v>0.50624999999854481</v>
      </c>
    </row>
    <row r="345" spans="1:8" x14ac:dyDescent="0.25">
      <c r="A345" s="37" t="s">
        <v>173</v>
      </c>
      <c r="B345" s="94">
        <v>45693</v>
      </c>
      <c r="C345" s="37" t="s">
        <v>270</v>
      </c>
      <c r="D345" s="94">
        <v>45694</v>
      </c>
      <c r="E345" s="37" t="s">
        <v>1380</v>
      </c>
      <c r="F345" s="101">
        <f t="shared" si="12"/>
        <v>0.25347222221898846</v>
      </c>
    </row>
    <row r="346" spans="1:8" x14ac:dyDescent="0.25">
      <c r="A346" s="37" t="s">
        <v>163</v>
      </c>
      <c r="B346" s="94">
        <v>45693</v>
      </c>
      <c r="C346" s="37" t="s">
        <v>1349</v>
      </c>
      <c r="D346" s="94">
        <v>45694</v>
      </c>
      <c r="E346" s="37" t="s">
        <v>1382</v>
      </c>
      <c r="F346" s="101">
        <f t="shared" si="12"/>
        <v>0.25416666666569654</v>
      </c>
    </row>
    <row r="347" spans="1:8" x14ac:dyDescent="0.25">
      <c r="A347" s="37" t="s">
        <v>164</v>
      </c>
      <c r="B347" s="94">
        <v>45693</v>
      </c>
      <c r="C347" s="37" t="s">
        <v>837</v>
      </c>
      <c r="D347" s="94">
        <v>45694</v>
      </c>
      <c r="E347" s="37" t="s">
        <v>1382</v>
      </c>
      <c r="F347" s="101">
        <f t="shared" si="12"/>
        <v>0.24930555556056788</v>
      </c>
    </row>
    <row r="348" spans="1:8" x14ac:dyDescent="0.25">
      <c r="A348" s="37" t="s">
        <v>165</v>
      </c>
      <c r="B348" s="94">
        <v>45693</v>
      </c>
      <c r="C348" s="37" t="s">
        <v>1008</v>
      </c>
      <c r="D348" s="94">
        <v>45694</v>
      </c>
      <c r="E348" s="37" t="s">
        <v>1385</v>
      </c>
      <c r="F348" s="101">
        <f t="shared" si="12"/>
        <v>0.25277777777955635</v>
      </c>
    </row>
    <row r="349" spans="1:8" x14ac:dyDescent="0.25">
      <c r="A349" s="37" t="s">
        <v>168</v>
      </c>
      <c r="B349" s="94">
        <v>45693</v>
      </c>
      <c r="C349" s="37" t="s">
        <v>1353</v>
      </c>
      <c r="D349" s="94">
        <v>45693</v>
      </c>
      <c r="E349" s="37" t="s">
        <v>205</v>
      </c>
      <c r="F349" s="101">
        <f t="shared" si="12"/>
        <v>6.4583333332848269E-2</v>
      </c>
    </row>
    <row r="350" spans="1:8" x14ac:dyDescent="0.25">
      <c r="A350" s="37" t="s">
        <v>175</v>
      </c>
      <c r="B350" s="94">
        <v>45693</v>
      </c>
      <c r="C350" s="37" t="s">
        <v>193</v>
      </c>
      <c r="D350" s="94">
        <v>45693</v>
      </c>
      <c r="E350" s="37" t="s">
        <v>1374</v>
      </c>
      <c r="F350" s="101">
        <f t="shared" si="12"/>
        <v>8.2638888881774619E-2</v>
      </c>
      <c r="G350" s="37" t="s">
        <v>9</v>
      </c>
      <c r="H350" s="95" t="s">
        <v>1362</v>
      </c>
    </row>
    <row r="351" spans="1:8" x14ac:dyDescent="0.25">
      <c r="A351" s="37" t="s">
        <v>166</v>
      </c>
      <c r="B351" s="94">
        <v>45693</v>
      </c>
      <c r="C351" s="37" t="s">
        <v>680</v>
      </c>
      <c r="D351" s="94">
        <v>45694</v>
      </c>
      <c r="E351" s="37" t="s">
        <v>167</v>
      </c>
      <c r="F351" s="101">
        <f t="shared" si="12"/>
        <v>0.50069444444670808</v>
      </c>
    </row>
    <row r="352" spans="1:8" x14ac:dyDescent="0.25">
      <c r="A352" s="37" t="s">
        <v>194</v>
      </c>
      <c r="B352" s="94">
        <v>45693</v>
      </c>
      <c r="C352" s="37" t="s">
        <v>541</v>
      </c>
      <c r="D352" s="94">
        <v>45694</v>
      </c>
      <c r="E352" s="37" t="s">
        <v>1418</v>
      </c>
      <c r="F352" s="101">
        <f t="shared" si="12"/>
        <v>0.34375</v>
      </c>
      <c r="G352" s="37" t="s">
        <v>9</v>
      </c>
      <c r="H352" s="95" t="s">
        <v>1366</v>
      </c>
    </row>
    <row r="353" spans="1:6" x14ac:dyDescent="0.25">
      <c r="A353" s="37" t="s">
        <v>175</v>
      </c>
      <c r="B353" s="94">
        <v>45693</v>
      </c>
      <c r="C353" s="37" t="s">
        <v>1374</v>
      </c>
      <c r="D353" s="94">
        <v>45698</v>
      </c>
      <c r="E353" s="37" t="s">
        <v>1910</v>
      </c>
      <c r="F353" s="101">
        <f t="shared" si="12"/>
        <v>4.8534722222248092</v>
      </c>
    </row>
    <row r="354" spans="1:6" x14ac:dyDescent="0.25">
      <c r="A354" s="37" t="s">
        <v>144</v>
      </c>
      <c r="B354" s="94">
        <v>45694</v>
      </c>
      <c r="C354" s="37" t="s">
        <v>266</v>
      </c>
      <c r="D354" s="94">
        <v>45694</v>
      </c>
      <c r="E354" s="37" t="s">
        <v>1079</v>
      </c>
      <c r="F354" s="101">
        <f t="shared" si="12"/>
        <v>5.2777777775190771E-2</v>
      </c>
    </row>
    <row r="355" spans="1:6" x14ac:dyDescent="0.25">
      <c r="A355" s="37" t="s">
        <v>168</v>
      </c>
      <c r="B355" s="94">
        <v>45694</v>
      </c>
      <c r="C355" s="37" t="s">
        <v>1396</v>
      </c>
      <c r="D355" s="94">
        <v>45694</v>
      </c>
      <c r="E355" s="37" t="s">
        <v>1402</v>
      </c>
      <c r="F355" s="101">
        <f t="shared" si="12"/>
        <v>1.9444444442342501E-2</v>
      </c>
    </row>
    <row r="356" spans="1:6" x14ac:dyDescent="0.25">
      <c r="A356" s="37" t="s">
        <v>160</v>
      </c>
      <c r="B356" s="94">
        <v>45694</v>
      </c>
      <c r="C356" s="37" t="s">
        <v>1398</v>
      </c>
      <c r="D356" s="94">
        <v>45694</v>
      </c>
      <c r="E356" s="37" t="s">
        <v>224</v>
      </c>
      <c r="F356" s="101">
        <f t="shared" si="12"/>
        <v>0.52500000000145519</v>
      </c>
    </row>
    <row r="357" spans="1:6" x14ac:dyDescent="0.25">
      <c r="A357" s="37" t="s">
        <v>170</v>
      </c>
      <c r="B357" s="94">
        <v>45694</v>
      </c>
      <c r="C357" s="37" t="s">
        <v>1400</v>
      </c>
      <c r="D357" s="94">
        <v>45694</v>
      </c>
      <c r="E357" s="37" t="s">
        <v>1415</v>
      </c>
      <c r="F357" s="101">
        <f t="shared" si="12"/>
        <v>6.8750000005820766E-2</v>
      </c>
    </row>
    <row r="358" spans="1:6" x14ac:dyDescent="0.25">
      <c r="A358" s="37" t="s">
        <v>273</v>
      </c>
      <c r="B358" s="94">
        <v>45694</v>
      </c>
      <c r="C358" s="37" t="s">
        <v>1402</v>
      </c>
      <c r="D358" s="94">
        <v>45694</v>
      </c>
      <c r="E358" s="37" t="s">
        <v>541</v>
      </c>
      <c r="F358" s="101">
        <f t="shared" si="12"/>
        <v>0.75138888889341615</v>
      </c>
    </row>
    <row r="359" spans="1:6" x14ac:dyDescent="0.25">
      <c r="A359" s="37" t="s">
        <v>272</v>
      </c>
      <c r="B359" s="94">
        <v>45694</v>
      </c>
      <c r="C359" s="37" t="s">
        <v>1405</v>
      </c>
      <c r="D359" s="94">
        <v>45694</v>
      </c>
      <c r="E359" s="37" t="s">
        <v>1523</v>
      </c>
      <c r="F359" s="101">
        <f t="shared" si="12"/>
        <v>0.75416666666569654</v>
      </c>
    </row>
    <row r="360" spans="1:6" x14ac:dyDescent="0.25">
      <c r="A360" s="37" t="s">
        <v>169</v>
      </c>
      <c r="B360" s="94">
        <v>45694</v>
      </c>
      <c r="C360" s="37" t="s">
        <v>924</v>
      </c>
      <c r="D360" s="94">
        <v>45694</v>
      </c>
      <c r="E360" s="37" t="s">
        <v>1346</v>
      </c>
      <c r="F360" s="101">
        <f t="shared" si="12"/>
        <v>0.49513888888759539</v>
      </c>
    </row>
    <row r="361" spans="1:6" x14ac:dyDescent="0.25">
      <c r="A361" s="37" t="s">
        <v>252</v>
      </c>
      <c r="B361" s="94">
        <v>45694</v>
      </c>
      <c r="C361" s="37" t="s">
        <v>1411</v>
      </c>
      <c r="D361" s="94">
        <v>45694</v>
      </c>
      <c r="E361" s="37" t="s">
        <v>1520</v>
      </c>
      <c r="F361" s="101">
        <f t="shared" si="12"/>
        <v>0.70416666667006211</v>
      </c>
    </row>
    <row r="362" spans="1:6" x14ac:dyDescent="0.25">
      <c r="A362" s="37" t="s">
        <v>168</v>
      </c>
      <c r="B362" s="94">
        <v>45694</v>
      </c>
      <c r="C362" s="37" t="s">
        <v>1245</v>
      </c>
      <c r="D362" s="94">
        <v>45694</v>
      </c>
      <c r="E362" s="37" t="s">
        <v>1414</v>
      </c>
      <c r="F362" s="101">
        <f t="shared" si="12"/>
        <v>2.8472222227719612E-2</v>
      </c>
    </row>
    <row r="363" spans="1:6" x14ac:dyDescent="0.25">
      <c r="A363" s="37" t="s">
        <v>194</v>
      </c>
      <c r="B363" s="94">
        <v>45694</v>
      </c>
      <c r="C363" s="37" t="s">
        <v>1418</v>
      </c>
      <c r="D363" s="94">
        <v>45695</v>
      </c>
      <c r="E363" s="37" t="s">
        <v>1658</v>
      </c>
      <c r="F363" s="101">
        <f t="shared" si="12"/>
        <v>1.4958333333343035</v>
      </c>
    </row>
    <row r="364" spans="1:6" x14ac:dyDescent="0.25">
      <c r="A364" s="37" t="s">
        <v>174</v>
      </c>
      <c r="B364" s="94">
        <v>45694</v>
      </c>
      <c r="C364" s="37" t="s">
        <v>1421</v>
      </c>
      <c r="D364" s="94">
        <v>45694</v>
      </c>
      <c r="E364" s="37" t="s">
        <v>1434</v>
      </c>
      <c r="F364" s="101">
        <f t="shared" si="12"/>
        <v>3.8194444437976927E-2</v>
      </c>
    </row>
    <row r="365" spans="1:6" x14ac:dyDescent="0.25">
      <c r="A365" s="37" t="s">
        <v>177</v>
      </c>
      <c r="B365" s="94">
        <v>45694</v>
      </c>
      <c r="C365" s="37" t="s">
        <v>1423</v>
      </c>
      <c r="D365" s="94">
        <v>45694</v>
      </c>
      <c r="E365" s="37" t="s">
        <v>1437</v>
      </c>
      <c r="F365" s="101">
        <f t="shared" ref="F365:F396" si="13">(D365 + TIME(LEFT(E365, 2), MID(E365, 3, 2), 0)) - (B365 + TIME(LEFT(C365, 2), MID(C365, 3, 2), 0))</f>
        <v>3.8194444445252884E-2</v>
      </c>
    </row>
    <row r="366" spans="1:6" x14ac:dyDescent="0.25">
      <c r="A366" s="37" t="s">
        <v>178</v>
      </c>
      <c r="B366" s="94">
        <v>45694</v>
      </c>
      <c r="C366" s="37" t="s">
        <v>255</v>
      </c>
      <c r="D366" s="94">
        <v>45694</v>
      </c>
      <c r="E366" s="37" t="s">
        <v>1436</v>
      </c>
      <c r="F366" s="101">
        <f t="shared" si="13"/>
        <v>3.8194444445252884E-2</v>
      </c>
    </row>
    <row r="367" spans="1:6" x14ac:dyDescent="0.25">
      <c r="A367" s="37" t="s">
        <v>161</v>
      </c>
      <c r="B367" s="94">
        <v>45694</v>
      </c>
      <c r="C367" s="37" t="s">
        <v>1086</v>
      </c>
      <c r="D367" s="94">
        <v>45694</v>
      </c>
      <c r="E367" s="37" t="s">
        <v>959</v>
      </c>
      <c r="F367" s="101">
        <f t="shared" si="13"/>
        <v>4.0277777778101154E-2</v>
      </c>
    </row>
    <row r="368" spans="1:6" x14ac:dyDescent="0.25">
      <c r="A368" s="37" t="s">
        <v>172</v>
      </c>
      <c r="B368" s="94">
        <v>45694</v>
      </c>
      <c r="C368" s="37" t="s">
        <v>1427</v>
      </c>
      <c r="D368" s="94">
        <v>45694</v>
      </c>
      <c r="E368" s="37" t="s">
        <v>1434</v>
      </c>
      <c r="F368" s="101">
        <f t="shared" si="13"/>
        <v>2.9861111106583849E-2</v>
      </c>
    </row>
    <row r="369" spans="1:7" x14ac:dyDescent="0.25">
      <c r="A369" s="37" t="s">
        <v>173</v>
      </c>
      <c r="B369" s="94">
        <v>45694</v>
      </c>
      <c r="C369" s="37" t="s">
        <v>1429</v>
      </c>
      <c r="D369" s="94">
        <v>45694</v>
      </c>
      <c r="E369" s="37" t="s">
        <v>1127</v>
      </c>
      <c r="F369" s="101">
        <f t="shared" si="13"/>
        <v>0.16250000000582077</v>
      </c>
    </row>
    <row r="370" spans="1:7" x14ac:dyDescent="0.25">
      <c r="A370" s="37" t="s">
        <v>202</v>
      </c>
      <c r="B370" s="94">
        <v>45694</v>
      </c>
      <c r="C370" s="37" t="s">
        <v>1431</v>
      </c>
      <c r="D370" s="94">
        <v>45694</v>
      </c>
      <c r="E370" s="37" t="s">
        <v>1431</v>
      </c>
      <c r="F370" s="101">
        <f t="shared" si="13"/>
        <v>0</v>
      </c>
      <c r="G370" s="37" t="s">
        <v>9</v>
      </c>
    </row>
    <row r="371" spans="1:7" x14ac:dyDescent="0.25">
      <c r="A371" s="37" t="s">
        <v>163</v>
      </c>
      <c r="B371" s="94">
        <v>45694</v>
      </c>
      <c r="C371" s="37" t="s">
        <v>953</v>
      </c>
      <c r="D371" s="94">
        <v>45694</v>
      </c>
      <c r="E371" s="37" t="s">
        <v>1459</v>
      </c>
      <c r="F371" s="101">
        <f t="shared" si="13"/>
        <v>0.16527777777810115</v>
      </c>
    </row>
    <row r="372" spans="1:7" x14ac:dyDescent="0.25">
      <c r="A372" s="37" t="s">
        <v>264</v>
      </c>
      <c r="B372" s="94">
        <v>45694</v>
      </c>
      <c r="C372" s="37" t="s">
        <v>1099</v>
      </c>
      <c r="D372" s="94">
        <v>45695</v>
      </c>
      <c r="E372" s="37" t="s">
        <v>1668</v>
      </c>
      <c r="F372" s="101">
        <f t="shared" si="13"/>
        <v>1.5187500000029104</v>
      </c>
    </row>
    <row r="373" spans="1:7" x14ac:dyDescent="0.25">
      <c r="A373" s="37" t="s">
        <v>162</v>
      </c>
      <c r="B373" s="94">
        <v>45694</v>
      </c>
      <c r="C373" s="37" t="s">
        <v>590</v>
      </c>
      <c r="D373" s="94">
        <v>45694</v>
      </c>
      <c r="E373" s="37" t="s">
        <v>1454</v>
      </c>
      <c r="F373" s="101">
        <f t="shared" si="13"/>
        <v>0.15555555555329192</v>
      </c>
    </row>
    <row r="374" spans="1:7" x14ac:dyDescent="0.25">
      <c r="A374" s="37" t="s">
        <v>165</v>
      </c>
      <c r="B374" s="94">
        <v>45694</v>
      </c>
      <c r="C374" s="37" t="s">
        <v>1273</v>
      </c>
      <c r="D374" s="94">
        <v>45694</v>
      </c>
      <c r="E374" s="37" t="s">
        <v>1157</v>
      </c>
      <c r="F374" s="101">
        <f t="shared" si="13"/>
        <v>0.30416666666860692</v>
      </c>
    </row>
    <row r="375" spans="1:7" x14ac:dyDescent="0.25">
      <c r="A375" s="37" t="s">
        <v>168</v>
      </c>
      <c r="B375" s="94">
        <v>45694</v>
      </c>
      <c r="C375" s="37" t="s">
        <v>1273</v>
      </c>
      <c r="D375" s="94">
        <v>45694</v>
      </c>
      <c r="E375" s="37" t="s">
        <v>1489</v>
      </c>
      <c r="F375" s="101">
        <f t="shared" si="13"/>
        <v>0.42013888889050577</v>
      </c>
    </row>
    <row r="376" spans="1:7" x14ac:dyDescent="0.25">
      <c r="A376" s="37" t="s">
        <v>164</v>
      </c>
      <c r="B376" s="94">
        <v>45694</v>
      </c>
      <c r="C376" s="37" t="s">
        <v>1108</v>
      </c>
      <c r="D376" s="94">
        <v>45694</v>
      </c>
      <c r="E376" s="37" t="s">
        <v>1468</v>
      </c>
      <c r="F376" s="101">
        <f t="shared" si="13"/>
        <v>0.27083333333575865</v>
      </c>
    </row>
    <row r="377" spans="1:7" x14ac:dyDescent="0.25">
      <c r="A377" s="37" t="s">
        <v>170</v>
      </c>
      <c r="B377" s="94">
        <v>45694</v>
      </c>
      <c r="C377" s="37" t="s">
        <v>1444</v>
      </c>
      <c r="D377" s="94">
        <v>45694</v>
      </c>
      <c r="E377" s="37" t="s">
        <v>267</v>
      </c>
      <c r="F377" s="101">
        <f t="shared" si="13"/>
        <v>0.48888888888905058</v>
      </c>
    </row>
    <row r="378" spans="1:7" x14ac:dyDescent="0.25">
      <c r="A378" s="37" t="s">
        <v>174</v>
      </c>
      <c r="B378" s="94">
        <v>45694</v>
      </c>
      <c r="C378" s="37" t="s">
        <v>771</v>
      </c>
      <c r="D378" s="94">
        <v>45694</v>
      </c>
      <c r="E378" s="37" t="s">
        <v>1502</v>
      </c>
      <c r="F378" s="101">
        <f t="shared" si="13"/>
        <v>0.48680555555620231</v>
      </c>
    </row>
    <row r="379" spans="1:7" x14ac:dyDescent="0.25">
      <c r="A379" s="37" t="s">
        <v>172</v>
      </c>
      <c r="B379" s="94">
        <v>45694</v>
      </c>
      <c r="C379" s="37" t="s">
        <v>197</v>
      </c>
      <c r="D379" s="94">
        <v>45694</v>
      </c>
      <c r="E379" s="37" t="s">
        <v>181</v>
      </c>
      <c r="F379" s="101">
        <f t="shared" si="13"/>
        <v>0.48263888889050577</v>
      </c>
    </row>
    <row r="380" spans="1:7" x14ac:dyDescent="0.25">
      <c r="A380" s="37" t="s">
        <v>178</v>
      </c>
      <c r="B380" s="94">
        <v>45694</v>
      </c>
      <c r="C380" s="37" t="s">
        <v>1448</v>
      </c>
      <c r="D380" s="94">
        <v>45694</v>
      </c>
      <c r="E380" s="37" t="s">
        <v>220</v>
      </c>
      <c r="F380" s="101">
        <f t="shared" si="13"/>
        <v>0.47638888889196096</v>
      </c>
    </row>
    <row r="381" spans="1:7" x14ac:dyDescent="0.25">
      <c r="A381" s="37" t="s">
        <v>177</v>
      </c>
      <c r="B381" s="94">
        <v>45694</v>
      </c>
      <c r="C381" s="37" t="s">
        <v>1450</v>
      </c>
      <c r="D381" s="94">
        <v>45694</v>
      </c>
      <c r="E381" s="37" t="s">
        <v>1028</v>
      </c>
      <c r="F381" s="101">
        <f t="shared" si="13"/>
        <v>0.48333333333721384</v>
      </c>
    </row>
    <row r="382" spans="1:7" x14ac:dyDescent="0.25">
      <c r="A382" s="37" t="s">
        <v>155</v>
      </c>
      <c r="B382" s="94">
        <v>45694</v>
      </c>
      <c r="C382" s="37" t="s">
        <v>156</v>
      </c>
      <c r="D382" s="94">
        <v>45694</v>
      </c>
      <c r="E382" s="37" t="s">
        <v>682</v>
      </c>
      <c r="F382" s="101">
        <f t="shared" si="13"/>
        <v>0.50069444444670808</v>
      </c>
    </row>
    <row r="383" spans="1:7" x14ac:dyDescent="0.25">
      <c r="A383" s="37" t="s">
        <v>161</v>
      </c>
      <c r="B383" s="94">
        <v>45694</v>
      </c>
      <c r="C383" s="37" t="s">
        <v>1456</v>
      </c>
      <c r="D383" s="94">
        <v>45694</v>
      </c>
      <c r="E383" s="37" t="s">
        <v>1506</v>
      </c>
      <c r="F383" s="101">
        <f t="shared" si="13"/>
        <v>0.42222222222335404</v>
      </c>
    </row>
    <row r="384" spans="1:7" x14ac:dyDescent="0.25">
      <c r="A384" s="37" t="s">
        <v>162</v>
      </c>
      <c r="B384" s="94">
        <v>45694</v>
      </c>
      <c r="C384" s="37" t="s">
        <v>1461</v>
      </c>
      <c r="D384" s="94">
        <v>45694</v>
      </c>
      <c r="E384" s="37" t="s">
        <v>667</v>
      </c>
      <c r="F384" s="101">
        <f t="shared" si="13"/>
        <v>0.38055555555183673</v>
      </c>
    </row>
    <row r="385" spans="1:6" x14ac:dyDescent="0.25">
      <c r="A385" s="37" t="s">
        <v>173</v>
      </c>
      <c r="B385" s="94">
        <v>45694</v>
      </c>
      <c r="C385" s="37" t="s">
        <v>980</v>
      </c>
      <c r="D385" s="94">
        <v>45694</v>
      </c>
      <c r="E385" s="37" t="s">
        <v>1496</v>
      </c>
      <c r="F385" s="101">
        <f t="shared" si="13"/>
        <v>0.33263888888905058</v>
      </c>
    </row>
    <row r="386" spans="1:6" x14ac:dyDescent="0.25">
      <c r="A386" s="37" t="s">
        <v>163</v>
      </c>
      <c r="B386" s="94">
        <v>45694</v>
      </c>
      <c r="C386" s="37" t="s">
        <v>1464</v>
      </c>
      <c r="D386" s="94">
        <v>45694</v>
      </c>
      <c r="E386" s="37" t="s">
        <v>1498</v>
      </c>
      <c r="F386" s="101">
        <f t="shared" si="13"/>
        <v>0.33125000000291038</v>
      </c>
    </row>
    <row r="387" spans="1:6" x14ac:dyDescent="0.25">
      <c r="A387" s="37" t="s">
        <v>202</v>
      </c>
      <c r="B387" s="94">
        <v>45694</v>
      </c>
      <c r="C387" s="37" t="s">
        <v>808</v>
      </c>
      <c r="D387" s="94">
        <v>45694</v>
      </c>
      <c r="E387" s="37" t="s">
        <v>1467</v>
      </c>
      <c r="F387" s="101">
        <f t="shared" si="13"/>
        <v>1.1111111110949423E-2</v>
      </c>
    </row>
    <row r="388" spans="1:6" x14ac:dyDescent="0.25">
      <c r="A388" s="37" t="s">
        <v>164</v>
      </c>
      <c r="B388" s="94">
        <v>45694</v>
      </c>
      <c r="C388" s="37" t="s">
        <v>1472</v>
      </c>
      <c r="D388" s="94">
        <v>45694</v>
      </c>
      <c r="E388" s="37" t="s">
        <v>1510</v>
      </c>
      <c r="F388" s="101">
        <f t="shared" si="13"/>
        <v>0.26527777777664596</v>
      </c>
    </row>
    <row r="389" spans="1:6" x14ac:dyDescent="0.25">
      <c r="A389" s="37" t="s">
        <v>1474</v>
      </c>
      <c r="B389" s="94">
        <v>45694</v>
      </c>
      <c r="C389" s="37" t="s">
        <v>1473</v>
      </c>
      <c r="D389" s="94">
        <v>45694</v>
      </c>
      <c r="E389" s="37" t="s">
        <v>1486</v>
      </c>
      <c r="F389" s="101">
        <f t="shared" si="13"/>
        <v>8.5416666668606922E-2</v>
      </c>
    </row>
    <row r="390" spans="1:6" x14ac:dyDescent="0.25">
      <c r="A390" s="37" t="s">
        <v>166</v>
      </c>
      <c r="B390" s="94">
        <v>45694</v>
      </c>
      <c r="C390" s="37" t="s">
        <v>1476</v>
      </c>
      <c r="D390" s="94">
        <v>45695</v>
      </c>
      <c r="E390" s="37" t="s">
        <v>910</v>
      </c>
      <c r="F390" s="101">
        <f t="shared" si="13"/>
        <v>0.49583333333430346</v>
      </c>
    </row>
    <row r="391" spans="1:6" x14ac:dyDescent="0.25">
      <c r="A391" s="37" t="s">
        <v>165</v>
      </c>
      <c r="B391" s="94">
        <v>45694</v>
      </c>
      <c r="C391" s="37" t="s">
        <v>1481</v>
      </c>
      <c r="D391" s="94">
        <v>45694</v>
      </c>
      <c r="E391" s="37" t="s">
        <v>1516</v>
      </c>
      <c r="F391" s="101">
        <f t="shared" si="13"/>
        <v>0.20972222222189885</v>
      </c>
    </row>
    <row r="392" spans="1:6" x14ac:dyDescent="0.25">
      <c r="A392" s="37" t="s">
        <v>202</v>
      </c>
      <c r="B392" s="94">
        <v>45694</v>
      </c>
      <c r="C392" s="37" t="s">
        <v>270</v>
      </c>
      <c r="D392" s="94">
        <v>45694</v>
      </c>
      <c r="E392" s="37" t="s">
        <v>1489</v>
      </c>
      <c r="F392" s="101">
        <f t="shared" si="13"/>
        <v>4.6527777776645962E-2</v>
      </c>
    </row>
    <row r="393" spans="1:6" x14ac:dyDescent="0.25">
      <c r="A393" s="37" t="s">
        <v>260</v>
      </c>
      <c r="B393" s="94">
        <v>45694</v>
      </c>
      <c r="C393" s="37" t="s">
        <v>652</v>
      </c>
      <c r="D393" s="94">
        <v>45695</v>
      </c>
      <c r="E393" s="37" t="s">
        <v>1542</v>
      </c>
      <c r="F393" s="101">
        <f t="shared" si="13"/>
        <v>0.32916666666278616</v>
      </c>
    </row>
    <row r="394" spans="1:6" x14ac:dyDescent="0.25">
      <c r="A394" s="37" t="s">
        <v>302</v>
      </c>
      <c r="B394" s="94">
        <v>45694</v>
      </c>
      <c r="C394" s="37" t="s">
        <v>182</v>
      </c>
      <c r="D394" s="94">
        <v>45694</v>
      </c>
      <c r="E394" s="37" t="s">
        <v>1494</v>
      </c>
      <c r="F394" s="101">
        <f t="shared" si="13"/>
        <v>0.10347222222480923</v>
      </c>
    </row>
    <row r="395" spans="1:6" x14ac:dyDescent="0.25">
      <c r="A395" s="37" t="s">
        <v>1474</v>
      </c>
      <c r="B395" s="94">
        <v>45694</v>
      </c>
      <c r="C395" s="37" t="s">
        <v>1492</v>
      </c>
      <c r="D395" s="94">
        <v>45694</v>
      </c>
      <c r="E395" s="37" t="s">
        <v>1514</v>
      </c>
      <c r="F395" s="101">
        <f t="shared" si="13"/>
        <v>0.15416666665987577</v>
      </c>
    </row>
    <row r="396" spans="1:6" x14ac:dyDescent="0.25">
      <c r="A396" s="37" t="s">
        <v>160</v>
      </c>
      <c r="B396" s="94">
        <v>45694</v>
      </c>
      <c r="C396" s="37" t="s">
        <v>680</v>
      </c>
      <c r="D396" s="94">
        <v>45695</v>
      </c>
      <c r="E396" s="37" t="s">
        <v>1601</v>
      </c>
      <c r="F396" s="101">
        <f t="shared" si="13"/>
        <v>0.50138888889341615</v>
      </c>
    </row>
    <row r="397" spans="1:6" x14ac:dyDescent="0.25">
      <c r="A397" s="37" t="s">
        <v>144</v>
      </c>
      <c r="B397" s="94">
        <v>45694</v>
      </c>
      <c r="C397" s="37" t="s">
        <v>577</v>
      </c>
      <c r="D397" s="94">
        <v>45694</v>
      </c>
      <c r="E397" s="37" t="s">
        <v>1518</v>
      </c>
      <c r="F397" s="101">
        <f t="shared" ref="F397:F428" si="14">(D397 + TIME(LEFT(E397, 2), MID(E397, 3, 2), 0)) - (B397 + TIME(LEFT(C397, 2), MID(C397, 3, 2), 0))</f>
        <v>0.64583333333575865</v>
      </c>
    </row>
    <row r="398" spans="1:6" x14ac:dyDescent="0.25">
      <c r="A398" s="37" t="s">
        <v>170</v>
      </c>
      <c r="B398" s="94">
        <v>45694</v>
      </c>
      <c r="C398" s="37" t="s">
        <v>537</v>
      </c>
      <c r="D398" s="94">
        <v>45694</v>
      </c>
      <c r="E398" s="37" t="s">
        <v>1533</v>
      </c>
      <c r="F398" s="101">
        <f t="shared" si="14"/>
        <v>6.9444444452528842E-3</v>
      </c>
    </row>
    <row r="399" spans="1:6" x14ac:dyDescent="0.25">
      <c r="A399" s="37" t="s">
        <v>174</v>
      </c>
      <c r="B399" s="94">
        <v>45694</v>
      </c>
      <c r="C399" s="37" t="s">
        <v>537</v>
      </c>
      <c r="D399" s="94">
        <v>45695</v>
      </c>
      <c r="E399" s="37" t="s">
        <v>1535</v>
      </c>
      <c r="F399" s="101">
        <f t="shared" si="14"/>
        <v>3.4722222218988463E-2</v>
      </c>
    </row>
    <row r="400" spans="1:6" x14ac:dyDescent="0.25">
      <c r="A400" s="37" t="s">
        <v>172</v>
      </c>
      <c r="B400" s="94">
        <v>45694</v>
      </c>
      <c r="C400" s="37" t="s">
        <v>537</v>
      </c>
      <c r="D400" s="94">
        <v>45695</v>
      </c>
      <c r="E400" s="37" t="s">
        <v>399</v>
      </c>
      <c r="F400" s="101">
        <f t="shared" si="14"/>
        <v>2.6388888887595385E-2</v>
      </c>
    </row>
    <row r="401" spans="1:6" x14ac:dyDescent="0.25">
      <c r="A401" s="37" t="s">
        <v>178</v>
      </c>
      <c r="B401" s="94">
        <v>45694</v>
      </c>
      <c r="C401" s="37" t="s">
        <v>537</v>
      </c>
      <c r="D401" s="94">
        <v>45695</v>
      </c>
      <c r="E401" s="37" t="s">
        <v>1544</v>
      </c>
      <c r="F401" s="101">
        <f t="shared" si="14"/>
        <v>0.10347222222480923</v>
      </c>
    </row>
    <row r="402" spans="1:6" x14ac:dyDescent="0.25">
      <c r="A402" s="37" t="s">
        <v>177</v>
      </c>
      <c r="B402" s="94">
        <v>45694</v>
      </c>
      <c r="C402" s="37" t="s">
        <v>537</v>
      </c>
      <c r="D402" s="94">
        <v>45695</v>
      </c>
      <c r="E402" s="37" t="s">
        <v>404</v>
      </c>
      <c r="F402" s="101">
        <f t="shared" si="14"/>
        <v>7.2916666664241347E-2</v>
      </c>
    </row>
    <row r="403" spans="1:6" x14ac:dyDescent="0.25">
      <c r="A403" s="37" t="s">
        <v>161</v>
      </c>
      <c r="B403" s="94">
        <v>45694</v>
      </c>
      <c r="C403" s="37" t="s">
        <v>1530</v>
      </c>
      <c r="D403" s="94">
        <v>45695</v>
      </c>
      <c r="E403" s="37" t="s">
        <v>1546</v>
      </c>
      <c r="F403" s="101">
        <f t="shared" si="14"/>
        <v>0.12083333333430346</v>
      </c>
    </row>
    <row r="404" spans="1:6" x14ac:dyDescent="0.25">
      <c r="A404" s="37" t="s">
        <v>158</v>
      </c>
      <c r="B404" s="94">
        <v>45695</v>
      </c>
      <c r="C404" s="37" t="s">
        <v>551</v>
      </c>
      <c r="D404" s="94">
        <v>45696</v>
      </c>
      <c r="E404" s="37" t="s">
        <v>1704</v>
      </c>
      <c r="F404" s="101">
        <f t="shared" si="14"/>
        <v>1.0569444444408873</v>
      </c>
    </row>
    <row r="405" spans="1:6" x14ac:dyDescent="0.25">
      <c r="A405" s="37" t="s">
        <v>262</v>
      </c>
      <c r="B405" s="94">
        <v>45695</v>
      </c>
      <c r="C405" s="37" t="s">
        <v>410</v>
      </c>
      <c r="D405" s="94">
        <v>45698</v>
      </c>
      <c r="E405" s="37" t="s">
        <v>1927</v>
      </c>
      <c r="F405" s="101">
        <f t="shared" si="14"/>
        <v>3.898611111108039</v>
      </c>
    </row>
    <row r="406" spans="1:6" x14ac:dyDescent="0.25">
      <c r="A406" s="37" t="s">
        <v>164</v>
      </c>
      <c r="B406" s="94">
        <v>45695</v>
      </c>
      <c r="C406" s="37" t="s">
        <v>1548</v>
      </c>
      <c r="D406" s="94">
        <v>45695</v>
      </c>
      <c r="E406" s="37" t="s">
        <v>1558</v>
      </c>
      <c r="F406" s="101">
        <f t="shared" si="14"/>
        <v>3.8194444445252884E-2</v>
      </c>
    </row>
    <row r="407" spans="1:6" x14ac:dyDescent="0.25">
      <c r="A407" s="37" t="s">
        <v>173</v>
      </c>
      <c r="B407" s="94">
        <v>45695</v>
      </c>
      <c r="C407" s="37" t="s">
        <v>1550</v>
      </c>
      <c r="D407" s="94">
        <v>45695</v>
      </c>
      <c r="E407" s="37" t="s">
        <v>1562</v>
      </c>
      <c r="F407" s="101">
        <f t="shared" si="14"/>
        <v>1.5972222223354038E-2</v>
      </c>
    </row>
    <row r="408" spans="1:6" x14ac:dyDescent="0.25">
      <c r="A408" s="37" t="s">
        <v>155</v>
      </c>
      <c r="B408" s="94">
        <v>45695</v>
      </c>
      <c r="C408" s="37" t="s">
        <v>908</v>
      </c>
      <c r="D408" s="94">
        <v>45695</v>
      </c>
      <c r="E408" s="37" t="s">
        <v>528</v>
      </c>
      <c r="F408" s="101">
        <f t="shared" si="14"/>
        <v>0.50069444444670808</v>
      </c>
    </row>
    <row r="409" spans="1:6" x14ac:dyDescent="0.25">
      <c r="A409" s="37" t="s">
        <v>163</v>
      </c>
      <c r="B409" s="94">
        <v>45695</v>
      </c>
      <c r="C409" s="37" t="s">
        <v>1400</v>
      </c>
      <c r="D409" s="94">
        <v>45695</v>
      </c>
      <c r="E409" s="37" t="s">
        <v>1563</v>
      </c>
      <c r="F409" s="101">
        <f t="shared" si="14"/>
        <v>1.4583333337213844E-2</v>
      </c>
    </row>
    <row r="410" spans="1:6" x14ac:dyDescent="0.25">
      <c r="A410" s="37" t="s">
        <v>273</v>
      </c>
      <c r="B410" s="94">
        <v>45695</v>
      </c>
      <c r="C410" s="37" t="s">
        <v>1555</v>
      </c>
      <c r="D410" s="94">
        <v>45695</v>
      </c>
      <c r="E410" s="37" t="s">
        <v>537</v>
      </c>
      <c r="F410" s="101">
        <f t="shared" si="14"/>
        <v>0.76388888889050577</v>
      </c>
    </row>
    <row r="411" spans="1:6" x14ac:dyDescent="0.25">
      <c r="A411" s="37" t="s">
        <v>252</v>
      </c>
      <c r="B411" s="94">
        <v>45695</v>
      </c>
      <c r="C411" s="37" t="s">
        <v>246</v>
      </c>
      <c r="D411" s="94">
        <v>45695</v>
      </c>
      <c r="E411" s="37" t="s">
        <v>1695</v>
      </c>
      <c r="F411" s="101">
        <f t="shared" si="14"/>
        <v>0.75624999999854481</v>
      </c>
    </row>
    <row r="412" spans="1:6" x14ac:dyDescent="0.25">
      <c r="A412" s="37" t="s">
        <v>272</v>
      </c>
      <c r="B412" s="94">
        <v>45695</v>
      </c>
      <c r="C412" s="37" t="s">
        <v>1560</v>
      </c>
      <c r="D412" s="94">
        <v>45695</v>
      </c>
      <c r="E412" s="37" t="s">
        <v>539</v>
      </c>
      <c r="F412" s="101">
        <f t="shared" si="14"/>
        <v>0.7618055555576575</v>
      </c>
    </row>
    <row r="413" spans="1:6" x14ac:dyDescent="0.25">
      <c r="A413" s="37" t="s">
        <v>164</v>
      </c>
      <c r="B413" s="94">
        <v>45695</v>
      </c>
      <c r="C413" s="37" t="s">
        <v>1245</v>
      </c>
      <c r="D413" s="94">
        <v>45695</v>
      </c>
      <c r="E413" s="37" t="s">
        <v>1079</v>
      </c>
      <c r="F413" s="101">
        <f t="shared" si="14"/>
        <v>4.0277777778101154E-2</v>
      </c>
    </row>
    <row r="414" spans="1:6" x14ac:dyDescent="0.25">
      <c r="A414" s="37" t="s">
        <v>165</v>
      </c>
      <c r="B414" s="94">
        <v>45695</v>
      </c>
      <c r="C414" s="37" t="s">
        <v>1567</v>
      </c>
      <c r="D414" s="94">
        <v>45695</v>
      </c>
      <c r="E414" s="37" t="s">
        <v>386</v>
      </c>
      <c r="F414" s="101">
        <f t="shared" si="14"/>
        <v>3.7499999998544808E-2</v>
      </c>
    </row>
    <row r="415" spans="1:6" x14ac:dyDescent="0.25">
      <c r="A415" s="37" t="s">
        <v>202</v>
      </c>
      <c r="B415" s="94">
        <v>45694</v>
      </c>
      <c r="C415" s="37" t="s">
        <v>1569</v>
      </c>
      <c r="D415" s="94">
        <v>45695</v>
      </c>
      <c r="E415" s="37" t="s">
        <v>1644</v>
      </c>
      <c r="F415" s="101">
        <f t="shared" si="14"/>
        <v>0.98333333332993789</v>
      </c>
    </row>
    <row r="416" spans="1:6" x14ac:dyDescent="0.25">
      <c r="A416" s="37" t="s">
        <v>159</v>
      </c>
      <c r="B416" s="94">
        <v>45694</v>
      </c>
      <c r="C416" s="37" t="s">
        <v>1344</v>
      </c>
      <c r="D416" s="94">
        <v>45695</v>
      </c>
      <c r="E416" s="37" t="s">
        <v>1574</v>
      </c>
      <c r="F416" s="101">
        <f t="shared" si="14"/>
        <v>0.51041666666424135</v>
      </c>
    </row>
    <row r="417" spans="1:6" x14ac:dyDescent="0.25">
      <c r="A417" s="37" t="s">
        <v>169</v>
      </c>
      <c r="B417" s="94">
        <v>45695</v>
      </c>
      <c r="C417" s="37" t="s">
        <v>1572</v>
      </c>
      <c r="D417" s="94">
        <v>45695</v>
      </c>
      <c r="E417" s="37" t="s">
        <v>1174</v>
      </c>
      <c r="F417" s="101">
        <f t="shared" si="14"/>
        <v>0.49166666666860692</v>
      </c>
    </row>
    <row r="418" spans="1:6" x14ac:dyDescent="0.25">
      <c r="A418" s="37" t="s">
        <v>168</v>
      </c>
      <c r="B418" s="94">
        <v>45695</v>
      </c>
      <c r="C418" s="37" t="s">
        <v>929</v>
      </c>
      <c r="D418" s="94">
        <v>45695</v>
      </c>
      <c r="E418" s="37" t="s">
        <v>1097</v>
      </c>
      <c r="F418" s="101">
        <f t="shared" si="14"/>
        <v>4.5833333329937886E-2</v>
      </c>
    </row>
    <row r="419" spans="1:6" x14ac:dyDescent="0.25">
      <c r="A419" s="37" t="s">
        <v>174</v>
      </c>
      <c r="B419" s="94">
        <v>45695</v>
      </c>
      <c r="C419" s="37" t="s">
        <v>741</v>
      </c>
      <c r="D419" s="94">
        <v>45695</v>
      </c>
      <c r="E419" s="37" t="s">
        <v>595</v>
      </c>
      <c r="F419" s="101">
        <f t="shared" si="14"/>
        <v>3.7499999998544808E-2</v>
      </c>
    </row>
    <row r="420" spans="1:6" x14ac:dyDescent="0.25">
      <c r="A420" s="37" t="s">
        <v>172</v>
      </c>
      <c r="B420" s="94">
        <v>45695</v>
      </c>
      <c r="C420" s="37" t="s">
        <v>234</v>
      </c>
      <c r="D420" s="94">
        <v>45695</v>
      </c>
      <c r="E420" s="37" t="s">
        <v>1097</v>
      </c>
      <c r="F420" s="101">
        <f t="shared" si="14"/>
        <v>3.1944444446708076E-2</v>
      </c>
    </row>
    <row r="421" spans="1:6" x14ac:dyDescent="0.25">
      <c r="A421" s="37" t="s">
        <v>177</v>
      </c>
      <c r="B421" s="94">
        <v>45695</v>
      </c>
      <c r="C421" s="37" t="s">
        <v>1423</v>
      </c>
      <c r="D421" s="94">
        <v>45695</v>
      </c>
      <c r="E421" s="37" t="s">
        <v>1589</v>
      </c>
      <c r="F421" s="101">
        <f t="shared" si="14"/>
        <v>3.2638888886140194E-2</v>
      </c>
    </row>
    <row r="422" spans="1:6" x14ac:dyDescent="0.25">
      <c r="A422" s="37" t="s">
        <v>178</v>
      </c>
      <c r="B422" s="94">
        <v>45695</v>
      </c>
      <c r="C422" s="37" t="s">
        <v>1104</v>
      </c>
      <c r="D422" s="94">
        <v>45695</v>
      </c>
      <c r="E422" s="37" t="s">
        <v>1434</v>
      </c>
      <c r="F422" s="101">
        <f t="shared" si="14"/>
        <v>2.8472222220443655E-2</v>
      </c>
    </row>
    <row r="423" spans="1:6" x14ac:dyDescent="0.25">
      <c r="A423" s="37" t="s">
        <v>161</v>
      </c>
      <c r="B423" s="94">
        <v>45695</v>
      </c>
      <c r="C423" s="37" t="s">
        <v>592</v>
      </c>
      <c r="D423" s="94">
        <v>45695</v>
      </c>
      <c r="E423" s="37" t="s">
        <v>1102</v>
      </c>
      <c r="F423" s="101">
        <f t="shared" si="14"/>
        <v>1.5972222223354038E-2</v>
      </c>
    </row>
    <row r="424" spans="1:6" x14ac:dyDescent="0.25">
      <c r="A424" s="37" t="s">
        <v>162</v>
      </c>
      <c r="B424" s="94">
        <v>45695</v>
      </c>
      <c r="C424" s="37" t="s">
        <v>955</v>
      </c>
      <c r="D424" s="94">
        <v>45695</v>
      </c>
      <c r="E424" s="37" t="s">
        <v>1598</v>
      </c>
      <c r="F424" s="101">
        <f t="shared" si="14"/>
        <v>8.9583333334303461E-2</v>
      </c>
    </row>
    <row r="425" spans="1:6" x14ac:dyDescent="0.25">
      <c r="A425" s="37" t="s">
        <v>186</v>
      </c>
      <c r="B425" s="94">
        <v>45695</v>
      </c>
      <c r="C425" s="37" t="s">
        <v>588</v>
      </c>
      <c r="D425" s="94">
        <v>45698</v>
      </c>
      <c r="E425" s="37" t="s">
        <v>1910</v>
      </c>
      <c r="F425" s="101">
        <f t="shared" si="14"/>
        <v>3.5055555555518367</v>
      </c>
    </row>
    <row r="426" spans="1:6" x14ac:dyDescent="0.25">
      <c r="A426" s="37" t="s">
        <v>173</v>
      </c>
      <c r="B426" s="94">
        <v>45695</v>
      </c>
      <c r="C426" s="37" t="s">
        <v>607</v>
      </c>
      <c r="D426" s="94">
        <v>45695</v>
      </c>
      <c r="E426" s="37" t="s">
        <v>1152</v>
      </c>
      <c r="F426" s="101">
        <f t="shared" si="14"/>
        <v>0.30833333333430346</v>
      </c>
    </row>
    <row r="427" spans="1:6" x14ac:dyDescent="0.25">
      <c r="A427" s="37" t="s">
        <v>163</v>
      </c>
      <c r="B427" s="94">
        <v>45695</v>
      </c>
      <c r="C427" s="37" t="s">
        <v>1275</v>
      </c>
      <c r="D427" s="94">
        <v>45695</v>
      </c>
      <c r="E427" s="37" t="s">
        <v>277</v>
      </c>
      <c r="F427" s="101">
        <f t="shared" si="14"/>
        <v>0.30763888888759539</v>
      </c>
    </row>
    <row r="428" spans="1:6" x14ac:dyDescent="0.25">
      <c r="A428" s="37" t="s">
        <v>260</v>
      </c>
      <c r="B428" s="94">
        <v>45695</v>
      </c>
      <c r="C428" s="37" t="s">
        <v>1592</v>
      </c>
      <c r="D428" s="94">
        <v>45697</v>
      </c>
      <c r="E428" s="37" t="s">
        <v>887</v>
      </c>
      <c r="F428" s="101">
        <f t="shared" si="14"/>
        <v>1.65625</v>
      </c>
    </row>
    <row r="429" spans="1:6" x14ac:dyDescent="0.25">
      <c r="A429" s="37" t="s">
        <v>165</v>
      </c>
      <c r="B429" s="94">
        <v>45695</v>
      </c>
      <c r="C429" s="37" t="s">
        <v>1281</v>
      </c>
      <c r="D429" s="94">
        <v>45695</v>
      </c>
      <c r="E429" s="37" t="s">
        <v>1618</v>
      </c>
      <c r="F429" s="101">
        <f t="shared" ref="F429:F460" si="15">(D429 + TIME(LEFT(E429, 2), MID(E429, 3, 2), 0)) - (B429 + TIME(LEFT(C429, 2), MID(C429, 3, 2), 0))</f>
        <v>0.29930555555620231</v>
      </c>
    </row>
    <row r="430" spans="1:6" x14ac:dyDescent="0.25">
      <c r="A430" s="37" t="s">
        <v>168</v>
      </c>
      <c r="B430" s="94">
        <v>45695</v>
      </c>
      <c r="C430" s="37" t="s">
        <v>236</v>
      </c>
      <c r="D430" s="94">
        <v>45695</v>
      </c>
      <c r="E430" s="37" t="s">
        <v>1001</v>
      </c>
      <c r="F430" s="101">
        <f t="shared" si="15"/>
        <v>0.29305555555038154</v>
      </c>
    </row>
    <row r="431" spans="1:6" x14ac:dyDescent="0.25">
      <c r="A431" s="37" t="s">
        <v>164</v>
      </c>
      <c r="B431" s="94">
        <v>45695</v>
      </c>
      <c r="C431" s="37" t="s">
        <v>1596</v>
      </c>
      <c r="D431" s="94">
        <v>45695</v>
      </c>
      <c r="E431" s="37" t="s">
        <v>277</v>
      </c>
      <c r="F431" s="101">
        <f t="shared" si="15"/>
        <v>0.29444444444379769</v>
      </c>
    </row>
    <row r="432" spans="1:6" x14ac:dyDescent="0.25">
      <c r="A432" s="37" t="s">
        <v>166</v>
      </c>
      <c r="B432" s="94">
        <v>45695</v>
      </c>
      <c r="C432" s="37" t="s">
        <v>167</v>
      </c>
      <c r="D432" s="94">
        <v>45695</v>
      </c>
      <c r="E432" s="37" t="s">
        <v>682</v>
      </c>
      <c r="F432" s="101">
        <f t="shared" si="15"/>
        <v>0.5</v>
      </c>
    </row>
    <row r="433" spans="1:6" x14ac:dyDescent="0.25">
      <c r="A433" s="37" t="s">
        <v>174</v>
      </c>
      <c r="B433" s="94">
        <v>45695</v>
      </c>
      <c r="C433" s="37" t="s">
        <v>1603</v>
      </c>
      <c r="D433" s="94">
        <v>45695</v>
      </c>
      <c r="E433" s="37" t="s">
        <v>1624</v>
      </c>
      <c r="F433" s="101">
        <f t="shared" si="15"/>
        <v>0.19097222222626442</v>
      </c>
    </row>
    <row r="434" spans="1:6" x14ac:dyDescent="0.25">
      <c r="A434" s="37" t="s">
        <v>172</v>
      </c>
      <c r="B434" s="94">
        <v>45695</v>
      </c>
      <c r="C434" s="37" t="s">
        <v>1605</v>
      </c>
      <c r="D434" s="94">
        <v>45695</v>
      </c>
      <c r="E434" s="37" t="s">
        <v>647</v>
      </c>
      <c r="F434" s="101">
        <f t="shared" si="15"/>
        <v>0.18055555555474712</v>
      </c>
    </row>
    <row r="435" spans="1:6" x14ac:dyDescent="0.25">
      <c r="A435" s="37" t="s">
        <v>177</v>
      </c>
      <c r="B435" s="94">
        <v>45695</v>
      </c>
      <c r="C435" s="37" t="s">
        <v>1132</v>
      </c>
      <c r="D435" s="94">
        <v>45695</v>
      </c>
      <c r="E435" s="37" t="s">
        <v>1626</v>
      </c>
      <c r="F435" s="101">
        <f t="shared" si="15"/>
        <v>0.17361111110949423</v>
      </c>
    </row>
    <row r="436" spans="1:6" x14ac:dyDescent="0.25">
      <c r="A436" s="37" t="s">
        <v>178</v>
      </c>
      <c r="B436" s="94">
        <v>45695</v>
      </c>
      <c r="C436" s="37" t="s">
        <v>1608</v>
      </c>
      <c r="D436" s="94">
        <v>45695</v>
      </c>
      <c r="E436" s="37" t="s">
        <v>1628</v>
      </c>
      <c r="F436" s="101">
        <f t="shared" si="15"/>
        <v>0.16249999999854481</v>
      </c>
    </row>
    <row r="437" spans="1:6" x14ac:dyDescent="0.25">
      <c r="A437" s="37" t="s">
        <v>1474</v>
      </c>
      <c r="B437" s="94">
        <v>45695</v>
      </c>
      <c r="C437" s="37" t="s">
        <v>1610</v>
      </c>
      <c r="D437" s="94">
        <v>45695</v>
      </c>
      <c r="E437" s="37" t="s">
        <v>1159</v>
      </c>
      <c r="F437" s="101">
        <f t="shared" si="15"/>
        <v>9.7916666665696539E-2</v>
      </c>
    </row>
    <row r="438" spans="1:6" x14ac:dyDescent="0.25">
      <c r="A438" s="37" t="s">
        <v>151</v>
      </c>
      <c r="B438" s="94">
        <v>45695</v>
      </c>
      <c r="C438" s="37" t="s">
        <v>1612</v>
      </c>
      <c r="D438" s="94">
        <v>45696</v>
      </c>
      <c r="E438" s="37" t="s">
        <v>258</v>
      </c>
      <c r="F438" s="101">
        <f t="shared" si="15"/>
        <v>1.2624999999970896</v>
      </c>
    </row>
    <row r="439" spans="1:6" x14ac:dyDescent="0.25">
      <c r="A439" s="37" t="s">
        <v>1474</v>
      </c>
      <c r="B439" s="94">
        <v>45695</v>
      </c>
      <c r="C439" s="37" t="s">
        <v>999</v>
      </c>
      <c r="D439" s="94">
        <v>45695</v>
      </c>
      <c r="E439" s="37" t="s">
        <v>276</v>
      </c>
      <c r="F439" s="101">
        <f t="shared" si="15"/>
        <v>7.6388888890505768E-2</v>
      </c>
    </row>
    <row r="440" spans="1:6" x14ac:dyDescent="0.25">
      <c r="A440" s="37" t="s">
        <v>160</v>
      </c>
      <c r="B440" s="94">
        <v>45695</v>
      </c>
      <c r="C440" s="37" t="s">
        <v>526</v>
      </c>
      <c r="D440" s="94">
        <v>45696</v>
      </c>
      <c r="E440" s="37" t="s">
        <v>1699</v>
      </c>
      <c r="F440" s="101">
        <f t="shared" si="15"/>
        <v>0.37569444444670808</v>
      </c>
    </row>
    <row r="441" spans="1:6" x14ac:dyDescent="0.25">
      <c r="A441" s="37" t="s">
        <v>161</v>
      </c>
      <c r="B441" s="94">
        <v>45695</v>
      </c>
      <c r="C441" s="37" t="s">
        <v>1349</v>
      </c>
      <c r="D441" s="94">
        <v>45695</v>
      </c>
      <c r="E441" s="37" t="s">
        <v>1654</v>
      </c>
      <c r="F441" s="101">
        <f t="shared" si="15"/>
        <v>4.1666666664241347E-2</v>
      </c>
    </row>
    <row r="442" spans="1:6" x14ac:dyDescent="0.25">
      <c r="A442" s="37" t="s">
        <v>178</v>
      </c>
      <c r="B442" s="94">
        <v>45695</v>
      </c>
      <c r="C442" s="37" t="s">
        <v>1349</v>
      </c>
      <c r="D442" s="94">
        <v>45695</v>
      </c>
      <c r="E442" s="37" t="s">
        <v>1649</v>
      </c>
      <c r="F442" s="101">
        <f t="shared" si="15"/>
        <v>3.6805555551836733E-2</v>
      </c>
    </row>
    <row r="443" spans="1:6" x14ac:dyDescent="0.25">
      <c r="A443" s="37" t="s">
        <v>164</v>
      </c>
      <c r="B443" s="94">
        <v>45695</v>
      </c>
      <c r="C443" s="37" t="s">
        <v>839</v>
      </c>
      <c r="D443" s="94">
        <v>45695</v>
      </c>
      <c r="E443" s="37" t="s">
        <v>870</v>
      </c>
      <c r="F443" s="101">
        <f t="shared" si="15"/>
        <v>0.18680555556056788</v>
      </c>
    </row>
    <row r="444" spans="1:6" x14ac:dyDescent="0.25">
      <c r="A444" s="37" t="s">
        <v>173</v>
      </c>
      <c r="B444" s="94">
        <v>45695</v>
      </c>
      <c r="C444" s="37" t="s">
        <v>839</v>
      </c>
      <c r="D444" s="94">
        <v>45695</v>
      </c>
      <c r="E444" s="37" t="s">
        <v>1676</v>
      </c>
      <c r="F444" s="101">
        <f t="shared" si="15"/>
        <v>0.17847222222189885</v>
      </c>
    </row>
    <row r="445" spans="1:6" x14ac:dyDescent="0.25">
      <c r="A445" s="37" t="s">
        <v>162</v>
      </c>
      <c r="B445" s="94">
        <v>45695</v>
      </c>
      <c r="C445" s="37" t="s">
        <v>839</v>
      </c>
      <c r="D445" s="94">
        <v>45695</v>
      </c>
      <c r="E445" s="37" t="s">
        <v>1656</v>
      </c>
      <c r="F445" s="101">
        <f t="shared" si="15"/>
        <v>4.3750000004365575E-2</v>
      </c>
    </row>
    <row r="446" spans="1:6" x14ac:dyDescent="0.25">
      <c r="A446" s="37" t="s">
        <v>170</v>
      </c>
      <c r="B446" s="94">
        <v>45695</v>
      </c>
      <c r="C446" s="37" t="s">
        <v>1634</v>
      </c>
      <c r="D446" s="94">
        <v>45695</v>
      </c>
      <c r="E446" s="37" t="s">
        <v>1685</v>
      </c>
      <c r="F446" s="101">
        <f t="shared" si="15"/>
        <v>0.20277777777664596</v>
      </c>
    </row>
    <row r="447" spans="1:6" x14ac:dyDescent="0.25">
      <c r="A447" s="37" t="s">
        <v>165</v>
      </c>
      <c r="B447" s="94">
        <v>45695</v>
      </c>
      <c r="C447" s="37" t="s">
        <v>1634</v>
      </c>
      <c r="D447" s="94">
        <v>45695</v>
      </c>
      <c r="E447" s="37" t="s">
        <v>682</v>
      </c>
      <c r="F447" s="101">
        <f t="shared" si="15"/>
        <v>0.19305555555183673</v>
      </c>
    </row>
    <row r="448" spans="1:6" x14ac:dyDescent="0.25">
      <c r="A448" s="37" t="s">
        <v>168</v>
      </c>
      <c r="B448" s="94">
        <v>45695</v>
      </c>
      <c r="C448" s="37" t="s">
        <v>1634</v>
      </c>
      <c r="D448" s="94">
        <v>45695</v>
      </c>
      <c r="E448" s="37" t="s">
        <v>1683</v>
      </c>
      <c r="F448" s="101">
        <f t="shared" si="15"/>
        <v>0.20069444444379769</v>
      </c>
    </row>
    <row r="449" spans="1:7" x14ac:dyDescent="0.25">
      <c r="A449" s="37" t="s">
        <v>174</v>
      </c>
      <c r="B449" s="94">
        <v>45695</v>
      </c>
      <c r="C449" s="37" t="s">
        <v>1638</v>
      </c>
      <c r="D449" s="94">
        <v>45695</v>
      </c>
      <c r="E449" s="37" t="s">
        <v>1688</v>
      </c>
      <c r="F449" s="101">
        <f t="shared" si="15"/>
        <v>0.20625000000291038</v>
      </c>
    </row>
    <row r="450" spans="1:7" x14ac:dyDescent="0.25">
      <c r="A450" s="37" t="s">
        <v>172</v>
      </c>
      <c r="B450" s="94">
        <v>45695</v>
      </c>
      <c r="C450" s="37" t="s">
        <v>1638</v>
      </c>
      <c r="D450" s="94">
        <v>45695</v>
      </c>
      <c r="E450" s="37" t="s">
        <v>1685</v>
      </c>
      <c r="F450" s="101">
        <f t="shared" si="15"/>
        <v>0.1993055555576575</v>
      </c>
    </row>
    <row r="451" spans="1:7" x14ac:dyDescent="0.25">
      <c r="A451" s="37" t="s">
        <v>302</v>
      </c>
      <c r="B451" s="94">
        <v>45695</v>
      </c>
      <c r="C451" s="37" t="s">
        <v>1641</v>
      </c>
      <c r="D451" s="94">
        <v>45695</v>
      </c>
      <c r="E451" s="37" t="s">
        <v>220</v>
      </c>
      <c r="F451" s="101">
        <f t="shared" si="15"/>
        <v>0.13958333333721384</v>
      </c>
    </row>
    <row r="452" spans="1:7" x14ac:dyDescent="0.25">
      <c r="A452" s="37" t="s">
        <v>177</v>
      </c>
      <c r="B452" s="94">
        <v>45695</v>
      </c>
      <c r="C452" s="37" t="s">
        <v>1641</v>
      </c>
      <c r="D452" s="94">
        <v>45695</v>
      </c>
      <c r="E452" s="37" t="s">
        <v>1646</v>
      </c>
      <c r="F452" s="101">
        <f t="shared" si="15"/>
        <v>1.3888888890505768E-2</v>
      </c>
    </row>
    <row r="453" spans="1:7" x14ac:dyDescent="0.25">
      <c r="A453" s="37" t="s">
        <v>202</v>
      </c>
      <c r="B453" s="94">
        <v>45695</v>
      </c>
      <c r="C453" s="37" t="s">
        <v>1646</v>
      </c>
      <c r="D453" s="94">
        <v>45695</v>
      </c>
      <c r="E453" s="37" t="s">
        <v>1658</v>
      </c>
      <c r="F453" s="101">
        <f t="shared" si="15"/>
        <v>2.5000000001455192E-2</v>
      </c>
    </row>
    <row r="454" spans="1:7" x14ac:dyDescent="0.25">
      <c r="A454" s="37" t="s">
        <v>163</v>
      </c>
      <c r="B454" s="94">
        <v>45695</v>
      </c>
      <c r="C454" s="37" t="s">
        <v>1647</v>
      </c>
      <c r="D454" s="94">
        <v>45696</v>
      </c>
      <c r="E454" s="37" t="s">
        <v>1781</v>
      </c>
      <c r="F454" s="101">
        <f t="shared" si="15"/>
        <v>0.91805555555038154</v>
      </c>
    </row>
    <row r="455" spans="1:7" x14ac:dyDescent="0.25">
      <c r="A455" s="37" t="s">
        <v>159</v>
      </c>
      <c r="B455" s="94">
        <v>45695</v>
      </c>
      <c r="C455" s="37" t="s">
        <v>239</v>
      </c>
      <c r="D455" s="94">
        <v>45696</v>
      </c>
      <c r="E455" s="37" t="s">
        <v>791</v>
      </c>
      <c r="F455" s="101">
        <f t="shared" si="15"/>
        <v>0.8319444444423425</v>
      </c>
    </row>
    <row r="456" spans="1:7" x14ac:dyDescent="0.25">
      <c r="A456" s="37" t="s">
        <v>161</v>
      </c>
      <c r="B456" s="94">
        <v>45695</v>
      </c>
      <c r="C456" s="37" t="s">
        <v>1658</v>
      </c>
      <c r="D456" s="94">
        <v>45695</v>
      </c>
      <c r="E456" s="37" t="s">
        <v>878</v>
      </c>
      <c r="F456" s="101">
        <f t="shared" si="15"/>
        <v>0.16666666666424135</v>
      </c>
    </row>
    <row r="457" spans="1:7" x14ac:dyDescent="0.25">
      <c r="A457" s="37" t="s">
        <v>162</v>
      </c>
      <c r="B457" s="94">
        <v>45695</v>
      </c>
      <c r="C457" s="37" t="s">
        <v>1658</v>
      </c>
      <c r="D457" s="94">
        <v>45695</v>
      </c>
      <c r="E457" s="37" t="s">
        <v>1662</v>
      </c>
      <c r="F457" s="101">
        <f t="shared" si="15"/>
        <v>1.8749999995634425E-2</v>
      </c>
    </row>
    <row r="458" spans="1:7" x14ac:dyDescent="0.25">
      <c r="A458" s="37" t="s">
        <v>178</v>
      </c>
      <c r="B458" s="94">
        <v>45695</v>
      </c>
      <c r="C458" s="37" t="s">
        <v>1658</v>
      </c>
      <c r="D458" s="94">
        <v>45695</v>
      </c>
      <c r="E458" s="37" t="s">
        <v>1688</v>
      </c>
      <c r="F458" s="101">
        <f t="shared" si="15"/>
        <v>0.16319444444525288</v>
      </c>
    </row>
    <row r="459" spans="1:7" x14ac:dyDescent="0.25">
      <c r="A459" s="37" t="s">
        <v>177</v>
      </c>
      <c r="B459" s="94">
        <v>45695</v>
      </c>
      <c r="C459" s="37" t="s">
        <v>1658</v>
      </c>
      <c r="D459" s="94">
        <v>45695</v>
      </c>
      <c r="E459" s="37" t="s">
        <v>1032</v>
      </c>
      <c r="F459" s="101">
        <f t="shared" si="15"/>
        <v>0.12569444443943212</v>
      </c>
    </row>
    <row r="460" spans="1:7" x14ac:dyDescent="0.25">
      <c r="A460" s="37" t="s">
        <v>194</v>
      </c>
      <c r="B460" s="94">
        <v>45695</v>
      </c>
      <c r="C460" s="37" t="s">
        <v>1658</v>
      </c>
      <c r="D460" s="94">
        <v>45696</v>
      </c>
      <c r="E460" s="37" t="s">
        <v>1785</v>
      </c>
      <c r="F460" s="101">
        <f t="shared" si="15"/>
        <v>0.93194444444088731</v>
      </c>
      <c r="G460" s="37" t="s">
        <v>9</v>
      </c>
    </row>
    <row r="461" spans="1:7" x14ac:dyDescent="0.25">
      <c r="A461" s="37" t="s">
        <v>157</v>
      </c>
      <c r="B461" s="94">
        <v>45695</v>
      </c>
      <c r="C461" s="37" t="s">
        <v>1663</v>
      </c>
      <c r="D461" s="94">
        <v>45695</v>
      </c>
      <c r="E461" s="37" t="s">
        <v>282</v>
      </c>
      <c r="F461" s="101">
        <f t="shared" ref="F461:F492" si="16">(D461 + TIME(LEFT(E461, 2), MID(E461, 3, 2), 0)) - (B461 + TIME(LEFT(C461, 2), MID(C461, 3, 2), 0))</f>
        <v>0.12986111111240461</v>
      </c>
      <c r="G461" s="37" t="s">
        <v>9</v>
      </c>
    </row>
    <row r="462" spans="1:7" x14ac:dyDescent="0.25">
      <c r="A462" s="37" t="s">
        <v>202</v>
      </c>
      <c r="B462" s="94">
        <v>45695</v>
      </c>
      <c r="C462" s="37" t="s">
        <v>1201</v>
      </c>
      <c r="D462" s="94">
        <v>45695</v>
      </c>
      <c r="E462" s="37" t="s">
        <v>205</v>
      </c>
      <c r="F462" s="101">
        <f t="shared" si="16"/>
        <v>2.0833333328482695E-3</v>
      </c>
    </row>
    <row r="463" spans="1:7" x14ac:dyDescent="0.25">
      <c r="A463" s="37" t="s">
        <v>162</v>
      </c>
      <c r="B463" s="94">
        <v>45695</v>
      </c>
      <c r="C463" s="37" t="s">
        <v>1663</v>
      </c>
      <c r="D463" s="94">
        <v>45695</v>
      </c>
      <c r="E463" s="37" t="s">
        <v>878</v>
      </c>
      <c r="F463" s="101">
        <f t="shared" si="16"/>
        <v>0.14375000000291038</v>
      </c>
    </row>
    <row r="464" spans="1:7" x14ac:dyDescent="0.25">
      <c r="A464" s="37" t="s">
        <v>202</v>
      </c>
      <c r="B464" s="94">
        <v>45695</v>
      </c>
      <c r="C464" s="37" t="s">
        <v>1670</v>
      </c>
      <c r="D464" s="94">
        <v>45696</v>
      </c>
      <c r="E464" s="37" t="s">
        <v>1731</v>
      </c>
      <c r="F464" s="101">
        <f t="shared" si="16"/>
        <v>0.47013888888614019</v>
      </c>
    </row>
    <row r="465" spans="1:6" x14ac:dyDescent="0.25">
      <c r="A465" s="37" t="s">
        <v>264</v>
      </c>
      <c r="B465" s="94">
        <v>45695</v>
      </c>
      <c r="C465" s="37" t="s">
        <v>1673</v>
      </c>
      <c r="D465" s="94">
        <v>45696</v>
      </c>
      <c r="E465" s="37" t="s">
        <v>1707</v>
      </c>
      <c r="F465" s="101">
        <f t="shared" si="16"/>
        <v>0.18819444444670808</v>
      </c>
    </row>
    <row r="466" spans="1:6" x14ac:dyDescent="0.25">
      <c r="A466" s="37" t="s">
        <v>155</v>
      </c>
      <c r="B466" s="94">
        <v>45695</v>
      </c>
      <c r="C466" s="37" t="s">
        <v>680</v>
      </c>
      <c r="D466" s="94">
        <v>45696</v>
      </c>
      <c r="E466" s="37" t="s">
        <v>1733</v>
      </c>
      <c r="F466" s="101">
        <f t="shared" si="16"/>
        <v>0.41875000000436557</v>
      </c>
    </row>
    <row r="467" spans="1:6" x14ac:dyDescent="0.25">
      <c r="A467" s="37" t="s">
        <v>157</v>
      </c>
      <c r="B467" s="94">
        <v>45695</v>
      </c>
      <c r="C467" s="37" t="s">
        <v>282</v>
      </c>
      <c r="D467" s="94">
        <v>45698</v>
      </c>
      <c r="E467" s="37" t="s">
        <v>1910</v>
      </c>
      <c r="F467" s="101">
        <f t="shared" si="16"/>
        <v>2.8819444444452529</v>
      </c>
    </row>
    <row r="468" spans="1:6" x14ac:dyDescent="0.25">
      <c r="A468" s="37" t="s">
        <v>144</v>
      </c>
      <c r="B468" s="94">
        <v>45695</v>
      </c>
      <c r="C468" s="37" t="s">
        <v>1564</v>
      </c>
      <c r="D468" s="94">
        <v>45695</v>
      </c>
      <c r="E468" s="37" t="s">
        <v>1693</v>
      </c>
      <c r="F468" s="101">
        <f t="shared" si="16"/>
        <v>0.74930555555329192</v>
      </c>
    </row>
    <row r="469" spans="1:6" x14ac:dyDescent="0.25">
      <c r="A469" s="37" t="s">
        <v>164</v>
      </c>
      <c r="B469" s="94">
        <v>45696</v>
      </c>
      <c r="C469" s="37" t="s">
        <v>1701</v>
      </c>
      <c r="D469" s="94">
        <v>45696</v>
      </c>
      <c r="E469" s="37" t="s">
        <v>910</v>
      </c>
      <c r="F469" s="101">
        <f t="shared" si="16"/>
        <v>0.10833333332993789</v>
      </c>
    </row>
    <row r="470" spans="1:6" x14ac:dyDescent="0.25">
      <c r="A470" s="37" t="s">
        <v>173</v>
      </c>
      <c r="B470" s="94">
        <v>45696</v>
      </c>
      <c r="C470" s="37" t="s">
        <v>1701</v>
      </c>
      <c r="D470" s="94">
        <v>45696</v>
      </c>
      <c r="E470" s="37" t="s">
        <v>1709</v>
      </c>
      <c r="F470" s="101">
        <f t="shared" si="16"/>
        <v>5.6249999994179234E-2</v>
      </c>
    </row>
    <row r="471" spans="1:6" x14ac:dyDescent="0.25">
      <c r="A471" s="37" t="s">
        <v>165</v>
      </c>
      <c r="B471" s="94">
        <v>45696</v>
      </c>
      <c r="C471" s="37" t="s">
        <v>1704</v>
      </c>
      <c r="D471" s="94">
        <v>45696</v>
      </c>
      <c r="E471" s="37" t="s">
        <v>1234</v>
      </c>
      <c r="F471" s="101">
        <f t="shared" si="16"/>
        <v>0.10902777777664596</v>
      </c>
    </row>
    <row r="472" spans="1:6" x14ac:dyDescent="0.25">
      <c r="A472" s="37" t="s">
        <v>273</v>
      </c>
      <c r="B472" s="94">
        <v>45696</v>
      </c>
      <c r="C472" s="37" t="s">
        <v>908</v>
      </c>
      <c r="D472" s="94">
        <v>45696</v>
      </c>
      <c r="E472" s="37" t="s">
        <v>1802</v>
      </c>
      <c r="F472" s="101">
        <f t="shared" si="16"/>
        <v>0.60763888889050577</v>
      </c>
    </row>
    <row r="473" spans="1:6" x14ac:dyDescent="0.25">
      <c r="A473" s="37" t="s">
        <v>272</v>
      </c>
      <c r="B473" s="94">
        <v>45696</v>
      </c>
      <c r="C473" s="37" t="s">
        <v>563</v>
      </c>
      <c r="D473" s="94">
        <v>45696</v>
      </c>
      <c r="E473" s="37" t="s">
        <v>1805</v>
      </c>
      <c r="F473" s="101">
        <f t="shared" si="16"/>
        <v>0.617361111115315</v>
      </c>
    </row>
    <row r="474" spans="1:6" x14ac:dyDescent="0.25">
      <c r="A474" s="37" t="s">
        <v>166</v>
      </c>
      <c r="B474" s="94">
        <v>45696</v>
      </c>
      <c r="C474" s="37" t="s">
        <v>1716</v>
      </c>
      <c r="D474" s="94">
        <v>45696</v>
      </c>
      <c r="E474" s="37" t="s">
        <v>1733</v>
      </c>
      <c r="F474" s="101">
        <f t="shared" si="16"/>
        <v>0.15208333333430346</v>
      </c>
    </row>
    <row r="475" spans="1:6" x14ac:dyDescent="0.25">
      <c r="A475" s="37" t="s">
        <v>252</v>
      </c>
      <c r="B475" s="94">
        <v>45696</v>
      </c>
      <c r="C475" s="37" t="s">
        <v>1718</v>
      </c>
      <c r="D475" s="94">
        <v>45696</v>
      </c>
      <c r="E475" s="37" t="s">
        <v>1802</v>
      </c>
      <c r="F475" s="101">
        <f t="shared" si="16"/>
        <v>0.54513888889050577</v>
      </c>
    </row>
    <row r="476" spans="1:6" x14ac:dyDescent="0.25">
      <c r="A476" s="37" t="s">
        <v>168</v>
      </c>
      <c r="B476" s="94">
        <v>45696</v>
      </c>
      <c r="C476" s="37" t="s">
        <v>1720</v>
      </c>
      <c r="D476" s="94">
        <v>45696</v>
      </c>
      <c r="E476" s="37" t="s">
        <v>1429</v>
      </c>
      <c r="F476" s="101">
        <f t="shared" si="16"/>
        <v>5.2083333328482695E-2</v>
      </c>
    </row>
    <row r="477" spans="1:6" x14ac:dyDescent="0.25">
      <c r="A477" s="37" t="s">
        <v>174</v>
      </c>
      <c r="B477" s="94">
        <v>45696</v>
      </c>
      <c r="C477" s="37" t="s">
        <v>1418</v>
      </c>
      <c r="D477" s="94">
        <v>45696</v>
      </c>
      <c r="E477" s="37" t="s">
        <v>1729</v>
      </c>
      <c r="F477" s="101">
        <f t="shared" si="16"/>
        <v>4.3749999997089617E-2</v>
      </c>
    </row>
    <row r="478" spans="1:6" x14ac:dyDescent="0.25">
      <c r="A478" s="37" t="s">
        <v>264</v>
      </c>
      <c r="B478" s="94">
        <v>45696</v>
      </c>
      <c r="C478" s="37" t="s">
        <v>229</v>
      </c>
      <c r="D478" s="94">
        <v>45696</v>
      </c>
      <c r="E478" s="37" t="s">
        <v>748</v>
      </c>
      <c r="F478" s="101">
        <f t="shared" si="16"/>
        <v>2.7777777781011537E-2</v>
      </c>
    </row>
    <row r="479" spans="1:6" x14ac:dyDescent="0.25">
      <c r="A479" s="37" t="s">
        <v>172</v>
      </c>
      <c r="B479" s="94">
        <v>45696</v>
      </c>
      <c r="C479" s="37" t="s">
        <v>741</v>
      </c>
      <c r="D479" s="94">
        <v>45696</v>
      </c>
      <c r="E479" s="37" t="s">
        <v>1429</v>
      </c>
      <c r="F479" s="101">
        <f t="shared" si="16"/>
        <v>2.569444444088731E-2</v>
      </c>
    </row>
    <row r="480" spans="1:6" x14ac:dyDescent="0.25">
      <c r="A480" s="37" t="s">
        <v>177</v>
      </c>
      <c r="B480" s="94">
        <v>45696</v>
      </c>
      <c r="C480" s="37" t="s">
        <v>234</v>
      </c>
      <c r="D480" s="94">
        <v>45696</v>
      </c>
      <c r="E480" s="37" t="s">
        <v>595</v>
      </c>
      <c r="F480" s="101">
        <f t="shared" si="16"/>
        <v>3.4027777779556345E-2</v>
      </c>
    </row>
    <row r="481" spans="1:6" x14ac:dyDescent="0.25">
      <c r="A481" s="37" t="s">
        <v>158</v>
      </c>
      <c r="B481" s="94">
        <v>45696</v>
      </c>
      <c r="C481" s="37" t="s">
        <v>152</v>
      </c>
      <c r="D481" s="94">
        <v>45696</v>
      </c>
      <c r="E481" s="37" t="s">
        <v>1036</v>
      </c>
      <c r="F481" s="101">
        <f t="shared" si="16"/>
        <v>0.63541666667151731</v>
      </c>
    </row>
    <row r="482" spans="1:6" x14ac:dyDescent="0.25">
      <c r="A482" s="37" t="s">
        <v>178</v>
      </c>
      <c r="B482" s="94">
        <v>45696</v>
      </c>
      <c r="C482" s="37" t="s">
        <v>1737</v>
      </c>
      <c r="D482" s="94">
        <v>45696</v>
      </c>
      <c r="E482" s="37" t="s">
        <v>188</v>
      </c>
      <c r="F482" s="101">
        <f t="shared" si="16"/>
        <v>6.1805555553291924E-2</v>
      </c>
    </row>
    <row r="483" spans="1:6" x14ac:dyDescent="0.25">
      <c r="A483" s="37" t="s">
        <v>202</v>
      </c>
      <c r="B483" s="94">
        <v>45696</v>
      </c>
      <c r="C483" s="37" t="s">
        <v>1431</v>
      </c>
      <c r="D483" s="94">
        <v>45696</v>
      </c>
      <c r="E483" s="37" t="s">
        <v>1431</v>
      </c>
      <c r="F483" s="101">
        <f t="shared" si="16"/>
        <v>0</v>
      </c>
    </row>
    <row r="484" spans="1:6" x14ac:dyDescent="0.25">
      <c r="A484" s="37" t="s">
        <v>202</v>
      </c>
      <c r="B484" s="94">
        <v>45696</v>
      </c>
      <c r="C484" s="37" t="s">
        <v>1431</v>
      </c>
      <c r="D484" s="94">
        <v>45696</v>
      </c>
      <c r="E484" s="37" t="s">
        <v>1431</v>
      </c>
      <c r="F484" s="101">
        <f t="shared" si="16"/>
        <v>0</v>
      </c>
    </row>
    <row r="485" spans="1:6" x14ac:dyDescent="0.25">
      <c r="A485" s="37" t="s">
        <v>155</v>
      </c>
      <c r="B485" s="94">
        <v>45696</v>
      </c>
      <c r="C485" s="37" t="s">
        <v>961</v>
      </c>
      <c r="D485" s="94">
        <v>45696</v>
      </c>
      <c r="E485" s="37" t="s">
        <v>167</v>
      </c>
      <c r="F485" s="101">
        <f t="shared" si="16"/>
        <v>7.2222222224809229E-2</v>
      </c>
    </row>
    <row r="486" spans="1:6" x14ac:dyDescent="0.25">
      <c r="A486" s="37" t="s">
        <v>166</v>
      </c>
      <c r="B486" s="94">
        <v>45696</v>
      </c>
      <c r="C486" s="37" t="s">
        <v>961</v>
      </c>
      <c r="D486" s="94">
        <v>45696</v>
      </c>
      <c r="E486" s="37" t="s">
        <v>1346</v>
      </c>
      <c r="F486" s="101">
        <f t="shared" si="16"/>
        <v>0.36388888888905058</v>
      </c>
    </row>
    <row r="487" spans="1:6" x14ac:dyDescent="0.25">
      <c r="A487" s="37" t="s">
        <v>162</v>
      </c>
      <c r="B487" s="94">
        <v>45696</v>
      </c>
      <c r="C487" s="37" t="s">
        <v>1444</v>
      </c>
      <c r="D487" s="94">
        <v>45696</v>
      </c>
      <c r="E487" s="37" t="s">
        <v>1751</v>
      </c>
      <c r="F487" s="101">
        <f t="shared" si="16"/>
        <v>7.1527777778101154E-2</v>
      </c>
    </row>
    <row r="488" spans="1:6" x14ac:dyDescent="0.25">
      <c r="A488" s="37" t="s">
        <v>173</v>
      </c>
      <c r="B488" s="94">
        <v>45696</v>
      </c>
      <c r="C488" s="37" t="s">
        <v>269</v>
      </c>
      <c r="D488" s="94">
        <v>45696</v>
      </c>
      <c r="E488" s="37" t="s">
        <v>1753</v>
      </c>
      <c r="F488" s="101">
        <f t="shared" si="16"/>
        <v>7.7083333329937886E-2</v>
      </c>
    </row>
    <row r="489" spans="1:6" x14ac:dyDescent="0.25">
      <c r="A489" s="37" t="s">
        <v>164</v>
      </c>
      <c r="B489" s="94">
        <v>45696</v>
      </c>
      <c r="C489" s="37" t="s">
        <v>1596</v>
      </c>
      <c r="D489" s="94">
        <v>45696</v>
      </c>
      <c r="E489" s="37" t="s">
        <v>1142</v>
      </c>
      <c r="F489" s="101">
        <f t="shared" si="16"/>
        <v>0.21666666666715173</v>
      </c>
    </row>
    <row r="490" spans="1:6" x14ac:dyDescent="0.25">
      <c r="A490" s="37" t="s">
        <v>168</v>
      </c>
      <c r="B490" s="94">
        <v>45696</v>
      </c>
      <c r="C490" s="37" t="s">
        <v>1114</v>
      </c>
      <c r="D490" s="94">
        <v>45696</v>
      </c>
      <c r="E490" s="37" t="s">
        <v>1770</v>
      </c>
      <c r="F490" s="101">
        <f t="shared" si="16"/>
        <v>0.22152777777955635</v>
      </c>
    </row>
    <row r="491" spans="1:6" x14ac:dyDescent="0.25">
      <c r="A491" s="37" t="s">
        <v>161</v>
      </c>
      <c r="B491" s="94">
        <v>45696</v>
      </c>
      <c r="C491" s="37" t="s">
        <v>1744</v>
      </c>
      <c r="D491" s="94">
        <v>45696</v>
      </c>
      <c r="E491" s="37" t="s">
        <v>1747</v>
      </c>
      <c r="F491" s="101">
        <f t="shared" si="16"/>
        <v>6.25E-2</v>
      </c>
    </row>
    <row r="492" spans="1:6" x14ac:dyDescent="0.25">
      <c r="A492" s="37" t="s">
        <v>160</v>
      </c>
      <c r="B492" s="94">
        <v>45696</v>
      </c>
      <c r="C492" s="37" t="s">
        <v>156</v>
      </c>
      <c r="D492" s="94">
        <v>45696</v>
      </c>
      <c r="E492" s="37" t="s">
        <v>641</v>
      </c>
      <c r="F492" s="101">
        <f t="shared" si="16"/>
        <v>0.25138888889341615</v>
      </c>
    </row>
    <row r="493" spans="1:6" x14ac:dyDescent="0.25">
      <c r="A493" s="37" t="s">
        <v>174</v>
      </c>
      <c r="B493" s="94">
        <v>45696</v>
      </c>
      <c r="C493" s="37" t="s">
        <v>1299</v>
      </c>
      <c r="D493" s="94">
        <v>45696</v>
      </c>
      <c r="E493" s="37" t="s">
        <v>1788</v>
      </c>
      <c r="F493" s="101">
        <f t="shared" ref="F493:F507" si="17">(D493 + TIME(LEFT(E493, 2), MID(E493, 3, 2), 0)) - (B493 + TIME(LEFT(C493, 2), MID(C493, 3, 2), 0))</f>
        <v>0.29374999999708962</v>
      </c>
    </row>
    <row r="494" spans="1:6" x14ac:dyDescent="0.25">
      <c r="A494" s="37" t="s">
        <v>177</v>
      </c>
      <c r="B494" s="94">
        <v>45696</v>
      </c>
      <c r="C494" s="37" t="s">
        <v>1756</v>
      </c>
      <c r="D494" s="94">
        <v>45696</v>
      </c>
      <c r="E494" s="37" t="s">
        <v>1792</v>
      </c>
      <c r="F494" s="101">
        <f t="shared" si="17"/>
        <v>0.30972222222044365</v>
      </c>
    </row>
    <row r="495" spans="1:6" x14ac:dyDescent="0.25">
      <c r="A495" s="37" t="s">
        <v>172</v>
      </c>
      <c r="B495" s="94">
        <v>45696</v>
      </c>
      <c r="C495" s="37" t="s">
        <v>1758</v>
      </c>
      <c r="D495" s="94">
        <v>45696</v>
      </c>
      <c r="E495" s="37" t="s">
        <v>1326</v>
      </c>
      <c r="F495" s="101">
        <f t="shared" si="17"/>
        <v>0.16458333333139308</v>
      </c>
    </row>
    <row r="496" spans="1:6" x14ac:dyDescent="0.25">
      <c r="A496" s="37" t="s">
        <v>265</v>
      </c>
      <c r="B496" s="94">
        <v>45696</v>
      </c>
      <c r="C496" s="37" t="s">
        <v>1760</v>
      </c>
      <c r="D496" s="94">
        <v>45696</v>
      </c>
      <c r="E496" s="37" t="s">
        <v>1766</v>
      </c>
      <c r="F496" s="101">
        <f t="shared" si="17"/>
        <v>2.4999999994179234E-2</v>
      </c>
    </row>
    <row r="497" spans="1:8" x14ac:dyDescent="0.25">
      <c r="A497" s="37" t="s">
        <v>1474</v>
      </c>
      <c r="B497" s="94">
        <v>45696</v>
      </c>
      <c r="C497" s="37" t="s">
        <v>629</v>
      </c>
      <c r="D497" s="94">
        <v>45696</v>
      </c>
      <c r="E497" s="37" t="s">
        <v>806</v>
      </c>
      <c r="F497" s="101">
        <f t="shared" si="17"/>
        <v>3.8194444445252884E-2</v>
      </c>
      <c r="H497" s="95" t="s">
        <v>1763</v>
      </c>
    </row>
    <row r="498" spans="1:8" x14ac:dyDescent="0.25">
      <c r="A498" s="37" t="s">
        <v>169</v>
      </c>
      <c r="B498" s="94">
        <v>45696</v>
      </c>
      <c r="C498" s="37" t="s">
        <v>793</v>
      </c>
      <c r="D498" s="94">
        <v>45697</v>
      </c>
      <c r="E498" s="37" t="s">
        <v>978</v>
      </c>
      <c r="F498" s="101">
        <f t="shared" si="17"/>
        <v>0.92222222222335404</v>
      </c>
    </row>
    <row r="499" spans="1:8" x14ac:dyDescent="0.25">
      <c r="A499" s="37" t="s">
        <v>178</v>
      </c>
      <c r="B499" s="94">
        <v>45696</v>
      </c>
      <c r="C499" s="37" t="s">
        <v>1772</v>
      </c>
      <c r="D499" s="94">
        <v>45696</v>
      </c>
      <c r="E499" s="37" t="s">
        <v>1792</v>
      </c>
      <c r="F499" s="101">
        <f t="shared" si="17"/>
        <v>0.15555555555329192</v>
      </c>
    </row>
    <row r="500" spans="1:8" x14ac:dyDescent="0.25">
      <c r="A500" s="37" t="s">
        <v>162</v>
      </c>
      <c r="B500" s="94">
        <v>45696</v>
      </c>
      <c r="C500" s="37" t="s">
        <v>1775</v>
      </c>
      <c r="D500" s="94">
        <v>45696</v>
      </c>
      <c r="E500" s="37" t="s">
        <v>1188</v>
      </c>
      <c r="F500" s="101">
        <f t="shared" si="17"/>
        <v>0.12152777777373558</v>
      </c>
    </row>
    <row r="501" spans="1:8" x14ac:dyDescent="0.25">
      <c r="A501" s="37" t="s">
        <v>173</v>
      </c>
      <c r="B501" s="94">
        <v>45696</v>
      </c>
      <c r="C501" s="37" t="s">
        <v>1777</v>
      </c>
      <c r="D501" s="94">
        <v>45696</v>
      </c>
      <c r="E501" s="37" t="s">
        <v>1797</v>
      </c>
      <c r="F501" s="101">
        <f t="shared" si="17"/>
        <v>0.12430555555329192</v>
      </c>
    </row>
    <row r="502" spans="1:8" x14ac:dyDescent="0.25">
      <c r="A502" s="37" t="s">
        <v>161</v>
      </c>
      <c r="B502" s="94">
        <v>45696</v>
      </c>
      <c r="C502" s="37" t="s">
        <v>1779</v>
      </c>
      <c r="D502" s="94">
        <v>45696</v>
      </c>
      <c r="E502" s="37" t="s">
        <v>1188</v>
      </c>
      <c r="F502" s="101">
        <f t="shared" si="17"/>
        <v>0.11527777777519077</v>
      </c>
    </row>
    <row r="503" spans="1:8" x14ac:dyDescent="0.25">
      <c r="A503" s="37" t="s">
        <v>155</v>
      </c>
      <c r="B503" s="94">
        <v>45696</v>
      </c>
      <c r="C503" s="37" t="s">
        <v>528</v>
      </c>
      <c r="D503" s="94">
        <v>45697</v>
      </c>
      <c r="E503" s="37" t="s">
        <v>1816</v>
      </c>
      <c r="F503" s="101">
        <f t="shared" si="17"/>
        <v>0.32013888889196096</v>
      </c>
    </row>
    <row r="504" spans="1:8" x14ac:dyDescent="0.25">
      <c r="A504" s="37" t="s">
        <v>194</v>
      </c>
      <c r="B504" s="94">
        <v>45696</v>
      </c>
      <c r="C504" s="37" t="s">
        <v>1785</v>
      </c>
      <c r="D504" s="94">
        <v>45697</v>
      </c>
      <c r="E504" s="37" t="s">
        <v>1821</v>
      </c>
      <c r="F504" s="101">
        <f t="shared" si="17"/>
        <v>0.37708333333284827</v>
      </c>
    </row>
    <row r="505" spans="1:8" x14ac:dyDescent="0.25">
      <c r="A505" s="37" t="s">
        <v>164</v>
      </c>
      <c r="B505" s="94">
        <v>45696</v>
      </c>
      <c r="C505" s="37" t="s">
        <v>835</v>
      </c>
      <c r="D505" s="94">
        <v>45696</v>
      </c>
      <c r="E505" s="37" t="s">
        <v>656</v>
      </c>
      <c r="F505" s="101">
        <f t="shared" si="17"/>
        <v>5.2777777775190771E-2</v>
      </c>
    </row>
    <row r="506" spans="1:8" x14ac:dyDescent="0.25">
      <c r="A506" s="37" t="s">
        <v>160</v>
      </c>
      <c r="B506" s="94">
        <v>45696</v>
      </c>
      <c r="C506" s="37" t="s">
        <v>1344</v>
      </c>
      <c r="D506" s="94">
        <v>45696</v>
      </c>
      <c r="E506" s="37" t="s">
        <v>682</v>
      </c>
      <c r="F506" s="101">
        <f t="shared" si="17"/>
        <v>0.20902777777519077</v>
      </c>
    </row>
    <row r="507" spans="1:8" x14ac:dyDescent="0.25">
      <c r="A507" s="37" t="s">
        <v>163</v>
      </c>
      <c r="B507" s="94">
        <v>45696</v>
      </c>
      <c r="C507" s="37" t="s">
        <v>1797</v>
      </c>
      <c r="D507" s="94">
        <v>45700</v>
      </c>
      <c r="E507" s="37" t="s">
        <v>1289</v>
      </c>
      <c r="F507" s="101">
        <f t="shared" si="17"/>
        <v>3.445138888891961</v>
      </c>
    </row>
    <row r="508" spans="1:8" x14ac:dyDescent="0.25">
      <c r="A508" s="37" t="s">
        <v>144</v>
      </c>
      <c r="B508" s="94">
        <v>45696</v>
      </c>
      <c r="C508" s="37" t="s">
        <v>1555</v>
      </c>
      <c r="D508" s="94">
        <v>45696</v>
      </c>
      <c r="E508" s="37" t="s">
        <v>1194</v>
      </c>
    </row>
    <row r="509" spans="1:8" x14ac:dyDescent="0.25">
      <c r="A509" s="37" t="s">
        <v>1474</v>
      </c>
      <c r="B509" s="94">
        <v>45696</v>
      </c>
      <c r="C509" s="37" t="s">
        <v>1201</v>
      </c>
      <c r="D509" s="94">
        <v>45696</v>
      </c>
      <c r="E509" s="37" t="s">
        <v>1810</v>
      </c>
      <c r="F509" s="101">
        <f t="shared" ref="F509:F553" si="18">(D509 + TIME(LEFT(E509, 2), MID(E509, 3, 2), 0)) - (B509 + TIME(LEFT(C509, 2), MID(C509, 3, 2), 0))</f>
        <v>0.1055555555576575</v>
      </c>
    </row>
    <row r="510" spans="1:8" x14ac:dyDescent="0.25">
      <c r="A510" s="37" t="s">
        <v>166</v>
      </c>
      <c r="B510" s="94">
        <v>45696</v>
      </c>
      <c r="C510" s="37" t="s">
        <v>680</v>
      </c>
      <c r="D510" s="94">
        <v>45697</v>
      </c>
      <c r="E510" s="37" t="s">
        <v>764</v>
      </c>
      <c r="F510" s="101">
        <f t="shared" si="18"/>
        <v>0.43819444444670808</v>
      </c>
    </row>
    <row r="511" spans="1:8" x14ac:dyDescent="0.25">
      <c r="A511" s="37" t="s">
        <v>168</v>
      </c>
      <c r="B511" s="94">
        <v>45697</v>
      </c>
      <c r="C511" s="37" t="s">
        <v>1819</v>
      </c>
      <c r="D511" s="94">
        <v>45697</v>
      </c>
      <c r="E511" s="37" t="s">
        <v>719</v>
      </c>
      <c r="F511" s="101">
        <f t="shared" si="18"/>
        <v>6.3888888893416151E-2</v>
      </c>
    </row>
    <row r="512" spans="1:8" x14ac:dyDescent="0.25">
      <c r="A512" s="37" t="s">
        <v>174</v>
      </c>
      <c r="B512" s="94">
        <v>45697</v>
      </c>
      <c r="C512" s="37" t="s">
        <v>1821</v>
      </c>
      <c r="D512" s="94">
        <v>45697</v>
      </c>
      <c r="E512" s="37" t="s">
        <v>1827</v>
      </c>
      <c r="F512" s="101">
        <f t="shared" si="18"/>
        <v>5.5555555554747116E-2</v>
      </c>
    </row>
    <row r="513" spans="1:6" x14ac:dyDescent="0.25">
      <c r="A513" s="37" t="s">
        <v>170</v>
      </c>
      <c r="B513" s="94">
        <v>45697</v>
      </c>
      <c r="C513" s="37" t="s">
        <v>1819</v>
      </c>
      <c r="D513" s="94">
        <v>45697</v>
      </c>
      <c r="E513" s="37" t="s">
        <v>1832</v>
      </c>
      <c r="F513" s="101">
        <f t="shared" si="18"/>
        <v>6.5277777779556345E-2</v>
      </c>
    </row>
    <row r="514" spans="1:6" x14ac:dyDescent="0.25">
      <c r="A514" s="37" t="s">
        <v>273</v>
      </c>
      <c r="B514" s="94">
        <v>45697</v>
      </c>
      <c r="C514" s="37" t="s">
        <v>1825</v>
      </c>
      <c r="D514" s="94">
        <v>45697</v>
      </c>
      <c r="E514" s="37" t="s">
        <v>1857</v>
      </c>
      <c r="F514" s="101">
        <f t="shared" si="18"/>
        <v>0.23472222222335404</v>
      </c>
    </row>
    <row r="515" spans="1:6" x14ac:dyDescent="0.25">
      <c r="A515" s="37" t="s">
        <v>272</v>
      </c>
      <c r="B515" s="94">
        <v>45697</v>
      </c>
      <c r="C515" s="37" t="s">
        <v>713</v>
      </c>
      <c r="D515" s="94">
        <v>45697</v>
      </c>
      <c r="E515" s="37" t="s">
        <v>1859</v>
      </c>
      <c r="F515" s="101">
        <f t="shared" si="18"/>
        <v>0.27083333333575865</v>
      </c>
    </row>
    <row r="516" spans="1:6" x14ac:dyDescent="0.25">
      <c r="A516" s="37" t="s">
        <v>252</v>
      </c>
      <c r="B516" s="94">
        <v>45697</v>
      </c>
      <c r="C516" s="37" t="s">
        <v>719</v>
      </c>
      <c r="D516" s="94">
        <v>45697</v>
      </c>
      <c r="E516" s="37" t="s">
        <v>1281</v>
      </c>
      <c r="F516" s="101">
        <f t="shared" si="18"/>
        <v>0.22361111111240461</v>
      </c>
    </row>
    <row r="517" spans="1:6" x14ac:dyDescent="0.25">
      <c r="A517" s="37" t="s">
        <v>144</v>
      </c>
      <c r="B517" s="94">
        <v>45697</v>
      </c>
      <c r="C517" s="37" t="s">
        <v>1400</v>
      </c>
      <c r="D517" s="94">
        <v>45697</v>
      </c>
      <c r="E517" s="37" t="s">
        <v>216</v>
      </c>
      <c r="F517" s="101">
        <f t="shared" si="18"/>
        <v>0.1875</v>
      </c>
    </row>
    <row r="518" spans="1:6" x14ac:dyDescent="0.25">
      <c r="A518" s="37" t="s">
        <v>172</v>
      </c>
      <c r="B518" s="94">
        <v>45697</v>
      </c>
      <c r="C518" s="37" t="s">
        <v>1835</v>
      </c>
      <c r="D518" s="94">
        <v>45697</v>
      </c>
      <c r="E518" s="37" t="s">
        <v>581</v>
      </c>
      <c r="F518" s="101">
        <f t="shared" si="18"/>
        <v>5.4166666668606922E-2</v>
      </c>
    </row>
    <row r="519" spans="1:6" x14ac:dyDescent="0.25">
      <c r="A519" s="37" t="s">
        <v>160</v>
      </c>
      <c r="B519" s="94">
        <v>45697</v>
      </c>
      <c r="C519" s="37" t="s">
        <v>1431</v>
      </c>
      <c r="D519" s="94">
        <v>45697</v>
      </c>
      <c r="E519" s="37" t="s">
        <v>764</v>
      </c>
      <c r="F519" s="101">
        <f t="shared" si="18"/>
        <v>0.14652777777519077</v>
      </c>
    </row>
    <row r="520" spans="1:6" x14ac:dyDescent="0.25">
      <c r="A520" s="37" t="s">
        <v>174</v>
      </c>
      <c r="B520" s="94">
        <v>45697</v>
      </c>
      <c r="C520" s="37" t="s">
        <v>1718</v>
      </c>
      <c r="D520" s="94">
        <v>45697</v>
      </c>
      <c r="E520" s="37" t="s">
        <v>1427</v>
      </c>
      <c r="F520" s="101">
        <f t="shared" si="18"/>
        <v>6.805555555911269E-2</v>
      </c>
    </row>
    <row r="521" spans="1:6" x14ac:dyDescent="0.25">
      <c r="A521" s="37" t="s">
        <v>177</v>
      </c>
      <c r="B521" s="94">
        <v>45697</v>
      </c>
      <c r="C521" s="37" t="s">
        <v>1839</v>
      </c>
      <c r="D521" s="94">
        <v>45697</v>
      </c>
      <c r="E521" s="37" t="s">
        <v>1263</v>
      </c>
      <c r="F521" s="101">
        <f t="shared" si="18"/>
        <v>4.8611111109494232E-2</v>
      </c>
    </row>
    <row r="522" spans="1:6" x14ac:dyDescent="0.25">
      <c r="A522" s="37" t="s">
        <v>151</v>
      </c>
      <c r="B522" s="94">
        <v>45697</v>
      </c>
      <c r="C522" s="37" t="s">
        <v>1841</v>
      </c>
      <c r="D522" s="94">
        <v>45697</v>
      </c>
      <c r="E522" s="37" t="s">
        <v>1910</v>
      </c>
      <c r="F522" s="101">
        <f t="shared" si="18"/>
        <v>0.53402777777955635</v>
      </c>
    </row>
    <row r="523" spans="1:6" x14ac:dyDescent="0.25">
      <c r="A523" s="37" t="s">
        <v>260</v>
      </c>
      <c r="B523" s="94">
        <v>45697</v>
      </c>
      <c r="C523" s="37" t="s">
        <v>592</v>
      </c>
      <c r="D523" s="94">
        <v>45697</v>
      </c>
      <c r="E523" s="37" t="s">
        <v>1367</v>
      </c>
      <c r="F523" s="101">
        <f t="shared" si="18"/>
        <v>0.61944444444816327</v>
      </c>
    </row>
    <row r="524" spans="1:6" x14ac:dyDescent="0.25">
      <c r="A524" s="37" t="s">
        <v>178</v>
      </c>
      <c r="B524" s="94">
        <v>45697</v>
      </c>
      <c r="C524" s="37" t="s">
        <v>750</v>
      </c>
      <c r="D524" s="94">
        <v>45697</v>
      </c>
      <c r="E524" s="37" t="s">
        <v>765</v>
      </c>
      <c r="F524" s="101">
        <f t="shared" si="18"/>
        <v>4.3750000004365575E-2</v>
      </c>
    </row>
    <row r="525" spans="1:6" x14ac:dyDescent="0.25">
      <c r="A525" s="37" t="s">
        <v>161</v>
      </c>
      <c r="B525" s="94">
        <v>45697</v>
      </c>
      <c r="C525" s="37" t="s">
        <v>1268</v>
      </c>
      <c r="D525" s="94">
        <v>45697</v>
      </c>
      <c r="E525" s="37" t="s">
        <v>765</v>
      </c>
      <c r="F525" s="101">
        <f t="shared" si="18"/>
        <v>3.7499999998544808E-2</v>
      </c>
    </row>
    <row r="526" spans="1:6" x14ac:dyDescent="0.25">
      <c r="A526" s="37" t="s">
        <v>162</v>
      </c>
      <c r="B526" s="94">
        <v>45697</v>
      </c>
      <c r="C526" s="37" t="s">
        <v>1731</v>
      </c>
      <c r="D526" s="94">
        <v>45697</v>
      </c>
      <c r="E526" s="37" t="s">
        <v>237</v>
      </c>
      <c r="F526" s="101">
        <f t="shared" si="18"/>
        <v>1.4583333337213844E-2</v>
      </c>
    </row>
    <row r="527" spans="1:6" x14ac:dyDescent="0.25">
      <c r="A527" s="37" t="s">
        <v>158</v>
      </c>
      <c r="B527" s="94">
        <v>45697</v>
      </c>
      <c r="C527" s="37" t="s">
        <v>1275</v>
      </c>
      <c r="D527" s="94">
        <v>45697</v>
      </c>
      <c r="E527" s="37" t="s">
        <v>1910</v>
      </c>
      <c r="F527" s="101">
        <f t="shared" si="18"/>
        <v>0.45624999999563443</v>
      </c>
    </row>
    <row r="528" spans="1:6" x14ac:dyDescent="0.25">
      <c r="A528" s="37" t="s">
        <v>160</v>
      </c>
      <c r="B528" s="94">
        <v>45697</v>
      </c>
      <c r="C528" s="37" t="s">
        <v>1281</v>
      </c>
      <c r="D528" s="94">
        <v>45697</v>
      </c>
      <c r="E528" s="37" t="s">
        <v>641</v>
      </c>
      <c r="F528" s="101">
        <f t="shared" si="18"/>
        <v>0.30347222222189885</v>
      </c>
    </row>
    <row r="529" spans="1:8" x14ac:dyDescent="0.25">
      <c r="A529" s="37" t="s">
        <v>166</v>
      </c>
      <c r="B529" s="94">
        <v>45697</v>
      </c>
      <c r="C529" s="37" t="s">
        <v>1281</v>
      </c>
      <c r="D529" s="94">
        <v>45697</v>
      </c>
      <c r="E529" s="37" t="s">
        <v>167</v>
      </c>
      <c r="F529" s="101">
        <f t="shared" si="18"/>
        <v>5.2777777775190771E-2</v>
      </c>
    </row>
    <row r="530" spans="1:8" x14ac:dyDescent="0.25">
      <c r="A530" s="37" t="s">
        <v>155</v>
      </c>
      <c r="B530" s="94">
        <v>45697</v>
      </c>
      <c r="C530" s="37" t="s">
        <v>156</v>
      </c>
      <c r="D530" s="94">
        <v>45697</v>
      </c>
      <c r="E530" s="37" t="s">
        <v>682</v>
      </c>
      <c r="F530" s="101">
        <f t="shared" si="18"/>
        <v>0.50069444444670808</v>
      </c>
    </row>
    <row r="531" spans="1:8" x14ac:dyDescent="0.25">
      <c r="A531" s="37" t="s">
        <v>164</v>
      </c>
      <c r="B531" s="94">
        <v>45697</v>
      </c>
      <c r="C531" s="37" t="s">
        <v>1863</v>
      </c>
      <c r="D531" s="94">
        <v>45697</v>
      </c>
      <c r="E531" s="37" t="s">
        <v>1867</v>
      </c>
      <c r="F531" s="101">
        <f t="shared" si="18"/>
        <v>4.7222222223354038E-2</v>
      </c>
    </row>
    <row r="532" spans="1:8" x14ac:dyDescent="0.25">
      <c r="A532" s="37" t="s">
        <v>165</v>
      </c>
      <c r="B532" s="94">
        <v>45697</v>
      </c>
      <c r="C532" s="37" t="s">
        <v>1865</v>
      </c>
      <c r="D532" s="94">
        <v>45697</v>
      </c>
      <c r="E532" s="37" t="s">
        <v>1303</v>
      </c>
      <c r="F532" s="101">
        <f t="shared" si="18"/>
        <v>5.5555555554747116E-2</v>
      </c>
    </row>
    <row r="533" spans="1:8" x14ac:dyDescent="0.25">
      <c r="A533" s="37" t="s">
        <v>159</v>
      </c>
      <c r="B533" s="94">
        <v>45697</v>
      </c>
      <c r="C533" s="37" t="s">
        <v>1870</v>
      </c>
      <c r="D533" s="94">
        <v>45698</v>
      </c>
      <c r="E533" s="37" t="s">
        <v>1954</v>
      </c>
      <c r="F533" s="101">
        <f t="shared" si="18"/>
        <v>0.74722222222044365</v>
      </c>
    </row>
    <row r="534" spans="1:8" x14ac:dyDescent="0.25">
      <c r="A534" s="37" t="s">
        <v>168</v>
      </c>
      <c r="B534" s="94">
        <v>45697</v>
      </c>
      <c r="C534" s="37" t="s">
        <v>1777</v>
      </c>
      <c r="D534" s="94">
        <v>45697</v>
      </c>
      <c r="E534" s="37" t="s">
        <v>1880</v>
      </c>
      <c r="F534" s="101">
        <f t="shared" si="18"/>
        <v>3.680555555911269E-2</v>
      </c>
    </row>
    <row r="535" spans="1:8" x14ac:dyDescent="0.25">
      <c r="A535" s="37" t="s">
        <v>170</v>
      </c>
      <c r="B535" s="94">
        <v>45697</v>
      </c>
      <c r="C535" s="37" t="s">
        <v>1874</v>
      </c>
      <c r="D535" s="94">
        <v>45697</v>
      </c>
      <c r="E535" s="37" t="s">
        <v>1884</v>
      </c>
      <c r="F535" s="101">
        <f t="shared" si="18"/>
        <v>3.7500000005820766E-2</v>
      </c>
    </row>
    <row r="536" spans="1:8" x14ac:dyDescent="0.25">
      <c r="A536" s="37" t="s">
        <v>174</v>
      </c>
      <c r="B536" s="94">
        <v>45697</v>
      </c>
      <c r="C536" s="37" t="s">
        <v>1330</v>
      </c>
      <c r="D536" s="94">
        <v>45697</v>
      </c>
      <c r="E536" s="37" t="s">
        <v>1889</v>
      </c>
      <c r="F536" s="101">
        <f t="shared" si="18"/>
        <v>1.8750000002910383E-2</v>
      </c>
    </row>
    <row r="537" spans="1:8" x14ac:dyDescent="0.25">
      <c r="A537" s="37" t="s">
        <v>162</v>
      </c>
      <c r="B537" s="94">
        <v>45697</v>
      </c>
      <c r="C537" s="37" t="s">
        <v>1476</v>
      </c>
      <c r="D537" s="94">
        <v>45697</v>
      </c>
      <c r="E537" s="37" t="s">
        <v>1889</v>
      </c>
      <c r="F537" s="101">
        <f t="shared" si="18"/>
        <v>1.2500000004365575E-2</v>
      </c>
    </row>
    <row r="538" spans="1:8" x14ac:dyDescent="0.25">
      <c r="A538" s="37" t="s">
        <v>166</v>
      </c>
      <c r="B538" s="94">
        <v>45697</v>
      </c>
      <c r="C538" s="37" t="s">
        <v>528</v>
      </c>
      <c r="D538" s="94">
        <v>45698</v>
      </c>
      <c r="E538" s="37" t="s">
        <v>1933</v>
      </c>
      <c r="F538" s="101">
        <f t="shared" si="18"/>
        <v>0.29583333333721384</v>
      </c>
    </row>
    <row r="539" spans="1:8" x14ac:dyDescent="0.25">
      <c r="A539" s="37" t="s">
        <v>252</v>
      </c>
      <c r="B539" s="94">
        <v>45697</v>
      </c>
      <c r="C539" s="37" t="s">
        <v>1882</v>
      </c>
      <c r="D539" s="94">
        <v>45697</v>
      </c>
      <c r="E539" s="37" t="s">
        <v>1910</v>
      </c>
      <c r="F539" s="101">
        <f t="shared" si="18"/>
        <v>0.12430555555329192</v>
      </c>
    </row>
    <row r="540" spans="1:8" x14ac:dyDescent="0.25">
      <c r="A540" s="37" t="s">
        <v>273</v>
      </c>
      <c r="B540" s="94">
        <v>45697</v>
      </c>
      <c r="C540" s="37" t="s">
        <v>1886</v>
      </c>
      <c r="D540" s="94">
        <v>45697</v>
      </c>
      <c r="E540" s="37" t="s">
        <v>1910</v>
      </c>
      <c r="F540" s="101">
        <f t="shared" si="18"/>
        <v>0.12291666666715173</v>
      </c>
    </row>
    <row r="541" spans="1:8" x14ac:dyDescent="0.25">
      <c r="A541" s="37" t="s">
        <v>272</v>
      </c>
      <c r="B541" s="94">
        <v>45697</v>
      </c>
      <c r="C541" s="37" t="s">
        <v>259</v>
      </c>
      <c r="D541" s="94">
        <v>45697</v>
      </c>
      <c r="E541" s="37" t="s">
        <v>1910</v>
      </c>
      <c r="F541" s="101">
        <f t="shared" si="18"/>
        <v>0.12222222222044365</v>
      </c>
    </row>
    <row r="542" spans="1:8" x14ac:dyDescent="0.25">
      <c r="A542" s="37" t="s">
        <v>144</v>
      </c>
      <c r="B542" s="94">
        <v>45697</v>
      </c>
      <c r="C542" s="37" t="s">
        <v>1004</v>
      </c>
      <c r="D542" s="94">
        <v>45697</v>
      </c>
      <c r="E542" s="37" t="s">
        <v>1186</v>
      </c>
      <c r="F542" s="101">
        <f t="shared" si="18"/>
        <v>3.4722222218988463E-2</v>
      </c>
      <c r="H542" s="95" t="s">
        <v>1931</v>
      </c>
    </row>
    <row r="543" spans="1:8" x14ac:dyDescent="0.25">
      <c r="A543" s="37" t="s">
        <v>177</v>
      </c>
      <c r="B543" s="94">
        <v>45697</v>
      </c>
      <c r="C543" s="37" t="s">
        <v>1892</v>
      </c>
      <c r="D543" s="94">
        <v>45697</v>
      </c>
      <c r="E543" s="37" t="s">
        <v>1792</v>
      </c>
      <c r="F543" s="101">
        <f t="shared" si="18"/>
        <v>4.4444444443797693E-2</v>
      </c>
    </row>
    <row r="544" spans="1:8" x14ac:dyDescent="0.25">
      <c r="A544" s="37" t="s">
        <v>178</v>
      </c>
      <c r="B544" s="94">
        <v>45697</v>
      </c>
      <c r="C544" s="37" t="s">
        <v>1006</v>
      </c>
      <c r="D544" s="94">
        <v>45697</v>
      </c>
      <c r="E544" s="37" t="s">
        <v>1904</v>
      </c>
      <c r="F544" s="101">
        <f t="shared" si="18"/>
        <v>4.7222222223354038E-2</v>
      </c>
    </row>
    <row r="545" spans="1:7" x14ac:dyDescent="0.25">
      <c r="A545" s="37" t="s">
        <v>161</v>
      </c>
      <c r="B545" s="94">
        <v>45697</v>
      </c>
      <c r="C545" s="37" t="s">
        <v>1895</v>
      </c>
      <c r="D545" s="94">
        <v>45697</v>
      </c>
      <c r="E545" s="37" t="s">
        <v>1906</v>
      </c>
      <c r="F545" s="101">
        <f t="shared" si="18"/>
        <v>5.1388888889050577E-2</v>
      </c>
    </row>
    <row r="546" spans="1:7" x14ac:dyDescent="0.25">
      <c r="A546" s="37" t="s">
        <v>162</v>
      </c>
      <c r="B546" s="94">
        <v>45697</v>
      </c>
      <c r="C546" s="37" t="s">
        <v>1897</v>
      </c>
      <c r="D546" s="94">
        <v>45697</v>
      </c>
      <c r="E546" s="37" t="s">
        <v>1805</v>
      </c>
      <c r="F546" s="101">
        <f t="shared" si="18"/>
        <v>5.6250000001455192E-2</v>
      </c>
    </row>
    <row r="547" spans="1:7" x14ac:dyDescent="0.25">
      <c r="A547" s="37" t="s">
        <v>144</v>
      </c>
      <c r="B547" s="94">
        <v>45697</v>
      </c>
      <c r="C547" s="37" t="s">
        <v>1899</v>
      </c>
      <c r="D547" s="94">
        <v>45698</v>
      </c>
      <c r="E547" s="37" t="s">
        <v>1976</v>
      </c>
      <c r="F547" s="101">
        <f t="shared" si="18"/>
        <v>0.67083333332993789</v>
      </c>
      <c r="G547" s="37" t="s">
        <v>9</v>
      </c>
    </row>
    <row r="548" spans="1:7" x14ac:dyDescent="0.25">
      <c r="A548" s="37" t="s">
        <v>164</v>
      </c>
      <c r="B548" s="94">
        <v>45697</v>
      </c>
      <c r="C548" s="37" t="s">
        <v>1901</v>
      </c>
      <c r="D548" s="94">
        <v>45697</v>
      </c>
      <c r="E548" s="37" t="s">
        <v>1357</v>
      </c>
      <c r="F548" s="101">
        <f t="shared" si="18"/>
        <v>5.4861111115314998E-2</v>
      </c>
    </row>
    <row r="549" spans="1:7" x14ac:dyDescent="0.25">
      <c r="A549" s="37" t="s">
        <v>157</v>
      </c>
      <c r="B549" s="94">
        <v>45697</v>
      </c>
      <c r="C549" s="37" t="s">
        <v>1919</v>
      </c>
      <c r="D549" s="94">
        <v>45698</v>
      </c>
      <c r="E549" s="37" t="s">
        <v>1940</v>
      </c>
      <c r="F549" s="101">
        <f t="shared" si="18"/>
        <v>0.14930555555474712</v>
      </c>
    </row>
    <row r="550" spans="1:7" x14ac:dyDescent="0.25">
      <c r="A550" s="37" t="s">
        <v>158</v>
      </c>
      <c r="B550" s="94">
        <v>45697</v>
      </c>
      <c r="C550" s="37" t="s">
        <v>664</v>
      </c>
      <c r="D550" s="94">
        <v>45701</v>
      </c>
      <c r="E550" s="37" t="s">
        <v>1382</v>
      </c>
      <c r="F550" s="101">
        <f t="shared" si="18"/>
        <v>3.1145833333357587</v>
      </c>
    </row>
    <row r="551" spans="1:7" x14ac:dyDescent="0.25">
      <c r="A551" s="37" t="s">
        <v>186</v>
      </c>
      <c r="B551" s="94">
        <v>45697</v>
      </c>
      <c r="C551" s="37" t="s">
        <v>1922</v>
      </c>
      <c r="D551" s="94">
        <v>45699</v>
      </c>
      <c r="E551" s="37" t="s">
        <v>2228</v>
      </c>
      <c r="F551" s="101">
        <f t="shared" si="18"/>
        <v>1.9361111111138598</v>
      </c>
    </row>
    <row r="552" spans="1:7" x14ac:dyDescent="0.25">
      <c r="A552" s="37" t="s">
        <v>160</v>
      </c>
      <c r="B552" s="94">
        <v>45697</v>
      </c>
      <c r="C552" s="37" t="s">
        <v>680</v>
      </c>
      <c r="D552" s="94">
        <v>45698</v>
      </c>
      <c r="E552" s="37" t="s">
        <v>1865</v>
      </c>
      <c r="F552" s="101">
        <f t="shared" si="18"/>
        <v>0.51875000000291038</v>
      </c>
    </row>
    <row r="553" spans="1:7" x14ac:dyDescent="0.25">
      <c r="A553" s="37" t="s">
        <v>265</v>
      </c>
      <c r="B553" s="94">
        <v>45697</v>
      </c>
      <c r="C553" s="37" t="s">
        <v>1530</v>
      </c>
      <c r="D553" s="94">
        <v>45698</v>
      </c>
      <c r="E553" s="37" t="s">
        <v>319</v>
      </c>
      <c r="F553" s="101">
        <f t="shared" si="18"/>
        <v>9.7222222248092294E-3</v>
      </c>
    </row>
    <row r="554" spans="1:7" x14ac:dyDescent="0.25">
      <c r="A554" s="37" t="s">
        <v>151</v>
      </c>
      <c r="B554" s="94">
        <v>45697</v>
      </c>
      <c r="C554" s="37" t="s">
        <v>669</v>
      </c>
    </row>
    <row r="555" spans="1:7" x14ac:dyDescent="0.25">
      <c r="A555" s="37" t="s">
        <v>165</v>
      </c>
      <c r="B555" s="94">
        <v>45698</v>
      </c>
      <c r="C555" s="37" t="s">
        <v>1047</v>
      </c>
      <c r="D555" s="94">
        <v>45698</v>
      </c>
      <c r="E555" s="37" t="s">
        <v>1942</v>
      </c>
      <c r="F555" s="101">
        <f t="shared" ref="F555:F618" si="19">(D555 + TIME(LEFT(E555, 2), MID(E555, 3, 2), 0)) - (B555 + TIME(LEFT(C555, 2), MID(C555, 3, 2), 0))</f>
        <v>6.1111111113859806E-2</v>
      </c>
    </row>
    <row r="556" spans="1:7" x14ac:dyDescent="0.25">
      <c r="A556" s="37" t="s">
        <v>252</v>
      </c>
      <c r="B556" s="94">
        <v>45698</v>
      </c>
      <c r="C556" s="37" t="s">
        <v>1936</v>
      </c>
      <c r="D556" s="94">
        <v>45698</v>
      </c>
      <c r="E556" s="37" t="s">
        <v>1944</v>
      </c>
      <c r="F556" s="101">
        <f t="shared" si="19"/>
        <v>0.1444444444423425</v>
      </c>
    </row>
    <row r="557" spans="1:7" x14ac:dyDescent="0.25">
      <c r="A557" s="37" t="s">
        <v>273</v>
      </c>
      <c r="B557" s="94">
        <v>45698</v>
      </c>
      <c r="C557" s="37" t="s">
        <v>553</v>
      </c>
      <c r="D557" s="94">
        <v>45698</v>
      </c>
      <c r="E557" s="37" t="s">
        <v>1962</v>
      </c>
      <c r="F557" s="101">
        <f t="shared" si="19"/>
        <v>0.21041666666860692</v>
      </c>
    </row>
    <row r="558" spans="1:7" x14ac:dyDescent="0.25">
      <c r="A558" s="37" t="s">
        <v>272</v>
      </c>
      <c r="B558" s="94">
        <v>45698</v>
      </c>
      <c r="C558" s="37" t="s">
        <v>889</v>
      </c>
      <c r="D558" s="94">
        <v>45698</v>
      </c>
      <c r="E558" s="37" t="s">
        <v>281</v>
      </c>
      <c r="F558" s="101">
        <f t="shared" si="19"/>
        <v>0.19305555555183673</v>
      </c>
    </row>
    <row r="559" spans="1:7" x14ac:dyDescent="0.25">
      <c r="A559" s="37" t="s">
        <v>157</v>
      </c>
      <c r="B559" s="94">
        <v>45698</v>
      </c>
      <c r="C559" s="37" t="s">
        <v>918</v>
      </c>
      <c r="D559" s="94">
        <v>45698</v>
      </c>
      <c r="E559" s="37" t="s">
        <v>2006</v>
      </c>
      <c r="F559" s="101">
        <f t="shared" si="19"/>
        <v>0.20486111110949423</v>
      </c>
    </row>
    <row r="560" spans="1:7" x14ac:dyDescent="0.25">
      <c r="A560" s="37" t="s">
        <v>170</v>
      </c>
      <c r="B560" s="94">
        <v>45698</v>
      </c>
      <c r="C560" s="37" t="s">
        <v>565</v>
      </c>
      <c r="D560" s="94">
        <v>45698</v>
      </c>
      <c r="E560" s="37" t="s">
        <v>1955</v>
      </c>
      <c r="F560" s="101">
        <f t="shared" si="19"/>
        <v>4.5138888890505768E-2</v>
      </c>
    </row>
    <row r="561" spans="1:12" x14ac:dyDescent="0.25">
      <c r="A561" s="37" t="s">
        <v>155</v>
      </c>
      <c r="B561" s="94">
        <v>45698</v>
      </c>
      <c r="C561" s="37" t="s">
        <v>908</v>
      </c>
      <c r="D561" s="94">
        <v>45698</v>
      </c>
      <c r="E561" s="37" t="s">
        <v>1865</v>
      </c>
      <c r="F561" s="101">
        <f t="shared" si="19"/>
        <v>0.26875000000291038</v>
      </c>
    </row>
    <row r="562" spans="1:12" x14ac:dyDescent="0.25">
      <c r="A562" s="37" t="s">
        <v>174</v>
      </c>
      <c r="B562" s="94">
        <v>45698</v>
      </c>
      <c r="C562" s="37" t="s">
        <v>1951</v>
      </c>
      <c r="D562" s="94">
        <v>45698</v>
      </c>
      <c r="E562" s="37" t="s">
        <v>1955</v>
      </c>
      <c r="F562" s="101">
        <f t="shared" si="19"/>
        <v>4.1666666671517305E-2</v>
      </c>
    </row>
    <row r="563" spans="1:12" x14ac:dyDescent="0.25">
      <c r="A563" s="37" t="s">
        <v>178</v>
      </c>
      <c r="B563" s="94">
        <v>45698</v>
      </c>
      <c r="C563" s="37" t="s">
        <v>1238</v>
      </c>
      <c r="D563" s="94">
        <v>45698</v>
      </c>
      <c r="E563" s="37" t="s">
        <v>1572</v>
      </c>
      <c r="F563" s="101">
        <f t="shared" si="19"/>
        <v>3.0555555553291924E-2</v>
      </c>
    </row>
    <row r="564" spans="1:12" x14ac:dyDescent="0.25">
      <c r="A564" s="37" t="s">
        <v>169</v>
      </c>
      <c r="B564" s="94">
        <v>45698</v>
      </c>
      <c r="C564" s="37" t="s">
        <v>281</v>
      </c>
      <c r="D564" s="94">
        <v>45698</v>
      </c>
      <c r="E564" s="37" t="s">
        <v>2096</v>
      </c>
      <c r="F564" s="101">
        <f t="shared" si="19"/>
        <v>0.56527777777955635</v>
      </c>
    </row>
    <row r="565" spans="1:12" x14ac:dyDescent="0.25">
      <c r="A565" s="37" t="s">
        <v>252</v>
      </c>
      <c r="B565" s="94">
        <v>45698</v>
      </c>
      <c r="C565" s="37" t="s">
        <v>1251</v>
      </c>
      <c r="D565" s="94">
        <v>45698</v>
      </c>
      <c r="E565" s="37" t="s">
        <v>1572</v>
      </c>
      <c r="F565" s="101">
        <f t="shared" si="19"/>
        <v>4.8611111051286571E-3</v>
      </c>
    </row>
    <row r="566" spans="1:12" x14ac:dyDescent="0.25">
      <c r="A566" s="37" t="s">
        <v>159</v>
      </c>
      <c r="B566" s="94">
        <v>45698</v>
      </c>
      <c r="C566" s="37" t="s">
        <v>271</v>
      </c>
      <c r="D566" s="94">
        <v>45699</v>
      </c>
      <c r="E566" s="37" t="s">
        <v>227</v>
      </c>
      <c r="F566" s="101">
        <f t="shared" si="19"/>
        <v>0.4333333333270275</v>
      </c>
    </row>
    <row r="567" spans="1:12" x14ac:dyDescent="0.25">
      <c r="A567" s="37" t="s">
        <v>170</v>
      </c>
      <c r="B567" s="94">
        <v>45698</v>
      </c>
      <c r="C567" s="37" t="s">
        <v>1955</v>
      </c>
      <c r="D567" s="94">
        <v>45698</v>
      </c>
      <c r="E567" s="37" t="s">
        <v>2021</v>
      </c>
      <c r="F567" s="101">
        <f t="shared" si="19"/>
        <v>0.21597222222044365</v>
      </c>
    </row>
    <row r="568" spans="1:12" x14ac:dyDescent="0.25">
      <c r="A568" s="37" t="s">
        <v>174</v>
      </c>
      <c r="B568" s="94">
        <v>45698</v>
      </c>
      <c r="C568" s="37" t="s">
        <v>1955</v>
      </c>
      <c r="D568" s="94">
        <v>45698</v>
      </c>
      <c r="E568" s="37" t="s">
        <v>2031</v>
      </c>
      <c r="F568" s="101">
        <f t="shared" si="19"/>
        <v>0.2458333333270275</v>
      </c>
    </row>
    <row r="569" spans="1:12" s="394" customFormat="1" x14ac:dyDescent="0.25">
      <c r="A569" s="390" t="s">
        <v>272</v>
      </c>
      <c r="B569" s="391">
        <v>45698</v>
      </c>
      <c r="C569" s="390" t="s">
        <v>1962</v>
      </c>
      <c r="D569" s="391">
        <v>45698</v>
      </c>
      <c r="E569" s="390" t="s">
        <v>231</v>
      </c>
      <c r="F569" s="392">
        <f t="shared" si="19"/>
        <v>7.7083333329937886E-2</v>
      </c>
      <c r="G569" s="390"/>
      <c r="H569" s="393"/>
      <c r="I569" s="390"/>
      <c r="J569" s="390"/>
      <c r="K569" s="392"/>
      <c r="L569" s="392"/>
    </row>
    <row r="570" spans="1:12" x14ac:dyDescent="0.25">
      <c r="A570" s="37" t="s">
        <v>177</v>
      </c>
      <c r="B570" s="94">
        <v>45698</v>
      </c>
      <c r="C570" s="37" t="s">
        <v>1965</v>
      </c>
      <c r="D570" s="94">
        <v>45698</v>
      </c>
      <c r="E570" s="37" t="s">
        <v>926</v>
      </c>
      <c r="F570" s="101">
        <f t="shared" si="19"/>
        <v>3.9583333338669036E-2</v>
      </c>
    </row>
    <row r="571" spans="1:12" x14ac:dyDescent="0.25">
      <c r="A571" s="37" t="s">
        <v>261</v>
      </c>
      <c r="B571" s="94">
        <v>45698</v>
      </c>
      <c r="C571" s="37" t="s">
        <v>1967</v>
      </c>
      <c r="D571" s="94">
        <v>45698</v>
      </c>
      <c r="E571" s="37" t="s">
        <v>188</v>
      </c>
      <c r="F571" s="101">
        <f t="shared" si="19"/>
        <v>0.16249999999854481</v>
      </c>
    </row>
    <row r="572" spans="1:12" x14ac:dyDescent="0.25">
      <c r="A572" s="37" t="s">
        <v>262</v>
      </c>
      <c r="B572" s="94">
        <v>45698</v>
      </c>
      <c r="C572" s="37" t="s">
        <v>1967</v>
      </c>
      <c r="D572" s="94">
        <v>45698</v>
      </c>
      <c r="E572" s="37" t="s">
        <v>188</v>
      </c>
      <c r="F572" s="101">
        <f t="shared" si="19"/>
        <v>0.16249999999854481</v>
      </c>
    </row>
    <row r="573" spans="1:12" x14ac:dyDescent="0.25">
      <c r="A573" s="37" t="s">
        <v>260</v>
      </c>
      <c r="B573" s="94">
        <v>45698</v>
      </c>
      <c r="C573" s="37" t="s">
        <v>1971</v>
      </c>
      <c r="D573" s="94">
        <v>45698</v>
      </c>
      <c r="E573" s="37" t="s">
        <v>188</v>
      </c>
      <c r="F573" s="101">
        <f t="shared" si="19"/>
        <v>0.13958333333721384</v>
      </c>
    </row>
    <row r="574" spans="1:12" x14ac:dyDescent="0.25">
      <c r="A574" s="37" t="s">
        <v>264</v>
      </c>
      <c r="B574" s="94">
        <v>45698</v>
      </c>
      <c r="C574" s="37" t="s">
        <v>1971</v>
      </c>
      <c r="D574" s="94">
        <v>45698</v>
      </c>
      <c r="E574" s="37" t="s">
        <v>188</v>
      </c>
      <c r="F574" s="101">
        <f t="shared" si="19"/>
        <v>0.13958333333721384</v>
      </c>
    </row>
    <row r="575" spans="1:12" x14ac:dyDescent="0.25">
      <c r="A575" s="37" t="s">
        <v>153</v>
      </c>
      <c r="B575" s="94">
        <v>45698</v>
      </c>
      <c r="C575" s="37" t="s">
        <v>1974</v>
      </c>
      <c r="D575" s="94">
        <v>45700</v>
      </c>
      <c r="E575" s="37" t="s">
        <v>1760</v>
      </c>
      <c r="F575" s="101">
        <f t="shared" si="19"/>
        <v>2.3263888888905058</v>
      </c>
    </row>
    <row r="576" spans="1:12" x14ac:dyDescent="0.25">
      <c r="A576" s="37" t="s">
        <v>144</v>
      </c>
      <c r="B576" s="94">
        <v>45698</v>
      </c>
      <c r="C576" s="37" t="s">
        <v>1976</v>
      </c>
      <c r="D576" s="94">
        <v>45698</v>
      </c>
      <c r="E576" s="37" t="s">
        <v>1990</v>
      </c>
      <c r="F576" s="101">
        <f t="shared" si="19"/>
        <v>5.2083333335758653E-2</v>
      </c>
    </row>
    <row r="577" spans="1:8" x14ac:dyDescent="0.25">
      <c r="A577" s="37" t="s">
        <v>252</v>
      </c>
      <c r="B577" s="94">
        <v>45698</v>
      </c>
      <c r="C577" s="37" t="s">
        <v>434</v>
      </c>
      <c r="D577" s="94">
        <v>45698</v>
      </c>
      <c r="E577" s="37" t="s">
        <v>958</v>
      </c>
      <c r="F577" s="101">
        <f t="shared" si="19"/>
        <v>5.8333333334303461E-2</v>
      </c>
    </row>
    <row r="578" spans="1:8" x14ac:dyDescent="0.25">
      <c r="A578" s="37" t="s">
        <v>273</v>
      </c>
      <c r="B578" s="94">
        <v>45698</v>
      </c>
      <c r="C578" s="37" t="s">
        <v>741</v>
      </c>
      <c r="D578" s="94">
        <v>45698</v>
      </c>
      <c r="E578" s="37" t="s">
        <v>958</v>
      </c>
      <c r="F578" s="101">
        <f t="shared" si="19"/>
        <v>4.5833333329937886E-2</v>
      </c>
    </row>
    <row r="579" spans="1:8" x14ac:dyDescent="0.25">
      <c r="A579" s="37" t="s">
        <v>175</v>
      </c>
      <c r="B579" s="94">
        <v>45698</v>
      </c>
      <c r="C579" s="37" t="s">
        <v>931</v>
      </c>
      <c r="D579" s="94">
        <v>45698</v>
      </c>
      <c r="E579" s="37" t="s">
        <v>236</v>
      </c>
      <c r="F579" s="101">
        <f t="shared" si="19"/>
        <v>9.2361111113859806E-2</v>
      </c>
    </row>
    <row r="580" spans="1:8" x14ac:dyDescent="0.25">
      <c r="A580" s="37" t="s">
        <v>194</v>
      </c>
      <c r="B580" s="94">
        <v>45698</v>
      </c>
      <c r="C580" s="37" t="s">
        <v>1982</v>
      </c>
      <c r="D580" s="94">
        <v>45698</v>
      </c>
      <c r="E580" s="37" t="s">
        <v>522</v>
      </c>
      <c r="F580" s="101">
        <f t="shared" si="19"/>
        <v>0.60763888889050577</v>
      </c>
    </row>
    <row r="581" spans="1:8" x14ac:dyDescent="0.25">
      <c r="A581" s="37" t="s">
        <v>202</v>
      </c>
      <c r="B581" s="94">
        <v>45698</v>
      </c>
      <c r="C581" s="37" t="s">
        <v>1266</v>
      </c>
      <c r="D581" s="94">
        <v>45698</v>
      </c>
      <c r="E581" s="37" t="s">
        <v>1989</v>
      </c>
      <c r="F581" s="101">
        <f t="shared" si="19"/>
        <v>1.8749999995634425E-2</v>
      </c>
    </row>
    <row r="582" spans="1:8" x14ac:dyDescent="0.25">
      <c r="A582" s="37" t="s">
        <v>154</v>
      </c>
      <c r="B582" s="94">
        <v>45698</v>
      </c>
      <c r="C582" s="37" t="s">
        <v>434</v>
      </c>
      <c r="D582" s="94">
        <v>45698</v>
      </c>
      <c r="E582" s="37" t="s">
        <v>190</v>
      </c>
      <c r="F582" s="101">
        <f t="shared" si="19"/>
        <v>0.42708333333575865</v>
      </c>
      <c r="G582" s="37" t="s">
        <v>9</v>
      </c>
    </row>
    <row r="583" spans="1:8" x14ac:dyDescent="0.25">
      <c r="A583" s="37" t="s">
        <v>162</v>
      </c>
      <c r="B583" s="94">
        <v>45698</v>
      </c>
      <c r="C583" s="37" t="s">
        <v>1987</v>
      </c>
      <c r="D583" s="94">
        <v>45698</v>
      </c>
      <c r="E583" s="37" t="s">
        <v>1989</v>
      </c>
      <c r="F583" s="101">
        <f t="shared" si="19"/>
        <v>3.4722222189884633E-3</v>
      </c>
      <c r="G583" s="37" t="s">
        <v>9</v>
      </c>
      <c r="H583" s="95" t="s">
        <v>1992</v>
      </c>
    </row>
    <row r="584" spans="1:8" x14ac:dyDescent="0.25">
      <c r="A584" s="37" t="s">
        <v>144</v>
      </c>
      <c r="B584" s="94">
        <v>45698</v>
      </c>
      <c r="C584" s="37" t="s">
        <v>1990</v>
      </c>
      <c r="D584" s="94">
        <v>45699</v>
      </c>
      <c r="E584" s="37" t="s">
        <v>680</v>
      </c>
      <c r="F584" s="101">
        <f t="shared" si="19"/>
        <v>1.5923611111065838</v>
      </c>
    </row>
    <row r="585" spans="1:8" x14ac:dyDescent="0.2">
      <c r="A585" s="23" t="s">
        <v>272</v>
      </c>
      <c r="B585" s="85">
        <v>45698</v>
      </c>
      <c r="C585" s="23" t="s">
        <v>231</v>
      </c>
      <c r="D585" s="94">
        <v>45698</v>
      </c>
      <c r="E585" s="37" t="s">
        <v>1997</v>
      </c>
      <c r="F585" s="101">
        <f t="shared" si="19"/>
        <v>3.125E-2</v>
      </c>
    </row>
    <row r="586" spans="1:8" x14ac:dyDescent="0.25">
      <c r="A586" s="37" t="s">
        <v>263</v>
      </c>
      <c r="B586" s="94">
        <v>45698</v>
      </c>
      <c r="C586" s="37" t="s">
        <v>1995</v>
      </c>
      <c r="D586" s="94">
        <v>45698</v>
      </c>
      <c r="E586" s="37" t="s">
        <v>1450</v>
      </c>
      <c r="F586" s="101">
        <f t="shared" si="19"/>
        <v>5.4166666661330964E-2</v>
      </c>
    </row>
    <row r="587" spans="1:8" x14ac:dyDescent="0.25">
      <c r="A587" s="37" t="s">
        <v>161</v>
      </c>
      <c r="B587" s="94">
        <v>45698</v>
      </c>
      <c r="C587" s="37" t="s">
        <v>269</v>
      </c>
      <c r="D587" s="94">
        <v>45698</v>
      </c>
      <c r="E587" s="37" t="s">
        <v>2045</v>
      </c>
      <c r="F587" s="101">
        <f t="shared" si="19"/>
        <v>0.13472222221753327</v>
      </c>
    </row>
    <row r="588" spans="1:8" x14ac:dyDescent="0.25">
      <c r="A588" s="37" t="s">
        <v>177</v>
      </c>
      <c r="B588" s="94">
        <v>45698</v>
      </c>
      <c r="C588" s="37" t="s">
        <v>782</v>
      </c>
      <c r="D588" s="94">
        <v>45698</v>
      </c>
      <c r="E588" s="37" t="s">
        <v>2078</v>
      </c>
      <c r="F588" s="101">
        <f t="shared" si="19"/>
        <v>8.4027777775190771E-2</v>
      </c>
    </row>
    <row r="589" spans="1:8" x14ac:dyDescent="0.25">
      <c r="A589" s="37" t="s">
        <v>165</v>
      </c>
      <c r="B589" s="94">
        <v>45698</v>
      </c>
      <c r="C589" s="37" t="s">
        <v>2001</v>
      </c>
      <c r="D589" s="94">
        <v>45698</v>
      </c>
      <c r="E589" s="37" t="s">
        <v>2006</v>
      </c>
      <c r="F589" s="101">
        <f t="shared" si="19"/>
        <v>2.2222222221898846E-2</v>
      </c>
    </row>
    <row r="590" spans="1:8" x14ac:dyDescent="0.25">
      <c r="A590" s="37" t="s">
        <v>252</v>
      </c>
      <c r="B590" s="94">
        <v>45698</v>
      </c>
      <c r="C590" s="37" t="s">
        <v>2004</v>
      </c>
      <c r="D590" s="94">
        <v>45698</v>
      </c>
      <c r="E590" s="37" t="s">
        <v>1004</v>
      </c>
      <c r="F590" s="101">
        <f t="shared" si="19"/>
        <v>0.31666666666569654</v>
      </c>
    </row>
    <row r="591" spans="1:8" x14ac:dyDescent="0.25">
      <c r="A591" s="37" t="s">
        <v>157</v>
      </c>
      <c r="B591" s="94">
        <v>45698</v>
      </c>
      <c r="C591" s="37" t="s">
        <v>2006</v>
      </c>
      <c r="D591" s="94">
        <v>45698</v>
      </c>
      <c r="E591" s="37" t="s">
        <v>2047</v>
      </c>
      <c r="F591" s="101">
        <f t="shared" si="19"/>
        <v>0.12708333334012423</v>
      </c>
    </row>
    <row r="592" spans="1:8" x14ac:dyDescent="0.25">
      <c r="A592" s="37" t="s">
        <v>165</v>
      </c>
      <c r="B592" s="94">
        <v>45698</v>
      </c>
      <c r="C592" s="37" t="s">
        <v>2006</v>
      </c>
      <c r="D592" s="94">
        <v>45698</v>
      </c>
      <c r="E592" s="37" t="s">
        <v>778</v>
      </c>
      <c r="F592" s="101">
        <f t="shared" si="19"/>
        <v>0.10694444445107365</v>
      </c>
    </row>
    <row r="593" spans="1:6" x14ac:dyDescent="0.25">
      <c r="A593" s="37" t="s">
        <v>265</v>
      </c>
      <c r="B593" s="94">
        <v>45698</v>
      </c>
      <c r="C593" s="37" t="s">
        <v>1967</v>
      </c>
      <c r="D593" s="94">
        <v>45698</v>
      </c>
      <c r="E593" s="37" t="s">
        <v>188</v>
      </c>
      <c r="F593" s="101">
        <f t="shared" si="19"/>
        <v>0.16249999999854481</v>
      </c>
    </row>
    <row r="594" spans="1:6" x14ac:dyDescent="0.25">
      <c r="A594" s="37" t="s">
        <v>273</v>
      </c>
      <c r="B594" s="94">
        <v>45698</v>
      </c>
      <c r="C594" s="37" t="s">
        <v>167</v>
      </c>
      <c r="D594" s="94">
        <v>45698</v>
      </c>
      <c r="E594" s="37" t="s">
        <v>1004</v>
      </c>
      <c r="F594" s="101">
        <f t="shared" si="19"/>
        <v>0.28819444444525288</v>
      </c>
    </row>
    <row r="595" spans="1:6" x14ac:dyDescent="0.25">
      <c r="A595" s="37" t="s">
        <v>272</v>
      </c>
      <c r="B595" s="94">
        <v>45698</v>
      </c>
      <c r="C595" s="37" t="s">
        <v>2017</v>
      </c>
      <c r="D595" s="94">
        <v>45698</v>
      </c>
      <c r="E595" s="37" t="s">
        <v>1654</v>
      </c>
      <c r="F595" s="101">
        <f t="shared" si="19"/>
        <v>0.33958333333430346</v>
      </c>
    </row>
    <row r="596" spans="1:6" x14ac:dyDescent="0.25">
      <c r="A596" s="37" t="s">
        <v>168</v>
      </c>
      <c r="B596" s="94">
        <v>45698</v>
      </c>
      <c r="C596" s="37" t="s">
        <v>2021</v>
      </c>
      <c r="D596" s="94">
        <v>45698</v>
      </c>
      <c r="E596" s="37" t="s">
        <v>1136</v>
      </c>
      <c r="F596" s="101">
        <f t="shared" si="19"/>
        <v>0.14097222222335404</v>
      </c>
    </row>
    <row r="597" spans="1:6" x14ac:dyDescent="0.25">
      <c r="A597" s="37" t="s">
        <v>155</v>
      </c>
      <c r="B597" s="94">
        <v>45698</v>
      </c>
      <c r="C597" s="37" t="s">
        <v>2024</v>
      </c>
      <c r="D597" s="94">
        <v>45698</v>
      </c>
      <c r="E597" s="37" t="s">
        <v>1127</v>
      </c>
      <c r="F597" s="101">
        <f t="shared" si="19"/>
        <v>2.8472222227719612E-2</v>
      </c>
    </row>
    <row r="598" spans="1:6" x14ac:dyDescent="0.25">
      <c r="A598" s="37" t="s">
        <v>166</v>
      </c>
      <c r="B598" s="94">
        <v>45698</v>
      </c>
      <c r="C598" s="37" t="s">
        <v>2024</v>
      </c>
      <c r="D598" s="94">
        <v>45698</v>
      </c>
      <c r="E598" s="37" t="s">
        <v>1127</v>
      </c>
      <c r="F598" s="101">
        <f t="shared" si="19"/>
        <v>2.8472222227719612E-2</v>
      </c>
    </row>
    <row r="599" spans="1:6" x14ac:dyDescent="0.25">
      <c r="A599" s="37" t="s">
        <v>175</v>
      </c>
      <c r="B599" s="94">
        <v>45698</v>
      </c>
      <c r="C599" s="37" t="s">
        <v>236</v>
      </c>
      <c r="D599" s="94">
        <v>45698</v>
      </c>
      <c r="E599" s="37" t="s">
        <v>2105</v>
      </c>
      <c r="F599" s="101">
        <f t="shared" si="19"/>
        <v>0.48333333332993789</v>
      </c>
    </row>
    <row r="600" spans="1:6" x14ac:dyDescent="0.25">
      <c r="A600" s="37" t="s">
        <v>162</v>
      </c>
      <c r="B600" s="94">
        <v>45698</v>
      </c>
      <c r="C600" s="37" t="s">
        <v>778</v>
      </c>
      <c r="D600" s="94">
        <v>45698</v>
      </c>
      <c r="E600" s="37" t="s">
        <v>992</v>
      </c>
      <c r="F600" s="101">
        <f t="shared" si="19"/>
        <v>0.11458333332848269</v>
      </c>
    </row>
    <row r="601" spans="1:6" x14ac:dyDescent="0.25">
      <c r="A601" s="37" t="s">
        <v>178</v>
      </c>
      <c r="B601" s="94">
        <v>45698</v>
      </c>
      <c r="C601" s="37" t="s">
        <v>778</v>
      </c>
      <c r="D601" s="94">
        <v>45698</v>
      </c>
      <c r="E601" s="37" t="s">
        <v>1770</v>
      </c>
      <c r="F601" s="101">
        <f t="shared" si="19"/>
        <v>9.7222222218988463E-2</v>
      </c>
    </row>
    <row r="602" spans="1:6" x14ac:dyDescent="0.25">
      <c r="A602" s="37" t="s">
        <v>165</v>
      </c>
      <c r="B602" s="94">
        <v>45698</v>
      </c>
      <c r="C602" s="37" t="s">
        <v>778</v>
      </c>
      <c r="D602" s="94">
        <v>45698</v>
      </c>
      <c r="E602" s="37" t="s">
        <v>1157</v>
      </c>
      <c r="F602" s="101">
        <f t="shared" si="19"/>
        <v>0.14861111110803904</v>
      </c>
    </row>
    <row r="603" spans="1:6" x14ac:dyDescent="0.25">
      <c r="A603" s="37" t="s">
        <v>172</v>
      </c>
      <c r="B603" s="94">
        <v>45698</v>
      </c>
      <c r="C603" s="37" t="s">
        <v>2031</v>
      </c>
      <c r="D603" s="94">
        <v>45698</v>
      </c>
      <c r="E603" s="37" t="s">
        <v>1142</v>
      </c>
      <c r="F603" s="101">
        <f t="shared" si="19"/>
        <v>0.11805555556202307</v>
      </c>
    </row>
    <row r="604" spans="1:6" x14ac:dyDescent="0.25">
      <c r="A604" s="37" t="s">
        <v>177</v>
      </c>
      <c r="B604" s="94">
        <v>45698</v>
      </c>
      <c r="C604" s="37" t="s">
        <v>2031</v>
      </c>
      <c r="D604" s="94">
        <v>45698</v>
      </c>
      <c r="E604" s="37" t="s">
        <v>2078</v>
      </c>
      <c r="F604" s="101">
        <f t="shared" si="19"/>
        <v>0.12847222222626442</v>
      </c>
    </row>
    <row r="605" spans="1:6" x14ac:dyDescent="0.25">
      <c r="A605" s="37" t="s">
        <v>155</v>
      </c>
      <c r="B605" s="94">
        <v>45698</v>
      </c>
      <c r="C605" s="37" t="s">
        <v>2035</v>
      </c>
      <c r="D605" s="94">
        <v>45698</v>
      </c>
      <c r="E605" s="37" t="s">
        <v>528</v>
      </c>
      <c r="F605" s="101">
        <f t="shared" si="19"/>
        <v>0.1756944444423425</v>
      </c>
    </row>
    <row r="606" spans="1:6" x14ac:dyDescent="0.25">
      <c r="A606" s="37" t="s">
        <v>166</v>
      </c>
      <c r="B606" s="94">
        <v>45698</v>
      </c>
      <c r="C606" s="37" t="s">
        <v>1127</v>
      </c>
      <c r="D606" s="94">
        <v>45698</v>
      </c>
      <c r="E606" s="37" t="s">
        <v>682</v>
      </c>
      <c r="F606" s="101">
        <f t="shared" si="19"/>
        <v>0.44305555555183673</v>
      </c>
    </row>
    <row r="607" spans="1:6" x14ac:dyDescent="0.25">
      <c r="A607" s="37" t="s">
        <v>260</v>
      </c>
      <c r="B607" s="94">
        <v>45698</v>
      </c>
      <c r="C607" s="37" t="s">
        <v>2036</v>
      </c>
      <c r="D607" s="94">
        <v>45699</v>
      </c>
      <c r="E607" s="37" t="s">
        <v>533</v>
      </c>
      <c r="F607" s="101">
        <f t="shared" si="19"/>
        <v>1.4354166666671517</v>
      </c>
    </row>
    <row r="608" spans="1:6" x14ac:dyDescent="0.25">
      <c r="A608" s="37" t="s">
        <v>261</v>
      </c>
      <c r="B608" s="94">
        <v>45698</v>
      </c>
      <c r="C608" s="37" t="s">
        <v>2036</v>
      </c>
      <c r="D608" s="94">
        <v>45698</v>
      </c>
      <c r="E608" s="37" t="s">
        <v>2049</v>
      </c>
      <c r="F608" s="101">
        <f t="shared" si="19"/>
        <v>4.7916666670062114E-2</v>
      </c>
    </row>
    <row r="609" spans="1:8" x14ac:dyDescent="0.25">
      <c r="A609" s="37" t="s">
        <v>262</v>
      </c>
      <c r="B609" s="94">
        <v>45698</v>
      </c>
      <c r="C609" s="37" t="s">
        <v>2036</v>
      </c>
      <c r="D609" s="94">
        <v>45698</v>
      </c>
      <c r="E609" s="37" t="s">
        <v>2085</v>
      </c>
      <c r="F609" s="101">
        <f t="shared" si="19"/>
        <v>0.17638888888905058</v>
      </c>
    </row>
    <row r="610" spans="1:8" x14ac:dyDescent="0.25">
      <c r="A610" s="37" t="s">
        <v>302</v>
      </c>
      <c r="B610" s="94">
        <v>45698</v>
      </c>
      <c r="C610" s="37" t="s">
        <v>788</v>
      </c>
      <c r="D610" s="94">
        <v>45698</v>
      </c>
      <c r="E610" s="37" t="s">
        <v>1314</v>
      </c>
      <c r="F610" s="101">
        <f t="shared" si="19"/>
        <v>2.4999999994179234E-2</v>
      </c>
    </row>
    <row r="611" spans="1:8" x14ac:dyDescent="0.25">
      <c r="A611" s="37" t="s">
        <v>202</v>
      </c>
      <c r="B611" s="94">
        <v>45698</v>
      </c>
      <c r="C611" s="37" t="s">
        <v>2042</v>
      </c>
      <c r="D611" s="94">
        <v>45698</v>
      </c>
      <c r="E611" s="37" t="s">
        <v>2054</v>
      </c>
      <c r="F611" s="101">
        <f t="shared" si="19"/>
        <v>9.7222222175332718E-3</v>
      </c>
    </row>
    <row r="612" spans="1:8" x14ac:dyDescent="0.25">
      <c r="A612" s="37" t="s">
        <v>164</v>
      </c>
      <c r="B612" s="94">
        <v>45698</v>
      </c>
      <c r="C612" s="37" t="s">
        <v>1132</v>
      </c>
      <c r="D612" s="94">
        <v>45698</v>
      </c>
      <c r="E612" s="37" t="s">
        <v>2071</v>
      </c>
      <c r="F612" s="101">
        <f t="shared" si="19"/>
        <v>0.11250000000291038</v>
      </c>
    </row>
    <row r="613" spans="1:8" x14ac:dyDescent="0.25">
      <c r="A613" s="37" t="s">
        <v>157</v>
      </c>
      <c r="B613" s="94">
        <v>45698</v>
      </c>
      <c r="C613" s="37" t="s">
        <v>2047</v>
      </c>
      <c r="D613" s="94">
        <v>45698</v>
      </c>
      <c r="E613" s="37" t="s">
        <v>852</v>
      </c>
      <c r="F613" s="101">
        <f t="shared" si="19"/>
        <v>0.31736111110512866</v>
      </c>
    </row>
    <row r="614" spans="1:8" x14ac:dyDescent="0.25">
      <c r="A614" s="37" t="s">
        <v>268</v>
      </c>
      <c r="B614" s="94">
        <v>45698</v>
      </c>
      <c r="C614" s="37" t="s">
        <v>2051</v>
      </c>
      <c r="D614" s="94">
        <v>45698</v>
      </c>
      <c r="E614" s="37" t="s">
        <v>1777</v>
      </c>
      <c r="F614" s="101">
        <f t="shared" si="19"/>
        <v>8.8888888887595385E-2</v>
      </c>
    </row>
    <row r="615" spans="1:8" x14ac:dyDescent="0.25">
      <c r="A615" s="37" t="s">
        <v>202</v>
      </c>
      <c r="B615" s="94">
        <v>45698</v>
      </c>
      <c r="C615" s="37" t="s">
        <v>983</v>
      </c>
      <c r="D615" s="94">
        <v>45698</v>
      </c>
      <c r="E615" s="37" t="s">
        <v>2066</v>
      </c>
      <c r="F615" s="101">
        <f t="shared" si="19"/>
        <v>3.3333333332848269E-2</v>
      </c>
    </row>
    <row r="616" spans="1:8" x14ac:dyDescent="0.25">
      <c r="A616" s="37" t="s">
        <v>268</v>
      </c>
      <c r="B616" s="94">
        <v>45698</v>
      </c>
      <c r="C616" s="37" t="s">
        <v>2081</v>
      </c>
      <c r="D616" s="94">
        <v>45698</v>
      </c>
      <c r="E616" s="37" t="s">
        <v>1183</v>
      </c>
      <c r="F616" s="101">
        <f t="shared" si="19"/>
        <v>6.0416666667151731E-2</v>
      </c>
    </row>
    <row r="617" spans="1:8" x14ac:dyDescent="0.25">
      <c r="A617" s="37" t="s">
        <v>160</v>
      </c>
      <c r="B617" s="94">
        <v>45698</v>
      </c>
      <c r="C617" s="37" t="s">
        <v>526</v>
      </c>
      <c r="D617" s="94">
        <v>45699</v>
      </c>
      <c r="E617" s="37" t="s">
        <v>283</v>
      </c>
      <c r="F617" s="101">
        <f t="shared" si="19"/>
        <v>1.2562500000058208</v>
      </c>
    </row>
    <row r="618" spans="1:8" x14ac:dyDescent="0.2">
      <c r="A618" s="37" t="s">
        <v>261</v>
      </c>
      <c r="B618" s="94">
        <v>45698</v>
      </c>
      <c r="C618" s="37" t="s">
        <v>647</v>
      </c>
      <c r="D618" s="94">
        <v>45699</v>
      </c>
      <c r="E618" s="37" t="s">
        <v>246</v>
      </c>
      <c r="F618" s="101">
        <f t="shared" si="19"/>
        <v>0.50972222222480923</v>
      </c>
      <c r="H618" s="23" t="s">
        <v>2135</v>
      </c>
    </row>
    <row r="619" spans="1:8" x14ac:dyDescent="0.25">
      <c r="A619" s="37" t="s">
        <v>154</v>
      </c>
      <c r="B619" s="94">
        <v>45698</v>
      </c>
      <c r="C619" s="37" t="s">
        <v>190</v>
      </c>
      <c r="D619" s="94">
        <v>45700</v>
      </c>
      <c r="E619" s="37" t="s">
        <v>1760</v>
      </c>
      <c r="F619" s="101">
        <f t="shared" ref="F619:F682" si="20">(D619 + TIME(LEFT(E619, 2), MID(E619, 3, 2), 0)) - (B619 + TIME(LEFT(C619, 2), MID(C619, 3, 2), 0))</f>
        <v>1.8381944444481633</v>
      </c>
    </row>
    <row r="620" spans="1:8" x14ac:dyDescent="0.25">
      <c r="A620" s="37" t="s">
        <v>262</v>
      </c>
      <c r="B620" s="94">
        <v>45698</v>
      </c>
      <c r="C620" s="37" t="s">
        <v>1895</v>
      </c>
      <c r="D620" s="94">
        <v>45702</v>
      </c>
      <c r="E620" s="37" t="s">
        <v>674</v>
      </c>
      <c r="F620" s="101">
        <f t="shared" si="20"/>
        <v>4.171527777776646</v>
      </c>
    </row>
    <row r="621" spans="1:8" x14ac:dyDescent="0.25">
      <c r="A621" s="37" t="s">
        <v>273</v>
      </c>
      <c r="B621" s="94">
        <v>45698</v>
      </c>
      <c r="C621" s="37" t="s">
        <v>1008</v>
      </c>
      <c r="D621" s="94">
        <v>45698</v>
      </c>
      <c r="E621" s="37" t="s">
        <v>271</v>
      </c>
      <c r="F621" s="101">
        <f t="shared" si="20"/>
        <v>5.2083333335758653E-2</v>
      </c>
    </row>
    <row r="622" spans="1:8" x14ac:dyDescent="0.25">
      <c r="A622" s="37" t="s">
        <v>169</v>
      </c>
      <c r="B622" s="94">
        <v>45699</v>
      </c>
      <c r="C622" s="37" t="s">
        <v>1431</v>
      </c>
      <c r="D622" s="94">
        <v>45699</v>
      </c>
      <c r="E622" s="37" t="s">
        <v>1174</v>
      </c>
      <c r="F622" s="101">
        <f t="shared" si="20"/>
        <v>0.50138888888614019</v>
      </c>
    </row>
    <row r="623" spans="1:8" x14ac:dyDescent="0.25">
      <c r="A623" s="37" t="s">
        <v>170</v>
      </c>
      <c r="B623" s="94">
        <v>45698</v>
      </c>
      <c r="C623" s="37" t="s">
        <v>660</v>
      </c>
      <c r="D623" s="94">
        <v>45698</v>
      </c>
      <c r="E623" s="37" t="s">
        <v>856</v>
      </c>
      <c r="F623" s="101">
        <f t="shared" si="20"/>
        <v>9.7222222175332718E-3</v>
      </c>
    </row>
    <row r="624" spans="1:8" x14ac:dyDescent="0.25">
      <c r="A624" s="37" t="s">
        <v>174</v>
      </c>
      <c r="B624" s="94">
        <v>45698</v>
      </c>
      <c r="C624" s="37" t="s">
        <v>660</v>
      </c>
      <c r="D624" s="94">
        <v>45698</v>
      </c>
      <c r="E624" s="37" t="s">
        <v>2107</v>
      </c>
      <c r="F624" s="101">
        <f t="shared" si="20"/>
        <v>3.8888888884685002E-2</v>
      </c>
    </row>
    <row r="625" spans="1:6" x14ac:dyDescent="0.25">
      <c r="A625" s="37" t="s">
        <v>168</v>
      </c>
      <c r="B625" s="94">
        <v>45698</v>
      </c>
      <c r="C625" s="37" t="s">
        <v>660</v>
      </c>
      <c r="D625" s="94">
        <v>45698</v>
      </c>
      <c r="E625" s="37" t="s">
        <v>2104</v>
      </c>
      <c r="F625" s="101">
        <f t="shared" si="20"/>
        <v>1.8749999995634425E-2</v>
      </c>
    </row>
    <row r="626" spans="1:6" x14ac:dyDescent="0.25">
      <c r="A626" s="37" t="s">
        <v>263</v>
      </c>
      <c r="B626" s="94">
        <v>45698</v>
      </c>
      <c r="C626" s="37" t="s">
        <v>1207</v>
      </c>
      <c r="D626" s="94">
        <v>45699</v>
      </c>
      <c r="E626" s="37" t="s">
        <v>2126</v>
      </c>
      <c r="F626" s="101">
        <f t="shared" si="20"/>
        <v>0.34166666666715173</v>
      </c>
    </row>
    <row r="627" spans="1:6" x14ac:dyDescent="0.25">
      <c r="A627" s="37" t="s">
        <v>172</v>
      </c>
      <c r="B627" s="94">
        <v>45698</v>
      </c>
      <c r="C627" s="37" t="s">
        <v>181</v>
      </c>
      <c r="D627" s="94">
        <v>45698</v>
      </c>
      <c r="E627" s="37" t="s">
        <v>1670</v>
      </c>
      <c r="F627" s="101">
        <f t="shared" si="20"/>
        <v>1.3194444443797693E-2</v>
      </c>
    </row>
    <row r="628" spans="1:6" x14ac:dyDescent="0.25">
      <c r="A628" s="37" t="s">
        <v>178</v>
      </c>
      <c r="B628" s="94">
        <v>45698</v>
      </c>
      <c r="C628" s="37" t="s">
        <v>2108</v>
      </c>
      <c r="D628" s="94">
        <v>45699</v>
      </c>
      <c r="E628" s="37" t="s">
        <v>2114</v>
      </c>
      <c r="F628" s="101">
        <f t="shared" si="20"/>
        <v>1.015972222223354</v>
      </c>
    </row>
    <row r="629" spans="1:6" x14ac:dyDescent="0.25">
      <c r="A629" s="37" t="s">
        <v>177</v>
      </c>
      <c r="B629" s="94">
        <v>45698</v>
      </c>
      <c r="C629" s="37" t="s">
        <v>2108</v>
      </c>
      <c r="D629" s="94">
        <v>45698</v>
      </c>
      <c r="E629" s="37" t="s">
        <v>2112</v>
      </c>
      <c r="F629" s="101">
        <f t="shared" si="20"/>
        <v>1.0416666664241347E-2</v>
      </c>
    </row>
    <row r="630" spans="1:6" x14ac:dyDescent="0.25">
      <c r="A630" s="37" t="s">
        <v>252</v>
      </c>
      <c r="B630" s="94">
        <v>45698</v>
      </c>
      <c r="C630" s="37" t="s">
        <v>282</v>
      </c>
      <c r="D630" s="94">
        <v>45699</v>
      </c>
      <c r="E630" s="37" t="s">
        <v>2123</v>
      </c>
      <c r="F630" s="101">
        <f t="shared" si="20"/>
        <v>7.5000000004365575E-2</v>
      </c>
    </row>
    <row r="631" spans="1:6" x14ac:dyDescent="0.25">
      <c r="A631" s="37" t="s">
        <v>273</v>
      </c>
      <c r="B631" s="94">
        <v>45698</v>
      </c>
      <c r="C631" s="37" t="s">
        <v>1683</v>
      </c>
      <c r="D631" s="94">
        <v>45699</v>
      </c>
      <c r="E631" s="37" t="s">
        <v>1380</v>
      </c>
      <c r="F631" s="101">
        <f t="shared" si="20"/>
        <v>4.3055555550381541E-2</v>
      </c>
    </row>
    <row r="632" spans="1:6" x14ac:dyDescent="0.25">
      <c r="A632" s="37" t="s">
        <v>161</v>
      </c>
      <c r="B632" s="94">
        <v>45699</v>
      </c>
      <c r="C632" s="37" t="s">
        <v>2117</v>
      </c>
      <c r="D632" s="94">
        <v>45699</v>
      </c>
      <c r="E632" s="37" t="s">
        <v>1523</v>
      </c>
      <c r="F632" s="101">
        <f t="shared" si="20"/>
        <v>1.1111111110949423E-2</v>
      </c>
    </row>
    <row r="633" spans="1:6" x14ac:dyDescent="0.25">
      <c r="A633" s="37" t="s">
        <v>178</v>
      </c>
      <c r="B633" s="94">
        <v>45699</v>
      </c>
      <c r="C633" s="37" t="s">
        <v>1518</v>
      </c>
      <c r="D633" s="94">
        <v>45699</v>
      </c>
      <c r="E633" s="37" t="s">
        <v>1367</v>
      </c>
      <c r="F633" s="101">
        <f t="shared" si="20"/>
        <v>6.9444444452528842E-3</v>
      </c>
    </row>
    <row r="634" spans="1:6" x14ac:dyDescent="0.25">
      <c r="A634" s="37" t="s">
        <v>144</v>
      </c>
      <c r="B634" s="94">
        <v>45699</v>
      </c>
      <c r="C634" s="37" t="s">
        <v>680</v>
      </c>
      <c r="D634" s="94">
        <v>45699</v>
      </c>
      <c r="E634" s="37" t="s">
        <v>2120</v>
      </c>
      <c r="F634" s="101">
        <f t="shared" si="20"/>
        <v>2.9861111113859806E-2</v>
      </c>
    </row>
    <row r="635" spans="1:6" x14ac:dyDescent="0.25">
      <c r="A635" s="37" t="s">
        <v>175</v>
      </c>
      <c r="B635" s="94">
        <v>45698</v>
      </c>
      <c r="C635" s="37" t="s">
        <v>531</v>
      </c>
      <c r="D635" s="94">
        <v>45699</v>
      </c>
      <c r="E635" s="37" t="s">
        <v>187</v>
      </c>
      <c r="F635" s="101">
        <f t="shared" si="20"/>
        <v>0.39652777777519077</v>
      </c>
    </row>
    <row r="636" spans="1:6" x14ac:dyDescent="0.25">
      <c r="A636" s="37" t="s">
        <v>162</v>
      </c>
      <c r="B636" s="94">
        <v>45699</v>
      </c>
      <c r="C636" s="37" t="s">
        <v>1550</v>
      </c>
      <c r="D636" s="94">
        <v>45699</v>
      </c>
      <c r="E636" s="37" t="s">
        <v>2132</v>
      </c>
      <c r="F636" s="101">
        <f t="shared" si="20"/>
        <v>2.0138888889050577E-2</v>
      </c>
    </row>
    <row r="637" spans="1:6" x14ac:dyDescent="0.25">
      <c r="A637" s="37" t="s">
        <v>252</v>
      </c>
      <c r="B637" s="94">
        <v>45699</v>
      </c>
      <c r="C637" s="37" t="s">
        <v>2128</v>
      </c>
      <c r="D637" s="94">
        <v>45699</v>
      </c>
      <c r="E637" s="37" t="s">
        <v>2169</v>
      </c>
      <c r="F637" s="101">
        <f t="shared" si="20"/>
        <v>0.16527777777810115</v>
      </c>
    </row>
    <row r="638" spans="1:6" x14ac:dyDescent="0.25">
      <c r="A638" s="37" t="s">
        <v>273</v>
      </c>
      <c r="B638" s="94">
        <v>45699</v>
      </c>
      <c r="C638" s="37" t="s">
        <v>2130</v>
      </c>
      <c r="D638" s="94">
        <v>45699</v>
      </c>
      <c r="E638" s="37" t="s">
        <v>269</v>
      </c>
      <c r="F638" s="101">
        <f t="shared" si="20"/>
        <v>0.16458333333139308</v>
      </c>
    </row>
    <row r="639" spans="1:6" x14ac:dyDescent="0.25">
      <c r="A639" s="37" t="s">
        <v>272</v>
      </c>
      <c r="B639" s="94">
        <v>45699</v>
      </c>
      <c r="C639" s="37" t="s">
        <v>285</v>
      </c>
      <c r="D639" s="94">
        <v>45699</v>
      </c>
      <c r="E639" s="37" t="s">
        <v>1758</v>
      </c>
      <c r="F639" s="101">
        <f t="shared" si="20"/>
        <v>0.24861111111385981</v>
      </c>
    </row>
    <row r="640" spans="1:6" x14ac:dyDescent="0.25">
      <c r="A640" s="37" t="s">
        <v>155</v>
      </c>
      <c r="B640" s="94">
        <v>45698</v>
      </c>
      <c r="C640" s="37" t="s">
        <v>680</v>
      </c>
      <c r="D640" s="94">
        <v>45699</v>
      </c>
      <c r="E640" s="37" t="s">
        <v>167</v>
      </c>
      <c r="F640" s="101">
        <f t="shared" si="20"/>
        <v>0.50069444444670808</v>
      </c>
    </row>
    <row r="641" spans="1:8" x14ac:dyDescent="0.25">
      <c r="A641" s="37" t="s">
        <v>166</v>
      </c>
      <c r="B641" s="94">
        <v>45699</v>
      </c>
      <c r="C641" s="37" t="s">
        <v>1431</v>
      </c>
      <c r="D641" s="94">
        <v>45699</v>
      </c>
      <c r="E641" s="37" t="s">
        <v>528</v>
      </c>
      <c r="F641" s="101">
        <f t="shared" si="20"/>
        <v>0.45902777777519077</v>
      </c>
    </row>
    <row r="642" spans="1:8" x14ac:dyDescent="0.25">
      <c r="A642" s="37" t="s">
        <v>159</v>
      </c>
      <c r="B642" s="94">
        <v>45699</v>
      </c>
      <c r="C642" s="37" t="s">
        <v>1344</v>
      </c>
      <c r="D642" s="94">
        <v>45700</v>
      </c>
      <c r="E642" s="37" t="s">
        <v>227</v>
      </c>
      <c r="F642" s="101">
        <f t="shared" si="20"/>
        <v>0.50069444443943212</v>
      </c>
    </row>
    <row r="643" spans="1:8" x14ac:dyDescent="0.25">
      <c r="A643" s="37" t="s">
        <v>164</v>
      </c>
      <c r="B643" s="94">
        <v>45699</v>
      </c>
      <c r="C643" s="37" t="s">
        <v>1249</v>
      </c>
      <c r="D643" s="94">
        <v>45699</v>
      </c>
      <c r="E643" s="37" t="s">
        <v>2146</v>
      </c>
      <c r="F643" s="101">
        <f t="shared" si="20"/>
        <v>3.6805555551836733E-2</v>
      </c>
    </row>
    <row r="644" spans="1:8" x14ac:dyDescent="0.25">
      <c r="A644" s="37" t="s">
        <v>168</v>
      </c>
      <c r="B644" s="94">
        <v>45699</v>
      </c>
      <c r="C644" s="37" t="s">
        <v>1967</v>
      </c>
      <c r="D644" s="94">
        <v>45699</v>
      </c>
      <c r="E644" s="37" t="s">
        <v>2148</v>
      </c>
      <c r="F644" s="101">
        <f t="shared" si="20"/>
        <v>1.8055555556202307E-2</v>
      </c>
    </row>
    <row r="645" spans="1:8" x14ac:dyDescent="0.25">
      <c r="A645" s="37" t="s">
        <v>170</v>
      </c>
      <c r="B645" s="94">
        <v>45699</v>
      </c>
      <c r="C645" s="37" t="s">
        <v>2143</v>
      </c>
      <c r="D645" s="94">
        <v>45699</v>
      </c>
      <c r="E645" s="37" t="s">
        <v>1104</v>
      </c>
      <c r="F645" s="101">
        <f t="shared" si="20"/>
        <v>6.25E-2</v>
      </c>
    </row>
    <row r="646" spans="1:8" x14ac:dyDescent="0.25">
      <c r="A646" s="37" t="s">
        <v>144</v>
      </c>
      <c r="B646" s="94">
        <v>45699</v>
      </c>
      <c r="C646" s="37" t="s">
        <v>1079</v>
      </c>
      <c r="D646" s="94">
        <v>45699</v>
      </c>
      <c r="E646" s="37" t="s">
        <v>2165</v>
      </c>
      <c r="F646" s="101">
        <f t="shared" si="20"/>
        <v>0.10277777777810115</v>
      </c>
    </row>
    <row r="647" spans="1:8" x14ac:dyDescent="0.25">
      <c r="A647" s="37" t="s">
        <v>157</v>
      </c>
      <c r="B647" s="94">
        <v>45699</v>
      </c>
      <c r="C647" s="37" t="s">
        <v>2146</v>
      </c>
      <c r="D647" s="94">
        <v>45702</v>
      </c>
      <c r="E647" s="37" t="s">
        <v>867</v>
      </c>
      <c r="F647" s="101">
        <f t="shared" si="20"/>
        <v>3.6319444444452529</v>
      </c>
    </row>
    <row r="648" spans="1:8" x14ac:dyDescent="0.25">
      <c r="A648" s="37" t="s">
        <v>174</v>
      </c>
      <c r="B648" s="94">
        <v>45699</v>
      </c>
      <c r="C648" s="37" t="s">
        <v>2152</v>
      </c>
      <c r="D648" s="94">
        <v>45699</v>
      </c>
      <c r="E648" s="37" t="s">
        <v>1437</v>
      </c>
      <c r="F648" s="101">
        <f t="shared" si="20"/>
        <v>5.6250000001455192E-2</v>
      </c>
    </row>
    <row r="649" spans="1:8" x14ac:dyDescent="0.25">
      <c r="A649" s="37" t="s">
        <v>172</v>
      </c>
      <c r="B649" s="94">
        <v>45699</v>
      </c>
      <c r="C649" s="37" t="s">
        <v>2153</v>
      </c>
      <c r="D649" s="94">
        <v>45699</v>
      </c>
      <c r="E649" s="37" t="s">
        <v>1104</v>
      </c>
      <c r="F649" s="101">
        <f t="shared" si="20"/>
        <v>2.0138888889050577E-2</v>
      </c>
    </row>
    <row r="650" spans="1:8" x14ac:dyDescent="0.25">
      <c r="A650" s="37" t="s">
        <v>261</v>
      </c>
      <c r="B650" s="94">
        <v>45699</v>
      </c>
      <c r="C650" s="37" t="s">
        <v>931</v>
      </c>
      <c r="D650" s="94">
        <v>45699</v>
      </c>
      <c r="E650" s="37" t="s">
        <v>1154</v>
      </c>
      <c r="F650" s="101">
        <f t="shared" si="20"/>
        <v>0.35416666666424135</v>
      </c>
    </row>
    <row r="651" spans="1:8" x14ac:dyDescent="0.25">
      <c r="A651" s="37" t="s">
        <v>177</v>
      </c>
      <c r="B651" s="94">
        <v>45699</v>
      </c>
      <c r="C651" s="37" t="s">
        <v>750</v>
      </c>
      <c r="D651" s="94">
        <v>45699</v>
      </c>
      <c r="E651" s="37" t="s">
        <v>1995</v>
      </c>
      <c r="F651" s="101">
        <f t="shared" si="20"/>
        <v>1.7361111116770189E-2</v>
      </c>
    </row>
    <row r="652" spans="1:8" x14ac:dyDescent="0.25">
      <c r="A652" s="37" t="s">
        <v>175</v>
      </c>
      <c r="B652" s="94">
        <v>45699</v>
      </c>
      <c r="C652" s="37" t="s">
        <v>187</v>
      </c>
      <c r="D652" s="94">
        <v>45700</v>
      </c>
      <c r="E652" s="37" t="s">
        <v>1760</v>
      </c>
      <c r="F652" s="101">
        <f t="shared" si="20"/>
        <v>1.2222222222262644</v>
      </c>
      <c r="H652" s="95" t="s">
        <v>1763</v>
      </c>
    </row>
    <row r="653" spans="1:8" x14ac:dyDescent="0.25">
      <c r="A653" s="37" t="s">
        <v>178</v>
      </c>
      <c r="B653" s="94">
        <v>45699</v>
      </c>
      <c r="C653" s="37" t="s">
        <v>206</v>
      </c>
      <c r="D653" s="94">
        <v>45699</v>
      </c>
      <c r="E653" s="37" t="s">
        <v>1106</v>
      </c>
      <c r="F653" s="101">
        <f t="shared" si="20"/>
        <v>2.1527777775190771E-2</v>
      </c>
    </row>
    <row r="654" spans="1:8" x14ac:dyDescent="0.25">
      <c r="A654" s="37" t="s">
        <v>161</v>
      </c>
      <c r="B654" s="94">
        <v>45699</v>
      </c>
      <c r="C654" s="37" t="s">
        <v>1990</v>
      </c>
      <c r="D654" s="94">
        <v>45699</v>
      </c>
      <c r="E654" s="37" t="s">
        <v>2165</v>
      </c>
      <c r="F654" s="101">
        <f t="shared" si="20"/>
        <v>2.9861111106583849E-2</v>
      </c>
    </row>
    <row r="655" spans="1:8" x14ac:dyDescent="0.25">
      <c r="A655" s="37" t="s">
        <v>194</v>
      </c>
      <c r="B655" s="94">
        <v>45699</v>
      </c>
      <c r="C655" s="37" t="s">
        <v>957</v>
      </c>
      <c r="D655" s="94">
        <v>45700</v>
      </c>
      <c r="E655" s="37" t="s">
        <v>698</v>
      </c>
      <c r="F655" s="101">
        <f t="shared" si="20"/>
        <v>0.65069444444816327</v>
      </c>
    </row>
    <row r="656" spans="1:8" x14ac:dyDescent="0.25">
      <c r="A656" s="37" t="s">
        <v>273</v>
      </c>
      <c r="B656" s="94">
        <v>45699</v>
      </c>
      <c r="C656" s="37" t="s">
        <v>971</v>
      </c>
      <c r="D656" s="94">
        <v>45699</v>
      </c>
      <c r="E656" s="37" t="s">
        <v>1118</v>
      </c>
      <c r="F656" s="101">
        <f t="shared" si="20"/>
        <v>2.6388888887595385E-2</v>
      </c>
    </row>
    <row r="657" spans="1:7" x14ac:dyDescent="0.25">
      <c r="A657" s="37" t="s">
        <v>252</v>
      </c>
      <c r="B657" s="94">
        <v>45699</v>
      </c>
      <c r="C657" s="37" t="s">
        <v>2173</v>
      </c>
      <c r="D657" s="94">
        <v>45699</v>
      </c>
      <c r="E657" s="37" t="s">
        <v>2197</v>
      </c>
      <c r="F657" s="101">
        <f t="shared" si="20"/>
        <v>0.17152777777664596</v>
      </c>
    </row>
    <row r="658" spans="1:7" x14ac:dyDescent="0.25">
      <c r="A658" s="37" t="s">
        <v>273</v>
      </c>
      <c r="B658" s="94">
        <v>45699</v>
      </c>
      <c r="C658" s="37" t="s">
        <v>2175</v>
      </c>
      <c r="D658" s="94">
        <v>45699</v>
      </c>
      <c r="E658" s="37" t="s">
        <v>2176</v>
      </c>
      <c r="F658" s="101">
        <f t="shared" si="20"/>
        <v>2.7083333334303461E-2</v>
      </c>
    </row>
    <row r="659" spans="1:7" x14ac:dyDescent="0.25">
      <c r="A659" s="37" t="s">
        <v>264</v>
      </c>
      <c r="B659" s="94">
        <v>45699</v>
      </c>
      <c r="C659" s="37" t="s">
        <v>237</v>
      </c>
      <c r="D659" s="94">
        <v>45699</v>
      </c>
      <c r="E659" s="37" t="s">
        <v>2179</v>
      </c>
      <c r="F659" s="101">
        <f t="shared" si="20"/>
        <v>8.2638888889050577E-2</v>
      </c>
    </row>
    <row r="660" spans="1:7" x14ac:dyDescent="0.25">
      <c r="A660" s="37" t="s">
        <v>264</v>
      </c>
      <c r="B660" s="94">
        <v>45699</v>
      </c>
      <c r="C660" s="37" t="s">
        <v>2200</v>
      </c>
      <c r="D660" s="94">
        <v>45699</v>
      </c>
      <c r="E660" s="37" t="s">
        <v>2241</v>
      </c>
      <c r="F660" s="101">
        <f t="shared" si="20"/>
        <v>0.26388888888322981</v>
      </c>
    </row>
    <row r="661" spans="1:7" x14ac:dyDescent="0.25">
      <c r="A661" s="37" t="s">
        <v>160</v>
      </c>
      <c r="B661" s="94">
        <v>45699</v>
      </c>
      <c r="C661" s="37" t="s">
        <v>156</v>
      </c>
      <c r="D661" s="94">
        <v>45699</v>
      </c>
      <c r="E661" s="37" t="s">
        <v>682</v>
      </c>
      <c r="F661" s="101">
        <f t="shared" si="20"/>
        <v>0.50069444444670808</v>
      </c>
    </row>
    <row r="662" spans="1:7" x14ac:dyDescent="0.25">
      <c r="A662" s="37" t="s">
        <v>162</v>
      </c>
      <c r="B662" s="94">
        <v>45699</v>
      </c>
      <c r="C662" s="37" t="s">
        <v>2184</v>
      </c>
      <c r="D662" s="94">
        <v>45699</v>
      </c>
      <c r="E662" s="37" t="s">
        <v>1461</v>
      </c>
      <c r="F662" s="101">
        <f t="shared" si="20"/>
        <v>2.6388888894871343E-2</v>
      </c>
    </row>
    <row r="663" spans="1:7" x14ac:dyDescent="0.25">
      <c r="A663" s="37" t="s">
        <v>272</v>
      </c>
      <c r="B663" s="94">
        <v>45699</v>
      </c>
      <c r="C663" s="37" t="s">
        <v>2186</v>
      </c>
      <c r="D663" s="94">
        <v>45699</v>
      </c>
      <c r="E663" s="37" t="s">
        <v>2243</v>
      </c>
      <c r="F663" s="101">
        <f t="shared" si="20"/>
        <v>0.398611111115315</v>
      </c>
    </row>
    <row r="664" spans="1:7" x14ac:dyDescent="0.25">
      <c r="A664" s="37" t="s">
        <v>273</v>
      </c>
      <c r="B664" s="94">
        <v>45699</v>
      </c>
      <c r="C664" s="37" t="s">
        <v>2036</v>
      </c>
      <c r="D664" s="94">
        <v>45699</v>
      </c>
      <c r="E664" s="37" t="s">
        <v>2195</v>
      </c>
      <c r="F664" s="101">
        <f t="shared" si="20"/>
        <v>6.3194444446708076E-2</v>
      </c>
    </row>
    <row r="665" spans="1:7" x14ac:dyDescent="0.25">
      <c r="A665" s="37" t="s">
        <v>144</v>
      </c>
      <c r="B665" s="94">
        <v>45699</v>
      </c>
      <c r="C665" s="37" t="s">
        <v>980</v>
      </c>
      <c r="D665" s="94">
        <v>45699</v>
      </c>
      <c r="E665" s="37" t="s">
        <v>2193</v>
      </c>
      <c r="F665" s="101">
        <f t="shared" si="20"/>
        <v>5.9722222220443655E-2</v>
      </c>
    </row>
    <row r="666" spans="1:7" x14ac:dyDescent="0.25">
      <c r="A666" s="37" t="s">
        <v>164</v>
      </c>
      <c r="B666" s="94">
        <v>45699</v>
      </c>
      <c r="C666" s="37" t="s">
        <v>2190</v>
      </c>
      <c r="D666" s="94">
        <v>45699</v>
      </c>
      <c r="E666" s="37" t="s">
        <v>795</v>
      </c>
      <c r="F666" s="101">
        <f t="shared" si="20"/>
        <v>2.7777777773735579E-2</v>
      </c>
    </row>
    <row r="667" spans="1:7" x14ac:dyDescent="0.25">
      <c r="A667" s="37" t="s">
        <v>273</v>
      </c>
      <c r="B667" s="94">
        <v>45699</v>
      </c>
      <c r="C667" s="37" t="s">
        <v>1612</v>
      </c>
      <c r="D667" s="94">
        <v>45699</v>
      </c>
      <c r="E667" s="37" t="s">
        <v>1154</v>
      </c>
      <c r="F667" s="101">
        <f t="shared" si="20"/>
        <v>1.8749999995634425E-2</v>
      </c>
    </row>
    <row r="668" spans="1:7" x14ac:dyDescent="0.25">
      <c r="A668" s="37" t="s">
        <v>252</v>
      </c>
      <c r="B668" s="94">
        <v>45699</v>
      </c>
      <c r="C668" s="37" t="s">
        <v>2203</v>
      </c>
      <c r="D668" s="94">
        <v>45699</v>
      </c>
      <c r="E668" s="37" t="s">
        <v>2245</v>
      </c>
      <c r="F668" s="101">
        <f t="shared" si="20"/>
        <v>0.26041666666424135</v>
      </c>
    </row>
    <row r="669" spans="1:7" x14ac:dyDescent="0.25">
      <c r="A669" s="37" t="s">
        <v>268</v>
      </c>
      <c r="B669" s="94">
        <v>45699</v>
      </c>
      <c r="C669" s="37" t="s">
        <v>2205</v>
      </c>
      <c r="D669" s="94">
        <v>45699</v>
      </c>
      <c r="E669" s="37" t="s">
        <v>2085</v>
      </c>
      <c r="F669" s="101">
        <f t="shared" si="20"/>
        <v>3.6111111112404615E-2</v>
      </c>
    </row>
    <row r="670" spans="1:7" x14ac:dyDescent="0.25">
      <c r="A670" s="37" t="s">
        <v>261</v>
      </c>
      <c r="B670" s="94">
        <v>45699</v>
      </c>
      <c r="C670" s="37" t="s">
        <v>1154</v>
      </c>
      <c r="D670" s="94">
        <v>45699</v>
      </c>
      <c r="E670" s="37" t="s">
        <v>253</v>
      </c>
      <c r="F670" s="101">
        <f t="shared" si="20"/>
        <v>7.4305555557657499E-2</v>
      </c>
      <c r="G670" s="37" t="s">
        <v>9</v>
      </c>
    </row>
    <row r="671" spans="1:7" x14ac:dyDescent="0.25">
      <c r="A671" s="37" t="s">
        <v>155</v>
      </c>
      <c r="B671" s="94">
        <v>45699</v>
      </c>
      <c r="C671" s="37" t="s">
        <v>526</v>
      </c>
      <c r="D671" s="94">
        <v>45700</v>
      </c>
      <c r="E671" s="37" t="s">
        <v>2259</v>
      </c>
      <c r="F671" s="101">
        <f t="shared" si="20"/>
        <v>0.35694444444379769</v>
      </c>
    </row>
    <row r="672" spans="1:7" x14ac:dyDescent="0.25">
      <c r="A672" s="37" t="s">
        <v>273</v>
      </c>
      <c r="B672" s="94">
        <v>45699</v>
      </c>
      <c r="C672" s="37" t="s">
        <v>2211</v>
      </c>
      <c r="D672" s="94">
        <v>45699</v>
      </c>
      <c r="E672" s="37" t="s">
        <v>2239</v>
      </c>
      <c r="F672" s="101">
        <f t="shared" si="20"/>
        <v>0.17500000000291038</v>
      </c>
    </row>
    <row r="673" spans="1:6" x14ac:dyDescent="0.25">
      <c r="A673" s="37" t="s">
        <v>144</v>
      </c>
      <c r="B673" s="94">
        <v>45699</v>
      </c>
      <c r="C673" s="37" t="s">
        <v>1004</v>
      </c>
      <c r="D673" s="94">
        <v>45700</v>
      </c>
      <c r="E673" s="37" t="s">
        <v>1289</v>
      </c>
      <c r="F673" s="101">
        <f t="shared" si="20"/>
        <v>0.50208333333284827</v>
      </c>
    </row>
    <row r="674" spans="1:6" x14ac:dyDescent="0.25">
      <c r="A674" s="37" t="s">
        <v>165</v>
      </c>
      <c r="B674" s="94">
        <v>45699</v>
      </c>
      <c r="C674" s="37" t="s">
        <v>651</v>
      </c>
      <c r="D674" s="94">
        <v>45699</v>
      </c>
      <c r="E674" s="37" t="s">
        <v>654</v>
      </c>
      <c r="F674" s="101">
        <f t="shared" si="20"/>
        <v>2.9861111113859806E-2</v>
      </c>
    </row>
    <row r="675" spans="1:6" x14ac:dyDescent="0.25">
      <c r="A675" s="37" t="s">
        <v>168</v>
      </c>
      <c r="B675" s="94">
        <v>45699</v>
      </c>
      <c r="C675" s="37" t="s">
        <v>837</v>
      </c>
      <c r="D675" s="94">
        <v>45699</v>
      </c>
      <c r="E675" s="37" t="s">
        <v>1663</v>
      </c>
      <c r="F675" s="101">
        <f t="shared" si="20"/>
        <v>7.1527777778101154E-2</v>
      </c>
    </row>
    <row r="676" spans="1:6" x14ac:dyDescent="0.25">
      <c r="A676" s="37" t="s">
        <v>261</v>
      </c>
      <c r="B676" s="94">
        <v>45699</v>
      </c>
      <c r="C676" s="37" t="s">
        <v>253</v>
      </c>
      <c r="D676" s="94">
        <v>45700</v>
      </c>
      <c r="E676" s="37" t="s">
        <v>1990</v>
      </c>
      <c r="F676" s="101">
        <f t="shared" si="20"/>
        <v>0.61041666667006211</v>
      </c>
    </row>
    <row r="677" spans="1:6" x14ac:dyDescent="0.25">
      <c r="A677" s="37" t="s">
        <v>265</v>
      </c>
      <c r="B677" s="94">
        <v>45699</v>
      </c>
      <c r="C677" s="37" t="s">
        <v>270</v>
      </c>
      <c r="D677" s="94">
        <v>45699</v>
      </c>
      <c r="E677" s="37" t="s">
        <v>1011</v>
      </c>
      <c r="F677" s="101">
        <f t="shared" si="20"/>
        <v>1.4583333329937886E-2</v>
      </c>
    </row>
    <row r="678" spans="1:6" x14ac:dyDescent="0.25">
      <c r="A678" s="37" t="s">
        <v>169</v>
      </c>
      <c r="B678" s="94">
        <v>45700</v>
      </c>
      <c r="C678" s="37" t="s">
        <v>1431</v>
      </c>
      <c r="D678" s="94">
        <v>45700</v>
      </c>
      <c r="E678" s="37" t="s">
        <v>1174</v>
      </c>
      <c r="F678" s="101">
        <f t="shared" si="20"/>
        <v>0.50138888888614019</v>
      </c>
    </row>
    <row r="679" spans="1:6" x14ac:dyDescent="0.25">
      <c r="A679" s="37" t="s">
        <v>170</v>
      </c>
      <c r="B679" s="94">
        <v>45699</v>
      </c>
      <c r="C679" s="37" t="s">
        <v>2221</v>
      </c>
      <c r="D679" s="94">
        <v>45699</v>
      </c>
      <c r="E679" s="37" t="s">
        <v>213</v>
      </c>
      <c r="F679" s="101">
        <f t="shared" si="20"/>
        <v>5.3472222221898846E-2</v>
      </c>
    </row>
    <row r="680" spans="1:6" x14ac:dyDescent="0.25">
      <c r="A680" s="37" t="s">
        <v>174</v>
      </c>
      <c r="B680" s="94">
        <v>45699</v>
      </c>
      <c r="C680" s="37" t="s">
        <v>1802</v>
      </c>
      <c r="D680" s="94">
        <v>45699</v>
      </c>
      <c r="E680" s="37" t="s">
        <v>2234</v>
      </c>
      <c r="F680" s="101">
        <f t="shared" si="20"/>
        <v>5.4861111115314998E-2</v>
      </c>
    </row>
    <row r="681" spans="1:6" x14ac:dyDescent="0.25">
      <c r="A681" s="37" t="s">
        <v>172</v>
      </c>
      <c r="B681" s="94">
        <v>45699</v>
      </c>
      <c r="C681" s="37" t="s">
        <v>1802</v>
      </c>
      <c r="D681" s="94">
        <v>45699</v>
      </c>
      <c r="E681" s="37" t="s">
        <v>2232</v>
      </c>
      <c r="F681" s="101">
        <f t="shared" si="20"/>
        <v>4.2361111110949423E-2</v>
      </c>
    </row>
    <row r="682" spans="1:6" x14ac:dyDescent="0.25">
      <c r="A682" s="37" t="s">
        <v>177</v>
      </c>
      <c r="B682" s="94">
        <v>45699</v>
      </c>
      <c r="C682" s="37" t="s">
        <v>1802</v>
      </c>
      <c r="D682" s="94">
        <v>45699</v>
      </c>
      <c r="E682" s="37" t="s">
        <v>854</v>
      </c>
      <c r="F682" s="101">
        <f t="shared" si="20"/>
        <v>6.0416666667151731E-2</v>
      </c>
    </row>
    <row r="683" spans="1:6" x14ac:dyDescent="0.25">
      <c r="A683" s="37" t="s">
        <v>178</v>
      </c>
      <c r="B683" s="94">
        <v>45699</v>
      </c>
      <c r="C683" s="37" t="s">
        <v>1802</v>
      </c>
      <c r="D683" s="94">
        <v>45699</v>
      </c>
      <c r="E683" s="37" t="s">
        <v>192</v>
      </c>
      <c r="F683" s="101">
        <f t="shared" ref="F683:F746" si="21">(D683 + TIME(LEFT(E683, 2), MID(E683, 3, 2), 0)) - (B683 + TIME(LEFT(C683, 2), MID(C683, 3, 2), 0))</f>
        <v>6.7361111112404615E-2</v>
      </c>
    </row>
    <row r="684" spans="1:6" x14ac:dyDescent="0.25">
      <c r="A684" s="37" t="s">
        <v>161</v>
      </c>
      <c r="B684" s="94">
        <v>45699</v>
      </c>
      <c r="C684" s="37" t="s">
        <v>1802</v>
      </c>
      <c r="D684" s="94">
        <v>45699</v>
      </c>
      <c r="E684" s="37" t="s">
        <v>1668</v>
      </c>
      <c r="F684" s="101">
        <f t="shared" si="21"/>
        <v>7.013888889196096E-2</v>
      </c>
    </row>
    <row r="685" spans="1:6" x14ac:dyDescent="0.25">
      <c r="A685" s="37" t="s">
        <v>166</v>
      </c>
      <c r="B685" s="94">
        <v>45699</v>
      </c>
      <c r="C685" s="37" t="s">
        <v>680</v>
      </c>
      <c r="D685" s="94">
        <v>45700</v>
      </c>
      <c r="E685" s="37" t="s">
        <v>167</v>
      </c>
      <c r="F685" s="101">
        <f t="shared" si="21"/>
        <v>0.50069444444670808</v>
      </c>
    </row>
    <row r="686" spans="1:6" x14ac:dyDescent="0.25">
      <c r="A686" s="37" t="s">
        <v>162</v>
      </c>
      <c r="B686" s="94">
        <v>45700</v>
      </c>
      <c r="C686" s="37" t="s">
        <v>2251</v>
      </c>
      <c r="D686" s="94">
        <v>45700</v>
      </c>
      <c r="E686" s="37" t="s">
        <v>2258</v>
      </c>
      <c r="F686" s="101">
        <f t="shared" si="21"/>
        <v>4.166666665696539E-3</v>
      </c>
    </row>
    <row r="687" spans="1:6" x14ac:dyDescent="0.25">
      <c r="A687" s="37" t="s">
        <v>168</v>
      </c>
      <c r="B687" s="94">
        <v>45700</v>
      </c>
      <c r="C687" s="37" t="s">
        <v>2251</v>
      </c>
      <c r="D687" s="94">
        <v>45700</v>
      </c>
      <c r="E687" s="37" t="s">
        <v>2262</v>
      </c>
      <c r="F687" s="101">
        <f t="shared" si="21"/>
        <v>9.2361111113859806E-2</v>
      </c>
    </row>
    <row r="688" spans="1:6" x14ac:dyDescent="0.25">
      <c r="A688" s="37" t="s">
        <v>164</v>
      </c>
      <c r="B688" s="94">
        <v>45700</v>
      </c>
      <c r="C688" s="37" t="s">
        <v>2251</v>
      </c>
      <c r="D688" s="94">
        <v>45700</v>
      </c>
      <c r="E688" s="37" t="s">
        <v>2251</v>
      </c>
      <c r="F688" s="101">
        <f t="shared" si="21"/>
        <v>0</v>
      </c>
    </row>
    <row r="689" spans="1:7" x14ac:dyDescent="0.25">
      <c r="A689" s="37" t="s">
        <v>170</v>
      </c>
      <c r="B689" s="94">
        <v>45700</v>
      </c>
      <c r="C689" s="37" t="s">
        <v>2251</v>
      </c>
      <c r="D689" s="94">
        <v>45700</v>
      </c>
      <c r="E689" s="37" t="s">
        <v>401</v>
      </c>
      <c r="F689" s="101">
        <f t="shared" si="21"/>
        <v>1.3194444443797693E-2</v>
      </c>
    </row>
    <row r="690" spans="1:7" x14ac:dyDescent="0.25">
      <c r="A690" s="37" t="s">
        <v>165</v>
      </c>
      <c r="B690" s="94">
        <v>45700</v>
      </c>
      <c r="C690" s="37" t="s">
        <v>2251</v>
      </c>
      <c r="D690" s="94">
        <v>45700</v>
      </c>
      <c r="E690" s="37" t="s">
        <v>2259</v>
      </c>
      <c r="F690" s="101">
        <f t="shared" si="21"/>
        <v>4.6527777776645962E-2</v>
      </c>
    </row>
    <row r="691" spans="1:7" x14ac:dyDescent="0.25">
      <c r="A691" s="37" t="s">
        <v>160</v>
      </c>
      <c r="B691" s="94">
        <v>45700</v>
      </c>
      <c r="C691" s="37" t="s">
        <v>908</v>
      </c>
      <c r="D691" s="94">
        <v>45700</v>
      </c>
      <c r="E691" s="37" t="s">
        <v>528</v>
      </c>
      <c r="F691" s="101">
        <f t="shared" si="21"/>
        <v>0.50069444444670808</v>
      </c>
    </row>
    <row r="692" spans="1:7" x14ac:dyDescent="0.25">
      <c r="A692" s="37" t="s">
        <v>172</v>
      </c>
      <c r="B692" s="94">
        <v>45700</v>
      </c>
      <c r="C692" s="37" t="s">
        <v>563</v>
      </c>
      <c r="D692" s="94">
        <v>45700</v>
      </c>
      <c r="E692" s="37" t="s">
        <v>2278</v>
      </c>
      <c r="F692" s="101">
        <f t="shared" si="21"/>
        <v>0.10069444444525288</v>
      </c>
    </row>
    <row r="693" spans="1:7" x14ac:dyDescent="0.25">
      <c r="A693" s="37" t="s">
        <v>252</v>
      </c>
      <c r="B693" s="94">
        <v>45700</v>
      </c>
      <c r="C693" s="37" t="s">
        <v>1402</v>
      </c>
      <c r="D693" s="94">
        <v>45700</v>
      </c>
      <c r="E693" s="37" t="s">
        <v>931</v>
      </c>
      <c r="F693" s="101">
        <f t="shared" si="21"/>
        <v>0.1055555555576575</v>
      </c>
    </row>
    <row r="694" spans="1:7" x14ac:dyDescent="0.25">
      <c r="A694" s="37" t="s">
        <v>272</v>
      </c>
      <c r="B694" s="94">
        <v>45700</v>
      </c>
      <c r="C694" s="37" t="s">
        <v>2267</v>
      </c>
      <c r="D694" s="94">
        <v>45700</v>
      </c>
      <c r="E694" s="37" t="s">
        <v>931</v>
      </c>
      <c r="F694" s="101">
        <f t="shared" si="21"/>
        <v>9.1666666667151731E-2</v>
      </c>
    </row>
    <row r="695" spans="1:7" x14ac:dyDescent="0.25">
      <c r="A695" s="37" t="s">
        <v>273</v>
      </c>
      <c r="B695" s="94">
        <v>45700</v>
      </c>
      <c r="C695" s="37" t="s">
        <v>924</v>
      </c>
      <c r="D695" s="94">
        <v>45700</v>
      </c>
      <c r="E695" s="37" t="s">
        <v>2393</v>
      </c>
      <c r="F695" s="101">
        <f t="shared" si="21"/>
        <v>0.61458333333575865</v>
      </c>
    </row>
    <row r="696" spans="1:7" x14ac:dyDescent="0.25">
      <c r="A696" s="37" t="s">
        <v>159</v>
      </c>
      <c r="B696" s="94">
        <v>45700</v>
      </c>
      <c r="C696" s="37" t="s">
        <v>1346</v>
      </c>
      <c r="D696" s="94">
        <v>45701</v>
      </c>
      <c r="E696" s="37" t="s">
        <v>227</v>
      </c>
      <c r="F696" s="101">
        <f t="shared" si="21"/>
        <v>0.5</v>
      </c>
    </row>
    <row r="697" spans="1:7" x14ac:dyDescent="0.25">
      <c r="A697" s="37" t="s">
        <v>144</v>
      </c>
      <c r="B697" s="94">
        <v>45700</v>
      </c>
      <c r="C697" s="37" t="s">
        <v>1835</v>
      </c>
      <c r="D697" s="94">
        <v>45700</v>
      </c>
      <c r="E697" s="37" t="s">
        <v>735</v>
      </c>
      <c r="F697" s="101">
        <f t="shared" si="21"/>
        <v>5.9027777781011537E-2</v>
      </c>
    </row>
    <row r="698" spans="1:7" x14ac:dyDescent="0.25">
      <c r="A698" s="37" t="s">
        <v>174</v>
      </c>
      <c r="B698" s="94">
        <v>45700</v>
      </c>
      <c r="C698" s="37" t="s">
        <v>1718</v>
      </c>
      <c r="D698" s="94">
        <v>45700</v>
      </c>
      <c r="E698" s="37" t="s">
        <v>434</v>
      </c>
      <c r="F698" s="101">
        <f t="shared" si="21"/>
        <v>4.4444444443797693E-2</v>
      </c>
    </row>
    <row r="699" spans="1:7" x14ac:dyDescent="0.25">
      <c r="A699" s="37" t="s">
        <v>163</v>
      </c>
      <c r="B699" s="94">
        <v>45700</v>
      </c>
      <c r="C699" s="37" t="s">
        <v>1289</v>
      </c>
      <c r="D699" s="94">
        <v>45703</v>
      </c>
      <c r="E699" s="37" t="s">
        <v>790</v>
      </c>
      <c r="F699" s="101">
        <f t="shared" si="21"/>
        <v>3.3256944444437977</v>
      </c>
      <c r="G699" s="37" t="s">
        <v>9</v>
      </c>
    </row>
    <row r="700" spans="1:7" x14ac:dyDescent="0.25">
      <c r="A700" s="37" t="s">
        <v>173</v>
      </c>
      <c r="B700" s="94">
        <v>45700</v>
      </c>
      <c r="C700" s="37" t="s">
        <v>1289</v>
      </c>
      <c r="D700" s="94">
        <v>45700</v>
      </c>
      <c r="E700" s="37" t="s">
        <v>1289</v>
      </c>
      <c r="F700" s="101">
        <f t="shared" si="21"/>
        <v>0</v>
      </c>
      <c r="G700" s="37" t="s">
        <v>9</v>
      </c>
    </row>
    <row r="701" spans="1:7" x14ac:dyDescent="0.25">
      <c r="A701" s="37" t="s">
        <v>173</v>
      </c>
      <c r="B701" s="94">
        <v>45701</v>
      </c>
      <c r="C701" s="37" t="s">
        <v>854</v>
      </c>
      <c r="D701" s="94">
        <v>45701</v>
      </c>
      <c r="E701" s="37" t="s">
        <v>867</v>
      </c>
      <c r="F701" s="101">
        <f t="shared" si="21"/>
        <v>5.1388888889050577E-2</v>
      </c>
    </row>
    <row r="702" spans="1:7" x14ac:dyDescent="0.25">
      <c r="A702" s="37" t="s">
        <v>252</v>
      </c>
      <c r="B702" s="94">
        <v>45700</v>
      </c>
      <c r="C702" s="37" t="s">
        <v>152</v>
      </c>
      <c r="D702" s="94">
        <v>45700</v>
      </c>
      <c r="E702" s="37" t="s">
        <v>1203</v>
      </c>
      <c r="F702" s="101">
        <f t="shared" si="21"/>
        <v>0.51805555555620231</v>
      </c>
    </row>
    <row r="703" spans="1:7" x14ac:dyDescent="0.25">
      <c r="A703" s="37" t="s">
        <v>272</v>
      </c>
      <c r="B703" s="94">
        <v>45700</v>
      </c>
      <c r="C703" s="37" t="s">
        <v>152</v>
      </c>
      <c r="D703" s="94">
        <v>45700</v>
      </c>
      <c r="E703" s="37" t="s">
        <v>2397</v>
      </c>
      <c r="F703" s="101">
        <f t="shared" si="21"/>
        <v>0.53958333333139308</v>
      </c>
    </row>
    <row r="704" spans="1:7" x14ac:dyDescent="0.25">
      <c r="A704" s="37" t="s">
        <v>144</v>
      </c>
      <c r="B704" s="94">
        <v>45700</v>
      </c>
      <c r="C704" s="37" t="s">
        <v>943</v>
      </c>
      <c r="D704" s="94">
        <v>45700</v>
      </c>
      <c r="E704" s="37" t="s">
        <v>2387</v>
      </c>
      <c r="F704" s="101">
        <f t="shared" si="21"/>
        <v>0.50486111111240461</v>
      </c>
    </row>
    <row r="705" spans="1:6" x14ac:dyDescent="0.25">
      <c r="A705" s="37" t="s">
        <v>161</v>
      </c>
      <c r="B705" s="94">
        <v>45700</v>
      </c>
      <c r="C705" s="37" t="s">
        <v>2288</v>
      </c>
      <c r="D705" s="94">
        <v>45700</v>
      </c>
      <c r="E705" s="37" t="s">
        <v>2325</v>
      </c>
      <c r="F705" s="101">
        <f t="shared" si="21"/>
        <v>0.15694444443943212</v>
      </c>
    </row>
    <row r="706" spans="1:6" x14ac:dyDescent="0.25">
      <c r="A706" s="37" t="s">
        <v>178</v>
      </c>
      <c r="B706" s="94">
        <v>45700</v>
      </c>
      <c r="C706" s="37" t="s">
        <v>2288</v>
      </c>
      <c r="D706" s="94">
        <v>45700</v>
      </c>
      <c r="E706" s="37" t="s">
        <v>2322</v>
      </c>
      <c r="F706" s="101">
        <f t="shared" si="21"/>
        <v>0.15416666666715173</v>
      </c>
    </row>
    <row r="707" spans="1:6" x14ac:dyDescent="0.25">
      <c r="A707" s="37" t="s">
        <v>162</v>
      </c>
      <c r="B707" s="94">
        <v>45700</v>
      </c>
      <c r="C707" s="37" t="s">
        <v>1097</v>
      </c>
      <c r="D707" s="94">
        <v>45700</v>
      </c>
      <c r="E707" s="37" t="s">
        <v>2325</v>
      </c>
      <c r="F707" s="101">
        <f t="shared" si="21"/>
        <v>0.15069444444088731</v>
      </c>
    </row>
    <row r="708" spans="1:6" x14ac:dyDescent="0.25">
      <c r="A708" s="37" t="s">
        <v>260</v>
      </c>
      <c r="B708" s="94">
        <v>45700</v>
      </c>
      <c r="C708" s="37" t="s">
        <v>1097</v>
      </c>
      <c r="D708" s="94">
        <v>45702</v>
      </c>
      <c r="E708" s="37" t="s">
        <v>2576</v>
      </c>
      <c r="F708" s="101">
        <f t="shared" si="21"/>
        <v>1.7048611111094942</v>
      </c>
    </row>
    <row r="709" spans="1:6" x14ac:dyDescent="0.25">
      <c r="A709" s="37" t="s">
        <v>268</v>
      </c>
      <c r="B709" s="94">
        <v>45700</v>
      </c>
      <c r="C709" s="37" t="s">
        <v>595</v>
      </c>
      <c r="D709" s="94">
        <v>45700</v>
      </c>
      <c r="E709" s="37" t="s">
        <v>2303</v>
      </c>
      <c r="F709" s="101">
        <f t="shared" si="21"/>
        <v>2.5000000001455192E-2</v>
      </c>
    </row>
    <row r="710" spans="1:6" x14ac:dyDescent="0.25">
      <c r="A710" s="37" t="s">
        <v>263</v>
      </c>
      <c r="B710" s="94">
        <v>45700</v>
      </c>
      <c r="C710" s="37" t="s">
        <v>752</v>
      </c>
      <c r="D710" s="94">
        <v>45700</v>
      </c>
      <c r="E710" s="37" t="s">
        <v>971</v>
      </c>
      <c r="F710" s="101">
        <f t="shared" si="21"/>
        <v>5.8333333334303461E-2</v>
      </c>
    </row>
    <row r="711" spans="1:6" x14ac:dyDescent="0.25">
      <c r="A711" s="37" t="s">
        <v>264</v>
      </c>
      <c r="B711" s="94">
        <v>45700</v>
      </c>
      <c r="C711" s="37" t="s">
        <v>1414</v>
      </c>
      <c r="D711" s="94">
        <v>45700</v>
      </c>
      <c r="E711" s="37" t="s">
        <v>752</v>
      </c>
      <c r="F711" s="101">
        <f t="shared" si="21"/>
        <v>8.1249999995634425E-2</v>
      </c>
    </row>
    <row r="712" spans="1:6" x14ac:dyDescent="0.25">
      <c r="A712" s="37" t="s">
        <v>164</v>
      </c>
      <c r="B712" s="94">
        <v>45700</v>
      </c>
      <c r="C712" s="37" t="s">
        <v>1731</v>
      </c>
      <c r="D712" s="94">
        <v>45700</v>
      </c>
      <c r="E712" s="37" t="s">
        <v>1127</v>
      </c>
      <c r="F712" s="101">
        <f t="shared" si="21"/>
        <v>0.13750000000436557</v>
      </c>
    </row>
    <row r="713" spans="1:6" x14ac:dyDescent="0.25">
      <c r="A713" s="37" t="s">
        <v>168</v>
      </c>
      <c r="B713" s="94">
        <v>45700</v>
      </c>
      <c r="C713" s="37" t="s">
        <v>1744</v>
      </c>
      <c r="D713" s="94">
        <v>45700</v>
      </c>
      <c r="E713" s="37" t="s">
        <v>1134</v>
      </c>
      <c r="F713" s="101">
        <f t="shared" si="21"/>
        <v>0.19236111110512866</v>
      </c>
    </row>
    <row r="714" spans="1:6" x14ac:dyDescent="0.25">
      <c r="A714" s="37" t="s">
        <v>165</v>
      </c>
      <c r="B714" s="94">
        <v>45700</v>
      </c>
      <c r="C714" s="37" t="s">
        <v>963</v>
      </c>
      <c r="D714" s="94">
        <v>45700</v>
      </c>
      <c r="E714" s="37" t="s">
        <v>1127</v>
      </c>
      <c r="F714" s="101">
        <f t="shared" si="21"/>
        <v>0.12986111111240461</v>
      </c>
    </row>
    <row r="715" spans="1:6" x14ac:dyDescent="0.25">
      <c r="A715" s="37" t="s">
        <v>170</v>
      </c>
      <c r="B715" s="94">
        <v>45700</v>
      </c>
      <c r="C715" s="37" t="s">
        <v>1275</v>
      </c>
      <c r="D715" s="94">
        <v>45700</v>
      </c>
      <c r="E715" s="37" t="s">
        <v>2341</v>
      </c>
      <c r="F715" s="101">
        <f t="shared" si="21"/>
        <v>0.21805555555329192</v>
      </c>
    </row>
    <row r="716" spans="1:6" x14ac:dyDescent="0.25">
      <c r="A716" s="37" t="s">
        <v>172</v>
      </c>
      <c r="B716" s="94">
        <v>45700</v>
      </c>
      <c r="C716" s="37" t="s">
        <v>222</v>
      </c>
      <c r="D716" s="94">
        <v>45700</v>
      </c>
      <c r="E716" s="37" t="s">
        <v>1473</v>
      </c>
      <c r="F716" s="101">
        <f t="shared" si="21"/>
        <v>0.29652777777664596</v>
      </c>
    </row>
    <row r="717" spans="1:6" x14ac:dyDescent="0.25">
      <c r="A717" s="37" t="s">
        <v>174</v>
      </c>
      <c r="B717" s="94">
        <v>45700</v>
      </c>
      <c r="C717" s="37" t="s">
        <v>2001</v>
      </c>
      <c r="D717" s="94">
        <v>45700</v>
      </c>
      <c r="E717" s="37" t="s">
        <v>2081</v>
      </c>
      <c r="F717" s="101">
        <f t="shared" si="21"/>
        <v>0.2930555555576575</v>
      </c>
    </row>
    <row r="718" spans="1:6" x14ac:dyDescent="0.25">
      <c r="A718" s="37" t="s">
        <v>177</v>
      </c>
      <c r="B718" s="94">
        <v>45700</v>
      </c>
      <c r="C718" s="37" t="s">
        <v>2287</v>
      </c>
      <c r="D718" s="94">
        <v>45700</v>
      </c>
      <c r="E718" s="37" t="s">
        <v>2322</v>
      </c>
      <c r="F718" s="101">
        <f t="shared" si="21"/>
        <v>0.16249999999854481</v>
      </c>
    </row>
    <row r="719" spans="1:6" x14ac:dyDescent="0.25">
      <c r="A719" s="37" t="s">
        <v>202</v>
      </c>
      <c r="B719" s="94">
        <v>45700</v>
      </c>
      <c r="C719" s="37" t="s">
        <v>2308</v>
      </c>
      <c r="D719" s="94">
        <v>45700</v>
      </c>
      <c r="E719" s="37" t="s">
        <v>2319</v>
      </c>
      <c r="F719" s="101">
        <f t="shared" si="21"/>
        <v>9.1666666667151731E-2</v>
      </c>
    </row>
    <row r="720" spans="1:6" x14ac:dyDescent="0.25">
      <c r="A720" s="37" t="s">
        <v>302</v>
      </c>
      <c r="B720" s="94">
        <v>45700</v>
      </c>
      <c r="C720" s="37" t="s">
        <v>286</v>
      </c>
      <c r="D720" s="94">
        <v>45700</v>
      </c>
      <c r="E720" s="37" t="s">
        <v>2319</v>
      </c>
      <c r="F720" s="101">
        <f t="shared" si="21"/>
        <v>8.4027777782466728E-2</v>
      </c>
    </row>
    <row r="721" spans="1:8" x14ac:dyDescent="0.25">
      <c r="A721" s="37" t="s">
        <v>261</v>
      </c>
      <c r="B721" s="94">
        <v>45700</v>
      </c>
      <c r="C721" s="37" t="s">
        <v>2312</v>
      </c>
      <c r="D721" s="94">
        <v>45700</v>
      </c>
      <c r="E721" s="37" t="s">
        <v>1203</v>
      </c>
      <c r="F721" s="101">
        <f t="shared" si="21"/>
        <v>0.42916666666860692</v>
      </c>
    </row>
    <row r="722" spans="1:8" x14ac:dyDescent="0.25">
      <c r="A722" s="37" t="s">
        <v>264</v>
      </c>
      <c r="B722" s="94">
        <v>45700</v>
      </c>
      <c r="C722" s="37" t="s">
        <v>2312</v>
      </c>
      <c r="D722" s="94">
        <v>45700</v>
      </c>
      <c r="E722" s="37" t="s">
        <v>541</v>
      </c>
      <c r="F722" s="101">
        <f t="shared" si="21"/>
        <v>0.54583333333721384</v>
      </c>
    </row>
    <row r="723" spans="1:8" x14ac:dyDescent="0.25">
      <c r="A723" s="37" t="s">
        <v>186</v>
      </c>
      <c r="B723" s="94">
        <v>45699</v>
      </c>
      <c r="C723" s="37" t="s">
        <v>2228</v>
      </c>
      <c r="D723" s="94">
        <v>45700</v>
      </c>
      <c r="E723" s="37" t="s">
        <v>167</v>
      </c>
      <c r="F723" s="101">
        <f t="shared" si="21"/>
        <v>0.64027777777664596</v>
      </c>
      <c r="G723" s="37" t="s">
        <v>7</v>
      </c>
    </row>
    <row r="724" spans="1:8" ht="28.5" x14ac:dyDescent="0.25">
      <c r="A724" s="37" t="s">
        <v>186</v>
      </c>
      <c r="B724" s="94">
        <v>45700</v>
      </c>
      <c r="C724" s="37" t="s">
        <v>167</v>
      </c>
      <c r="D724" s="94">
        <v>45700</v>
      </c>
      <c r="E724" s="37" t="s">
        <v>220</v>
      </c>
      <c r="F724" s="101">
        <f t="shared" si="21"/>
        <v>0.45416666667006211</v>
      </c>
      <c r="H724" s="95" t="s">
        <v>2318</v>
      </c>
    </row>
    <row r="725" spans="1:8" x14ac:dyDescent="0.25">
      <c r="A725" s="37" t="s">
        <v>155</v>
      </c>
      <c r="B725" s="94">
        <v>45700</v>
      </c>
      <c r="C725" s="37" t="s">
        <v>156</v>
      </c>
      <c r="D725" s="94">
        <v>45700</v>
      </c>
      <c r="E725" s="37" t="s">
        <v>682</v>
      </c>
      <c r="F725" s="101">
        <f t="shared" si="21"/>
        <v>0.50069444444670808</v>
      </c>
    </row>
    <row r="726" spans="1:8" x14ac:dyDescent="0.25">
      <c r="A726" s="37" t="s">
        <v>177</v>
      </c>
      <c r="B726" s="94">
        <v>45700</v>
      </c>
      <c r="C726" s="37" t="s">
        <v>782</v>
      </c>
      <c r="D726" s="94">
        <v>45700</v>
      </c>
      <c r="E726" s="37" t="s">
        <v>2358</v>
      </c>
      <c r="F726" s="101">
        <f t="shared" si="21"/>
        <v>0.163888888884685</v>
      </c>
    </row>
    <row r="727" spans="1:8" x14ac:dyDescent="0.25">
      <c r="A727" s="37" t="s">
        <v>178</v>
      </c>
      <c r="B727" s="94">
        <v>45700</v>
      </c>
      <c r="C727" s="37" t="s">
        <v>2332</v>
      </c>
      <c r="D727" s="94">
        <v>45700</v>
      </c>
      <c r="E727" s="37" t="s">
        <v>2361</v>
      </c>
      <c r="F727" s="101">
        <f t="shared" si="21"/>
        <v>0.14722222222189885</v>
      </c>
    </row>
    <row r="728" spans="1:8" x14ac:dyDescent="0.25">
      <c r="A728" s="37" t="s">
        <v>161</v>
      </c>
      <c r="B728" s="94">
        <v>45700</v>
      </c>
      <c r="C728" s="37" t="s">
        <v>793</v>
      </c>
      <c r="D728" s="94">
        <v>45700</v>
      </c>
      <c r="E728" s="37" t="s">
        <v>1889</v>
      </c>
      <c r="F728" s="101">
        <f t="shared" si="21"/>
        <v>0.14236111111677019</v>
      </c>
    </row>
    <row r="729" spans="1:8" x14ac:dyDescent="0.25">
      <c r="A729" s="37" t="s">
        <v>162</v>
      </c>
      <c r="B729" s="94">
        <v>45700</v>
      </c>
      <c r="C729" s="37" t="s">
        <v>791</v>
      </c>
      <c r="D729" s="94">
        <v>45700</v>
      </c>
      <c r="E729" s="37" t="s">
        <v>2373</v>
      </c>
      <c r="F729" s="101">
        <f t="shared" si="21"/>
        <v>0.19999999999708962</v>
      </c>
    </row>
    <row r="730" spans="1:8" x14ac:dyDescent="0.25">
      <c r="A730" s="37" t="s">
        <v>164</v>
      </c>
      <c r="B730" s="94">
        <v>45700</v>
      </c>
      <c r="C730" s="37" t="s">
        <v>2339</v>
      </c>
      <c r="D730" s="94">
        <v>45700</v>
      </c>
      <c r="E730" s="37" t="s">
        <v>1486</v>
      </c>
      <c r="F730" s="101">
        <f t="shared" si="21"/>
        <v>0.20069444444379769</v>
      </c>
    </row>
    <row r="731" spans="1:8" x14ac:dyDescent="0.25">
      <c r="A731" s="37" t="s">
        <v>153</v>
      </c>
      <c r="B731" s="94">
        <v>45700</v>
      </c>
      <c r="C731" s="37" t="s">
        <v>2343</v>
      </c>
      <c r="D731" s="94">
        <v>45700</v>
      </c>
      <c r="E731" s="37" t="s">
        <v>2345</v>
      </c>
      <c r="F731" s="101">
        <f t="shared" si="21"/>
        <v>6.0416666667151731E-2</v>
      </c>
    </row>
    <row r="732" spans="1:8" x14ac:dyDescent="0.25">
      <c r="A732" s="37" t="s">
        <v>153</v>
      </c>
      <c r="B732" s="94">
        <v>45700</v>
      </c>
      <c r="C732" s="37" t="s">
        <v>2200</v>
      </c>
      <c r="D732" s="94">
        <v>45701</v>
      </c>
      <c r="E732" s="37" t="s">
        <v>2530</v>
      </c>
      <c r="F732" s="101">
        <f t="shared" si="21"/>
        <v>1.1888888888861402</v>
      </c>
    </row>
    <row r="733" spans="1:8" x14ac:dyDescent="0.25">
      <c r="A733" s="37" t="s">
        <v>170</v>
      </c>
      <c r="B733" s="94">
        <v>45700</v>
      </c>
      <c r="C733" s="37" t="s">
        <v>2343</v>
      </c>
      <c r="D733" s="94">
        <v>45700</v>
      </c>
      <c r="E733" s="37" t="s">
        <v>2377</v>
      </c>
      <c r="F733" s="101">
        <f t="shared" si="21"/>
        <v>0.17222222221607808</v>
      </c>
    </row>
    <row r="734" spans="1:8" x14ac:dyDescent="0.25">
      <c r="A734" s="37" t="s">
        <v>165</v>
      </c>
      <c r="B734" s="94">
        <v>45700</v>
      </c>
      <c r="C734" s="37" t="s">
        <v>2347</v>
      </c>
      <c r="D734" s="94">
        <v>45700</v>
      </c>
      <c r="E734" s="37" t="s">
        <v>1646</v>
      </c>
      <c r="F734" s="101">
        <f t="shared" si="21"/>
        <v>0.1680555555576575</v>
      </c>
    </row>
    <row r="735" spans="1:8" x14ac:dyDescent="0.25">
      <c r="A735" s="37" t="s">
        <v>168</v>
      </c>
      <c r="B735" s="94">
        <v>45700</v>
      </c>
      <c r="C735" s="37" t="s">
        <v>2347</v>
      </c>
      <c r="D735" s="94">
        <v>45700</v>
      </c>
      <c r="E735" s="37" t="s">
        <v>2379</v>
      </c>
      <c r="F735" s="101">
        <f t="shared" si="21"/>
        <v>0.17777777778246673</v>
      </c>
    </row>
    <row r="736" spans="1:8" x14ac:dyDescent="0.25">
      <c r="A736" s="37" t="s">
        <v>202</v>
      </c>
      <c r="B736" s="94">
        <v>45700</v>
      </c>
      <c r="C736" s="37" t="s">
        <v>1323</v>
      </c>
      <c r="D736" s="94">
        <v>45700</v>
      </c>
      <c r="E736" s="37" t="s">
        <v>2358</v>
      </c>
      <c r="F736" s="101">
        <f t="shared" si="21"/>
        <v>8.5416666668606922E-2</v>
      </c>
    </row>
    <row r="737" spans="1:6" x14ac:dyDescent="0.25">
      <c r="A737" s="37" t="s">
        <v>302</v>
      </c>
      <c r="B737" s="94">
        <v>45700</v>
      </c>
      <c r="C737" s="37" t="s">
        <v>1323</v>
      </c>
      <c r="D737" s="94">
        <v>45700</v>
      </c>
      <c r="E737" s="37" t="s">
        <v>2371</v>
      </c>
      <c r="F737" s="101">
        <f t="shared" si="21"/>
        <v>0.15555555556056788</v>
      </c>
    </row>
    <row r="738" spans="1:6" x14ac:dyDescent="0.25">
      <c r="A738" s="37" t="s">
        <v>175</v>
      </c>
      <c r="B738" s="94">
        <v>45700</v>
      </c>
      <c r="C738" s="37" t="s">
        <v>2352</v>
      </c>
      <c r="D738" s="94">
        <v>45701</v>
      </c>
      <c r="E738" s="37" t="s">
        <v>2461</v>
      </c>
      <c r="F738" s="101">
        <f t="shared" si="21"/>
        <v>0.69930555555038154</v>
      </c>
    </row>
    <row r="739" spans="1:6" x14ac:dyDescent="0.25">
      <c r="A739" s="37" t="s">
        <v>166</v>
      </c>
      <c r="B739" s="94">
        <v>45700</v>
      </c>
      <c r="C739" s="37" t="s">
        <v>526</v>
      </c>
      <c r="D739" s="94">
        <v>45701</v>
      </c>
      <c r="E739" s="37" t="s">
        <v>2426</v>
      </c>
      <c r="F739" s="101">
        <f t="shared" si="21"/>
        <v>0.36250000000291038</v>
      </c>
    </row>
    <row r="740" spans="1:6" x14ac:dyDescent="0.25">
      <c r="A740" s="37" t="s">
        <v>172</v>
      </c>
      <c r="B740" s="94">
        <v>45700</v>
      </c>
      <c r="C740" s="37" t="s">
        <v>832</v>
      </c>
      <c r="D740" s="94">
        <v>45700</v>
      </c>
      <c r="E740" s="37" t="s">
        <v>1188</v>
      </c>
      <c r="F740" s="101">
        <f t="shared" si="21"/>
        <v>4.7222222223354038E-2</v>
      </c>
    </row>
    <row r="741" spans="1:6" x14ac:dyDescent="0.25">
      <c r="A741" s="37" t="s">
        <v>174</v>
      </c>
      <c r="B741" s="94">
        <v>45700</v>
      </c>
      <c r="C741" s="37" t="s">
        <v>2365</v>
      </c>
      <c r="D741" s="94">
        <v>45700</v>
      </c>
      <c r="E741" s="37" t="s">
        <v>2383</v>
      </c>
      <c r="F741" s="101">
        <f t="shared" si="21"/>
        <v>4.8611111109494232E-2</v>
      </c>
    </row>
    <row r="742" spans="1:6" x14ac:dyDescent="0.25">
      <c r="A742" s="37" t="s">
        <v>202</v>
      </c>
      <c r="B742" s="94">
        <v>45700</v>
      </c>
      <c r="C742" s="37" t="s">
        <v>182</v>
      </c>
      <c r="D742" s="94">
        <v>45700</v>
      </c>
      <c r="E742" s="37" t="s">
        <v>1492</v>
      </c>
      <c r="F742" s="101">
        <f t="shared" si="21"/>
        <v>4.7916666670062114E-2</v>
      </c>
    </row>
    <row r="743" spans="1:6" x14ac:dyDescent="0.25">
      <c r="A743" s="37" t="s">
        <v>169</v>
      </c>
      <c r="B743" s="94">
        <v>45701</v>
      </c>
      <c r="C743" s="37" t="s">
        <v>1431</v>
      </c>
      <c r="D743" s="94">
        <v>45701</v>
      </c>
      <c r="E743" s="37" t="s">
        <v>1344</v>
      </c>
      <c r="F743" s="101">
        <f t="shared" si="21"/>
        <v>0.5</v>
      </c>
    </row>
    <row r="744" spans="1:6" x14ac:dyDescent="0.25">
      <c r="A744" s="37" t="s">
        <v>177</v>
      </c>
      <c r="B744" s="94">
        <v>45700</v>
      </c>
      <c r="C744" s="37" t="s">
        <v>1638</v>
      </c>
      <c r="D744" s="94">
        <v>45700</v>
      </c>
      <c r="E744" s="37" t="s">
        <v>1802</v>
      </c>
      <c r="F744" s="101">
        <f t="shared" si="21"/>
        <v>4.6527777776645962E-2</v>
      </c>
    </row>
    <row r="745" spans="1:6" x14ac:dyDescent="0.25">
      <c r="A745" s="37" t="s">
        <v>154</v>
      </c>
      <c r="B745" s="94">
        <v>45700</v>
      </c>
      <c r="C745" s="37" t="s">
        <v>1788</v>
      </c>
      <c r="D745" s="94">
        <v>45702</v>
      </c>
      <c r="E745" s="37" t="s">
        <v>1685</v>
      </c>
      <c r="F745" s="101">
        <f t="shared" si="21"/>
        <v>2.1909722222262644</v>
      </c>
    </row>
    <row r="746" spans="1:6" x14ac:dyDescent="0.25">
      <c r="A746" s="37" t="s">
        <v>268</v>
      </c>
      <c r="B746" s="94">
        <v>45700</v>
      </c>
      <c r="C746" s="37" t="s">
        <v>2390</v>
      </c>
      <c r="D746" s="94">
        <v>45700</v>
      </c>
      <c r="E746" s="37" t="s">
        <v>2395</v>
      </c>
      <c r="F746" s="101">
        <f t="shared" si="21"/>
        <v>1.4583333329937886E-2</v>
      </c>
    </row>
    <row r="747" spans="1:6" x14ac:dyDescent="0.25">
      <c r="A747" s="37" t="s">
        <v>168</v>
      </c>
      <c r="B747" s="94">
        <v>45700</v>
      </c>
      <c r="C747" s="37" t="s">
        <v>1028</v>
      </c>
      <c r="D747" s="94">
        <v>45700</v>
      </c>
      <c r="E747" s="37" t="s">
        <v>1673</v>
      </c>
      <c r="F747" s="101">
        <f t="shared" ref="F747:F766" si="22">(D747 + TIME(LEFT(E747, 2), MID(E747, 3, 2), 0)) - (B747 + TIME(LEFT(C747, 2), MID(C747, 3, 2), 0))</f>
        <v>2.4305555554747116E-2</v>
      </c>
    </row>
    <row r="748" spans="1:6" x14ac:dyDescent="0.25">
      <c r="A748" s="37" t="s">
        <v>162</v>
      </c>
      <c r="B748" s="94">
        <v>45700</v>
      </c>
      <c r="C748" s="37" t="s">
        <v>1028</v>
      </c>
      <c r="D748" s="94">
        <v>45700</v>
      </c>
      <c r="E748" s="37" t="s">
        <v>2406</v>
      </c>
      <c r="F748" s="101">
        <f t="shared" si="22"/>
        <v>3.6805555551836733E-2</v>
      </c>
    </row>
    <row r="749" spans="1:6" x14ac:dyDescent="0.25">
      <c r="A749" s="37" t="s">
        <v>178</v>
      </c>
      <c r="B749" s="94">
        <v>45700</v>
      </c>
      <c r="C749" s="37" t="s">
        <v>1028</v>
      </c>
      <c r="D749" s="94">
        <v>45700</v>
      </c>
      <c r="E749" s="37" t="s">
        <v>2403</v>
      </c>
      <c r="F749" s="101">
        <f t="shared" si="22"/>
        <v>1.4583333329937886E-2</v>
      </c>
    </row>
    <row r="750" spans="1:6" x14ac:dyDescent="0.25">
      <c r="A750" s="37" t="s">
        <v>261</v>
      </c>
      <c r="B750" s="94">
        <v>45700</v>
      </c>
      <c r="C750" s="37" t="s">
        <v>870</v>
      </c>
      <c r="D750" s="94">
        <v>45704</v>
      </c>
      <c r="E750" s="37" t="s">
        <v>908</v>
      </c>
      <c r="F750" s="101">
        <f t="shared" si="22"/>
        <v>3.2597222222175333</v>
      </c>
    </row>
    <row r="751" spans="1:6" x14ac:dyDescent="0.25">
      <c r="A751" s="37" t="s">
        <v>265</v>
      </c>
      <c r="B751" s="94">
        <v>45698</v>
      </c>
      <c r="C751" s="37" t="s">
        <v>2036</v>
      </c>
      <c r="D751" s="94">
        <v>45700</v>
      </c>
      <c r="E751" s="37" t="s">
        <v>2406</v>
      </c>
      <c r="F751" s="101">
        <f t="shared" si="22"/>
        <v>2.4076388888861402</v>
      </c>
    </row>
    <row r="752" spans="1:6" x14ac:dyDescent="0.25">
      <c r="A752" s="37" t="s">
        <v>160</v>
      </c>
      <c r="B752" s="94">
        <v>45700</v>
      </c>
      <c r="C752" s="37" t="s">
        <v>680</v>
      </c>
      <c r="D752" s="94">
        <v>45701</v>
      </c>
      <c r="E752" s="37" t="s">
        <v>1601</v>
      </c>
      <c r="F752" s="101">
        <f t="shared" si="22"/>
        <v>0.50138888889341615</v>
      </c>
    </row>
    <row r="753" spans="1:7" x14ac:dyDescent="0.25">
      <c r="A753" s="37" t="s">
        <v>168</v>
      </c>
      <c r="B753" s="94">
        <v>45701</v>
      </c>
      <c r="C753" s="37" t="s">
        <v>700</v>
      </c>
      <c r="D753" s="94">
        <v>45701</v>
      </c>
      <c r="E753" s="37" t="s">
        <v>2123</v>
      </c>
      <c r="F753" s="101">
        <f t="shared" si="22"/>
        <v>3.125E-2</v>
      </c>
    </row>
    <row r="754" spans="1:7" x14ac:dyDescent="0.25">
      <c r="A754" s="37" t="s">
        <v>165</v>
      </c>
      <c r="B754" s="94">
        <v>45701</v>
      </c>
      <c r="C754" s="37" t="s">
        <v>399</v>
      </c>
      <c r="D754" s="94">
        <v>45701</v>
      </c>
      <c r="E754" s="37" t="s">
        <v>2422</v>
      </c>
      <c r="F754" s="101">
        <f t="shared" si="22"/>
        <v>2.6388888887595385E-2</v>
      </c>
    </row>
    <row r="755" spans="1:7" x14ac:dyDescent="0.25">
      <c r="A755" s="37" t="s">
        <v>252</v>
      </c>
      <c r="B755" s="94">
        <v>45701</v>
      </c>
      <c r="C755" s="37" t="s">
        <v>2416</v>
      </c>
      <c r="D755" s="94">
        <v>45701</v>
      </c>
      <c r="E755" s="37" t="s">
        <v>1047</v>
      </c>
      <c r="F755" s="101">
        <f t="shared" si="22"/>
        <v>1.805555554892635E-2</v>
      </c>
    </row>
    <row r="756" spans="1:7" x14ac:dyDescent="0.25">
      <c r="A756" s="37" t="s">
        <v>164</v>
      </c>
      <c r="B756" s="94">
        <v>45701</v>
      </c>
      <c r="C756" s="37" t="s">
        <v>700</v>
      </c>
      <c r="D756" s="94">
        <v>45701</v>
      </c>
      <c r="E756" s="37" t="s">
        <v>2419</v>
      </c>
      <c r="F756" s="101">
        <f t="shared" si="22"/>
        <v>2.7777777773735579E-2</v>
      </c>
    </row>
    <row r="757" spans="1:7" x14ac:dyDescent="0.25">
      <c r="A757" s="37" t="s">
        <v>272</v>
      </c>
      <c r="B757" s="94">
        <v>45701</v>
      </c>
      <c r="C757" s="37" t="s">
        <v>2420</v>
      </c>
      <c r="D757" s="94">
        <v>45701</v>
      </c>
      <c r="E757" s="37" t="s">
        <v>2424</v>
      </c>
      <c r="F757" s="101">
        <f t="shared" si="22"/>
        <v>4.3749999997089617E-2</v>
      </c>
    </row>
    <row r="758" spans="1:7" x14ac:dyDescent="0.25">
      <c r="A758" s="37" t="s">
        <v>155</v>
      </c>
      <c r="B758" s="94">
        <v>45701</v>
      </c>
      <c r="C758" s="37" t="s">
        <v>2428</v>
      </c>
      <c r="D758" s="94">
        <v>45701</v>
      </c>
      <c r="E758" s="37" t="s">
        <v>528</v>
      </c>
      <c r="F758" s="101">
        <f t="shared" si="22"/>
        <v>0.53819444444525288</v>
      </c>
    </row>
    <row r="759" spans="1:7" x14ac:dyDescent="0.25">
      <c r="A759" s="37" t="s">
        <v>170</v>
      </c>
      <c r="B759" s="94">
        <v>45701</v>
      </c>
      <c r="C759" s="37" t="s">
        <v>2430</v>
      </c>
      <c r="D759" s="94">
        <v>45701</v>
      </c>
      <c r="E759" s="37" t="s">
        <v>2434</v>
      </c>
      <c r="F759" s="101">
        <f t="shared" si="22"/>
        <v>1.3194444443797693E-2</v>
      </c>
    </row>
    <row r="760" spans="1:7" x14ac:dyDescent="0.25">
      <c r="A760" s="37" t="s">
        <v>252</v>
      </c>
      <c r="B760" s="94">
        <v>45701</v>
      </c>
      <c r="C760" s="37" t="s">
        <v>2432</v>
      </c>
      <c r="D760" s="94">
        <v>45701</v>
      </c>
      <c r="E760" s="37" t="s">
        <v>215</v>
      </c>
      <c r="F760" s="101">
        <f t="shared" si="22"/>
        <v>0.12638888888614019</v>
      </c>
    </row>
    <row r="761" spans="1:7" x14ac:dyDescent="0.25">
      <c r="A761" s="37" t="s">
        <v>272</v>
      </c>
      <c r="B761" s="94">
        <v>45701</v>
      </c>
      <c r="C761" s="37" t="s">
        <v>912</v>
      </c>
      <c r="D761" s="94">
        <v>45701</v>
      </c>
      <c r="E761" s="37" t="s">
        <v>280</v>
      </c>
      <c r="F761" s="101">
        <f t="shared" si="22"/>
        <v>0.73194444445107365</v>
      </c>
    </row>
    <row r="762" spans="1:7" x14ac:dyDescent="0.25">
      <c r="A762" s="37" t="s">
        <v>273</v>
      </c>
      <c r="B762" s="94">
        <v>45701</v>
      </c>
      <c r="C762" s="37" t="s">
        <v>2128</v>
      </c>
      <c r="D762" s="94">
        <v>45701</v>
      </c>
      <c r="E762" s="37" t="s">
        <v>2528</v>
      </c>
      <c r="F762" s="101">
        <f t="shared" si="22"/>
        <v>0.60416666667151731</v>
      </c>
    </row>
    <row r="763" spans="1:7" x14ac:dyDescent="0.25">
      <c r="A763" s="37" t="s">
        <v>172</v>
      </c>
      <c r="B763" s="94">
        <v>45701</v>
      </c>
      <c r="C763" s="37" t="s">
        <v>1431</v>
      </c>
      <c r="D763" s="94">
        <v>45701</v>
      </c>
      <c r="E763" s="37" t="s">
        <v>2444</v>
      </c>
      <c r="F763" s="101">
        <f t="shared" si="22"/>
        <v>3.4722222218988463E-2</v>
      </c>
    </row>
    <row r="764" spans="1:7" x14ac:dyDescent="0.25">
      <c r="A764" s="37" t="s">
        <v>177</v>
      </c>
      <c r="B764" s="94">
        <v>45701</v>
      </c>
      <c r="C764" s="37" t="s">
        <v>1065</v>
      </c>
      <c r="D764" s="94">
        <v>45701</v>
      </c>
      <c r="E764" s="37" t="s">
        <v>741</v>
      </c>
      <c r="F764" s="101">
        <f t="shared" si="22"/>
        <v>6.6666666665696539E-2</v>
      </c>
    </row>
    <row r="765" spans="1:7" x14ac:dyDescent="0.25">
      <c r="A765" s="37" t="s">
        <v>159</v>
      </c>
      <c r="B765" s="94">
        <v>45701</v>
      </c>
      <c r="C765" s="37" t="s">
        <v>1344</v>
      </c>
      <c r="D765" s="94">
        <v>45702</v>
      </c>
      <c r="E765" s="37" t="s">
        <v>2593</v>
      </c>
      <c r="F765" s="101">
        <f t="shared" si="22"/>
        <v>0.54513888888322981</v>
      </c>
    </row>
    <row r="766" spans="1:7" x14ac:dyDescent="0.25">
      <c r="A766" s="37" t="s">
        <v>174</v>
      </c>
      <c r="B766" s="94">
        <v>45701</v>
      </c>
      <c r="C766" s="37" t="s">
        <v>1247</v>
      </c>
      <c r="D766" s="94">
        <v>45701</v>
      </c>
      <c r="E766" s="37" t="s">
        <v>2146</v>
      </c>
      <c r="F766" s="101">
        <f t="shared" si="22"/>
        <v>3.7499999998544808E-2</v>
      </c>
    </row>
    <row r="767" spans="1:7" x14ac:dyDescent="0.25">
      <c r="A767" s="37" t="s">
        <v>144</v>
      </c>
      <c r="B767" s="94">
        <v>45701</v>
      </c>
      <c r="C767" s="37" t="s">
        <v>2442</v>
      </c>
      <c r="G767" s="37" t="s">
        <v>9</v>
      </c>
    </row>
    <row r="768" spans="1:7" x14ac:dyDescent="0.25">
      <c r="A768" s="37" t="s">
        <v>186</v>
      </c>
      <c r="B768" s="94">
        <v>45701</v>
      </c>
      <c r="C768" s="37" t="s">
        <v>2278</v>
      </c>
      <c r="D768" s="94">
        <v>45702</v>
      </c>
      <c r="E768" s="37" t="s">
        <v>848</v>
      </c>
      <c r="F768" s="101">
        <f t="shared" ref="F768:F799" si="23">(D768 + TIME(LEFT(E768, 2), MID(E768, 3, 2), 0)) - (B768 + TIME(LEFT(C768, 2), MID(C768, 3, 2), 0))</f>
        <v>1.5347222222189885</v>
      </c>
    </row>
    <row r="769" spans="1:6" x14ac:dyDescent="0.25">
      <c r="A769" s="37" t="s">
        <v>178</v>
      </c>
      <c r="B769" s="94">
        <v>45701</v>
      </c>
      <c r="C769" s="37" t="s">
        <v>588</v>
      </c>
      <c r="D769" s="94">
        <v>45701</v>
      </c>
      <c r="E769" s="37" t="s">
        <v>1102</v>
      </c>
      <c r="F769" s="101">
        <f t="shared" si="23"/>
        <v>2.9861111106583849E-2</v>
      </c>
    </row>
    <row r="770" spans="1:6" x14ac:dyDescent="0.25">
      <c r="A770" s="37" t="s">
        <v>161</v>
      </c>
      <c r="B770" s="94">
        <v>45701</v>
      </c>
      <c r="C770" s="37" t="s">
        <v>590</v>
      </c>
      <c r="D770" s="94">
        <v>45701</v>
      </c>
      <c r="E770" s="37" t="s">
        <v>1102</v>
      </c>
      <c r="F770" s="101">
        <f t="shared" si="23"/>
        <v>2.8472222220443655E-2</v>
      </c>
    </row>
    <row r="771" spans="1:6" x14ac:dyDescent="0.25">
      <c r="A771" s="37" t="s">
        <v>252</v>
      </c>
      <c r="B771" s="94">
        <v>45701</v>
      </c>
      <c r="C771" s="37" t="s">
        <v>1266</v>
      </c>
      <c r="D771" s="94">
        <v>45701</v>
      </c>
      <c r="E771" s="37" t="s">
        <v>1997</v>
      </c>
      <c r="F771" s="101">
        <f t="shared" si="23"/>
        <v>2.9861111106583849E-2</v>
      </c>
    </row>
    <row r="772" spans="1:6" x14ac:dyDescent="0.25">
      <c r="A772" s="37" t="s">
        <v>158</v>
      </c>
      <c r="B772" s="94">
        <v>45701</v>
      </c>
      <c r="C772" s="37" t="s">
        <v>195</v>
      </c>
      <c r="D772" s="94">
        <v>45703</v>
      </c>
      <c r="E772" s="37" t="s">
        <v>388</v>
      </c>
      <c r="F772" s="101">
        <f t="shared" si="23"/>
        <v>2.5493055555562023</v>
      </c>
    </row>
    <row r="773" spans="1:6" x14ac:dyDescent="0.25">
      <c r="A773" s="37" t="s">
        <v>162</v>
      </c>
      <c r="B773" s="94">
        <v>45701</v>
      </c>
      <c r="C773" s="37" t="s">
        <v>1987</v>
      </c>
      <c r="D773" s="94">
        <v>45701</v>
      </c>
      <c r="E773" s="37" t="s">
        <v>1102</v>
      </c>
      <c r="F773" s="101">
        <f t="shared" si="23"/>
        <v>1.0416666664241347E-2</v>
      </c>
    </row>
    <row r="774" spans="1:6" x14ac:dyDescent="0.25">
      <c r="A774" s="37" t="s">
        <v>264</v>
      </c>
      <c r="B774" s="94">
        <v>45701</v>
      </c>
      <c r="C774" s="37" t="s">
        <v>1102</v>
      </c>
      <c r="D774" s="94">
        <v>45703</v>
      </c>
      <c r="E774" s="37" t="s">
        <v>1699</v>
      </c>
      <c r="F774" s="101">
        <f t="shared" si="23"/>
        <v>1.7125000000014552</v>
      </c>
    </row>
    <row r="775" spans="1:6" x14ac:dyDescent="0.25">
      <c r="A775" s="37" t="s">
        <v>252</v>
      </c>
      <c r="B775" s="94">
        <v>45701</v>
      </c>
      <c r="C775" s="37" t="s">
        <v>1271</v>
      </c>
      <c r="D775" s="94">
        <v>45701</v>
      </c>
      <c r="E775" s="37" t="s">
        <v>1520</v>
      </c>
      <c r="F775" s="101">
        <f t="shared" si="23"/>
        <v>0.58888888888759539</v>
      </c>
    </row>
    <row r="776" spans="1:6" x14ac:dyDescent="0.25">
      <c r="A776" s="37" t="s">
        <v>165</v>
      </c>
      <c r="B776" s="94">
        <v>45701</v>
      </c>
      <c r="C776" s="37" t="s">
        <v>1108</v>
      </c>
      <c r="D776" s="94">
        <v>45701</v>
      </c>
      <c r="E776" s="37" t="s">
        <v>210</v>
      </c>
      <c r="F776" s="101">
        <f t="shared" si="23"/>
        <v>5.486111110803904E-2</v>
      </c>
    </row>
    <row r="777" spans="1:6" x14ac:dyDescent="0.25">
      <c r="A777" s="37" t="s">
        <v>170</v>
      </c>
      <c r="B777" s="94">
        <v>45701</v>
      </c>
      <c r="C777" s="37" t="s">
        <v>1108</v>
      </c>
      <c r="D777" s="94">
        <v>45701</v>
      </c>
      <c r="E777" s="37" t="s">
        <v>1116</v>
      </c>
      <c r="F777" s="101">
        <f t="shared" si="23"/>
        <v>6.25E-2</v>
      </c>
    </row>
    <row r="778" spans="1:6" x14ac:dyDescent="0.25">
      <c r="A778" s="37" t="s">
        <v>164</v>
      </c>
      <c r="B778" s="94">
        <v>45701</v>
      </c>
      <c r="C778" s="37" t="s">
        <v>1108</v>
      </c>
      <c r="D778" s="94">
        <v>45701</v>
      </c>
      <c r="E778" s="37" t="s">
        <v>2472</v>
      </c>
      <c r="F778" s="101">
        <f t="shared" si="23"/>
        <v>5.2777777775190771E-2</v>
      </c>
    </row>
    <row r="779" spans="1:6" x14ac:dyDescent="0.25">
      <c r="A779" s="37" t="s">
        <v>168</v>
      </c>
      <c r="B779" s="94">
        <v>45701</v>
      </c>
      <c r="C779" s="37" t="s">
        <v>1108</v>
      </c>
      <c r="D779" s="94">
        <v>45701</v>
      </c>
      <c r="E779" s="37" t="s">
        <v>209</v>
      </c>
      <c r="F779" s="101">
        <f t="shared" si="23"/>
        <v>5.9027777781011537E-2</v>
      </c>
    </row>
    <row r="780" spans="1:6" x14ac:dyDescent="0.25">
      <c r="A780" s="37" t="s">
        <v>175</v>
      </c>
      <c r="B780" s="94">
        <v>45701</v>
      </c>
      <c r="C780" s="37" t="s">
        <v>2461</v>
      </c>
      <c r="D780" s="94">
        <v>45701</v>
      </c>
      <c r="E780" s="37" t="s">
        <v>249</v>
      </c>
      <c r="F780" s="101">
        <f t="shared" si="23"/>
        <v>4.7222222223354038E-2</v>
      </c>
    </row>
    <row r="781" spans="1:6" x14ac:dyDescent="0.25">
      <c r="A781" s="37" t="s">
        <v>174</v>
      </c>
      <c r="B781" s="94">
        <v>45701</v>
      </c>
      <c r="C781" s="37" t="s">
        <v>207</v>
      </c>
      <c r="D781" s="94">
        <v>45701</v>
      </c>
      <c r="E781" s="37" t="s">
        <v>2484</v>
      </c>
      <c r="F781" s="101">
        <f t="shared" si="23"/>
        <v>9.2361111113859806E-2</v>
      </c>
    </row>
    <row r="782" spans="1:6" x14ac:dyDescent="0.25">
      <c r="A782" s="37" t="s">
        <v>172</v>
      </c>
      <c r="B782" s="94">
        <v>45701</v>
      </c>
      <c r="C782" s="37" t="s">
        <v>767</v>
      </c>
      <c r="D782" s="94">
        <v>45701</v>
      </c>
      <c r="E782" s="37" t="s">
        <v>2478</v>
      </c>
      <c r="F782" s="101">
        <f t="shared" si="23"/>
        <v>4.7916666662786156E-2</v>
      </c>
    </row>
    <row r="783" spans="1:6" x14ac:dyDescent="0.25">
      <c r="A783" s="37" t="s">
        <v>202</v>
      </c>
      <c r="B783" s="94">
        <v>45701</v>
      </c>
      <c r="C783" s="37" t="s">
        <v>1596</v>
      </c>
      <c r="D783" s="94">
        <v>45701</v>
      </c>
      <c r="E783" s="37" t="s">
        <v>2049</v>
      </c>
      <c r="F783" s="101">
        <f t="shared" si="23"/>
        <v>0.18541666666715173</v>
      </c>
    </row>
    <row r="784" spans="1:6" x14ac:dyDescent="0.25">
      <c r="A784" s="37" t="s">
        <v>177</v>
      </c>
      <c r="B784" s="94">
        <v>45701</v>
      </c>
      <c r="C784" s="37" t="s">
        <v>2467</v>
      </c>
      <c r="D784" s="94">
        <v>45701</v>
      </c>
      <c r="E784" s="37" t="s">
        <v>1164</v>
      </c>
      <c r="F784" s="101">
        <f t="shared" si="23"/>
        <v>0.30277777778246673</v>
      </c>
    </row>
    <row r="785" spans="1:6" x14ac:dyDescent="0.25">
      <c r="A785" s="37" t="s">
        <v>178</v>
      </c>
      <c r="B785" s="94">
        <v>45701</v>
      </c>
      <c r="C785" s="37" t="s">
        <v>2469</v>
      </c>
      <c r="D785" s="94">
        <v>45701</v>
      </c>
      <c r="E785" s="37" t="s">
        <v>244</v>
      </c>
      <c r="F785" s="101">
        <f t="shared" si="23"/>
        <v>0.29930555555620231</v>
      </c>
    </row>
    <row r="786" spans="1:6" x14ac:dyDescent="0.25">
      <c r="A786" s="37" t="s">
        <v>161</v>
      </c>
      <c r="B786" s="94">
        <v>45701</v>
      </c>
      <c r="C786" s="37" t="s">
        <v>249</v>
      </c>
      <c r="D786" s="94">
        <v>45701</v>
      </c>
      <c r="E786" s="37" t="s">
        <v>2513</v>
      </c>
      <c r="F786" s="101">
        <f t="shared" si="23"/>
        <v>0.30138888888905058</v>
      </c>
    </row>
    <row r="787" spans="1:6" x14ac:dyDescent="0.25">
      <c r="A787" s="37" t="s">
        <v>175</v>
      </c>
      <c r="B787" s="94">
        <v>45701</v>
      </c>
      <c r="C787" s="37" t="s">
        <v>249</v>
      </c>
      <c r="D787" s="94">
        <v>45701</v>
      </c>
      <c r="E787" s="37" t="s">
        <v>2530</v>
      </c>
      <c r="F787" s="101">
        <f t="shared" si="23"/>
        <v>0.41319444444525288</v>
      </c>
    </row>
    <row r="788" spans="1:6" x14ac:dyDescent="0.25">
      <c r="A788" s="37" t="s">
        <v>162</v>
      </c>
      <c r="B788" s="94">
        <v>45701</v>
      </c>
      <c r="C788" s="37" t="s">
        <v>2480</v>
      </c>
      <c r="D788" s="94">
        <v>45701</v>
      </c>
      <c r="E788" s="37" t="s">
        <v>1459</v>
      </c>
      <c r="F788" s="101">
        <f t="shared" si="23"/>
        <v>5.8333333334303461E-2</v>
      </c>
    </row>
    <row r="789" spans="1:6" x14ac:dyDescent="0.25">
      <c r="A789" s="37" t="s">
        <v>166</v>
      </c>
      <c r="B789" s="94">
        <v>45701</v>
      </c>
      <c r="C789" s="37" t="s">
        <v>167</v>
      </c>
      <c r="D789" s="94">
        <v>45701</v>
      </c>
      <c r="E789" s="37" t="s">
        <v>2562</v>
      </c>
      <c r="F789" s="101">
        <f t="shared" si="23"/>
        <v>0.50694444444525288</v>
      </c>
    </row>
    <row r="790" spans="1:6" x14ac:dyDescent="0.25">
      <c r="A790" s="37" t="s">
        <v>164</v>
      </c>
      <c r="B790" s="94">
        <v>45701</v>
      </c>
      <c r="C790" s="37" t="s">
        <v>1119</v>
      </c>
      <c r="D790" s="94">
        <v>45701</v>
      </c>
      <c r="E790" s="37" t="s">
        <v>989</v>
      </c>
      <c r="F790" s="101">
        <f t="shared" si="23"/>
        <v>0.14305555555620231</v>
      </c>
    </row>
    <row r="791" spans="1:6" x14ac:dyDescent="0.25">
      <c r="A791" s="37" t="s">
        <v>268</v>
      </c>
      <c r="B791" s="94">
        <v>45701</v>
      </c>
      <c r="C791" s="37" t="s">
        <v>1122</v>
      </c>
      <c r="D791" s="94">
        <v>45701</v>
      </c>
      <c r="E791" s="37" t="s">
        <v>2491</v>
      </c>
      <c r="F791" s="101">
        <f t="shared" si="23"/>
        <v>2.8472222220443655E-2</v>
      </c>
    </row>
    <row r="792" spans="1:6" x14ac:dyDescent="0.25">
      <c r="A792" s="37" t="s">
        <v>165</v>
      </c>
      <c r="B792" s="94">
        <v>45701</v>
      </c>
      <c r="C792" s="37" t="s">
        <v>2489</v>
      </c>
      <c r="D792" s="94">
        <v>45701</v>
      </c>
      <c r="E792" s="37" t="s">
        <v>818</v>
      </c>
      <c r="F792" s="101">
        <f t="shared" si="23"/>
        <v>0.11249999999563443</v>
      </c>
    </row>
    <row r="793" spans="1:6" x14ac:dyDescent="0.25">
      <c r="A793" s="37" t="s">
        <v>168</v>
      </c>
      <c r="B793" s="94">
        <v>45701</v>
      </c>
      <c r="C793" s="37" t="s">
        <v>2492</v>
      </c>
      <c r="D793" s="94">
        <v>45701</v>
      </c>
      <c r="E793" s="37" t="s">
        <v>823</v>
      </c>
      <c r="F793" s="101">
        <f t="shared" si="23"/>
        <v>0.10347222222480923</v>
      </c>
    </row>
    <row r="794" spans="1:6" x14ac:dyDescent="0.25">
      <c r="A794" s="37" t="s">
        <v>170</v>
      </c>
      <c r="B794" s="94">
        <v>45701</v>
      </c>
      <c r="C794" s="37" t="s">
        <v>784</v>
      </c>
      <c r="D794" s="94">
        <v>45701</v>
      </c>
      <c r="E794" s="37" t="s">
        <v>2504</v>
      </c>
      <c r="F794" s="101">
        <f t="shared" si="23"/>
        <v>0.12986111111240461</v>
      </c>
    </row>
    <row r="795" spans="1:6" x14ac:dyDescent="0.25">
      <c r="A795" s="37" t="s">
        <v>174</v>
      </c>
      <c r="B795" s="94">
        <v>45701</v>
      </c>
      <c r="C795" s="37" t="s">
        <v>1310</v>
      </c>
      <c r="D795" s="94">
        <v>45701</v>
      </c>
      <c r="E795" s="37" t="s">
        <v>2507</v>
      </c>
      <c r="F795" s="101">
        <f t="shared" si="23"/>
        <v>0.16041666666569654</v>
      </c>
    </row>
    <row r="796" spans="1:6" x14ac:dyDescent="0.25">
      <c r="A796" s="37" t="s">
        <v>172</v>
      </c>
      <c r="B796" s="94">
        <v>45701</v>
      </c>
      <c r="C796" s="37" t="s">
        <v>2497</v>
      </c>
      <c r="D796" s="94">
        <v>45701</v>
      </c>
      <c r="E796" s="37" t="s">
        <v>2081</v>
      </c>
      <c r="F796" s="101">
        <f t="shared" si="23"/>
        <v>8.6805555554747116E-2</v>
      </c>
    </row>
    <row r="797" spans="1:6" x14ac:dyDescent="0.25">
      <c r="A797" s="37" t="s">
        <v>162</v>
      </c>
      <c r="B797" s="94">
        <v>45701</v>
      </c>
      <c r="C797" s="37" t="s">
        <v>2502</v>
      </c>
      <c r="D797" s="94">
        <v>45701</v>
      </c>
      <c r="E797" s="37" t="s">
        <v>1792</v>
      </c>
      <c r="F797" s="101">
        <f t="shared" si="23"/>
        <v>0.14236111110949423</v>
      </c>
    </row>
    <row r="798" spans="1:6" x14ac:dyDescent="0.25">
      <c r="A798" s="37" t="s">
        <v>160</v>
      </c>
      <c r="B798" s="94">
        <v>45701</v>
      </c>
      <c r="C798" s="37" t="s">
        <v>526</v>
      </c>
      <c r="D798" s="94">
        <v>45702</v>
      </c>
      <c r="E798" s="37" t="s">
        <v>721</v>
      </c>
      <c r="F798" s="101">
        <f t="shared" si="23"/>
        <v>0.50138888889341615</v>
      </c>
    </row>
    <row r="799" spans="1:6" x14ac:dyDescent="0.25">
      <c r="A799" s="37" t="s">
        <v>164</v>
      </c>
      <c r="B799" s="94">
        <v>45701</v>
      </c>
      <c r="C799" s="37" t="s">
        <v>651</v>
      </c>
      <c r="D799" s="94">
        <v>45701</v>
      </c>
      <c r="E799" s="37" t="s">
        <v>656</v>
      </c>
      <c r="F799" s="101">
        <f t="shared" si="23"/>
        <v>6.1111111113859806E-2</v>
      </c>
    </row>
    <row r="800" spans="1:6" x14ac:dyDescent="0.25">
      <c r="A800" s="37" t="s">
        <v>165</v>
      </c>
      <c r="B800" s="94">
        <v>45701</v>
      </c>
      <c r="C800" s="37" t="s">
        <v>270</v>
      </c>
      <c r="D800" s="94">
        <v>45701</v>
      </c>
      <c r="E800" s="37" t="s">
        <v>1802</v>
      </c>
      <c r="F800" s="101">
        <f t="shared" ref="F800:F831" si="24">(D800 + TIME(LEFT(E800, 2), MID(E800, 3, 2), 0)) - (B800 + TIME(LEFT(C800, 2), MID(C800, 3, 2), 0))</f>
        <v>5.9722222220443655E-2</v>
      </c>
    </row>
    <row r="801" spans="1:8" x14ac:dyDescent="0.25">
      <c r="A801" s="37" t="s">
        <v>168</v>
      </c>
      <c r="B801" s="94">
        <v>45701</v>
      </c>
      <c r="C801" s="37" t="s">
        <v>1349</v>
      </c>
      <c r="D801" s="94">
        <v>45701</v>
      </c>
      <c r="E801" s="37" t="s">
        <v>2525</v>
      </c>
      <c r="F801" s="101">
        <f t="shared" si="24"/>
        <v>6.3194444439432118E-2</v>
      </c>
    </row>
    <row r="802" spans="1:8" x14ac:dyDescent="0.25">
      <c r="A802" s="37" t="s">
        <v>170</v>
      </c>
      <c r="B802" s="94">
        <v>45701</v>
      </c>
      <c r="C802" s="37" t="s">
        <v>1008</v>
      </c>
      <c r="D802" s="94">
        <v>45701</v>
      </c>
      <c r="E802" s="37" t="s">
        <v>192</v>
      </c>
      <c r="F802" s="101">
        <f t="shared" si="24"/>
        <v>0.11805555555474712</v>
      </c>
    </row>
    <row r="803" spans="1:8" x14ac:dyDescent="0.25">
      <c r="A803" s="37" t="s">
        <v>174</v>
      </c>
      <c r="B803" s="94">
        <v>45701</v>
      </c>
      <c r="C803" s="37" t="s">
        <v>841</v>
      </c>
      <c r="D803" s="94">
        <v>45701</v>
      </c>
      <c r="E803" s="37" t="s">
        <v>214</v>
      </c>
      <c r="F803" s="101">
        <f t="shared" si="24"/>
        <v>0.11666666666860692</v>
      </c>
    </row>
    <row r="804" spans="1:8" x14ac:dyDescent="0.25">
      <c r="A804" s="37" t="s">
        <v>172</v>
      </c>
      <c r="B804" s="94">
        <v>45701</v>
      </c>
      <c r="C804" s="37" t="s">
        <v>212</v>
      </c>
      <c r="D804" s="94">
        <v>45701</v>
      </c>
      <c r="E804" s="37" t="s">
        <v>214</v>
      </c>
      <c r="F804" s="101">
        <f t="shared" si="24"/>
        <v>0.10972222222335404</v>
      </c>
    </row>
    <row r="805" spans="1:8" x14ac:dyDescent="0.25">
      <c r="A805" s="37" t="s">
        <v>268</v>
      </c>
      <c r="B805" s="94">
        <v>45701</v>
      </c>
      <c r="C805" s="37" t="s">
        <v>2379</v>
      </c>
      <c r="D805" s="94">
        <v>45701</v>
      </c>
      <c r="E805" s="37" t="s">
        <v>2527</v>
      </c>
      <c r="F805" s="101">
        <f t="shared" si="24"/>
        <v>2.0833333328482695E-2</v>
      </c>
    </row>
    <row r="806" spans="1:8" x14ac:dyDescent="0.25">
      <c r="A806" s="37" t="s">
        <v>273</v>
      </c>
      <c r="B806" s="94">
        <v>45701</v>
      </c>
      <c r="C806" s="37" t="s">
        <v>2528</v>
      </c>
      <c r="D806" s="94">
        <v>45701</v>
      </c>
      <c r="E806" s="37" t="s">
        <v>1810</v>
      </c>
      <c r="F806" s="101">
        <f t="shared" si="24"/>
        <v>0.10277777777810115</v>
      </c>
      <c r="G806" s="37" t="s">
        <v>7</v>
      </c>
      <c r="H806" s="95" t="s">
        <v>2554</v>
      </c>
    </row>
    <row r="807" spans="1:8" x14ac:dyDescent="0.25">
      <c r="A807" s="37" t="s">
        <v>175</v>
      </c>
      <c r="B807" s="94">
        <v>45701</v>
      </c>
      <c r="C807" s="37" t="s">
        <v>2533</v>
      </c>
      <c r="D807" s="94">
        <v>45701</v>
      </c>
      <c r="E807" s="37" t="s">
        <v>537</v>
      </c>
      <c r="F807" s="101">
        <f t="shared" si="24"/>
        <v>0.11666666666860692</v>
      </c>
    </row>
    <row r="808" spans="1:8" x14ac:dyDescent="0.25">
      <c r="A808" s="37" t="s">
        <v>153</v>
      </c>
      <c r="B808" s="94">
        <v>45701</v>
      </c>
      <c r="C808" s="37" t="s">
        <v>2534</v>
      </c>
      <c r="D808" s="94">
        <v>45705</v>
      </c>
      <c r="E808" s="37" t="s">
        <v>1226</v>
      </c>
      <c r="F808" s="101">
        <f t="shared" si="24"/>
        <v>3.2076388888890506</v>
      </c>
    </row>
    <row r="809" spans="1:8" x14ac:dyDescent="0.25">
      <c r="A809" s="37" t="s">
        <v>177</v>
      </c>
      <c r="B809" s="94">
        <v>45701</v>
      </c>
      <c r="C809" s="37" t="s">
        <v>1203</v>
      </c>
      <c r="D809" s="94">
        <v>45701</v>
      </c>
      <c r="E809" s="37" t="s">
        <v>860</v>
      </c>
      <c r="F809" s="101">
        <f t="shared" si="24"/>
        <v>3.3333333332848269E-2</v>
      </c>
    </row>
    <row r="810" spans="1:8" x14ac:dyDescent="0.25">
      <c r="A810" s="37" t="s">
        <v>178</v>
      </c>
      <c r="B810" s="94">
        <v>45701</v>
      </c>
      <c r="C810" s="37" t="s">
        <v>852</v>
      </c>
      <c r="D810" s="94">
        <v>45701</v>
      </c>
      <c r="E810" s="37" t="s">
        <v>2547</v>
      </c>
      <c r="F810" s="101">
        <f t="shared" si="24"/>
        <v>4.7916666670062114E-2</v>
      </c>
    </row>
    <row r="811" spans="1:8" x14ac:dyDescent="0.25">
      <c r="A811" s="37" t="s">
        <v>194</v>
      </c>
      <c r="B811" s="94">
        <v>45701</v>
      </c>
      <c r="C811" s="37" t="s">
        <v>854</v>
      </c>
      <c r="D811" s="94">
        <v>45702</v>
      </c>
      <c r="E811" s="37" t="s">
        <v>1982</v>
      </c>
      <c r="F811" s="101">
        <f t="shared" si="24"/>
        <v>0.46041666666860692</v>
      </c>
      <c r="G811" s="37" t="s">
        <v>9</v>
      </c>
    </row>
    <row r="812" spans="1:8" x14ac:dyDescent="0.25">
      <c r="A812" s="37" t="s">
        <v>161</v>
      </c>
      <c r="B812" s="94">
        <v>45701</v>
      </c>
      <c r="C812" s="37" t="s">
        <v>1211</v>
      </c>
      <c r="D812" s="94">
        <v>45701</v>
      </c>
      <c r="E812" s="37" t="s">
        <v>2551</v>
      </c>
      <c r="F812" s="101">
        <f t="shared" si="24"/>
        <v>2.5000000001455192E-2</v>
      </c>
    </row>
    <row r="813" spans="1:8" x14ac:dyDescent="0.25">
      <c r="A813" s="37" t="s">
        <v>162</v>
      </c>
      <c r="B813" s="94">
        <v>45701</v>
      </c>
      <c r="C813" s="37" t="s">
        <v>1211</v>
      </c>
      <c r="D813" s="94">
        <v>45701</v>
      </c>
      <c r="E813" s="37" t="s">
        <v>282</v>
      </c>
      <c r="F813" s="101">
        <f t="shared" si="24"/>
        <v>5.9722222220443655E-2</v>
      </c>
    </row>
    <row r="814" spans="1:8" x14ac:dyDescent="0.25">
      <c r="A814" s="37" t="s">
        <v>164</v>
      </c>
      <c r="B814" s="94">
        <v>45701</v>
      </c>
      <c r="C814" s="37" t="s">
        <v>2543</v>
      </c>
      <c r="D814" s="94">
        <v>45701</v>
      </c>
      <c r="E814" s="37" t="s">
        <v>2555</v>
      </c>
      <c r="F814" s="101">
        <f t="shared" si="24"/>
        <v>3.7499999998544808E-2</v>
      </c>
    </row>
    <row r="815" spans="1:8" x14ac:dyDescent="0.25">
      <c r="A815" s="37" t="s">
        <v>165</v>
      </c>
      <c r="B815" s="94">
        <v>45701</v>
      </c>
      <c r="C815" s="37" t="s">
        <v>2543</v>
      </c>
      <c r="D815" s="94">
        <v>45701</v>
      </c>
      <c r="E815" s="37" t="s">
        <v>2543</v>
      </c>
      <c r="F815" s="101">
        <f t="shared" si="24"/>
        <v>0</v>
      </c>
    </row>
    <row r="816" spans="1:8" x14ac:dyDescent="0.25">
      <c r="A816" s="37" t="s">
        <v>165</v>
      </c>
      <c r="B816" s="94">
        <v>45701</v>
      </c>
      <c r="C816" s="37" t="s">
        <v>2543</v>
      </c>
      <c r="D816" s="94">
        <v>45702</v>
      </c>
      <c r="E816" s="37" t="s">
        <v>1737</v>
      </c>
      <c r="F816" s="101">
        <f t="shared" si="24"/>
        <v>0.47222222222626442</v>
      </c>
      <c r="G816" s="37" t="s">
        <v>9</v>
      </c>
    </row>
    <row r="817" spans="1:8" x14ac:dyDescent="0.25">
      <c r="A817" s="37" t="s">
        <v>173</v>
      </c>
      <c r="B817" s="94">
        <v>45701</v>
      </c>
      <c r="C817" s="37" t="s">
        <v>867</v>
      </c>
      <c r="D817" s="94">
        <v>45701</v>
      </c>
      <c r="E817" s="37" t="s">
        <v>2559</v>
      </c>
      <c r="F817" s="101">
        <f t="shared" si="24"/>
        <v>2.2916666668606922E-2</v>
      </c>
      <c r="H817" s="95" t="s">
        <v>847</v>
      </c>
    </row>
    <row r="818" spans="1:8" x14ac:dyDescent="0.25">
      <c r="A818" s="37" t="s">
        <v>273</v>
      </c>
      <c r="B818" s="94">
        <v>45701</v>
      </c>
      <c r="C818" s="37" t="s">
        <v>1810</v>
      </c>
      <c r="D818" s="94">
        <v>45702</v>
      </c>
      <c r="E818" s="37" t="s">
        <v>2574</v>
      </c>
      <c r="F818" s="101">
        <f t="shared" si="24"/>
        <v>7.7083333329937886E-2</v>
      </c>
    </row>
    <row r="819" spans="1:8" x14ac:dyDescent="0.25">
      <c r="A819" s="37" t="s">
        <v>272</v>
      </c>
      <c r="B819" s="94">
        <v>45701</v>
      </c>
      <c r="C819" s="37" t="s">
        <v>280</v>
      </c>
      <c r="D819" s="94">
        <v>45702</v>
      </c>
      <c r="E819" s="37" t="s">
        <v>2584</v>
      </c>
      <c r="F819" s="101">
        <f t="shared" si="24"/>
        <v>0.31111111110658385</v>
      </c>
      <c r="G819" s="37" t="s">
        <v>7</v>
      </c>
      <c r="H819" s="95" t="s">
        <v>2554</v>
      </c>
    </row>
    <row r="820" spans="1:8" x14ac:dyDescent="0.25">
      <c r="A820" s="37" t="s">
        <v>263</v>
      </c>
      <c r="B820" s="94">
        <v>45701</v>
      </c>
      <c r="C820" s="37" t="s">
        <v>2557</v>
      </c>
      <c r="D820" s="94">
        <v>45702</v>
      </c>
      <c r="E820" s="37" t="s">
        <v>240</v>
      </c>
      <c r="F820" s="101">
        <f t="shared" si="24"/>
        <v>0.98194444444379769</v>
      </c>
    </row>
    <row r="821" spans="1:8" x14ac:dyDescent="0.25">
      <c r="A821" s="37" t="s">
        <v>155</v>
      </c>
      <c r="B821" s="94">
        <v>45701</v>
      </c>
      <c r="C821" s="37" t="s">
        <v>282</v>
      </c>
      <c r="D821" s="94">
        <v>45702</v>
      </c>
      <c r="E821" s="37" t="s">
        <v>167</v>
      </c>
      <c r="F821" s="101">
        <f t="shared" si="24"/>
        <v>0.49375000000145519</v>
      </c>
    </row>
    <row r="822" spans="1:8" x14ac:dyDescent="0.25">
      <c r="A822" s="37" t="s">
        <v>175</v>
      </c>
      <c r="B822" s="94">
        <v>45701</v>
      </c>
      <c r="C822" s="37" t="s">
        <v>537</v>
      </c>
      <c r="D822" s="94">
        <v>45702</v>
      </c>
      <c r="E822" s="37" t="s">
        <v>971</v>
      </c>
      <c r="F822" s="101">
        <f t="shared" si="24"/>
        <v>0.43472222222044365</v>
      </c>
      <c r="G822" s="37" t="s">
        <v>9</v>
      </c>
      <c r="H822" s="95" t="s">
        <v>2566</v>
      </c>
    </row>
    <row r="823" spans="1:8" x14ac:dyDescent="0.25">
      <c r="A823" s="37" t="s">
        <v>168</v>
      </c>
      <c r="B823" s="94">
        <v>45701</v>
      </c>
      <c r="C823" s="37" t="s">
        <v>2567</v>
      </c>
      <c r="D823" s="94">
        <v>45701</v>
      </c>
      <c r="E823" s="37" t="s">
        <v>2570</v>
      </c>
      <c r="F823" s="101">
        <f t="shared" si="24"/>
        <v>1.0416666664241347E-2</v>
      </c>
    </row>
    <row r="824" spans="1:8" x14ac:dyDescent="0.25">
      <c r="A824" s="37" t="s">
        <v>170</v>
      </c>
      <c r="B824" s="94">
        <v>45701</v>
      </c>
      <c r="C824" s="37" t="s">
        <v>2567</v>
      </c>
      <c r="D824" s="94">
        <v>45701</v>
      </c>
      <c r="E824" s="37" t="s">
        <v>2571</v>
      </c>
      <c r="F824" s="101">
        <f t="shared" si="24"/>
        <v>1.2499999997089617E-2</v>
      </c>
    </row>
    <row r="825" spans="1:8" x14ac:dyDescent="0.25">
      <c r="A825" s="37" t="s">
        <v>166</v>
      </c>
      <c r="B825" s="94">
        <v>45702</v>
      </c>
      <c r="C825" s="37" t="s">
        <v>910</v>
      </c>
      <c r="D825" s="94">
        <v>45702</v>
      </c>
      <c r="E825" s="37" t="s">
        <v>528</v>
      </c>
      <c r="F825" s="101">
        <f t="shared" si="24"/>
        <v>0.5</v>
      </c>
    </row>
    <row r="826" spans="1:8" x14ac:dyDescent="0.25">
      <c r="A826" s="37" t="s">
        <v>260</v>
      </c>
      <c r="B826" s="94">
        <v>45702</v>
      </c>
      <c r="C826" s="37" t="s">
        <v>2580</v>
      </c>
      <c r="D826" s="94">
        <v>45704</v>
      </c>
      <c r="E826" s="37" t="s">
        <v>2771</v>
      </c>
      <c r="F826" s="101">
        <f t="shared" si="24"/>
        <v>1.8083333333343035</v>
      </c>
    </row>
    <row r="827" spans="1:8" x14ac:dyDescent="0.25">
      <c r="A827" s="37" t="s">
        <v>252</v>
      </c>
      <c r="B827" s="94">
        <v>45702</v>
      </c>
      <c r="C827" s="37" t="s">
        <v>2582</v>
      </c>
      <c r="D827" s="94">
        <v>45702</v>
      </c>
      <c r="E827" s="37" t="s">
        <v>2590</v>
      </c>
      <c r="F827" s="101">
        <f t="shared" si="24"/>
        <v>5.0000000002910383E-2</v>
      </c>
    </row>
    <row r="828" spans="1:8" x14ac:dyDescent="0.25">
      <c r="A828" s="37" t="s">
        <v>272</v>
      </c>
      <c r="B828" s="94">
        <v>45702</v>
      </c>
      <c r="C828" s="37" t="s">
        <v>2584</v>
      </c>
      <c r="D828" s="94">
        <v>45702</v>
      </c>
      <c r="E828" s="37" t="s">
        <v>1154</v>
      </c>
      <c r="F828" s="101">
        <f t="shared" si="24"/>
        <v>0.42777777777519077</v>
      </c>
    </row>
    <row r="829" spans="1:8" x14ac:dyDescent="0.25">
      <c r="A829" s="37" t="s">
        <v>273</v>
      </c>
      <c r="B829" s="94">
        <v>45702</v>
      </c>
      <c r="C829" s="37" t="s">
        <v>1835</v>
      </c>
      <c r="D829" s="94">
        <v>45702</v>
      </c>
      <c r="E829" s="37" t="s">
        <v>2663</v>
      </c>
      <c r="F829" s="101">
        <f t="shared" si="24"/>
        <v>0.40416666666715173</v>
      </c>
    </row>
    <row r="830" spans="1:8" x14ac:dyDescent="0.25">
      <c r="A830" s="37" t="s">
        <v>172</v>
      </c>
      <c r="B830" s="94">
        <v>45702</v>
      </c>
      <c r="C830" s="37" t="s">
        <v>2587</v>
      </c>
      <c r="D830" s="94">
        <v>45702</v>
      </c>
      <c r="E830" s="37" t="s">
        <v>2589</v>
      </c>
      <c r="F830" s="101">
        <f t="shared" si="24"/>
        <v>1.5972222223354038E-2</v>
      </c>
    </row>
    <row r="831" spans="1:8" x14ac:dyDescent="0.25">
      <c r="A831" s="37" t="s">
        <v>169</v>
      </c>
      <c r="B831" s="94">
        <v>45702</v>
      </c>
      <c r="C831" s="37" t="s">
        <v>729</v>
      </c>
      <c r="D831" s="94">
        <v>45702</v>
      </c>
      <c r="E831" s="37" t="s">
        <v>1346</v>
      </c>
      <c r="F831" s="101">
        <f t="shared" si="24"/>
        <v>0.45624999999563443</v>
      </c>
    </row>
    <row r="832" spans="1:8" x14ac:dyDescent="0.25">
      <c r="A832" s="37" t="s">
        <v>252</v>
      </c>
      <c r="B832" s="94">
        <v>45702</v>
      </c>
      <c r="C832" s="37" t="s">
        <v>2153</v>
      </c>
      <c r="D832" s="94">
        <v>45702</v>
      </c>
      <c r="E832" s="37" t="s">
        <v>820</v>
      </c>
      <c r="F832" s="101">
        <f t="shared" ref="F832:F855" si="25">(D832 + TIME(LEFT(E832, 2), MID(E832, 3, 2), 0)) - (B832 + TIME(LEFT(C832, 2), MID(C832, 3, 2), 0))</f>
        <v>0.31944444444525288</v>
      </c>
    </row>
    <row r="833" spans="1:8" x14ac:dyDescent="0.25">
      <c r="A833" s="37" t="s">
        <v>174</v>
      </c>
      <c r="B833" s="94">
        <v>45702</v>
      </c>
      <c r="C833" s="37" t="s">
        <v>1081</v>
      </c>
      <c r="D833" s="94">
        <v>45702</v>
      </c>
      <c r="E833" s="37" t="s">
        <v>206</v>
      </c>
      <c r="F833" s="101">
        <f t="shared" si="25"/>
        <v>3.4722222226264421E-2</v>
      </c>
    </row>
    <row r="834" spans="1:8" x14ac:dyDescent="0.25">
      <c r="A834" s="37" t="s">
        <v>177</v>
      </c>
      <c r="B834" s="94">
        <v>45702</v>
      </c>
      <c r="C834" s="37" t="s">
        <v>1421</v>
      </c>
      <c r="D834" s="94">
        <v>45702</v>
      </c>
      <c r="E834" s="37" t="s">
        <v>206</v>
      </c>
      <c r="F834" s="101">
        <f t="shared" si="25"/>
        <v>2.9166666667151731E-2</v>
      </c>
    </row>
    <row r="835" spans="1:8" x14ac:dyDescent="0.25">
      <c r="A835" s="37" t="s">
        <v>178</v>
      </c>
      <c r="B835" s="94">
        <v>45702</v>
      </c>
      <c r="C835" s="37" t="s">
        <v>739</v>
      </c>
      <c r="D835" s="94">
        <v>45702</v>
      </c>
      <c r="E835" s="37" t="s">
        <v>1989</v>
      </c>
      <c r="F835" s="101">
        <f t="shared" si="25"/>
        <v>3.125E-2</v>
      </c>
    </row>
    <row r="836" spans="1:8" x14ac:dyDescent="0.25">
      <c r="A836" s="37" t="s">
        <v>161</v>
      </c>
      <c r="B836" s="94">
        <v>45702</v>
      </c>
      <c r="C836" s="37" t="s">
        <v>255</v>
      </c>
      <c r="D836" s="94">
        <v>45702</v>
      </c>
      <c r="E836" s="37" t="s">
        <v>1989</v>
      </c>
      <c r="F836" s="101">
        <f t="shared" si="25"/>
        <v>2.9861111106583849E-2</v>
      </c>
    </row>
    <row r="837" spans="1:8" x14ac:dyDescent="0.25">
      <c r="A837" s="37" t="s">
        <v>162</v>
      </c>
      <c r="B837" s="94">
        <v>45702</v>
      </c>
      <c r="C837" s="37" t="s">
        <v>1090</v>
      </c>
      <c r="D837" s="94">
        <v>45702</v>
      </c>
      <c r="E837" s="37" t="s">
        <v>249</v>
      </c>
      <c r="F837" s="101">
        <f t="shared" si="25"/>
        <v>8.4722222221898846E-2</v>
      </c>
    </row>
    <row r="838" spans="1:8" x14ac:dyDescent="0.25">
      <c r="A838" s="37" t="s">
        <v>173</v>
      </c>
      <c r="B838" s="94">
        <v>45702</v>
      </c>
      <c r="C838" s="37" t="s">
        <v>1429</v>
      </c>
      <c r="D838" s="94">
        <v>45702</v>
      </c>
      <c r="E838" s="37" t="s">
        <v>1448</v>
      </c>
      <c r="F838" s="101">
        <f t="shared" si="25"/>
        <v>8.3333333335758653E-2</v>
      </c>
    </row>
    <row r="839" spans="1:8" x14ac:dyDescent="0.25">
      <c r="A839" s="37" t="s">
        <v>164</v>
      </c>
      <c r="B839" s="94">
        <v>45702</v>
      </c>
      <c r="C839" s="37" t="s">
        <v>228</v>
      </c>
      <c r="D839" s="94">
        <v>45702</v>
      </c>
      <c r="E839" s="37" t="s">
        <v>203</v>
      </c>
      <c r="F839" s="101">
        <f t="shared" si="25"/>
        <v>8.5416666661330964E-2</v>
      </c>
    </row>
    <row r="840" spans="1:8" x14ac:dyDescent="0.25">
      <c r="A840" s="37" t="s">
        <v>194</v>
      </c>
      <c r="B840" s="94">
        <v>45702</v>
      </c>
      <c r="C840" s="37" t="s">
        <v>1982</v>
      </c>
      <c r="D840" s="94">
        <v>45703</v>
      </c>
      <c r="E840" s="37" t="s">
        <v>2587</v>
      </c>
      <c r="F840" s="101">
        <f t="shared" si="25"/>
        <v>0.93263888888759539</v>
      </c>
    </row>
    <row r="841" spans="1:8" x14ac:dyDescent="0.25">
      <c r="A841" s="37" t="s">
        <v>165</v>
      </c>
      <c r="B841" s="94">
        <v>45702</v>
      </c>
      <c r="C841" s="37" t="s">
        <v>1737</v>
      </c>
      <c r="D841" s="94">
        <v>45702</v>
      </c>
      <c r="E841" s="37" t="s">
        <v>2625</v>
      </c>
      <c r="F841" s="101">
        <f t="shared" si="25"/>
        <v>8.819444444088731E-2</v>
      </c>
    </row>
    <row r="842" spans="1:8" x14ac:dyDescent="0.25">
      <c r="A842" s="37" t="s">
        <v>168</v>
      </c>
      <c r="B842" s="94">
        <v>45702</v>
      </c>
      <c r="C842" s="37" t="s">
        <v>963</v>
      </c>
      <c r="D842" s="94">
        <v>45702</v>
      </c>
      <c r="E842" s="37" t="s">
        <v>2627</v>
      </c>
      <c r="F842" s="101">
        <f t="shared" si="25"/>
        <v>8.4027777775190771E-2</v>
      </c>
    </row>
    <row r="843" spans="1:8" x14ac:dyDescent="0.25">
      <c r="A843" s="37" t="s">
        <v>170</v>
      </c>
      <c r="B843" s="94">
        <v>45702</v>
      </c>
      <c r="C843" s="37" t="s">
        <v>607</v>
      </c>
      <c r="D843" s="94">
        <v>45702</v>
      </c>
      <c r="E843" s="37" t="s">
        <v>2629</v>
      </c>
      <c r="F843" s="101">
        <f t="shared" si="25"/>
        <v>8.4722222221898846E-2</v>
      </c>
    </row>
    <row r="844" spans="1:8" x14ac:dyDescent="0.25">
      <c r="A844" s="37" t="s">
        <v>172</v>
      </c>
      <c r="B844" s="94">
        <v>45702</v>
      </c>
      <c r="C844" s="37" t="s">
        <v>2609</v>
      </c>
      <c r="D844" s="94">
        <v>45702</v>
      </c>
      <c r="E844" s="37" t="s">
        <v>2636</v>
      </c>
      <c r="F844" s="101">
        <f t="shared" si="25"/>
        <v>9.6527777779556345E-2</v>
      </c>
    </row>
    <row r="845" spans="1:8" x14ac:dyDescent="0.25">
      <c r="A845" s="37" t="s">
        <v>174</v>
      </c>
      <c r="B845" s="94">
        <v>45702</v>
      </c>
      <c r="C845" s="37" t="s">
        <v>233</v>
      </c>
      <c r="D845" s="94">
        <v>45702</v>
      </c>
      <c r="E845" s="37" t="s">
        <v>2638</v>
      </c>
      <c r="F845" s="101">
        <f t="shared" si="25"/>
        <v>9.3055555560567882E-2</v>
      </c>
    </row>
    <row r="846" spans="1:8" x14ac:dyDescent="0.25">
      <c r="A846" s="37" t="s">
        <v>177</v>
      </c>
      <c r="B846" s="94">
        <v>45702</v>
      </c>
      <c r="C846" s="37" t="s">
        <v>216</v>
      </c>
      <c r="D846" s="94">
        <v>45702</v>
      </c>
      <c r="E846" s="37" t="s">
        <v>1301</v>
      </c>
      <c r="F846" s="101">
        <f t="shared" si="25"/>
        <v>0.10069444444525288</v>
      </c>
    </row>
    <row r="847" spans="1:8" x14ac:dyDescent="0.25">
      <c r="A847" s="37" t="s">
        <v>178</v>
      </c>
      <c r="B847" s="94">
        <v>45702</v>
      </c>
      <c r="C847" s="37" t="s">
        <v>197</v>
      </c>
      <c r="D847" s="94">
        <v>45702</v>
      </c>
      <c r="E847" s="37" t="s">
        <v>2325</v>
      </c>
      <c r="F847" s="101">
        <f t="shared" si="25"/>
        <v>0.101388888884685</v>
      </c>
    </row>
    <row r="848" spans="1:8" ht="28.5" x14ac:dyDescent="0.25">
      <c r="A848" s="37" t="s">
        <v>175</v>
      </c>
      <c r="B848" s="94">
        <v>45702</v>
      </c>
      <c r="C848" s="37" t="s">
        <v>971</v>
      </c>
      <c r="D848" s="94">
        <v>45702</v>
      </c>
      <c r="E848" s="37" t="s">
        <v>2480</v>
      </c>
      <c r="F848" s="101">
        <f t="shared" si="25"/>
        <v>4.2361111110949423E-2</v>
      </c>
      <c r="H848" s="95" t="s">
        <v>2635</v>
      </c>
    </row>
    <row r="849" spans="1:6" x14ac:dyDescent="0.25">
      <c r="A849" s="37" t="s">
        <v>161</v>
      </c>
      <c r="B849" s="94">
        <v>45702</v>
      </c>
      <c r="C849" s="37" t="s">
        <v>2618</v>
      </c>
      <c r="D849" s="94">
        <v>45702</v>
      </c>
      <c r="E849" s="37" t="s">
        <v>2325</v>
      </c>
      <c r="F849" s="101">
        <f t="shared" si="25"/>
        <v>6.1111111106583849E-2</v>
      </c>
    </row>
    <row r="850" spans="1:6" x14ac:dyDescent="0.25">
      <c r="A850" s="37" t="s">
        <v>202</v>
      </c>
      <c r="B850" s="94">
        <v>45702</v>
      </c>
      <c r="C850" s="37" t="s">
        <v>1601</v>
      </c>
      <c r="D850" s="94">
        <v>45702</v>
      </c>
      <c r="E850" s="37" t="s">
        <v>1301</v>
      </c>
      <c r="F850" s="101">
        <f t="shared" si="25"/>
        <v>4.7916666662786156E-2</v>
      </c>
    </row>
    <row r="851" spans="1:6" x14ac:dyDescent="0.25">
      <c r="A851" s="37" t="s">
        <v>164</v>
      </c>
      <c r="B851" s="94">
        <v>45702</v>
      </c>
      <c r="C851" s="37" t="s">
        <v>2621</v>
      </c>
      <c r="D851" s="94">
        <v>45702</v>
      </c>
      <c r="E851" s="37" t="s">
        <v>1318</v>
      </c>
      <c r="F851" s="101">
        <f t="shared" si="25"/>
        <v>0.1444444444423425</v>
      </c>
    </row>
    <row r="852" spans="1:6" x14ac:dyDescent="0.25">
      <c r="A852" s="37" t="s">
        <v>173</v>
      </c>
      <c r="B852" s="94">
        <v>45702</v>
      </c>
      <c r="C852" s="37" t="s">
        <v>2621</v>
      </c>
      <c r="D852" s="94">
        <v>45702</v>
      </c>
      <c r="E852" s="37" t="s">
        <v>2491</v>
      </c>
      <c r="F852" s="101">
        <f t="shared" si="25"/>
        <v>6.6666666665696539E-2</v>
      </c>
    </row>
    <row r="853" spans="1:6" x14ac:dyDescent="0.25">
      <c r="A853" s="37" t="s">
        <v>162</v>
      </c>
      <c r="B853" s="94">
        <v>45702</v>
      </c>
      <c r="C853" s="37" t="s">
        <v>2621</v>
      </c>
      <c r="D853" s="94">
        <v>45702</v>
      </c>
      <c r="E853" s="37" t="s">
        <v>1125</v>
      </c>
      <c r="F853" s="101">
        <f t="shared" si="25"/>
        <v>5.3472222221898846E-2</v>
      </c>
    </row>
    <row r="854" spans="1:6" x14ac:dyDescent="0.25">
      <c r="A854" s="37" t="s">
        <v>160</v>
      </c>
      <c r="B854" s="94">
        <v>45702</v>
      </c>
      <c r="C854" s="37" t="s">
        <v>156</v>
      </c>
      <c r="D854" s="94">
        <v>45703</v>
      </c>
      <c r="E854" s="37" t="s">
        <v>2699</v>
      </c>
      <c r="F854" s="101">
        <f t="shared" si="25"/>
        <v>0.55555555555474712</v>
      </c>
    </row>
    <row r="855" spans="1:6" x14ac:dyDescent="0.25">
      <c r="A855" s="37" t="s">
        <v>268</v>
      </c>
      <c r="B855" s="94">
        <v>45702</v>
      </c>
      <c r="C855" s="37" t="s">
        <v>2625</v>
      </c>
      <c r="D855" s="94">
        <v>45702</v>
      </c>
      <c r="E855" s="37" t="s">
        <v>2666</v>
      </c>
      <c r="F855" s="101">
        <f t="shared" si="25"/>
        <v>0.21944444444670808</v>
      </c>
    </row>
    <row r="856" spans="1:6" x14ac:dyDescent="0.25">
      <c r="A856" s="37" t="s">
        <v>150</v>
      </c>
      <c r="B856" s="94">
        <v>45702</v>
      </c>
      <c r="C856" s="37" t="s">
        <v>2639</v>
      </c>
      <c r="D856" s="94">
        <v>45708</v>
      </c>
      <c r="E856" s="37" t="s">
        <v>2042</v>
      </c>
      <c r="F856" s="101">
        <f>(D856 + TIME(LEFT(E856, 2), MID(E856, 3, 2), 0)) - (B856 + TIME(LEFT(C856, 2), MID(C856, 3, 2), 0))</f>
        <v>6.1041666666715173</v>
      </c>
    </row>
    <row r="857" spans="1:6" x14ac:dyDescent="0.25">
      <c r="A857" s="37" t="s">
        <v>175</v>
      </c>
      <c r="B857" s="94">
        <v>45702</v>
      </c>
      <c r="C857" s="37" t="s">
        <v>1870</v>
      </c>
      <c r="D857" s="94">
        <v>45704</v>
      </c>
      <c r="E857" s="37" t="s">
        <v>2547</v>
      </c>
      <c r="F857" s="101">
        <f t="shared" ref="F857:F904" si="26">(D857 + TIME(LEFT(E857, 2), MID(E857, 3, 2), 0)) - (B857 + TIME(LEFT(C857, 2), MID(C857, 3, 2), 0))</f>
        <v>2.4187499999970896</v>
      </c>
    </row>
    <row r="858" spans="1:6" x14ac:dyDescent="0.25">
      <c r="A858" s="37" t="s">
        <v>165</v>
      </c>
      <c r="B858" s="94">
        <v>45702</v>
      </c>
      <c r="C858" s="37" t="s">
        <v>1605</v>
      </c>
      <c r="D858" s="94">
        <v>45702</v>
      </c>
      <c r="E858" s="37" t="s">
        <v>802</v>
      </c>
      <c r="F858" s="101">
        <f t="shared" si="26"/>
        <v>7.0833333331393078E-2</v>
      </c>
    </row>
    <row r="859" spans="1:6" x14ac:dyDescent="0.25">
      <c r="A859" s="37" t="s">
        <v>168</v>
      </c>
      <c r="B859" s="94">
        <v>45702</v>
      </c>
      <c r="C859" s="37" t="s">
        <v>1605</v>
      </c>
      <c r="D859" s="94">
        <v>45702</v>
      </c>
      <c r="E859" s="37" t="s">
        <v>806</v>
      </c>
      <c r="F859" s="101">
        <f t="shared" si="26"/>
        <v>8.1250000002910383E-2</v>
      </c>
    </row>
    <row r="860" spans="1:6" x14ac:dyDescent="0.25">
      <c r="A860" s="37" t="s">
        <v>170</v>
      </c>
      <c r="B860" s="94">
        <v>45702</v>
      </c>
      <c r="C860" s="37" t="s">
        <v>1464</v>
      </c>
      <c r="D860" s="94">
        <v>45702</v>
      </c>
      <c r="E860" s="37" t="s">
        <v>1142</v>
      </c>
      <c r="F860" s="101">
        <f t="shared" si="26"/>
        <v>7.0833333338669036E-2</v>
      </c>
    </row>
    <row r="861" spans="1:6" x14ac:dyDescent="0.25">
      <c r="A861" s="37" t="s">
        <v>172</v>
      </c>
      <c r="B861" s="94">
        <v>45702</v>
      </c>
      <c r="C861" s="37" t="s">
        <v>2652</v>
      </c>
      <c r="D861" s="94">
        <v>45702</v>
      </c>
      <c r="E861" s="37" t="s">
        <v>2066</v>
      </c>
      <c r="F861" s="101">
        <f t="shared" si="26"/>
        <v>2.7083333334303461E-2</v>
      </c>
    </row>
    <row r="862" spans="1:6" x14ac:dyDescent="0.25">
      <c r="A862" s="37" t="s">
        <v>174</v>
      </c>
      <c r="B862" s="94">
        <v>45702</v>
      </c>
      <c r="C862" s="37" t="s">
        <v>2658</v>
      </c>
      <c r="D862" s="94">
        <v>45702</v>
      </c>
      <c r="E862" s="37" t="s">
        <v>2066</v>
      </c>
      <c r="F862" s="101">
        <f t="shared" si="26"/>
        <v>2.0833333328482695E-3</v>
      </c>
    </row>
    <row r="863" spans="1:6" x14ac:dyDescent="0.2">
      <c r="A863" s="37" t="s">
        <v>1474</v>
      </c>
      <c r="B863" s="94">
        <v>45702</v>
      </c>
      <c r="C863" s="37" t="s">
        <v>1775</v>
      </c>
      <c r="D863" s="85">
        <v>45702</v>
      </c>
      <c r="E863" s="23" t="s">
        <v>1788</v>
      </c>
      <c r="F863" s="101">
        <f t="shared" si="26"/>
        <v>9.9305555551836733E-2</v>
      </c>
    </row>
    <row r="864" spans="1:6" x14ac:dyDescent="0.25">
      <c r="A864" s="37" t="s">
        <v>155</v>
      </c>
      <c r="B864" s="94">
        <v>45702</v>
      </c>
      <c r="C864" s="37" t="s">
        <v>526</v>
      </c>
      <c r="D864" s="94">
        <v>45703</v>
      </c>
      <c r="E864" s="37" t="s">
        <v>1396</v>
      </c>
      <c r="F864" s="101">
        <f t="shared" si="26"/>
        <v>0.49375000000145519</v>
      </c>
    </row>
    <row r="865" spans="1:8" x14ac:dyDescent="0.25">
      <c r="A865" s="37" t="s">
        <v>159</v>
      </c>
      <c r="B865" s="94">
        <v>45702</v>
      </c>
      <c r="C865" s="37" t="s">
        <v>1344</v>
      </c>
      <c r="D865" s="94">
        <v>45703</v>
      </c>
      <c r="E865" s="37" t="s">
        <v>2710</v>
      </c>
      <c r="F865" s="101">
        <f t="shared" si="26"/>
        <v>0.51319444444379769</v>
      </c>
    </row>
    <row r="866" spans="1:8" x14ac:dyDescent="0.25">
      <c r="A866" s="37" t="s">
        <v>177</v>
      </c>
      <c r="B866" s="94">
        <v>45702</v>
      </c>
      <c r="C866" s="37" t="s">
        <v>1895</v>
      </c>
      <c r="D866" s="94">
        <v>45702</v>
      </c>
      <c r="E866" s="37" t="s">
        <v>1644</v>
      </c>
      <c r="F866" s="101">
        <f t="shared" si="26"/>
        <v>1.1805555550381541E-2</v>
      </c>
    </row>
    <row r="867" spans="1:8" x14ac:dyDescent="0.25">
      <c r="A867" s="37" t="s">
        <v>202</v>
      </c>
      <c r="B867" s="94">
        <v>45702</v>
      </c>
      <c r="C867" s="37" t="s">
        <v>1634</v>
      </c>
      <c r="D867" s="94">
        <v>45702</v>
      </c>
      <c r="E867" s="37" t="s">
        <v>2677</v>
      </c>
      <c r="F867" s="101">
        <f t="shared" si="26"/>
        <v>6.9444444379769266E-3</v>
      </c>
    </row>
    <row r="868" spans="1:8" x14ac:dyDescent="0.25">
      <c r="A868" s="37" t="s">
        <v>178</v>
      </c>
      <c r="B868" s="94">
        <v>45702</v>
      </c>
      <c r="C868" s="37" t="s">
        <v>2675</v>
      </c>
      <c r="D868" s="94">
        <v>45702</v>
      </c>
      <c r="E868" s="37" t="s">
        <v>1647</v>
      </c>
      <c r="F868" s="101">
        <f t="shared" si="26"/>
        <v>6.9444444452528842E-3</v>
      </c>
    </row>
    <row r="869" spans="1:8" x14ac:dyDescent="0.25">
      <c r="A869" s="37" t="s">
        <v>173</v>
      </c>
      <c r="B869" s="94">
        <v>45702</v>
      </c>
      <c r="C869" s="37" t="s">
        <v>2678</v>
      </c>
      <c r="D869" s="94">
        <v>45702</v>
      </c>
      <c r="E869" s="37" t="s">
        <v>2685</v>
      </c>
      <c r="F869" s="101">
        <f t="shared" si="26"/>
        <v>2.9166666667151731E-2</v>
      </c>
    </row>
    <row r="870" spans="1:8" x14ac:dyDescent="0.25">
      <c r="A870" s="37" t="s">
        <v>162</v>
      </c>
      <c r="B870" s="94">
        <v>45702</v>
      </c>
      <c r="C870" s="37" t="s">
        <v>2678</v>
      </c>
      <c r="D870" s="94">
        <v>45702</v>
      </c>
      <c r="E870" s="37" t="s">
        <v>2684</v>
      </c>
      <c r="F870" s="101">
        <f t="shared" si="26"/>
        <v>8.333333331393078E-3</v>
      </c>
    </row>
    <row r="871" spans="1:8" x14ac:dyDescent="0.25">
      <c r="A871" s="37" t="s">
        <v>161</v>
      </c>
      <c r="B871" s="94">
        <v>45702</v>
      </c>
      <c r="C871" s="37" t="s">
        <v>2678</v>
      </c>
      <c r="D871" s="94">
        <v>45702</v>
      </c>
      <c r="E871" s="37" t="s">
        <v>2387</v>
      </c>
      <c r="F871" s="101">
        <f t="shared" si="26"/>
        <v>4.8611111124046147E-3</v>
      </c>
    </row>
    <row r="872" spans="1:8" x14ac:dyDescent="0.25">
      <c r="A872" s="37" t="s">
        <v>164</v>
      </c>
      <c r="B872" s="94">
        <v>45702</v>
      </c>
      <c r="C872" s="37" t="s">
        <v>2678</v>
      </c>
      <c r="D872" s="94">
        <v>45702</v>
      </c>
      <c r="E872" s="37" t="s">
        <v>267</v>
      </c>
      <c r="F872" s="101">
        <f t="shared" si="26"/>
        <v>4.0277777778101154E-2</v>
      </c>
    </row>
    <row r="873" spans="1:8" x14ac:dyDescent="0.25">
      <c r="A873" s="37" t="s">
        <v>1474</v>
      </c>
      <c r="B873" s="94">
        <v>45702</v>
      </c>
      <c r="C873" s="37" t="s">
        <v>2387</v>
      </c>
      <c r="D873" s="94">
        <v>45702</v>
      </c>
      <c r="E873" s="37" t="s">
        <v>2687</v>
      </c>
      <c r="F873" s="101">
        <f t="shared" si="26"/>
        <v>6.0416666659875773E-2</v>
      </c>
      <c r="H873" s="95" t="s">
        <v>2690</v>
      </c>
    </row>
    <row r="874" spans="1:8" x14ac:dyDescent="0.25">
      <c r="A874" s="37" t="s">
        <v>157</v>
      </c>
      <c r="B874" s="94">
        <v>45703</v>
      </c>
      <c r="C874" s="37" t="s">
        <v>2748</v>
      </c>
      <c r="D874" s="94">
        <v>45704</v>
      </c>
      <c r="E874" s="37" t="s">
        <v>741</v>
      </c>
      <c r="F874" s="101">
        <f t="shared" si="26"/>
        <v>0.6993055555576575</v>
      </c>
    </row>
    <row r="875" spans="1:8" x14ac:dyDescent="0.25">
      <c r="A875" s="37" t="s">
        <v>165</v>
      </c>
      <c r="B875" s="94">
        <v>45702</v>
      </c>
      <c r="C875" s="37" t="s">
        <v>258</v>
      </c>
      <c r="D875" s="94">
        <v>45702</v>
      </c>
      <c r="E875" s="37" t="s">
        <v>258</v>
      </c>
      <c r="F875" s="101">
        <f t="shared" si="26"/>
        <v>0</v>
      </c>
    </row>
    <row r="876" spans="1:8" x14ac:dyDescent="0.25">
      <c r="A876" s="37" t="s">
        <v>165</v>
      </c>
      <c r="B876" s="94">
        <v>45702</v>
      </c>
      <c r="C876" s="37" t="s">
        <v>258</v>
      </c>
      <c r="D876" s="94">
        <v>45703</v>
      </c>
      <c r="E876" s="37" t="s">
        <v>1421</v>
      </c>
      <c r="F876" s="101">
        <f t="shared" si="26"/>
        <v>0.40555555556056788</v>
      </c>
      <c r="G876" s="37" t="s">
        <v>9</v>
      </c>
    </row>
    <row r="877" spans="1:8" x14ac:dyDescent="0.25">
      <c r="A877" s="37" t="s">
        <v>262</v>
      </c>
      <c r="B877" s="94">
        <v>45703</v>
      </c>
      <c r="C877" s="37" t="s">
        <v>196</v>
      </c>
      <c r="D877" s="94">
        <v>45704</v>
      </c>
      <c r="E877" s="37" t="s">
        <v>908</v>
      </c>
      <c r="F877" s="101">
        <f t="shared" si="26"/>
        <v>0.80972222222044365</v>
      </c>
    </row>
    <row r="878" spans="1:8" x14ac:dyDescent="0.25">
      <c r="A878" s="37" t="s">
        <v>154</v>
      </c>
      <c r="B878" s="94">
        <v>45703</v>
      </c>
      <c r="C878" s="37" t="s">
        <v>2165</v>
      </c>
      <c r="D878" s="94">
        <v>45703</v>
      </c>
      <c r="E878" s="37" t="s">
        <v>1530</v>
      </c>
      <c r="F878" s="101">
        <f t="shared" si="26"/>
        <v>0.59375</v>
      </c>
    </row>
    <row r="879" spans="1:8" x14ac:dyDescent="0.25">
      <c r="A879" s="37" t="s">
        <v>151</v>
      </c>
      <c r="B879" s="94">
        <v>45703</v>
      </c>
      <c r="C879" s="37" t="s">
        <v>547</v>
      </c>
      <c r="D879" s="94">
        <v>45703</v>
      </c>
      <c r="E879" s="37" t="s">
        <v>953</v>
      </c>
      <c r="F879" s="101">
        <f t="shared" si="26"/>
        <v>0.34097222222044365</v>
      </c>
    </row>
    <row r="880" spans="1:8" x14ac:dyDescent="0.25">
      <c r="A880" s="37" t="s">
        <v>166</v>
      </c>
      <c r="B880" s="94">
        <v>45703</v>
      </c>
      <c r="C880" s="37" t="s">
        <v>1382</v>
      </c>
      <c r="D880" s="94">
        <v>45703</v>
      </c>
      <c r="E880" s="37" t="s">
        <v>167</v>
      </c>
      <c r="F880" s="101">
        <f t="shared" si="26"/>
        <v>0.44583333333139308</v>
      </c>
    </row>
    <row r="881" spans="1:6" x14ac:dyDescent="0.25">
      <c r="A881" s="398" t="s">
        <v>160</v>
      </c>
      <c r="B881" s="94">
        <v>45703</v>
      </c>
      <c r="C881" s="37" t="s">
        <v>2702</v>
      </c>
      <c r="D881" s="94">
        <v>45703</v>
      </c>
      <c r="E881" s="37" t="s">
        <v>528</v>
      </c>
      <c r="F881" s="101">
        <f t="shared" si="26"/>
        <v>0.50763888889196096</v>
      </c>
    </row>
    <row r="882" spans="1:6" x14ac:dyDescent="0.25">
      <c r="A882" s="37" t="s">
        <v>264</v>
      </c>
      <c r="B882" s="94">
        <v>45703</v>
      </c>
      <c r="C882" s="37" t="s">
        <v>595</v>
      </c>
      <c r="D882" s="94">
        <v>45704</v>
      </c>
      <c r="E882" s="37" t="s">
        <v>908</v>
      </c>
      <c r="F882" s="101">
        <f t="shared" si="26"/>
        <v>0.84305555555329192</v>
      </c>
    </row>
    <row r="883" spans="1:6" x14ac:dyDescent="0.25">
      <c r="A883" s="37" t="s">
        <v>186</v>
      </c>
      <c r="B883" s="94">
        <v>45703</v>
      </c>
      <c r="C883" s="37" t="s">
        <v>2705</v>
      </c>
      <c r="D883" s="94">
        <v>45704</v>
      </c>
      <c r="E883" s="37" t="s">
        <v>2863</v>
      </c>
      <c r="F883" s="101">
        <f t="shared" si="26"/>
        <v>1.7395833333284827</v>
      </c>
    </row>
    <row r="884" spans="1:6" x14ac:dyDescent="0.25">
      <c r="A884" s="37" t="s">
        <v>194</v>
      </c>
      <c r="B884" s="94">
        <v>45703</v>
      </c>
      <c r="C884" s="37" t="s">
        <v>983</v>
      </c>
      <c r="D884" s="94">
        <v>45704</v>
      </c>
      <c r="E884" s="37" t="s">
        <v>2761</v>
      </c>
      <c r="F884" s="101">
        <f t="shared" si="26"/>
        <v>0.41458333333139308</v>
      </c>
    </row>
    <row r="885" spans="1:6" x14ac:dyDescent="0.25">
      <c r="A885" s="37" t="s">
        <v>169</v>
      </c>
      <c r="B885" s="94">
        <v>45703</v>
      </c>
      <c r="C885" s="37" t="s">
        <v>2708</v>
      </c>
      <c r="D885" s="94">
        <v>45703</v>
      </c>
      <c r="E885" s="37" t="s">
        <v>1346</v>
      </c>
      <c r="F885" s="101">
        <f t="shared" si="26"/>
        <v>0.4881944444423425</v>
      </c>
    </row>
    <row r="886" spans="1:6" x14ac:dyDescent="0.25">
      <c r="A886" s="37" t="s">
        <v>159</v>
      </c>
      <c r="B886" s="94">
        <v>45703</v>
      </c>
      <c r="C886" s="37" t="s">
        <v>1344</v>
      </c>
      <c r="D886" s="94">
        <v>45704</v>
      </c>
      <c r="E886" s="37" t="s">
        <v>255</v>
      </c>
      <c r="F886" s="101">
        <f t="shared" si="26"/>
        <v>0.58472222222189885</v>
      </c>
    </row>
    <row r="887" spans="1:6" x14ac:dyDescent="0.25">
      <c r="A887" s="37" t="s">
        <v>165</v>
      </c>
      <c r="B887" s="94">
        <v>45703</v>
      </c>
      <c r="C887" s="37" t="s">
        <v>1421</v>
      </c>
      <c r="D887" s="94">
        <v>45703</v>
      </c>
      <c r="E887" s="37" t="s">
        <v>1989</v>
      </c>
      <c r="F887" s="101">
        <f t="shared" si="26"/>
        <v>3.4027777772280388E-2</v>
      </c>
    </row>
    <row r="888" spans="1:6" x14ac:dyDescent="0.25">
      <c r="A888" s="37" t="s">
        <v>168</v>
      </c>
      <c r="B888" s="94">
        <v>45703</v>
      </c>
      <c r="C888" s="37" t="s">
        <v>255</v>
      </c>
      <c r="D888" s="94">
        <v>45703</v>
      </c>
      <c r="E888" s="37" t="s">
        <v>2719</v>
      </c>
      <c r="F888" s="101">
        <f t="shared" si="26"/>
        <v>3.5416666665696539E-2</v>
      </c>
    </row>
    <row r="889" spans="1:6" x14ac:dyDescent="0.25">
      <c r="A889" s="37" t="s">
        <v>174</v>
      </c>
      <c r="B889" s="94">
        <v>45703</v>
      </c>
      <c r="C889" s="37" t="s">
        <v>750</v>
      </c>
      <c r="D889" s="94">
        <v>45703</v>
      </c>
      <c r="E889" s="37" t="s">
        <v>955</v>
      </c>
      <c r="F889" s="101">
        <f t="shared" si="26"/>
        <v>1.3888888934161514E-3</v>
      </c>
    </row>
    <row r="890" spans="1:6" x14ac:dyDescent="0.25">
      <c r="A890" s="37" t="s">
        <v>172</v>
      </c>
      <c r="B890" s="94">
        <v>45703</v>
      </c>
      <c r="C890" s="37" t="s">
        <v>744</v>
      </c>
      <c r="D890" s="94">
        <v>45703</v>
      </c>
      <c r="E890" s="37" t="s">
        <v>2730</v>
      </c>
      <c r="F890" s="101">
        <f t="shared" si="26"/>
        <v>0.14861111110803904</v>
      </c>
    </row>
    <row r="891" spans="1:6" x14ac:dyDescent="0.25">
      <c r="A891" s="37" t="s">
        <v>174</v>
      </c>
      <c r="B891" s="94">
        <v>45703</v>
      </c>
      <c r="C891" s="37" t="s">
        <v>604</v>
      </c>
      <c r="D891" s="94">
        <v>45703</v>
      </c>
      <c r="E891" s="37" t="s">
        <v>2736</v>
      </c>
      <c r="F891" s="101">
        <f t="shared" si="26"/>
        <v>0.22013888888614019</v>
      </c>
    </row>
    <row r="892" spans="1:6" x14ac:dyDescent="0.25">
      <c r="A892" s="37" t="s">
        <v>202</v>
      </c>
      <c r="B892" s="94">
        <v>45703</v>
      </c>
      <c r="C892" s="37" t="s">
        <v>2461</v>
      </c>
      <c r="D892" s="94">
        <v>45703</v>
      </c>
      <c r="E892" s="37" t="s">
        <v>146</v>
      </c>
      <c r="F892" s="101">
        <f t="shared" si="26"/>
        <v>0.21875</v>
      </c>
    </row>
    <row r="893" spans="1:6" x14ac:dyDescent="0.25">
      <c r="A893" s="37" t="s">
        <v>177</v>
      </c>
      <c r="B893" s="94">
        <v>45703</v>
      </c>
      <c r="C893" s="37" t="s">
        <v>1277</v>
      </c>
      <c r="D893" s="94">
        <v>45703</v>
      </c>
      <c r="E893" s="37" t="s">
        <v>146</v>
      </c>
      <c r="F893" s="101">
        <f t="shared" si="26"/>
        <v>0.21388888888759539</v>
      </c>
    </row>
    <row r="894" spans="1:6" x14ac:dyDescent="0.25">
      <c r="A894" s="37" t="s">
        <v>178</v>
      </c>
      <c r="B894" s="94">
        <v>45703</v>
      </c>
      <c r="C894" s="37" t="s">
        <v>1444</v>
      </c>
      <c r="D894" s="94">
        <v>45703</v>
      </c>
      <c r="E894" s="37" t="s">
        <v>2743</v>
      </c>
      <c r="F894" s="101">
        <f t="shared" si="26"/>
        <v>0.21319444444088731</v>
      </c>
    </row>
    <row r="895" spans="1:6" x14ac:dyDescent="0.25">
      <c r="A895" s="37" t="s">
        <v>170</v>
      </c>
      <c r="B895" s="94">
        <v>45703</v>
      </c>
      <c r="C895" s="37" t="s">
        <v>1104</v>
      </c>
      <c r="D895" s="94">
        <v>45703</v>
      </c>
      <c r="E895" s="37" t="s">
        <v>196</v>
      </c>
      <c r="F895" s="101">
        <f t="shared" si="26"/>
        <v>5.8333333334303461E-2</v>
      </c>
    </row>
    <row r="896" spans="1:6" x14ac:dyDescent="0.25">
      <c r="A896" s="37" t="s">
        <v>170</v>
      </c>
      <c r="B896" s="94">
        <v>45704</v>
      </c>
      <c r="C896" s="37" t="s">
        <v>2761</v>
      </c>
      <c r="D896" s="94">
        <v>45704</v>
      </c>
      <c r="E896" s="37" t="s">
        <v>886</v>
      </c>
      <c r="F896" s="101">
        <f t="shared" si="26"/>
        <v>1.7361111109494232E-2</v>
      </c>
    </row>
    <row r="897" spans="1:6" x14ac:dyDescent="0.25">
      <c r="A897" s="37" t="s">
        <v>161</v>
      </c>
      <c r="B897" s="94">
        <v>45703</v>
      </c>
      <c r="C897" s="37" t="s">
        <v>2728</v>
      </c>
      <c r="D897" s="94">
        <v>45703</v>
      </c>
      <c r="E897" s="37" t="s">
        <v>2743</v>
      </c>
      <c r="F897" s="101">
        <f t="shared" si="26"/>
        <v>0.15694444444670808</v>
      </c>
    </row>
    <row r="898" spans="1:6" x14ac:dyDescent="0.25">
      <c r="A898" s="37" t="s">
        <v>172</v>
      </c>
      <c r="B898" s="94">
        <v>45703</v>
      </c>
      <c r="C898" s="37" t="s">
        <v>784</v>
      </c>
      <c r="D898" s="94">
        <v>45703</v>
      </c>
      <c r="E898" s="37" t="s">
        <v>2736</v>
      </c>
      <c r="F898" s="101">
        <f t="shared" si="26"/>
        <v>5.3472222221898846E-2</v>
      </c>
    </row>
    <row r="899" spans="1:6" x14ac:dyDescent="0.25">
      <c r="A899" s="37" t="s">
        <v>162</v>
      </c>
      <c r="B899" s="94">
        <v>45703</v>
      </c>
      <c r="C899" s="37" t="s">
        <v>1132</v>
      </c>
      <c r="D899" s="94">
        <v>45703</v>
      </c>
      <c r="E899" s="37" t="s">
        <v>1136</v>
      </c>
      <c r="F899" s="101">
        <f t="shared" si="26"/>
        <v>6.1111111113859806E-2</v>
      </c>
    </row>
    <row r="900" spans="1:6" x14ac:dyDescent="0.2">
      <c r="A900" s="37" t="s">
        <v>163</v>
      </c>
      <c r="B900" s="94">
        <v>45703</v>
      </c>
      <c r="C900" s="37" t="s">
        <v>790</v>
      </c>
      <c r="D900" s="85">
        <v>45703</v>
      </c>
      <c r="E900" s="23" t="s">
        <v>1136</v>
      </c>
      <c r="F900" s="101">
        <f t="shared" si="26"/>
        <v>3.888888889196096E-2</v>
      </c>
    </row>
    <row r="901" spans="1:6" x14ac:dyDescent="0.25">
      <c r="A901" s="37" t="s">
        <v>268</v>
      </c>
      <c r="B901" s="94">
        <v>45703</v>
      </c>
      <c r="C901" s="37" t="s">
        <v>2741</v>
      </c>
      <c r="D901" s="94">
        <v>45704</v>
      </c>
      <c r="E901" s="37" t="s">
        <v>908</v>
      </c>
      <c r="F901" s="101">
        <f t="shared" si="26"/>
        <v>0.61666666666133096</v>
      </c>
    </row>
    <row r="902" spans="1:6" x14ac:dyDescent="0.2">
      <c r="A902" s="37" t="s">
        <v>163</v>
      </c>
      <c r="B902" s="85">
        <v>45704</v>
      </c>
      <c r="C902" s="23" t="s">
        <v>2802</v>
      </c>
      <c r="D902" s="94">
        <v>45704</v>
      </c>
      <c r="E902" s="37" t="s">
        <v>2815</v>
      </c>
      <c r="F902" s="101">
        <f t="shared" si="26"/>
        <v>5.4861111115314998E-2</v>
      </c>
    </row>
    <row r="903" spans="1:6" x14ac:dyDescent="0.25">
      <c r="A903" s="37" t="s">
        <v>1474</v>
      </c>
      <c r="B903" s="94">
        <v>45703</v>
      </c>
      <c r="C903" s="37" t="s">
        <v>2750</v>
      </c>
      <c r="D903" s="94">
        <v>45704</v>
      </c>
      <c r="E903" s="37" t="s">
        <v>2825</v>
      </c>
      <c r="F903" s="101">
        <f t="shared" si="26"/>
        <v>0.99722222222044365</v>
      </c>
    </row>
    <row r="904" spans="1:6" x14ac:dyDescent="0.25">
      <c r="A904" s="37" t="s">
        <v>166</v>
      </c>
      <c r="B904" s="94">
        <v>45703</v>
      </c>
      <c r="C904" s="37" t="s">
        <v>526</v>
      </c>
      <c r="D904" s="94">
        <v>45705</v>
      </c>
      <c r="E904" s="37" t="s">
        <v>1201</v>
      </c>
      <c r="F904" s="101">
        <f t="shared" si="26"/>
        <v>2.1256944444467081</v>
      </c>
    </row>
    <row r="905" spans="1:6" x14ac:dyDescent="0.25">
      <c r="A905" s="37" t="s">
        <v>158</v>
      </c>
      <c r="B905" s="94">
        <v>45704</v>
      </c>
      <c r="C905" s="37" t="s">
        <v>1971</v>
      </c>
    </row>
    <row r="906" spans="1:6" x14ac:dyDescent="0.25">
      <c r="A906" s="37" t="s">
        <v>263</v>
      </c>
      <c r="B906" s="94">
        <v>45702</v>
      </c>
      <c r="C906" s="37" t="s">
        <v>951</v>
      </c>
      <c r="D906" s="94">
        <v>45703</v>
      </c>
      <c r="E906" s="37" t="s">
        <v>240</v>
      </c>
      <c r="F906" s="101">
        <f t="shared" ref="F906:F934" si="27">(D906 + TIME(LEFT(E906, 2), MID(E906, 3, 2), 0)) - (B906 + TIME(LEFT(C906, 2), MID(C906, 3, 2), 0))</f>
        <v>1.570138888884685</v>
      </c>
    </row>
    <row r="907" spans="1:6" x14ac:dyDescent="0.25">
      <c r="A907" s="37" t="s">
        <v>154</v>
      </c>
      <c r="B907" s="94">
        <v>45704</v>
      </c>
      <c r="C907" s="37" t="s">
        <v>2827</v>
      </c>
      <c r="D907" s="94">
        <v>45705</v>
      </c>
      <c r="E907" s="37" t="s">
        <v>2871</v>
      </c>
      <c r="F907" s="101">
        <f t="shared" si="27"/>
        <v>0.30694444444816327</v>
      </c>
    </row>
    <row r="908" spans="1:6" x14ac:dyDescent="0.25">
      <c r="A908" s="37" t="s">
        <v>194</v>
      </c>
      <c r="B908" s="94">
        <v>45704</v>
      </c>
      <c r="C908" s="37" t="s">
        <v>257</v>
      </c>
      <c r="D908" s="94">
        <v>45704</v>
      </c>
      <c r="E908" s="37" t="s">
        <v>2205</v>
      </c>
      <c r="F908" s="101">
        <f t="shared" si="27"/>
        <v>0.26041666666424135</v>
      </c>
    </row>
    <row r="909" spans="1:6" x14ac:dyDescent="0.25">
      <c r="A909" s="37" t="s">
        <v>173</v>
      </c>
      <c r="B909" s="94">
        <v>45704</v>
      </c>
      <c r="C909" s="37" t="s">
        <v>2761</v>
      </c>
      <c r="D909" s="94">
        <v>45704</v>
      </c>
      <c r="E909" s="37" t="s">
        <v>1382</v>
      </c>
      <c r="F909" s="101">
        <f t="shared" si="27"/>
        <v>2.7777777795563452E-3</v>
      </c>
    </row>
    <row r="910" spans="1:6" x14ac:dyDescent="0.25">
      <c r="A910" s="37" t="s">
        <v>164</v>
      </c>
      <c r="B910" s="94">
        <v>45704</v>
      </c>
      <c r="C910" s="37" t="s">
        <v>2761</v>
      </c>
      <c r="D910" s="94">
        <v>45704</v>
      </c>
      <c r="E910" s="37" t="s">
        <v>1385</v>
      </c>
      <c r="F910" s="101">
        <f t="shared" si="27"/>
        <v>7.6388888919609599E-3</v>
      </c>
    </row>
    <row r="911" spans="1:6" x14ac:dyDescent="0.25">
      <c r="A911" s="37" t="s">
        <v>165</v>
      </c>
      <c r="B911" s="94">
        <v>45704</v>
      </c>
      <c r="C911" s="37" t="s">
        <v>2761</v>
      </c>
      <c r="D911" s="94">
        <v>45704</v>
      </c>
      <c r="E911" s="37" t="s">
        <v>2768</v>
      </c>
      <c r="F911" s="101">
        <f t="shared" si="27"/>
        <v>4.166666665696539E-3</v>
      </c>
    </row>
    <row r="912" spans="1:6" x14ac:dyDescent="0.25">
      <c r="A912" s="37" t="s">
        <v>168</v>
      </c>
      <c r="B912" s="94">
        <v>45704</v>
      </c>
      <c r="C912" s="37" t="s">
        <v>2761</v>
      </c>
      <c r="D912" s="94">
        <v>45704</v>
      </c>
      <c r="E912" s="37" t="s">
        <v>2769</v>
      </c>
      <c r="F912" s="101">
        <f t="shared" si="27"/>
        <v>1.6666666670062114E-2</v>
      </c>
    </row>
    <row r="913" spans="1:6" x14ac:dyDescent="0.25">
      <c r="A913" s="37" t="s">
        <v>170</v>
      </c>
      <c r="B913" s="94">
        <v>45704</v>
      </c>
      <c r="C913" s="37" t="s">
        <v>1628</v>
      </c>
      <c r="D913" s="94">
        <v>45704</v>
      </c>
      <c r="E913" s="37" t="s">
        <v>2847</v>
      </c>
      <c r="F913" s="101">
        <f t="shared" si="27"/>
        <v>9.930555555911269E-2</v>
      </c>
    </row>
    <row r="914" spans="1:6" x14ac:dyDescent="0.25">
      <c r="A914" s="37" t="s">
        <v>151</v>
      </c>
      <c r="B914" s="94">
        <v>45704</v>
      </c>
      <c r="C914" s="37" t="s">
        <v>1376</v>
      </c>
      <c r="D914" s="94">
        <v>45704</v>
      </c>
      <c r="E914" s="37" t="s">
        <v>2779</v>
      </c>
      <c r="F914" s="101">
        <f t="shared" si="27"/>
        <v>0.27291666666860692</v>
      </c>
    </row>
    <row r="915" spans="1:6" x14ac:dyDescent="0.25">
      <c r="A915" s="37" t="s">
        <v>265</v>
      </c>
      <c r="B915" s="94">
        <v>45701</v>
      </c>
      <c r="C915" s="37" t="s">
        <v>254</v>
      </c>
      <c r="D915" s="94">
        <v>45704</v>
      </c>
      <c r="E915" s="37" t="s">
        <v>908</v>
      </c>
      <c r="F915" s="101">
        <f t="shared" si="27"/>
        <v>2.9208333333299379</v>
      </c>
    </row>
    <row r="916" spans="1:6" x14ac:dyDescent="0.25">
      <c r="A916" s="37" t="s">
        <v>174</v>
      </c>
      <c r="B916" s="94">
        <v>45704</v>
      </c>
      <c r="C916" s="37" t="s">
        <v>1574</v>
      </c>
      <c r="D916" s="94">
        <v>45704</v>
      </c>
      <c r="E916" s="37" t="s">
        <v>1747</v>
      </c>
      <c r="F916" s="101">
        <f t="shared" si="27"/>
        <v>0.18611111111385981</v>
      </c>
    </row>
    <row r="917" spans="1:6" x14ac:dyDescent="0.25">
      <c r="A917" s="37" t="s">
        <v>260</v>
      </c>
      <c r="B917" s="94">
        <v>45704</v>
      </c>
      <c r="C917" s="37" t="s">
        <v>2589</v>
      </c>
      <c r="D917" s="94">
        <v>45705</v>
      </c>
      <c r="E917" s="37" t="s">
        <v>2899</v>
      </c>
      <c r="F917" s="101">
        <f t="shared" si="27"/>
        <v>1.0999999999985448</v>
      </c>
    </row>
    <row r="918" spans="1:6" x14ac:dyDescent="0.25">
      <c r="A918" s="37" t="s">
        <v>264</v>
      </c>
      <c r="B918" s="94">
        <v>45704</v>
      </c>
      <c r="C918" s="37" t="s">
        <v>2589</v>
      </c>
      <c r="D918" s="94">
        <v>45704</v>
      </c>
      <c r="E918" s="37" t="s">
        <v>2820</v>
      </c>
      <c r="F918" s="101">
        <f t="shared" si="27"/>
        <v>0.30347222222189885</v>
      </c>
    </row>
    <row r="919" spans="1:6" x14ac:dyDescent="0.25">
      <c r="A919" s="37" t="s">
        <v>265</v>
      </c>
      <c r="B919" s="94">
        <v>45704</v>
      </c>
      <c r="C919" s="37" t="s">
        <v>2589</v>
      </c>
      <c r="D919" s="94">
        <v>45705</v>
      </c>
      <c r="E919" s="37" t="s">
        <v>2899</v>
      </c>
      <c r="F919" s="101">
        <f t="shared" si="27"/>
        <v>1.0999999999985448</v>
      </c>
    </row>
    <row r="920" spans="1:6" x14ac:dyDescent="0.25">
      <c r="A920" s="37" t="s">
        <v>261</v>
      </c>
      <c r="B920" s="94">
        <v>45704</v>
      </c>
      <c r="C920" s="37" t="s">
        <v>2589</v>
      </c>
      <c r="D920" s="94">
        <v>45705</v>
      </c>
      <c r="E920" s="37" t="s">
        <v>2899</v>
      </c>
      <c r="F920" s="101">
        <f t="shared" si="27"/>
        <v>1.0999999999985448</v>
      </c>
    </row>
    <row r="921" spans="1:6" x14ac:dyDescent="0.25">
      <c r="A921" s="37" t="s">
        <v>263</v>
      </c>
      <c r="B921" s="94">
        <v>45704</v>
      </c>
      <c r="C921" s="37" t="s">
        <v>1839</v>
      </c>
      <c r="D921" s="94">
        <v>45705</v>
      </c>
      <c r="E921" s="37" t="s">
        <v>2874</v>
      </c>
      <c r="F921" s="101">
        <f t="shared" si="27"/>
        <v>0.82986111110949423</v>
      </c>
    </row>
    <row r="922" spans="1:6" x14ac:dyDescent="0.25">
      <c r="A922" s="37" t="s">
        <v>172</v>
      </c>
      <c r="B922" s="94">
        <v>45704</v>
      </c>
      <c r="C922" s="37" t="s">
        <v>2785</v>
      </c>
      <c r="D922" s="94">
        <v>45704</v>
      </c>
      <c r="E922" s="37" t="s">
        <v>209</v>
      </c>
      <c r="F922" s="101">
        <f t="shared" si="27"/>
        <v>0.14236111111677019</v>
      </c>
    </row>
    <row r="923" spans="1:6" x14ac:dyDescent="0.25">
      <c r="A923" s="37" t="s">
        <v>202</v>
      </c>
      <c r="B923" s="94">
        <v>45704</v>
      </c>
      <c r="C923" s="37" t="s">
        <v>929</v>
      </c>
      <c r="D923" s="94">
        <v>45704</v>
      </c>
      <c r="E923" s="37" t="s">
        <v>1747</v>
      </c>
      <c r="F923" s="101">
        <f t="shared" si="27"/>
        <v>0.12916666666569654</v>
      </c>
    </row>
    <row r="924" spans="1:6" x14ac:dyDescent="0.25">
      <c r="A924" s="37" t="s">
        <v>157</v>
      </c>
      <c r="B924" s="94">
        <v>45704</v>
      </c>
      <c r="C924" s="37" t="s">
        <v>156</v>
      </c>
      <c r="D924" s="94">
        <v>45704</v>
      </c>
      <c r="E924" s="37" t="s">
        <v>2361</v>
      </c>
      <c r="F924" s="101">
        <f t="shared" si="27"/>
        <v>0.25694444444525288</v>
      </c>
    </row>
    <row r="925" spans="1:6" x14ac:dyDescent="0.25">
      <c r="A925" s="37" t="s">
        <v>169</v>
      </c>
      <c r="B925" s="94">
        <v>45704</v>
      </c>
      <c r="C925" s="37" t="s">
        <v>739</v>
      </c>
      <c r="D925" s="94">
        <v>45704</v>
      </c>
      <c r="E925" s="37" t="s">
        <v>185</v>
      </c>
      <c r="F925" s="101">
        <f t="shared" si="27"/>
        <v>0.45902777778246673</v>
      </c>
    </row>
    <row r="926" spans="1:6" x14ac:dyDescent="0.25">
      <c r="A926" s="37" t="s">
        <v>177</v>
      </c>
      <c r="B926" s="94">
        <v>45704</v>
      </c>
      <c r="C926" s="37" t="s">
        <v>2792</v>
      </c>
      <c r="D926" s="94">
        <v>45704</v>
      </c>
      <c r="E926" s="37" t="s">
        <v>2808</v>
      </c>
      <c r="F926" s="101">
        <f t="shared" si="27"/>
        <v>0.10972222221607808</v>
      </c>
    </row>
    <row r="927" spans="1:6" x14ac:dyDescent="0.25">
      <c r="A927" s="37" t="s">
        <v>178</v>
      </c>
      <c r="B927" s="94">
        <v>45704</v>
      </c>
      <c r="C927" s="37" t="s">
        <v>195</v>
      </c>
      <c r="D927" s="94">
        <v>45704</v>
      </c>
      <c r="E927" s="37" t="s">
        <v>2808</v>
      </c>
      <c r="F927" s="101">
        <f t="shared" si="27"/>
        <v>9.7222222218988463E-2</v>
      </c>
    </row>
    <row r="928" spans="1:6" x14ac:dyDescent="0.25">
      <c r="A928" s="37" t="s">
        <v>160</v>
      </c>
      <c r="B928" s="94">
        <v>45704</v>
      </c>
      <c r="C928" s="37" t="s">
        <v>1995</v>
      </c>
      <c r="D928" s="94">
        <v>45705</v>
      </c>
      <c r="E928" s="37" t="s">
        <v>1601</v>
      </c>
      <c r="F928" s="101">
        <f t="shared" si="27"/>
        <v>1.0847222222218988</v>
      </c>
    </row>
    <row r="929" spans="1:6" x14ac:dyDescent="0.25">
      <c r="A929" s="37" t="s">
        <v>155</v>
      </c>
      <c r="B929" s="94">
        <v>45703</v>
      </c>
      <c r="C929" s="37" t="s">
        <v>156</v>
      </c>
      <c r="D929" s="94">
        <v>45704</v>
      </c>
      <c r="E929" s="37" t="s">
        <v>1997</v>
      </c>
      <c r="F929" s="101">
        <f t="shared" si="27"/>
        <v>0.91736111111094942</v>
      </c>
    </row>
    <row r="930" spans="1:6" x14ac:dyDescent="0.25">
      <c r="A930" s="37" t="s">
        <v>262</v>
      </c>
      <c r="B930" s="94">
        <v>45704</v>
      </c>
      <c r="C930" s="37" t="s">
        <v>1731</v>
      </c>
      <c r="D930" s="94">
        <v>45705</v>
      </c>
      <c r="E930" s="37" t="s">
        <v>2899</v>
      </c>
      <c r="F930" s="101">
        <f t="shared" si="27"/>
        <v>1.0069444444452529</v>
      </c>
    </row>
    <row r="931" spans="1:6" x14ac:dyDescent="0.25">
      <c r="A931" s="37" t="s">
        <v>161</v>
      </c>
      <c r="B931" s="94">
        <v>45704</v>
      </c>
      <c r="C931" s="37" t="s">
        <v>1106</v>
      </c>
      <c r="D931" s="94">
        <v>45704</v>
      </c>
      <c r="E931" s="37" t="s">
        <v>2629</v>
      </c>
      <c r="F931" s="101">
        <f t="shared" si="27"/>
        <v>9.0972222220443655E-2</v>
      </c>
    </row>
    <row r="932" spans="1:6" x14ac:dyDescent="0.25">
      <c r="A932" s="37" t="s">
        <v>162</v>
      </c>
      <c r="B932" s="94">
        <v>45704</v>
      </c>
      <c r="C932" s="37" t="s">
        <v>971</v>
      </c>
      <c r="D932" s="94">
        <v>45704</v>
      </c>
      <c r="E932" s="37" t="s">
        <v>2813</v>
      </c>
      <c r="F932" s="101">
        <f t="shared" si="27"/>
        <v>5.8333333334303461E-2</v>
      </c>
    </row>
    <row r="933" spans="1:6" x14ac:dyDescent="0.25">
      <c r="A933" s="37" t="s">
        <v>173</v>
      </c>
      <c r="B933" s="94">
        <v>45704</v>
      </c>
      <c r="C933" s="37" t="s">
        <v>2312</v>
      </c>
      <c r="D933" s="94">
        <v>45704</v>
      </c>
      <c r="E933" s="37" t="s">
        <v>2815</v>
      </c>
      <c r="F933" s="101">
        <f t="shared" si="27"/>
        <v>5.7638888894871343E-2</v>
      </c>
    </row>
    <row r="934" spans="1:6" x14ac:dyDescent="0.25">
      <c r="A934" s="37" t="s">
        <v>164</v>
      </c>
      <c r="B934" s="94">
        <v>45704</v>
      </c>
      <c r="C934" s="37" t="s">
        <v>2802</v>
      </c>
      <c r="D934" s="94">
        <v>45704</v>
      </c>
      <c r="E934" s="37" t="s">
        <v>2818</v>
      </c>
      <c r="F934" s="101">
        <f t="shared" si="27"/>
        <v>5.6944444448163267E-2</v>
      </c>
    </row>
    <row r="935" spans="1:6" x14ac:dyDescent="0.25">
      <c r="A935" s="37" t="s">
        <v>151</v>
      </c>
      <c r="B935" s="94">
        <v>45704</v>
      </c>
      <c r="C935" s="37" t="s">
        <v>2823</v>
      </c>
      <c r="D935" s="94">
        <v>45707</v>
      </c>
      <c r="E935" s="37" t="s">
        <v>2325</v>
      </c>
      <c r="F935" s="101">
        <f>(D935 + TIME(LEFT(E935, 2), MID(E935, 3, 2), 0)) - (B935 + TIME(LEFT(C935, 2), MID(C935, 3, 2), 0))</f>
        <v>2.8249999999970896</v>
      </c>
    </row>
    <row r="936" spans="1:6" x14ac:dyDescent="0.25">
      <c r="A936" s="37" t="s">
        <v>165</v>
      </c>
      <c r="B936" s="94">
        <v>45704</v>
      </c>
      <c r="C936" s="37" t="s">
        <v>1882</v>
      </c>
      <c r="D936" s="94">
        <v>45704</v>
      </c>
      <c r="E936" s="37" t="s">
        <v>1904</v>
      </c>
      <c r="F936" s="101">
        <f t="shared" ref="F936:F945" si="28">(D936 + TIME(LEFT(E936, 2), MID(E936, 3, 2), 0)) - (B936 + TIME(LEFT(C936, 2), MID(C936, 3, 2), 0))</f>
        <v>8.4027777775190771E-2</v>
      </c>
    </row>
    <row r="937" spans="1:6" x14ac:dyDescent="0.25">
      <c r="A937" s="37" t="s">
        <v>168</v>
      </c>
      <c r="B937" s="94">
        <v>45704</v>
      </c>
      <c r="C937" s="37" t="s">
        <v>259</v>
      </c>
      <c r="D937" s="94">
        <v>45704</v>
      </c>
      <c r="E937" s="37" t="s">
        <v>1194</v>
      </c>
      <c r="F937" s="101">
        <f t="shared" si="28"/>
        <v>8.8888888887595385E-2</v>
      </c>
    </row>
    <row r="938" spans="1:6" x14ac:dyDescent="0.25">
      <c r="A938" s="37" t="s">
        <v>194</v>
      </c>
      <c r="B938" s="94">
        <v>45704</v>
      </c>
      <c r="C938" s="37" t="s">
        <v>2211</v>
      </c>
      <c r="D938" s="94">
        <v>45704</v>
      </c>
      <c r="E938" s="37" t="s">
        <v>2677</v>
      </c>
      <c r="F938" s="101">
        <f t="shared" si="28"/>
        <v>3.2638888886140194E-2</v>
      </c>
    </row>
    <row r="939" spans="1:6" x14ac:dyDescent="0.25">
      <c r="A939" s="37" t="s">
        <v>172</v>
      </c>
      <c r="B939" s="94">
        <v>45704</v>
      </c>
      <c r="C939" s="37" t="s">
        <v>1349</v>
      </c>
      <c r="D939" s="94">
        <v>45704</v>
      </c>
      <c r="E939" s="37" t="s">
        <v>2849</v>
      </c>
      <c r="F939" s="101">
        <f t="shared" si="28"/>
        <v>9.1666666667151731E-2</v>
      </c>
    </row>
    <row r="940" spans="1:6" x14ac:dyDescent="0.25">
      <c r="A940" s="37" t="s">
        <v>174</v>
      </c>
      <c r="B940" s="94">
        <v>45704</v>
      </c>
      <c r="C940" s="37" t="s">
        <v>1008</v>
      </c>
      <c r="D940" s="94">
        <v>45704</v>
      </c>
      <c r="E940" s="37" t="s">
        <v>1496</v>
      </c>
      <c r="F940" s="101">
        <f t="shared" si="28"/>
        <v>0.11180555555620231</v>
      </c>
    </row>
    <row r="941" spans="1:6" x14ac:dyDescent="0.25">
      <c r="A941" s="37" t="s">
        <v>264</v>
      </c>
      <c r="B941" s="94">
        <v>45704</v>
      </c>
      <c r="C941" s="37" t="s">
        <v>2837</v>
      </c>
      <c r="D941" s="94">
        <v>45704</v>
      </c>
      <c r="E941" s="37" t="s">
        <v>1217</v>
      </c>
      <c r="F941" s="101">
        <f t="shared" si="28"/>
        <v>0.17708333333575865</v>
      </c>
    </row>
    <row r="942" spans="1:6" x14ac:dyDescent="0.25">
      <c r="A942" s="37" t="s">
        <v>178</v>
      </c>
      <c r="B942" s="94">
        <v>45704</v>
      </c>
      <c r="C942" s="37" t="s">
        <v>1353</v>
      </c>
      <c r="D942" s="94">
        <v>45704</v>
      </c>
      <c r="E942" s="37" t="s">
        <v>2852</v>
      </c>
      <c r="F942" s="101">
        <f t="shared" si="28"/>
        <v>0.10694444444379769</v>
      </c>
    </row>
    <row r="943" spans="1:6" x14ac:dyDescent="0.25">
      <c r="A943" s="37" t="s">
        <v>161</v>
      </c>
      <c r="B943" s="94">
        <v>45704</v>
      </c>
      <c r="C943" s="37" t="s">
        <v>2841</v>
      </c>
      <c r="D943" s="94">
        <v>45704</v>
      </c>
      <c r="E943" s="37" t="s">
        <v>1025</v>
      </c>
      <c r="F943" s="101">
        <f t="shared" si="28"/>
        <v>0.11805555555474712</v>
      </c>
    </row>
    <row r="944" spans="1:6" x14ac:dyDescent="0.25">
      <c r="A944" s="37" t="s">
        <v>159</v>
      </c>
      <c r="B944" s="94">
        <v>45704</v>
      </c>
      <c r="C944" s="37" t="s">
        <v>1569</v>
      </c>
      <c r="D944" s="94">
        <v>45705</v>
      </c>
      <c r="E944" s="37" t="s">
        <v>2593</v>
      </c>
      <c r="F944" s="101">
        <f t="shared" si="28"/>
        <v>0.50347222221898846</v>
      </c>
    </row>
    <row r="945" spans="1:8" x14ac:dyDescent="0.25">
      <c r="A945" s="37" t="s">
        <v>173</v>
      </c>
      <c r="B945" s="94">
        <v>45704</v>
      </c>
      <c r="C945" s="37" t="s">
        <v>2856</v>
      </c>
      <c r="D945" s="94">
        <v>45704</v>
      </c>
      <c r="E945" s="37" t="s">
        <v>2859</v>
      </c>
      <c r="F945" s="101">
        <f t="shared" si="28"/>
        <v>8.333333331393078E-3</v>
      </c>
    </row>
    <row r="946" spans="1:8" x14ac:dyDescent="0.25">
      <c r="A946" s="37" t="s">
        <v>162</v>
      </c>
      <c r="B946" s="94">
        <v>45704</v>
      </c>
      <c r="C946" s="37" t="s">
        <v>2856</v>
      </c>
      <c r="D946" s="94">
        <v>45704</v>
      </c>
      <c r="E946" s="37" t="s">
        <v>519</v>
      </c>
      <c r="F946" s="101">
        <f t="shared" ref="F946" si="29">(D946 + TIME(LEFT(E946, 2), MID(E946, 3, 2), 0)) - (B946 + TIME(LEFT(C946, 2), MID(C946, 3, 2), 0))</f>
        <v>5.5555555518367328E-3</v>
      </c>
    </row>
    <row r="947" spans="1:8" x14ac:dyDescent="0.25">
      <c r="A947" s="37" t="s">
        <v>157</v>
      </c>
      <c r="B947" s="94">
        <v>45704</v>
      </c>
      <c r="C947" s="37" t="s">
        <v>2114</v>
      </c>
      <c r="D947" s="94">
        <v>45705</v>
      </c>
      <c r="E947" s="37" t="s">
        <v>664</v>
      </c>
      <c r="F947" s="101">
        <f t="shared" ref="F947:F978" si="30">(D947 + TIME(LEFT(E947, 2), MID(E947, 3, 2), 0)) - (B947 + TIME(LEFT(C947, 2), MID(C947, 3, 2), 0))</f>
        <v>0.93888888888614019</v>
      </c>
    </row>
    <row r="948" spans="1:8" x14ac:dyDescent="0.25">
      <c r="A948" s="37" t="s">
        <v>163</v>
      </c>
      <c r="B948" s="94">
        <v>45704</v>
      </c>
      <c r="C948" s="37" t="s">
        <v>2562</v>
      </c>
      <c r="D948" s="94">
        <v>45704</v>
      </c>
      <c r="E948" s="37" t="s">
        <v>1523</v>
      </c>
      <c r="F948" s="101">
        <f t="shared" si="30"/>
        <v>1.2499999997089617E-2</v>
      </c>
    </row>
    <row r="949" spans="1:8" x14ac:dyDescent="0.25">
      <c r="A949" s="37" t="s">
        <v>155</v>
      </c>
      <c r="B949" s="94">
        <v>45704</v>
      </c>
      <c r="C949" s="37" t="s">
        <v>1015</v>
      </c>
      <c r="D949" s="94">
        <v>45705</v>
      </c>
      <c r="E949" s="37" t="s">
        <v>2867</v>
      </c>
      <c r="F949" s="101">
        <f t="shared" si="30"/>
        <v>0.16736111111094942</v>
      </c>
    </row>
    <row r="950" spans="1:8" x14ac:dyDescent="0.25">
      <c r="A950" s="37" t="s">
        <v>166</v>
      </c>
      <c r="B950" s="94">
        <v>45705</v>
      </c>
      <c r="C950" s="37" t="s">
        <v>2869</v>
      </c>
      <c r="D950" s="94">
        <v>45705</v>
      </c>
      <c r="E950" s="37" t="s">
        <v>528</v>
      </c>
      <c r="F950" s="101">
        <f t="shared" si="30"/>
        <v>0.70902777777519077</v>
      </c>
    </row>
    <row r="951" spans="1:8" x14ac:dyDescent="0.25">
      <c r="A951" s="37" t="s">
        <v>263</v>
      </c>
      <c r="B951" s="94">
        <v>45705</v>
      </c>
      <c r="C951" s="37" t="s">
        <v>206</v>
      </c>
      <c r="D951" s="94">
        <v>45705</v>
      </c>
      <c r="E951" s="37" t="s">
        <v>2899</v>
      </c>
      <c r="F951" s="101">
        <f t="shared" si="30"/>
        <v>2.569444444088731E-2</v>
      </c>
    </row>
    <row r="952" spans="1:8" x14ac:dyDescent="0.25">
      <c r="A952" s="37" t="s">
        <v>194</v>
      </c>
      <c r="B952" s="94">
        <v>45705</v>
      </c>
      <c r="C952" s="37" t="s">
        <v>2876</v>
      </c>
      <c r="D952" s="94">
        <v>45705</v>
      </c>
      <c r="E952" s="37" t="s">
        <v>2878</v>
      </c>
      <c r="F952" s="101">
        <f t="shared" si="30"/>
        <v>1.319444445107365E-2</v>
      </c>
    </row>
    <row r="953" spans="1:8" x14ac:dyDescent="0.25">
      <c r="A953" s="37" t="s">
        <v>153</v>
      </c>
      <c r="B953" s="94">
        <v>45705</v>
      </c>
      <c r="C953" s="37" t="s">
        <v>567</v>
      </c>
      <c r="D953" s="94">
        <v>45706</v>
      </c>
      <c r="E953" s="37" t="s">
        <v>2973</v>
      </c>
      <c r="F953" s="101">
        <f t="shared" si="30"/>
        <v>0.90694444443943212</v>
      </c>
    </row>
    <row r="954" spans="1:8" x14ac:dyDescent="0.25">
      <c r="A954" s="37" t="s">
        <v>264</v>
      </c>
      <c r="B954" s="94">
        <v>45705</v>
      </c>
      <c r="C954" s="37" t="s">
        <v>1560</v>
      </c>
      <c r="D954" s="94">
        <v>45705</v>
      </c>
      <c r="E954" s="37" t="s">
        <v>2899</v>
      </c>
      <c r="F954" s="101">
        <f t="shared" si="30"/>
        <v>0.15486111111385981</v>
      </c>
    </row>
    <row r="955" spans="1:8" x14ac:dyDescent="0.25">
      <c r="A955" s="37" t="s">
        <v>164</v>
      </c>
      <c r="B955" s="94">
        <v>45705</v>
      </c>
      <c r="C955" s="37" t="s">
        <v>1835</v>
      </c>
      <c r="D955" s="94">
        <v>45705</v>
      </c>
      <c r="E955" s="37" t="s">
        <v>2143</v>
      </c>
      <c r="F955" s="101">
        <f t="shared" si="30"/>
        <v>1.3194444443797693E-2</v>
      </c>
    </row>
    <row r="956" spans="1:8" x14ac:dyDescent="0.25">
      <c r="A956" s="37" t="s">
        <v>165</v>
      </c>
      <c r="B956" s="94">
        <v>45705</v>
      </c>
      <c r="C956" s="37" t="s">
        <v>2442</v>
      </c>
      <c r="D956" s="94">
        <v>45705</v>
      </c>
      <c r="E956" s="37" t="s">
        <v>1967</v>
      </c>
      <c r="F956" s="101">
        <f t="shared" si="30"/>
        <v>9.0277777781011537E-3</v>
      </c>
    </row>
    <row r="957" spans="1:8" x14ac:dyDescent="0.25">
      <c r="A957" s="37" t="s">
        <v>169</v>
      </c>
      <c r="B957" s="94">
        <v>45705</v>
      </c>
      <c r="C957" s="37" t="s">
        <v>729</v>
      </c>
      <c r="D957" s="94">
        <v>45705</v>
      </c>
      <c r="E957" s="37" t="s">
        <v>2946</v>
      </c>
      <c r="F957" s="101">
        <f t="shared" si="30"/>
        <v>0.54027777777810115</v>
      </c>
    </row>
    <row r="958" spans="1:8" x14ac:dyDescent="0.25">
      <c r="A958" s="37" t="s">
        <v>168</v>
      </c>
      <c r="B958" s="94">
        <v>45705</v>
      </c>
      <c r="C958" s="37" t="s">
        <v>234</v>
      </c>
      <c r="D958" s="94">
        <v>45705</v>
      </c>
      <c r="E958" s="37" t="s">
        <v>595</v>
      </c>
      <c r="F958" s="101">
        <f t="shared" si="30"/>
        <v>3.4027777779556345E-2</v>
      </c>
    </row>
    <row r="959" spans="1:8" x14ac:dyDescent="0.25">
      <c r="A959" s="37" t="s">
        <v>175</v>
      </c>
      <c r="B959" s="94">
        <v>45705</v>
      </c>
      <c r="C959" s="37" t="s">
        <v>1086</v>
      </c>
      <c r="D959" s="94">
        <v>45705</v>
      </c>
      <c r="E959" s="37" t="s">
        <v>282</v>
      </c>
      <c r="F959" s="101">
        <f t="shared" si="30"/>
        <v>0.62916666666569654</v>
      </c>
    </row>
    <row r="960" spans="1:8" x14ac:dyDescent="0.25">
      <c r="A960" s="37" t="s">
        <v>170</v>
      </c>
      <c r="B960" s="94">
        <v>45705</v>
      </c>
      <c r="C960" s="37" t="s">
        <v>171</v>
      </c>
      <c r="D960" s="94">
        <v>45705</v>
      </c>
      <c r="E960" s="37" t="s">
        <v>1104</v>
      </c>
      <c r="F960" s="101">
        <f t="shared" si="30"/>
        <v>4.8611111124046147E-3</v>
      </c>
      <c r="H960" s="95" t="s">
        <v>2888</v>
      </c>
    </row>
    <row r="961" spans="1:8" x14ac:dyDescent="0.25">
      <c r="A961" s="37" t="s">
        <v>172</v>
      </c>
      <c r="B961" s="94">
        <v>45705</v>
      </c>
      <c r="C961" s="37" t="s">
        <v>951</v>
      </c>
      <c r="D961" s="94">
        <v>45705</v>
      </c>
      <c r="E961" s="37" t="s">
        <v>1589</v>
      </c>
      <c r="F961" s="101">
        <f t="shared" si="30"/>
        <v>1.597222221607808E-2</v>
      </c>
    </row>
    <row r="962" spans="1:8" x14ac:dyDescent="0.25">
      <c r="A962" s="37" t="s">
        <v>174</v>
      </c>
      <c r="B962" s="94">
        <v>45705</v>
      </c>
      <c r="C962" s="37" t="s">
        <v>228</v>
      </c>
      <c r="D962" s="94">
        <v>45705</v>
      </c>
      <c r="E962" s="37" t="s">
        <v>2719</v>
      </c>
      <c r="F962" s="101">
        <f t="shared" si="30"/>
        <v>1.5277777776645962E-2</v>
      </c>
    </row>
    <row r="963" spans="1:8" x14ac:dyDescent="0.25">
      <c r="A963" s="37" t="s">
        <v>202</v>
      </c>
      <c r="B963" s="94">
        <v>45705</v>
      </c>
      <c r="C963" s="37" t="s">
        <v>750</v>
      </c>
      <c r="D963" s="94">
        <v>45705</v>
      </c>
      <c r="E963" s="37" t="s">
        <v>2303</v>
      </c>
      <c r="F963" s="101">
        <f t="shared" si="30"/>
        <v>3.2638888893416151E-2</v>
      </c>
    </row>
    <row r="964" spans="1:8" x14ac:dyDescent="0.25">
      <c r="A964" s="37" t="s">
        <v>154</v>
      </c>
      <c r="B964" s="94">
        <v>45705</v>
      </c>
      <c r="C964" s="37" t="s">
        <v>1268</v>
      </c>
      <c r="D964" s="94">
        <v>45706</v>
      </c>
      <c r="E964" s="37" t="s">
        <v>2968</v>
      </c>
      <c r="F964" s="101">
        <f t="shared" si="30"/>
        <v>0.68124999999417923</v>
      </c>
    </row>
    <row r="965" spans="1:8" x14ac:dyDescent="0.25">
      <c r="A965" s="37" t="s">
        <v>177</v>
      </c>
      <c r="B965" s="94">
        <v>45705</v>
      </c>
      <c r="C965" s="37" t="s">
        <v>1268</v>
      </c>
      <c r="D965" s="94">
        <v>45705</v>
      </c>
      <c r="E965" s="37" t="s">
        <v>2906</v>
      </c>
      <c r="F965" s="101">
        <f t="shared" si="30"/>
        <v>3.3333333332848269E-2</v>
      </c>
    </row>
    <row r="966" spans="1:8" x14ac:dyDescent="0.25">
      <c r="A966" s="37" t="s">
        <v>194</v>
      </c>
      <c r="B966" s="94">
        <v>45705</v>
      </c>
      <c r="C966" s="37" t="s">
        <v>1990</v>
      </c>
      <c r="D966" s="94">
        <v>45705</v>
      </c>
      <c r="E966" s="37" t="s">
        <v>1436</v>
      </c>
      <c r="F966" s="101">
        <f t="shared" si="30"/>
        <v>6.9444444452528842E-3</v>
      </c>
    </row>
    <row r="967" spans="1:8" x14ac:dyDescent="0.25">
      <c r="A967" s="37" t="s">
        <v>186</v>
      </c>
      <c r="B967" s="94">
        <v>45705</v>
      </c>
      <c r="C967" s="37" t="s">
        <v>754</v>
      </c>
      <c r="D967" s="94">
        <v>45705</v>
      </c>
      <c r="E967" s="37" t="s">
        <v>2176</v>
      </c>
      <c r="F967" s="101">
        <f t="shared" si="30"/>
        <v>0.10138888889196096</v>
      </c>
      <c r="H967" s="95" t="s">
        <v>2917</v>
      </c>
    </row>
    <row r="968" spans="1:8" x14ac:dyDescent="0.25">
      <c r="A968" s="37" t="s">
        <v>263</v>
      </c>
      <c r="B968" s="94">
        <v>45705</v>
      </c>
      <c r="C968" s="37" t="s">
        <v>643</v>
      </c>
      <c r="D968" s="94">
        <v>45707</v>
      </c>
      <c r="E968" s="37" t="s">
        <v>1777</v>
      </c>
      <c r="F968" s="101">
        <f>(D968 + TIME(LEFT(E968, 2), MID(E968, 3, 2), 0)) - (B968 + TIME(LEFT(C968, 2), MID(C968, 3, 2), 0))</f>
        <v>1.9694444444467081</v>
      </c>
    </row>
    <row r="969" spans="1:8" x14ac:dyDescent="0.25">
      <c r="A969" s="37" t="s">
        <v>178</v>
      </c>
      <c r="B969" s="94">
        <v>45705</v>
      </c>
      <c r="C969" s="37" t="s">
        <v>2908</v>
      </c>
      <c r="D969" s="94">
        <v>45705</v>
      </c>
      <c r="E969" s="37" t="s">
        <v>2918</v>
      </c>
      <c r="F969" s="101">
        <f t="shared" si="30"/>
        <v>7.4999999997089617E-2</v>
      </c>
    </row>
    <row r="970" spans="1:8" x14ac:dyDescent="0.25">
      <c r="A970" s="37" t="s">
        <v>161</v>
      </c>
      <c r="B970" s="94">
        <v>45705</v>
      </c>
      <c r="C970" s="37" t="s">
        <v>2621</v>
      </c>
      <c r="D970" s="94">
        <v>45705</v>
      </c>
      <c r="E970" s="37" t="s">
        <v>2925</v>
      </c>
      <c r="F970" s="101">
        <f t="shared" si="30"/>
        <v>0.11249999999563443</v>
      </c>
    </row>
    <row r="971" spans="1:8" x14ac:dyDescent="0.25">
      <c r="A971" s="37" t="s">
        <v>155</v>
      </c>
      <c r="B971" s="94">
        <v>45705</v>
      </c>
      <c r="C971" s="37" t="s">
        <v>167</v>
      </c>
      <c r="D971" s="94">
        <v>45706</v>
      </c>
      <c r="E971" s="37" t="s">
        <v>2867</v>
      </c>
      <c r="F971" s="101">
        <f t="shared" si="30"/>
        <v>0.54166666666424135</v>
      </c>
    </row>
    <row r="972" spans="1:8" x14ac:dyDescent="0.25">
      <c r="A972" s="37" t="s">
        <v>194</v>
      </c>
      <c r="B972" s="94">
        <v>45705</v>
      </c>
      <c r="C972" s="37" t="s">
        <v>2625</v>
      </c>
      <c r="D972" s="94">
        <v>45705</v>
      </c>
      <c r="E972" s="37" t="s">
        <v>1015</v>
      </c>
      <c r="F972" s="101">
        <f t="shared" si="30"/>
        <v>0.36527777777519077</v>
      </c>
    </row>
    <row r="973" spans="1:8" x14ac:dyDescent="0.25">
      <c r="A973" s="37" t="s">
        <v>162</v>
      </c>
      <c r="B973" s="94">
        <v>45705</v>
      </c>
      <c r="C973" s="37" t="s">
        <v>2914</v>
      </c>
      <c r="D973" s="94">
        <v>45705</v>
      </c>
      <c r="E973" s="37" t="s">
        <v>2925</v>
      </c>
      <c r="F973" s="101">
        <f t="shared" si="30"/>
        <v>9.4444444439432118E-2</v>
      </c>
    </row>
    <row r="974" spans="1:8" x14ac:dyDescent="0.25">
      <c r="A974" s="37" t="s">
        <v>173</v>
      </c>
      <c r="B974" s="94">
        <v>45705</v>
      </c>
      <c r="C974" s="37" t="s">
        <v>2920</v>
      </c>
      <c r="D974" s="94">
        <v>45705</v>
      </c>
      <c r="E974" s="37" t="s">
        <v>2930</v>
      </c>
      <c r="F974" s="101">
        <f t="shared" si="30"/>
        <v>6.5972222218988463E-2</v>
      </c>
    </row>
    <row r="975" spans="1:8" x14ac:dyDescent="0.25">
      <c r="A975" s="37" t="s">
        <v>163</v>
      </c>
      <c r="B975" s="94">
        <v>45705</v>
      </c>
      <c r="C975" s="37" t="s">
        <v>2045</v>
      </c>
      <c r="D975" s="94">
        <v>45705</v>
      </c>
      <c r="E975" s="37" t="s">
        <v>2930</v>
      </c>
      <c r="F975" s="101">
        <f t="shared" si="30"/>
        <v>5.1388888889050577E-2</v>
      </c>
    </row>
    <row r="976" spans="1:8" x14ac:dyDescent="0.25">
      <c r="A976" s="37" t="s">
        <v>164</v>
      </c>
      <c r="B976" s="94">
        <v>45705</v>
      </c>
      <c r="C976" s="37" t="s">
        <v>2045</v>
      </c>
      <c r="D976" s="94">
        <v>45705</v>
      </c>
      <c r="E976" s="37" t="s">
        <v>1610</v>
      </c>
      <c r="F976" s="101">
        <f t="shared" si="30"/>
        <v>5.6250000001455192E-2</v>
      </c>
    </row>
    <row r="977" spans="1:6" x14ac:dyDescent="0.25">
      <c r="A977" s="37" t="s">
        <v>165</v>
      </c>
      <c r="B977" s="94">
        <v>45705</v>
      </c>
      <c r="C977" s="37" t="s">
        <v>1307</v>
      </c>
      <c r="D977" s="94">
        <v>45705</v>
      </c>
      <c r="E977" s="37" t="s">
        <v>1610</v>
      </c>
      <c r="F977" s="101">
        <f t="shared" si="30"/>
        <v>4.6527777776645962E-2</v>
      </c>
    </row>
    <row r="978" spans="1:6" x14ac:dyDescent="0.25">
      <c r="A978" s="37" t="s">
        <v>186</v>
      </c>
      <c r="B978" s="94">
        <v>45705</v>
      </c>
      <c r="C978" s="37" t="s">
        <v>2928</v>
      </c>
      <c r="D978" s="94">
        <v>45705</v>
      </c>
      <c r="E978" s="37" t="s">
        <v>2964</v>
      </c>
      <c r="F978" s="101">
        <f t="shared" si="30"/>
        <v>0.41527777777810115</v>
      </c>
    </row>
    <row r="979" spans="1:6" x14ac:dyDescent="0.25">
      <c r="A979" s="37" t="s">
        <v>262</v>
      </c>
      <c r="B979" s="94">
        <v>45705</v>
      </c>
      <c r="C979" s="37" t="s">
        <v>2352</v>
      </c>
      <c r="D979" s="94">
        <v>45707</v>
      </c>
      <c r="E979" s="37" t="s">
        <v>276</v>
      </c>
      <c r="F979" s="101">
        <f>(D979 + TIME(LEFT(E979, 2), MID(E979, 3, 2), 0)) - (B979 + TIME(LEFT(C979, 2), MID(C979, 3, 2), 0))</f>
        <v>2.0972222222189885</v>
      </c>
    </row>
    <row r="980" spans="1:6" x14ac:dyDescent="0.25">
      <c r="A980" s="37" t="s">
        <v>261</v>
      </c>
      <c r="B980" s="94">
        <v>45705</v>
      </c>
      <c r="C980" s="37" t="s">
        <v>2352</v>
      </c>
      <c r="D980" s="94">
        <v>45707</v>
      </c>
      <c r="E980" s="37" t="s">
        <v>276</v>
      </c>
      <c r="F980" s="101">
        <f>(D980 + TIME(LEFT(E980, 2), MID(E980, 3, 2), 0)) - (B980 + TIME(LEFT(C980, 2), MID(C980, 3, 2), 0))</f>
        <v>2.0972222222189885</v>
      </c>
    </row>
    <row r="981" spans="1:6" x14ac:dyDescent="0.25">
      <c r="A981" s="37" t="s">
        <v>265</v>
      </c>
      <c r="B981" s="94">
        <v>45705</v>
      </c>
      <c r="C981" s="37" t="s">
        <v>2352</v>
      </c>
      <c r="D981" s="94">
        <v>45707</v>
      </c>
      <c r="E981" s="37" t="s">
        <v>276</v>
      </c>
      <c r="F981" s="101">
        <f>(D981 + TIME(LEFT(E981, 2), MID(E981, 3, 2), 0)) - (B981 + TIME(LEFT(C981, 2), MID(C981, 3, 2), 0))</f>
        <v>2.0972222222189885</v>
      </c>
    </row>
    <row r="982" spans="1:6" x14ac:dyDescent="0.25">
      <c r="A982" s="37" t="s">
        <v>264</v>
      </c>
      <c r="B982" s="94">
        <v>45705</v>
      </c>
      <c r="C982" s="37" t="s">
        <v>2352</v>
      </c>
      <c r="D982" s="94">
        <v>45706</v>
      </c>
      <c r="E982" s="37" t="s">
        <v>3061</v>
      </c>
      <c r="F982" s="101">
        <f>(D982 + TIME(LEFT(E982, 2), MID(E982, 3, 2), 0)) - (B982 + TIME(LEFT(C982, 2), MID(C982, 3, 2), 0))</f>
        <v>1.2361111111094942</v>
      </c>
    </row>
    <row r="983" spans="1:6" x14ac:dyDescent="0.25">
      <c r="A983" s="37" t="s">
        <v>260</v>
      </c>
      <c r="B983" s="94">
        <v>45705</v>
      </c>
      <c r="C983" s="37" t="s">
        <v>2352</v>
      </c>
      <c r="D983" s="94">
        <v>45707</v>
      </c>
      <c r="E983" s="37" t="s">
        <v>276</v>
      </c>
      <c r="F983" s="101">
        <f>(D983 + TIME(LEFT(E983, 2), MID(E983, 3, 2), 0)) - (B983 + TIME(LEFT(C983, 2), MID(C983, 3, 2), 0))</f>
        <v>2.0972222222189885</v>
      </c>
    </row>
    <row r="984" spans="1:6" x14ac:dyDescent="0.25">
      <c r="A984" s="37" t="s">
        <v>160</v>
      </c>
      <c r="B984" s="94">
        <v>45705</v>
      </c>
      <c r="C984" s="37" t="s">
        <v>526</v>
      </c>
      <c r="D984" s="94">
        <v>45706</v>
      </c>
      <c r="E984" s="37" t="s">
        <v>910</v>
      </c>
      <c r="F984" s="101">
        <f t="shared" ref="F984:F997" si="31">(D984 + TIME(LEFT(E984, 2), MID(E984, 3, 2), 0)) - (B984 + TIME(LEFT(C984, 2), MID(C984, 3, 2), 0))</f>
        <v>0.50069444444670808</v>
      </c>
    </row>
    <row r="985" spans="1:6" x14ac:dyDescent="0.25">
      <c r="A985" s="37" t="s">
        <v>268</v>
      </c>
      <c r="B985" s="94">
        <v>45705</v>
      </c>
      <c r="C985" s="37" t="s">
        <v>1892</v>
      </c>
      <c r="D985" s="94">
        <v>45705</v>
      </c>
      <c r="E985" s="37" t="s">
        <v>2241</v>
      </c>
      <c r="F985" s="101">
        <f t="shared" si="31"/>
        <v>0.16666666666424135</v>
      </c>
    </row>
    <row r="986" spans="1:6" x14ac:dyDescent="0.25">
      <c r="A986" s="37" t="s">
        <v>166</v>
      </c>
      <c r="B986" s="94">
        <v>45705</v>
      </c>
      <c r="C986" s="37" t="s">
        <v>1186</v>
      </c>
      <c r="D986" s="94">
        <v>45705</v>
      </c>
      <c r="E986" s="37" t="s">
        <v>2946</v>
      </c>
      <c r="F986" s="101">
        <f t="shared" si="31"/>
        <v>5.2777777782466728E-2</v>
      </c>
    </row>
    <row r="987" spans="1:6" x14ac:dyDescent="0.25">
      <c r="A987" s="37" t="s">
        <v>168</v>
      </c>
      <c r="B987" s="94">
        <v>45705</v>
      </c>
      <c r="C987" s="37" t="s">
        <v>845</v>
      </c>
      <c r="D987" s="94">
        <v>45705</v>
      </c>
      <c r="E987" s="37" t="s">
        <v>2951</v>
      </c>
      <c r="F987" s="101">
        <f t="shared" si="31"/>
        <v>1.5277777776645962E-2</v>
      </c>
    </row>
    <row r="988" spans="1:6" x14ac:dyDescent="0.25">
      <c r="A988" s="37" t="s">
        <v>159</v>
      </c>
      <c r="B988" s="94">
        <v>45705</v>
      </c>
      <c r="C988" s="37" t="s">
        <v>1201</v>
      </c>
      <c r="D988" s="94">
        <v>45706</v>
      </c>
      <c r="E988" s="37" t="s">
        <v>1077</v>
      </c>
      <c r="F988" s="101">
        <f t="shared" si="31"/>
        <v>0.45833333333575865</v>
      </c>
    </row>
    <row r="989" spans="1:6" x14ac:dyDescent="0.25">
      <c r="A989" s="37" t="s">
        <v>170</v>
      </c>
      <c r="B989" s="94">
        <v>45705</v>
      </c>
      <c r="C989" s="37" t="s">
        <v>1502</v>
      </c>
      <c r="D989" s="94">
        <v>45705</v>
      </c>
      <c r="E989" s="37" t="s">
        <v>2956</v>
      </c>
      <c r="F989" s="101">
        <f t="shared" si="31"/>
        <v>1.3194444443797693E-2</v>
      </c>
    </row>
    <row r="990" spans="1:6" x14ac:dyDescent="0.25">
      <c r="A990" s="37" t="s">
        <v>174</v>
      </c>
      <c r="B990" s="94">
        <v>45705</v>
      </c>
      <c r="C990" s="37" t="s">
        <v>664</v>
      </c>
      <c r="D990" s="94">
        <v>45705</v>
      </c>
      <c r="E990" s="37" t="s">
        <v>2960</v>
      </c>
      <c r="F990" s="101">
        <f t="shared" si="31"/>
        <v>2.7777777781011537E-2</v>
      </c>
    </row>
    <row r="991" spans="1:6" x14ac:dyDescent="0.25">
      <c r="A991" s="37" t="s">
        <v>172</v>
      </c>
      <c r="B991" s="94">
        <v>45705</v>
      </c>
      <c r="C991" s="37" t="s">
        <v>664</v>
      </c>
      <c r="D991" s="94">
        <v>45705</v>
      </c>
      <c r="E991" s="37" t="s">
        <v>2957</v>
      </c>
      <c r="F991" s="101">
        <f t="shared" si="31"/>
        <v>2.3611111115314998E-2</v>
      </c>
    </row>
    <row r="992" spans="1:6" x14ac:dyDescent="0.25">
      <c r="A992" s="37" t="s">
        <v>194</v>
      </c>
      <c r="B992" s="94">
        <v>45705</v>
      </c>
      <c r="C992" s="37" t="s">
        <v>1367</v>
      </c>
      <c r="D992" s="94">
        <v>45706</v>
      </c>
      <c r="E992" s="37" t="s">
        <v>1601</v>
      </c>
      <c r="F992" s="101">
        <f t="shared" si="31"/>
        <v>0.48472222222335404</v>
      </c>
    </row>
    <row r="993" spans="1:6" x14ac:dyDescent="0.25">
      <c r="A993" s="37" t="s">
        <v>166</v>
      </c>
      <c r="B993" s="94">
        <v>45706</v>
      </c>
      <c r="C993" s="37" t="s">
        <v>2867</v>
      </c>
      <c r="D993" s="94">
        <v>45706</v>
      </c>
      <c r="E993" s="37" t="s">
        <v>1601</v>
      </c>
      <c r="F993" s="101">
        <f t="shared" si="31"/>
        <v>0.45902777778246673</v>
      </c>
    </row>
    <row r="994" spans="1:6" x14ac:dyDescent="0.25">
      <c r="A994" s="37" t="s">
        <v>202</v>
      </c>
      <c r="B994" s="94">
        <v>45706</v>
      </c>
      <c r="C994" s="37" t="s">
        <v>1821</v>
      </c>
      <c r="D994" s="94">
        <v>45706</v>
      </c>
      <c r="E994" s="37" t="s">
        <v>2971</v>
      </c>
      <c r="F994" s="101">
        <f t="shared" si="31"/>
        <v>5.5555555591126904E-3</v>
      </c>
    </row>
    <row r="995" spans="1:6" x14ac:dyDescent="0.25">
      <c r="A995" s="37" t="s">
        <v>177</v>
      </c>
      <c r="B995" s="94">
        <v>45706</v>
      </c>
      <c r="C995" s="37" t="s">
        <v>2975</v>
      </c>
      <c r="D995" s="94">
        <v>45706</v>
      </c>
      <c r="E995" s="37" t="s">
        <v>572</v>
      </c>
      <c r="F995" s="101">
        <f t="shared" si="31"/>
        <v>4.6527777776645962E-2</v>
      </c>
    </row>
    <row r="996" spans="1:6" x14ac:dyDescent="0.25">
      <c r="A996" s="37" t="s">
        <v>178</v>
      </c>
      <c r="B996" s="94">
        <v>45706</v>
      </c>
      <c r="C996" s="37" t="s">
        <v>1054</v>
      </c>
      <c r="D996" s="94">
        <v>45706</v>
      </c>
      <c r="E996" s="37" t="s">
        <v>572</v>
      </c>
      <c r="F996" s="101">
        <f t="shared" si="31"/>
        <v>2.9166666667151731E-2</v>
      </c>
    </row>
    <row r="997" spans="1:6" x14ac:dyDescent="0.25">
      <c r="A997" s="37" t="s">
        <v>161</v>
      </c>
      <c r="B997" s="94">
        <v>45706</v>
      </c>
      <c r="C997" s="37" t="s">
        <v>910</v>
      </c>
      <c r="D997" s="94">
        <v>45706</v>
      </c>
      <c r="E997" s="37" t="s">
        <v>2984</v>
      </c>
      <c r="F997" s="101">
        <f t="shared" si="31"/>
        <v>1.1805555557657499E-2</v>
      </c>
    </row>
    <row r="998" spans="1:6" x14ac:dyDescent="0.25">
      <c r="A998" s="37" t="s">
        <v>155</v>
      </c>
      <c r="B998" s="94">
        <v>45706</v>
      </c>
      <c r="C998" s="37" t="s">
        <v>908</v>
      </c>
      <c r="D998" s="94">
        <v>45706</v>
      </c>
      <c r="E998" s="37" t="s">
        <v>641</v>
      </c>
      <c r="F998" s="101">
        <f>(D998 + TIME(LEFT(E998, 2), MID(E998, 3, 2), 0)) - (B998 + TIME(LEFT(C998, 2), MID(C998, 3, 2), 0))</f>
        <v>0.50138888889341615</v>
      </c>
    </row>
    <row r="999" spans="1:6" x14ac:dyDescent="0.25">
      <c r="A999" s="37" t="s">
        <v>153</v>
      </c>
      <c r="B999" s="94">
        <v>45706</v>
      </c>
      <c r="C999" s="37" t="s">
        <v>567</v>
      </c>
      <c r="D999" s="94">
        <v>45708</v>
      </c>
      <c r="E999" s="37" t="s">
        <v>3189</v>
      </c>
      <c r="F999" s="101">
        <f>(D999 + TIME(LEFT(E999, 2), MID(E999, 3, 2), 0)) - (B999 + TIME(LEFT(C999, 2), MID(C999, 3, 2), 0))</f>
        <v>1.8895833333299379</v>
      </c>
    </row>
    <row r="1000" spans="1:6" x14ac:dyDescent="0.25">
      <c r="A1000" s="37" t="s">
        <v>178</v>
      </c>
      <c r="B1000" s="94">
        <v>45706</v>
      </c>
      <c r="C1000" s="37" t="s">
        <v>2705</v>
      </c>
      <c r="D1000" s="94">
        <v>45706</v>
      </c>
      <c r="E1000" s="37" t="s">
        <v>1254</v>
      </c>
      <c r="F1000" s="101">
        <f>(D1000 + TIME(LEFT(E1000, 2), MID(E1000, 3, 2), 0)) - (B1000 + TIME(LEFT(C1000, 2), MID(C1000, 3, 2), 0))</f>
        <v>4.1666666664241347E-2</v>
      </c>
    </row>
    <row r="1001" spans="1:6" x14ac:dyDescent="0.25">
      <c r="A1001" s="37" t="s">
        <v>161</v>
      </c>
      <c r="B1001" s="94">
        <v>45706</v>
      </c>
      <c r="C1001" s="37" t="s">
        <v>924</v>
      </c>
      <c r="D1001" s="94">
        <v>45706</v>
      </c>
      <c r="E1001" s="37" t="s">
        <v>254</v>
      </c>
      <c r="F1001" s="101">
        <f>(D1001 + TIME(LEFT(E1001, 2), MID(E1001, 3, 2), 0)) - (B1001 + TIME(LEFT(C1001, 2), MID(C1001, 3, 2), 0))</f>
        <v>3.1944444446708076E-2</v>
      </c>
    </row>
    <row r="1002" spans="1:6" x14ac:dyDescent="0.25">
      <c r="A1002" s="37" t="s">
        <v>162</v>
      </c>
      <c r="B1002" s="94">
        <v>45706</v>
      </c>
      <c r="C1002" s="37" t="s">
        <v>2710</v>
      </c>
      <c r="D1002" s="94">
        <v>45706</v>
      </c>
      <c r="E1002" s="37" t="s">
        <v>1839</v>
      </c>
      <c r="F1002" s="101">
        <f>(D1002 + TIME(LEFT(E1002, 2), MID(E1002, 3, 2), 0)) - (B1002 + TIME(LEFT(C1002, 2), MID(C1002, 3, 2), 0))</f>
        <v>3.3333333332848269E-2</v>
      </c>
    </row>
    <row r="1003" spans="1:6" x14ac:dyDescent="0.25">
      <c r="A1003" s="37" t="s">
        <v>169</v>
      </c>
      <c r="B1003" s="94">
        <v>45706</v>
      </c>
      <c r="C1003" s="37" t="s">
        <v>2590</v>
      </c>
      <c r="D1003" s="94">
        <v>45706</v>
      </c>
      <c r="E1003" s="37" t="s">
        <v>1346</v>
      </c>
      <c r="F1003" s="101">
        <f>(D1003 + TIME(LEFT(E1003, 2), MID(E1003, 3, 2), 0)) - (B1003 + TIME(LEFT(C1003, 2), MID(C1003, 3, 2), 0))</f>
        <v>0.45902777777519077</v>
      </c>
    </row>
    <row r="1004" spans="1:6" x14ac:dyDescent="0.25">
      <c r="A1004" s="37" t="s">
        <v>173</v>
      </c>
      <c r="B1004" s="94">
        <v>45706</v>
      </c>
      <c r="C1004" s="37" t="s">
        <v>2152</v>
      </c>
      <c r="D1004" s="94">
        <v>45706</v>
      </c>
      <c r="E1004" s="37" t="s">
        <v>744</v>
      </c>
      <c r="F1004" s="101">
        <f t="shared" ref="F1004:F1011" si="32">(D1004 + TIME(LEFT(E1004, 2), MID(E1004, 3, 2), 0)) - (B1004 + TIME(LEFT(C1004, 2), MID(C1004, 3, 2), 0))</f>
        <v>3.1944444446708076E-2</v>
      </c>
    </row>
    <row r="1005" spans="1:6" x14ac:dyDescent="0.25">
      <c r="A1005" s="37" t="s">
        <v>163</v>
      </c>
      <c r="B1005" s="94">
        <v>45706</v>
      </c>
      <c r="C1005" s="37" t="s">
        <v>1081</v>
      </c>
      <c r="D1005" s="94">
        <v>45706</v>
      </c>
      <c r="E1005" s="37" t="s">
        <v>3001</v>
      </c>
      <c r="F1005" s="101">
        <f t="shared" si="32"/>
        <v>2.4305555554747116E-2</v>
      </c>
    </row>
    <row r="1006" spans="1:6" x14ac:dyDescent="0.25">
      <c r="A1006" s="37" t="s">
        <v>164</v>
      </c>
      <c r="B1006" s="94">
        <v>45706</v>
      </c>
      <c r="C1006" s="37" t="s">
        <v>1421</v>
      </c>
      <c r="D1006" s="94">
        <v>45706</v>
      </c>
      <c r="E1006" s="37" t="s">
        <v>3001</v>
      </c>
      <c r="F1006" s="101">
        <f t="shared" si="32"/>
        <v>1.8749999995634425E-2</v>
      </c>
    </row>
    <row r="1007" spans="1:6" x14ac:dyDescent="0.25">
      <c r="A1007" s="37" t="s">
        <v>165</v>
      </c>
      <c r="B1007" s="94">
        <v>45706</v>
      </c>
      <c r="C1007" s="37" t="s">
        <v>1423</v>
      </c>
      <c r="D1007" s="94">
        <v>45706</v>
      </c>
      <c r="E1007" s="37" t="s">
        <v>1987</v>
      </c>
      <c r="F1007" s="101">
        <f t="shared" si="32"/>
        <v>2.7083333334303461E-2</v>
      </c>
    </row>
    <row r="1008" spans="1:6" x14ac:dyDescent="0.25">
      <c r="A1008" s="37" t="s">
        <v>168</v>
      </c>
      <c r="B1008" s="94">
        <v>45706</v>
      </c>
      <c r="C1008" s="37" t="s">
        <v>152</v>
      </c>
      <c r="D1008" s="94">
        <v>45706</v>
      </c>
      <c r="E1008" s="37" t="s">
        <v>1589</v>
      </c>
      <c r="F1008" s="101">
        <f t="shared" si="32"/>
        <v>2.8472222220443655E-2</v>
      </c>
    </row>
    <row r="1009" spans="1:8" x14ac:dyDescent="0.25">
      <c r="A1009" s="37" t="s">
        <v>170</v>
      </c>
      <c r="B1009" s="94">
        <v>45706</v>
      </c>
      <c r="C1009" s="37" t="s">
        <v>1104</v>
      </c>
      <c r="D1009" s="94">
        <v>45706</v>
      </c>
      <c r="E1009" s="37" t="s">
        <v>2719</v>
      </c>
      <c r="F1009" s="101">
        <f t="shared" si="32"/>
        <v>2.9861111113859806E-2</v>
      </c>
    </row>
    <row r="1010" spans="1:8" x14ac:dyDescent="0.25">
      <c r="A1010" s="37" t="s">
        <v>174</v>
      </c>
      <c r="B1010" s="94">
        <v>45706</v>
      </c>
      <c r="C1010" s="37" t="s">
        <v>231</v>
      </c>
      <c r="D1010" s="94">
        <v>45706</v>
      </c>
      <c r="E1010" s="37" t="s">
        <v>1436</v>
      </c>
      <c r="F1010" s="101">
        <f t="shared" si="32"/>
        <v>2.8472222227719612E-2</v>
      </c>
    </row>
    <row r="1011" spans="1:8" x14ac:dyDescent="0.25">
      <c r="A1011" s="37" t="s">
        <v>172</v>
      </c>
      <c r="B1011" s="94">
        <v>45706</v>
      </c>
      <c r="C1011" s="37" t="s">
        <v>231</v>
      </c>
      <c r="D1011" s="94">
        <v>45706</v>
      </c>
      <c r="E1011" s="37" t="s">
        <v>1436</v>
      </c>
      <c r="F1011" s="101">
        <f t="shared" si="32"/>
        <v>2.8472222227719612E-2</v>
      </c>
    </row>
    <row r="1012" spans="1:8" x14ac:dyDescent="0.25">
      <c r="A1012" s="37" t="s">
        <v>175</v>
      </c>
      <c r="B1012" s="94">
        <v>45706</v>
      </c>
      <c r="C1012" s="37" t="s">
        <v>2792</v>
      </c>
      <c r="D1012" s="94">
        <v>45706</v>
      </c>
      <c r="E1012" s="37" t="s">
        <v>388</v>
      </c>
      <c r="F1012" s="101">
        <f t="shared" ref="F1012:F1031" si="33">(D1012 + TIME(LEFT(E1012, 2), MID(E1012, 3, 2), 0)) - (B1012 + TIME(LEFT(C1012, 2), MID(C1012, 3, 2), 0))</f>
        <v>0.56180555555329192</v>
      </c>
    </row>
    <row r="1013" spans="1:8" x14ac:dyDescent="0.25">
      <c r="A1013" s="37" t="s">
        <v>202</v>
      </c>
      <c r="B1013" s="94">
        <v>45706</v>
      </c>
      <c r="C1013" s="37" t="s">
        <v>953</v>
      </c>
      <c r="D1013" s="94">
        <v>45706</v>
      </c>
      <c r="E1013" s="37" t="s">
        <v>1436</v>
      </c>
      <c r="F1013" s="101">
        <f t="shared" si="33"/>
        <v>1.6666666670062114E-2</v>
      </c>
    </row>
    <row r="1014" spans="1:8" x14ac:dyDescent="0.25">
      <c r="A1014" s="37" t="s">
        <v>177</v>
      </c>
      <c r="B1014" s="94">
        <v>45706</v>
      </c>
      <c r="C1014" s="37" t="s">
        <v>750</v>
      </c>
      <c r="D1014" s="94">
        <v>45706</v>
      </c>
      <c r="E1014" s="37" t="s">
        <v>1436</v>
      </c>
      <c r="F1014" s="101">
        <f t="shared" si="33"/>
        <v>1.527777778392192E-2</v>
      </c>
    </row>
    <row r="1015" spans="1:8" x14ac:dyDescent="0.25">
      <c r="A1015" s="37" t="s">
        <v>178</v>
      </c>
      <c r="B1015" s="94">
        <v>45706</v>
      </c>
      <c r="C1015" s="37" t="s">
        <v>187</v>
      </c>
      <c r="D1015" s="94">
        <v>45706</v>
      </c>
      <c r="E1015" s="37" t="s">
        <v>604</v>
      </c>
      <c r="F1015" s="101">
        <f t="shared" si="33"/>
        <v>2.0833333335758653E-2</v>
      </c>
    </row>
    <row r="1016" spans="1:8" x14ac:dyDescent="0.25">
      <c r="A1016" s="37" t="s">
        <v>154</v>
      </c>
      <c r="B1016" s="94">
        <v>45706</v>
      </c>
      <c r="C1016" s="37" t="s">
        <v>2719</v>
      </c>
      <c r="D1016" s="94">
        <v>45707</v>
      </c>
      <c r="E1016" s="37" t="s">
        <v>2771</v>
      </c>
      <c r="F1016" s="101">
        <f t="shared" si="33"/>
        <v>0.6756944444423425</v>
      </c>
    </row>
    <row r="1017" spans="1:8" x14ac:dyDescent="0.25">
      <c r="A1017" s="37" t="s">
        <v>157</v>
      </c>
      <c r="B1017" s="94">
        <v>45706</v>
      </c>
      <c r="C1017" s="37" t="s">
        <v>1989</v>
      </c>
      <c r="D1017" s="94">
        <v>45706</v>
      </c>
      <c r="E1017" s="37" t="s">
        <v>2051</v>
      </c>
      <c r="F1017" s="101">
        <f t="shared" si="33"/>
        <v>0.22638888889196096</v>
      </c>
    </row>
    <row r="1018" spans="1:8" x14ac:dyDescent="0.25">
      <c r="A1018" s="37" t="s">
        <v>268</v>
      </c>
      <c r="B1018" s="94">
        <v>45706</v>
      </c>
      <c r="C1018" s="37" t="s">
        <v>3011</v>
      </c>
      <c r="D1018" s="94">
        <v>45706</v>
      </c>
      <c r="E1018" s="37" t="s">
        <v>3016</v>
      </c>
      <c r="F1018" s="101">
        <f t="shared" si="33"/>
        <v>5.9722222227719612E-2</v>
      </c>
    </row>
    <row r="1019" spans="1:8" x14ac:dyDescent="0.25">
      <c r="A1019" s="37" t="s">
        <v>161</v>
      </c>
      <c r="B1019" s="94">
        <v>45706</v>
      </c>
      <c r="C1019" s="37" t="s">
        <v>3013</v>
      </c>
      <c r="D1019" s="94">
        <v>45706</v>
      </c>
      <c r="E1019" s="37" t="s">
        <v>3022</v>
      </c>
      <c r="F1019" s="101">
        <f t="shared" si="33"/>
        <v>4.0277777778101154E-2</v>
      </c>
    </row>
    <row r="1020" spans="1:8" x14ac:dyDescent="0.25">
      <c r="A1020" s="37" t="s">
        <v>186</v>
      </c>
      <c r="B1020" s="94">
        <v>45706</v>
      </c>
      <c r="C1020" s="37" t="s">
        <v>210</v>
      </c>
      <c r="D1020" s="94">
        <v>45706</v>
      </c>
      <c r="E1020" s="37" t="s">
        <v>2571</v>
      </c>
      <c r="F1020" s="101">
        <f t="shared" si="33"/>
        <v>0.55833333333430346</v>
      </c>
    </row>
    <row r="1021" spans="1:8" x14ac:dyDescent="0.25">
      <c r="A1021" s="37" t="s">
        <v>162</v>
      </c>
      <c r="B1021" s="94">
        <v>45706</v>
      </c>
      <c r="C1021" s="37" t="s">
        <v>3018</v>
      </c>
      <c r="D1021" s="94">
        <v>45706</v>
      </c>
      <c r="E1021" s="37" t="s">
        <v>3024</v>
      </c>
      <c r="F1021" s="101">
        <f t="shared" si="33"/>
        <v>4.2361111110949423E-2</v>
      </c>
      <c r="H1021" s="95" t="s">
        <v>3029</v>
      </c>
    </row>
    <row r="1022" spans="1:8" x14ac:dyDescent="0.25">
      <c r="A1022" s="37" t="s">
        <v>173</v>
      </c>
      <c r="B1022" s="94">
        <v>45706</v>
      </c>
      <c r="C1022" s="37" t="s">
        <v>167</v>
      </c>
      <c r="D1022" s="94">
        <v>45706</v>
      </c>
      <c r="E1022" s="37" t="s">
        <v>3031</v>
      </c>
      <c r="F1022" s="101">
        <f t="shared" si="33"/>
        <v>8.9583333334303461E-2</v>
      </c>
    </row>
    <row r="1023" spans="1:8" x14ac:dyDescent="0.25">
      <c r="A1023" s="37" t="s">
        <v>160</v>
      </c>
      <c r="B1023" s="94">
        <v>45706</v>
      </c>
      <c r="C1023" s="37" t="s">
        <v>167</v>
      </c>
      <c r="D1023" s="94">
        <v>45706</v>
      </c>
      <c r="E1023" s="37" t="s">
        <v>682</v>
      </c>
      <c r="F1023" s="101">
        <f t="shared" si="33"/>
        <v>0.5</v>
      </c>
    </row>
    <row r="1024" spans="1:8" x14ac:dyDescent="0.25">
      <c r="A1024" s="37" t="s">
        <v>163</v>
      </c>
      <c r="B1024" s="94">
        <v>45706</v>
      </c>
      <c r="C1024" s="37" t="s">
        <v>1870</v>
      </c>
      <c r="D1024" s="94">
        <v>45706</v>
      </c>
      <c r="E1024" s="37" t="s">
        <v>3042</v>
      </c>
      <c r="F1024" s="101">
        <f t="shared" si="33"/>
        <v>0.125</v>
      </c>
    </row>
    <row r="1025" spans="1:8" x14ac:dyDescent="0.25">
      <c r="A1025" s="37" t="s">
        <v>164</v>
      </c>
      <c r="B1025" s="94">
        <v>45706</v>
      </c>
      <c r="C1025" s="37" t="s">
        <v>2036</v>
      </c>
      <c r="D1025" s="94">
        <v>45706</v>
      </c>
      <c r="E1025" s="37" t="s">
        <v>821</v>
      </c>
      <c r="F1025" s="101">
        <f t="shared" si="33"/>
        <v>0.10347222222480923</v>
      </c>
    </row>
    <row r="1026" spans="1:8" x14ac:dyDescent="0.25">
      <c r="A1026" s="37" t="s">
        <v>165</v>
      </c>
      <c r="B1026" s="94">
        <v>45706</v>
      </c>
      <c r="C1026" s="37" t="s">
        <v>3033</v>
      </c>
      <c r="D1026" s="94">
        <v>45706</v>
      </c>
      <c r="E1026" s="37" t="s">
        <v>2054</v>
      </c>
      <c r="F1026" s="101">
        <f t="shared" si="33"/>
        <v>1.2499999997089617E-2</v>
      </c>
    </row>
    <row r="1027" spans="1:8" x14ac:dyDescent="0.25">
      <c r="A1027" s="37" t="s">
        <v>194</v>
      </c>
      <c r="B1027" s="94">
        <v>45706</v>
      </c>
      <c r="C1027" s="37" t="s">
        <v>2928</v>
      </c>
      <c r="D1027" s="94">
        <v>45706</v>
      </c>
      <c r="E1027" s="37" t="s">
        <v>2245</v>
      </c>
      <c r="F1027" s="101">
        <f t="shared" si="33"/>
        <v>0.37986111110512866</v>
      </c>
    </row>
    <row r="1028" spans="1:8" x14ac:dyDescent="0.25">
      <c r="A1028" s="37" t="s">
        <v>168</v>
      </c>
      <c r="B1028" s="94">
        <v>45706</v>
      </c>
      <c r="C1028" s="37" t="s">
        <v>2064</v>
      </c>
      <c r="D1028" s="94">
        <v>45706</v>
      </c>
      <c r="E1028" s="37" t="s">
        <v>3049</v>
      </c>
      <c r="F1028" s="101">
        <f t="shared" si="33"/>
        <v>9.3055555553291924E-2</v>
      </c>
    </row>
    <row r="1029" spans="1:8" x14ac:dyDescent="0.25">
      <c r="A1029" s="37" t="s">
        <v>170</v>
      </c>
      <c r="B1029" s="94">
        <v>45706</v>
      </c>
      <c r="C1029" s="37" t="s">
        <v>3038</v>
      </c>
      <c r="D1029" s="94">
        <v>45706</v>
      </c>
      <c r="E1029" s="37" t="s">
        <v>3051</v>
      </c>
      <c r="F1029" s="101">
        <f t="shared" si="33"/>
        <v>7.4305555557657499E-2</v>
      </c>
    </row>
    <row r="1030" spans="1:8" x14ac:dyDescent="0.25">
      <c r="A1030" s="37" t="s">
        <v>268</v>
      </c>
      <c r="B1030" s="94">
        <v>45706</v>
      </c>
      <c r="C1030" s="37" t="s">
        <v>797</v>
      </c>
      <c r="D1030" s="94">
        <v>45706</v>
      </c>
      <c r="E1030" s="37" t="s">
        <v>1146</v>
      </c>
      <c r="F1030" s="101">
        <f t="shared" si="33"/>
        <v>5.1388888889050577E-2</v>
      </c>
    </row>
    <row r="1031" spans="1:8" x14ac:dyDescent="0.25">
      <c r="A1031" s="37" t="s">
        <v>157</v>
      </c>
      <c r="B1031" s="94">
        <v>45706</v>
      </c>
      <c r="C1031" s="37" t="s">
        <v>2051</v>
      </c>
      <c r="D1031" s="94">
        <v>45706</v>
      </c>
      <c r="E1031" s="37" t="s">
        <v>1150</v>
      </c>
      <c r="F1031" s="101">
        <f t="shared" si="33"/>
        <v>6.3888888886140194E-2</v>
      </c>
      <c r="G1031" s="37" t="s">
        <v>9</v>
      </c>
      <c r="H1031" s="95" t="s">
        <v>3041</v>
      </c>
    </row>
    <row r="1032" spans="1:8" x14ac:dyDescent="0.25">
      <c r="A1032" s="37" t="s">
        <v>157</v>
      </c>
      <c r="B1032" s="94">
        <v>45706</v>
      </c>
      <c r="C1032" s="37" t="s">
        <v>1150</v>
      </c>
      <c r="D1032" s="94">
        <v>45707</v>
      </c>
      <c r="E1032" s="37" t="s">
        <v>2685</v>
      </c>
      <c r="F1032" s="101">
        <f>(D1032 + TIME(LEFT(E1032, 2), MID(E1032, 3, 2), 0)) - (B1032 + TIME(LEFT(C1032, 2), MID(C1032, 3, 2), 0))</f>
        <v>1.2180555555605679</v>
      </c>
    </row>
    <row r="1033" spans="1:8" x14ac:dyDescent="0.25">
      <c r="A1033" s="37" t="s">
        <v>174</v>
      </c>
      <c r="B1033" s="94">
        <v>45706</v>
      </c>
      <c r="C1033" s="37" t="s">
        <v>2200</v>
      </c>
      <c r="D1033" s="94">
        <v>45706</v>
      </c>
      <c r="E1033" s="37" t="s">
        <v>2504</v>
      </c>
      <c r="F1033" s="101">
        <f t="shared" ref="F1033:F1040" si="34">(D1033 + TIME(LEFT(E1033, 2), MID(E1033, 3, 2), 0)) - (B1033 + TIME(LEFT(C1033, 2), MID(C1033, 3, 2), 0))</f>
        <v>1.9444444442342501E-2</v>
      </c>
    </row>
    <row r="1034" spans="1:8" x14ac:dyDescent="0.25">
      <c r="A1034" s="37" t="s">
        <v>172</v>
      </c>
      <c r="B1034" s="94">
        <v>45706</v>
      </c>
      <c r="C1034" s="37" t="s">
        <v>2200</v>
      </c>
      <c r="D1034" s="94">
        <v>45706</v>
      </c>
      <c r="E1034" s="37" t="s">
        <v>3051</v>
      </c>
      <c r="F1034" s="101">
        <f t="shared" si="34"/>
        <v>1.8055555556202307E-2</v>
      </c>
    </row>
    <row r="1035" spans="1:8" x14ac:dyDescent="0.25">
      <c r="A1035" s="37" t="s">
        <v>268</v>
      </c>
      <c r="B1035" s="94">
        <v>45706</v>
      </c>
      <c r="C1035" s="37" t="s">
        <v>1183</v>
      </c>
      <c r="D1035" s="94">
        <v>45707</v>
      </c>
      <c r="E1035" s="37" t="s">
        <v>1695</v>
      </c>
      <c r="F1035" s="101">
        <f t="shared" si="34"/>
        <v>1.2208333333328483</v>
      </c>
    </row>
    <row r="1036" spans="1:8" x14ac:dyDescent="0.25">
      <c r="A1036" s="37" t="s">
        <v>159</v>
      </c>
      <c r="B1036" s="94">
        <v>45706</v>
      </c>
      <c r="C1036" s="37" t="s">
        <v>1344</v>
      </c>
      <c r="D1036" s="94">
        <v>45707</v>
      </c>
      <c r="E1036" s="37" t="s">
        <v>227</v>
      </c>
      <c r="F1036" s="101">
        <f t="shared" si="34"/>
        <v>0.50069444443943212</v>
      </c>
    </row>
    <row r="1037" spans="1:8" x14ac:dyDescent="0.25">
      <c r="A1037" s="37" t="s">
        <v>1474</v>
      </c>
      <c r="B1037" s="94">
        <v>45706</v>
      </c>
      <c r="C1037" s="37" t="s">
        <v>2205</v>
      </c>
      <c r="D1037" s="94">
        <v>45706</v>
      </c>
      <c r="E1037" s="37" t="s">
        <v>1473</v>
      </c>
      <c r="F1037" s="101">
        <f t="shared" si="34"/>
        <v>1.8055555556202307E-2</v>
      </c>
    </row>
    <row r="1038" spans="1:8" x14ac:dyDescent="0.25">
      <c r="A1038" s="37" t="s">
        <v>1474</v>
      </c>
      <c r="B1038" s="94">
        <v>45706</v>
      </c>
      <c r="C1038" s="37" t="s">
        <v>2383</v>
      </c>
      <c r="D1038" s="94">
        <v>45706</v>
      </c>
      <c r="E1038" s="37" t="s">
        <v>3064</v>
      </c>
      <c r="F1038" s="101">
        <f t="shared" si="34"/>
        <v>0.15208333333430346</v>
      </c>
    </row>
    <row r="1039" spans="1:8" x14ac:dyDescent="0.25">
      <c r="A1039" s="37" t="s">
        <v>175</v>
      </c>
      <c r="B1039" s="94">
        <v>45706</v>
      </c>
      <c r="C1039" s="37" t="s">
        <v>388</v>
      </c>
      <c r="D1039" s="94">
        <v>45707</v>
      </c>
      <c r="E1039" s="37" t="s">
        <v>1289</v>
      </c>
      <c r="F1039" s="101">
        <f t="shared" si="34"/>
        <v>0.34791666666569654</v>
      </c>
    </row>
    <row r="1040" spans="1:8" x14ac:dyDescent="0.25">
      <c r="A1040" s="37" t="s">
        <v>166</v>
      </c>
      <c r="B1040" s="94">
        <v>45706</v>
      </c>
      <c r="C1040" s="37" t="s">
        <v>641</v>
      </c>
      <c r="D1040" s="94">
        <v>45707</v>
      </c>
      <c r="E1040" s="37" t="s">
        <v>910</v>
      </c>
      <c r="F1040" s="101">
        <f t="shared" si="34"/>
        <v>0.49930555555329192</v>
      </c>
    </row>
    <row r="1041" spans="1:6" x14ac:dyDescent="0.25">
      <c r="A1041" s="37" t="s">
        <v>155</v>
      </c>
      <c r="B1041" s="94">
        <v>45706</v>
      </c>
      <c r="C1041" s="37" t="s">
        <v>680</v>
      </c>
      <c r="D1041" s="94">
        <v>45707</v>
      </c>
      <c r="E1041" s="37" t="s">
        <v>1601</v>
      </c>
      <c r="F1041" s="101">
        <f t="shared" ref="F1041:F1046" si="35">(D1041 + TIME(LEFT(E1041, 2), MID(E1041, 3, 2), 0)) - (B1041 + TIME(LEFT(C1041, 2), MID(C1041, 3, 2), 0))</f>
        <v>0.50138888889341615</v>
      </c>
    </row>
    <row r="1042" spans="1:6" x14ac:dyDescent="0.25">
      <c r="A1042" s="37" t="s">
        <v>160</v>
      </c>
      <c r="B1042" s="94">
        <v>45707</v>
      </c>
      <c r="C1042" s="37" t="s">
        <v>908</v>
      </c>
      <c r="D1042" s="94">
        <v>45707</v>
      </c>
      <c r="E1042" s="37" t="s">
        <v>641</v>
      </c>
      <c r="F1042" s="101">
        <f t="shared" si="35"/>
        <v>0.50138888889341615</v>
      </c>
    </row>
    <row r="1043" spans="1:6" x14ac:dyDescent="0.25">
      <c r="A1043" s="37" t="s">
        <v>194</v>
      </c>
      <c r="B1043" s="94">
        <v>45707</v>
      </c>
      <c r="C1043" s="37" t="s">
        <v>248</v>
      </c>
      <c r="D1043" s="94">
        <v>45707</v>
      </c>
      <c r="E1043" s="37" t="s">
        <v>2710</v>
      </c>
      <c r="F1043" s="101">
        <f t="shared" si="35"/>
        <v>4.5833333337213844E-2</v>
      </c>
    </row>
    <row r="1044" spans="1:6" x14ac:dyDescent="0.25">
      <c r="A1044" s="37" t="s">
        <v>202</v>
      </c>
      <c r="B1044" s="94">
        <v>45707</v>
      </c>
      <c r="C1044" s="37" t="s">
        <v>2130</v>
      </c>
      <c r="D1044" s="94">
        <v>45707</v>
      </c>
      <c r="E1044" s="37" t="s">
        <v>2779</v>
      </c>
      <c r="F1044" s="101">
        <f t="shared" si="35"/>
        <v>4.0972222217533272E-2</v>
      </c>
    </row>
    <row r="1045" spans="1:6" x14ac:dyDescent="0.25">
      <c r="A1045" s="37" t="s">
        <v>178</v>
      </c>
      <c r="B1045" s="94">
        <v>45707</v>
      </c>
      <c r="C1045" s="37" t="s">
        <v>1249</v>
      </c>
      <c r="D1045" s="94">
        <v>45707</v>
      </c>
      <c r="E1045" s="37" t="s">
        <v>1414</v>
      </c>
      <c r="F1045" s="101">
        <f t="shared" si="35"/>
        <v>2.2222222221898846E-2</v>
      </c>
    </row>
    <row r="1046" spans="1:6" x14ac:dyDescent="0.25">
      <c r="A1046" s="37" t="s">
        <v>264</v>
      </c>
      <c r="B1046" s="94">
        <v>45707</v>
      </c>
      <c r="C1046" s="37" t="s">
        <v>1411</v>
      </c>
      <c r="D1046" s="94">
        <v>45707</v>
      </c>
      <c r="E1046" s="37" t="s">
        <v>3141</v>
      </c>
      <c r="F1046" s="101">
        <f t="shared" si="35"/>
        <v>0.45486111110949423</v>
      </c>
    </row>
    <row r="1047" spans="1:6" x14ac:dyDescent="0.25">
      <c r="A1047" s="37" t="s">
        <v>169</v>
      </c>
      <c r="B1047" s="94">
        <v>45707</v>
      </c>
      <c r="C1047" s="37" t="s">
        <v>1431</v>
      </c>
      <c r="D1047" s="94">
        <v>45707</v>
      </c>
      <c r="E1047" s="37" t="s">
        <v>1346</v>
      </c>
      <c r="F1047" s="101">
        <f>(D1047 + TIME(LEFT(E1047, 2), MID(E1047, 3, 2), 0)) - (B1047 + TIME(LEFT(C1047, 2), MID(C1047, 3, 2), 0))</f>
        <v>0.50069444443943212</v>
      </c>
    </row>
    <row r="1048" spans="1:6" x14ac:dyDescent="0.25">
      <c r="A1048" s="37" t="s">
        <v>163</v>
      </c>
      <c r="B1048" s="94">
        <v>45707</v>
      </c>
      <c r="C1048" s="37" t="s">
        <v>3083</v>
      </c>
      <c r="D1048" s="94">
        <v>45707</v>
      </c>
      <c r="E1048" s="37" t="s">
        <v>3090</v>
      </c>
      <c r="F1048" s="101">
        <f>(D1048 + TIME(LEFT(E1048, 2), MID(E1048, 3, 2), 0)) - (B1048 + TIME(LEFT(C1048, 2), MID(C1048, 3, 2), 0))</f>
        <v>4.2361111110949423E-2</v>
      </c>
    </row>
    <row r="1049" spans="1:6" x14ac:dyDescent="0.25">
      <c r="A1049" s="37" t="s">
        <v>162</v>
      </c>
      <c r="B1049" s="94">
        <v>45707</v>
      </c>
      <c r="C1049" s="37" t="s">
        <v>3083</v>
      </c>
      <c r="D1049" s="94">
        <v>45707</v>
      </c>
      <c r="E1049" s="37" t="s">
        <v>3088</v>
      </c>
      <c r="F1049" s="101">
        <f>(D1049 + TIME(LEFT(E1049, 2), MID(E1049, 3, 2), 0)) - (B1049 + TIME(LEFT(C1049, 2), MID(C1049, 3, 2), 0))</f>
        <v>3.7499999998544808E-2</v>
      </c>
    </row>
    <row r="1050" spans="1:6" x14ac:dyDescent="0.25">
      <c r="A1050" s="37" t="s">
        <v>161</v>
      </c>
      <c r="B1050" s="94">
        <v>45707</v>
      </c>
      <c r="C1050" s="37" t="s">
        <v>1065</v>
      </c>
      <c r="D1050" s="94">
        <v>45707</v>
      </c>
      <c r="E1050" s="37" t="s">
        <v>1415</v>
      </c>
      <c r="F1050" s="101">
        <f>(D1050 + TIME(LEFT(E1050, 2), MID(E1050, 3, 2), 0)) - (B1050 + TIME(LEFT(C1050, 2), MID(C1050, 3, 2), 0))</f>
        <v>2.7083333334303461E-2</v>
      </c>
    </row>
    <row r="1051" spans="1:6" x14ac:dyDescent="0.25">
      <c r="A1051" s="37" t="s">
        <v>175</v>
      </c>
      <c r="B1051" s="94">
        <v>45707</v>
      </c>
      <c r="C1051" s="37" t="s">
        <v>3092</v>
      </c>
      <c r="D1051" s="94">
        <v>45707</v>
      </c>
      <c r="E1051" s="37" t="s">
        <v>2245</v>
      </c>
      <c r="F1051" s="101">
        <f>(D1051 + TIME(LEFT(E1051, 2), MID(E1051, 3, 2), 0)) - (B1051 + TIME(LEFT(C1051, 2), MID(C1051, 3, 2), 0))</f>
        <v>0.64236111110949423</v>
      </c>
    </row>
    <row r="1052" spans="1:6" x14ac:dyDescent="0.25">
      <c r="A1052" s="37" t="s">
        <v>164</v>
      </c>
      <c r="B1052" s="94">
        <v>45707</v>
      </c>
      <c r="C1052" s="37" t="s">
        <v>739</v>
      </c>
      <c r="D1052" s="94">
        <v>45707</v>
      </c>
      <c r="E1052" s="37" t="s">
        <v>595</v>
      </c>
      <c r="F1052" s="101">
        <f t="shared" ref="F1052:F1059" si="36">(D1052 + TIME(LEFT(E1052, 2), MID(E1052, 3, 2), 0)) - (B1052 + TIME(LEFT(C1052, 2), MID(C1052, 3, 2), 0))</f>
        <v>3.1944444446708076E-2</v>
      </c>
    </row>
    <row r="1053" spans="1:6" x14ac:dyDescent="0.25">
      <c r="A1053" s="37" t="s">
        <v>168</v>
      </c>
      <c r="B1053" s="94">
        <v>45707</v>
      </c>
      <c r="C1053" s="37" t="s">
        <v>946</v>
      </c>
      <c r="D1053" s="94">
        <v>45707</v>
      </c>
      <c r="E1053" s="37" t="s">
        <v>2719</v>
      </c>
      <c r="F1053" s="101">
        <f t="shared" si="36"/>
        <v>2.7777777781011537E-2</v>
      </c>
    </row>
    <row r="1054" spans="1:6" x14ac:dyDescent="0.25">
      <c r="A1054" s="37" t="s">
        <v>165</v>
      </c>
      <c r="B1054" s="94">
        <v>45707</v>
      </c>
      <c r="C1054" s="37" t="s">
        <v>152</v>
      </c>
      <c r="D1054" s="94">
        <v>45707</v>
      </c>
      <c r="E1054" s="37" t="s">
        <v>3103</v>
      </c>
      <c r="F1054" s="101">
        <f t="shared" si="36"/>
        <v>2.9861111113859806E-2</v>
      </c>
    </row>
    <row r="1055" spans="1:6" x14ac:dyDescent="0.25">
      <c r="A1055" s="37" t="s">
        <v>170</v>
      </c>
      <c r="B1055" s="94">
        <v>45707</v>
      </c>
      <c r="C1055" s="37" t="s">
        <v>1090</v>
      </c>
      <c r="D1055" s="94">
        <v>45707</v>
      </c>
      <c r="E1055" s="37" t="s">
        <v>1436</v>
      </c>
      <c r="F1055" s="101">
        <f t="shared" si="36"/>
        <v>2.5694444448163267E-2</v>
      </c>
    </row>
    <row r="1056" spans="1:6" x14ac:dyDescent="0.25">
      <c r="A1056" s="37" t="s">
        <v>174</v>
      </c>
      <c r="B1056" s="94">
        <v>45707</v>
      </c>
      <c r="C1056" s="37" t="s">
        <v>1429</v>
      </c>
      <c r="D1056" s="94">
        <v>45707</v>
      </c>
      <c r="E1056" s="37" t="s">
        <v>1731</v>
      </c>
      <c r="F1056" s="101">
        <f t="shared" si="36"/>
        <v>2.5000000001455192E-2</v>
      </c>
    </row>
    <row r="1057" spans="1:8" x14ac:dyDescent="0.25">
      <c r="A1057" s="37" t="s">
        <v>202</v>
      </c>
      <c r="B1057" s="94">
        <v>45707</v>
      </c>
      <c r="C1057" s="37" t="s">
        <v>3099</v>
      </c>
      <c r="D1057" s="94">
        <v>45707</v>
      </c>
      <c r="E1057" s="37" t="s">
        <v>963</v>
      </c>
      <c r="F1057" s="101">
        <f t="shared" si="36"/>
        <v>2.4305555554747116E-2</v>
      </c>
    </row>
    <row r="1058" spans="1:8" x14ac:dyDescent="0.25">
      <c r="A1058" s="37" t="s">
        <v>177</v>
      </c>
      <c r="B1058" s="94">
        <v>45707</v>
      </c>
      <c r="C1058" s="37" t="s">
        <v>3099</v>
      </c>
      <c r="D1058" s="94">
        <v>45707</v>
      </c>
      <c r="E1058" s="37" t="s">
        <v>963</v>
      </c>
      <c r="F1058" s="101">
        <f t="shared" si="36"/>
        <v>2.4305555554747116E-2</v>
      </c>
    </row>
    <row r="1059" spans="1:8" x14ac:dyDescent="0.25">
      <c r="A1059" s="37" t="s">
        <v>186</v>
      </c>
      <c r="B1059" s="94">
        <v>45707</v>
      </c>
      <c r="C1059" s="37" t="s">
        <v>1097</v>
      </c>
      <c r="D1059" s="94">
        <v>45707</v>
      </c>
      <c r="E1059" s="37" t="s">
        <v>3117</v>
      </c>
      <c r="F1059" s="101">
        <f t="shared" si="36"/>
        <v>0.20069444444379769</v>
      </c>
    </row>
    <row r="1060" spans="1:8" x14ac:dyDescent="0.25">
      <c r="A1060" s="37" t="s">
        <v>154</v>
      </c>
      <c r="B1060" s="94">
        <v>45707</v>
      </c>
      <c r="C1060" s="37" t="s">
        <v>1099</v>
      </c>
      <c r="D1060" s="94">
        <v>45708</v>
      </c>
      <c r="E1060" s="37" t="s">
        <v>399</v>
      </c>
      <c r="F1060" s="101">
        <f>(D1060 + TIME(LEFT(E1060, 2), MID(E1060, 3, 2), 0)) - (B1060 + TIME(LEFT(C1060, 2), MID(C1060, 3, 2), 0))</f>
        <v>0.64513888888905058</v>
      </c>
    </row>
    <row r="1061" spans="1:8" x14ac:dyDescent="0.25">
      <c r="A1061" s="37" t="s">
        <v>268</v>
      </c>
      <c r="B1061" s="94">
        <v>45707</v>
      </c>
      <c r="C1061" s="37" t="s">
        <v>231</v>
      </c>
      <c r="D1061" s="94">
        <v>45707</v>
      </c>
      <c r="E1061" s="37" t="s">
        <v>1271</v>
      </c>
      <c r="F1061" s="101">
        <f>(D1061 + TIME(LEFT(E1061, 2), MID(E1061, 3, 2), 0)) - (B1061 + TIME(LEFT(C1061, 2), MID(C1061, 3, 2), 0))</f>
        <v>3.7500000005820766E-2</v>
      </c>
    </row>
    <row r="1062" spans="1:8" x14ac:dyDescent="0.25">
      <c r="A1062" s="37" t="s">
        <v>151</v>
      </c>
      <c r="B1062" s="94">
        <v>45707</v>
      </c>
      <c r="C1062" s="37" t="s">
        <v>2325</v>
      </c>
      <c r="D1062" s="94">
        <v>45707</v>
      </c>
      <c r="E1062" s="37" t="s">
        <v>3031</v>
      </c>
      <c r="F1062" s="101">
        <f>(D1062 + TIME(LEFT(E1062, 2), MID(E1062, 3, 2), 0)) - (B1062 + TIME(LEFT(C1062, 2), MID(C1062, 3, 2), 0))</f>
        <v>3.4722222226264421E-2</v>
      </c>
      <c r="G1062" s="37" t="s">
        <v>9</v>
      </c>
      <c r="H1062" s="95" t="s">
        <v>3111</v>
      </c>
    </row>
    <row r="1063" spans="1:8" x14ac:dyDescent="0.25">
      <c r="A1063" s="37" t="s">
        <v>178</v>
      </c>
      <c r="B1063" s="94">
        <v>45707</v>
      </c>
      <c r="C1063" s="37" t="s">
        <v>622</v>
      </c>
      <c r="D1063" s="94">
        <v>45707</v>
      </c>
      <c r="E1063" s="37" t="s">
        <v>3122</v>
      </c>
      <c r="F1063" s="101">
        <f>(D1063 + TIME(LEFT(E1063, 2), MID(E1063, 3, 2), 0)) - (B1063 + TIME(LEFT(C1063, 2), MID(C1063, 3, 2), 0))</f>
        <v>8.7499999994179234E-2</v>
      </c>
    </row>
    <row r="1064" spans="1:8" x14ac:dyDescent="0.25">
      <c r="A1064" s="37" t="s">
        <v>194</v>
      </c>
      <c r="B1064" s="94">
        <v>45707</v>
      </c>
      <c r="C1064" s="37" t="s">
        <v>2186</v>
      </c>
      <c r="D1064" s="94">
        <v>45707</v>
      </c>
      <c r="E1064" s="37" t="s">
        <v>3120</v>
      </c>
      <c r="F1064" s="101">
        <f>(D1064 + TIME(LEFT(E1064, 2), MID(E1064, 3, 2), 0)) - (B1064 + TIME(LEFT(C1064, 2), MID(C1064, 3, 2), 0))</f>
        <v>7.7083333337213844E-2</v>
      </c>
    </row>
    <row r="1065" spans="1:8" x14ac:dyDescent="0.25">
      <c r="A1065" s="37" t="s">
        <v>151</v>
      </c>
      <c r="B1065" s="94">
        <v>45707</v>
      </c>
      <c r="C1065" s="37" t="s">
        <v>3031</v>
      </c>
      <c r="D1065" s="94">
        <v>45708</v>
      </c>
      <c r="E1065" s="37" t="s">
        <v>951</v>
      </c>
      <c r="F1065" s="101">
        <f>(D1065 + TIME(LEFT(E1065, 2), MID(E1065, 3, 2), 0)) - (B1065 + TIME(LEFT(C1065, 2), MID(C1065, 3, 2), 0))</f>
        <v>0.80208333333575865</v>
      </c>
    </row>
    <row r="1066" spans="1:8" x14ac:dyDescent="0.25">
      <c r="A1066" s="37" t="s">
        <v>161</v>
      </c>
      <c r="B1066" s="94">
        <v>45707</v>
      </c>
      <c r="C1066" s="37" t="s">
        <v>3115</v>
      </c>
      <c r="D1066" s="94">
        <v>45707</v>
      </c>
      <c r="E1066" s="37" t="s">
        <v>1468</v>
      </c>
      <c r="F1066" s="101">
        <f>(D1066 + TIME(LEFT(E1066, 2), MID(E1066, 3, 2), 0)) - (B1066 + TIME(LEFT(C1066, 2), MID(C1066, 3, 2), 0))</f>
        <v>9.1666666667151731E-2</v>
      </c>
    </row>
    <row r="1067" spans="1:8" x14ac:dyDescent="0.25">
      <c r="A1067" s="37" t="s">
        <v>186</v>
      </c>
      <c r="B1067" s="94">
        <v>45707</v>
      </c>
      <c r="C1067" s="37" t="s">
        <v>3119</v>
      </c>
    </row>
    <row r="1068" spans="1:8" x14ac:dyDescent="0.25">
      <c r="A1068" s="37" t="s">
        <v>162</v>
      </c>
      <c r="B1068" s="94">
        <v>45707</v>
      </c>
      <c r="C1068" s="37" t="s">
        <v>1467</v>
      </c>
      <c r="D1068" s="94">
        <v>45707</v>
      </c>
      <c r="E1068" s="37" t="s">
        <v>3130</v>
      </c>
      <c r="F1068" s="101">
        <f>(D1068 + TIME(LEFT(E1068, 2), MID(E1068, 3, 2), 0)) - (B1068 + TIME(LEFT(C1068, 2), MID(C1068, 3, 2), 0))</f>
        <v>3.125E-2</v>
      </c>
    </row>
    <row r="1069" spans="1:8" x14ac:dyDescent="0.25">
      <c r="A1069" s="37" t="s">
        <v>163</v>
      </c>
      <c r="B1069" s="94">
        <v>45707</v>
      </c>
      <c r="C1069" s="37" t="s">
        <v>3126</v>
      </c>
      <c r="D1069" s="94">
        <v>45707</v>
      </c>
      <c r="E1069" s="37" t="s">
        <v>2666</v>
      </c>
      <c r="F1069" s="101">
        <f>(D1069 + TIME(LEFT(E1069, 2), MID(E1069, 3, 2), 0)) - (B1069 + TIME(LEFT(C1069, 2), MID(C1069, 3, 2), 0))</f>
        <v>4.1666666671517305E-2</v>
      </c>
    </row>
    <row r="1070" spans="1:8" x14ac:dyDescent="0.25">
      <c r="A1070" s="37" t="s">
        <v>164</v>
      </c>
      <c r="B1070" s="94">
        <v>45707</v>
      </c>
      <c r="C1070" s="37" t="s">
        <v>3126</v>
      </c>
      <c r="D1070" s="94">
        <v>45707</v>
      </c>
      <c r="E1070" s="37" t="s">
        <v>1152</v>
      </c>
      <c r="F1070" s="101">
        <f>(D1070 + TIME(LEFT(E1070, 2), MID(E1070, 3, 2), 0)) - (B1070 + TIME(LEFT(C1070, 2), MID(C1070, 3, 2), 0))</f>
        <v>5.0000000002910383E-2</v>
      </c>
    </row>
    <row r="1071" spans="1:8" x14ac:dyDescent="0.25">
      <c r="A1071" s="37" t="s">
        <v>268</v>
      </c>
      <c r="B1071" s="94">
        <v>45707</v>
      </c>
      <c r="C1071" s="37" t="s">
        <v>3132</v>
      </c>
      <c r="D1071" s="94">
        <v>45707</v>
      </c>
      <c r="E1071" s="37" t="s">
        <v>276</v>
      </c>
      <c r="F1071" s="101">
        <f>(D1071 + TIME(LEFT(E1071, 2), MID(E1071, 3, 2), 0)) - (B1071 + TIME(LEFT(C1071, 2), MID(C1071, 3, 2), 0))</f>
        <v>0.10347222222480923</v>
      </c>
    </row>
    <row r="1072" spans="1:8" x14ac:dyDescent="0.25">
      <c r="A1072" s="37" t="s">
        <v>166</v>
      </c>
      <c r="B1072" s="94">
        <v>45707</v>
      </c>
      <c r="C1072" s="37" t="s">
        <v>167</v>
      </c>
      <c r="D1072" s="94">
        <v>45707</v>
      </c>
      <c r="E1072" s="37" t="s">
        <v>682</v>
      </c>
      <c r="F1072" s="101">
        <f>(D1072 + TIME(LEFT(E1072, 2), MID(E1072, 3, 2), 0)) - (B1072 + TIME(LEFT(C1072, 2), MID(C1072, 3, 2), 0))</f>
        <v>0.5</v>
      </c>
    </row>
    <row r="1073" spans="1:6" x14ac:dyDescent="0.25">
      <c r="A1073" s="37" t="s">
        <v>155</v>
      </c>
      <c r="B1073" s="94">
        <v>45707</v>
      </c>
      <c r="C1073" s="37" t="s">
        <v>528</v>
      </c>
      <c r="D1073" s="94">
        <v>45708</v>
      </c>
      <c r="E1073" s="37" t="s">
        <v>910</v>
      </c>
      <c r="F1073" s="101">
        <f>(D1073 + TIME(LEFT(E1073, 2), MID(E1073, 3, 2), 0)) - (B1073 + TIME(LEFT(C1073, 2), MID(C1073, 3, 2), 0))</f>
        <v>0.5</v>
      </c>
    </row>
    <row r="1074" spans="1:6" x14ac:dyDescent="0.25">
      <c r="A1074" s="37" t="s">
        <v>165</v>
      </c>
      <c r="B1074" s="94">
        <v>45707</v>
      </c>
      <c r="C1074" s="37" t="s">
        <v>1634</v>
      </c>
      <c r="D1074" s="94">
        <v>45707</v>
      </c>
      <c r="E1074" s="37" t="s">
        <v>1646</v>
      </c>
      <c r="F1074" s="101">
        <f>(D1074 + TIME(LEFT(E1074, 2), MID(E1074, 3, 2), 0)) - (B1074 + TIME(LEFT(C1074, 2), MID(C1074, 3, 2), 0))</f>
        <v>2.1527777775190771E-2</v>
      </c>
    </row>
    <row r="1075" spans="1:6" x14ac:dyDescent="0.25">
      <c r="A1075" s="37" t="s">
        <v>168</v>
      </c>
      <c r="B1075" s="94">
        <v>45707</v>
      </c>
      <c r="C1075" s="37" t="s">
        <v>1638</v>
      </c>
      <c r="D1075" s="94">
        <v>45707</v>
      </c>
      <c r="E1075" s="37" t="s">
        <v>3159</v>
      </c>
      <c r="F1075" s="101">
        <f>(D1075 + TIME(LEFT(E1075, 2), MID(E1075, 3, 2), 0)) - (B1075 + TIME(LEFT(C1075, 2), MID(C1075, 3, 2), 0))</f>
        <v>3.6805555551836733E-2</v>
      </c>
    </row>
    <row r="1076" spans="1:6" x14ac:dyDescent="0.25">
      <c r="A1076" s="37" t="s">
        <v>263</v>
      </c>
      <c r="B1076" s="94">
        <v>45707</v>
      </c>
      <c r="C1076" s="37" t="s">
        <v>2675</v>
      </c>
      <c r="D1076" s="94">
        <v>45707</v>
      </c>
      <c r="E1076" s="37" t="s">
        <v>276</v>
      </c>
      <c r="F1076" s="101">
        <f>(D1076 + TIME(LEFT(E1076, 2), MID(E1076, 3, 2), 0)) - (B1076 + TIME(LEFT(C1076, 2), MID(C1076, 3, 2), 0))</f>
        <v>1.2499999997089617E-2</v>
      </c>
    </row>
    <row r="1077" spans="1:6" x14ac:dyDescent="0.25">
      <c r="A1077" s="37" t="s">
        <v>172</v>
      </c>
      <c r="B1077" s="94">
        <v>45707</v>
      </c>
      <c r="C1077" s="37" t="s">
        <v>3146</v>
      </c>
      <c r="D1077" s="94">
        <v>45707</v>
      </c>
      <c r="E1077" s="37" t="s">
        <v>2383</v>
      </c>
      <c r="F1077" s="101">
        <f>(D1077 + TIME(LEFT(E1077, 2), MID(E1077, 3, 2), 0)) - (B1077 + TIME(LEFT(C1077, 2), MID(C1077, 3, 2), 0))</f>
        <v>2.4305555554747116E-2</v>
      </c>
    </row>
    <row r="1078" spans="1:6" x14ac:dyDescent="0.25">
      <c r="A1078" s="37" t="s">
        <v>174</v>
      </c>
      <c r="B1078" s="94">
        <v>45707</v>
      </c>
      <c r="C1078" s="37" t="s">
        <v>3148</v>
      </c>
      <c r="D1078" s="94">
        <v>45707</v>
      </c>
      <c r="E1078" s="37" t="s">
        <v>1805</v>
      </c>
      <c r="F1078" s="101">
        <f>(D1078 + TIME(LEFT(E1078, 2), MID(E1078, 3, 2), 0)) - (B1078 + TIME(LEFT(C1078, 2), MID(C1078, 3, 2), 0))</f>
        <v>4.7916666670062114E-2</v>
      </c>
    </row>
    <row r="1079" spans="1:6" x14ac:dyDescent="0.25">
      <c r="A1079" s="37" t="s">
        <v>264</v>
      </c>
      <c r="B1079" s="94">
        <v>45707</v>
      </c>
      <c r="C1079" s="37" t="s">
        <v>3150</v>
      </c>
      <c r="D1079" s="94">
        <v>45707</v>
      </c>
      <c r="E1079" s="37" t="s">
        <v>276</v>
      </c>
      <c r="F1079" s="101">
        <f>(D1079 + TIME(LEFT(E1079, 2), MID(E1079, 3, 2), 0)) - (B1079 + TIME(LEFT(C1079, 2), MID(C1079, 3, 2), 0))</f>
        <v>2.7777777795563452E-3</v>
      </c>
    </row>
    <row r="1080" spans="1:6" x14ac:dyDescent="0.25">
      <c r="A1080" s="37" t="s">
        <v>260</v>
      </c>
      <c r="B1080" s="94">
        <v>45707</v>
      </c>
      <c r="C1080" s="37" t="s">
        <v>1492</v>
      </c>
      <c r="D1080" s="94">
        <v>45708</v>
      </c>
      <c r="E1080" s="37" t="s">
        <v>1111</v>
      </c>
      <c r="F1080" s="101">
        <f>(D1080 + TIME(LEFT(E1080, 2), MID(E1080, 3, 2), 0)) - (B1080 + TIME(LEFT(C1080, 2), MID(C1080, 3, 2), 0))</f>
        <v>0.58611111110803904</v>
      </c>
    </row>
    <row r="1081" spans="1:6" x14ac:dyDescent="0.25">
      <c r="A1081" s="37" t="s">
        <v>264</v>
      </c>
      <c r="B1081" s="94">
        <v>45707</v>
      </c>
      <c r="C1081" s="37" t="s">
        <v>1492</v>
      </c>
      <c r="D1081" s="94">
        <v>45708</v>
      </c>
      <c r="E1081" s="37" t="s">
        <v>3191</v>
      </c>
      <c r="F1081" s="101">
        <f>(D1081 + TIME(LEFT(E1081, 2), MID(E1081, 3, 2), 0)) - (B1081 + TIME(LEFT(C1081, 2), MID(C1081, 3, 2), 0))</f>
        <v>0.29722222221607808</v>
      </c>
    </row>
    <row r="1082" spans="1:6" x14ac:dyDescent="0.25">
      <c r="A1082" s="37" t="s">
        <v>265</v>
      </c>
      <c r="B1082" s="94">
        <v>45707</v>
      </c>
      <c r="C1082" s="37" t="s">
        <v>1492</v>
      </c>
      <c r="D1082" s="94">
        <v>45708</v>
      </c>
      <c r="E1082" s="37" t="s">
        <v>1111</v>
      </c>
      <c r="F1082" s="101">
        <f>(D1082 + TIME(LEFT(E1082, 2), MID(E1082, 3, 2), 0)) - (B1082 + TIME(LEFT(C1082, 2), MID(C1082, 3, 2), 0))</f>
        <v>0.58611111110803904</v>
      </c>
    </row>
    <row r="1083" spans="1:6" x14ac:dyDescent="0.25">
      <c r="A1083" s="37" t="s">
        <v>261</v>
      </c>
      <c r="B1083" s="94">
        <v>45707</v>
      </c>
      <c r="C1083" s="37" t="s">
        <v>1492</v>
      </c>
      <c r="D1083" s="94">
        <v>45708</v>
      </c>
      <c r="E1083" s="37" t="s">
        <v>1111</v>
      </c>
      <c r="F1083" s="101">
        <f>(D1083 + TIME(LEFT(E1083, 2), MID(E1083, 3, 2), 0)) - (B1083 + TIME(LEFT(C1083, 2), MID(C1083, 3, 2), 0))</f>
        <v>0.58611111110803904</v>
      </c>
    </row>
    <row r="1084" spans="1:6" x14ac:dyDescent="0.25">
      <c r="A1084" s="37" t="s">
        <v>262</v>
      </c>
      <c r="B1084" s="94">
        <v>45707</v>
      </c>
      <c r="C1084" s="37" t="s">
        <v>1492</v>
      </c>
      <c r="D1084" s="94">
        <v>45708</v>
      </c>
      <c r="E1084" s="37" t="s">
        <v>1111</v>
      </c>
      <c r="F1084" s="101">
        <f>(D1084 + TIME(LEFT(E1084, 2), MID(E1084, 3, 2), 0)) - (B1084 + TIME(LEFT(C1084, 2), MID(C1084, 3, 2), 0))</f>
        <v>0.58611111110803904</v>
      </c>
    </row>
    <row r="1085" spans="1:6" x14ac:dyDescent="0.25">
      <c r="A1085" s="37" t="s">
        <v>263</v>
      </c>
      <c r="B1085" s="94">
        <v>45707</v>
      </c>
      <c r="C1085" s="37" t="s">
        <v>271</v>
      </c>
      <c r="D1085" s="94">
        <v>45708</v>
      </c>
      <c r="E1085" s="37" t="s">
        <v>1111</v>
      </c>
      <c r="F1085" s="101">
        <f>(D1085 + TIME(LEFT(E1085, 2), MID(E1085, 3, 2), 0)) - (B1085 + TIME(LEFT(C1085, 2), MID(C1085, 3, 2), 0))</f>
        <v>0.57708333332993789</v>
      </c>
    </row>
    <row r="1086" spans="1:6" x14ac:dyDescent="0.25">
      <c r="A1086" s="37" t="s">
        <v>162</v>
      </c>
      <c r="B1086" s="94">
        <v>45707</v>
      </c>
      <c r="C1086" s="37" t="s">
        <v>3169</v>
      </c>
      <c r="D1086" s="94">
        <v>45707</v>
      </c>
      <c r="E1086" s="37" t="s">
        <v>388</v>
      </c>
      <c r="F1086" s="101">
        <f>(D1086 + TIME(LEFT(E1086, 2), MID(E1086, 3, 2), 0)) - (B1086 + TIME(LEFT(C1086, 2), MID(C1086, 3, 2), 0))</f>
        <v>2.9861111113859806E-2</v>
      </c>
    </row>
    <row r="1087" spans="1:6" x14ac:dyDescent="0.25">
      <c r="A1087" s="37" t="s">
        <v>202</v>
      </c>
      <c r="B1087" s="94">
        <v>45707</v>
      </c>
      <c r="C1087" s="37" t="s">
        <v>3171</v>
      </c>
      <c r="D1087" s="94">
        <v>45707</v>
      </c>
      <c r="E1087" s="37" t="s">
        <v>3177</v>
      </c>
      <c r="F1087" s="101">
        <f>(D1087 + TIME(LEFT(E1087, 2), MID(E1087, 3, 2), 0)) - (B1087 + TIME(LEFT(C1087, 2), MID(C1087, 3, 2), 0))</f>
        <v>8.333333331393078E-3</v>
      </c>
    </row>
    <row r="1088" spans="1:6" x14ac:dyDescent="0.25">
      <c r="A1088" s="37" t="s">
        <v>177</v>
      </c>
      <c r="B1088" s="94">
        <v>45707</v>
      </c>
      <c r="C1088" s="37" t="s">
        <v>3171</v>
      </c>
      <c r="D1088" s="94">
        <v>45707</v>
      </c>
      <c r="E1088" s="37" t="s">
        <v>1808</v>
      </c>
      <c r="F1088" s="101">
        <f>(D1088 + TIME(LEFT(E1088, 2), MID(E1088, 3, 2), 0)) - (B1088 + TIME(LEFT(C1088, 2), MID(C1088, 3, 2), 0))</f>
        <v>9.7222222248092294E-3</v>
      </c>
    </row>
    <row r="1089" spans="1:8" x14ac:dyDescent="0.25">
      <c r="A1089" s="37" t="s">
        <v>161</v>
      </c>
      <c r="B1089" s="94">
        <v>45707</v>
      </c>
      <c r="C1089" s="37" t="s">
        <v>3171</v>
      </c>
      <c r="D1089" s="94">
        <v>45707</v>
      </c>
      <c r="E1089" s="37" t="s">
        <v>3182</v>
      </c>
      <c r="F1089" s="101">
        <f>(D1089 + TIME(LEFT(E1089, 2), MID(E1089, 3, 2), 0)) - (B1089 + TIME(LEFT(C1089, 2), MID(C1089, 3, 2), 0))</f>
        <v>2.2222222221898846E-2</v>
      </c>
    </row>
    <row r="1090" spans="1:8" ht="28.5" x14ac:dyDescent="0.25">
      <c r="A1090" s="37" t="s">
        <v>268</v>
      </c>
      <c r="B1090" s="94">
        <v>45707</v>
      </c>
      <c r="C1090" s="37" t="s">
        <v>276</v>
      </c>
      <c r="D1090" s="94">
        <v>45708</v>
      </c>
      <c r="E1090" s="37" t="s">
        <v>432</v>
      </c>
      <c r="F1090" s="101">
        <f>(D1090 + TIME(LEFT(E1090, 2), MID(E1090, 3, 2), 0)) - (B1090 + TIME(LEFT(C1090, 2), MID(C1090, 3, 2), 0))</f>
        <v>0.52569444444816327</v>
      </c>
      <c r="G1090" s="37" t="s">
        <v>9</v>
      </c>
      <c r="H1090" s="95" t="s">
        <v>3176</v>
      </c>
    </row>
    <row r="1091" spans="1:8" x14ac:dyDescent="0.25">
      <c r="A1091" s="37" t="s">
        <v>159</v>
      </c>
      <c r="B1091" s="94">
        <v>45707</v>
      </c>
      <c r="C1091" s="37" t="s">
        <v>1344</v>
      </c>
      <c r="D1091" s="94">
        <v>45708</v>
      </c>
      <c r="E1091" s="37" t="s">
        <v>227</v>
      </c>
      <c r="F1091" s="101">
        <f>(D1091 + TIME(LEFT(E1091, 2), MID(E1091, 3, 2), 0)) - (B1091 + TIME(LEFT(C1091, 2), MID(C1091, 3, 2), 0))</f>
        <v>0.50069444443943212</v>
      </c>
    </row>
    <row r="1092" spans="1:8" x14ac:dyDescent="0.25">
      <c r="A1092" s="37" t="s">
        <v>160</v>
      </c>
      <c r="B1092" s="94">
        <v>45707</v>
      </c>
      <c r="C1092" s="37" t="s">
        <v>680</v>
      </c>
      <c r="D1092" s="94">
        <v>45708</v>
      </c>
      <c r="E1092" s="37" t="s">
        <v>1601</v>
      </c>
      <c r="F1092" s="101">
        <f>(D1092 + TIME(LEFT(E1092, 2), MID(E1092, 3, 2), 0)) - (B1092 + TIME(LEFT(C1092, 2), MID(C1092, 3, 2), 0))</f>
        <v>0.50138888889341615</v>
      </c>
    </row>
    <row r="1093" spans="1:8" x14ac:dyDescent="0.25">
      <c r="A1093" s="37" t="s">
        <v>194</v>
      </c>
      <c r="B1093" s="94">
        <v>45708</v>
      </c>
      <c r="C1093" s="37" t="s">
        <v>3193</v>
      </c>
      <c r="D1093" s="94">
        <v>45708</v>
      </c>
      <c r="E1093" s="37" t="s">
        <v>3199</v>
      </c>
      <c r="F1093" s="101">
        <f>(D1093 + TIME(LEFT(E1093, 2), MID(E1093, 3, 2), 0)) - (B1093 + TIME(LEFT(C1093, 2), MID(C1093, 3, 2), 0))</f>
        <v>4.7916666662786156E-2</v>
      </c>
    </row>
    <row r="1094" spans="1:8" x14ac:dyDescent="0.25">
      <c r="A1094" s="37" t="s">
        <v>163</v>
      </c>
      <c r="B1094" s="94">
        <v>45708</v>
      </c>
      <c r="C1094" s="37" t="s">
        <v>3195</v>
      </c>
      <c r="D1094" s="94">
        <v>45708</v>
      </c>
      <c r="E1094" s="37" t="s">
        <v>1944</v>
      </c>
      <c r="F1094" s="101">
        <f>(D1094 + TIME(LEFT(E1094, 2), MID(E1094, 3, 2), 0)) - (B1094 + TIME(LEFT(C1094, 2), MID(C1094, 3, 2), 0))</f>
        <v>2.0833333328482695E-2</v>
      </c>
    </row>
    <row r="1095" spans="1:8" x14ac:dyDescent="0.25">
      <c r="A1095" s="37" t="s">
        <v>153</v>
      </c>
      <c r="B1095" s="94">
        <v>45708</v>
      </c>
      <c r="C1095" s="37" t="s">
        <v>3197</v>
      </c>
    </row>
    <row r="1096" spans="1:8" x14ac:dyDescent="0.25">
      <c r="A1096" s="37" t="s">
        <v>164</v>
      </c>
      <c r="B1096" s="94">
        <v>45708</v>
      </c>
      <c r="C1096" s="37" t="s">
        <v>227</v>
      </c>
      <c r="D1096" s="94">
        <v>45708</v>
      </c>
      <c r="E1096" s="37" t="s">
        <v>3209</v>
      </c>
      <c r="F1096" s="101">
        <f>(D1096 + TIME(LEFT(E1096, 2), MID(E1096, 3, 2), 0)) - (B1096 + TIME(LEFT(C1096, 2), MID(C1096, 3, 2), 0))</f>
        <v>2.3611111115314998E-2</v>
      </c>
    </row>
    <row r="1097" spans="1:8" x14ac:dyDescent="0.25">
      <c r="A1097" s="37" t="s">
        <v>169</v>
      </c>
      <c r="B1097" s="94">
        <v>45708</v>
      </c>
      <c r="C1097" s="37" t="s">
        <v>1431</v>
      </c>
      <c r="D1097" s="94">
        <v>45708</v>
      </c>
      <c r="E1097" s="37" t="s">
        <v>2081</v>
      </c>
      <c r="F1097" s="101">
        <f>(D1097 + TIME(LEFT(E1097, 2), MID(E1097, 3, 2), 0)) - (B1097 + TIME(LEFT(C1097, 2), MID(C1097, 3, 2), 0))</f>
        <v>0.45208333332993789</v>
      </c>
    </row>
    <row r="1098" spans="1:8" x14ac:dyDescent="0.25">
      <c r="A1098" s="37" t="s">
        <v>165</v>
      </c>
      <c r="B1098" s="94">
        <v>45708</v>
      </c>
      <c r="C1098" s="37" t="s">
        <v>1247</v>
      </c>
      <c r="D1098" s="94">
        <v>45708</v>
      </c>
      <c r="E1098" s="37" t="s">
        <v>1415</v>
      </c>
      <c r="F1098" s="101">
        <f>(D1098 + TIME(LEFT(E1098, 2), MID(E1098, 3, 2), 0)) - (B1098 + TIME(LEFT(C1098, 2), MID(C1098, 3, 2), 0))</f>
        <v>2.9861111113859806E-2</v>
      </c>
    </row>
    <row r="1099" spans="1:8" x14ac:dyDescent="0.25">
      <c r="A1099" s="37" t="s">
        <v>194</v>
      </c>
      <c r="B1099" s="94">
        <v>45708</v>
      </c>
      <c r="C1099" s="37" t="s">
        <v>1065</v>
      </c>
      <c r="D1099" s="94">
        <v>45708</v>
      </c>
      <c r="E1099" s="37" t="s">
        <v>3262</v>
      </c>
      <c r="F1099" s="101">
        <f>(D1099 + TIME(LEFT(E1099, 2), MID(E1099, 3, 2), 0)) - (B1099 + TIME(LEFT(C1099, 2), MID(C1099, 3, 2), 0))</f>
        <v>0.21319444444088731</v>
      </c>
      <c r="G1099" s="37" t="s">
        <v>7</v>
      </c>
    </row>
    <row r="1100" spans="1:8" x14ac:dyDescent="0.25">
      <c r="A1100" s="37" t="s">
        <v>168</v>
      </c>
      <c r="B1100" s="94">
        <v>45708</v>
      </c>
      <c r="C1100" s="37" t="s">
        <v>1835</v>
      </c>
      <c r="D1100" s="94">
        <v>45708</v>
      </c>
      <c r="E1100" s="37" t="s">
        <v>1415</v>
      </c>
      <c r="F1100" s="101">
        <f>(D1100 + TIME(LEFT(E1100, 2), MID(E1100, 3, 2), 0)) - (B1100 + TIME(LEFT(C1100, 2), MID(C1100, 3, 2), 0))</f>
        <v>2.3611111115314998E-2</v>
      </c>
    </row>
    <row r="1101" spans="1:8" x14ac:dyDescent="0.25">
      <c r="A1101" s="37" t="s">
        <v>170</v>
      </c>
      <c r="B1101" s="94">
        <v>45708</v>
      </c>
      <c r="C1101" s="37" t="s">
        <v>3207</v>
      </c>
      <c r="D1101" s="94">
        <v>45708</v>
      </c>
      <c r="E1101" s="37" t="s">
        <v>3212</v>
      </c>
      <c r="F1101" s="101">
        <f>(D1101 + TIME(LEFT(E1101, 2), MID(E1101, 3, 2), 0)) - (B1101 + TIME(LEFT(C1101, 2), MID(C1101, 3, 2), 0))</f>
        <v>2.4305555554747116E-2</v>
      </c>
    </row>
    <row r="1102" spans="1:8" x14ac:dyDescent="0.25">
      <c r="A1102" s="37" t="s">
        <v>154</v>
      </c>
      <c r="B1102" s="94">
        <v>45708</v>
      </c>
      <c r="C1102" s="37" t="s">
        <v>3210</v>
      </c>
    </row>
    <row r="1103" spans="1:8" x14ac:dyDescent="0.25">
      <c r="A1103" s="37" t="s">
        <v>268</v>
      </c>
      <c r="B1103" s="94">
        <v>45708</v>
      </c>
      <c r="C1103" s="37" t="s">
        <v>432</v>
      </c>
      <c r="D1103" s="94">
        <v>45708</v>
      </c>
      <c r="E1103" s="37" t="s">
        <v>1111</v>
      </c>
      <c r="F1103" s="101">
        <f>(D1103 + TIME(LEFT(E1103, 2), MID(E1103, 3, 2), 0)) - (B1103 + TIME(LEFT(C1103, 2), MID(C1103, 3, 2), 0))</f>
        <v>8.611111110803904E-2</v>
      </c>
    </row>
    <row r="1104" spans="1:8" x14ac:dyDescent="0.25">
      <c r="A1104" s="37" t="s">
        <v>175</v>
      </c>
      <c r="B1104" s="94">
        <v>45708</v>
      </c>
      <c r="C1104" s="37" t="s">
        <v>737</v>
      </c>
      <c r="D1104" s="94">
        <v>45708</v>
      </c>
      <c r="E1104" s="37" t="s">
        <v>958</v>
      </c>
      <c r="F1104" s="101">
        <f>(D1104 + TIME(LEFT(E1104, 2), MID(E1104, 3, 2), 0)) - (B1104 + TIME(LEFT(C1104, 2), MID(C1104, 3, 2), 0))</f>
        <v>4.9305555556202307E-2</v>
      </c>
    </row>
    <row r="1105" spans="1:8" x14ac:dyDescent="0.25">
      <c r="A1105" s="37" t="s">
        <v>174</v>
      </c>
      <c r="B1105" s="94">
        <v>45708</v>
      </c>
      <c r="C1105" s="37" t="s">
        <v>1090</v>
      </c>
      <c r="D1105" s="94">
        <v>45708</v>
      </c>
      <c r="E1105" s="37" t="s">
        <v>2609</v>
      </c>
      <c r="F1105" s="101">
        <f>(D1105 + TIME(LEFT(E1105, 2), MID(E1105, 3, 2), 0)) - (B1105 + TIME(LEFT(C1105, 2), MID(C1105, 3, 2), 0))</f>
        <v>4.5138888890505768E-2</v>
      </c>
    </row>
    <row r="1106" spans="1:8" x14ac:dyDescent="0.25">
      <c r="A1106" s="37" t="s">
        <v>172</v>
      </c>
      <c r="B1106" s="94">
        <v>45708</v>
      </c>
      <c r="C1106" s="37" t="s">
        <v>1090</v>
      </c>
      <c r="D1106" s="94">
        <v>45708</v>
      </c>
      <c r="E1106" s="37" t="s">
        <v>2609</v>
      </c>
      <c r="F1106" s="101">
        <f>(D1106 + TIME(LEFT(E1106, 2), MID(E1106, 3, 2), 0)) - (B1106 + TIME(LEFT(C1106, 2), MID(C1106, 3, 2), 0))</f>
        <v>4.5138888890505768E-2</v>
      </c>
    </row>
    <row r="1107" spans="1:8" x14ac:dyDescent="0.25">
      <c r="A1107" s="37" t="s">
        <v>202</v>
      </c>
      <c r="B1107" s="94">
        <v>45708</v>
      </c>
      <c r="C1107" s="37" t="s">
        <v>746</v>
      </c>
      <c r="D1107" s="94">
        <v>45708</v>
      </c>
      <c r="E1107" s="37" t="s">
        <v>764</v>
      </c>
      <c r="F1107" s="101">
        <f>(D1107 + TIME(LEFT(E1107, 2), MID(E1107, 3, 2), 0)) - (B1107 + TIME(LEFT(C1107, 2), MID(C1107, 3, 2), 0))</f>
        <v>4.6527777776645962E-2</v>
      </c>
    </row>
    <row r="1108" spans="1:8" x14ac:dyDescent="0.25">
      <c r="A1108" s="37" t="s">
        <v>151</v>
      </c>
      <c r="B1108" s="94">
        <v>45708</v>
      </c>
      <c r="C1108" s="37" t="s">
        <v>951</v>
      </c>
      <c r="G1108" s="37" t="s">
        <v>9</v>
      </c>
      <c r="H1108" s="95" t="s">
        <v>3219</v>
      </c>
    </row>
    <row r="1109" spans="1:8" x14ac:dyDescent="0.25">
      <c r="A1109" s="37" t="s">
        <v>177</v>
      </c>
      <c r="B1109" s="94">
        <v>45708</v>
      </c>
      <c r="C1109" s="37" t="s">
        <v>3220</v>
      </c>
      <c r="D1109" s="94">
        <v>45708</v>
      </c>
      <c r="E1109" s="37" t="s">
        <v>764</v>
      </c>
      <c r="F1109" s="101">
        <f>(D1109 + TIME(LEFT(E1109, 2), MID(E1109, 3, 2), 0)) - (B1109 + TIME(LEFT(C1109, 2), MID(C1109, 3, 2), 0))</f>
        <v>4.3749999997089617E-2</v>
      </c>
    </row>
    <row r="1110" spans="1:8" x14ac:dyDescent="0.25">
      <c r="A1110" s="37" t="s">
        <v>161</v>
      </c>
      <c r="B1110" s="94">
        <v>45708</v>
      </c>
      <c r="C1110" s="37" t="s">
        <v>955</v>
      </c>
      <c r="D1110" s="94">
        <v>45708</v>
      </c>
      <c r="E1110" s="37" t="s">
        <v>196</v>
      </c>
      <c r="F1110" s="101">
        <f>(D1110 + TIME(LEFT(E1110, 2), MID(E1110, 3, 2), 0)) - (B1110 + TIME(LEFT(C1110, 2), MID(C1110, 3, 2), 0))</f>
        <v>3.9583333331393078E-2</v>
      </c>
    </row>
    <row r="1111" spans="1:8" x14ac:dyDescent="0.25">
      <c r="A1111" s="37" t="s">
        <v>157</v>
      </c>
      <c r="B1111" s="94">
        <v>45708</v>
      </c>
      <c r="C1111" s="37" t="s">
        <v>3103</v>
      </c>
    </row>
    <row r="1112" spans="1:8" x14ac:dyDescent="0.25">
      <c r="A1112" s="37" t="s">
        <v>163</v>
      </c>
      <c r="B1112" s="94">
        <v>45708</v>
      </c>
      <c r="C1112" s="37" t="s">
        <v>1102</v>
      </c>
      <c r="D1112" s="94">
        <v>45708</v>
      </c>
      <c r="E1112" s="37" t="s">
        <v>2017</v>
      </c>
      <c r="F1112" s="101">
        <f>(D1112 + TIME(LEFT(E1112, 2), MID(E1112, 3, 2), 0)) - (B1112 + TIME(LEFT(C1112, 2), MID(C1112, 3, 2), 0))</f>
        <v>8.9583333334303461E-2</v>
      </c>
    </row>
    <row r="1113" spans="1:8" x14ac:dyDescent="0.25">
      <c r="A1113" s="37" t="s">
        <v>164</v>
      </c>
      <c r="B1113" s="94">
        <v>45708</v>
      </c>
      <c r="C1113" s="37" t="s">
        <v>1102</v>
      </c>
      <c r="D1113" s="94">
        <v>45708</v>
      </c>
      <c r="E1113" s="37" t="s">
        <v>2480</v>
      </c>
      <c r="F1113" s="101">
        <f>(D1113 + TIME(LEFT(E1113, 2), MID(E1113, 3, 2), 0)) - (B1113 + TIME(LEFT(C1113, 2), MID(C1113, 3, 2), 0))</f>
        <v>9.1666666667151731E-2</v>
      </c>
    </row>
    <row r="1114" spans="1:8" x14ac:dyDescent="0.25">
      <c r="A1114" s="37" t="s">
        <v>165</v>
      </c>
      <c r="B1114" s="94">
        <v>45708</v>
      </c>
      <c r="C1114" s="37" t="s">
        <v>1102</v>
      </c>
      <c r="D1114" s="94">
        <v>45708</v>
      </c>
      <c r="E1114" s="37" t="s">
        <v>2639</v>
      </c>
      <c r="F1114" s="101">
        <f>(D1114 + TIME(LEFT(E1114, 2), MID(E1114, 3, 2), 0)) - (B1114 + TIME(LEFT(C1114, 2), MID(C1114, 3, 2), 0))</f>
        <v>9.375E-2</v>
      </c>
    </row>
    <row r="1115" spans="1:8" x14ac:dyDescent="0.25">
      <c r="A1115" s="37" t="s">
        <v>168</v>
      </c>
      <c r="B1115" s="94">
        <v>45708</v>
      </c>
      <c r="C1115" s="37" t="s">
        <v>1102</v>
      </c>
      <c r="D1115" s="94">
        <v>45708</v>
      </c>
      <c r="E1115" s="37" t="s">
        <v>3260</v>
      </c>
      <c r="F1115" s="101">
        <f>(D1115 + TIME(LEFT(E1115, 2), MID(E1115, 3, 2), 0)) - (B1115 + TIME(LEFT(C1115, 2), MID(C1115, 3, 2), 0))</f>
        <v>9.9999999998544808E-2</v>
      </c>
    </row>
    <row r="1116" spans="1:8" x14ac:dyDescent="0.25">
      <c r="A1116" s="37" t="s">
        <v>175</v>
      </c>
      <c r="B1116" s="94">
        <v>45708</v>
      </c>
      <c r="C1116" s="37" t="s">
        <v>958</v>
      </c>
      <c r="D1116" s="94">
        <v>45708</v>
      </c>
      <c r="E1116" s="37" t="s">
        <v>156</v>
      </c>
      <c r="F1116" s="101">
        <f>(D1116 + TIME(LEFT(E1116, 2), MID(E1116, 3, 2), 0)) - (B1116 + TIME(LEFT(C1116, 2), MID(C1116, 3, 2), 0))</f>
        <v>8.4722222221898846E-2</v>
      </c>
      <c r="G1116" s="37" t="s">
        <v>9</v>
      </c>
      <c r="H1116" s="95" t="s">
        <v>3229</v>
      </c>
    </row>
    <row r="1117" spans="1:8" x14ac:dyDescent="0.25">
      <c r="A1117" s="37" t="s">
        <v>162</v>
      </c>
      <c r="B1117" s="94">
        <v>45708</v>
      </c>
      <c r="C1117" s="37" t="s">
        <v>752</v>
      </c>
      <c r="D1117" s="94">
        <v>45708</v>
      </c>
      <c r="E1117" s="37" t="s">
        <v>1601</v>
      </c>
      <c r="F1117" s="101">
        <f>(D1117 + TIME(LEFT(E1117, 2), MID(E1117, 3, 2), 0)) - (B1117 + TIME(LEFT(C1117, 2), MID(C1117, 3, 2), 0))</f>
        <v>9.7222222226264421E-2</v>
      </c>
    </row>
    <row r="1118" spans="1:8" x14ac:dyDescent="0.25">
      <c r="A1118" s="37" t="s">
        <v>170</v>
      </c>
      <c r="B1118" s="94">
        <v>45708</v>
      </c>
      <c r="C1118" s="37" t="s">
        <v>3238</v>
      </c>
    </row>
    <row r="1119" spans="1:8" x14ac:dyDescent="0.25">
      <c r="A1119" s="37" t="s">
        <v>172</v>
      </c>
      <c r="B1119" s="94">
        <v>45708</v>
      </c>
      <c r="C1119" s="37" t="s">
        <v>1857</v>
      </c>
      <c r="D1119" s="94">
        <v>45708</v>
      </c>
      <c r="E1119" s="37" t="s">
        <v>2925</v>
      </c>
      <c r="F1119" s="101">
        <f>(D1119 + TIME(LEFT(E1119, 2), MID(E1119, 3, 2), 0)) - (B1119 + TIME(LEFT(C1119, 2), MID(C1119, 3, 2), 0))</f>
        <v>0.16458333333139308</v>
      </c>
    </row>
    <row r="1120" spans="1:8" x14ac:dyDescent="0.25">
      <c r="A1120" s="37" t="s">
        <v>174</v>
      </c>
      <c r="B1120" s="94">
        <v>45708</v>
      </c>
      <c r="C1120" s="37" t="s">
        <v>2308</v>
      </c>
      <c r="D1120" s="94">
        <v>45708</v>
      </c>
      <c r="E1120" s="37" t="s">
        <v>3278</v>
      </c>
      <c r="F1120" s="101">
        <f>(D1120 + TIME(LEFT(E1120, 2), MID(E1120, 3, 2), 0)) - (B1120 + TIME(LEFT(C1120, 2), MID(C1120, 3, 2), 0))</f>
        <v>0.15763888888614019</v>
      </c>
    </row>
    <row r="1121" spans="1:8" x14ac:dyDescent="0.25">
      <c r="A1121" s="37" t="s">
        <v>260</v>
      </c>
      <c r="B1121" s="94">
        <v>45708</v>
      </c>
      <c r="C1121" s="37" t="s">
        <v>2802</v>
      </c>
      <c r="D1121" s="94">
        <v>45708</v>
      </c>
      <c r="E1121" s="37" t="s">
        <v>3250</v>
      </c>
      <c r="F1121" s="101">
        <f>(D1121 + TIME(LEFT(E1121, 2), MID(E1121, 3, 2), 0)) - (B1121 + TIME(LEFT(C1121, 2), MID(C1121, 3, 2), 0))</f>
        <v>1.1111111110949423E-2</v>
      </c>
    </row>
    <row r="1122" spans="1:8" x14ac:dyDescent="0.25">
      <c r="A1122" s="37" t="s">
        <v>264</v>
      </c>
      <c r="B1122" s="94">
        <v>45708</v>
      </c>
      <c r="C1122" s="37" t="s">
        <v>2802</v>
      </c>
      <c r="D1122" s="94">
        <v>45708</v>
      </c>
      <c r="E1122" s="37" t="s">
        <v>3250</v>
      </c>
      <c r="F1122" s="101">
        <f>(D1122 + TIME(LEFT(E1122, 2), MID(E1122, 3, 2), 0)) - (B1122 + TIME(LEFT(C1122, 2), MID(C1122, 3, 2), 0))</f>
        <v>1.1111111110949423E-2</v>
      </c>
    </row>
    <row r="1123" spans="1:8" x14ac:dyDescent="0.25">
      <c r="A1123" s="37" t="s">
        <v>265</v>
      </c>
      <c r="B1123" s="94">
        <v>45708</v>
      </c>
      <c r="C1123" s="37" t="s">
        <v>2802</v>
      </c>
      <c r="D1123" s="94">
        <v>45708</v>
      </c>
      <c r="E1123" s="37" t="s">
        <v>1634</v>
      </c>
      <c r="F1123" s="101">
        <f>(D1123 + TIME(LEFT(E1123, 2), MID(E1123, 3, 2), 0)) - (B1123 + TIME(LEFT(C1123, 2), MID(C1123, 3, 2), 0))</f>
        <v>0.336111111115315</v>
      </c>
    </row>
    <row r="1124" spans="1:8" x14ac:dyDescent="0.25">
      <c r="A1124" s="37" t="s">
        <v>261</v>
      </c>
      <c r="B1124" s="94">
        <v>45708</v>
      </c>
      <c r="C1124" s="37" t="s">
        <v>2802</v>
      </c>
      <c r="D1124" s="94">
        <v>45708</v>
      </c>
      <c r="E1124" s="37" t="s">
        <v>1634</v>
      </c>
      <c r="F1124" s="101">
        <f>(D1124 + TIME(LEFT(E1124, 2), MID(E1124, 3, 2), 0)) - (B1124 + TIME(LEFT(C1124, 2), MID(C1124, 3, 2), 0))</f>
        <v>0.336111111115315</v>
      </c>
    </row>
    <row r="1125" spans="1:8" x14ac:dyDescent="0.25">
      <c r="A1125" s="37" t="s">
        <v>262</v>
      </c>
      <c r="B1125" s="94">
        <v>45708</v>
      </c>
      <c r="C1125" s="37" t="s">
        <v>2802</v>
      </c>
      <c r="D1125" s="94">
        <v>45708</v>
      </c>
      <c r="E1125" s="37" t="s">
        <v>3250</v>
      </c>
      <c r="F1125" s="101">
        <f>(D1125 + TIME(LEFT(E1125, 2), MID(E1125, 3, 2), 0)) - (B1125 + TIME(LEFT(C1125, 2), MID(C1125, 3, 2), 0))</f>
        <v>1.1111111110949423E-2</v>
      </c>
    </row>
    <row r="1126" spans="1:8" x14ac:dyDescent="0.25">
      <c r="A1126" s="37" t="s">
        <v>202</v>
      </c>
      <c r="B1126" s="94">
        <v>45708</v>
      </c>
      <c r="C1126" s="37" t="s">
        <v>2173</v>
      </c>
      <c r="D1126" s="94">
        <v>45708</v>
      </c>
      <c r="E1126" s="37" t="s">
        <v>1612</v>
      </c>
      <c r="F1126" s="101">
        <f>(D1126 + TIME(LEFT(E1126, 2), MID(E1126, 3, 2), 0)) - (B1126 + TIME(LEFT(C1126, 2), MID(C1126, 3, 2), 0))</f>
        <v>0.22708333333139308</v>
      </c>
    </row>
    <row r="1127" spans="1:8" x14ac:dyDescent="0.25">
      <c r="A1127" s="37" t="s">
        <v>177</v>
      </c>
      <c r="B1127" s="94">
        <v>45708</v>
      </c>
      <c r="C1127" s="37" t="s">
        <v>3248</v>
      </c>
      <c r="D1127" s="94">
        <v>45708</v>
      </c>
      <c r="E1127" s="37" t="s">
        <v>3299</v>
      </c>
      <c r="F1127" s="101">
        <f>(D1127 + TIME(LEFT(E1127, 2), MID(E1127, 3, 2), 0)) - (B1127 + TIME(LEFT(C1127, 2), MID(C1127, 3, 2), 0))</f>
        <v>0.22499999999854481</v>
      </c>
    </row>
    <row r="1128" spans="1:8" ht="28.5" x14ac:dyDescent="0.25">
      <c r="A1128" s="37" t="s">
        <v>175</v>
      </c>
      <c r="B1128" s="94">
        <v>45708</v>
      </c>
      <c r="C1128" s="37" t="s">
        <v>156</v>
      </c>
      <c r="H1128" s="95" t="s">
        <v>3269</v>
      </c>
    </row>
    <row r="1129" spans="1:8" x14ac:dyDescent="0.25">
      <c r="A1129" s="37" t="s">
        <v>166</v>
      </c>
      <c r="B1129" s="94">
        <v>45708</v>
      </c>
      <c r="C1129" s="37" t="s">
        <v>908</v>
      </c>
      <c r="D1129" s="94">
        <v>45708</v>
      </c>
      <c r="E1129" s="37" t="s">
        <v>528</v>
      </c>
      <c r="F1129" s="101">
        <f>(D1129 + TIME(LEFT(E1129, 2), MID(E1129, 3, 2), 0)) - (B1129 + TIME(LEFT(C1129, 2), MID(C1129, 3, 2), 0))</f>
        <v>0.50069444444670808</v>
      </c>
    </row>
    <row r="1130" spans="1:8" x14ac:dyDescent="0.25">
      <c r="A1130" s="37" t="s">
        <v>155</v>
      </c>
      <c r="B1130" s="94">
        <v>45708</v>
      </c>
      <c r="C1130" s="37" t="s">
        <v>167</v>
      </c>
    </row>
    <row r="1131" spans="1:8" x14ac:dyDescent="0.2">
      <c r="A1131" s="37" t="s">
        <v>194</v>
      </c>
      <c r="B1131" s="94">
        <v>45708</v>
      </c>
      <c r="C1131" s="37" t="s">
        <v>3262</v>
      </c>
      <c r="D1131" s="94">
        <v>45708</v>
      </c>
      <c r="E1131" s="37" t="s">
        <v>3270</v>
      </c>
      <c r="F1131" s="101">
        <f>(D1131 + TIME(LEFT(E1131, 2), MID(E1131, 3, 2), 0)) - (B1131 + TIME(LEFT(C1131, 2), MID(C1131, 3, 2), 0))</f>
        <v>4.3055555557657499E-2</v>
      </c>
      <c r="H1131" s="23" t="s">
        <v>3268</v>
      </c>
    </row>
    <row r="1132" spans="1:8" x14ac:dyDescent="0.25">
      <c r="A1132" s="37" t="s">
        <v>170</v>
      </c>
      <c r="B1132" s="94">
        <v>45708</v>
      </c>
      <c r="C1132" s="37" t="s">
        <v>274</v>
      </c>
      <c r="D1132" s="94">
        <v>45708</v>
      </c>
      <c r="E1132" s="37" t="s">
        <v>2497</v>
      </c>
      <c r="F1132" s="101">
        <f>(D1132 + TIME(LEFT(E1132, 2), MID(E1132, 3, 2), 0)) - (B1132 + TIME(LEFT(C1132, 2), MID(C1132, 3, 2), 0))</f>
        <v>0.13472222222480923</v>
      </c>
    </row>
    <row r="1133" spans="1:8" x14ac:dyDescent="0.25">
      <c r="A1133" s="37" t="s">
        <v>262</v>
      </c>
      <c r="B1133" s="94">
        <v>45708</v>
      </c>
      <c r="C1133" s="37" t="s">
        <v>3024</v>
      </c>
      <c r="D1133" s="94">
        <v>45708</v>
      </c>
      <c r="E1133" s="37" t="s">
        <v>1634</v>
      </c>
      <c r="F1133" s="101">
        <f>(D1133 + TIME(LEFT(E1133, 2), MID(E1133, 3, 2), 0)) - (B1133 + TIME(LEFT(C1133, 2), MID(C1133, 3, 2), 0))</f>
        <v>0.28055555556056788</v>
      </c>
    </row>
    <row r="1134" spans="1:8" x14ac:dyDescent="0.25">
      <c r="A1134" s="37" t="s">
        <v>178</v>
      </c>
      <c r="B1134" s="94">
        <v>45708</v>
      </c>
      <c r="C1134" s="37" t="s">
        <v>3024</v>
      </c>
      <c r="D1134" s="94">
        <v>45708</v>
      </c>
      <c r="E1134" s="37" t="s">
        <v>3299</v>
      </c>
      <c r="F1134" s="101">
        <f>(D1134 + TIME(LEFT(E1134, 2), MID(E1134, 3, 2), 0)) - (B1134 + TIME(LEFT(C1134, 2), MID(C1134, 3, 2), 0))</f>
        <v>0.17847222222189885</v>
      </c>
    </row>
    <row r="1135" spans="1:8" x14ac:dyDescent="0.25">
      <c r="A1135" s="37" t="s">
        <v>194</v>
      </c>
      <c r="B1135" s="94">
        <v>45708</v>
      </c>
      <c r="C1135" s="37" t="s">
        <v>3270</v>
      </c>
      <c r="G1135" s="37" t="s">
        <v>7</v>
      </c>
    </row>
    <row r="1136" spans="1:8" ht="28.5" x14ac:dyDescent="0.25">
      <c r="A1136" s="37" t="s">
        <v>173</v>
      </c>
      <c r="B1136" s="94">
        <v>45708</v>
      </c>
      <c r="C1136" s="37" t="s">
        <v>211</v>
      </c>
      <c r="D1136" s="94">
        <v>45708</v>
      </c>
      <c r="E1136" s="37" t="s">
        <v>2042</v>
      </c>
      <c r="F1136" s="101">
        <f>(D1136 + TIME(LEFT(E1136, 2), MID(E1136, 3, 2), 0)) - (B1136 + TIME(LEFT(C1136, 2), MID(C1136, 3, 2), 0))</f>
        <v>2.1527777782466728E-2</v>
      </c>
      <c r="H1136" s="95" t="s">
        <v>3282</v>
      </c>
    </row>
    <row r="1137" spans="1:8" ht="28.5" x14ac:dyDescent="0.25">
      <c r="A1137" s="37" t="s">
        <v>163</v>
      </c>
      <c r="B1137" s="94">
        <v>45708</v>
      </c>
      <c r="C1137" s="37" t="s">
        <v>3273</v>
      </c>
      <c r="D1137" s="94">
        <v>45708</v>
      </c>
      <c r="E1137" s="37" t="s">
        <v>2042</v>
      </c>
      <c r="F1137" s="101">
        <f>(D1137 + TIME(LEFT(E1137, 2), MID(E1137, 3, 2), 0)) - (B1137 + TIME(LEFT(C1137, 2), MID(C1137, 3, 2), 0))</f>
        <v>9.7222222248092294E-3</v>
      </c>
      <c r="H1137" s="95" t="s">
        <v>3282</v>
      </c>
    </row>
    <row r="1138" spans="1:8" x14ac:dyDescent="0.25">
      <c r="A1138" s="37" t="s">
        <v>162</v>
      </c>
      <c r="B1138" s="94">
        <v>45708</v>
      </c>
      <c r="C1138" s="37" t="s">
        <v>3275</v>
      </c>
      <c r="D1138" s="94">
        <v>45708</v>
      </c>
      <c r="E1138" s="37" t="s">
        <v>2071</v>
      </c>
      <c r="F1138" s="101">
        <f>(D1138 + TIME(LEFT(E1138, 2), MID(E1138, 3, 2), 0)) - (B1138 + TIME(LEFT(C1138, 2), MID(C1138, 3, 2), 0))</f>
        <v>0.10972222222335404</v>
      </c>
    </row>
    <row r="1139" spans="1:8" x14ac:dyDescent="0.25">
      <c r="A1139" s="37" t="s">
        <v>161</v>
      </c>
      <c r="B1139" s="94">
        <v>45708</v>
      </c>
      <c r="C1139" s="37" t="s">
        <v>211</v>
      </c>
      <c r="D1139" s="94">
        <v>45708</v>
      </c>
      <c r="E1139" s="37" t="s">
        <v>2071</v>
      </c>
      <c r="F1139" s="101">
        <f>(D1139 + TIME(LEFT(E1139, 2), MID(E1139, 3, 2), 0)) - (B1139 + TIME(LEFT(C1139, 2), MID(C1139, 3, 2), 0))</f>
        <v>0.117361111115315</v>
      </c>
    </row>
    <row r="1140" spans="1:8" ht="28.5" x14ac:dyDescent="0.25">
      <c r="A1140" s="37" t="s">
        <v>150</v>
      </c>
      <c r="B1140" s="94">
        <v>45708</v>
      </c>
      <c r="C1140" s="37" t="s">
        <v>2042</v>
      </c>
      <c r="D1140" s="94">
        <v>45708</v>
      </c>
      <c r="E1140" s="37" t="s">
        <v>826</v>
      </c>
      <c r="F1140" s="101">
        <f>(D1140 + TIME(LEFT(E1140, 2), MID(E1140, 3, 2), 0)) - (B1140 + TIME(LEFT(C1140, 2), MID(C1140, 3, 2), 0))</f>
        <v>8.2638888889050577E-2</v>
      </c>
      <c r="G1140" s="37" t="s">
        <v>9</v>
      </c>
      <c r="H1140" s="95" t="s">
        <v>3283</v>
      </c>
    </row>
    <row r="1141" spans="1:8" x14ac:dyDescent="0.25">
      <c r="A1141" s="37" t="s">
        <v>252</v>
      </c>
      <c r="B1141" s="94">
        <v>45708</v>
      </c>
      <c r="C1141" s="37" t="s">
        <v>2193</v>
      </c>
      <c r="D1141" s="94">
        <v>45708</v>
      </c>
      <c r="E1141" s="37" t="s">
        <v>3304</v>
      </c>
      <c r="F1141" s="101">
        <f>(D1141 + TIME(LEFT(E1141, 2), MID(E1141, 3, 2), 0)) - (B1141 + TIME(LEFT(C1141, 2), MID(C1141, 3, 2), 0))</f>
        <v>7.3611111110949423E-2</v>
      </c>
    </row>
    <row r="1142" spans="1:8" x14ac:dyDescent="0.25">
      <c r="A1142" s="37" t="s">
        <v>273</v>
      </c>
      <c r="B1142" s="94">
        <v>45708</v>
      </c>
      <c r="C1142" s="37" t="s">
        <v>2193</v>
      </c>
      <c r="D1142" s="94">
        <v>45708</v>
      </c>
      <c r="E1142" s="37" t="s">
        <v>1781</v>
      </c>
      <c r="F1142" s="101">
        <f>(D1142 + TIME(LEFT(E1142, 2), MID(E1142, 3, 2), 0)) - (B1142 + TIME(LEFT(C1142, 2), MID(C1142, 3, 2), 0))</f>
        <v>9.0972222220443655E-2</v>
      </c>
    </row>
    <row r="1143" spans="1:8" x14ac:dyDescent="0.25">
      <c r="A1143" s="37" t="s">
        <v>164</v>
      </c>
      <c r="B1143" s="94">
        <v>45708</v>
      </c>
      <c r="C1143" s="37" t="s">
        <v>2193</v>
      </c>
      <c r="D1143" s="94">
        <v>45708</v>
      </c>
      <c r="E1143" s="37" t="s">
        <v>641</v>
      </c>
      <c r="F1143" s="101">
        <f>(D1143 + TIME(LEFT(E1143, 2), MID(E1143, 3, 2), 0)) - (B1143 + TIME(LEFT(C1143, 2), MID(C1143, 3, 2), 0))</f>
        <v>0.1055555555576575</v>
      </c>
    </row>
    <row r="1144" spans="1:8" x14ac:dyDescent="0.25">
      <c r="A1144" s="37" t="s">
        <v>165</v>
      </c>
      <c r="B1144" s="94">
        <v>45708</v>
      </c>
      <c r="C1144" s="37" t="s">
        <v>2193</v>
      </c>
      <c r="D1144" s="94">
        <v>45708</v>
      </c>
      <c r="E1144" s="37" t="s">
        <v>1001</v>
      </c>
      <c r="F1144" s="101">
        <f>(D1144 + TIME(LEFT(E1144, 2), MID(E1144, 3, 2), 0)) - (B1144 + TIME(LEFT(C1144, 2), MID(C1144, 3, 2), 0))</f>
        <v>0.10833333332993789</v>
      </c>
    </row>
    <row r="1145" spans="1:8" x14ac:dyDescent="0.25">
      <c r="A1145" s="37" t="s">
        <v>163</v>
      </c>
      <c r="B1145" s="94">
        <v>45708</v>
      </c>
      <c r="C1145" s="37" t="s">
        <v>2497</v>
      </c>
      <c r="D1145" s="94">
        <v>45708</v>
      </c>
      <c r="E1145" s="37" t="s">
        <v>3307</v>
      </c>
      <c r="F1145" s="101">
        <f>(D1145 + TIME(LEFT(E1145, 2), MID(E1145, 3, 2), 0)) - (B1145 + TIME(LEFT(C1145, 2), MID(C1145, 3, 2), 0))</f>
        <v>8.8194444448163267E-2</v>
      </c>
    </row>
    <row r="1146" spans="1:8" x14ac:dyDescent="0.25">
      <c r="A1146" s="37" t="s">
        <v>174</v>
      </c>
      <c r="B1146" s="94">
        <v>45708</v>
      </c>
      <c r="C1146" s="37" t="s">
        <v>2497</v>
      </c>
      <c r="D1146" s="94">
        <v>45708</v>
      </c>
      <c r="E1146" s="37" t="s">
        <v>2377</v>
      </c>
      <c r="F1146" s="101">
        <f>(D1146 + TIME(LEFT(E1146, 2), MID(E1146, 3, 2), 0)) - (B1146 + TIME(LEFT(C1146, 2), MID(C1146, 3, 2), 0))</f>
        <v>0.17986111110803904</v>
      </c>
    </row>
    <row r="1147" spans="1:8" x14ac:dyDescent="0.25">
      <c r="A1147" s="37" t="s">
        <v>172</v>
      </c>
      <c r="B1147" s="94">
        <v>45708</v>
      </c>
      <c r="C1147" s="37" t="s">
        <v>2497</v>
      </c>
      <c r="D1147" s="94">
        <v>45708</v>
      </c>
      <c r="E1147" s="37" t="s">
        <v>3333</v>
      </c>
      <c r="F1147" s="101">
        <f>(D1147 + TIME(LEFT(E1147, 2), MID(E1147, 3, 2), 0)) - (B1147 + TIME(LEFT(C1147, 2), MID(C1147, 3, 2), 0))</f>
        <v>0.17500000000291038</v>
      </c>
    </row>
    <row r="1148" spans="1:8" x14ac:dyDescent="0.25">
      <c r="A1148" s="37" t="s">
        <v>168</v>
      </c>
      <c r="B1148" s="94">
        <v>45708</v>
      </c>
      <c r="C1148" s="37" t="s">
        <v>2497</v>
      </c>
      <c r="D1148" s="94">
        <v>45708</v>
      </c>
      <c r="E1148" s="37" t="s">
        <v>1624</v>
      </c>
      <c r="F1148" s="101">
        <f>(D1148 + TIME(LEFT(E1148, 2), MID(E1148, 3, 2), 0)) - (B1148 + TIME(LEFT(C1148, 2), MID(C1148, 3, 2), 0))</f>
        <v>0.10347222222480923</v>
      </c>
    </row>
    <row r="1149" spans="1:8" x14ac:dyDescent="0.25">
      <c r="A1149" s="37" t="s">
        <v>173</v>
      </c>
      <c r="B1149" s="94">
        <v>45708</v>
      </c>
      <c r="C1149" s="37" t="s">
        <v>1139</v>
      </c>
      <c r="D1149" s="94">
        <v>45708</v>
      </c>
      <c r="E1149" s="37" t="s">
        <v>1612</v>
      </c>
      <c r="F1149" s="101">
        <f>(D1149 + TIME(LEFT(E1149, 2), MID(E1149, 3, 2), 0)) - (B1149 + TIME(LEFT(C1149, 2), MID(C1149, 3, 2), 0))</f>
        <v>4.3750000004365575E-2</v>
      </c>
    </row>
    <row r="1150" spans="1:8" x14ac:dyDescent="0.25">
      <c r="A1150" s="37" t="s">
        <v>302</v>
      </c>
      <c r="B1150" s="94">
        <v>45708</v>
      </c>
      <c r="C1150" s="37" t="s">
        <v>146</v>
      </c>
    </row>
    <row r="1151" spans="1:8" x14ac:dyDescent="0.25">
      <c r="A1151" s="37" t="s">
        <v>272</v>
      </c>
      <c r="B1151" s="94">
        <v>45708</v>
      </c>
      <c r="C1151" s="37" t="s">
        <v>146</v>
      </c>
    </row>
    <row r="1152" spans="1:8" x14ac:dyDescent="0.25">
      <c r="A1152" s="37" t="s">
        <v>150</v>
      </c>
      <c r="B1152" s="94">
        <v>45708</v>
      </c>
      <c r="C1152" s="37" t="s">
        <v>826</v>
      </c>
    </row>
    <row r="1153" spans="1:6" x14ac:dyDescent="0.25">
      <c r="A1153" s="37" t="s">
        <v>160</v>
      </c>
      <c r="B1153" s="94">
        <v>45708</v>
      </c>
      <c r="C1153" s="37" t="s">
        <v>526</v>
      </c>
    </row>
    <row r="1154" spans="1:6" x14ac:dyDescent="0.25">
      <c r="A1154" s="37" t="s">
        <v>170</v>
      </c>
      <c r="B1154" s="94">
        <v>45708</v>
      </c>
      <c r="C1154" s="37" t="s">
        <v>3316</v>
      </c>
    </row>
    <row r="1155" spans="1:6" x14ac:dyDescent="0.25">
      <c r="A1155" s="37" t="s">
        <v>169</v>
      </c>
      <c r="B1155" s="94">
        <v>45708</v>
      </c>
      <c r="C1155" s="37" t="s">
        <v>1884</v>
      </c>
      <c r="D1155" s="94">
        <v>45708</v>
      </c>
      <c r="E1155" s="37" t="s">
        <v>1346</v>
      </c>
      <c r="F1155" s="101">
        <f>(D1155 + TIME(LEFT(E1155, 2), MID(E1155, 3, 2), 0)) - (B1155 + TIME(LEFT(C1155, 2), MID(C1155, 3, 2), 0))</f>
        <v>2.7083333327027503E-2</v>
      </c>
    </row>
    <row r="1156" spans="1:6" x14ac:dyDescent="0.25">
      <c r="A1156" s="37" t="s">
        <v>159</v>
      </c>
      <c r="B1156" s="94">
        <v>45708</v>
      </c>
      <c r="C1156" s="37" t="s">
        <v>1884</v>
      </c>
      <c r="D1156" s="94">
        <v>45708</v>
      </c>
      <c r="E1156" s="37" t="s">
        <v>259</v>
      </c>
      <c r="F1156" s="101">
        <f>(D1156 + TIME(LEFT(E1156, 2), MID(E1156, 3, 2), 0)) - (B1156 + TIME(LEFT(C1156, 2), MID(C1156, 3, 2), 0))</f>
        <v>1.3888888861401938E-3</v>
      </c>
    </row>
    <row r="1157" spans="1:6" x14ac:dyDescent="0.25">
      <c r="A1157" s="37" t="s">
        <v>260</v>
      </c>
      <c r="B1157" s="94">
        <v>45708</v>
      </c>
      <c r="C1157" s="37" t="s">
        <v>2513</v>
      </c>
      <c r="D1157" s="94">
        <v>45708</v>
      </c>
      <c r="E1157" s="37" t="s">
        <v>1634</v>
      </c>
      <c r="F1157" s="101">
        <f>(D1157 + TIME(LEFT(E1157, 2), MID(E1157, 3, 2), 0)) - (B1157 + TIME(LEFT(C1157, 2), MID(C1157, 3, 2), 0))</f>
        <v>3.2638888893416151E-2</v>
      </c>
    </row>
    <row r="1158" spans="1:6" x14ac:dyDescent="0.25">
      <c r="A1158" s="37" t="s">
        <v>263</v>
      </c>
      <c r="B1158" s="94">
        <v>45708</v>
      </c>
      <c r="C1158" s="37" t="s">
        <v>2513</v>
      </c>
      <c r="D1158" s="94">
        <v>45708</v>
      </c>
      <c r="E1158" s="37" t="s">
        <v>1892</v>
      </c>
      <c r="F1158" s="101">
        <f>(D1158 + TIME(LEFT(E1158, 2), MID(E1158, 3, 2), 0)) - (B1158 + TIME(LEFT(C1158, 2), MID(C1158, 3, 2), 0))</f>
        <v>2.0138888889050577E-2</v>
      </c>
    </row>
    <row r="1159" spans="1:6" x14ac:dyDescent="0.25">
      <c r="A1159" s="37" t="s">
        <v>202</v>
      </c>
      <c r="B1159" s="94">
        <v>45708</v>
      </c>
      <c r="C1159" s="37" t="s">
        <v>1344</v>
      </c>
      <c r="D1159" s="94">
        <v>45708</v>
      </c>
      <c r="E1159" s="37" t="s">
        <v>1192</v>
      </c>
      <c r="F1159" s="101">
        <f>(D1159 + TIME(LEFT(E1159, 2), MID(E1159, 3, 2), 0)) - (B1159 + TIME(LEFT(C1159, 2), MID(C1159, 3, 2), 0))</f>
        <v>5.7638888887595385E-2</v>
      </c>
    </row>
    <row r="1160" spans="1:6" x14ac:dyDescent="0.25">
      <c r="A1160" s="37" t="s">
        <v>177</v>
      </c>
      <c r="B1160" s="94">
        <v>45708</v>
      </c>
      <c r="C1160" s="37" t="s">
        <v>1006</v>
      </c>
      <c r="D1160" s="94">
        <v>45708</v>
      </c>
      <c r="E1160" s="37" t="s">
        <v>843</v>
      </c>
      <c r="F1160" s="101">
        <f>(D1160 + TIME(LEFT(E1160, 2), MID(E1160, 3, 2), 0)) - (B1160 + TIME(LEFT(C1160, 2), MID(C1160, 3, 2), 0))</f>
        <v>5.9722222227719612E-2</v>
      </c>
    </row>
    <row r="1161" spans="1:6" x14ac:dyDescent="0.25">
      <c r="A1161" s="37" t="s">
        <v>178</v>
      </c>
      <c r="B1161" s="94">
        <v>45708</v>
      </c>
      <c r="C1161" s="37" t="s">
        <v>182</v>
      </c>
      <c r="D1161" s="94">
        <v>45708</v>
      </c>
      <c r="E1161" s="37" t="s">
        <v>3347</v>
      </c>
      <c r="F1161" s="101">
        <f>(D1161 + TIME(LEFT(E1161, 2), MID(E1161, 3, 2), 0)) - (B1161 + TIME(LEFT(C1161, 2), MID(C1161, 3, 2), 0))</f>
        <v>6.4583333332848269E-2</v>
      </c>
    </row>
    <row r="1162" spans="1:6" x14ac:dyDescent="0.25">
      <c r="A1162" s="37" t="s">
        <v>159</v>
      </c>
      <c r="B1162" s="94">
        <v>45708</v>
      </c>
      <c r="C1162" s="37" t="s">
        <v>1344</v>
      </c>
    </row>
    <row r="1163" spans="1:6" x14ac:dyDescent="0.25">
      <c r="A1163" s="37" t="s">
        <v>161</v>
      </c>
      <c r="B1163" s="94">
        <v>45708</v>
      </c>
      <c r="C1163" s="37" t="s">
        <v>1184</v>
      </c>
    </row>
    <row r="1164" spans="1:6" x14ac:dyDescent="0.25">
      <c r="A1164" s="37" t="s">
        <v>262</v>
      </c>
      <c r="B1164" s="94">
        <v>45708</v>
      </c>
      <c r="C1164" s="37" t="s">
        <v>3335</v>
      </c>
    </row>
    <row r="1165" spans="1:6" x14ac:dyDescent="0.25">
      <c r="A1165" s="37" t="s">
        <v>261</v>
      </c>
      <c r="B1165" s="94">
        <v>45708</v>
      </c>
      <c r="C1165" s="37" t="s">
        <v>3335</v>
      </c>
    </row>
    <row r="1166" spans="1:6" x14ac:dyDescent="0.25">
      <c r="A1166" s="37" t="s">
        <v>265</v>
      </c>
      <c r="B1166" s="94">
        <v>45708</v>
      </c>
      <c r="C1166" s="37" t="s">
        <v>3335</v>
      </c>
    </row>
    <row r="1167" spans="1:6" x14ac:dyDescent="0.25">
      <c r="A1167" s="37" t="s">
        <v>264</v>
      </c>
      <c r="B1167" s="94">
        <v>45708</v>
      </c>
      <c r="C1167" s="37" t="s">
        <v>3335</v>
      </c>
    </row>
    <row r="1168" spans="1:6" x14ac:dyDescent="0.25">
      <c r="A1168" s="37" t="s">
        <v>260</v>
      </c>
      <c r="B1168" s="94">
        <v>45708</v>
      </c>
      <c r="C1168" s="37" t="s">
        <v>3335</v>
      </c>
    </row>
    <row r="1169" spans="1:3" x14ac:dyDescent="0.25">
      <c r="A1169" s="37" t="s">
        <v>263</v>
      </c>
      <c r="B1169" s="94">
        <v>45708</v>
      </c>
      <c r="C1169" s="37" t="s">
        <v>1904</v>
      </c>
    </row>
    <row r="1170" spans="1:3" x14ac:dyDescent="0.25">
      <c r="A1170" s="37" t="s">
        <v>268</v>
      </c>
      <c r="B1170" s="94">
        <v>45708</v>
      </c>
      <c r="C1170" s="37" t="s">
        <v>3344</v>
      </c>
    </row>
  </sheetData>
  <autoFilter ref="A1:L1134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2271"/>
  <sheetViews>
    <sheetView zoomScale="85" zoomScaleNormal="85" workbookViewId="0">
      <pane ySplit="1" topLeftCell="A2242" activePane="bottomLeft" state="frozen"/>
      <selection activeCell="F35" sqref="F35"/>
      <selection pane="bottomLeft" activeCell="H2238" sqref="H2238"/>
    </sheetView>
  </sheetViews>
  <sheetFormatPr defaultColWidth="8.85546875" defaultRowHeight="15" x14ac:dyDescent="0.25"/>
  <cols>
    <col min="1" max="1" width="12.5703125" style="23" bestFit="1" customWidth="1"/>
    <col min="2" max="2" width="11.85546875" style="85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67.5703125" style="23" bestFit="1" customWidth="1"/>
    <col min="9" max="9" width="14" style="218" bestFit="1" customWidth="1"/>
    <col min="10" max="16384" width="8.85546875" style="22"/>
  </cols>
  <sheetData>
    <row r="1" spans="1:9" ht="15.75" thickBot="1" x14ac:dyDescent="0.3">
      <c r="A1" s="86" t="s">
        <v>288</v>
      </c>
      <c r="B1" s="97" t="s">
        <v>289</v>
      </c>
      <c r="C1" s="98" t="s">
        <v>290</v>
      </c>
      <c r="D1" s="87" t="s">
        <v>134</v>
      </c>
      <c r="E1" s="88" t="s">
        <v>291</v>
      </c>
      <c r="F1" s="89" t="s">
        <v>292</v>
      </c>
      <c r="G1" s="90" t="s">
        <v>293</v>
      </c>
      <c r="H1" s="82" t="s">
        <v>141</v>
      </c>
      <c r="I1" s="218" t="s">
        <v>294</v>
      </c>
    </row>
    <row r="2" spans="1:9" x14ac:dyDescent="0.25">
      <c r="A2" s="23">
        <v>1</v>
      </c>
      <c r="B2" s="85">
        <v>45631</v>
      </c>
      <c r="C2" s="23" t="s">
        <v>143</v>
      </c>
      <c r="D2" s="23" t="s">
        <v>142</v>
      </c>
      <c r="G2" s="23" t="s">
        <v>9</v>
      </c>
    </row>
    <row r="3" spans="1:9" x14ac:dyDescent="0.25">
      <c r="A3" s="23">
        <v>5</v>
      </c>
      <c r="B3" s="85">
        <v>45633</v>
      </c>
      <c r="C3" s="23" t="s">
        <v>146</v>
      </c>
      <c r="D3" s="23" t="s">
        <v>149</v>
      </c>
      <c r="G3" s="23" t="s">
        <v>9</v>
      </c>
    </row>
    <row r="4" spans="1:9" x14ac:dyDescent="0.25">
      <c r="A4" s="23">
        <v>2337</v>
      </c>
      <c r="B4" s="85">
        <v>45683</v>
      </c>
      <c r="C4" s="23" t="s">
        <v>280</v>
      </c>
      <c r="D4" s="23" t="s">
        <v>151</v>
      </c>
      <c r="G4" s="23">
        <v>0.5</v>
      </c>
      <c r="I4" s="218" t="s">
        <v>295</v>
      </c>
    </row>
    <row r="5" spans="1:9" x14ac:dyDescent="0.25">
      <c r="A5" s="23">
        <v>2361</v>
      </c>
      <c r="B5" s="85">
        <v>45684</v>
      </c>
      <c r="C5" s="23" t="s">
        <v>285</v>
      </c>
      <c r="D5" s="23" t="s">
        <v>154</v>
      </c>
      <c r="G5" s="23">
        <v>1</v>
      </c>
      <c r="I5" s="218" t="s">
        <v>296</v>
      </c>
    </row>
    <row r="6" spans="1:9" x14ac:dyDescent="0.25">
      <c r="A6" s="363"/>
      <c r="B6" s="85">
        <v>45686</v>
      </c>
      <c r="C6" s="23" t="s">
        <v>201</v>
      </c>
      <c r="D6" s="23" t="s">
        <v>157</v>
      </c>
      <c r="G6" s="23">
        <v>1.5</v>
      </c>
      <c r="I6" s="218" t="s">
        <v>389</v>
      </c>
    </row>
    <row r="7" spans="1:9" x14ac:dyDescent="0.25">
      <c r="A7" s="23">
        <v>2626</v>
      </c>
      <c r="B7" s="85">
        <v>45686</v>
      </c>
      <c r="C7" s="23" t="s">
        <v>391</v>
      </c>
      <c r="D7" s="23" t="s">
        <v>175</v>
      </c>
      <c r="G7" s="23">
        <v>1.5</v>
      </c>
      <c r="I7" s="218" t="s">
        <v>392</v>
      </c>
    </row>
    <row r="8" spans="1:9" x14ac:dyDescent="0.25">
      <c r="A8" s="23">
        <v>2661</v>
      </c>
      <c r="B8" s="85">
        <v>45687</v>
      </c>
      <c r="C8" s="23" t="s">
        <v>241</v>
      </c>
      <c r="D8" s="23" t="s">
        <v>150</v>
      </c>
      <c r="G8" s="23" t="s">
        <v>7</v>
      </c>
      <c r="H8" s="95" t="s">
        <v>394</v>
      </c>
      <c r="I8" s="218" t="s">
        <v>295</v>
      </c>
    </row>
    <row r="9" spans="1:9" x14ac:dyDescent="0.25">
      <c r="A9" s="23">
        <v>1</v>
      </c>
      <c r="B9" s="85">
        <v>45688</v>
      </c>
      <c r="C9" s="23" t="s">
        <v>393</v>
      </c>
      <c r="D9" s="23" t="s">
        <v>162</v>
      </c>
      <c r="G9" s="23">
        <v>0.8</v>
      </c>
      <c r="I9" s="218" t="s">
        <v>395</v>
      </c>
    </row>
    <row r="10" spans="1:9" x14ac:dyDescent="0.25">
      <c r="A10" s="23">
        <v>2</v>
      </c>
      <c r="B10" s="85">
        <v>45688</v>
      </c>
      <c r="C10" s="23" t="s">
        <v>393</v>
      </c>
      <c r="D10" s="23" t="s">
        <v>173</v>
      </c>
      <c r="G10" s="23">
        <v>0.8</v>
      </c>
      <c r="I10" s="218" t="s">
        <v>396</v>
      </c>
    </row>
    <row r="11" spans="1:9" x14ac:dyDescent="0.25">
      <c r="A11" s="23">
        <v>3</v>
      </c>
      <c r="B11" s="85">
        <v>45688</v>
      </c>
      <c r="C11" s="23" t="s">
        <v>393</v>
      </c>
      <c r="D11" s="23" t="s">
        <v>163</v>
      </c>
      <c r="G11" s="23">
        <v>0.8</v>
      </c>
      <c r="I11" s="218" t="s">
        <v>397</v>
      </c>
    </row>
    <row r="12" spans="1:9" x14ac:dyDescent="0.25">
      <c r="A12" s="23">
        <v>4</v>
      </c>
      <c r="B12" s="85">
        <v>45688</v>
      </c>
      <c r="C12" s="23" t="s">
        <v>393</v>
      </c>
      <c r="D12" s="23" t="s">
        <v>164</v>
      </c>
      <c r="G12" s="23">
        <v>0.8</v>
      </c>
      <c r="I12" s="218" t="s">
        <v>398</v>
      </c>
    </row>
    <row r="13" spans="1:9" x14ac:dyDescent="0.25">
      <c r="A13" s="23">
        <v>5</v>
      </c>
      <c r="B13" s="85">
        <v>45688</v>
      </c>
      <c r="C13" s="23" t="s">
        <v>399</v>
      </c>
      <c r="D13" s="23" t="s">
        <v>158</v>
      </c>
      <c r="G13" s="23">
        <v>0</v>
      </c>
      <c r="I13" s="218" t="s">
        <v>400</v>
      </c>
    </row>
    <row r="14" spans="1:9" x14ac:dyDescent="0.25">
      <c r="A14" s="23">
        <v>6</v>
      </c>
      <c r="B14" s="85">
        <v>45688</v>
      </c>
      <c r="C14" s="23" t="s">
        <v>200</v>
      </c>
      <c r="D14" s="23" t="s">
        <v>162</v>
      </c>
      <c r="G14" s="23">
        <v>0</v>
      </c>
      <c r="I14" s="218" t="s">
        <v>395</v>
      </c>
    </row>
    <row r="15" spans="1:9" x14ac:dyDescent="0.25">
      <c r="A15" s="23">
        <v>7</v>
      </c>
      <c r="B15" s="85">
        <v>45688</v>
      </c>
      <c r="C15" s="23" t="s">
        <v>401</v>
      </c>
      <c r="D15" s="23" t="s">
        <v>173</v>
      </c>
      <c r="G15" s="23">
        <v>0</v>
      </c>
      <c r="I15" s="218" t="s">
        <v>396</v>
      </c>
    </row>
    <row r="16" spans="1:9" x14ac:dyDescent="0.25">
      <c r="A16" s="23">
        <v>8</v>
      </c>
      <c r="B16" s="85">
        <v>45688</v>
      </c>
      <c r="C16" s="23" t="s">
        <v>402</v>
      </c>
      <c r="D16" s="23" t="s">
        <v>158</v>
      </c>
      <c r="G16" s="23">
        <v>1</v>
      </c>
      <c r="I16" s="218" t="s">
        <v>403</v>
      </c>
    </row>
    <row r="17" spans="1:9" x14ac:dyDescent="0.25">
      <c r="A17" s="23">
        <v>9</v>
      </c>
      <c r="B17" s="85">
        <v>45688</v>
      </c>
      <c r="C17" s="23" t="s">
        <v>404</v>
      </c>
      <c r="D17" s="23" t="s">
        <v>163</v>
      </c>
      <c r="G17" s="23">
        <v>0</v>
      </c>
      <c r="I17" s="218" t="s">
        <v>405</v>
      </c>
    </row>
    <row r="18" spans="1:9" x14ac:dyDescent="0.25">
      <c r="A18" s="23">
        <v>10</v>
      </c>
      <c r="B18" s="85">
        <v>45688</v>
      </c>
      <c r="C18" s="23" t="s">
        <v>278</v>
      </c>
      <c r="D18" s="23" t="s">
        <v>194</v>
      </c>
      <c r="G18" s="23">
        <v>0</v>
      </c>
      <c r="I18" s="218" t="s">
        <v>406</v>
      </c>
    </row>
    <row r="19" spans="1:9" x14ac:dyDescent="0.25">
      <c r="A19" s="23">
        <v>11</v>
      </c>
      <c r="B19" s="85">
        <v>45688</v>
      </c>
      <c r="C19" s="23" t="s">
        <v>284</v>
      </c>
      <c r="D19" s="23" t="s">
        <v>164</v>
      </c>
      <c r="G19" s="23">
        <v>0</v>
      </c>
      <c r="I19" s="218" t="s">
        <v>407</v>
      </c>
    </row>
    <row r="20" spans="1:9" x14ac:dyDescent="0.25">
      <c r="A20" s="23">
        <v>12</v>
      </c>
      <c r="B20" s="85">
        <v>45688</v>
      </c>
      <c r="C20" s="23" t="s">
        <v>408</v>
      </c>
      <c r="D20" s="23" t="s">
        <v>155</v>
      </c>
      <c r="G20" s="23">
        <v>0.44</v>
      </c>
      <c r="I20" s="218" t="s">
        <v>409</v>
      </c>
    </row>
    <row r="21" spans="1:9" x14ac:dyDescent="0.25">
      <c r="A21" s="23">
        <v>13</v>
      </c>
      <c r="B21" s="85">
        <v>45688</v>
      </c>
      <c r="C21" s="23" t="s">
        <v>410</v>
      </c>
      <c r="D21" s="23" t="s">
        <v>166</v>
      </c>
      <c r="G21" s="23">
        <v>0</v>
      </c>
      <c r="I21" s="218" t="s">
        <v>411</v>
      </c>
    </row>
    <row r="22" spans="1:9" x14ac:dyDescent="0.25">
      <c r="A22" s="23">
        <v>14</v>
      </c>
      <c r="B22" s="85">
        <v>45688</v>
      </c>
      <c r="C22" s="23" t="s">
        <v>412</v>
      </c>
      <c r="D22" s="23" t="s">
        <v>262</v>
      </c>
      <c r="G22" s="23">
        <v>0</v>
      </c>
      <c r="I22" s="218" t="s">
        <v>413</v>
      </c>
    </row>
    <row r="23" spans="1:9" x14ac:dyDescent="0.25">
      <c r="A23" s="23">
        <v>15</v>
      </c>
      <c r="B23" s="85">
        <v>45688</v>
      </c>
      <c r="C23" s="23" t="s">
        <v>235</v>
      </c>
      <c r="D23" s="23" t="s">
        <v>268</v>
      </c>
      <c r="G23" s="23" t="s">
        <v>9</v>
      </c>
      <c r="H23" s="23" t="s">
        <v>418</v>
      </c>
      <c r="I23" s="218" t="s">
        <v>414</v>
      </c>
    </row>
    <row r="24" spans="1:9" x14ac:dyDescent="0.25">
      <c r="A24" s="23">
        <v>16</v>
      </c>
      <c r="B24" s="85">
        <v>45688</v>
      </c>
      <c r="C24" s="23" t="s">
        <v>235</v>
      </c>
      <c r="D24" s="23" t="s">
        <v>263</v>
      </c>
      <c r="G24" s="23" t="s">
        <v>9</v>
      </c>
      <c r="H24" s="23" t="s">
        <v>419</v>
      </c>
      <c r="I24" s="218" t="s">
        <v>415</v>
      </c>
    </row>
    <row r="25" spans="1:9" x14ac:dyDescent="0.25">
      <c r="A25" s="23">
        <v>17</v>
      </c>
      <c r="B25" s="85">
        <v>45688</v>
      </c>
      <c r="C25" s="23" t="s">
        <v>235</v>
      </c>
      <c r="D25" s="23" t="s">
        <v>264</v>
      </c>
      <c r="G25" s="23" t="s">
        <v>9</v>
      </c>
      <c r="H25" s="23" t="s">
        <v>420</v>
      </c>
      <c r="I25" s="218" t="s">
        <v>416</v>
      </c>
    </row>
    <row r="26" spans="1:9" x14ac:dyDescent="0.25">
      <c r="A26" s="23">
        <v>18</v>
      </c>
      <c r="B26" s="85">
        <v>45688</v>
      </c>
      <c r="C26" s="23" t="s">
        <v>235</v>
      </c>
      <c r="D26" s="23" t="s">
        <v>305</v>
      </c>
      <c r="G26" s="23" t="s">
        <v>9</v>
      </c>
      <c r="H26" s="23" t="s">
        <v>421</v>
      </c>
      <c r="I26" s="218" t="s">
        <v>417</v>
      </c>
    </row>
    <row r="27" spans="1:9" x14ac:dyDescent="0.25">
      <c r="A27" s="23">
        <v>19</v>
      </c>
      <c r="B27" s="85">
        <v>45688</v>
      </c>
      <c r="C27" s="23" t="s">
        <v>221</v>
      </c>
      <c r="D27" s="23" t="s">
        <v>262</v>
      </c>
      <c r="G27" s="23">
        <v>0.76</v>
      </c>
      <c r="I27" s="218" t="s">
        <v>295</v>
      </c>
    </row>
    <row r="28" spans="1:9" x14ac:dyDescent="0.25">
      <c r="A28" s="23">
        <v>20</v>
      </c>
      <c r="B28" s="85">
        <v>45688</v>
      </c>
      <c r="C28" s="23" t="s">
        <v>245</v>
      </c>
      <c r="D28" s="23" t="s">
        <v>165</v>
      </c>
      <c r="G28" s="23">
        <v>0.8</v>
      </c>
      <c r="I28" s="218" t="s">
        <v>422</v>
      </c>
    </row>
    <row r="29" spans="1:9" x14ac:dyDescent="0.25">
      <c r="A29" s="23">
        <v>21</v>
      </c>
      <c r="B29" s="85">
        <v>45688</v>
      </c>
      <c r="C29" s="23" t="s">
        <v>248</v>
      </c>
      <c r="D29" s="23" t="s">
        <v>168</v>
      </c>
      <c r="G29" s="23">
        <v>0.8</v>
      </c>
      <c r="I29" s="218" t="s">
        <v>423</v>
      </c>
    </row>
    <row r="30" spans="1:9" x14ac:dyDescent="0.25">
      <c r="A30" s="23">
        <v>22</v>
      </c>
      <c r="B30" s="85">
        <v>45688</v>
      </c>
      <c r="C30" s="23" t="s">
        <v>246</v>
      </c>
      <c r="D30" s="23" t="s">
        <v>170</v>
      </c>
      <c r="G30" s="23">
        <v>0.8</v>
      </c>
      <c r="I30" s="218" t="s">
        <v>424</v>
      </c>
    </row>
    <row r="31" spans="1:9" x14ac:dyDescent="0.25">
      <c r="A31" s="23">
        <v>23</v>
      </c>
      <c r="B31" s="85">
        <v>45688</v>
      </c>
      <c r="C31" s="23" t="s">
        <v>266</v>
      </c>
      <c r="D31" s="23" t="s">
        <v>174</v>
      </c>
      <c r="G31" s="23">
        <v>0.8</v>
      </c>
      <c r="I31" s="218" t="s">
        <v>425</v>
      </c>
    </row>
    <row r="32" spans="1:9" x14ac:dyDescent="0.25">
      <c r="A32" s="23">
        <v>24</v>
      </c>
      <c r="B32" s="85">
        <v>45688</v>
      </c>
      <c r="C32" s="23" t="s">
        <v>285</v>
      </c>
      <c r="D32" s="23" t="s">
        <v>172</v>
      </c>
      <c r="G32" s="23">
        <v>0.8</v>
      </c>
      <c r="I32" s="218" t="s">
        <v>426</v>
      </c>
    </row>
    <row r="33" spans="1:9" x14ac:dyDescent="0.25">
      <c r="A33" s="23">
        <v>25</v>
      </c>
      <c r="B33" s="85">
        <v>45688</v>
      </c>
      <c r="C33" s="23" t="s">
        <v>227</v>
      </c>
      <c r="D33" s="23" t="s">
        <v>159</v>
      </c>
      <c r="G33" s="23">
        <v>0.77</v>
      </c>
      <c r="I33" s="218" t="s">
        <v>427</v>
      </c>
    </row>
    <row r="34" spans="1:9" x14ac:dyDescent="0.25">
      <c r="A34" s="23">
        <v>26</v>
      </c>
      <c r="B34" s="85">
        <v>45688</v>
      </c>
      <c r="C34" s="23" t="s">
        <v>281</v>
      </c>
      <c r="D34" s="23" t="s">
        <v>169</v>
      </c>
      <c r="G34" s="23">
        <v>0</v>
      </c>
      <c r="I34" s="218" t="s">
        <v>428</v>
      </c>
    </row>
    <row r="35" spans="1:9" x14ac:dyDescent="0.25">
      <c r="A35" s="23">
        <v>27</v>
      </c>
      <c r="B35" s="85">
        <v>45688</v>
      </c>
      <c r="C35" s="23" t="s">
        <v>219</v>
      </c>
      <c r="D35" s="23" t="s">
        <v>177</v>
      </c>
      <c r="G35" s="23">
        <v>0.8</v>
      </c>
      <c r="I35" s="218" t="s">
        <v>429</v>
      </c>
    </row>
    <row r="36" spans="1:9" x14ac:dyDescent="0.25">
      <c r="A36" s="23">
        <v>28</v>
      </c>
      <c r="B36" s="85">
        <v>45688</v>
      </c>
      <c r="C36" s="23" t="s">
        <v>254</v>
      </c>
      <c r="D36" s="23" t="s">
        <v>165</v>
      </c>
      <c r="G36" s="23">
        <v>0</v>
      </c>
      <c r="I36" s="218" t="s">
        <v>431</v>
      </c>
    </row>
    <row r="37" spans="1:9" x14ac:dyDescent="0.25">
      <c r="A37" s="23">
        <v>29</v>
      </c>
      <c r="B37" s="85">
        <v>45688</v>
      </c>
      <c r="C37" s="23" t="s">
        <v>432</v>
      </c>
      <c r="D37" s="23" t="s">
        <v>176</v>
      </c>
      <c r="G37" s="23">
        <v>0.8</v>
      </c>
      <c r="I37" s="218" t="s">
        <v>433</v>
      </c>
    </row>
    <row r="38" spans="1:9" x14ac:dyDescent="0.25">
      <c r="A38" s="23">
        <v>30</v>
      </c>
      <c r="B38" s="85">
        <v>45688</v>
      </c>
      <c r="C38" s="23" t="s">
        <v>434</v>
      </c>
      <c r="D38" s="23" t="s">
        <v>178</v>
      </c>
      <c r="G38" s="23">
        <v>0.8</v>
      </c>
      <c r="I38" s="218" t="s">
        <v>435</v>
      </c>
    </row>
    <row r="39" spans="1:9" x14ac:dyDescent="0.25">
      <c r="A39" s="23">
        <v>31</v>
      </c>
      <c r="B39" s="85">
        <v>45688</v>
      </c>
      <c r="C39" s="23" t="s">
        <v>434</v>
      </c>
      <c r="D39" s="23" t="s">
        <v>161</v>
      </c>
      <c r="G39" s="23">
        <v>0.8</v>
      </c>
      <c r="I39" s="218" t="s">
        <v>436</v>
      </c>
    </row>
    <row r="40" spans="1:9" x14ac:dyDescent="0.25">
      <c r="A40" s="23">
        <v>32</v>
      </c>
      <c r="B40" s="85">
        <v>45688</v>
      </c>
      <c r="C40" s="23" t="s">
        <v>386</v>
      </c>
      <c r="D40" s="23" t="s">
        <v>153</v>
      </c>
      <c r="G40" s="23" t="s">
        <v>9</v>
      </c>
      <c r="H40" s="23" t="s">
        <v>438</v>
      </c>
      <c r="I40" s="218" t="s">
        <v>437</v>
      </c>
    </row>
    <row r="41" spans="1:9" x14ac:dyDescent="0.25">
      <c r="A41" s="23">
        <v>33</v>
      </c>
      <c r="B41" s="85">
        <v>45688</v>
      </c>
      <c r="C41" s="23" t="s">
        <v>229</v>
      </c>
      <c r="D41" s="23" t="s">
        <v>162</v>
      </c>
      <c r="G41" s="23">
        <v>0.8</v>
      </c>
      <c r="I41" s="218" t="s">
        <v>439</v>
      </c>
    </row>
    <row r="42" spans="1:9" x14ac:dyDescent="0.25">
      <c r="A42" s="23">
        <v>34</v>
      </c>
      <c r="B42" s="85">
        <v>45688</v>
      </c>
      <c r="C42" s="23" t="s">
        <v>230</v>
      </c>
      <c r="D42" s="23" t="s">
        <v>173</v>
      </c>
      <c r="G42" s="23">
        <v>0.8</v>
      </c>
      <c r="I42" s="218" t="s">
        <v>440</v>
      </c>
    </row>
    <row r="43" spans="1:9" x14ac:dyDescent="0.25">
      <c r="A43" s="23">
        <v>35</v>
      </c>
      <c r="B43" s="85">
        <v>45688</v>
      </c>
      <c r="C43" s="23" t="s">
        <v>250</v>
      </c>
      <c r="D43" s="23" t="s">
        <v>163</v>
      </c>
      <c r="G43" s="23">
        <v>0.8</v>
      </c>
      <c r="I43" s="218" t="s">
        <v>441</v>
      </c>
    </row>
    <row r="44" spans="1:9" x14ac:dyDescent="0.25">
      <c r="A44" s="23">
        <v>36</v>
      </c>
      <c r="B44" s="85">
        <v>45688</v>
      </c>
      <c r="C44" s="23" t="s">
        <v>230</v>
      </c>
      <c r="D44" s="23" t="s">
        <v>164</v>
      </c>
      <c r="G44" s="23">
        <v>0.8</v>
      </c>
      <c r="I44" s="218" t="s">
        <v>442</v>
      </c>
    </row>
    <row r="45" spans="1:9" x14ac:dyDescent="0.25">
      <c r="A45" s="23">
        <v>37</v>
      </c>
      <c r="B45" s="85">
        <v>45688</v>
      </c>
      <c r="C45" s="23" t="s">
        <v>215</v>
      </c>
      <c r="D45" s="23" t="s">
        <v>265</v>
      </c>
      <c r="G45" s="23">
        <v>0</v>
      </c>
      <c r="I45" s="218" t="s">
        <v>443</v>
      </c>
    </row>
    <row r="46" spans="1:9" x14ac:dyDescent="0.25">
      <c r="A46" s="23">
        <v>38</v>
      </c>
      <c r="B46" s="85">
        <v>45688</v>
      </c>
      <c r="C46" s="23" t="s">
        <v>234</v>
      </c>
      <c r="D46" s="23" t="s">
        <v>165</v>
      </c>
      <c r="G46" s="23">
        <v>0.8</v>
      </c>
      <c r="I46" s="218" t="s">
        <v>444</v>
      </c>
    </row>
    <row r="47" spans="1:9" x14ac:dyDescent="0.25">
      <c r="A47" s="23">
        <v>39</v>
      </c>
      <c r="B47" s="85">
        <v>45688</v>
      </c>
      <c r="C47" s="23" t="s">
        <v>215</v>
      </c>
      <c r="D47" s="23" t="s">
        <v>261</v>
      </c>
      <c r="G47" s="23">
        <v>0</v>
      </c>
      <c r="I47" s="218" t="s">
        <v>445</v>
      </c>
    </row>
    <row r="48" spans="1:9" x14ac:dyDescent="0.25">
      <c r="A48" s="23">
        <v>40</v>
      </c>
      <c r="B48" s="85">
        <v>45688</v>
      </c>
      <c r="C48" s="23" t="s">
        <v>215</v>
      </c>
      <c r="D48" s="23" t="s">
        <v>262</v>
      </c>
      <c r="G48" s="23">
        <v>0</v>
      </c>
      <c r="I48" s="218" t="s">
        <v>446</v>
      </c>
    </row>
    <row r="49" spans="1:9" x14ac:dyDescent="0.25">
      <c r="A49" s="23">
        <v>41</v>
      </c>
      <c r="B49" s="85">
        <v>45688</v>
      </c>
      <c r="C49" s="23" t="s">
        <v>255</v>
      </c>
      <c r="D49" s="23" t="s">
        <v>251</v>
      </c>
      <c r="G49" s="23">
        <v>0.8</v>
      </c>
      <c r="I49" s="218" t="s">
        <v>447</v>
      </c>
    </row>
    <row r="50" spans="1:9" x14ac:dyDescent="0.25">
      <c r="A50" s="23">
        <v>42</v>
      </c>
      <c r="B50" s="85">
        <v>45688</v>
      </c>
      <c r="C50" s="23" t="s">
        <v>171</v>
      </c>
      <c r="D50" s="23" t="s">
        <v>302</v>
      </c>
      <c r="G50" s="23">
        <v>0.9</v>
      </c>
      <c r="I50" s="218" t="s">
        <v>448</v>
      </c>
    </row>
    <row r="51" spans="1:9" x14ac:dyDescent="0.25">
      <c r="A51" s="23">
        <v>43</v>
      </c>
      <c r="B51" s="85">
        <v>45688</v>
      </c>
      <c r="C51" s="23" t="s">
        <v>152</v>
      </c>
      <c r="D51" s="23" t="s">
        <v>194</v>
      </c>
      <c r="G51" s="23">
        <v>6</v>
      </c>
      <c r="I51" s="218" t="s">
        <v>449</v>
      </c>
    </row>
    <row r="52" spans="1:9" x14ac:dyDescent="0.25">
      <c r="A52" s="23">
        <v>44</v>
      </c>
      <c r="B52" s="85">
        <v>45688</v>
      </c>
      <c r="C52" s="23" t="s">
        <v>231</v>
      </c>
      <c r="D52" s="23" t="s">
        <v>302</v>
      </c>
      <c r="G52" s="23">
        <v>0</v>
      </c>
      <c r="I52" s="218" t="s">
        <v>448</v>
      </c>
    </row>
    <row r="53" spans="1:9" x14ac:dyDescent="0.25">
      <c r="A53" s="23">
        <v>45</v>
      </c>
      <c r="B53" s="85">
        <v>45688</v>
      </c>
      <c r="C53" s="23" t="s">
        <v>231</v>
      </c>
      <c r="D53" s="23" t="s">
        <v>251</v>
      </c>
      <c r="G53" s="23">
        <v>0</v>
      </c>
      <c r="I53" s="218" t="s">
        <v>447</v>
      </c>
    </row>
    <row r="54" spans="1:9" x14ac:dyDescent="0.25">
      <c r="A54" s="23">
        <v>46</v>
      </c>
      <c r="B54" s="85">
        <v>45688</v>
      </c>
      <c r="C54" s="23" t="s">
        <v>195</v>
      </c>
      <c r="D54" s="23" t="s">
        <v>165</v>
      </c>
      <c r="G54" s="23">
        <v>0</v>
      </c>
      <c r="I54" s="218" t="s">
        <v>450</v>
      </c>
    </row>
    <row r="55" spans="1:9" x14ac:dyDescent="0.25">
      <c r="A55" s="23">
        <v>47</v>
      </c>
      <c r="B55" s="85">
        <v>45688</v>
      </c>
      <c r="C55" s="23" t="s">
        <v>195</v>
      </c>
      <c r="D55" s="23" t="s">
        <v>168</v>
      </c>
      <c r="G55" s="23">
        <v>0</v>
      </c>
      <c r="I55" s="218" t="s">
        <v>451</v>
      </c>
    </row>
    <row r="56" spans="1:9" x14ac:dyDescent="0.25">
      <c r="A56" s="23">
        <v>48</v>
      </c>
      <c r="B56" s="85">
        <v>45688</v>
      </c>
      <c r="C56" s="23" t="s">
        <v>228</v>
      </c>
      <c r="D56" s="23" t="s">
        <v>170</v>
      </c>
      <c r="G56" s="23">
        <v>0</v>
      </c>
      <c r="I56" s="218" t="s">
        <v>452</v>
      </c>
    </row>
    <row r="57" spans="1:9" x14ac:dyDescent="0.25">
      <c r="A57" s="23">
        <v>49</v>
      </c>
      <c r="B57" s="85">
        <v>45688</v>
      </c>
      <c r="C57" s="23" t="s">
        <v>206</v>
      </c>
      <c r="D57" s="23" t="s">
        <v>174</v>
      </c>
      <c r="G57" s="23">
        <v>0</v>
      </c>
      <c r="I57" s="218" t="s">
        <v>453</v>
      </c>
    </row>
    <row r="58" spans="1:9" x14ac:dyDescent="0.25">
      <c r="A58" s="23">
        <v>50</v>
      </c>
      <c r="B58" s="85">
        <v>45688</v>
      </c>
      <c r="C58" s="23" t="s">
        <v>207</v>
      </c>
      <c r="D58" s="23" t="s">
        <v>177</v>
      </c>
      <c r="G58" s="23">
        <v>0</v>
      </c>
      <c r="I58" s="218" t="s">
        <v>454</v>
      </c>
    </row>
    <row r="59" spans="1:9" x14ac:dyDescent="0.25">
      <c r="A59" s="23">
        <v>51</v>
      </c>
      <c r="B59" s="85">
        <v>45688</v>
      </c>
      <c r="C59" s="23" t="s">
        <v>237</v>
      </c>
      <c r="D59" s="23" t="s">
        <v>165</v>
      </c>
      <c r="G59" s="23">
        <v>0.8</v>
      </c>
      <c r="I59" s="218" t="s">
        <v>455</v>
      </c>
    </row>
    <row r="60" spans="1:9" x14ac:dyDescent="0.25">
      <c r="A60" s="23">
        <v>52</v>
      </c>
      <c r="B60" s="85">
        <v>45688</v>
      </c>
      <c r="C60" s="23" t="s">
        <v>269</v>
      </c>
      <c r="D60" s="23" t="s">
        <v>168</v>
      </c>
      <c r="G60" s="23">
        <v>0.8</v>
      </c>
      <c r="I60" s="218" t="s">
        <v>456</v>
      </c>
    </row>
    <row r="61" spans="1:9" x14ac:dyDescent="0.25">
      <c r="A61" s="23">
        <v>53</v>
      </c>
      <c r="B61" s="85">
        <v>45688</v>
      </c>
      <c r="C61" s="23" t="s">
        <v>216</v>
      </c>
      <c r="D61" s="23" t="s">
        <v>170</v>
      </c>
      <c r="G61" s="23">
        <v>0.8</v>
      </c>
      <c r="I61" s="218" t="s">
        <v>457</v>
      </c>
    </row>
    <row r="62" spans="1:9" x14ac:dyDescent="0.25">
      <c r="A62" s="23">
        <v>54</v>
      </c>
      <c r="B62" s="85">
        <v>45688</v>
      </c>
      <c r="C62" s="23" t="s">
        <v>197</v>
      </c>
      <c r="D62" s="23" t="s">
        <v>174</v>
      </c>
      <c r="G62" s="23">
        <v>0.8</v>
      </c>
      <c r="I62" s="218" t="s">
        <v>458</v>
      </c>
    </row>
    <row r="63" spans="1:9" x14ac:dyDescent="0.25">
      <c r="A63" s="23">
        <v>55</v>
      </c>
      <c r="B63" s="85">
        <v>45688</v>
      </c>
      <c r="C63" s="23" t="s">
        <v>236</v>
      </c>
      <c r="D63" s="23" t="s">
        <v>177</v>
      </c>
      <c r="G63" s="23">
        <v>0.8</v>
      </c>
      <c r="I63" s="218" t="s">
        <v>459</v>
      </c>
    </row>
    <row r="64" spans="1:9" x14ac:dyDescent="0.25">
      <c r="A64" s="23">
        <v>56</v>
      </c>
      <c r="B64" s="85">
        <v>45688</v>
      </c>
      <c r="C64" s="23" t="s">
        <v>249</v>
      </c>
      <c r="D64" s="23" t="s">
        <v>251</v>
      </c>
      <c r="G64" s="23">
        <v>0.8</v>
      </c>
      <c r="I64" s="218" t="s">
        <v>460</v>
      </c>
    </row>
    <row r="65" spans="1:9" x14ac:dyDescent="0.25">
      <c r="A65" s="23">
        <v>57</v>
      </c>
      <c r="B65" s="85">
        <v>45688</v>
      </c>
      <c r="C65" s="23" t="s">
        <v>387</v>
      </c>
      <c r="D65" s="23" t="s">
        <v>265</v>
      </c>
      <c r="G65" s="23">
        <v>0.8</v>
      </c>
      <c r="H65" s="23" t="s">
        <v>464</v>
      </c>
      <c r="I65" s="218" t="s">
        <v>461</v>
      </c>
    </row>
    <row r="66" spans="1:9" x14ac:dyDescent="0.25">
      <c r="A66" s="23">
        <v>58</v>
      </c>
      <c r="B66" s="85">
        <v>45688</v>
      </c>
      <c r="C66" s="23" t="s">
        <v>387</v>
      </c>
      <c r="D66" s="23" t="s">
        <v>261</v>
      </c>
      <c r="G66" s="23">
        <v>0.8</v>
      </c>
      <c r="H66" s="23" t="s">
        <v>464</v>
      </c>
      <c r="I66" s="218" t="s">
        <v>462</v>
      </c>
    </row>
    <row r="67" spans="1:9" x14ac:dyDescent="0.25">
      <c r="A67" s="23">
        <v>59</v>
      </c>
      <c r="B67" s="85">
        <v>45688</v>
      </c>
      <c r="C67" s="23" t="s">
        <v>387</v>
      </c>
      <c r="D67" s="23" t="s">
        <v>262</v>
      </c>
      <c r="G67" s="23">
        <v>0.8</v>
      </c>
      <c r="H67" s="23" t="s">
        <v>464</v>
      </c>
      <c r="I67" s="218" t="s">
        <v>463</v>
      </c>
    </row>
    <row r="68" spans="1:9" x14ac:dyDescent="0.25">
      <c r="A68" s="23">
        <v>60</v>
      </c>
      <c r="B68" s="85">
        <v>45688</v>
      </c>
      <c r="C68" s="23" t="s">
        <v>188</v>
      </c>
      <c r="D68" s="23" t="s">
        <v>302</v>
      </c>
      <c r="G68" s="23">
        <v>0.9</v>
      </c>
      <c r="I68" s="218" t="s">
        <v>465</v>
      </c>
    </row>
    <row r="69" spans="1:9" x14ac:dyDescent="0.25">
      <c r="A69" s="23">
        <v>61</v>
      </c>
      <c r="B69" s="85">
        <v>45688</v>
      </c>
      <c r="C69" s="23" t="s">
        <v>238</v>
      </c>
      <c r="D69" s="23" t="s">
        <v>202</v>
      </c>
      <c r="G69" s="23">
        <v>0.8</v>
      </c>
      <c r="I69" s="218" t="s">
        <v>466</v>
      </c>
    </row>
    <row r="70" spans="1:9" x14ac:dyDescent="0.25">
      <c r="A70" s="23">
        <v>62</v>
      </c>
      <c r="B70" s="85">
        <v>45688</v>
      </c>
      <c r="C70" s="23" t="s">
        <v>238</v>
      </c>
      <c r="D70" s="23" t="s">
        <v>172</v>
      </c>
      <c r="G70" s="23">
        <v>0</v>
      </c>
      <c r="I70" s="218" t="s">
        <v>467</v>
      </c>
    </row>
    <row r="71" spans="1:9" x14ac:dyDescent="0.25">
      <c r="A71" s="23">
        <v>63</v>
      </c>
      <c r="B71" s="85">
        <v>45688</v>
      </c>
      <c r="C71" s="23" t="s">
        <v>156</v>
      </c>
      <c r="D71" s="23" t="s">
        <v>166</v>
      </c>
      <c r="G71" s="23">
        <v>0.57999999999999996</v>
      </c>
      <c r="I71" s="218" t="s">
        <v>468</v>
      </c>
    </row>
    <row r="72" spans="1:9" x14ac:dyDescent="0.25">
      <c r="A72" s="23">
        <v>64</v>
      </c>
      <c r="B72" s="85">
        <v>45688</v>
      </c>
      <c r="C72" s="23" t="s">
        <v>167</v>
      </c>
      <c r="D72" s="23" t="s">
        <v>160</v>
      </c>
      <c r="G72" s="23">
        <v>0</v>
      </c>
      <c r="I72" s="218" t="s">
        <v>469</v>
      </c>
    </row>
    <row r="73" spans="1:9" x14ac:dyDescent="0.25">
      <c r="A73" s="23">
        <v>65</v>
      </c>
      <c r="B73" s="85">
        <v>45688</v>
      </c>
      <c r="C73" s="23" t="s">
        <v>274</v>
      </c>
      <c r="D73" s="23" t="s">
        <v>144</v>
      </c>
      <c r="G73" s="23">
        <v>0.9</v>
      </c>
      <c r="I73" s="218" t="s">
        <v>470</v>
      </c>
    </row>
    <row r="74" spans="1:9" x14ac:dyDescent="0.25">
      <c r="A74" s="23">
        <v>66</v>
      </c>
      <c r="B74" s="85">
        <v>45688</v>
      </c>
      <c r="C74" s="23" t="s">
        <v>179</v>
      </c>
      <c r="D74" s="23" t="s">
        <v>252</v>
      </c>
      <c r="G74" s="23">
        <v>0.9</v>
      </c>
      <c r="I74" s="218" t="s">
        <v>471</v>
      </c>
    </row>
    <row r="75" spans="1:9" x14ac:dyDescent="0.25">
      <c r="A75" s="23">
        <v>67</v>
      </c>
      <c r="B75" s="85">
        <v>45688</v>
      </c>
      <c r="C75" s="23" t="s">
        <v>232</v>
      </c>
      <c r="D75" s="23" t="s">
        <v>260</v>
      </c>
      <c r="G75" s="23">
        <v>0.8</v>
      </c>
      <c r="I75" s="218" t="s">
        <v>472</v>
      </c>
    </row>
    <row r="76" spans="1:9" x14ac:dyDescent="0.25">
      <c r="A76" s="23">
        <v>68</v>
      </c>
      <c r="B76" s="85">
        <v>45688</v>
      </c>
      <c r="C76" s="23" t="s">
        <v>473</v>
      </c>
      <c r="D76" s="23" t="s">
        <v>273</v>
      </c>
      <c r="G76" s="23">
        <v>0.9</v>
      </c>
      <c r="I76" s="218" t="s">
        <v>474</v>
      </c>
    </row>
    <row r="77" spans="1:9" x14ac:dyDescent="0.25">
      <c r="A77" s="23">
        <v>69</v>
      </c>
      <c r="B77" s="85">
        <v>45688</v>
      </c>
      <c r="C77" s="23" t="s">
        <v>223</v>
      </c>
      <c r="D77" s="23" t="s">
        <v>272</v>
      </c>
      <c r="G77" s="23">
        <v>0.9</v>
      </c>
      <c r="I77" s="218" t="s">
        <v>475</v>
      </c>
    </row>
    <row r="78" spans="1:9" x14ac:dyDescent="0.25">
      <c r="A78" s="23">
        <v>70</v>
      </c>
      <c r="B78" s="85">
        <v>45688</v>
      </c>
      <c r="C78" s="23" t="s">
        <v>476</v>
      </c>
      <c r="D78" s="23" t="s">
        <v>144</v>
      </c>
      <c r="G78" s="23">
        <v>0</v>
      </c>
      <c r="I78" s="218" t="s">
        <v>477</v>
      </c>
    </row>
    <row r="79" spans="1:9" x14ac:dyDescent="0.25">
      <c r="A79" s="23">
        <v>71</v>
      </c>
      <c r="B79" s="85">
        <v>45688</v>
      </c>
      <c r="C79" s="23" t="s">
        <v>211</v>
      </c>
      <c r="D79" s="23" t="s">
        <v>144</v>
      </c>
      <c r="G79" s="23">
        <v>0.9</v>
      </c>
      <c r="I79" s="218" t="s">
        <v>478</v>
      </c>
    </row>
    <row r="80" spans="1:9" x14ac:dyDescent="0.25">
      <c r="A80" s="23">
        <v>72</v>
      </c>
      <c r="B80" s="85">
        <v>45688</v>
      </c>
      <c r="C80" s="23" t="s">
        <v>218</v>
      </c>
      <c r="D80" s="23" t="s">
        <v>144</v>
      </c>
      <c r="G80" s="23">
        <v>0</v>
      </c>
      <c r="I80" s="218" t="s">
        <v>478</v>
      </c>
    </row>
    <row r="81" spans="1:9" x14ac:dyDescent="0.25">
      <c r="A81" s="23">
        <v>73</v>
      </c>
      <c r="B81" s="85">
        <v>45688</v>
      </c>
      <c r="C81" s="23" t="s">
        <v>247</v>
      </c>
      <c r="D81" s="23" t="s">
        <v>144</v>
      </c>
      <c r="G81" s="23">
        <v>0.8</v>
      </c>
      <c r="I81" s="218" t="s">
        <v>479</v>
      </c>
    </row>
    <row r="82" spans="1:9" x14ac:dyDescent="0.25">
      <c r="A82" s="23">
        <v>74</v>
      </c>
      <c r="B82" s="85">
        <v>45688</v>
      </c>
      <c r="C82" s="23" t="s">
        <v>480</v>
      </c>
      <c r="D82" s="23" t="s">
        <v>144</v>
      </c>
      <c r="G82" s="23">
        <v>0</v>
      </c>
      <c r="I82" s="218" t="s">
        <v>481</v>
      </c>
    </row>
    <row r="83" spans="1:9" x14ac:dyDescent="0.25">
      <c r="A83" s="23">
        <v>75</v>
      </c>
      <c r="B83" s="85">
        <v>45688</v>
      </c>
      <c r="C83" s="23" t="s">
        <v>482</v>
      </c>
      <c r="D83" s="23" t="s">
        <v>252</v>
      </c>
      <c r="G83" s="23">
        <v>0</v>
      </c>
      <c r="I83" s="218" t="s">
        <v>483</v>
      </c>
    </row>
    <row r="84" spans="1:9" x14ac:dyDescent="0.25">
      <c r="A84" s="23">
        <v>76</v>
      </c>
      <c r="B84" s="85">
        <v>45688</v>
      </c>
      <c r="C84" s="23" t="s">
        <v>277</v>
      </c>
      <c r="D84" s="23" t="s">
        <v>302</v>
      </c>
      <c r="G84" s="23">
        <v>0</v>
      </c>
      <c r="I84" s="218" t="s">
        <v>484</v>
      </c>
    </row>
    <row r="85" spans="1:9" x14ac:dyDescent="0.25">
      <c r="A85" s="23">
        <v>77</v>
      </c>
      <c r="B85" s="85">
        <v>45688</v>
      </c>
      <c r="C85" s="23" t="s">
        <v>189</v>
      </c>
      <c r="D85" s="23" t="s">
        <v>272</v>
      </c>
      <c r="G85" s="23">
        <v>0</v>
      </c>
      <c r="I85" s="218" t="s">
        <v>485</v>
      </c>
    </row>
    <row r="86" spans="1:9" x14ac:dyDescent="0.25">
      <c r="A86" s="23">
        <v>78</v>
      </c>
      <c r="B86" s="85">
        <v>45688</v>
      </c>
      <c r="C86" s="23" t="s">
        <v>487</v>
      </c>
      <c r="D86" s="23" t="s">
        <v>273</v>
      </c>
      <c r="G86" s="23">
        <v>0</v>
      </c>
      <c r="I86" s="218" t="s">
        <v>488</v>
      </c>
    </row>
    <row r="87" spans="1:9" x14ac:dyDescent="0.25">
      <c r="A87" s="23">
        <v>79</v>
      </c>
      <c r="B87" s="85">
        <v>45688</v>
      </c>
      <c r="C87" s="23" t="s">
        <v>489</v>
      </c>
      <c r="D87" s="23" t="s">
        <v>260</v>
      </c>
      <c r="G87" s="23">
        <v>0</v>
      </c>
      <c r="I87" s="218" t="s">
        <v>490</v>
      </c>
    </row>
    <row r="88" spans="1:9" x14ac:dyDescent="0.25">
      <c r="A88" s="23">
        <v>80</v>
      </c>
      <c r="B88" s="85">
        <v>45688</v>
      </c>
      <c r="C88" s="23" t="s">
        <v>259</v>
      </c>
      <c r="D88" s="23" t="s">
        <v>265</v>
      </c>
      <c r="G88" s="23">
        <v>0</v>
      </c>
      <c r="I88" s="218" t="s">
        <v>491</v>
      </c>
    </row>
    <row r="89" spans="1:9" x14ac:dyDescent="0.25">
      <c r="A89" s="23">
        <v>81</v>
      </c>
      <c r="B89" s="85">
        <v>45688</v>
      </c>
      <c r="C89" s="23" t="s">
        <v>259</v>
      </c>
      <c r="D89" s="23" t="s">
        <v>261</v>
      </c>
      <c r="G89" s="23">
        <v>0</v>
      </c>
      <c r="I89" s="218" t="s">
        <v>492</v>
      </c>
    </row>
    <row r="90" spans="1:9" x14ac:dyDescent="0.25">
      <c r="A90" s="23">
        <v>82</v>
      </c>
      <c r="B90" s="85">
        <v>45688</v>
      </c>
      <c r="C90" s="23" t="s">
        <v>259</v>
      </c>
      <c r="D90" s="23" t="s">
        <v>262</v>
      </c>
      <c r="G90" s="23">
        <v>0</v>
      </c>
      <c r="I90" s="218" t="s">
        <v>493</v>
      </c>
    </row>
    <row r="91" spans="1:9" x14ac:dyDescent="0.25">
      <c r="A91" s="23">
        <v>83</v>
      </c>
      <c r="B91" s="85">
        <v>45688</v>
      </c>
      <c r="C91" s="23" t="s">
        <v>242</v>
      </c>
      <c r="D91" s="23" t="s">
        <v>251</v>
      </c>
      <c r="G91" s="23">
        <v>0</v>
      </c>
      <c r="I91" s="218" t="s">
        <v>494</v>
      </c>
    </row>
    <row r="92" spans="1:9" x14ac:dyDescent="0.25">
      <c r="A92" s="23">
        <v>84</v>
      </c>
      <c r="B92" s="85">
        <v>45688</v>
      </c>
      <c r="C92" s="23" t="s">
        <v>204</v>
      </c>
      <c r="D92" s="23" t="s">
        <v>202</v>
      </c>
      <c r="G92" s="23">
        <v>0</v>
      </c>
      <c r="I92" s="218" t="s">
        <v>495</v>
      </c>
    </row>
    <row r="93" spans="1:9" x14ac:dyDescent="0.25">
      <c r="A93" s="23">
        <v>85</v>
      </c>
      <c r="B93" s="85">
        <v>45688</v>
      </c>
      <c r="C93" s="23" t="s">
        <v>180</v>
      </c>
      <c r="D93" s="23" t="s">
        <v>202</v>
      </c>
      <c r="G93" s="23">
        <v>0.8</v>
      </c>
      <c r="I93" s="218" t="s">
        <v>295</v>
      </c>
    </row>
    <row r="94" spans="1:9" x14ac:dyDescent="0.25">
      <c r="A94" s="23">
        <v>86</v>
      </c>
      <c r="B94" s="85">
        <v>45688</v>
      </c>
      <c r="C94" s="23" t="s">
        <v>180</v>
      </c>
      <c r="D94" s="23" t="s">
        <v>172</v>
      </c>
      <c r="G94" s="23">
        <v>0.8</v>
      </c>
      <c r="I94" s="218" t="s">
        <v>496</v>
      </c>
    </row>
    <row r="95" spans="1:9" x14ac:dyDescent="0.25">
      <c r="A95" s="23">
        <v>87</v>
      </c>
      <c r="B95" s="85">
        <v>45688</v>
      </c>
      <c r="C95" s="23" t="s">
        <v>226</v>
      </c>
      <c r="D95" s="23" t="s">
        <v>302</v>
      </c>
      <c r="G95" s="23">
        <v>0.8</v>
      </c>
      <c r="I95" s="218" t="s">
        <v>497</v>
      </c>
    </row>
    <row r="96" spans="1:9" x14ac:dyDescent="0.25">
      <c r="A96" s="23">
        <v>88</v>
      </c>
      <c r="B96" s="85">
        <v>45688</v>
      </c>
      <c r="C96" s="23" t="s">
        <v>239</v>
      </c>
      <c r="D96" s="23" t="s">
        <v>251</v>
      </c>
      <c r="G96" s="23">
        <v>0.8</v>
      </c>
      <c r="I96" s="218" t="s">
        <v>498</v>
      </c>
    </row>
    <row r="97" spans="1:9" x14ac:dyDescent="0.25">
      <c r="A97" s="23">
        <v>89</v>
      </c>
      <c r="B97" s="85">
        <v>45688</v>
      </c>
      <c r="C97" s="23" t="s">
        <v>253</v>
      </c>
      <c r="D97" s="23" t="s">
        <v>252</v>
      </c>
      <c r="G97" s="23">
        <v>0.8</v>
      </c>
      <c r="I97" s="218" t="s">
        <v>499</v>
      </c>
    </row>
    <row r="98" spans="1:9" x14ac:dyDescent="0.25">
      <c r="A98" s="23">
        <v>90</v>
      </c>
      <c r="B98" s="85">
        <v>45688</v>
      </c>
      <c r="C98" s="23" t="s">
        <v>270</v>
      </c>
      <c r="D98" s="23" t="s">
        <v>262</v>
      </c>
      <c r="G98" s="23">
        <v>0.8</v>
      </c>
      <c r="I98" s="218" t="s">
        <v>500</v>
      </c>
    </row>
    <row r="99" spans="1:9" x14ac:dyDescent="0.25">
      <c r="A99" s="23">
        <v>91</v>
      </c>
      <c r="B99" s="85">
        <v>45688</v>
      </c>
      <c r="C99" s="23" t="s">
        <v>270</v>
      </c>
      <c r="D99" s="23" t="s">
        <v>261</v>
      </c>
      <c r="G99" s="23">
        <v>0.8</v>
      </c>
      <c r="I99" s="218" t="s">
        <v>501</v>
      </c>
    </row>
    <row r="100" spans="1:9" x14ac:dyDescent="0.25">
      <c r="A100" s="23">
        <v>92</v>
      </c>
      <c r="B100" s="85">
        <v>45688</v>
      </c>
      <c r="C100" s="23" t="s">
        <v>270</v>
      </c>
      <c r="D100" s="23" t="s">
        <v>265</v>
      </c>
      <c r="G100" s="23">
        <v>0.8</v>
      </c>
      <c r="I100" s="218" t="s">
        <v>502</v>
      </c>
    </row>
    <row r="101" spans="1:9" x14ac:dyDescent="0.25">
      <c r="A101" s="23">
        <v>93</v>
      </c>
      <c r="B101" s="85">
        <v>45688</v>
      </c>
      <c r="C101" s="23" t="s">
        <v>275</v>
      </c>
      <c r="D101" s="23" t="s">
        <v>272</v>
      </c>
      <c r="G101" s="23">
        <v>0.8</v>
      </c>
      <c r="I101" s="218" t="s">
        <v>503</v>
      </c>
    </row>
    <row r="102" spans="1:9" x14ac:dyDescent="0.25">
      <c r="A102" s="23">
        <v>94</v>
      </c>
      <c r="B102" s="85">
        <v>45688</v>
      </c>
      <c r="C102" s="23" t="s">
        <v>279</v>
      </c>
      <c r="D102" s="23" t="s">
        <v>273</v>
      </c>
      <c r="G102" s="23">
        <v>0.8</v>
      </c>
      <c r="I102" s="218" t="s">
        <v>504</v>
      </c>
    </row>
    <row r="103" spans="1:9" x14ac:dyDescent="0.25">
      <c r="A103" s="23">
        <v>95</v>
      </c>
      <c r="B103" s="85">
        <v>45688</v>
      </c>
      <c r="C103" s="23" t="s">
        <v>182</v>
      </c>
      <c r="D103" s="23" t="s">
        <v>265</v>
      </c>
      <c r="G103" s="23">
        <v>0</v>
      </c>
      <c r="I103" s="218" t="s">
        <v>502</v>
      </c>
    </row>
    <row r="104" spans="1:9" x14ac:dyDescent="0.25">
      <c r="A104" s="23">
        <v>96</v>
      </c>
      <c r="B104" s="85">
        <v>45688</v>
      </c>
      <c r="C104" s="23" t="s">
        <v>276</v>
      </c>
      <c r="D104" s="23" t="s">
        <v>265</v>
      </c>
      <c r="G104" s="23">
        <v>0.8</v>
      </c>
      <c r="I104" s="218" t="s">
        <v>295</v>
      </c>
    </row>
    <row r="105" spans="1:9" x14ac:dyDescent="0.25">
      <c r="A105" s="23">
        <v>97</v>
      </c>
      <c r="B105" s="85">
        <v>45688</v>
      </c>
      <c r="C105" s="23" t="s">
        <v>276</v>
      </c>
      <c r="D105" s="23" t="s">
        <v>260</v>
      </c>
      <c r="G105" s="23">
        <v>0.8</v>
      </c>
      <c r="I105" s="218" t="s">
        <v>505</v>
      </c>
    </row>
    <row r="106" spans="1:9" x14ac:dyDescent="0.25">
      <c r="A106" s="23">
        <v>98</v>
      </c>
      <c r="B106" s="85">
        <v>45688</v>
      </c>
      <c r="C106" s="23" t="s">
        <v>185</v>
      </c>
      <c r="D106" s="23" t="s">
        <v>169</v>
      </c>
      <c r="G106" s="23">
        <v>0.5</v>
      </c>
      <c r="I106" s="218" t="s">
        <v>506</v>
      </c>
    </row>
    <row r="107" spans="1:9" x14ac:dyDescent="0.25">
      <c r="A107" s="23">
        <v>99</v>
      </c>
      <c r="B107" s="85">
        <v>45688</v>
      </c>
      <c r="C107" s="23" t="s">
        <v>191</v>
      </c>
      <c r="D107" s="23" t="s">
        <v>159</v>
      </c>
      <c r="G107" s="23">
        <v>0</v>
      </c>
      <c r="I107" s="218" t="s">
        <v>507</v>
      </c>
    </row>
    <row r="108" spans="1:9" x14ac:dyDescent="0.25">
      <c r="A108" s="23">
        <v>100</v>
      </c>
      <c r="B108" s="85">
        <v>45688</v>
      </c>
      <c r="C108" s="23" t="s">
        <v>271</v>
      </c>
      <c r="D108" s="23" t="s">
        <v>260</v>
      </c>
      <c r="G108" s="23">
        <v>0</v>
      </c>
      <c r="I108" s="218" t="s">
        <v>508</v>
      </c>
    </row>
    <row r="109" spans="1:9" x14ac:dyDescent="0.25">
      <c r="A109" s="23">
        <v>101</v>
      </c>
      <c r="B109" s="85">
        <v>45688</v>
      </c>
      <c r="C109" s="23" t="s">
        <v>198</v>
      </c>
      <c r="D109" s="23" t="s">
        <v>265</v>
      </c>
      <c r="G109" s="23">
        <v>0</v>
      </c>
      <c r="I109" s="218" t="s">
        <v>509</v>
      </c>
    </row>
    <row r="110" spans="1:9" x14ac:dyDescent="0.25">
      <c r="A110" s="23">
        <v>102</v>
      </c>
      <c r="B110" s="85">
        <v>45688</v>
      </c>
      <c r="C110" s="23" t="s">
        <v>205</v>
      </c>
      <c r="D110" s="23" t="s">
        <v>252</v>
      </c>
      <c r="G110" s="23">
        <v>0</v>
      </c>
      <c r="I110" s="218" t="s">
        <v>510</v>
      </c>
    </row>
    <row r="111" spans="1:9" x14ac:dyDescent="0.25">
      <c r="A111" s="23">
        <v>103</v>
      </c>
      <c r="B111" s="85">
        <v>45688</v>
      </c>
      <c r="C111" s="23" t="s">
        <v>511</v>
      </c>
      <c r="D111" s="23" t="s">
        <v>202</v>
      </c>
      <c r="G111" s="23">
        <v>0</v>
      </c>
      <c r="H111" s="235"/>
      <c r="I111" s="218" t="s">
        <v>512</v>
      </c>
    </row>
    <row r="112" spans="1:9" x14ac:dyDescent="0.25">
      <c r="A112" s="23">
        <v>104</v>
      </c>
      <c r="B112" s="85">
        <v>45688</v>
      </c>
      <c r="C112" s="23" t="s">
        <v>192</v>
      </c>
      <c r="D112" s="23" t="s">
        <v>273</v>
      </c>
      <c r="G112" s="23">
        <v>0</v>
      </c>
      <c r="I112" s="218" t="s">
        <v>513</v>
      </c>
    </row>
    <row r="113" spans="1:9" x14ac:dyDescent="0.25">
      <c r="A113" s="23">
        <v>105</v>
      </c>
      <c r="B113" s="85">
        <v>45688</v>
      </c>
      <c r="C113" s="23" t="s">
        <v>181</v>
      </c>
      <c r="D113" s="23" t="s">
        <v>272</v>
      </c>
      <c r="G113" s="23">
        <v>0</v>
      </c>
      <c r="I113" s="218" t="s">
        <v>514</v>
      </c>
    </row>
    <row r="114" spans="1:9" x14ac:dyDescent="0.25">
      <c r="A114" s="23">
        <v>106</v>
      </c>
      <c r="B114" s="85">
        <v>45688</v>
      </c>
      <c r="C114" s="23" t="s">
        <v>208</v>
      </c>
      <c r="D114" s="23" t="s">
        <v>302</v>
      </c>
      <c r="G114" s="23">
        <v>0</v>
      </c>
      <c r="I114" s="218" t="s">
        <v>515</v>
      </c>
    </row>
    <row r="115" spans="1:9" x14ac:dyDescent="0.25">
      <c r="A115" s="23">
        <v>107</v>
      </c>
      <c r="B115" s="85">
        <v>45688</v>
      </c>
      <c r="C115" s="23" t="s">
        <v>193</v>
      </c>
      <c r="D115" s="23" t="s">
        <v>251</v>
      </c>
      <c r="G115" s="23">
        <v>0</v>
      </c>
      <c r="I115" s="218" t="s">
        <v>516</v>
      </c>
    </row>
    <row r="116" spans="1:9" x14ac:dyDescent="0.25">
      <c r="A116" s="23">
        <v>108</v>
      </c>
      <c r="B116" s="85">
        <v>45688</v>
      </c>
      <c r="C116" s="23" t="s">
        <v>220</v>
      </c>
      <c r="D116" s="23" t="s">
        <v>172</v>
      </c>
      <c r="G116" s="23">
        <v>0</v>
      </c>
      <c r="I116" s="218" t="s">
        <v>517</v>
      </c>
    </row>
    <row r="117" spans="1:9" x14ac:dyDescent="0.25">
      <c r="A117" s="23">
        <v>109</v>
      </c>
      <c r="B117" s="85">
        <v>45688</v>
      </c>
      <c r="C117" s="23" t="s">
        <v>240</v>
      </c>
      <c r="D117" s="23" t="s">
        <v>161</v>
      </c>
      <c r="G117" s="23">
        <v>0</v>
      </c>
      <c r="I117" s="218" t="s">
        <v>518</v>
      </c>
    </row>
    <row r="118" spans="1:9" x14ac:dyDescent="0.25">
      <c r="A118" s="23">
        <v>110</v>
      </c>
      <c r="B118" s="85">
        <v>45688</v>
      </c>
      <c r="C118" s="23" t="s">
        <v>519</v>
      </c>
      <c r="D118" s="23" t="s">
        <v>174</v>
      </c>
      <c r="G118" s="23">
        <v>0</v>
      </c>
      <c r="I118" s="218" t="s">
        <v>520</v>
      </c>
    </row>
    <row r="119" spans="1:9" x14ac:dyDescent="0.25">
      <c r="A119" s="23">
        <v>111</v>
      </c>
      <c r="B119" s="85">
        <v>45688</v>
      </c>
      <c r="C119" s="23" t="s">
        <v>199</v>
      </c>
      <c r="D119" s="23" t="s">
        <v>177</v>
      </c>
      <c r="G119" s="23">
        <v>0</v>
      </c>
      <c r="I119" s="218" t="s">
        <v>521</v>
      </c>
    </row>
    <row r="120" spans="1:9" x14ac:dyDescent="0.25">
      <c r="A120" s="23">
        <v>112</v>
      </c>
      <c r="B120" s="85">
        <v>45688</v>
      </c>
      <c r="C120" s="23" t="s">
        <v>522</v>
      </c>
      <c r="D120" s="23" t="s">
        <v>176</v>
      </c>
      <c r="G120" s="23">
        <v>0</v>
      </c>
      <c r="I120" s="218" t="s">
        <v>523</v>
      </c>
    </row>
    <row r="121" spans="1:9" x14ac:dyDescent="0.25">
      <c r="A121" s="23">
        <v>113</v>
      </c>
      <c r="B121" s="85">
        <v>45688</v>
      </c>
      <c r="C121" s="23" t="s">
        <v>217</v>
      </c>
      <c r="D121" s="23" t="s">
        <v>178</v>
      </c>
      <c r="G121" s="23">
        <v>0</v>
      </c>
      <c r="I121" s="218" t="s">
        <v>524</v>
      </c>
    </row>
    <row r="122" spans="1:9" x14ac:dyDescent="0.25">
      <c r="A122" s="23">
        <v>122</v>
      </c>
      <c r="B122" s="85">
        <v>45688</v>
      </c>
      <c r="C122" s="23" t="s">
        <v>283</v>
      </c>
      <c r="D122" s="23" t="s">
        <v>162</v>
      </c>
      <c r="G122" s="23">
        <v>0</v>
      </c>
      <c r="I122" s="218" t="s">
        <v>525</v>
      </c>
    </row>
    <row r="123" spans="1:9" x14ac:dyDescent="0.25">
      <c r="A123" s="23">
        <v>123</v>
      </c>
      <c r="B123" s="85">
        <v>45688</v>
      </c>
      <c r="C123" s="23" t="s">
        <v>526</v>
      </c>
      <c r="D123" s="23" t="s">
        <v>160</v>
      </c>
      <c r="G123" s="23">
        <v>0.495</v>
      </c>
      <c r="I123" s="218" t="s">
        <v>527</v>
      </c>
    </row>
    <row r="124" spans="1:9" x14ac:dyDescent="0.25">
      <c r="A124" s="23">
        <v>124</v>
      </c>
      <c r="B124" s="85">
        <v>45688</v>
      </c>
      <c r="C124" s="23" t="s">
        <v>528</v>
      </c>
      <c r="D124" s="23" t="s">
        <v>155</v>
      </c>
      <c r="G124" s="23">
        <v>0</v>
      </c>
      <c r="I124" s="218" t="s">
        <v>529</v>
      </c>
    </row>
    <row r="125" spans="1:9" x14ac:dyDescent="0.25">
      <c r="A125" s="23">
        <v>125</v>
      </c>
      <c r="B125" s="85">
        <v>45688</v>
      </c>
      <c r="C125" s="23" t="s">
        <v>530</v>
      </c>
      <c r="D125" s="23" t="s">
        <v>155</v>
      </c>
      <c r="G125" s="23">
        <v>0.495</v>
      </c>
      <c r="I125" s="218" t="s">
        <v>295</v>
      </c>
    </row>
    <row r="126" spans="1:9" x14ac:dyDescent="0.25">
      <c r="A126" s="23">
        <v>126</v>
      </c>
      <c r="B126" s="85">
        <v>45688</v>
      </c>
      <c r="C126" s="23" t="s">
        <v>531</v>
      </c>
      <c r="D126" s="23" t="s">
        <v>166</v>
      </c>
      <c r="G126" s="23">
        <v>0</v>
      </c>
      <c r="I126" s="218" t="s">
        <v>532</v>
      </c>
    </row>
    <row r="127" spans="1:9" x14ac:dyDescent="0.25">
      <c r="A127" s="23">
        <v>127</v>
      </c>
      <c r="B127" s="85">
        <v>45688</v>
      </c>
      <c r="C127" s="23" t="s">
        <v>533</v>
      </c>
      <c r="D127" s="23" t="s">
        <v>173</v>
      </c>
      <c r="G127" s="23">
        <v>0</v>
      </c>
      <c r="I127" s="218" t="s">
        <v>534</v>
      </c>
    </row>
    <row r="128" spans="1:9" x14ac:dyDescent="0.25">
      <c r="A128" s="23">
        <v>128</v>
      </c>
      <c r="B128" s="85">
        <v>45688</v>
      </c>
      <c r="C128" s="23" t="s">
        <v>535</v>
      </c>
      <c r="D128" s="23" t="s">
        <v>163</v>
      </c>
      <c r="G128" s="23">
        <v>0</v>
      </c>
      <c r="I128" s="218" t="s">
        <v>536</v>
      </c>
    </row>
    <row r="129" spans="1:9" x14ac:dyDescent="0.25">
      <c r="A129" s="23">
        <v>129</v>
      </c>
      <c r="B129" s="85">
        <v>45688</v>
      </c>
      <c r="C129" s="23" t="s">
        <v>537</v>
      </c>
      <c r="D129" s="23" t="s">
        <v>164</v>
      </c>
      <c r="G129" s="23">
        <v>0</v>
      </c>
      <c r="I129" s="218" t="s">
        <v>538</v>
      </c>
    </row>
    <row r="130" spans="1:9" x14ac:dyDescent="0.25">
      <c r="A130" s="23">
        <v>130</v>
      </c>
      <c r="B130" s="85">
        <v>45688</v>
      </c>
      <c r="C130" s="23" t="s">
        <v>539</v>
      </c>
      <c r="D130" s="23" t="s">
        <v>165</v>
      </c>
      <c r="G130" s="23">
        <v>0</v>
      </c>
      <c r="I130" s="218" t="s">
        <v>540</v>
      </c>
    </row>
    <row r="131" spans="1:9" x14ac:dyDescent="0.25">
      <c r="A131" s="23">
        <v>131</v>
      </c>
      <c r="B131" s="85">
        <v>45688</v>
      </c>
      <c r="C131" s="23" t="s">
        <v>541</v>
      </c>
      <c r="D131" s="23" t="s">
        <v>268</v>
      </c>
      <c r="G131" s="23">
        <v>0</v>
      </c>
      <c r="H131" s="461" t="s">
        <v>544</v>
      </c>
      <c r="I131" s="218" t="s">
        <v>542</v>
      </c>
    </row>
    <row r="132" spans="1:9" x14ac:dyDescent="0.25">
      <c r="A132" s="23">
        <v>132</v>
      </c>
      <c r="B132" s="85">
        <v>45688</v>
      </c>
      <c r="C132" s="23" t="s">
        <v>541</v>
      </c>
      <c r="D132" s="23" t="s">
        <v>264</v>
      </c>
      <c r="G132" s="23">
        <v>0</v>
      </c>
      <c r="H132" s="461"/>
      <c r="I132" s="218" t="s">
        <v>543</v>
      </c>
    </row>
    <row r="133" spans="1:9" x14ac:dyDescent="0.25">
      <c r="A133" s="23">
        <v>133</v>
      </c>
      <c r="B133" s="85">
        <v>45689</v>
      </c>
      <c r="C133" s="23" t="s">
        <v>545</v>
      </c>
      <c r="D133" s="23" t="s">
        <v>168</v>
      </c>
      <c r="G133" s="23">
        <v>0</v>
      </c>
      <c r="I133" s="218" t="s">
        <v>546</v>
      </c>
    </row>
    <row r="134" spans="1:9" x14ac:dyDescent="0.25">
      <c r="A134" s="23">
        <v>134</v>
      </c>
      <c r="B134" s="85">
        <v>45689</v>
      </c>
      <c r="C134" s="23" t="s">
        <v>547</v>
      </c>
      <c r="D134" s="23" t="s">
        <v>170</v>
      </c>
      <c r="G134" s="23">
        <v>0</v>
      </c>
      <c r="H134" s="95"/>
      <c r="I134" s="218" t="s">
        <v>548</v>
      </c>
    </row>
    <row r="135" spans="1:9" x14ac:dyDescent="0.25">
      <c r="A135" s="23">
        <v>135</v>
      </c>
      <c r="B135" s="85">
        <v>45689</v>
      </c>
      <c r="C135" s="23" t="s">
        <v>549</v>
      </c>
      <c r="D135" s="23" t="s">
        <v>261</v>
      </c>
      <c r="G135" s="23">
        <v>0</v>
      </c>
      <c r="I135" s="218" t="s">
        <v>550</v>
      </c>
    </row>
    <row r="136" spans="1:9" x14ac:dyDescent="0.25">
      <c r="A136" s="23">
        <v>136</v>
      </c>
      <c r="B136" s="85">
        <v>45689</v>
      </c>
      <c r="C136" s="23" t="s">
        <v>551</v>
      </c>
      <c r="D136" s="23" t="s">
        <v>186</v>
      </c>
      <c r="G136" s="23">
        <v>6.8</v>
      </c>
      <c r="I136" s="218" t="s">
        <v>552</v>
      </c>
    </row>
    <row r="137" spans="1:9" x14ac:dyDescent="0.25">
      <c r="A137" s="23">
        <v>137</v>
      </c>
      <c r="B137" s="85">
        <v>45689</v>
      </c>
      <c r="C137" s="23" t="s">
        <v>553</v>
      </c>
      <c r="D137" s="23" t="s">
        <v>262</v>
      </c>
      <c r="G137" s="23">
        <v>0</v>
      </c>
      <c r="I137" s="218" t="s">
        <v>554</v>
      </c>
    </row>
    <row r="138" spans="1:9" x14ac:dyDescent="0.25">
      <c r="A138" s="23">
        <v>138</v>
      </c>
      <c r="B138" s="85">
        <v>45689</v>
      </c>
      <c r="C138" s="23" t="s">
        <v>555</v>
      </c>
      <c r="D138" s="23" t="s">
        <v>260</v>
      </c>
      <c r="G138" s="23">
        <v>0.8</v>
      </c>
      <c r="I138" s="218" t="s">
        <v>556</v>
      </c>
    </row>
    <row r="139" spans="1:9" x14ac:dyDescent="0.25">
      <c r="A139" s="23">
        <v>139</v>
      </c>
      <c r="B139" s="85">
        <v>45689</v>
      </c>
      <c r="C139" s="23" t="s">
        <v>555</v>
      </c>
      <c r="D139" s="23" t="s">
        <v>265</v>
      </c>
      <c r="G139" s="23">
        <v>0.8</v>
      </c>
      <c r="I139" s="218" t="s">
        <v>557</v>
      </c>
    </row>
    <row r="140" spans="1:9" x14ac:dyDescent="0.25">
      <c r="A140" s="23">
        <v>140</v>
      </c>
      <c r="B140" s="85">
        <v>45689</v>
      </c>
      <c r="C140" s="23" t="s">
        <v>555</v>
      </c>
      <c r="D140" s="23" t="s">
        <v>262</v>
      </c>
      <c r="G140" s="23">
        <v>0.8</v>
      </c>
      <c r="I140" s="218" t="s">
        <v>558</v>
      </c>
    </row>
    <row r="141" spans="1:9" x14ac:dyDescent="0.25">
      <c r="A141" s="23">
        <v>141</v>
      </c>
      <c r="B141" s="85">
        <v>45689</v>
      </c>
      <c r="C141" s="23" t="s">
        <v>559</v>
      </c>
      <c r="D141" s="23" t="s">
        <v>264</v>
      </c>
      <c r="G141" s="23">
        <v>0.8</v>
      </c>
      <c r="I141" s="218" t="s">
        <v>560</v>
      </c>
    </row>
    <row r="142" spans="1:9" x14ac:dyDescent="0.25">
      <c r="A142" s="23">
        <v>142</v>
      </c>
      <c r="B142" s="85">
        <v>45689</v>
      </c>
      <c r="C142" s="23" t="s">
        <v>559</v>
      </c>
      <c r="D142" s="23" t="s">
        <v>268</v>
      </c>
      <c r="G142" s="23">
        <v>0.8</v>
      </c>
      <c r="I142" s="218" t="s">
        <v>561</v>
      </c>
    </row>
    <row r="143" spans="1:9" x14ac:dyDescent="0.25">
      <c r="A143" s="23">
        <v>143</v>
      </c>
      <c r="B143" s="85">
        <v>45689</v>
      </c>
      <c r="C143" s="23" t="s">
        <v>555</v>
      </c>
      <c r="D143" s="23" t="s">
        <v>261</v>
      </c>
      <c r="G143" s="23">
        <v>0.8</v>
      </c>
      <c r="I143" s="218" t="s">
        <v>562</v>
      </c>
    </row>
    <row r="144" spans="1:9" x14ac:dyDescent="0.25">
      <c r="A144" s="23">
        <v>144</v>
      </c>
      <c r="B144" s="85">
        <v>45689</v>
      </c>
      <c r="C144" s="23" t="s">
        <v>563</v>
      </c>
      <c r="D144" s="23" t="s">
        <v>166</v>
      </c>
      <c r="G144" s="23">
        <v>0.37</v>
      </c>
      <c r="I144" s="218" t="s">
        <v>564</v>
      </c>
    </row>
    <row r="145" spans="1:9" x14ac:dyDescent="0.25">
      <c r="A145" s="23">
        <v>145</v>
      </c>
      <c r="B145" s="85">
        <v>45689</v>
      </c>
      <c r="C145" s="23" t="s">
        <v>565</v>
      </c>
      <c r="D145" s="23" t="s">
        <v>160</v>
      </c>
      <c r="G145" s="23">
        <v>0</v>
      </c>
      <c r="I145" s="218" t="s">
        <v>566</v>
      </c>
    </row>
    <row r="146" spans="1:9" x14ac:dyDescent="0.25">
      <c r="A146" s="23">
        <v>146</v>
      </c>
      <c r="B146" s="85">
        <v>45689</v>
      </c>
      <c r="C146" s="23" t="s">
        <v>567</v>
      </c>
      <c r="D146" s="23" t="s">
        <v>154</v>
      </c>
      <c r="G146" s="23">
        <v>0</v>
      </c>
      <c r="I146" s="218" t="s">
        <v>568</v>
      </c>
    </row>
    <row r="147" spans="1:9" x14ac:dyDescent="0.25">
      <c r="A147" s="23">
        <v>147</v>
      </c>
      <c r="B147" s="85">
        <v>45689</v>
      </c>
      <c r="C147" s="23" t="s">
        <v>569</v>
      </c>
      <c r="D147" s="23" t="s">
        <v>175</v>
      </c>
      <c r="G147" s="23">
        <v>0</v>
      </c>
      <c r="H147" s="23" t="s">
        <v>574</v>
      </c>
      <c r="I147" s="218" t="s">
        <v>570</v>
      </c>
    </row>
    <row r="148" spans="1:9" x14ac:dyDescent="0.25">
      <c r="A148" s="23">
        <v>148</v>
      </c>
      <c r="B148" s="85">
        <v>45689</v>
      </c>
      <c r="C148" s="23" t="s">
        <v>571</v>
      </c>
      <c r="D148" s="23" t="s">
        <v>175</v>
      </c>
      <c r="G148" s="23">
        <v>2.6</v>
      </c>
      <c r="H148" s="23" t="s">
        <v>575</v>
      </c>
      <c r="I148" s="218" t="s">
        <v>295</v>
      </c>
    </row>
    <row r="149" spans="1:9" ht="29.25" x14ac:dyDescent="0.25">
      <c r="A149" s="23">
        <v>149</v>
      </c>
      <c r="B149" s="85">
        <v>45689</v>
      </c>
      <c r="C149" s="23" t="s">
        <v>572</v>
      </c>
      <c r="D149" s="23" t="s">
        <v>175</v>
      </c>
      <c r="G149" s="23">
        <v>0</v>
      </c>
      <c r="H149" s="235" t="s">
        <v>576</v>
      </c>
      <c r="I149" s="218" t="s">
        <v>573</v>
      </c>
    </row>
    <row r="150" spans="1:9" x14ac:dyDescent="0.25">
      <c r="A150" s="23">
        <v>150</v>
      </c>
      <c r="B150" s="85">
        <v>45689</v>
      </c>
      <c r="C150" s="23" t="s">
        <v>577</v>
      </c>
      <c r="D150" s="23" t="s">
        <v>174</v>
      </c>
      <c r="G150" s="23">
        <v>0.8</v>
      </c>
      <c r="I150" s="218" t="s">
        <v>578</v>
      </c>
    </row>
    <row r="151" spans="1:9" x14ac:dyDescent="0.25">
      <c r="A151" s="23">
        <v>151</v>
      </c>
      <c r="B151" s="85">
        <v>45689</v>
      </c>
      <c r="C151" s="23" t="s">
        <v>579</v>
      </c>
      <c r="D151" s="23" t="s">
        <v>159</v>
      </c>
      <c r="G151" s="23">
        <v>0.74</v>
      </c>
      <c r="I151" s="218" t="s">
        <v>580</v>
      </c>
    </row>
    <row r="152" spans="1:9" x14ac:dyDescent="0.25">
      <c r="A152" s="23">
        <v>152</v>
      </c>
      <c r="B152" s="85">
        <v>45689</v>
      </c>
      <c r="C152" s="23" t="s">
        <v>581</v>
      </c>
      <c r="D152" s="23" t="s">
        <v>169</v>
      </c>
      <c r="G152" s="23">
        <v>0</v>
      </c>
      <c r="I152" s="218" t="s">
        <v>582</v>
      </c>
    </row>
    <row r="153" spans="1:9" x14ac:dyDescent="0.25">
      <c r="A153" s="23">
        <v>153</v>
      </c>
      <c r="B153" s="85">
        <v>45689</v>
      </c>
      <c r="C153" s="23" t="s">
        <v>583</v>
      </c>
      <c r="D153" s="23" t="s">
        <v>177</v>
      </c>
      <c r="G153" s="23">
        <v>0.8</v>
      </c>
      <c r="I153" s="218" t="s">
        <v>584</v>
      </c>
    </row>
    <row r="154" spans="1:9" x14ac:dyDescent="0.25">
      <c r="A154" s="23">
        <v>154</v>
      </c>
      <c r="B154" s="85">
        <v>45689</v>
      </c>
      <c r="C154" s="23" t="s">
        <v>171</v>
      </c>
      <c r="D154" s="23" t="s">
        <v>172</v>
      </c>
      <c r="G154" s="23">
        <v>0.8</v>
      </c>
      <c r="I154" s="218" t="s">
        <v>585</v>
      </c>
    </row>
    <row r="155" spans="1:9" x14ac:dyDescent="0.25">
      <c r="A155" s="23">
        <v>155</v>
      </c>
      <c r="B155" s="85">
        <v>45689</v>
      </c>
      <c r="C155" s="23" t="s">
        <v>586</v>
      </c>
      <c r="D155" s="23" t="s">
        <v>176</v>
      </c>
      <c r="G155" s="23">
        <v>0.8</v>
      </c>
      <c r="I155" s="218" t="s">
        <v>587</v>
      </c>
    </row>
    <row r="156" spans="1:9" x14ac:dyDescent="0.25">
      <c r="A156" s="23">
        <v>156</v>
      </c>
      <c r="B156" s="85">
        <v>45689</v>
      </c>
      <c r="C156" s="23" t="s">
        <v>588</v>
      </c>
      <c r="D156" s="23" t="s">
        <v>178</v>
      </c>
      <c r="G156" s="23">
        <v>0.8</v>
      </c>
      <c r="I156" s="218" t="s">
        <v>589</v>
      </c>
    </row>
    <row r="157" spans="1:9" x14ac:dyDescent="0.25">
      <c r="A157" s="23">
        <v>157</v>
      </c>
      <c r="B157" s="85">
        <v>45689</v>
      </c>
      <c r="C157" s="23" t="s">
        <v>590</v>
      </c>
      <c r="D157" s="23" t="s">
        <v>161</v>
      </c>
      <c r="G157" s="23">
        <v>0.8</v>
      </c>
      <c r="I157" s="218" t="s">
        <v>591</v>
      </c>
    </row>
    <row r="158" spans="1:9" x14ac:dyDescent="0.25">
      <c r="A158" s="23">
        <v>158</v>
      </c>
      <c r="B158" s="85">
        <v>45689</v>
      </c>
      <c r="C158" s="23" t="s">
        <v>592</v>
      </c>
      <c r="D158" s="23" t="s">
        <v>173</v>
      </c>
      <c r="G158" s="23">
        <v>0.8</v>
      </c>
      <c r="I158" s="218" t="s">
        <v>593</v>
      </c>
    </row>
    <row r="159" spans="1:9" x14ac:dyDescent="0.25">
      <c r="A159" s="23">
        <v>159</v>
      </c>
      <c r="B159" s="85">
        <v>45689</v>
      </c>
      <c r="C159" s="23" t="s">
        <v>592</v>
      </c>
      <c r="D159" s="23" t="s">
        <v>162</v>
      </c>
      <c r="G159" s="23">
        <v>0.8</v>
      </c>
      <c r="I159" s="218" t="s">
        <v>594</v>
      </c>
    </row>
    <row r="160" spans="1:9" x14ac:dyDescent="0.25">
      <c r="A160" s="23">
        <v>160</v>
      </c>
      <c r="B160" s="85">
        <v>45689</v>
      </c>
      <c r="C160" s="23" t="s">
        <v>595</v>
      </c>
      <c r="D160" s="23" t="s">
        <v>163</v>
      </c>
      <c r="G160" s="23">
        <v>0.8</v>
      </c>
      <c r="I160" s="218" t="s">
        <v>596</v>
      </c>
    </row>
    <row r="161" spans="1:9" x14ac:dyDescent="0.25">
      <c r="A161" s="23">
        <v>161</v>
      </c>
      <c r="B161" s="85">
        <v>45689</v>
      </c>
      <c r="C161" s="23" t="s">
        <v>595</v>
      </c>
      <c r="D161" s="23" t="s">
        <v>164</v>
      </c>
      <c r="G161" s="23">
        <v>0.8</v>
      </c>
      <c r="I161" s="218" t="s">
        <v>597</v>
      </c>
    </row>
    <row r="162" spans="1:9" x14ac:dyDescent="0.25">
      <c r="A162" s="23">
        <v>162</v>
      </c>
      <c r="B162" s="85">
        <v>45689</v>
      </c>
      <c r="C162" s="23" t="s">
        <v>595</v>
      </c>
      <c r="D162" s="23" t="s">
        <v>268</v>
      </c>
      <c r="G162" s="23">
        <v>0</v>
      </c>
      <c r="I162" s="218" t="s">
        <v>598</v>
      </c>
    </row>
    <row r="163" spans="1:9" x14ac:dyDescent="0.25">
      <c r="A163" s="23">
        <v>163</v>
      </c>
      <c r="B163" s="85">
        <v>45689</v>
      </c>
      <c r="C163" s="23" t="s">
        <v>595</v>
      </c>
      <c r="D163" s="23" t="s">
        <v>260</v>
      </c>
      <c r="G163" s="23">
        <v>0</v>
      </c>
      <c r="I163" s="218" t="s">
        <v>599</v>
      </c>
    </row>
    <row r="164" spans="1:9" x14ac:dyDescent="0.25">
      <c r="A164" s="23">
        <v>164</v>
      </c>
      <c r="B164" s="85">
        <v>45689</v>
      </c>
      <c r="C164" s="23" t="s">
        <v>595</v>
      </c>
      <c r="D164" s="23" t="s">
        <v>264</v>
      </c>
      <c r="G164" s="23">
        <v>0</v>
      </c>
      <c r="I164" s="218" t="s">
        <v>600</v>
      </c>
    </row>
    <row r="165" spans="1:9" x14ac:dyDescent="0.25">
      <c r="A165" s="23">
        <v>165</v>
      </c>
      <c r="B165" s="85">
        <v>45689</v>
      </c>
      <c r="C165" s="23" t="s">
        <v>595</v>
      </c>
      <c r="D165" s="23" t="s">
        <v>265</v>
      </c>
      <c r="G165" s="23">
        <v>0</v>
      </c>
      <c r="I165" s="218" t="s">
        <v>601</v>
      </c>
    </row>
    <row r="166" spans="1:9" x14ac:dyDescent="0.25">
      <c r="A166" s="23">
        <v>166</v>
      </c>
      <c r="B166" s="85">
        <v>45689</v>
      </c>
      <c r="C166" s="23" t="s">
        <v>595</v>
      </c>
      <c r="D166" s="23" t="s">
        <v>261</v>
      </c>
      <c r="G166" s="23">
        <v>0</v>
      </c>
      <c r="I166" s="218" t="s">
        <v>602</v>
      </c>
    </row>
    <row r="167" spans="1:9" x14ac:dyDescent="0.25">
      <c r="A167" s="23">
        <v>167</v>
      </c>
      <c r="B167" s="85">
        <v>45689</v>
      </c>
      <c r="C167" s="23" t="s">
        <v>595</v>
      </c>
      <c r="D167" s="23" t="s">
        <v>262</v>
      </c>
      <c r="G167" s="23">
        <v>0</v>
      </c>
      <c r="I167" s="218" t="s">
        <v>603</v>
      </c>
    </row>
    <row r="168" spans="1:9" x14ac:dyDescent="0.25">
      <c r="A168" s="23">
        <v>168</v>
      </c>
      <c r="B168" s="85">
        <v>45689</v>
      </c>
      <c r="C168" s="23" t="s">
        <v>604</v>
      </c>
      <c r="D168" s="23" t="s">
        <v>165</v>
      </c>
      <c r="G168" s="23">
        <v>0.8</v>
      </c>
      <c r="I168" s="218" t="s">
        <v>605</v>
      </c>
    </row>
    <row r="169" spans="1:9" x14ac:dyDescent="0.25">
      <c r="A169" s="23">
        <v>169</v>
      </c>
      <c r="B169" s="85">
        <v>45689</v>
      </c>
      <c r="C169" s="23" t="s">
        <v>604</v>
      </c>
      <c r="D169" s="23" t="s">
        <v>168</v>
      </c>
      <c r="G169" s="23">
        <v>0.8</v>
      </c>
      <c r="I169" s="218" t="s">
        <v>606</v>
      </c>
    </row>
    <row r="170" spans="1:9" x14ac:dyDescent="0.25">
      <c r="A170" s="23">
        <v>170</v>
      </c>
      <c r="B170" s="85">
        <v>45689</v>
      </c>
      <c r="C170" s="23" t="s">
        <v>607</v>
      </c>
      <c r="D170" s="23" t="s">
        <v>170</v>
      </c>
      <c r="G170" s="23">
        <v>0.8</v>
      </c>
      <c r="I170" s="218" t="s">
        <v>608</v>
      </c>
    </row>
    <row r="171" spans="1:9" x14ac:dyDescent="0.25">
      <c r="A171" s="23">
        <v>171</v>
      </c>
      <c r="B171" s="85">
        <v>45689</v>
      </c>
      <c r="C171" s="23" t="s">
        <v>269</v>
      </c>
      <c r="D171" s="23" t="s">
        <v>202</v>
      </c>
      <c r="G171" s="23">
        <v>0.8</v>
      </c>
      <c r="I171" s="218" t="s">
        <v>609</v>
      </c>
    </row>
    <row r="172" spans="1:9" x14ac:dyDescent="0.25">
      <c r="A172" s="23">
        <v>172</v>
      </c>
      <c r="B172" s="85">
        <v>45689</v>
      </c>
      <c r="C172" s="23" t="s">
        <v>610</v>
      </c>
      <c r="D172" s="23" t="s">
        <v>175</v>
      </c>
      <c r="G172" s="23" t="s">
        <v>9</v>
      </c>
      <c r="I172" s="218" t="s">
        <v>611</v>
      </c>
    </row>
    <row r="173" spans="1:9" x14ac:dyDescent="0.25">
      <c r="A173" s="23">
        <v>173</v>
      </c>
      <c r="B173" s="85">
        <v>45689</v>
      </c>
      <c r="C173" s="23" t="s">
        <v>612</v>
      </c>
      <c r="D173" s="23" t="s">
        <v>154</v>
      </c>
      <c r="G173" s="23">
        <v>4</v>
      </c>
      <c r="I173" s="218" t="s">
        <v>613</v>
      </c>
    </row>
    <row r="174" spans="1:9" x14ac:dyDescent="0.25">
      <c r="A174" s="23">
        <v>174</v>
      </c>
      <c r="B174" s="85">
        <v>45689</v>
      </c>
      <c r="C174" s="23" t="s">
        <v>233</v>
      </c>
      <c r="D174" s="23" t="s">
        <v>251</v>
      </c>
      <c r="G174" s="23">
        <v>0.8</v>
      </c>
      <c r="I174" s="218" t="s">
        <v>614</v>
      </c>
    </row>
    <row r="175" spans="1:9" x14ac:dyDescent="0.25">
      <c r="A175" s="23">
        <v>175</v>
      </c>
      <c r="B175" s="85">
        <v>45689</v>
      </c>
      <c r="C175" s="23" t="s">
        <v>216</v>
      </c>
      <c r="D175" s="23" t="s">
        <v>302</v>
      </c>
      <c r="G175" s="23">
        <v>0.8</v>
      </c>
      <c r="I175" s="218" t="s">
        <v>615</v>
      </c>
    </row>
    <row r="176" spans="1:9" x14ac:dyDescent="0.25">
      <c r="A176" s="23">
        <v>176</v>
      </c>
      <c r="B176" s="85">
        <v>45689</v>
      </c>
      <c r="C176" s="23" t="s">
        <v>616</v>
      </c>
      <c r="D176" s="23" t="s">
        <v>252</v>
      </c>
      <c r="G176" s="23">
        <v>0.8</v>
      </c>
      <c r="I176" s="218" t="s">
        <v>617</v>
      </c>
    </row>
    <row r="177" spans="1:9" x14ac:dyDescent="0.25">
      <c r="A177" s="23">
        <v>177</v>
      </c>
      <c r="B177" s="85">
        <v>45689</v>
      </c>
      <c r="C177" s="23" t="s">
        <v>618</v>
      </c>
      <c r="D177" s="23" t="s">
        <v>144</v>
      </c>
      <c r="G177" s="23">
        <v>0.8</v>
      </c>
      <c r="I177" s="218" t="s">
        <v>619</v>
      </c>
    </row>
    <row r="178" spans="1:9" x14ac:dyDescent="0.25">
      <c r="A178" s="23">
        <v>178</v>
      </c>
      <c r="B178" s="85">
        <v>45689</v>
      </c>
      <c r="C178" s="23" t="s">
        <v>167</v>
      </c>
      <c r="D178" s="23" t="s">
        <v>155</v>
      </c>
      <c r="G178" s="23">
        <v>0</v>
      </c>
      <c r="I178" s="218" t="s">
        <v>620</v>
      </c>
    </row>
    <row r="179" spans="1:9" x14ac:dyDescent="0.25">
      <c r="A179" s="23">
        <v>179</v>
      </c>
      <c r="B179" s="85">
        <v>45689</v>
      </c>
      <c r="C179" s="23" t="s">
        <v>156</v>
      </c>
      <c r="D179" s="23" t="s">
        <v>160</v>
      </c>
      <c r="G179" s="23">
        <v>0.57999999999999996</v>
      </c>
      <c r="I179" s="218" t="s">
        <v>621</v>
      </c>
    </row>
    <row r="180" spans="1:9" x14ac:dyDescent="0.25">
      <c r="A180" s="23">
        <v>180</v>
      </c>
      <c r="B180" s="85">
        <v>45689</v>
      </c>
      <c r="C180" s="23" t="s">
        <v>622</v>
      </c>
      <c r="D180" s="23" t="s">
        <v>272</v>
      </c>
      <c r="G180" s="23">
        <v>0.8</v>
      </c>
      <c r="I180" s="218" t="s">
        <v>623</v>
      </c>
    </row>
    <row r="181" spans="1:9" x14ac:dyDescent="0.25">
      <c r="A181" s="23">
        <v>181</v>
      </c>
      <c r="B181" s="85">
        <v>45689</v>
      </c>
      <c r="C181" s="23" t="s">
        <v>624</v>
      </c>
      <c r="D181" s="23" t="s">
        <v>273</v>
      </c>
      <c r="G181" s="23">
        <v>0.8</v>
      </c>
      <c r="I181" s="218" t="s">
        <v>625</v>
      </c>
    </row>
    <row r="182" spans="1:9" x14ac:dyDescent="0.25">
      <c r="A182" s="23">
        <v>182</v>
      </c>
      <c r="B182" s="85">
        <v>45689</v>
      </c>
      <c r="C182" s="23" t="s">
        <v>218</v>
      </c>
      <c r="D182" s="23" t="s">
        <v>252</v>
      </c>
      <c r="G182" s="23">
        <v>0</v>
      </c>
      <c r="I182" s="218" t="s">
        <v>626</v>
      </c>
    </row>
    <row r="183" spans="1:9" x14ac:dyDescent="0.25">
      <c r="A183" s="23">
        <v>183</v>
      </c>
      <c r="B183" s="85">
        <v>45689</v>
      </c>
      <c r="C183" s="23" t="s">
        <v>627</v>
      </c>
      <c r="D183" s="23" t="s">
        <v>144</v>
      </c>
      <c r="G183" s="23" t="s">
        <v>9</v>
      </c>
      <c r="I183" s="218" t="s">
        <v>628</v>
      </c>
    </row>
    <row r="184" spans="1:9" x14ac:dyDescent="0.25">
      <c r="A184" s="23">
        <v>184</v>
      </c>
      <c r="B184" s="85">
        <v>45689</v>
      </c>
      <c r="C184" s="23" t="s">
        <v>629</v>
      </c>
      <c r="D184" s="23" t="s">
        <v>252</v>
      </c>
      <c r="G184" s="23">
        <v>0.8</v>
      </c>
      <c r="I184" s="218" t="s">
        <v>295</v>
      </c>
    </row>
    <row r="185" spans="1:9" x14ac:dyDescent="0.25">
      <c r="A185" s="23">
        <v>185</v>
      </c>
      <c r="B185" s="85">
        <v>45689</v>
      </c>
      <c r="C185" s="23" t="s">
        <v>630</v>
      </c>
      <c r="D185" s="23" t="s">
        <v>144</v>
      </c>
      <c r="G185" s="23">
        <v>0.9</v>
      </c>
      <c r="I185" s="218" t="s">
        <v>631</v>
      </c>
    </row>
    <row r="186" spans="1:9" x14ac:dyDescent="0.25">
      <c r="A186" s="23">
        <v>186</v>
      </c>
      <c r="B186" s="85">
        <v>45689</v>
      </c>
      <c r="C186" s="23" t="s">
        <v>632</v>
      </c>
      <c r="D186" s="23" t="s">
        <v>144</v>
      </c>
      <c r="G186" s="23">
        <v>0</v>
      </c>
      <c r="I186" s="218" t="s">
        <v>633</v>
      </c>
    </row>
    <row r="187" spans="1:9" x14ac:dyDescent="0.25">
      <c r="A187" s="23">
        <v>187</v>
      </c>
      <c r="B187" s="85">
        <v>45689</v>
      </c>
      <c r="C187" s="23" t="s">
        <v>634</v>
      </c>
      <c r="D187" s="23" t="s">
        <v>260</v>
      </c>
      <c r="G187" s="23">
        <v>0.8</v>
      </c>
      <c r="I187" s="218" t="s">
        <v>635</v>
      </c>
    </row>
    <row r="188" spans="1:9" x14ac:dyDescent="0.25">
      <c r="A188" s="23">
        <v>188</v>
      </c>
      <c r="B188" s="85">
        <v>45689</v>
      </c>
      <c r="C188" s="23" t="s">
        <v>634</v>
      </c>
      <c r="D188" s="23" t="s">
        <v>263</v>
      </c>
      <c r="G188" s="23">
        <v>0.8</v>
      </c>
      <c r="I188" s="218" t="s">
        <v>636</v>
      </c>
    </row>
    <row r="189" spans="1:9" x14ac:dyDescent="0.25">
      <c r="A189" s="23">
        <v>189</v>
      </c>
      <c r="B189" s="85">
        <v>45689</v>
      </c>
      <c r="C189" s="23" t="s">
        <v>634</v>
      </c>
      <c r="D189" s="23" t="s">
        <v>264</v>
      </c>
      <c r="G189" s="23">
        <v>0.8</v>
      </c>
      <c r="I189" s="218" t="s">
        <v>637</v>
      </c>
    </row>
    <row r="190" spans="1:9" x14ac:dyDescent="0.25">
      <c r="A190" s="23">
        <v>190</v>
      </c>
      <c r="B190" s="85">
        <v>45689</v>
      </c>
      <c r="C190" s="23" t="s">
        <v>634</v>
      </c>
      <c r="D190" s="23" t="s">
        <v>265</v>
      </c>
      <c r="G190" s="23">
        <v>0.8</v>
      </c>
      <c r="I190" s="218" t="s">
        <v>638</v>
      </c>
    </row>
    <row r="191" spans="1:9" x14ac:dyDescent="0.25">
      <c r="A191" s="23">
        <v>191</v>
      </c>
      <c r="B191" s="85">
        <v>45689</v>
      </c>
      <c r="C191" s="23" t="s">
        <v>634</v>
      </c>
      <c r="D191" s="23" t="s">
        <v>261</v>
      </c>
      <c r="G191" s="23">
        <v>0.8</v>
      </c>
      <c r="I191" s="218" t="s">
        <v>639</v>
      </c>
    </row>
    <row r="192" spans="1:9" x14ac:dyDescent="0.25">
      <c r="A192" s="23">
        <v>192</v>
      </c>
      <c r="B192" s="85">
        <v>45689</v>
      </c>
      <c r="C192" s="23" t="s">
        <v>634</v>
      </c>
      <c r="D192" s="23" t="s">
        <v>262</v>
      </c>
      <c r="G192" s="23">
        <v>0.8</v>
      </c>
      <c r="I192" s="218" t="s">
        <v>640</v>
      </c>
    </row>
    <row r="193" spans="1:9" x14ac:dyDescent="0.25">
      <c r="A193" s="23">
        <v>193</v>
      </c>
      <c r="B193" s="85">
        <v>45689</v>
      </c>
      <c r="C193" s="23" t="s">
        <v>641</v>
      </c>
      <c r="D193" s="23" t="s">
        <v>273</v>
      </c>
      <c r="G193" s="23">
        <v>0</v>
      </c>
      <c r="I193" s="218" t="s">
        <v>642</v>
      </c>
    </row>
    <row r="194" spans="1:9" x14ac:dyDescent="0.25">
      <c r="A194" s="23">
        <v>194</v>
      </c>
      <c r="B194" s="85">
        <v>45689</v>
      </c>
      <c r="C194" s="23" t="s">
        <v>643</v>
      </c>
      <c r="D194" s="23" t="s">
        <v>263</v>
      </c>
      <c r="G194" s="23">
        <v>0</v>
      </c>
      <c r="I194" s="218" t="s">
        <v>644</v>
      </c>
    </row>
    <row r="195" spans="1:9" x14ac:dyDescent="0.25">
      <c r="A195" s="23">
        <v>195</v>
      </c>
      <c r="B195" s="85">
        <v>45689</v>
      </c>
      <c r="C195" s="23" t="s">
        <v>526</v>
      </c>
      <c r="D195" s="23" t="s">
        <v>155</v>
      </c>
      <c r="G195" s="23">
        <v>0.59</v>
      </c>
      <c r="I195" s="218" t="s">
        <v>645</v>
      </c>
    </row>
    <row r="196" spans="1:9" x14ac:dyDescent="0.25">
      <c r="A196" s="23">
        <v>196</v>
      </c>
      <c r="B196" s="85">
        <v>45689</v>
      </c>
      <c r="C196" s="23" t="s">
        <v>528</v>
      </c>
      <c r="D196" s="23" t="s">
        <v>166</v>
      </c>
      <c r="G196" s="23">
        <v>0</v>
      </c>
      <c r="I196" s="218" t="s">
        <v>646</v>
      </c>
    </row>
    <row r="197" spans="1:9" x14ac:dyDescent="0.25">
      <c r="A197" s="23">
        <v>197</v>
      </c>
      <c r="B197" s="85">
        <v>45689</v>
      </c>
      <c r="C197" s="23" t="s">
        <v>647</v>
      </c>
      <c r="D197" s="23" t="s">
        <v>272</v>
      </c>
      <c r="G197" s="23">
        <v>0</v>
      </c>
      <c r="I197" s="218" t="s">
        <v>648</v>
      </c>
    </row>
    <row r="198" spans="1:9" x14ac:dyDescent="0.25">
      <c r="A198" s="23">
        <v>198</v>
      </c>
      <c r="B198" s="85">
        <v>45689</v>
      </c>
      <c r="C198" s="23" t="s">
        <v>649</v>
      </c>
      <c r="D198" s="23" t="s">
        <v>263</v>
      </c>
      <c r="G198" s="23">
        <v>0.8</v>
      </c>
      <c r="I198" s="218" t="s">
        <v>295</v>
      </c>
    </row>
    <row r="199" spans="1:9" x14ac:dyDescent="0.25">
      <c r="A199" s="23">
        <v>199</v>
      </c>
      <c r="B199" s="85">
        <v>45689</v>
      </c>
      <c r="C199" s="23" t="s">
        <v>650</v>
      </c>
      <c r="D199" s="23" t="s">
        <v>272</v>
      </c>
      <c r="G199" s="23">
        <v>0.9</v>
      </c>
      <c r="I199" s="218" t="s">
        <v>295</v>
      </c>
    </row>
    <row r="200" spans="1:9" x14ac:dyDescent="0.25">
      <c r="A200" s="23">
        <v>200</v>
      </c>
      <c r="B200" s="85">
        <v>45689</v>
      </c>
      <c r="C200" s="23" t="s">
        <v>651</v>
      </c>
      <c r="D200" s="23" t="s">
        <v>273</v>
      </c>
      <c r="G200" s="23">
        <v>0.8</v>
      </c>
      <c r="I200" s="218" t="s">
        <v>295</v>
      </c>
    </row>
    <row r="201" spans="1:9" x14ac:dyDescent="0.25">
      <c r="A201" s="23">
        <v>201</v>
      </c>
      <c r="B201" s="85">
        <v>45689</v>
      </c>
      <c r="C201" s="23" t="s">
        <v>652</v>
      </c>
      <c r="D201" s="23" t="s">
        <v>144</v>
      </c>
      <c r="G201" s="23">
        <v>0.9</v>
      </c>
      <c r="I201" s="218" t="s">
        <v>653</v>
      </c>
    </row>
    <row r="202" spans="1:9" x14ac:dyDescent="0.25">
      <c r="A202" s="23">
        <v>202</v>
      </c>
      <c r="B202" s="85">
        <v>45689</v>
      </c>
      <c r="C202" s="23" t="s">
        <v>654</v>
      </c>
      <c r="D202" s="23" t="s">
        <v>268</v>
      </c>
      <c r="G202" s="23">
        <v>0.8</v>
      </c>
      <c r="I202" s="218" t="s">
        <v>655</v>
      </c>
    </row>
    <row r="203" spans="1:9" x14ac:dyDescent="0.25">
      <c r="A203" s="23">
        <v>203</v>
      </c>
      <c r="B203" s="85">
        <v>45689</v>
      </c>
      <c r="C203" s="23" t="s">
        <v>656</v>
      </c>
      <c r="D203" s="23" t="s">
        <v>268</v>
      </c>
      <c r="G203" s="23">
        <v>0</v>
      </c>
      <c r="I203" s="218" t="s">
        <v>657</v>
      </c>
    </row>
    <row r="204" spans="1:9" x14ac:dyDescent="0.25">
      <c r="A204" s="23">
        <v>204</v>
      </c>
      <c r="B204" s="85">
        <v>45689</v>
      </c>
      <c r="C204" s="23" t="s">
        <v>658</v>
      </c>
      <c r="D204" s="23" t="s">
        <v>252</v>
      </c>
      <c r="G204" s="23">
        <v>0</v>
      </c>
      <c r="I204" s="218" t="s">
        <v>659</v>
      </c>
    </row>
    <row r="205" spans="1:9" x14ac:dyDescent="0.25">
      <c r="A205" s="23">
        <v>205</v>
      </c>
      <c r="B205" s="85">
        <v>45689</v>
      </c>
      <c r="C205" s="23" t="s">
        <v>660</v>
      </c>
      <c r="D205" s="23" t="s">
        <v>144</v>
      </c>
      <c r="G205" s="23">
        <v>0</v>
      </c>
      <c r="I205" s="218" t="s">
        <v>661</v>
      </c>
    </row>
    <row r="206" spans="1:9" x14ac:dyDescent="0.25">
      <c r="A206" s="23">
        <v>206</v>
      </c>
      <c r="B206" s="85">
        <v>45689</v>
      </c>
      <c r="C206" s="23" t="s">
        <v>662</v>
      </c>
      <c r="D206" s="23" t="s">
        <v>272</v>
      </c>
      <c r="G206" s="23">
        <v>0</v>
      </c>
      <c r="I206" s="218" t="s">
        <v>663</v>
      </c>
    </row>
    <row r="207" spans="1:9" x14ac:dyDescent="0.25">
      <c r="A207" s="23">
        <v>207</v>
      </c>
      <c r="B207" s="85">
        <v>45689</v>
      </c>
      <c r="C207" s="23" t="s">
        <v>664</v>
      </c>
      <c r="D207" s="23" t="s">
        <v>302</v>
      </c>
      <c r="G207" s="23">
        <v>0</v>
      </c>
      <c r="I207" s="218" t="s">
        <v>665</v>
      </c>
    </row>
    <row r="208" spans="1:9" x14ac:dyDescent="0.25">
      <c r="A208" s="23">
        <v>208</v>
      </c>
      <c r="B208" s="85">
        <v>45689</v>
      </c>
      <c r="C208" s="23" t="s">
        <v>664</v>
      </c>
      <c r="D208" s="23" t="s">
        <v>273</v>
      </c>
      <c r="G208" s="23">
        <v>0</v>
      </c>
      <c r="I208" s="218" t="s">
        <v>666</v>
      </c>
    </row>
    <row r="209" spans="1:9" x14ac:dyDescent="0.25">
      <c r="A209" s="23">
        <v>209</v>
      </c>
      <c r="B209" s="85">
        <v>45689</v>
      </c>
      <c r="C209" s="23" t="s">
        <v>667</v>
      </c>
      <c r="D209" s="23" t="s">
        <v>251</v>
      </c>
      <c r="G209" s="23">
        <v>0</v>
      </c>
      <c r="I209" s="218" t="s">
        <v>668</v>
      </c>
    </row>
    <row r="210" spans="1:9" x14ac:dyDescent="0.25">
      <c r="A210" s="23">
        <v>210</v>
      </c>
      <c r="B210" s="85">
        <v>45689</v>
      </c>
      <c r="C210" s="23" t="s">
        <v>669</v>
      </c>
      <c r="D210" s="23" t="s">
        <v>176</v>
      </c>
      <c r="G210" s="23">
        <v>0</v>
      </c>
      <c r="H210" s="23" t="s">
        <v>671</v>
      </c>
      <c r="I210" s="218" t="s">
        <v>670</v>
      </c>
    </row>
    <row r="211" spans="1:9" x14ac:dyDescent="0.25">
      <c r="A211" s="23">
        <v>211</v>
      </c>
      <c r="B211" s="85">
        <v>45689</v>
      </c>
      <c r="C211" s="23" t="s">
        <v>672</v>
      </c>
      <c r="D211" s="23" t="s">
        <v>170</v>
      </c>
      <c r="G211" s="23">
        <v>0</v>
      </c>
      <c r="I211" s="218" t="s">
        <v>673</v>
      </c>
    </row>
    <row r="212" spans="1:9" x14ac:dyDescent="0.25">
      <c r="A212" s="23">
        <v>212</v>
      </c>
      <c r="B212" s="85">
        <v>45689</v>
      </c>
      <c r="C212" s="23" t="s">
        <v>674</v>
      </c>
      <c r="D212" s="23" t="s">
        <v>202</v>
      </c>
      <c r="G212" s="23">
        <v>0</v>
      </c>
      <c r="I212" s="218" t="s">
        <v>675</v>
      </c>
    </row>
    <row r="213" spans="1:9" x14ac:dyDescent="0.25">
      <c r="A213" s="23">
        <v>213</v>
      </c>
      <c r="B213" s="85">
        <v>45689</v>
      </c>
      <c r="C213" s="23" t="s">
        <v>676</v>
      </c>
      <c r="D213" s="23" t="s">
        <v>161</v>
      </c>
      <c r="G213" s="23">
        <v>0</v>
      </c>
      <c r="I213" s="218" t="s">
        <v>677</v>
      </c>
    </row>
    <row r="214" spans="1:9" x14ac:dyDescent="0.25">
      <c r="A214" s="23">
        <v>214</v>
      </c>
      <c r="B214" s="85">
        <v>45689</v>
      </c>
      <c r="C214" s="23" t="s">
        <v>678</v>
      </c>
      <c r="D214" s="23" t="s">
        <v>172</v>
      </c>
      <c r="G214" s="23">
        <v>0</v>
      </c>
      <c r="I214" s="218" t="s">
        <v>679</v>
      </c>
    </row>
    <row r="215" spans="1:9" x14ac:dyDescent="0.25">
      <c r="A215" s="23">
        <v>215</v>
      </c>
      <c r="B215" s="85">
        <v>45689</v>
      </c>
      <c r="C215" s="23" t="s">
        <v>680</v>
      </c>
      <c r="D215" s="23" t="s">
        <v>166</v>
      </c>
      <c r="G215" s="23">
        <v>0.54</v>
      </c>
      <c r="I215" s="218" t="s">
        <v>681</v>
      </c>
    </row>
    <row r="216" spans="1:9" x14ac:dyDescent="0.25">
      <c r="A216" s="23">
        <v>216</v>
      </c>
      <c r="B216" s="85">
        <v>45689</v>
      </c>
      <c r="C216" s="23" t="s">
        <v>682</v>
      </c>
      <c r="D216" s="23" t="s">
        <v>160</v>
      </c>
      <c r="G216" s="23">
        <v>0</v>
      </c>
      <c r="I216" s="218" t="s">
        <v>683</v>
      </c>
    </row>
    <row r="217" spans="1:9" x14ac:dyDescent="0.25">
      <c r="A217" s="23">
        <v>217</v>
      </c>
      <c r="B217" s="85">
        <v>45689</v>
      </c>
      <c r="C217" s="23" t="s">
        <v>684</v>
      </c>
      <c r="D217" s="23" t="s">
        <v>174</v>
      </c>
      <c r="G217" s="23">
        <v>0</v>
      </c>
      <c r="I217" s="218" t="s">
        <v>685</v>
      </c>
    </row>
    <row r="218" spans="1:9" x14ac:dyDescent="0.25">
      <c r="A218" s="23">
        <v>218</v>
      </c>
      <c r="B218" s="85">
        <v>45689</v>
      </c>
      <c r="C218" s="23" t="s">
        <v>686</v>
      </c>
      <c r="D218" s="23" t="s">
        <v>177</v>
      </c>
      <c r="G218" s="23">
        <v>0</v>
      </c>
      <c r="I218" s="218" t="s">
        <v>687</v>
      </c>
    </row>
    <row r="219" spans="1:9" x14ac:dyDescent="0.25">
      <c r="A219" s="23">
        <v>219</v>
      </c>
      <c r="B219" s="85">
        <v>45690</v>
      </c>
      <c r="C219" s="23" t="s">
        <v>688</v>
      </c>
      <c r="D219" s="23" t="s">
        <v>178</v>
      </c>
      <c r="G219" s="23">
        <v>0</v>
      </c>
      <c r="I219" s="218" t="s">
        <v>689</v>
      </c>
    </row>
    <row r="220" spans="1:9" x14ac:dyDescent="0.25">
      <c r="A220" s="23">
        <v>220</v>
      </c>
      <c r="B220" s="85">
        <v>45690</v>
      </c>
      <c r="C220" s="23" t="s">
        <v>690</v>
      </c>
      <c r="D220" s="23" t="s">
        <v>162</v>
      </c>
      <c r="G220" s="23">
        <v>0</v>
      </c>
      <c r="I220" s="218" t="s">
        <v>691</v>
      </c>
    </row>
    <row r="221" spans="1:9" x14ac:dyDescent="0.25">
      <c r="A221" s="23">
        <v>221</v>
      </c>
      <c r="B221" s="85">
        <v>45690</v>
      </c>
      <c r="C221" s="23" t="s">
        <v>692</v>
      </c>
      <c r="D221" s="23" t="s">
        <v>173</v>
      </c>
      <c r="G221" s="23">
        <v>0</v>
      </c>
      <c r="I221" s="218" t="s">
        <v>693</v>
      </c>
    </row>
    <row r="222" spans="1:9" x14ac:dyDescent="0.25">
      <c r="A222" s="23">
        <v>222</v>
      </c>
      <c r="B222" s="85">
        <v>45690</v>
      </c>
      <c r="C222" s="23" t="s">
        <v>694</v>
      </c>
      <c r="D222" s="23" t="s">
        <v>163</v>
      </c>
      <c r="G222" s="23">
        <v>0</v>
      </c>
      <c r="I222" s="218" t="s">
        <v>695</v>
      </c>
    </row>
    <row r="223" spans="1:9" x14ac:dyDescent="0.25">
      <c r="A223" s="23">
        <v>223</v>
      </c>
      <c r="B223" s="85">
        <v>45690</v>
      </c>
      <c r="C223" s="23" t="s">
        <v>696</v>
      </c>
      <c r="D223" s="23" t="s">
        <v>164</v>
      </c>
      <c r="G223" s="23">
        <v>0</v>
      </c>
      <c r="I223" s="218" t="s">
        <v>697</v>
      </c>
    </row>
    <row r="224" spans="1:9" x14ac:dyDescent="0.25">
      <c r="A224" s="23">
        <v>224</v>
      </c>
      <c r="B224" s="85">
        <v>45690</v>
      </c>
      <c r="C224" s="23" t="s">
        <v>698</v>
      </c>
      <c r="D224" s="23" t="s">
        <v>263</v>
      </c>
      <c r="G224" s="23">
        <v>0</v>
      </c>
      <c r="I224" s="218" t="s">
        <v>699</v>
      </c>
    </row>
    <row r="225" spans="1:9" x14ac:dyDescent="0.25">
      <c r="A225" s="23">
        <v>225</v>
      </c>
      <c r="B225" s="85">
        <v>45690</v>
      </c>
      <c r="C225" s="23" t="s">
        <v>700</v>
      </c>
      <c r="D225" s="23" t="s">
        <v>165</v>
      </c>
      <c r="G225" s="23">
        <v>0</v>
      </c>
      <c r="I225" s="218" t="s">
        <v>701</v>
      </c>
    </row>
    <row r="226" spans="1:9" x14ac:dyDescent="0.25">
      <c r="A226" s="23">
        <v>226</v>
      </c>
      <c r="B226" s="85">
        <v>45690</v>
      </c>
      <c r="C226" s="23" t="s">
        <v>241</v>
      </c>
      <c r="D226" s="23" t="s">
        <v>175</v>
      </c>
      <c r="G226" s="23">
        <v>0.5</v>
      </c>
      <c r="H226" s="23" t="s">
        <v>705</v>
      </c>
      <c r="I226" s="218" t="s">
        <v>702</v>
      </c>
    </row>
    <row r="227" spans="1:9" x14ac:dyDescent="0.25">
      <c r="A227" s="23">
        <v>227</v>
      </c>
      <c r="B227" s="85">
        <v>45690</v>
      </c>
      <c r="C227" s="23" t="s">
        <v>703</v>
      </c>
      <c r="D227" s="23" t="s">
        <v>168</v>
      </c>
      <c r="G227" s="23">
        <v>0</v>
      </c>
      <c r="I227" s="218" t="s">
        <v>704</v>
      </c>
    </row>
    <row r="228" spans="1:9" x14ac:dyDescent="0.25">
      <c r="A228" s="23">
        <v>228</v>
      </c>
      <c r="B228" s="85">
        <v>45690</v>
      </c>
      <c r="C228" s="23" t="s">
        <v>706</v>
      </c>
      <c r="D228" s="23" t="s">
        <v>175</v>
      </c>
      <c r="G228" s="23" t="s">
        <v>9</v>
      </c>
      <c r="H228" s="95" t="s">
        <v>708</v>
      </c>
      <c r="I228" s="218" t="s">
        <v>707</v>
      </c>
    </row>
    <row r="229" spans="1:9" x14ac:dyDescent="0.25">
      <c r="A229" s="23">
        <v>229</v>
      </c>
      <c r="B229" s="85">
        <v>45690</v>
      </c>
      <c r="C229" s="23" t="s">
        <v>709</v>
      </c>
      <c r="D229" s="23" t="s">
        <v>264</v>
      </c>
      <c r="G229" s="23">
        <v>0</v>
      </c>
      <c r="I229" s="218" t="s">
        <v>710</v>
      </c>
    </row>
    <row r="230" spans="1:9" x14ac:dyDescent="0.25">
      <c r="A230" s="23">
        <v>230</v>
      </c>
      <c r="B230" s="85">
        <v>45690</v>
      </c>
      <c r="C230" s="23" t="s">
        <v>711</v>
      </c>
      <c r="D230" s="23" t="s">
        <v>155</v>
      </c>
      <c r="G230" s="23">
        <v>0</v>
      </c>
      <c r="I230" s="218" t="s">
        <v>712</v>
      </c>
    </row>
    <row r="231" spans="1:9" x14ac:dyDescent="0.25">
      <c r="A231" s="23">
        <v>231</v>
      </c>
      <c r="B231" s="85">
        <v>45690</v>
      </c>
      <c r="C231" s="23" t="s">
        <v>713</v>
      </c>
      <c r="D231" s="23" t="s">
        <v>170</v>
      </c>
      <c r="G231" s="23">
        <v>0.8</v>
      </c>
      <c r="I231" s="218" t="s">
        <v>714</v>
      </c>
    </row>
    <row r="232" spans="1:9" x14ac:dyDescent="0.25">
      <c r="A232" s="23">
        <v>232</v>
      </c>
      <c r="B232" s="85">
        <v>45690</v>
      </c>
      <c r="C232" s="23" t="s">
        <v>713</v>
      </c>
      <c r="D232" s="23" t="s">
        <v>174</v>
      </c>
      <c r="G232" s="23">
        <v>0.8</v>
      </c>
      <c r="I232" s="218" t="s">
        <v>715</v>
      </c>
    </row>
    <row r="233" spans="1:9" x14ac:dyDescent="0.25">
      <c r="A233" s="23">
        <v>233</v>
      </c>
      <c r="B233" s="85">
        <v>45690</v>
      </c>
      <c r="C233" s="23" t="s">
        <v>713</v>
      </c>
      <c r="D233" s="23" t="s">
        <v>172</v>
      </c>
      <c r="G233" s="23">
        <v>0.8</v>
      </c>
      <c r="I233" s="218" t="s">
        <v>716</v>
      </c>
    </row>
    <row r="234" spans="1:9" x14ac:dyDescent="0.25">
      <c r="A234" s="23">
        <v>234</v>
      </c>
      <c r="B234" s="85">
        <v>45690</v>
      </c>
      <c r="C234" s="23" t="s">
        <v>713</v>
      </c>
      <c r="D234" s="23" t="s">
        <v>202</v>
      </c>
      <c r="G234" s="23">
        <v>0.8</v>
      </c>
      <c r="I234" s="218" t="s">
        <v>717</v>
      </c>
    </row>
    <row r="235" spans="1:9" x14ac:dyDescent="0.25">
      <c r="A235" s="23">
        <v>235</v>
      </c>
      <c r="B235" s="85">
        <v>45690</v>
      </c>
      <c r="C235" s="23" t="s">
        <v>713</v>
      </c>
      <c r="D235" s="23" t="s">
        <v>177</v>
      </c>
      <c r="G235" s="23">
        <v>0.8</v>
      </c>
      <c r="I235" s="218" t="s">
        <v>718</v>
      </c>
    </row>
    <row r="236" spans="1:9" x14ac:dyDescent="0.25">
      <c r="A236" s="23">
        <v>236</v>
      </c>
      <c r="B236" s="85">
        <v>45690</v>
      </c>
      <c r="C236" s="23" t="s">
        <v>719</v>
      </c>
      <c r="D236" s="23" t="s">
        <v>157</v>
      </c>
      <c r="G236" s="23">
        <v>0</v>
      </c>
      <c r="I236" s="218" t="s">
        <v>720</v>
      </c>
    </row>
    <row r="237" spans="1:9" x14ac:dyDescent="0.25">
      <c r="A237" s="23">
        <v>237</v>
      </c>
      <c r="B237" s="85">
        <v>45690</v>
      </c>
      <c r="C237" s="23" t="s">
        <v>721</v>
      </c>
      <c r="D237" s="23" t="s">
        <v>169</v>
      </c>
      <c r="G237" s="23">
        <v>0.71</v>
      </c>
      <c r="I237" s="218" t="s">
        <v>722</v>
      </c>
    </row>
    <row r="238" spans="1:9" x14ac:dyDescent="0.25">
      <c r="A238" s="23">
        <v>239</v>
      </c>
      <c r="B238" s="85">
        <v>45690</v>
      </c>
      <c r="C238" s="23" t="s">
        <v>245</v>
      </c>
      <c r="D238" s="23" t="s">
        <v>160</v>
      </c>
      <c r="G238" s="23">
        <v>0.7</v>
      </c>
      <c r="I238" s="218" t="s">
        <v>723</v>
      </c>
    </row>
    <row r="239" spans="1:9" x14ac:dyDescent="0.25">
      <c r="A239" s="23">
        <v>240</v>
      </c>
      <c r="B239" s="85">
        <v>45690</v>
      </c>
      <c r="C239" s="23" t="s">
        <v>724</v>
      </c>
      <c r="D239" s="23" t="s">
        <v>178</v>
      </c>
      <c r="G239" s="23">
        <v>0.8</v>
      </c>
      <c r="I239" s="218" t="s">
        <v>725</v>
      </c>
    </row>
    <row r="240" spans="1:9" x14ac:dyDescent="0.25">
      <c r="A240" s="23">
        <v>241</v>
      </c>
      <c r="B240" s="85">
        <v>45690</v>
      </c>
      <c r="C240" s="23" t="s">
        <v>726</v>
      </c>
      <c r="D240" s="23" t="s">
        <v>170</v>
      </c>
      <c r="G240" s="23">
        <v>0</v>
      </c>
      <c r="I240" s="218" t="s">
        <v>727</v>
      </c>
    </row>
    <row r="241" spans="1:9" x14ac:dyDescent="0.25">
      <c r="A241" s="23">
        <v>242</v>
      </c>
      <c r="B241" s="85">
        <v>45690</v>
      </c>
      <c r="C241" s="23" t="s">
        <v>219</v>
      </c>
      <c r="D241" s="23" t="s">
        <v>161</v>
      </c>
      <c r="G241" s="23">
        <v>0.8</v>
      </c>
      <c r="I241" s="218" t="s">
        <v>728</v>
      </c>
    </row>
    <row r="242" spans="1:9" x14ac:dyDescent="0.25">
      <c r="A242" s="23">
        <v>243</v>
      </c>
      <c r="B242" s="85">
        <v>45690</v>
      </c>
      <c r="C242" s="23" t="s">
        <v>729</v>
      </c>
      <c r="D242" s="23" t="s">
        <v>157</v>
      </c>
      <c r="G242" s="23">
        <v>0.5</v>
      </c>
      <c r="I242" s="218" t="s">
        <v>730</v>
      </c>
    </row>
    <row r="243" spans="1:9" x14ac:dyDescent="0.25">
      <c r="A243" s="23">
        <v>244</v>
      </c>
      <c r="B243" s="85">
        <v>45690</v>
      </c>
      <c r="C243" s="23" t="s">
        <v>581</v>
      </c>
      <c r="D243" s="23" t="s">
        <v>263</v>
      </c>
      <c r="G243" s="23">
        <v>0.8</v>
      </c>
      <c r="I243" s="218" t="s">
        <v>731</v>
      </c>
    </row>
    <row r="244" spans="1:9" x14ac:dyDescent="0.25">
      <c r="A244" s="23">
        <v>245</v>
      </c>
      <c r="B244" s="85">
        <v>45690</v>
      </c>
      <c r="C244" s="23" t="s">
        <v>733</v>
      </c>
      <c r="D244" s="23" t="s">
        <v>162</v>
      </c>
      <c r="G244" s="23">
        <v>0.8</v>
      </c>
      <c r="I244" s="218" t="s">
        <v>732</v>
      </c>
    </row>
    <row r="245" spans="1:9" x14ac:dyDescent="0.25">
      <c r="A245" s="23">
        <v>247</v>
      </c>
      <c r="B245" s="85">
        <v>45690</v>
      </c>
      <c r="C245" s="23" t="s">
        <v>735</v>
      </c>
      <c r="D245" s="23" t="s">
        <v>186</v>
      </c>
      <c r="G245" s="23">
        <v>0</v>
      </c>
      <c r="I245" s="218" t="s">
        <v>736</v>
      </c>
    </row>
    <row r="246" spans="1:9" x14ac:dyDescent="0.25">
      <c r="A246" s="23">
        <v>248</v>
      </c>
      <c r="B246" s="85">
        <v>45690</v>
      </c>
      <c r="C246" s="23" t="s">
        <v>737</v>
      </c>
      <c r="D246" s="23" t="s">
        <v>173</v>
      </c>
      <c r="G246" s="23">
        <v>0.8</v>
      </c>
      <c r="I246" s="218" t="s">
        <v>738</v>
      </c>
    </row>
    <row r="247" spans="1:9" x14ac:dyDescent="0.25">
      <c r="A247" s="23">
        <v>248</v>
      </c>
      <c r="B247" s="85">
        <v>45690</v>
      </c>
      <c r="C247" s="23" t="s">
        <v>739</v>
      </c>
      <c r="D247" s="23" t="s">
        <v>186</v>
      </c>
      <c r="G247" s="23">
        <v>0.5</v>
      </c>
      <c r="I247" s="218" t="s">
        <v>740</v>
      </c>
    </row>
    <row r="248" spans="1:9" x14ac:dyDescent="0.25">
      <c r="A248" s="23">
        <v>249</v>
      </c>
      <c r="B248" s="85">
        <v>45690</v>
      </c>
      <c r="C248" s="23" t="s">
        <v>741</v>
      </c>
      <c r="D248" s="23" t="s">
        <v>163</v>
      </c>
      <c r="G248" s="23">
        <v>0.78749999999999998</v>
      </c>
      <c r="I248" s="218" t="s">
        <v>742</v>
      </c>
    </row>
    <row r="249" spans="1:9" x14ac:dyDescent="0.25">
      <c r="A249" s="23">
        <v>250</v>
      </c>
      <c r="B249" s="85">
        <v>45690</v>
      </c>
      <c r="C249" s="23" t="s">
        <v>230</v>
      </c>
      <c r="D249" s="23" t="s">
        <v>202</v>
      </c>
      <c r="G249" s="23">
        <v>0</v>
      </c>
      <c r="I249" s="218" t="s">
        <v>743</v>
      </c>
    </row>
    <row r="250" spans="1:9" x14ac:dyDescent="0.25">
      <c r="A250" s="23">
        <v>251</v>
      </c>
      <c r="B250" s="85">
        <v>45690</v>
      </c>
      <c r="C250" s="23" t="s">
        <v>744</v>
      </c>
      <c r="D250" s="23" t="s">
        <v>202</v>
      </c>
      <c r="G250" s="23">
        <v>0.8</v>
      </c>
      <c r="I250" s="218" t="s">
        <v>745</v>
      </c>
    </row>
    <row r="251" spans="1:9" x14ac:dyDescent="0.25">
      <c r="A251" s="23">
        <v>252</v>
      </c>
      <c r="B251" s="85">
        <v>45690</v>
      </c>
      <c r="C251" s="23" t="s">
        <v>746</v>
      </c>
      <c r="D251" s="23" t="s">
        <v>164</v>
      </c>
      <c r="G251" s="23">
        <v>0.8</v>
      </c>
      <c r="I251" s="218" t="s">
        <v>747</v>
      </c>
    </row>
    <row r="252" spans="1:9" x14ac:dyDescent="0.25">
      <c r="A252" s="23">
        <v>253</v>
      </c>
      <c r="B252" s="85">
        <v>45690</v>
      </c>
      <c r="C252" s="23" t="s">
        <v>748</v>
      </c>
      <c r="D252" s="23" t="s">
        <v>174</v>
      </c>
      <c r="G252" s="23">
        <v>0</v>
      </c>
      <c r="I252" s="218" t="s">
        <v>749</v>
      </c>
    </row>
    <row r="253" spans="1:9" x14ac:dyDescent="0.25">
      <c r="A253" s="23">
        <v>254</v>
      </c>
      <c r="B253" s="85">
        <v>45690</v>
      </c>
      <c r="C253" s="23" t="s">
        <v>750</v>
      </c>
      <c r="D253" s="23" t="s">
        <v>172</v>
      </c>
      <c r="G253" s="23">
        <v>0</v>
      </c>
      <c r="I253" s="218" t="s">
        <v>751</v>
      </c>
    </row>
    <row r="254" spans="1:9" x14ac:dyDescent="0.25">
      <c r="A254" s="23">
        <v>255</v>
      </c>
      <c r="B254" s="85">
        <v>45690</v>
      </c>
      <c r="C254" s="23" t="s">
        <v>752</v>
      </c>
      <c r="D254" s="23" t="s">
        <v>177</v>
      </c>
      <c r="G254" s="23">
        <v>0</v>
      </c>
      <c r="I254" s="218" t="s">
        <v>753</v>
      </c>
    </row>
    <row r="255" spans="1:9" x14ac:dyDescent="0.25">
      <c r="A255" s="23">
        <v>256</v>
      </c>
      <c r="B255" s="85">
        <v>45690</v>
      </c>
      <c r="C255" s="23" t="s">
        <v>595</v>
      </c>
      <c r="D255" s="23" t="s">
        <v>202</v>
      </c>
      <c r="G255" s="23">
        <v>0</v>
      </c>
      <c r="I255" s="218" t="s">
        <v>745</v>
      </c>
    </row>
    <row r="256" spans="1:9" x14ac:dyDescent="0.25">
      <c r="A256" s="23">
        <v>257</v>
      </c>
      <c r="B256" s="85">
        <v>45690</v>
      </c>
      <c r="C256" s="23" t="s">
        <v>754</v>
      </c>
      <c r="D256" s="23" t="s">
        <v>273</v>
      </c>
      <c r="G256" s="23">
        <v>0.8</v>
      </c>
      <c r="I256" s="218" t="s">
        <v>755</v>
      </c>
    </row>
    <row r="257" spans="1:9" x14ac:dyDescent="0.25">
      <c r="A257" s="23">
        <v>258</v>
      </c>
      <c r="B257" s="85">
        <v>45690</v>
      </c>
      <c r="C257" s="23" t="s">
        <v>754</v>
      </c>
      <c r="D257" s="23" t="s">
        <v>252</v>
      </c>
      <c r="G257" s="23">
        <v>0.8</v>
      </c>
      <c r="I257" s="218" t="s">
        <v>756</v>
      </c>
    </row>
    <row r="258" spans="1:9" x14ac:dyDescent="0.25">
      <c r="A258" s="23">
        <v>259</v>
      </c>
      <c r="B258" s="85">
        <v>45690</v>
      </c>
      <c r="C258" s="23" t="s">
        <v>754</v>
      </c>
      <c r="D258" s="23" t="s">
        <v>165</v>
      </c>
      <c r="G258" s="23">
        <v>0.8</v>
      </c>
      <c r="I258" s="218" t="s">
        <v>757</v>
      </c>
    </row>
    <row r="259" spans="1:9" x14ac:dyDescent="0.25">
      <c r="A259" s="23">
        <v>260</v>
      </c>
      <c r="B259" s="85">
        <v>45690</v>
      </c>
      <c r="C259" s="23" t="s">
        <v>754</v>
      </c>
      <c r="D259" s="23" t="s">
        <v>202</v>
      </c>
      <c r="G259" s="23">
        <v>0.8</v>
      </c>
      <c r="I259" s="218" t="s">
        <v>295</v>
      </c>
    </row>
    <row r="260" spans="1:9" x14ac:dyDescent="0.25">
      <c r="A260" s="23">
        <v>261</v>
      </c>
      <c r="B260" s="85">
        <v>45690</v>
      </c>
      <c r="C260" s="23" t="s">
        <v>754</v>
      </c>
      <c r="D260" s="23" t="s">
        <v>174</v>
      </c>
      <c r="G260" s="23">
        <v>0.8</v>
      </c>
      <c r="I260" s="218" t="s">
        <v>295</v>
      </c>
    </row>
    <row r="261" spans="1:9" x14ac:dyDescent="0.25">
      <c r="A261" s="23">
        <v>262</v>
      </c>
      <c r="B261" s="85">
        <v>45690</v>
      </c>
      <c r="C261" s="23" t="s">
        <v>754</v>
      </c>
      <c r="D261" s="23" t="s">
        <v>172</v>
      </c>
      <c r="G261" s="23">
        <v>0.8</v>
      </c>
      <c r="I261" s="218" t="s">
        <v>295</v>
      </c>
    </row>
    <row r="262" spans="1:9" x14ac:dyDescent="0.25">
      <c r="A262" s="23">
        <v>263</v>
      </c>
      <c r="B262" s="85">
        <v>45690</v>
      </c>
      <c r="C262" s="23" t="s">
        <v>754</v>
      </c>
      <c r="D262" s="23" t="s">
        <v>168</v>
      </c>
      <c r="G262" s="23">
        <v>0.8</v>
      </c>
      <c r="I262" s="218" t="s">
        <v>758</v>
      </c>
    </row>
    <row r="263" spans="1:9" x14ac:dyDescent="0.25">
      <c r="A263" s="23">
        <v>264</v>
      </c>
      <c r="B263" s="85">
        <v>45690</v>
      </c>
      <c r="C263" s="23" t="s">
        <v>754</v>
      </c>
      <c r="D263" s="23" t="s">
        <v>177</v>
      </c>
      <c r="G263" s="23">
        <v>0.8</v>
      </c>
      <c r="I263" s="218" t="s">
        <v>295</v>
      </c>
    </row>
    <row r="264" spans="1:9" x14ac:dyDescent="0.25">
      <c r="A264" s="23">
        <v>265</v>
      </c>
      <c r="B264" s="85">
        <v>45690</v>
      </c>
      <c r="C264" s="23" t="s">
        <v>754</v>
      </c>
      <c r="D264" s="23" t="s">
        <v>170</v>
      </c>
      <c r="G264" s="23">
        <v>0.8</v>
      </c>
      <c r="I264" s="218" t="s">
        <v>759</v>
      </c>
    </row>
    <row r="265" spans="1:9" x14ac:dyDescent="0.25">
      <c r="A265" s="23">
        <v>266</v>
      </c>
      <c r="B265" s="85">
        <v>45690</v>
      </c>
      <c r="C265" s="23" t="s">
        <v>754</v>
      </c>
      <c r="D265" s="23" t="s">
        <v>157</v>
      </c>
      <c r="G265" s="23">
        <v>0.5</v>
      </c>
      <c r="H265" s="23" t="s">
        <v>763</v>
      </c>
      <c r="I265" s="218" t="s">
        <v>760</v>
      </c>
    </row>
    <row r="266" spans="1:9" x14ac:dyDescent="0.25">
      <c r="A266" s="23">
        <v>267</v>
      </c>
      <c r="B266" s="85">
        <v>45690</v>
      </c>
      <c r="C266" s="23" t="s">
        <v>761</v>
      </c>
      <c r="D266" s="23" t="s">
        <v>302</v>
      </c>
      <c r="G266" s="23">
        <v>0.8</v>
      </c>
      <c r="I266" s="218" t="s">
        <v>762</v>
      </c>
    </row>
    <row r="267" spans="1:9" x14ac:dyDescent="0.25">
      <c r="A267" s="23">
        <v>268</v>
      </c>
      <c r="B267" s="85">
        <v>45690</v>
      </c>
      <c r="C267" s="23" t="s">
        <v>764</v>
      </c>
      <c r="D267" s="23" t="s">
        <v>302</v>
      </c>
      <c r="G267" s="23">
        <v>0</v>
      </c>
      <c r="I267" s="218" t="s">
        <v>762</v>
      </c>
    </row>
    <row r="268" spans="1:9" x14ac:dyDescent="0.25">
      <c r="A268" s="23">
        <v>269</v>
      </c>
      <c r="B268" s="85">
        <v>45690</v>
      </c>
      <c r="C268" s="23" t="s">
        <v>765</v>
      </c>
      <c r="D268" s="23" t="s">
        <v>273</v>
      </c>
      <c r="G268" s="23">
        <v>0</v>
      </c>
      <c r="I268" s="218" t="s">
        <v>766</v>
      </c>
    </row>
    <row r="269" spans="1:9" x14ac:dyDescent="0.25">
      <c r="A269" s="23">
        <v>270</v>
      </c>
      <c r="B269" s="85">
        <v>45690</v>
      </c>
      <c r="C269" s="23" t="s">
        <v>767</v>
      </c>
      <c r="D269" s="23" t="s">
        <v>252</v>
      </c>
      <c r="G269" s="23">
        <v>0</v>
      </c>
      <c r="I269" s="218" t="s">
        <v>768</v>
      </c>
    </row>
    <row r="270" spans="1:9" x14ac:dyDescent="0.25">
      <c r="A270" s="23">
        <v>271</v>
      </c>
      <c r="B270" s="85">
        <v>45690</v>
      </c>
      <c r="C270" s="23" t="s">
        <v>754</v>
      </c>
      <c r="D270" s="23" t="s">
        <v>251</v>
      </c>
      <c r="G270" s="23">
        <v>0.8</v>
      </c>
      <c r="I270" s="218" t="s">
        <v>769</v>
      </c>
    </row>
    <row r="271" spans="1:9" x14ac:dyDescent="0.25">
      <c r="A271" s="23">
        <v>272</v>
      </c>
      <c r="B271" s="85">
        <v>45690</v>
      </c>
      <c r="C271" s="23" t="s">
        <v>770</v>
      </c>
      <c r="D271" s="23" t="s">
        <v>251</v>
      </c>
      <c r="G271" s="23">
        <v>0</v>
      </c>
      <c r="I271" s="218" t="s">
        <v>769</v>
      </c>
    </row>
    <row r="272" spans="1:9" x14ac:dyDescent="0.25">
      <c r="A272" s="23">
        <v>273</v>
      </c>
      <c r="B272" s="85">
        <v>45690</v>
      </c>
      <c r="C272" s="23" t="s">
        <v>771</v>
      </c>
      <c r="D272" s="23" t="s">
        <v>178</v>
      </c>
      <c r="G272" s="23">
        <v>0</v>
      </c>
      <c r="I272" s="218" t="s">
        <v>772</v>
      </c>
    </row>
    <row r="273" spans="1:9" x14ac:dyDescent="0.25">
      <c r="A273" s="23">
        <v>274</v>
      </c>
      <c r="B273" s="85">
        <v>45690</v>
      </c>
      <c r="C273" s="23" t="s">
        <v>156</v>
      </c>
      <c r="D273" s="23" t="s">
        <v>155</v>
      </c>
      <c r="G273" s="23">
        <v>0.52</v>
      </c>
      <c r="I273" s="218" t="s">
        <v>773</v>
      </c>
    </row>
    <row r="274" spans="1:9" x14ac:dyDescent="0.25">
      <c r="A274" s="23">
        <v>275</v>
      </c>
      <c r="B274" s="85">
        <v>45690</v>
      </c>
      <c r="C274" s="23" t="s">
        <v>167</v>
      </c>
      <c r="D274" s="23" t="s">
        <v>166</v>
      </c>
      <c r="G274" s="23">
        <v>0</v>
      </c>
      <c r="I274" s="218" t="s">
        <v>774</v>
      </c>
    </row>
    <row r="275" spans="1:9" x14ac:dyDescent="0.25">
      <c r="A275" s="23">
        <v>276</v>
      </c>
      <c r="B275" s="85">
        <v>45690</v>
      </c>
      <c r="C275" s="23" t="s">
        <v>156</v>
      </c>
      <c r="D275" s="23" t="s">
        <v>159</v>
      </c>
      <c r="G275" s="23">
        <v>0</v>
      </c>
      <c r="I275" s="218" t="s">
        <v>775</v>
      </c>
    </row>
    <row r="276" spans="1:9" x14ac:dyDescent="0.25">
      <c r="A276" s="23">
        <v>277</v>
      </c>
      <c r="B276" s="85">
        <v>45690</v>
      </c>
      <c r="C276" s="23" t="s">
        <v>776</v>
      </c>
      <c r="D276" s="23" t="s">
        <v>178</v>
      </c>
      <c r="G276" s="23">
        <v>0.8</v>
      </c>
      <c r="I276" s="218" t="s">
        <v>777</v>
      </c>
    </row>
    <row r="277" spans="1:9" x14ac:dyDescent="0.25">
      <c r="A277" s="23">
        <v>278</v>
      </c>
      <c r="B277" s="85">
        <v>45690</v>
      </c>
      <c r="C277" s="23" t="s">
        <v>778</v>
      </c>
      <c r="D277" s="23" t="s">
        <v>251</v>
      </c>
      <c r="G277" s="23">
        <v>0.8</v>
      </c>
      <c r="I277" s="218" t="s">
        <v>779</v>
      </c>
    </row>
    <row r="278" spans="1:9" x14ac:dyDescent="0.25">
      <c r="A278" s="23">
        <v>279</v>
      </c>
      <c r="B278" s="85">
        <v>45690</v>
      </c>
      <c r="C278" s="23" t="s">
        <v>780</v>
      </c>
      <c r="D278" s="23" t="s">
        <v>252</v>
      </c>
      <c r="G278" s="23">
        <v>0.8</v>
      </c>
      <c r="I278" s="218" t="s">
        <v>781</v>
      </c>
    </row>
    <row r="279" spans="1:9" x14ac:dyDescent="0.25">
      <c r="A279" s="23">
        <v>280</v>
      </c>
      <c r="B279" s="85">
        <v>45690</v>
      </c>
      <c r="C279" s="23" t="s">
        <v>782</v>
      </c>
      <c r="D279" s="23" t="s">
        <v>252</v>
      </c>
      <c r="G279" s="23">
        <v>0</v>
      </c>
      <c r="I279" s="218" t="s">
        <v>783</v>
      </c>
    </row>
    <row r="280" spans="1:9" x14ac:dyDescent="0.25">
      <c r="A280" s="23">
        <v>281</v>
      </c>
      <c r="B280" s="85">
        <v>45690</v>
      </c>
      <c r="C280" s="23" t="s">
        <v>784</v>
      </c>
      <c r="D280" s="23" t="s">
        <v>159</v>
      </c>
      <c r="G280" s="23">
        <v>0.5</v>
      </c>
      <c r="I280" s="218" t="s">
        <v>785</v>
      </c>
    </row>
    <row r="281" spans="1:9" x14ac:dyDescent="0.25">
      <c r="A281" s="23">
        <v>282</v>
      </c>
      <c r="B281" s="85">
        <v>45690</v>
      </c>
      <c r="C281" s="23" t="s">
        <v>784</v>
      </c>
      <c r="D281" s="23" t="s">
        <v>169</v>
      </c>
      <c r="G281" s="23">
        <v>0</v>
      </c>
      <c r="I281" s="218" t="s">
        <v>786</v>
      </c>
    </row>
    <row r="282" spans="1:9" x14ac:dyDescent="0.25">
      <c r="A282" s="23">
        <v>283</v>
      </c>
      <c r="B282" s="85">
        <v>45690</v>
      </c>
      <c r="C282" s="23" t="s">
        <v>787</v>
      </c>
      <c r="D282" s="23" t="s">
        <v>159</v>
      </c>
      <c r="G282" s="23">
        <v>0</v>
      </c>
      <c r="I282" s="218" t="s">
        <v>785</v>
      </c>
    </row>
    <row r="283" spans="1:9" x14ac:dyDescent="0.25">
      <c r="A283" s="23">
        <v>284</v>
      </c>
      <c r="B283" s="85">
        <v>45690</v>
      </c>
      <c r="C283" s="23" t="s">
        <v>788</v>
      </c>
      <c r="D283" s="23" t="s">
        <v>273</v>
      </c>
      <c r="G283" s="23">
        <v>0.8</v>
      </c>
      <c r="I283" s="218" t="s">
        <v>789</v>
      </c>
    </row>
    <row r="284" spans="1:9" x14ac:dyDescent="0.25">
      <c r="A284" s="23">
        <v>285</v>
      </c>
      <c r="B284" s="85">
        <v>45690</v>
      </c>
      <c r="C284" s="23" t="s">
        <v>790</v>
      </c>
      <c r="D284" s="23" t="s">
        <v>273</v>
      </c>
      <c r="G284" s="23">
        <v>0</v>
      </c>
      <c r="I284" s="218" t="s">
        <v>789</v>
      </c>
    </row>
    <row r="285" spans="1:9" x14ac:dyDescent="0.25">
      <c r="A285" s="23">
        <v>286</v>
      </c>
      <c r="B285" s="85">
        <v>45690</v>
      </c>
      <c r="C285" s="23" t="s">
        <v>791</v>
      </c>
      <c r="D285" s="23" t="s">
        <v>264</v>
      </c>
      <c r="G285" s="23">
        <v>0.73</v>
      </c>
      <c r="I285" s="218" t="s">
        <v>792</v>
      </c>
    </row>
    <row r="286" spans="1:9" x14ac:dyDescent="0.25">
      <c r="A286" s="23">
        <v>287</v>
      </c>
      <c r="B286" s="85">
        <v>45690</v>
      </c>
      <c r="C286" s="23" t="s">
        <v>793</v>
      </c>
      <c r="D286" s="23" t="s">
        <v>175</v>
      </c>
      <c r="G286" s="23">
        <v>1.5</v>
      </c>
      <c r="I286" s="218" t="s">
        <v>794</v>
      </c>
    </row>
    <row r="287" spans="1:9" x14ac:dyDescent="0.25">
      <c r="A287" s="23">
        <v>288</v>
      </c>
      <c r="B287" s="85">
        <v>45690</v>
      </c>
      <c r="C287" s="23" t="s">
        <v>795</v>
      </c>
      <c r="D287" s="23" t="s">
        <v>251</v>
      </c>
      <c r="G287" s="23">
        <v>0</v>
      </c>
      <c r="I287" s="218" t="s">
        <v>796</v>
      </c>
    </row>
    <row r="288" spans="1:9" x14ac:dyDescent="0.25">
      <c r="A288" s="23">
        <v>289</v>
      </c>
      <c r="B288" s="85">
        <v>45690</v>
      </c>
      <c r="C288" s="23" t="s">
        <v>797</v>
      </c>
      <c r="D288" s="23" t="s">
        <v>159</v>
      </c>
      <c r="G288" s="23">
        <v>0.84</v>
      </c>
      <c r="I288" s="218" t="s">
        <v>798</v>
      </c>
    </row>
    <row r="289" spans="1:9" x14ac:dyDescent="0.25">
      <c r="A289" s="23">
        <v>290</v>
      </c>
      <c r="B289" s="85">
        <v>45690</v>
      </c>
      <c r="C289" s="23" t="s">
        <v>799</v>
      </c>
      <c r="D289" s="23" t="s">
        <v>169</v>
      </c>
      <c r="G289" s="23">
        <v>0.84</v>
      </c>
      <c r="I289" s="218" t="s">
        <v>800</v>
      </c>
    </row>
    <row r="290" spans="1:9" x14ac:dyDescent="0.25">
      <c r="A290" s="23">
        <v>291</v>
      </c>
      <c r="B290" s="85">
        <v>45690</v>
      </c>
      <c r="C290" s="23" t="s">
        <v>801</v>
      </c>
      <c r="D290" s="23" t="s">
        <v>159</v>
      </c>
      <c r="G290" s="23">
        <v>0</v>
      </c>
      <c r="I290" s="218" t="s">
        <v>798</v>
      </c>
    </row>
    <row r="291" spans="1:9" x14ac:dyDescent="0.25">
      <c r="A291" s="23">
        <v>292</v>
      </c>
      <c r="B291" s="85">
        <v>45690</v>
      </c>
      <c r="C291" s="23" t="s">
        <v>802</v>
      </c>
      <c r="D291" s="23" t="s">
        <v>177</v>
      </c>
      <c r="G291" s="23">
        <v>0</v>
      </c>
      <c r="I291" s="218" t="s">
        <v>803</v>
      </c>
    </row>
    <row r="292" spans="1:9" x14ac:dyDescent="0.25">
      <c r="A292" s="23">
        <v>293</v>
      </c>
      <c r="B292" s="85">
        <v>45690</v>
      </c>
      <c r="C292" s="23" t="s">
        <v>804</v>
      </c>
      <c r="D292" s="23" t="s">
        <v>202</v>
      </c>
      <c r="G292" s="23">
        <v>0</v>
      </c>
      <c r="I292" s="218" t="s">
        <v>805</v>
      </c>
    </row>
    <row r="293" spans="1:9" x14ac:dyDescent="0.25">
      <c r="A293" s="23">
        <v>294</v>
      </c>
      <c r="B293" s="85">
        <v>45690</v>
      </c>
      <c r="C293" s="23" t="s">
        <v>806</v>
      </c>
      <c r="D293" s="23" t="s">
        <v>178</v>
      </c>
      <c r="G293" s="23">
        <v>0</v>
      </c>
      <c r="I293" s="218" t="s">
        <v>807</v>
      </c>
    </row>
    <row r="294" spans="1:9" x14ac:dyDescent="0.25">
      <c r="A294" s="23">
        <v>295</v>
      </c>
      <c r="B294" s="85">
        <v>45690</v>
      </c>
      <c r="C294" s="23" t="s">
        <v>808</v>
      </c>
      <c r="D294" s="23" t="s">
        <v>178</v>
      </c>
      <c r="G294" s="23">
        <v>0.8</v>
      </c>
      <c r="I294" s="218" t="s">
        <v>809</v>
      </c>
    </row>
    <row r="295" spans="1:9" x14ac:dyDescent="0.25">
      <c r="A295" s="23">
        <v>296</v>
      </c>
      <c r="B295" s="85">
        <v>45690</v>
      </c>
      <c r="C295" s="23" t="s">
        <v>808</v>
      </c>
      <c r="D295" s="23" t="s">
        <v>177</v>
      </c>
      <c r="G295" s="23">
        <v>0.8</v>
      </c>
      <c r="I295" s="218" t="s">
        <v>810</v>
      </c>
    </row>
    <row r="296" spans="1:9" x14ac:dyDescent="0.25">
      <c r="A296" s="23">
        <v>297</v>
      </c>
      <c r="B296" s="85">
        <v>45690</v>
      </c>
      <c r="C296" s="23" t="s">
        <v>808</v>
      </c>
      <c r="D296" s="23" t="s">
        <v>202</v>
      </c>
      <c r="G296" s="23">
        <v>0.8</v>
      </c>
      <c r="I296" s="218" t="s">
        <v>811</v>
      </c>
    </row>
    <row r="297" spans="1:9" x14ac:dyDescent="0.25">
      <c r="A297" s="23">
        <v>298</v>
      </c>
      <c r="B297" s="85">
        <v>45690</v>
      </c>
      <c r="C297" s="23" t="s">
        <v>813</v>
      </c>
      <c r="D297" s="23" t="s">
        <v>251</v>
      </c>
      <c r="G297" s="23">
        <v>0.8</v>
      </c>
      <c r="I297" s="218" t="s">
        <v>814</v>
      </c>
    </row>
    <row r="298" spans="1:9" x14ac:dyDescent="0.25">
      <c r="A298" s="23">
        <v>299</v>
      </c>
      <c r="B298" s="85">
        <v>45690</v>
      </c>
      <c r="C298" s="23" t="s">
        <v>815</v>
      </c>
      <c r="D298" s="23" t="s">
        <v>175</v>
      </c>
      <c r="G298" s="23" t="s">
        <v>9</v>
      </c>
      <c r="H298" s="23" t="s">
        <v>825</v>
      </c>
      <c r="I298" s="218" t="s">
        <v>812</v>
      </c>
    </row>
    <row r="299" spans="1:9" x14ac:dyDescent="0.25">
      <c r="A299" s="23">
        <v>300</v>
      </c>
      <c r="B299" s="85">
        <v>45690</v>
      </c>
      <c r="C299" s="23" t="s">
        <v>816</v>
      </c>
      <c r="D299" s="23" t="s">
        <v>252</v>
      </c>
      <c r="G299" s="23">
        <v>0.9</v>
      </c>
      <c r="I299" s="218" t="s">
        <v>817</v>
      </c>
    </row>
    <row r="300" spans="1:9" x14ac:dyDescent="0.25">
      <c r="A300" s="23">
        <v>301</v>
      </c>
      <c r="B300" s="85">
        <v>45690</v>
      </c>
      <c r="C300" s="23" t="s">
        <v>818</v>
      </c>
      <c r="D300" s="23" t="s">
        <v>273</v>
      </c>
      <c r="G300" s="23">
        <v>0.9</v>
      </c>
      <c r="I300" s="218" t="s">
        <v>819</v>
      </c>
    </row>
    <row r="301" spans="1:9" x14ac:dyDescent="0.25">
      <c r="A301" s="23">
        <v>302</v>
      </c>
      <c r="B301" s="85">
        <v>45690</v>
      </c>
      <c r="C301" s="23" t="s">
        <v>820</v>
      </c>
      <c r="D301" s="23" t="s">
        <v>202</v>
      </c>
      <c r="G301" s="23">
        <v>0</v>
      </c>
      <c r="I301" s="218" t="s">
        <v>811</v>
      </c>
    </row>
    <row r="302" spans="1:9" x14ac:dyDescent="0.25">
      <c r="A302" s="23">
        <v>303</v>
      </c>
      <c r="B302" s="85">
        <v>45690</v>
      </c>
      <c r="C302" s="23" t="s">
        <v>821</v>
      </c>
      <c r="D302" s="23" t="s">
        <v>161</v>
      </c>
      <c r="G302" s="23">
        <v>0</v>
      </c>
      <c r="I302" s="218" t="s">
        <v>822</v>
      </c>
    </row>
    <row r="303" spans="1:9" x14ac:dyDescent="0.25">
      <c r="A303" s="23">
        <v>304</v>
      </c>
      <c r="B303" s="85">
        <v>45690</v>
      </c>
      <c r="C303" s="23" t="s">
        <v>823</v>
      </c>
      <c r="D303" s="23" t="s">
        <v>263</v>
      </c>
      <c r="G303" s="23">
        <v>0</v>
      </c>
      <c r="I303" s="218" t="s">
        <v>824</v>
      </c>
    </row>
    <row r="304" spans="1:9" x14ac:dyDescent="0.25">
      <c r="A304" s="23">
        <v>305</v>
      </c>
      <c r="B304" s="85">
        <v>45690</v>
      </c>
      <c r="C304" s="23" t="s">
        <v>826</v>
      </c>
      <c r="D304" s="23" t="s">
        <v>162</v>
      </c>
      <c r="G304" s="23">
        <v>0</v>
      </c>
      <c r="I304" s="218" t="s">
        <v>834</v>
      </c>
    </row>
    <row r="305" spans="1:9" x14ac:dyDescent="0.25">
      <c r="A305" s="23">
        <v>306</v>
      </c>
      <c r="B305" s="85">
        <v>45690</v>
      </c>
      <c r="C305" s="23" t="s">
        <v>827</v>
      </c>
      <c r="D305" s="23" t="s">
        <v>264</v>
      </c>
      <c r="G305" s="23">
        <v>0</v>
      </c>
      <c r="I305" s="218" t="s">
        <v>828</v>
      </c>
    </row>
    <row r="306" spans="1:9" x14ac:dyDescent="0.25">
      <c r="A306" s="23">
        <v>307</v>
      </c>
      <c r="B306" s="85">
        <v>45690</v>
      </c>
      <c r="C306" s="23" t="s">
        <v>829</v>
      </c>
      <c r="D306" s="23" t="s">
        <v>264</v>
      </c>
      <c r="G306" s="23">
        <v>0.74</v>
      </c>
      <c r="I306" s="218" t="s">
        <v>295</v>
      </c>
    </row>
    <row r="307" spans="1:9" x14ac:dyDescent="0.25">
      <c r="A307" s="23">
        <v>308</v>
      </c>
      <c r="B307" s="85">
        <v>45690</v>
      </c>
      <c r="C307" s="23" t="s">
        <v>526</v>
      </c>
      <c r="D307" s="23" t="s">
        <v>166</v>
      </c>
      <c r="G307" s="23">
        <v>0.54500000000000004</v>
      </c>
      <c r="I307" s="218" t="s">
        <v>830</v>
      </c>
    </row>
    <row r="308" spans="1:9" x14ac:dyDescent="0.25">
      <c r="A308" s="23">
        <v>309</v>
      </c>
      <c r="B308" s="85">
        <v>45690</v>
      </c>
      <c r="C308" s="23" t="s">
        <v>528</v>
      </c>
      <c r="D308" s="23" t="s">
        <v>160</v>
      </c>
      <c r="G308" s="23">
        <v>0</v>
      </c>
      <c r="I308" s="218" t="s">
        <v>831</v>
      </c>
    </row>
    <row r="309" spans="1:9" x14ac:dyDescent="0.25">
      <c r="A309" s="23">
        <v>310</v>
      </c>
      <c r="B309" s="85">
        <v>45690</v>
      </c>
      <c r="C309" s="23" t="s">
        <v>832</v>
      </c>
      <c r="D309" s="23" t="s">
        <v>161</v>
      </c>
      <c r="G309" s="23">
        <v>0.79</v>
      </c>
      <c r="I309" s="218" t="s">
        <v>833</v>
      </c>
    </row>
    <row r="310" spans="1:9" x14ac:dyDescent="0.25">
      <c r="A310" s="23">
        <v>311</v>
      </c>
      <c r="B310" s="85">
        <v>45690</v>
      </c>
      <c r="C310" s="23" t="s">
        <v>835</v>
      </c>
      <c r="D310" s="23" t="s">
        <v>162</v>
      </c>
      <c r="G310" s="23">
        <v>0.8</v>
      </c>
      <c r="I310" s="218" t="s">
        <v>836</v>
      </c>
    </row>
    <row r="311" spans="1:9" x14ac:dyDescent="0.25">
      <c r="A311" s="23">
        <v>312</v>
      </c>
      <c r="B311" s="85">
        <v>45690</v>
      </c>
      <c r="C311" s="23" t="s">
        <v>837</v>
      </c>
      <c r="D311" s="23" t="s">
        <v>144</v>
      </c>
      <c r="G311" s="23">
        <v>0.9</v>
      </c>
      <c r="I311" s="218" t="s">
        <v>838</v>
      </c>
    </row>
    <row r="312" spans="1:9" x14ac:dyDescent="0.25">
      <c r="A312" s="23">
        <v>313</v>
      </c>
      <c r="B312" s="85">
        <v>45690</v>
      </c>
      <c r="C312" s="23" t="s">
        <v>839</v>
      </c>
      <c r="D312" s="23" t="s">
        <v>302</v>
      </c>
      <c r="G312" s="23">
        <v>0.9</v>
      </c>
      <c r="I312" s="218" t="s">
        <v>840</v>
      </c>
    </row>
    <row r="313" spans="1:9" x14ac:dyDescent="0.25">
      <c r="A313" s="23">
        <v>314</v>
      </c>
      <c r="B313" s="85">
        <v>45690</v>
      </c>
      <c r="C313" s="23" t="s">
        <v>841</v>
      </c>
      <c r="D313" s="23" t="s">
        <v>272</v>
      </c>
      <c r="G313" s="23">
        <v>0.9</v>
      </c>
      <c r="I313" s="218" t="s">
        <v>842</v>
      </c>
    </row>
    <row r="314" spans="1:9" x14ac:dyDescent="0.25">
      <c r="A314" s="23">
        <v>315</v>
      </c>
      <c r="B314" s="85">
        <v>45690</v>
      </c>
      <c r="C314" s="23" t="s">
        <v>843</v>
      </c>
      <c r="D314" s="23" t="s">
        <v>202</v>
      </c>
      <c r="G314" s="23">
        <v>0.8</v>
      </c>
      <c r="I314" s="218" t="s">
        <v>844</v>
      </c>
    </row>
    <row r="315" spans="1:9" x14ac:dyDescent="0.25">
      <c r="A315" s="23">
        <v>316</v>
      </c>
      <c r="B315" s="85">
        <v>45690</v>
      </c>
      <c r="C315" s="23" t="s">
        <v>658</v>
      </c>
      <c r="D315" s="23" t="s">
        <v>202</v>
      </c>
      <c r="G315" s="23">
        <v>0</v>
      </c>
      <c r="I315" s="218" t="s">
        <v>844</v>
      </c>
    </row>
    <row r="316" spans="1:9" x14ac:dyDescent="0.25">
      <c r="A316" s="23">
        <v>317</v>
      </c>
      <c r="B316" s="85">
        <v>45690</v>
      </c>
      <c r="C316" s="23" t="s">
        <v>845</v>
      </c>
      <c r="D316" s="23" t="s">
        <v>153</v>
      </c>
      <c r="G316" s="23">
        <v>0.5</v>
      </c>
      <c r="H316" s="23" t="s">
        <v>847</v>
      </c>
      <c r="I316" s="218" t="s">
        <v>846</v>
      </c>
    </row>
    <row r="317" spans="1:9" x14ac:dyDescent="0.25">
      <c r="A317" s="23">
        <v>318</v>
      </c>
      <c r="B317" s="85">
        <v>45690</v>
      </c>
      <c r="C317" s="23" t="s">
        <v>848</v>
      </c>
      <c r="D317" s="23" t="s">
        <v>252</v>
      </c>
      <c r="G317" s="23">
        <v>0</v>
      </c>
      <c r="I317" s="218" t="s">
        <v>849</v>
      </c>
    </row>
    <row r="318" spans="1:9" x14ac:dyDescent="0.25">
      <c r="A318" s="23">
        <v>319</v>
      </c>
      <c r="B318" s="85">
        <v>45690</v>
      </c>
      <c r="C318" s="23" t="s">
        <v>511</v>
      </c>
      <c r="D318" s="23" t="s">
        <v>273</v>
      </c>
      <c r="G318" s="23">
        <v>0</v>
      </c>
      <c r="I318" s="218" t="s">
        <v>850</v>
      </c>
    </row>
    <row r="319" spans="1:9" x14ac:dyDescent="0.25">
      <c r="A319" s="23">
        <v>320</v>
      </c>
      <c r="B319" s="85">
        <v>45690</v>
      </c>
      <c r="C319" s="23" t="s">
        <v>287</v>
      </c>
      <c r="D319" s="23" t="s">
        <v>144</v>
      </c>
      <c r="G319" s="23">
        <v>0</v>
      </c>
      <c r="I319" s="218" t="s">
        <v>851</v>
      </c>
    </row>
    <row r="320" spans="1:9" x14ac:dyDescent="0.25">
      <c r="A320" s="23">
        <v>321</v>
      </c>
      <c r="B320" s="85">
        <v>45690</v>
      </c>
      <c r="C320" s="23" t="s">
        <v>852</v>
      </c>
      <c r="D320" s="23" t="s">
        <v>272</v>
      </c>
      <c r="G320" s="23">
        <v>0</v>
      </c>
      <c r="I320" s="218" t="s">
        <v>853</v>
      </c>
    </row>
    <row r="321" spans="1:9" x14ac:dyDescent="0.25">
      <c r="A321" s="23">
        <v>322</v>
      </c>
      <c r="B321" s="85">
        <v>45690</v>
      </c>
      <c r="C321" s="23" t="s">
        <v>854</v>
      </c>
      <c r="D321" s="23" t="s">
        <v>302</v>
      </c>
      <c r="G321" s="23">
        <v>0</v>
      </c>
      <c r="I321" s="218" t="s">
        <v>855</v>
      </c>
    </row>
    <row r="322" spans="1:9" x14ac:dyDescent="0.25">
      <c r="A322" s="23">
        <v>323</v>
      </c>
      <c r="B322" s="85">
        <v>45690</v>
      </c>
      <c r="C322" s="23" t="s">
        <v>856</v>
      </c>
      <c r="D322" s="23" t="s">
        <v>251</v>
      </c>
      <c r="G322" s="23">
        <v>0</v>
      </c>
      <c r="I322" s="218" t="s">
        <v>857</v>
      </c>
    </row>
    <row r="323" spans="1:9" x14ac:dyDescent="0.25">
      <c r="A323" s="23">
        <v>324</v>
      </c>
      <c r="B323" s="85">
        <v>45690</v>
      </c>
      <c r="C323" s="23" t="s">
        <v>858</v>
      </c>
      <c r="D323" s="23" t="s">
        <v>162</v>
      </c>
      <c r="G323" s="23">
        <v>0</v>
      </c>
      <c r="I323" s="218" t="s">
        <v>859</v>
      </c>
    </row>
    <row r="324" spans="1:9" x14ac:dyDescent="0.25">
      <c r="A324" s="23">
        <v>325</v>
      </c>
      <c r="B324" s="85">
        <v>45690</v>
      </c>
      <c r="C324" s="23" t="s">
        <v>860</v>
      </c>
      <c r="D324" s="23" t="s">
        <v>173</v>
      </c>
      <c r="G324" s="23">
        <v>0</v>
      </c>
      <c r="I324" s="218" t="s">
        <v>861</v>
      </c>
    </row>
    <row r="325" spans="1:9" x14ac:dyDescent="0.25">
      <c r="A325" s="23">
        <v>326</v>
      </c>
      <c r="B325" s="85">
        <v>45690</v>
      </c>
      <c r="C325" s="23" t="s">
        <v>862</v>
      </c>
      <c r="D325" s="23" t="s">
        <v>163</v>
      </c>
      <c r="G325" s="23">
        <v>0</v>
      </c>
      <c r="I325" s="218" t="s">
        <v>863</v>
      </c>
    </row>
    <row r="326" spans="1:9" x14ac:dyDescent="0.25">
      <c r="A326" s="23">
        <v>327</v>
      </c>
      <c r="B326" s="85">
        <v>45690</v>
      </c>
      <c r="C326" s="23" t="s">
        <v>864</v>
      </c>
      <c r="D326" s="23" t="s">
        <v>164</v>
      </c>
      <c r="G326" s="23">
        <v>0</v>
      </c>
      <c r="I326" s="218" t="s">
        <v>865</v>
      </c>
    </row>
    <row r="327" spans="1:9" x14ac:dyDescent="0.25">
      <c r="A327" s="23">
        <v>328</v>
      </c>
      <c r="B327" s="85">
        <v>45690</v>
      </c>
      <c r="C327" s="23" t="s">
        <v>667</v>
      </c>
      <c r="D327" s="23" t="s">
        <v>165</v>
      </c>
      <c r="G327" s="23">
        <v>0</v>
      </c>
      <c r="I327" s="218" t="s">
        <v>866</v>
      </c>
    </row>
    <row r="328" spans="1:9" x14ac:dyDescent="0.25">
      <c r="A328" s="23">
        <v>329</v>
      </c>
      <c r="B328" s="85">
        <v>45690</v>
      </c>
      <c r="C328" s="23" t="s">
        <v>867</v>
      </c>
      <c r="D328" s="23" t="s">
        <v>168</v>
      </c>
      <c r="G328" s="23">
        <v>0</v>
      </c>
      <c r="I328" s="218" t="s">
        <v>868</v>
      </c>
    </row>
    <row r="329" spans="1:9" x14ac:dyDescent="0.25">
      <c r="A329" s="23">
        <v>330</v>
      </c>
      <c r="B329" s="85">
        <v>45690</v>
      </c>
      <c r="C329" s="23" t="s">
        <v>519</v>
      </c>
      <c r="D329" s="23" t="s">
        <v>170</v>
      </c>
      <c r="G329" s="23">
        <v>0</v>
      </c>
      <c r="I329" s="218" t="s">
        <v>869</v>
      </c>
    </row>
    <row r="330" spans="1:9" x14ac:dyDescent="0.25">
      <c r="A330" s="23">
        <v>331</v>
      </c>
      <c r="B330" s="85">
        <v>45690</v>
      </c>
      <c r="C330" s="23" t="s">
        <v>870</v>
      </c>
      <c r="D330" s="23" t="s">
        <v>172</v>
      </c>
      <c r="G330" s="23">
        <v>0</v>
      </c>
      <c r="I330" s="218" t="s">
        <v>871</v>
      </c>
    </row>
    <row r="331" spans="1:9" x14ac:dyDescent="0.25">
      <c r="A331" s="23">
        <v>332</v>
      </c>
      <c r="B331" s="85">
        <v>45690</v>
      </c>
      <c r="C331" s="23" t="s">
        <v>283</v>
      </c>
      <c r="D331" s="23" t="s">
        <v>174</v>
      </c>
      <c r="G331" s="23">
        <v>0</v>
      </c>
      <c r="I331" s="218" t="s">
        <v>872</v>
      </c>
    </row>
    <row r="332" spans="1:9" x14ac:dyDescent="0.25">
      <c r="A332" s="23">
        <v>333</v>
      </c>
      <c r="B332" s="85">
        <v>45690</v>
      </c>
      <c r="C332" s="23" t="s">
        <v>283</v>
      </c>
      <c r="D332" s="23" t="s">
        <v>177</v>
      </c>
      <c r="G332" s="23">
        <v>0</v>
      </c>
      <c r="I332" s="218" t="s">
        <v>873</v>
      </c>
    </row>
    <row r="333" spans="1:9" x14ac:dyDescent="0.25">
      <c r="A333" s="23">
        <v>334</v>
      </c>
      <c r="B333" s="85">
        <v>45690</v>
      </c>
      <c r="C333" s="23" t="s">
        <v>680</v>
      </c>
      <c r="D333" s="23" t="s">
        <v>160</v>
      </c>
      <c r="G333" s="23">
        <v>0.47</v>
      </c>
      <c r="I333" s="218" t="s">
        <v>874</v>
      </c>
    </row>
    <row r="334" spans="1:9" x14ac:dyDescent="0.25">
      <c r="A334" s="23">
        <v>335</v>
      </c>
      <c r="B334" s="85">
        <v>45690</v>
      </c>
      <c r="C334" s="23" t="s">
        <v>680</v>
      </c>
      <c r="D334" s="23" t="s">
        <v>155</v>
      </c>
      <c r="G334" s="23">
        <v>0</v>
      </c>
      <c r="I334" s="218" t="s">
        <v>875</v>
      </c>
    </row>
    <row r="335" spans="1:9" x14ac:dyDescent="0.25">
      <c r="A335" s="23">
        <v>336</v>
      </c>
      <c r="B335" s="85">
        <v>45690</v>
      </c>
      <c r="C335" s="37" t="s">
        <v>876</v>
      </c>
      <c r="D335" s="23" t="s">
        <v>178</v>
      </c>
      <c r="G335" s="23">
        <v>0</v>
      </c>
      <c r="I335" s="218" t="s">
        <v>877</v>
      </c>
    </row>
    <row r="336" spans="1:9" x14ac:dyDescent="0.25">
      <c r="A336" s="23">
        <v>337</v>
      </c>
      <c r="B336" s="85">
        <v>45690</v>
      </c>
      <c r="C336" s="23" t="s">
        <v>878</v>
      </c>
      <c r="D336" s="23" t="s">
        <v>161</v>
      </c>
      <c r="G336" s="23">
        <v>0</v>
      </c>
      <c r="I336" s="218" t="s">
        <v>879</v>
      </c>
    </row>
    <row r="337" spans="1:9" x14ac:dyDescent="0.25">
      <c r="A337" s="23">
        <v>338</v>
      </c>
      <c r="B337" s="85">
        <v>45691</v>
      </c>
      <c r="C337" s="23" t="s">
        <v>880</v>
      </c>
      <c r="D337" s="23" t="s">
        <v>162</v>
      </c>
      <c r="G337" s="23">
        <v>0.8</v>
      </c>
      <c r="I337" s="218" t="s">
        <v>881</v>
      </c>
    </row>
    <row r="338" spans="1:9" x14ac:dyDescent="0.25">
      <c r="A338" s="23">
        <v>339</v>
      </c>
      <c r="B338" s="85">
        <v>45691</v>
      </c>
      <c r="C338" s="23" t="s">
        <v>880</v>
      </c>
      <c r="D338" s="23" t="s">
        <v>164</v>
      </c>
      <c r="G338" s="23">
        <v>0.8</v>
      </c>
      <c r="I338" s="218" t="s">
        <v>882</v>
      </c>
    </row>
    <row r="339" spans="1:9" x14ac:dyDescent="0.25">
      <c r="A339" s="23">
        <v>340</v>
      </c>
      <c r="B339" s="85">
        <v>45691</v>
      </c>
      <c r="C339" s="23" t="s">
        <v>880</v>
      </c>
      <c r="D339" s="23" t="s">
        <v>173</v>
      </c>
      <c r="G339" s="23">
        <v>0.8</v>
      </c>
      <c r="I339" s="218" t="s">
        <v>883</v>
      </c>
    </row>
    <row r="340" spans="1:9" x14ac:dyDescent="0.25">
      <c r="A340" s="23">
        <v>341</v>
      </c>
      <c r="B340" s="85">
        <v>45691</v>
      </c>
      <c r="C340" s="23" t="s">
        <v>880</v>
      </c>
      <c r="D340" s="23" t="s">
        <v>165</v>
      </c>
      <c r="G340" s="23">
        <v>0.8</v>
      </c>
      <c r="I340" s="218" t="s">
        <v>884</v>
      </c>
    </row>
    <row r="341" spans="1:9" x14ac:dyDescent="0.25">
      <c r="A341" s="23">
        <v>342</v>
      </c>
      <c r="B341" s="85">
        <v>45691</v>
      </c>
      <c r="C341" s="23" t="s">
        <v>880</v>
      </c>
      <c r="D341" s="23" t="s">
        <v>194</v>
      </c>
      <c r="G341" s="23">
        <v>0</v>
      </c>
      <c r="I341" s="218" t="s">
        <v>885</v>
      </c>
    </row>
    <row r="342" spans="1:9" x14ac:dyDescent="0.25">
      <c r="A342" s="23">
        <v>343</v>
      </c>
      <c r="B342" s="85">
        <v>45691</v>
      </c>
      <c r="C342" s="23" t="s">
        <v>886</v>
      </c>
      <c r="D342" s="23" t="s">
        <v>162</v>
      </c>
      <c r="G342" s="23">
        <v>0</v>
      </c>
      <c r="I342" s="218" t="s">
        <v>881</v>
      </c>
    </row>
    <row r="343" spans="1:9" x14ac:dyDescent="0.25">
      <c r="A343" s="23">
        <v>344</v>
      </c>
      <c r="B343" s="85">
        <v>45691</v>
      </c>
      <c r="C343" s="23" t="s">
        <v>887</v>
      </c>
      <c r="D343" s="23" t="s">
        <v>173</v>
      </c>
      <c r="G343" s="23">
        <v>0</v>
      </c>
      <c r="I343" s="218" t="s">
        <v>888</v>
      </c>
    </row>
    <row r="344" spans="1:9" x14ac:dyDescent="0.25">
      <c r="A344" s="23">
        <v>345</v>
      </c>
      <c r="B344" s="85">
        <v>45691</v>
      </c>
      <c r="C344" s="23" t="s">
        <v>889</v>
      </c>
      <c r="D344" s="23" t="s">
        <v>164</v>
      </c>
      <c r="G344" s="23">
        <v>0</v>
      </c>
      <c r="I344" s="218" t="s">
        <v>890</v>
      </c>
    </row>
    <row r="345" spans="1:9" x14ac:dyDescent="0.25">
      <c r="A345" s="23">
        <v>346</v>
      </c>
      <c r="B345" s="85">
        <v>45691</v>
      </c>
      <c r="C345" s="23" t="s">
        <v>891</v>
      </c>
      <c r="D345" s="23" t="s">
        <v>264</v>
      </c>
      <c r="G345" s="23">
        <v>0</v>
      </c>
      <c r="I345" s="218" t="s">
        <v>892</v>
      </c>
    </row>
    <row r="346" spans="1:9" x14ac:dyDescent="0.25">
      <c r="A346" s="23">
        <v>347</v>
      </c>
      <c r="B346" s="85">
        <v>45691</v>
      </c>
      <c r="C346" s="23" t="s">
        <v>703</v>
      </c>
      <c r="D346" s="23" t="s">
        <v>194</v>
      </c>
      <c r="G346" s="23">
        <v>6.6</v>
      </c>
      <c r="I346" s="218" t="s">
        <v>893</v>
      </c>
    </row>
    <row r="347" spans="1:9" x14ac:dyDescent="0.25">
      <c r="A347" s="23">
        <v>348</v>
      </c>
      <c r="B347" s="85">
        <v>45691</v>
      </c>
      <c r="C347" s="23" t="s">
        <v>894</v>
      </c>
      <c r="D347" s="23" t="s">
        <v>158</v>
      </c>
      <c r="G347" s="23">
        <v>0</v>
      </c>
      <c r="I347" s="218" t="s">
        <v>895</v>
      </c>
    </row>
    <row r="348" spans="1:9" x14ac:dyDescent="0.25">
      <c r="A348" s="23">
        <v>349</v>
      </c>
      <c r="B348" s="85">
        <v>45691</v>
      </c>
      <c r="C348" s="23" t="s">
        <v>896</v>
      </c>
      <c r="D348" s="23" t="s">
        <v>158</v>
      </c>
      <c r="G348" s="23">
        <v>1</v>
      </c>
      <c r="I348" s="218" t="s">
        <v>897</v>
      </c>
    </row>
    <row r="349" spans="1:9" x14ac:dyDescent="0.25">
      <c r="A349" s="23">
        <v>350</v>
      </c>
      <c r="B349" s="85">
        <v>45691</v>
      </c>
      <c r="C349" s="23" t="s">
        <v>898</v>
      </c>
      <c r="D349" s="23" t="s">
        <v>165</v>
      </c>
      <c r="G349" s="23">
        <v>0</v>
      </c>
      <c r="I349" s="218" t="s">
        <v>899</v>
      </c>
    </row>
    <row r="350" spans="1:9" x14ac:dyDescent="0.25">
      <c r="A350" s="23">
        <v>351</v>
      </c>
      <c r="B350" s="85">
        <v>45691</v>
      </c>
      <c r="C350" s="23" t="s">
        <v>900</v>
      </c>
      <c r="D350" s="23" t="s">
        <v>158</v>
      </c>
      <c r="G350" s="23">
        <v>0</v>
      </c>
      <c r="I350" s="218" t="s">
        <v>897</v>
      </c>
    </row>
    <row r="351" spans="1:9" x14ac:dyDescent="0.25">
      <c r="A351" s="23">
        <v>352</v>
      </c>
      <c r="B351" s="85">
        <v>45691</v>
      </c>
      <c r="C351" s="23" t="s">
        <v>902</v>
      </c>
      <c r="D351" s="23" t="s">
        <v>158</v>
      </c>
      <c r="G351" s="23">
        <v>1</v>
      </c>
      <c r="I351" s="218" t="s">
        <v>903</v>
      </c>
    </row>
    <row r="352" spans="1:9" x14ac:dyDescent="0.25">
      <c r="A352" s="23">
        <v>353</v>
      </c>
      <c r="B352" s="85">
        <v>45691</v>
      </c>
      <c r="C352" s="23" t="s">
        <v>904</v>
      </c>
      <c r="D352" s="23" t="s">
        <v>186</v>
      </c>
      <c r="G352" s="23">
        <v>0</v>
      </c>
      <c r="I352" s="218" t="s">
        <v>905</v>
      </c>
    </row>
    <row r="353" spans="1:9" x14ac:dyDescent="0.25">
      <c r="A353" s="23">
        <v>354</v>
      </c>
      <c r="B353" s="85">
        <v>45691</v>
      </c>
      <c r="C353" s="23" t="s">
        <v>906</v>
      </c>
      <c r="D353" s="23" t="s">
        <v>163</v>
      </c>
      <c r="G353" s="23">
        <v>0.8</v>
      </c>
      <c r="I353" s="218" t="s">
        <v>907</v>
      </c>
    </row>
    <row r="354" spans="1:9" x14ac:dyDescent="0.25">
      <c r="A354" s="23">
        <v>355</v>
      </c>
      <c r="B354" s="85">
        <v>45691</v>
      </c>
      <c r="C354" s="23" t="s">
        <v>908</v>
      </c>
      <c r="D354" s="23" t="s">
        <v>155</v>
      </c>
      <c r="G354" s="23">
        <v>0.41</v>
      </c>
      <c r="I354" s="218" t="s">
        <v>909</v>
      </c>
    </row>
    <row r="355" spans="1:9" x14ac:dyDescent="0.25">
      <c r="A355" s="23">
        <v>356</v>
      </c>
      <c r="B355" s="85">
        <v>45691</v>
      </c>
      <c r="C355" s="23" t="s">
        <v>910</v>
      </c>
      <c r="D355" s="23" t="s">
        <v>166</v>
      </c>
      <c r="G355" s="23">
        <v>0</v>
      </c>
      <c r="I355" s="218" t="s">
        <v>911</v>
      </c>
    </row>
    <row r="356" spans="1:9" x14ac:dyDescent="0.25">
      <c r="A356" s="23">
        <v>357</v>
      </c>
      <c r="B356" s="85">
        <v>45691</v>
      </c>
      <c r="C356" s="23" t="s">
        <v>912</v>
      </c>
      <c r="D356" s="23" t="s">
        <v>168</v>
      </c>
      <c r="G356" s="23">
        <v>0.8</v>
      </c>
      <c r="I356" s="218" t="s">
        <v>913</v>
      </c>
    </row>
    <row r="357" spans="1:9" x14ac:dyDescent="0.25">
      <c r="A357" s="23">
        <v>358</v>
      </c>
      <c r="B357" s="85">
        <v>45691</v>
      </c>
      <c r="C357" s="23" t="s">
        <v>248</v>
      </c>
      <c r="D357" s="23" t="s">
        <v>170</v>
      </c>
      <c r="G357" s="23">
        <v>0.8</v>
      </c>
      <c r="I357" s="218" t="s">
        <v>914</v>
      </c>
    </row>
    <row r="358" spans="1:9" x14ac:dyDescent="0.25">
      <c r="A358" s="23">
        <v>359</v>
      </c>
      <c r="B358" s="85">
        <v>45691</v>
      </c>
      <c r="C358" s="23" t="s">
        <v>724</v>
      </c>
      <c r="D358" s="23" t="s">
        <v>172</v>
      </c>
      <c r="G358" s="23">
        <v>0.8</v>
      </c>
      <c r="I358" s="218" t="s">
        <v>915</v>
      </c>
    </row>
    <row r="359" spans="1:9" x14ac:dyDescent="0.25">
      <c r="A359" s="23">
        <v>360</v>
      </c>
      <c r="B359" s="85">
        <v>45691</v>
      </c>
      <c r="C359" s="23" t="s">
        <v>916</v>
      </c>
      <c r="D359" s="23" t="s">
        <v>177</v>
      </c>
      <c r="G359" s="23">
        <v>0.8</v>
      </c>
      <c r="I359" s="218" t="s">
        <v>917</v>
      </c>
    </row>
    <row r="360" spans="1:9" x14ac:dyDescent="0.25">
      <c r="A360" s="23">
        <v>361</v>
      </c>
      <c r="B360" s="85">
        <v>45691</v>
      </c>
      <c r="C360" s="23" t="s">
        <v>918</v>
      </c>
      <c r="D360" s="23" t="s">
        <v>174</v>
      </c>
      <c r="G360" s="23">
        <v>0.8</v>
      </c>
      <c r="I360" s="218" t="s">
        <v>919</v>
      </c>
    </row>
    <row r="361" spans="1:9" x14ac:dyDescent="0.25">
      <c r="A361" s="23">
        <v>362</v>
      </c>
      <c r="B361" s="85">
        <v>45691</v>
      </c>
      <c r="C361" s="23" t="s">
        <v>920</v>
      </c>
      <c r="D361" s="23" t="s">
        <v>163</v>
      </c>
      <c r="G361" s="23">
        <v>0</v>
      </c>
      <c r="I361" s="218" t="s">
        <v>921</v>
      </c>
    </row>
    <row r="362" spans="1:9" x14ac:dyDescent="0.25">
      <c r="A362" s="23">
        <v>363</v>
      </c>
      <c r="B362" s="85">
        <v>45691</v>
      </c>
      <c r="C362" s="23" t="s">
        <v>922</v>
      </c>
      <c r="D362" s="23" t="s">
        <v>168</v>
      </c>
      <c r="G362" s="23">
        <v>0</v>
      </c>
      <c r="I362" s="218" t="s">
        <v>923</v>
      </c>
    </row>
    <row r="363" spans="1:9" x14ac:dyDescent="0.25">
      <c r="A363" s="23">
        <v>364</v>
      </c>
      <c r="B363" s="85">
        <v>45691</v>
      </c>
      <c r="C363" s="23" t="s">
        <v>924</v>
      </c>
      <c r="D363" s="23" t="s">
        <v>178</v>
      </c>
      <c r="G363" s="23">
        <v>0.8</v>
      </c>
      <c r="I363" s="218" t="s">
        <v>925</v>
      </c>
    </row>
    <row r="364" spans="1:9" x14ac:dyDescent="0.25">
      <c r="A364" s="23">
        <v>365</v>
      </c>
      <c r="B364" s="85">
        <v>45691</v>
      </c>
      <c r="C364" s="23" t="s">
        <v>926</v>
      </c>
      <c r="D364" s="23" t="s">
        <v>162</v>
      </c>
      <c r="G364" s="23">
        <v>0.8</v>
      </c>
      <c r="I364" s="218" t="s">
        <v>927</v>
      </c>
    </row>
    <row r="365" spans="1:9" x14ac:dyDescent="0.25">
      <c r="A365" s="23">
        <v>366</v>
      </c>
      <c r="B365" s="85">
        <v>45691</v>
      </c>
      <c r="C365" s="23" t="s">
        <v>926</v>
      </c>
      <c r="D365" s="23" t="s">
        <v>161</v>
      </c>
      <c r="G365" s="23">
        <v>0.8</v>
      </c>
      <c r="I365" s="218" t="s">
        <v>928</v>
      </c>
    </row>
    <row r="366" spans="1:9" x14ac:dyDescent="0.25">
      <c r="A366" s="23">
        <v>367</v>
      </c>
      <c r="B366" s="85">
        <v>45691</v>
      </c>
      <c r="C366" s="23" t="s">
        <v>929</v>
      </c>
      <c r="D366" s="23" t="s">
        <v>260</v>
      </c>
      <c r="G366" s="23">
        <v>0</v>
      </c>
      <c r="I366" s="218" t="s">
        <v>930</v>
      </c>
    </row>
    <row r="367" spans="1:9" x14ac:dyDescent="0.25">
      <c r="A367" s="23">
        <v>368</v>
      </c>
      <c r="B367" s="85">
        <v>45691</v>
      </c>
      <c r="C367" s="23" t="s">
        <v>931</v>
      </c>
      <c r="D367" s="23" t="s">
        <v>186</v>
      </c>
      <c r="G367" s="23">
        <v>1.5</v>
      </c>
      <c r="I367" s="218" t="s">
        <v>932</v>
      </c>
    </row>
    <row r="368" spans="1:9" x14ac:dyDescent="0.25">
      <c r="A368" s="23">
        <v>369</v>
      </c>
      <c r="B368" s="85">
        <v>45691</v>
      </c>
      <c r="C368" s="23" t="s">
        <v>250</v>
      </c>
      <c r="D368" s="23" t="s">
        <v>170</v>
      </c>
      <c r="G368" s="23">
        <v>0</v>
      </c>
      <c r="I368" s="218" t="s">
        <v>933</v>
      </c>
    </row>
    <row r="369" spans="1:9" x14ac:dyDescent="0.25">
      <c r="A369" s="23">
        <v>370</v>
      </c>
      <c r="B369" s="85">
        <v>45691</v>
      </c>
      <c r="C369" s="23" t="s">
        <v>234</v>
      </c>
      <c r="D369" s="23" t="s">
        <v>265</v>
      </c>
      <c r="G369" s="23">
        <v>0</v>
      </c>
      <c r="I369" s="218" t="s">
        <v>934</v>
      </c>
    </row>
    <row r="370" spans="1:9" x14ac:dyDescent="0.25">
      <c r="A370" s="23">
        <v>371</v>
      </c>
      <c r="B370" s="85">
        <v>45691</v>
      </c>
      <c r="C370" s="23" t="s">
        <v>234</v>
      </c>
      <c r="D370" s="23" t="s">
        <v>261</v>
      </c>
      <c r="G370" s="23">
        <v>0</v>
      </c>
      <c r="I370" s="218" t="s">
        <v>935</v>
      </c>
    </row>
    <row r="371" spans="1:9" x14ac:dyDescent="0.25">
      <c r="A371" s="23">
        <v>372</v>
      </c>
      <c r="B371" s="85">
        <v>45691</v>
      </c>
      <c r="C371" s="23" t="s">
        <v>234</v>
      </c>
      <c r="D371" s="23" t="s">
        <v>262</v>
      </c>
      <c r="G371" s="23">
        <v>0</v>
      </c>
      <c r="I371" s="218" t="s">
        <v>936</v>
      </c>
    </row>
    <row r="372" spans="1:9" x14ac:dyDescent="0.25">
      <c r="A372" s="23">
        <v>373</v>
      </c>
      <c r="B372" s="85">
        <v>45691</v>
      </c>
      <c r="C372" s="23" t="s">
        <v>171</v>
      </c>
      <c r="D372" s="23" t="s">
        <v>163</v>
      </c>
      <c r="G372" s="23">
        <v>0.8</v>
      </c>
      <c r="I372" s="218" t="s">
        <v>937</v>
      </c>
    </row>
    <row r="373" spans="1:9" x14ac:dyDescent="0.25">
      <c r="A373" s="23">
        <v>374</v>
      </c>
      <c r="B373" s="85">
        <v>45691</v>
      </c>
      <c r="C373" s="23" t="s">
        <v>171</v>
      </c>
      <c r="D373" s="23" t="s">
        <v>164</v>
      </c>
      <c r="G373" s="23">
        <v>0.8</v>
      </c>
      <c r="I373" s="218" t="s">
        <v>938</v>
      </c>
    </row>
    <row r="374" spans="1:9" x14ac:dyDescent="0.25">
      <c r="A374" s="23">
        <v>375</v>
      </c>
      <c r="B374" s="85">
        <v>45691</v>
      </c>
      <c r="C374" s="23" t="s">
        <v>171</v>
      </c>
      <c r="D374" s="23" t="s">
        <v>170</v>
      </c>
      <c r="G374" s="23">
        <v>0.8</v>
      </c>
      <c r="I374" s="218" t="s">
        <v>939</v>
      </c>
    </row>
    <row r="375" spans="1:9" x14ac:dyDescent="0.25">
      <c r="A375" s="23">
        <v>376</v>
      </c>
      <c r="B375" s="85">
        <v>45691</v>
      </c>
      <c r="C375" s="23" t="s">
        <v>171</v>
      </c>
      <c r="D375" s="23" t="s">
        <v>173</v>
      </c>
      <c r="G375" s="23">
        <v>0.8</v>
      </c>
      <c r="I375" s="218" t="s">
        <v>940</v>
      </c>
    </row>
    <row r="376" spans="1:9" x14ac:dyDescent="0.25">
      <c r="A376" s="23">
        <v>377</v>
      </c>
      <c r="B376" s="85">
        <v>45691</v>
      </c>
      <c r="C376" s="23" t="s">
        <v>171</v>
      </c>
      <c r="D376" s="23" t="s">
        <v>165</v>
      </c>
      <c r="G376" s="23">
        <v>0.8</v>
      </c>
      <c r="I376" s="218" t="s">
        <v>941</v>
      </c>
    </row>
    <row r="377" spans="1:9" x14ac:dyDescent="0.25">
      <c r="A377" s="23">
        <v>378</v>
      </c>
      <c r="B377" s="85">
        <v>45691</v>
      </c>
      <c r="C377" s="23" t="s">
        <v>171</v>
      </c>
      <c r="D377" s="23" t="s">
        <v>168</v>
      </c>
      <c r="G377" s="23">
        <v>0.8</v>
      </c>
      <c r="I377" s="218" t="s">
        <v>942</v>
      </c>
    </row>
    <row r="378" spans="1:9" x14ac:dyDescent="0.25">
      <c r="A378" s="23">
        <v>379</v>
      </c>
      <c r="B378" s="85">
        <v>45691</v>
      </c>
      <c r="C378" s="23" t="s">
        <v>943</v>
      </c>
      <c r="D378" s="23" t="s">
        <v>174</v>
      </c>
      <c r="G378" s="23">
        <v>0</v>
      </c>
      <c r="I378" s="218" t="s">
        <v>944</v>
      </c>
    </row>
    <row r="379" spans="1:9" x14ac:dyDescent="0.25">
      <c r="A379" s="23">
        <v>380</v>
      </c>
      <c r="B379" s="85">
        <v>45691</v>
      </c>
      <c r="C379" s="23" t="s">
        <v>943</v>
      </c>
      <c r="D379" s="23" t="s">
        <v>172</v>
      </c>
      <c r="G379" s="23">
        <v>0</v>
      </c>
      <c r="I379" s="218" t="s">
        <v>945</v>
      </c>
    </row>
    <row r="380" spans="1:9" x14ac:dyDescent="0.25">
      <c r="A380" s="23">
        <v>381</v>
      </c>
      <c r="B380" s="85">
        <v>45691</v>
      </c>
      <c r="C380" s="23" t="s">
        <v>946</v>
      </c>
      <c r="D380" s="23" t="s">
        <v>261</v>
      </c>
      <c r="G380" s="23">
        <v>0.7</v>
      </c>
      <c r="I380" s="218" t="s">
        <v>947</v>
      </c>
    </row>
    <row r="381" spans="1:9" x14ac:dyDescent="0.25">
      <c r="A381" s="23">
        <v>382</v>
      </c>
      <c r="B381" s="85">
        <v>45691</v>
      </c>
      <c r="C381" s="23" t="s">
        <v>948</v>
      </c>
      <c r="D381" s="23" t="s">
        <v>178</v>
      </c>
      <c r="G381" s="23">
        <v>0</v>
      </c>
      <c r="I381" s="218" t="s">
        <v>949</v>
      </c>
    </row>
    <row r="382" spans="1:9" x14ac:dyDescent="0.25">
      <c r="A382" s="23">
        <v>383</v>
      </c>
      <c r="B382" s="85">
        <v>45691</v>
      </c>
      <c r="C382" s="23" t="s">
        <v>948</v>
      </c>
      <c r="D382" s="23" t="s">
        <v>177</v>
      </c>
      <c r="G382" s="23">
        <v>0</v>
      </c>
      <c r="I382" s="218" t="s">
        <v>950</v>
      </c>
    </row>
    <row r="383" spans="1:9" x14ac:dyDescent="0.25">
      <c r="A383" s="23">
        <v>384</v>
      </c>
      <c r="B383" s="85">
        <v>45691</v>
      </c>
      <c r="C383" s="23" t="s">
        <v>951</v>
      </c>
      <c r="D383" s="23" t="s">
        <v>161</v>
      </c>
      <c r="G383" s="23">
        <v>0</v>
      </c>
      <c r="I383" s="218" t="s">
        <v>952</v>
      </c>
    </row>
    <row r="384" spans="1:9" x14ac:dyDescent="0.25">
      <c r="A384" s="23">
        <v>385</v>
      </c>
      <c r="B384" s="85">
        <v>45691</v>
      </c>
      <c r="C384" s="23" t="s">
        <v>953</v>
      </c>
      <c r="D384" s="23" t="s">
        <v>174</v>
      </c>
      <c r="G384" s="23">
        <v>0.8</v>
      </c>
      <c r="I384" s="218" t="s">
        <v>295</v>
      </c>
    </row>
    <row r="385" spans="1:9" x14ac:dyDescent="0.25">
      <c r="A385" s="23">
        <v>386</v>
      </c>
      <c r="B385" s="85">
        <v>45691</v>
      </c>
      <c r="C385" s="23" t="s">
        <v>750</v>
      </c>
      <c r="D385" s="23" t="s">
        <v>262</v>
      </c>
      <c r="G385" s="23">
        <v>0.8</v>
      </c>
      <c r="I385" s="218" t="s">
        <v>954</v>
      </c>
    </row>
    <row r="386" spans="1:9" x14ac:dyDescent="0.25">
      <c r="A386" s="23">
        <v>387</v>
      </c>
      <c r="B386" s="85">
        <v>45691</v>
      </c>
      <c r="C386" s="23" t="s">
        <v>955</v>
      </c>
      <c r="D386" s="23" t="s">
        <v>177</v>
      </c>
      <c r="G386" s="23">
        <v>0.8</v>
      </c>
      <c r="I386" s="218" t="s">
        <v>295</v>
      </c>
    </row>
    <row r="387" spans="1:9" x14ac:dyDescent="0.25">
      <c r="A387" s="23">
        <v>388</v>
      </c>
      <c r="B387" s="85">
        <v>45691</v>
      </c>
      <c r="C387" s="23" t="s">
        <v>206</v>
      </c>
      <c r="D387" s="23" t="s">
        <v>265</v>
      </c>
      <c r="G387" s="23">
        <v>0.7</v>
      </c>
      <c r="I387" s="218" t="s">
        <v>956</v>
      </c>
    </row>
    <row r="388" spans="1:9" x14ac:dyDescent="0.25">
      <c r="A388" s="23">
        <v>389</v>
      </c>
      <c r="B388" s="85">
        <v>45691</v>
      </c>
      <c r="C388" s="23" t="s">
        <v>957</v>
      </c>
      <c r="D388" s="23" t="s">
        <v>161</v>
      </c>
      <c r="G388" s="23">
        <v>0.8</v>
      </c>
      <c r="I388" s="218" t="s">
        <v>295</v>
      </c>
    </row>
    <row r="389" spans="1:9" x14ac:dyDescent="0.25">
      <c r="A389" s="23">
        <v>390</v>
      </c>
      <c r="B389" s="85">
        <v>45691</v>
      </c>
      <c r="C389" s="23" t="s">
        <v>958</v>
      </c>
      <c r="D389" s="23" t="s">
        <v>178</v>
      </c>
      <c r="G389" s="23">
        <v>0.8</v>
      </c>
      <c r="I389" s="218" t="s">
        <v>295</v>
      </c>
    </row>
    <row r="390" spans="1:9" x14ac:dyDescent="0.25">
      <c r="A390" s="23">
        <v>391</v>
      </c>
      <c r="B390" s="85">
        <v>45691</v>
      </c>
      <c r="C390" s="23" t="s">
        <v>948</v>
      </c>
      <c r="D390" s="23" t="s">
        <v>172</v>
      </c>
      <c r="G390" s="23">
        <v>0.8</v>
      </c>
      <c r="I390" s="218" t="s">
        <v>295</v>
      </c>
    </row>
    <row r="391" spans="1:9" x14ac:dyDescent="0.25">
      <c r="A391" s="23">
        <v>392</v>
      </c>
      <c r="B391" s="85">
        <v>45691</v>
      </c>
      <c r="C391" s="23" t="s">
        <v>959</v>
      </c>
      <c r="D391" s="23" t="s">
        <v>251</v>
      </c>
      <c r="G391" s="23">
        <v>0.8</v>
      </c>
      <c r="I391" s="218" t="s">
        <v>960</v>
      </c>
    </row>
    <row r="392" spans="1:9" x14ac:dyDescent="0.25">
      <c r="A392" s="23">
        <v>393</v>
      </c>
      <c r="B392" s="85">
        <v>45691</v>
      </c>
      <c r="C392" s="23" t="s">
        <v>961</v>
      </c>
      <c r="D392" s="23" t="s">
        <v>252</v>
      </c>
      <c r="G392" s="23">
        <v>0.8</v>
      </c>
      <c r="I392" s="218" t="s">
        <v>962</v>
      </c>
    </row>
    <row r="393" spans="1:9" x14ac:dyDescent="0.25">
      <c r="A393" s="23">
        <v>394</v>
      </c>
      <c r="B393" s="85">
        <v>45691</v>
      </c>
      <c r="C393" s="23" t="s">
        <v>963</v>
      </c>
      <c r="D393" s="23" t="s">
        <v>260</v>
      </c>
      <c r="G393" s="23">
        <v>0.8</v>
      </c>
      <c r="I393" s="218" t="s">
        <v>964</v>
      </c>
    </row>
    <row r="394" spans="1:9" x14ac:dyDescent="0.25">
      <c r="A394" s="23">
        <v>395</v>
      </c>
      <c r="B394" s="85">
        <v>45691</v>
      </c>
      <c r="C394" s="23" t="s">
        <v>237</v>
      </c>
      <c r="D394" s="23" t="s">
        <v>273</v>
      </c>
      <c r="G394" s="23">
        <v>0.8</v>
      </c>
      <c r="I394" s="218" t="s">
        <v>965</v>
      </c>
    </row>
    <row r="395" spans="1:9" x14ac:dyDescent="0.25">
      <c r="A395" s="23">
        <v>396</v>
      </c>
      <c r="B395" s="85">
        <v>45691</v>
      </c>
      <c r="C395" s="23" t="s">
        <v>196</v>
      </c>
      <c r="D395" s="23" t="s">
        <v>272</v>
      </c>
      <c r="G395" s="23">
        <v>0.8</v>
      </c>
      <c r="I395" s="218" t="s">
        <v>966</v>
      </c>
    </row>
    <row r="396" spans="1:9" x14ac:dyDescent="0.25">
      <c r="A396" s="23">
        <v>397</v>
      </c>
      <c r="B396" s="85">
        <v>45691</v>
      </c>
      <c r="C396" s="23" t="s">
        <v>967</v>
      </c>
      <c r="D396" s="23" t="s">
        <v>144</v>
      </c>
      <c r="G396" s="23">
        <v>0.8</v>
      </c>
      <c r="I396" s="218" t="s">
        <v>968</v>
      </c>
    </row>
    <row r="397" spans="1:9" x14ac:dyDescent="0.25">
      <c r="A397" s="23">
        <v>398</v>
      </c>
      <c r="B397" s="85">
        <v>45691</v>
      </c>
      <c r="C397" s="23" t="s">
        <v>969</v>
      </c>
      <c r="D397" s="23" t="s">
        <v>302</v>
      </c>
      <c r="G397" s="23">
        <v>0.8</v>
      </c>
      <c r="I397" s="218" t="s">
        <v>970</v>
      </c>
    </row>
    <row r="398" spans="1:9" x14ac:dyDescent="0.25">
      <c r="A398" s="23">
        <v>399</v>
      </c>
      <c r="B398" s="85">
        <v>45691</v>
      </c>
      <c r="C398" s="23" t="s">
        <v>971</v>
      </c>
      <c r="D398" s="23" t="s">
        <v>162</v>
      </c>
      <c r="G398" s="23">
        <v>0</v>
      </c>
      <c r="I398" s="218" t="s">
        <v>972</v>
      </c>
    </row>
    <row r="399" spans="1:9" x14ac:dyDescent="0.25">
      <c r="A399" s="23">
        <v>400</v>
      </c>
      <c r="B399" s="85">
        <v>45691</v>
      </c>
      <c r="C399" s="23" t="s">
        <v>243</v>
      </c>
      <c r="D399" s="23" t="s">
        <v>162</v>
      </c>
      <c r="G399" s="23">
        <v>0.8</v>
      </c>
      <c r="I399" s="218" t="s">
        <v>973</v>
      </c>
    </row>
    <row r="400" spans="1:9" x14ac:dyDescent="0.25">
      <c r="A400" s="23">
        <v>401</v>
      </c>
      <c r="B400" s="85">
        <v>45691</v>
      </c>
      <c r="C400" s="23" t="s">
        <v>974</v>
      </c>
      <c r="D400" s="23" t="s">
        <v>202</v>
      </c>
      <c r="G400" s="23">
        <v>0.5</v>
      </c>
      <c r="H400" s="23" t="s">
        <v>705</v>
      </c>
      <c r="I400" s="218" t="s">
        <v>975</v>
      </c>
    </row>
    <row r="401" spans="1:9" x14ac:dyDescent="0.25">
      <c r="A401" s="23">
        <v>402</v>
      </c>
      <c r="B401" s="85">
        <v>45691</v>
      </c>
      <c r="C401" s="23" t="s">
        <v>976</v>
      </c>
      <c r="D401" s="23" t="s">
        <v>159</v>
      </c>
      <c r="G401" s="23">
        <v>0.89</v>
      </c>
      <c r="I401" s="218" t="s">
        <v>977</v>
      </c>
    </row>
    <row r="402" spans="1:9" x14ac:dyDescent="0.25">
      <c r="A402" s="23">
        <v>403</v>
      </c>
      <c r="B402" s="85">
        <v>45691</v>
      </c>
      <c r="C402" s="23" t="s">
        <v>978</v>
      </c>
      <c r="D402" s="23" t="s">
        <v>169</v>
      </c>
      <c r="G402" s="23">
        <v>0</v>
      </c>
      <c r="I402" s="218" t="s">
        <v>979</v>
      </c>
    </row>
    <row r="403" spans="1:9" x14ac:dyDescent="0.25">
      <c r="A403" s="23">
        <v>404</v>
      </c>
      <c r="B403" s="85">
        <v>45691</v>
      </c>
      <c r="C403" s="23" t="s">
        <v>980</v>
      </c>
      <c r="D403" s="23" t="s">
        <v>202</v>
      </c>
      <c r="G403" s="23" t="s">
        <v>9</v>
      </c>
      <c r="H403" s="23" t="s">
        <v>982</v>
      </c>
      <c r="I403" s="218" t="s">
        <v>981</v>
      </c>
    </row>
    <row r="404" spans="1:9" x14ac:dyDescent="0.25">
      <c r="A404" s="23">
        <v>405</v>
      </c>
      <c r="B404" s="85">
        <v>45691</v>
      </c>
      <c r="C404" s="23" t="s">
        <v>983</v>
      </c>
      <c r="D404" s="23" t="s">
        <v>173</v>
      </c>
      <c r="G404" s="23">
        <v>0</v>
      </c>
      <c r="I404" s="218" t="s">
        <v>984</v>
      </c>
    </row>
    <row r="405" spans="1:9" x14ac:dyDescent="0.25">
      <c r="A405" s="23">
        <v>406</v>
      </c>
      <c r="B405" s="85">
        <v>45691</v>
      </c>
      <c r="C405" s="23" t="s">
        <v>985</v>
      </c>
      <c r="D405" s="23" t="s">
        <v>260</v>
      </c>
      <c r="G405" s="23">
        <v>0</v>
      </c>
      <c r="I405" s="218" t="s">
        <v>986</v>
      </c>
    </row>
    <row r="406" spans="1:9" x14ac:dyDescent="0.25">
      <c r="A406" s="23">
        <v>407</v>
      </c>
      <c r="B406" s="85">
        <v>45691</v>
      </c>
      <c r="C406" s="23" t="s">
        <v>985</v>
      </c>
      <c r="D406" s="23" t="s">
        <v>265</v>
      </c>
      <c r="G406" s="23">
        <v>0</v>
      </c>
      <c r="I406" s="218" t="s">
        <v>987</v>
      </c>
    </row>
    <row r="407" spans="1:9" x14ac:dyDescent="0.25">
      <c r="A407" s="23">
        <v>408</v>
      </c>
      <c r="B407" s="85">
        <v>45691</v>
      </c>
      <c r="C407" s="23" t="s">
        <v>815</v>
      </c>
      <c r="D407" s="23" t="s">
        <v>261</v>
      </c>
      <c r="G407" s="23">
        <v>0</v>
      </c>
      <c r="I407" s="218" t="s">
        <v>988</v>
      </c>
    </row>
    <row r="408" spans="1:9" x14ac:dyDescent="0.25">
      <c r="A408" s="23">
        <v>409</v>
      </c>
      <c r="B408" s="85">
        <v>45691</v>
      </c>
      <c r="C408" s="23" t="s">
        <v>989</v>
      </c>
      <c r="D408" s="23" t="s">
        <v>262</v>
      </c>
      <c r="G408" s="23">
        <v>0</v>
      </c>
      <c r="I408" s="218" t="s">
        <v>990</v>
      </c>
    </row>
    <row r="409" spans="1:9" x14ac:dyDescent="0.25">
      <c r="A409" s="23">
        <v>410</v>
      </c>
      <c r="B409" s="85">
        <v>45691</v>
      </c>
      <c r="C409" s="23" t="s">
        <v>815</v>
      </c>
      <c r="D409" s="23" t="s">
        <v>173</v>
      </c>
      <c r="G409" s="23">
        <v>0.83</v>
      </c>
      <c r="I409" s="218" t="s">
        <v>991</v>
      </c>
    </row>
    <row r="410" spans="1:9" x14ac:dyDescent="0.25">
      <c r="A410" s="23">
        <v>411</v>
      </c>
      <c r="B410" s="85">
        <v>45691</v>
      </c>
      <c r="C410" s="23" t="s">
        <v>821</v>
      </c>
      <c r="D410" s="23" t="s">
        <v>265</v>
      </c>
      <c r="G410" s="23">
        <v>0.85</v>
      </c>
      <c r="I410" s="218" t="s">
        <v>295</v>
      </c>
    </row>
    <row r="411" spans="1:9" x14ac:dyDescent="0.25">
      <c r="A411" s="23">
        <v>412</v>
      </c>
      <c r="B411" s="85">
        <v>45691</v>
      </c>
      <c r="C411" s="23" t="s">
        <v>821</v>
      </c>
      <c r="D411" s="23" t="s">
        <v>261</v>
      </c>
      <c r="G411" s="23">
        <v>0.85</v>
      </c>
      <c r="I411" s="218" t="s">
        <v>295</v>
      </c>
    </row>
    <row r="412" spans="1:9" x14ac:dyDescent="0.25">
      <c r="A412" s="23">
        <v>413</v>
      </c>
      <c r="B412" s="85">
        <v>45691</v>
      </c>
      <c r="C412" s="23" t="s">
        <v>821</v>
      </c>
      <c r="D412" s="23" t="s">
        <v>262</v>
      </c>
      <c r="G412" s="23">
        <v>0.85</v>
      </c>
      <c r="I412" s="218" t="s">
        <v>295</v>
      </c>
    </row>
    <row r="413" spans="1:9" x14ac:dyDescent="0.25">
      <c r="A413" s="23">
        <v>414</v>
      </c>
      <c r="B413" s="85">
        <v>45691</v>
      </c>
      <c r="C413" s="23" t="s">
        <v>992</v>
      </c>
      <c r="D413" s="23" t="s">
        <v>260</v>
      </c>
      <c r="G413" s="23">
        <v>0.85</v>
      </c>
      <c r="I413" s="218" t="s">
        <v>295</v>
      </c>
    </row>
    <row r="414" spans="1:9" x14ac:dyDescent="0.25">
      <c r="A414" s="23">
        <v>415</v>
      </c>
      <c r="B414" s="85">
        <v>45691</v>
      </c>
      <c r="C414" s="23" t="s">
        <v>992</v>
      </c>
      <c r="D414" s="23" t="s">
        <v>263</v>
      </c>
      <c r="G414" s="23">
        <v>0.85</v>
      </c>
      <c r="I414" s="218" t="s">
        <v>993</v>
      </c>
    </row>
    <row r="415" spans="1:9" x14ac:dyDescent="0.25">
      <c r="A415" s="23">
        <v>416</v>
      </c>
      <c r="B415" s="85">
        <v>45691</v>
      </c>
      <c r="C415" s="23" t="s">
        <v>482</v>
      </c>
      <c r="D415" s="23" t="s">
        <v>166</v>
      </c>
      <c r="G415" s="23">
        <v>0.67</v>
      </c>
      <c r="I415" s="218" t="s">
        <v>994</v>
      </c>
    </row>
    <row r="416" spans="1:9" x14ac:dyDescent="0.25">
      <c r="A416" s="23">
        <v>417</v>
      </c>
      <c r="B416" s="85">
        <v>45691</v>
      </c>
      <c r="C416" s="23" t="s">
        <v>995</v>
      </c>
      <c r="D416" s="23" t="s">
        <v>160</v>
      </c>
      <c r="G416" s="23">
        <v>0</v>
      </c>
      <c r="I416" s="218" t="s">
        <v>996</v>
      </c>
    </row>
    <row r="417" spans="1:9" x14ac:dyDescent="0.25">
      <c r="A417" s="23">
        <v>418</v>
      </c>
      <c r="B417" s="85">
        <v>45691</v>
      </c>
      <c r="C417" s="23" t="s">
        <v>634</v>
      </c>
      <c r="D417" s="23" t="s">
        <v>163</v>
      </c>
      <c r="G417" s="23">
        <v>0</v>
      </c>
      <c r="I417" s="218" t="s">
        <v>997</v>
      </c>
    </row>
    <row r="418" spans="1:9" x14ac:dyDescent="0.25">
      <c r="A418" s="23">
        <v>419</v>
      </c>
      <c r="B418" s="85">
        <v>45691</v>
      </c>
      <c r="C418" s="23" t="s">
        <v>829</v>
      </c>
      <c r="D418" s="23" t="s">
        <v>164</v>
      </c>
      <c r="G418" s="23">
        <v>0</v>
      </c>
      <c r="I418" s="218" t="s">
        <v>998</v>
      </c>
    </row>
    <row r="419" spans="1:9" x14ac:dyDescent="0.25">
      <c r="A419" s="23">
        <v>420</v>
      </c>
      <c r="B419" s="85">
        <v>45691</v>
      </c>
      <c r="C419" s="23" t="s">
        <v>999</v>
      </c>
      <c r="D419" s="23" t="s">
        <v>251</v>
      </c>
      <c r="G419" s="23">
        <v>0</v>
      </c>
      <c r="I419" s="218" t="s">
        <v>1000</v>
      </c>
    </row>
    <row r="420" spans="1:9" x14ac:dyDescent="0.25">
      <c r="A420" s="23">
        <v>421</v>
      </c>
      <c r="B420" s="85">
        <v>45691</v>
      </c>
      <c r="C420" s="23" t="s">
        <v>1001</v>
      </c>
      <c r="D420" s="23" t="s">
        <v>165</v>
      </c>
      <c r="G420" s="23">
        <v>0</v>
      </c>
      <c r="I420" s="218" t="s">
        <v>1002</v>
      </c>
    </row>
    <row r="421" spans="1:9" x14ac:dyDescent="0.25">
      <c r="A421" s="23">
        <v>422</v>
      </c>
      <c r="B421" s="85">
        <v>45691</v>
      </c>
      <c r="C421" s="23" t="s">
        <v>647</v>
      </c>
      <c r="D421" s="23" t="s">
        <v>168</v>
      </c>
      <c r="G421" s="23">
        <v>0</v>
      </c>
      <c r="I421" s="218" t="s">
        <v>1003</v>
      </c>
    </row>
    <row r="422" spans="1:9" x14ac:dyDescent="0.25">
      <c r="A422" s="23">
        <v>423</v>
      </c>
      <c r="B422" s="85">
        <v>45691</v>
      </c>
      <c r="C422" s="23" t="s">
        <v>1004</v>
      </c>
      <c r="D422" s="23" t="s">
        <v>163</v>
      </c>
      <c r="G422" s="23">
        <v>0.83</v>
      </c>
      <c r="I422" s="218" t="s">
        <v>1005</v>
      </c>
    </row>
    <row r="423" spans="1:9" x14ac:dyDescent="0.25">
      <c r="A423" s="23">
        <v>424</v>
      </c>
      <c r="B423" s="85">
        <v>45691</v>
      </c>
      <c r="C423" s="23" t="s">
        <v>1006</v>
      </c>
      <c r="D423" s="23" t="s">
        <v>164</v>
      </c>
      <c r="G423" s="23">
        <v>0.83</v>
      </c>
      <c r="I423" s="218" t="s">
        <v>1007</v>
      </c>
    </row>
    <row r="424" spans="1:9" x14ac:dyDescent="0.25">
      <c r="A424" s="23">
        <v>425</v>
      </c>
      <c r="B424" s="85">
        <v>45691</v>
      </c>
      <c r="C424" s="23" t="s">
        <v>1008</v>
      </c>
      <c r="D424" s="23" t="s">
        <v>165</v>
      </c>
      <c r="G424" s="23">
        <v>0.8</v>
      </c>
      <c r="I424" s="218" t="s">
        <v>1009</v>
      </c>
    </row>
    <row r="425" spans="1:9" x14ac:dyDescent="0.25">
      <c r="A425" s="23">
        <v>426</v>
      </c>
      <c r="B425" s="85">
        <v>45691</v>
      </c>
      <c r="C425" s="23" t="s">
        <v>841</v>
      </c>
      <c r="D425" s="23" t="s">
        <v>168</v>
      </c>
      <c r="G425" s="23">
        <v>0.8</v>
      </c>
      <c r="I425" s="218" t="s">
        <v>1010</v>
      </c>
    </row>
    <row r="426" spans="1:9" x14ac:dyDescent="0.25">
      <c r="A426" s="23">
        <v>427</v>
      </c>
      <c r="B426" s="85">
        <v>45691</v>
      </c>
      <c r="C426" s="23" t="s">
        <v>1011</v>
      </c>
      <c r="D426" s="23" t="s">
        <v>251</v>
      </c>
      <c r="G426" s="23">
        <v>0.8</v>
      </c>
      <c r="I426" s="218" t="s">
        <v>1012</v>
      </c>
    </row>
    <row r="427" spans="1:9" x14ac:dyDescent="0.25">
      <c r="A427" s="23">
        <v>428</v>
      </c>
      <c r="B427" s="85">
        <v>45691</v>
      </c>
      <c r="C427" s="23" t="s">
        <v>1013</v>
      </c>
      <c r="D427" s="23" t="s">
        <v>170</v>
      </c>
      <c r="G427" s="23">
        <v>0</v>
      </c>
      <c r="I427" s="218" t="s">
        <v>1014</v>
      </c>
    </row>
    <row r="428" spans="1:9" x14ac:dyDescent="0.25">
      <c r="A428" s="23">
        <v>429</v>
      </c>
      <c r="B428" s="85">
        <v>45691</v>
      </c>
      <c r="C428" s="23" t="s">
        <v>1015</v>
      </c>
      <c r="D428" s="23" t="s">
        <v>251</v>
      </c>
      <c r="G428" s="23">
        <v>0</v>
      </c>
      <c r="I428" s="218" t="s">
        <v>1016</v>
      </c>
    </row>
    <row r="429" spans="1:9" x14ac:dyDescent="0.25">
      <c r="A429" s="23">
        <v>430</v>
      </c>
      <c r="B429" s="85">
        <v>45691</v>
      </c>
      <c r="C429" s="23" t="s">
        <v>848</v>
      </c>
      <c r="D429" s="23" t="s">
        <v>302</v>
      </c>
      <c r="G429" s="23">
        <v>0</v>
      </c>
      <c r="I429" s="218" t="s">
        <v>1017</v>
      </c>
    </row>
    <row r="430" spans="1:9" x14ac:dyDescent="0.25">
      <c r="A430" s="23">
        <v>431</v>
      </c>
      <c r="B430" s="85">
        <v>45691</v>
      </c>
      <c r="C430" s="23" t="s">
        <v>1018</v>
      </c>
      <c r="D430" s="23" t="s">
        <v>144</v>
      </c>
      <c r="G430" s="23">
        <v>0</v>
      </c>
      <c r="I430" s="218" t="s">
        <v>1019</v>
      </c>
    </row>
    <row r="431" spans="1:9" x14ac:dyDescent="0.25">
      <c r="A431" s="23">
        <v>432</v>
      </c>
      <c r="B431" s="85">
        <v>45691</v>
      </c>
      <c r="C431" s="23" t="s">
        <v>1020</v>
      </c>
      <c r="D431" s="23" t="s">
        <v>252</v>
      </c>
      <c r="G431" s="23">
        <v>0</v>
      </c>
      <c r="I431" s="218" t="s">
        <v>1021</v>
      </c>
    </row>
    <row r="432" spans="1:9" x14ac:dyDescent="0.25">
      <c r="A432" s="23">
        <v>433</v>
      </c>
      <c r="B432" s="85">
        <v>45691</v>
      </c>
      <c r="C432" s="23" t="s">
        <v>852</v>
      </c>
      <c r="D432" s="23" t="s">
        <v>273</v>
      </c>
      <c r="G432" s="23">
        <v>0</v>
      </c>
      <c r="I432" s="218" t="s">
        <v>1022</v>
      </c>
    </row>
    <row r="433" spans="1:9" x14ac:dyDescent="0.25">
      <c r="A433" s="23">
        <v>434</v>
      </c>
      <c r="B433" s="85">
        <v>45691</v>
      </c>
      <c r="C433" s="23" t="s">
        <v>1023</v>
      </c>
      <c r="D433" s="23" t="s">
        <v>272</v>
      </c>
      <c r="G433" s="23">
        <v>0</v>
      </c>
      <c r="I433" s="218" t="s">
        <v>1024</v>
      </c>
    </row>
    <row r="434" spans="1:9" x14ac:dyDescent="0.25">
      <c r="A434" s="23">
        <v>435</v>
      </c>
      <c r="B434" s="85">
        <v>45691</v>
      </c>
      <c r="C434" s="23" t="s">
        <v>1025</v>
      </c>
      <c r="D434" s="23" t="s">
        <v>172</v>
      </c>
      <c r="G434" s="23">
        <v>0</v>
      </c>
      <c r="I434" s="218" t="s">
        <v>1026</v>
      </c>
    </row>
    <row r="435" spans="1:9" x14ac:dyDescent="0.25">
      <c r="A435" s="23">
        <v>436</v>
      </c>
      <c r="B435" s="85">
        <v>45691</v>
      </c>
      <c r="C435" s="23" t="s">
        <v>208</v>
      </c>
      <c r="D435" s="23" t="s">
        <v>174</v>
      </c>
      <c r="G435" s="23">
        <v>0</v>
      </c>
      <c r="I435" s="218" t="s">
        <v>1027</v>
      </c>
    </row>
    <row r="436" spans="1:9" x14ac:dyDescent="0.25">
      <c r="A436" s="23">
        <v>437</v>
      </c>
      <c r="B436" s="85">
        <v>45691</v>
      </c>
      <c r="C436" s="23" t="s">
        <v>1028</v>
      </c>
      <c r="D436" s="23" t="s">
        <v>177</v>
      </c>
      <c r="G436" s="23">
        <v>0</v>
      </c>
      <c r="I436" s="218" t="s">
        <v>1029</v>
      </c>
    </row>
    <row r="437" spans="1:9" x14ac:dyDescent="0.25">
      <c r="A437" s="23">
        <v>438</v>
      </c>
      <c r="B437" s="85">
        <v>45691</v>
      </c>
      <c r="C437" s="23" t="s">
        <v>1030</v>
      </c>
      <c r="D437" s="23" t="s">
        <v>178</v>
      </c>
      <c r="G437" s="23">
        <v>0</v>
      </c>
      <c r="I437" s="218" t="s">
        <v>1031</v>
      </c>
    </row>
    <row r="438" spans="1:9" x14ac:dyDescent="0.25">
      <c r="A438" s="23">
        <v>439</v>
      </c>
      <c r="B438" s="85">
        <v>45691</v>
      </c>
      <c r="C438" s="23" t="s">
        <v>1032</v>
      </c>
      <c r="D438" s="23" t="s">
        <v>161</v>
      </c>
      <c r="G438" s="23">
        <v>0</v>
      </c>
      <c r="I438" s="218" t="s">
        <v>1033</v>
      </c>
    </row>
    <row r="439" spans="1:9" x14ac:dyDescent="0.25">
      <c r="A439" s="23">
        <v>440</v>
      </c>
      <c r="B439" s="85">
        <v>45691</v>
      </c>
      <c r="C439" s="23" t="s">
        <v>522</v>
      </c>
      <c r="D439" s="23" t="s">
        <v>162</v>
      </c>
      <c r="G439" s="23">
        <v>0</v>
      </c>
      <c r="I439" s="218" t="s">
        <v>1034</v>
      </c>
    </row>
    <row r="440" spans="1:9" x14ac:dyDescent="0.25">
      <c r="A440" s="23">
        <v>441</v>
      </c>
      <c r="B440" s="85">
        <v>45691</v>
      </c>
      <c r="C440" s="23" t="s">
        <v>870</v>
      </c>
      <c r="D440" s="23" t="s">
        <v>173</v>
      </c>
      <c r="G440" s="23">
        <v>0</v>
      </c>
      <c r="I440" s="218" t="s">
        <v>1035</v>
      </c>
    </row>
    <row r="441" spans="1:9" x14ac:dyDescent="0.25">
      <c r="A441" s="23">
        <v>442</v>
      </c>
      <c r="B441" s="85">
        <v>45691</v>
      </c>
      <c r="C441" s="23" t="s">
        <v>1036</v>
      </c>
      <c r="D441" s="23" t="s">
        <v>163</v>
      </c>
      <c r="G441" s="23">
        <v>0</v>
      </c>
      <c r="I441" s="218" t="s">
        <v>1037</v>
      </c>
    </row>
    <row r="442" spans="1:9" x14ac:dyDescent="0.25">
      <c r="A442" s="23">
        <v>443</v>
      </c>
      <c r="B442" s="85">
        <v>45691</v>
      </c>
      <c r="C442" s="23" t="s">
        <v>1036</v>
      </c>
      <c r="D442" s="23" t="s">
        <v>263</v>
      </c>
      <c r="G442" s="23">
        <v>0</v>
      </c>
      <c r="I442" s="218" t="s">
        <v>1038</v>
      </c>
    </row>
    <row r="443" spans="1:9" x14ac:dyDescent="0.25">
      <c r="A443" s="23">
        <v>444</v>
      </c>
      <c r="B443" s="85">
        <v>45691</v>
      </c>
      <c r="C443" s="23" t="s">
        <v>680</v>
      </c>
      <c r="D443" s="23" t="s">
        <v>160</v>
      </c>
      <c r="G443" s="23">
        <v>0.8</v>
      </c>
      <c r="I443" s="218" t="s">
        <v>1039</v>
      </c>
    </row>
    <row r="444" spans="1:9" x14ac:dyDescent="0.25">
      <c r="A444" s="23">
        <v>445</v>
      </c>
      <c r="B444" s="85">
        <v>45691</v>
      </c>
      <c r="C444" s="23" t="s">
        <v>682</v>
      </c>
      <c r="D444" s="23" t="s">
        <v>155</v>
      </c>
      <c r="G444" s="23">
        <v>0</v>
      </c>
      <c r="I444" s="218" t="s">
        <v>1040</v>
      </c>
    </row>
    <row r="445" spans="1:9" x14ac:dyDescent="0.25">
      <c r="A445" s="23">
        <v>446</v>
      </c>
      <c r="B445" s="85">
        <v>45691</v>
      </c>
      <c r="C445" s="23" t="s">
        <v>535</v>
      </c>
      <c r="D445" s="23" t="s">
        <v>164</v>
      </c>
      <c r="G445" s="23">
        <v>0</v>
      </c>
      <c r="I445" s="218" t="s">
        <v>1041</v>
      </c>
    </row>
    <row r="446" spans="1:9" x14ac:dyDescent="0.25">
      <c r="A446" s="23">
        <v>447</v>
      </c>
      <c r="B446" s="85">
        <v>45691</v>
      </c>
      <c r="C446" s="23" t="s">
        <v>684</v>
      </c>
      <c r="D446" s="23" t="s">
        <v>165</v>
      </c>
      <c r="G446" s="23">
        <v>0</v>
      </c>
      <c r="I446" s="218" t="s">
        <v>1042</v>
      </c>
    </row>
    <row r="447" spans="1:9" x14ac:dyDescent="0.25">
      <c r="A447" s="23">
        <v>448</v>
      </c>
      <c r="B447" s="85">
        <v>45691</v>
      </c>
      <c r="C447" s="23" t="s">
        <v>1043</v>
      </c>
      <c r="D447" s="23" t="s">
        <v>168</v>
      </c>
      <c r="G447" s="23">
        <v>0</v>
      </c>
      <c r="I447" s="218" t="s">
        <v>1044</v>
      </c>
    </row>
    <row r="448" spans="1:9" x14ac:dyDescent="0.25">
      <c r="A448" s="23">
        <v>449</v>
      </c>
      <c r="B448" s="85">
        <v>45692</v>
      </c>
      <c r="C448" s="23" t="s">
        <v>1045</v>
      </c>
      <c r="D448" s="23" t="s">
        <v>170</v>
      </c>
      <c r="G448" s="23">
        <v>0.8</v>
      </c>
      <c r="I448" s="218" t="s">
        <v>1046</v>
      </c>
    </row>
    <row r="449" spans="1:9" x14ac:dyDescent="0.25">
      <c r="A449" s="23">
        <v>450</v>
      </c>
      <c r="B449" s="85">
        <v>45692</v>
      </c>
      <c r="C449" s="23" t="s">
        <v>1047</v>
      </c>
      <c r="D449" s="23" t="s">
        <v>158</v>
      </c>
      <c r="G449" s="23">
        <v>0</v>
      </c>
      <c r="I449" s="218" t="s">
        <v>1048</v>
      </c>
    </row>
    <row r="450" spans="1:9" x14ac:dyDescent="0.25">
      <c r="A450" s="23">
        <v>451</v>
      </c>
      <c r="B450" s="85">
        <v>45692</v>
      </c>
      <c r="C450" s="23" t="s">
        <v>1049</v>
      </c>
      <c r="D450" s="23" t="s">
        <v>170</v>
      </c>
      <c r="G450" s="23">
        <v>0</v>
      </c>
      <c r="I450" s="218" t="s">
        <v>1046</v>
      </c>
    </row>
    <row r="451" spans="1:9" x14ac:dyDescent="0.25">
      <c r="A451" s="23">
        <v>452</v>
      </c>
      <c r="B451" s="85">
        <v>45692</v>
      </c>
      <c r="C451" s="23" t="s">
        <v>1050</v>
      </c>
      <c r="D451" s="23" t="s">
        <v>158</v>
      </c>
      <c r="G451" s="23">
        <v>1</v>
      </c>
      <c r="I451" s="218" t="s">
        <v>1051</v>
      </c>
    </row>
    <row r="452" spans="1:9" x14ac:dyDescent="0.25">
      <c r="A452" s="23">
        <v>453</v>
      </c>
      <c r="B452" s="85">
        <v>45692</v>
      </c>
      <c r="C452" s="23" t="s">
        <v>1052</v>
      </c>
      <c r="D452" s="23" t="s">
        <v>174</v>
      </c>
      <c r="G452" s="23">
        <v>0.8</v>
      </c>
      <c r="I452" s="218" t="s">
        <v>1053</v>
      </c>
    </row>
    <row r="453" spans="1:9" x14ac:dyDescent="0.25">
      <c r="A453" s="23">
        <v>454</v>
      </c>
      <c r="B453" s="85">
        <v>45692</v>
      </c>
      <c r="C453" s="23" t="s">
        <v>1054</v>
      </c>
      <c r="D453" s="23" t="s">
        <v>194</v>
      </c>
      <c r="G453" s="23">
        <v>0</v>
      </c>
      <c r="I453" s="218" t="s">
        <v>1055</v>
      </c>
    </row>
    <row r="454" spans="1:9" x14ac:dyDescent="0.25">
      <c r="A454" s="23">
        <v>455</v>
      </c>
      <c r="B454" s="85">
        <v>45692</v>
      </c>
      <c r="C454" s="23" t="s">
        <v>908</v>
      </c>
      <c r="D454" s="23" t="s">
        <v>155</v>
      </c>
      <c r="G454" s="23">
        <v>0.42499999999999999</v>
      </c>
      <c r="I454" s="218" t="s">
        <v>1056</v>
      </c>
    </row>
    <row r="455" spans="1:9" x14ac:dyDescent="0.25">
      <c r="A455" s="23">
        <v>456</v>
      </c>
      <c r="B455" s="85">
        <v>45692</v>
      </c>
      <c r="C455" s="23" t="s">
        <v>910</v>
      </c>
      <c r="D455" s="23" t="s">
        <v>166</v>
      </c>
      <c r="G455" s="23">
        <v>0</v>
      </c>
      <c r="I455" s="218" t="s">
        <v>1057</v>
      </c>
    </row>
    <row r="456" spans="1:9" x14ac:dyDescent="0.25">
      <c r="A456" s="23">
        <v>457</v>
      </c>
      <c r="B456" s="85">
        <v>45692</v>
      </c>
      <c r="C456" s="23" t="s">
        <v>908</v>
      </c>
      <c r="D456" s="23" t="s">
        <v>172</v>
      </c>
      <c r="G456" s="23">
        <v>0.8</v>
      </c>
      <c r="I456" s="218" t="s">
        <v>1058</v>
      </c>
    </row>
    <row r="457" spans="1:9" x14ac:dyDescent="0.25">
      <c r="A457" s="23">
        <v>458</v>
      </c>
      <c r="B457" s="85">
        <v>45692</v>
      </c>
      <c r="C457" s="23" t="s">
        <v>1059</v>
      </c>
      <c r="D457" s="23" t="s">
        <v>177</v>
      </c>
      <c r="G457" s="23">
        <v>0.8</v>
      </c>
      <c r="I457" s="218" t="s">
        <v>1060</v>
      </c>
    </row>
    <row r="458" spans="1:9" x14ac:dyDescent="0.25">
      <c r="A458" s="23">
        <v>459</v>
      </c>
      <c r="B458" s="85">
        <v>45692</v>
      </c>
      <c r="C458" s="23" t="s">
        <v>1061</v>
      </c>
      <c r="D458" s="23" t="s">
        <v>178</v>
      </c>
      <c r="G458" s="23">
        <v>0.8</v>
      </c>
      <c r="I458" s="218" t="s">
        <v>1062</v>
      </c>
    </row>
    <row r="459" spans="1:9" x14ac:dyDescent="0.25">
      <c r="A459" s="23">
        <v>460</v>
      </c>
      <c r="B459" s="85">
        <v>45692</v>
      </c>
      <c r="C459" s="23" t="s">
        <v>1063</v>
      </c>
      <c r="D459" s="23" t="s">
        <v>161</v>
      </c>
      <c r="G459" s="23">
        <v>0.8</v>
      </c>
      <c r="I459" s="218" t="s">
        <v>1064</v>
      </c>
    </row>
    <row r="460" spans="1:9" x14ac:dyDescent="0.25">
      <c r="A460" s="23">
        <v>461</v>
      </c>
      <c r="B460" s="85">
        <v>45692</v>
      </c>
      <c r="C460" s="23" t="s">
        <v>1065</v>
      </c>
      <c r="D460" s="23" t="s">
        <v>162</v>
      </c>
      <c r="G460" s="23">
        <v>0.8</v>
      </c>
      <c r="I460" s="218" t="s">
        <v>1066</v>
      </c>
    </row>
    <row r="461" spans="1:9" x14ac:dyDescent="0.25">
      <c r="A461" s="23">
        <v>462</v>
      </c>
      <c r="B461" s="85">
        <v>45692</v>
      </c>
      <c r="C461" s="23" t="s">
        <v>1067</v>
      </c>
      <c r="D461" s="23" t="s">
        <v>263</v>
      </c>
      <c r="G461" s="23">
        <v>0.8</v>
      </c>
      <c r="I461" s="218" t="s">
        <v>1068</v>
      </c>
    </row>
    <row r="462" spans="1:9" x14ac:dyDescent="0.25">
      <c r="A462" s="23">
        <v>463</v>
      </c>
      <c r="B462" s="85">
        <v>45692</v>
      </c>
      <c r="C462" s="23" t="s">
        <v>1069</v>
      </c>
      <c r="D462" s="23" t="s">
        <v>172</v>
      </c>
      <c r="G462" s="23">
        <v>0</v>
      </c>
      <c r="I462" s="218" t="s">
        <v>1070</v>
      </c>
    </row>
    <row r="463" spans="1:9" x14ac:dyDescent="0.25">
      <c r="A463" s="23">
        <v>464</v>
      </c>
      <c r="B463" s="85">
        <v>45692</v>
      </c>
      <c r="C463" s="23" t="s">
        <v>1071</v>
      </c>
      <c r="D463" s="23" t="s">
        <v>174</v>
      </c>
      <c r="G463" s="23">
        <v>0</v>
      </c>
      <c r="I463" s="218" t="s">
        <v>1072</v>
      </c>
    </row>
    <row r="464" spans="1:9" x14ac:dyDescent="0.25">
      <c r="A464" s="23">
        <v>465</v>
      </c>
      <c r="B464" s="85">
        <v>45692</v>
      </c>
      <c r="C464" s="23" t="s">
        <v>1073</v>
      </c>
      <c r="D464" s="23" t="s">
        <v>177</v>
      </c>
      <c r="G464" s="23">
        <v>0</v>
      </c>
      <c r="I464" s="218" t="s">
        <v>1074</v>
      </c>
    </row>
    <row r="465" spans="1:9" x14ac:dyDescent="0.25">
      <c r="A465" s="23">
        <v>466</v>
      </c>
      <c r="B465" s="85">
        <v>45692</v>
      </c>
      <c r="C465" s="23" t="s">
        <v>1075</v>
      </c>
      <c r="D465" s="23" t="s">
        <v>173</v>
      </c>
      <c r="G465" s="23">
        <v>0.8</v>
      </c>
      <c r="I465" s="218" t="s">
        <v>1076</v>
      </c>
    </row>
    <row r="466" spans="1:9" x14ac:dyDescent="0.25">
      <c r="A466" s="23">
        <v>467</v>
      </c>
      <c r="B466" s="85">
        <v>45692</v>
      </c>
      <c r="C466" s="23" t="s">
        <v>1077</v>
      </c>
      <c r="D466" s="23" t="s">
        <v>169</v>
      </c>
      <c r="G466" s="23">
        <v>0.79</v>
      </c>
      <c r="I466" s="218" t="s">
        <v>1078</v>
      </c>
    </row>
    <row r="467" spans="1:9" x14ac:dyDescent="0.25">
      <c r="A467" s="23">
        <v>468</v>
      </c>
      <c r="B467" s="85">
        <v>45692</v>
      </c>
      <c r="C467" s="23" t="s">
        <v>1079</v>
      </c>
      <c r="D467" s="23" t="s">
        <v>159</v>
      </c>
      <c r="G467" s="23">
        <v>0</v>
      </c>
      <c r="I467" s="218" t="s">
        <v>1080</v>
      </c>
    </row>
    <row r="468" spans="1:9" x14ac:dyDescent="0.25">
      <c r="A468" s="23">
        <v>469</v>
      </c>
      <c r="B468" s="85">
        <v>45692</v>
      </c>
      <c r="C468" s="23" t="s">
        <v>1081</v>
      </c>
      <c r="D468" s="23" t="s">
        <v>175</v>
      </c>
      <c r="G468" s="23">
        <v>0.5</v>
      </c>
      <c r="I468" s="218" t="s">
        <v>1082</v>
      </c>
    </row>
    <row r="469" spans="1:9" x14ac:dyDescent="0.25">
      <c r="A469" s="23">
        <v>470</v>
      </c>
      <c r="B469" s="85">
        <v>45692</v>
      </c>
      <c r="C469" s="23" t="s">
        <v>215</v>
      </c>
      <c r="D469" s="23" t="s">
        <v>163</v>
      </c>
      <c r="G469" s="23">
        <v>0.8</v>
      </c>
      <c r="I469" s="218" t="s">
        <v>1083</v>
      </c>
    </row>
    <row r="470" spans="1:9" x14ac:dyDescent="0.25">
      <c r="A470" s="23">
        <v>471</v>
      </c>
      <c r="B470" s="85">
        <v>45692</v>
      </c>
      <c r="C470" s="23" t="s">
        <v>234</v>
      </c>
      <c r="D470" s="23" t="s">
        <v>164</v>
      </c>
      <c r="G470" s="23">
        <v>0.8</v>
      </c>
      <c r="I470" s="218" t="s">
        <v>1084</v>
      </c>
    </row>
    <row r="471" spans="1:9" x14ac:dyDescent="0.25">
      <c r="A471" s="23">
        <v>472</v>
      </c>
      <c r="B471" s="85">
        <v>45692</v>
      </c>
      <c r="C471" s="23" t="s">
        <v>255</v>
      </c>
      <c r="D471" s="23" t="s">
        <v>168</v>
      </c>
      <c r="G471" s="23">
        <v>0.8</v>
      </c>
      <c r="I471" s="218" t="s">
        <v>1085</v>
      </c>
    </row>
    <row r="472" spans="1:9" x14ac:dyDescent="0.25">
      <c r="A472" s="23">
        <v>473</v>
      </c>
      <c r="B472" s="85">
        <v>45692</v>
      </c>
      <c r="C472" s="23" t="s">
        <v>1086</v>
      </c>
      <c r="D472" s="23" t="s">
        <v>165</v>
      </c>
      <c r="G472" s="23">
        <v>0.8</v>
      </c>
      <c r="I472" s="218" t="s">
        <v>1087</v>
      </c>
    </row>
    <row r="473" spans="1:9" x14ac:dyDescent="0.25">
      <c r="A473" s="23">
        <v>474</v>
      </c>
      <c r="B473" s="85">
        <v>45692</v>
      </c>
      <c r="C473" s="23" t="s">
        <v>948</v>
      </c>
      <c r="D473" s="23" t="s">
        <v>252</v>
      </c>
      <c r="G473" s="23">
        <v>0.82</v>
      </c>
      <c r="I473" s="218" t="s">
        <v>1088</v>
      </c>
    </row>
    <row r="474" spans="1:9" x14ac:dyDescent="0.25">
      <c r="A474" s="23">
        <v>475</v>
      </c>
      <c r="B474" s="85">
        <v>45692</v>
      </c>
      <c r="C474" s="23" t="s">
        <v>948</v>
      </c>
      <c r="D474" s="23" t="s">
        <v>273</v>
      </c>
      <c r="G474" s="23">
        <v>0.82</v>
      </c>
      <c r="I474" s="218" t="s">
        <v>1089</v>
      </c>
    </row>
    <row r="475" spans="1:9" x14ac:dyDescent="0.25">
      <c r="A475" s="23">
        <v>476</v>
      </c>
      <c r="B475" s="85">
        <v>45692</v>
      </c>
      <c r="C475" s="23" t="s">
        <v>1090</v>
      </c>
      <c r="D475" s="23" t="s">
        <v>178</v>
      </c>
      <c r="G475" s="23">
        <v>0</v>
      </c>
      <c r="I475" s="218" t="s">
        <v>1091</v>
      </c>
    </row>
    <row r="476" spans="1:9" x14ac:dyDescent="0.25">
      <c r="A476" s="23">
        <v>477</v>
      </c>
      <c r="B476" s="85">
        <v>45692</v>
      </c>
      <c r="C476" s="23" t="s">
        <v>1090</v>
      </c>
      <c r="D476" s="23" t="s">
        <v>161</v>
      </c>
      <c r="G476" s="23">
        <v>0</v>
      </c>
      <c r="I476" s="218" t="s">
        <v>1092</v>
      </c>
    </row>
    <row r="477" spans="1:9" x14ac:dyDescent="0.25">
      <c r="A477" s="23">
        <v>478</v>
      </c>
      <c r="B477" s="85">
        <v>45692</v>
      </c>
      <c r="C477" s="23" t="s">
        <v>195</v>
      </c>
      <c r="D477" s="23" t="s">
        <v>272</v>
      </c>
      <c r="G477" s="23">
        <v>0.8</v>
      </c>
      <c r="I477" s="218" t="s">
        <v>1093</v>
      </c>
    </row>
    <row r="478" spans="1:9" x14ac:dyDescent="0.25">
      <c r="A478" s="23">
        <v>479</v>
      </c>
      <c r="B478" s="85">
        <v>45692</v>
      </c>
      <c r="C478" s="23" t="s">
        <v>746</v>
      </c>
      <c r="D478" s="23" t="s">
        <v>144</v>
      </c>
      <c r="G478" s="23">
        <v>0.8</v>
      </c>
      <c r="I478" s="218" t="s">
        <v>1094</v>
      </c>
    </row>
    <row r="479" spans="1:9" x14ac:dyDescent="0.25">
      <c r="A479" s="23">
        <v>480</v>
      </c>
      <c r="B479" s="85">
        <v>45692</v>
      </c>
      <c r="C479" s="23" t="s">
        <v>195</v>
      </c>
      <c r="D479" s="23" t="s">
        <v>162</v>
      </c>
      <c r="G479" s="23">
        <v>0</v>
      </c>
      <c r="I479" s="218" t="s">
        <v>1095</v>
      </c>
    </row>
    <row r="480" spans="1:9" x14ac:dyDescent="0.25">
      <c r="A480" s="23">
        <v>481</v>
      </c>
      <c r="B480" s="85">
        <v>45692</v>
      </c>
      <c r="C480" s="23" t="s">
        <v>206</v>
      </c>
      <c r="D480" s="23" t="s">
        <v>170</v>
      </c>
      <c r="G480" s="23">
        <v>0.8</v>
      </c>
      <c r="I480" s="218" t="s">
        <v>1096</v>
      </c>
    </row>
    <row r="481" spans="1:9" x14ac:dyDescent="0.25">
      <c r="A481" s="23">
        <v>482</v>
      </c>
      <c r="B481" s="85">
        <v>45692</v>
      </c>
      <c r="C481" s="23" t="s">
        <v>1097</v>
      </c>
      <c r="D481" s="23" t="s">
        <v>173</v>
      </c>
      <c r="G481" s="23">
        <v>0</v>
      </c>
      <c r="I481" s="218" t="s">
        <v>1098</v>
      </c>
    </row>
    <row r="482" spans="1:9" x14ac:dyDescent="0.25">
      <c r="A482" s="23">
        <v>483</v>
      </c>
      <c r="B482" s="85">
        <v>45692</v>
      </c>
      <c r="C482" s="23" t="s">
        <v>1099</v>
      </c>
      <c r="D482" s="23" t="s">
        <v>163</v>
      </c>
      <c r="G482" s="23">
        <v>0</v>
      </c>
      <c r="I482" s="218" t="s">
        <v>1100</v>
      </c>
    </row>
    <row r="483" spans="1:9" x14ac:dyDescent="0.25">
      <c r="A483" s="23">
        <v>484</v>
      </c>
      <c r="B483" s="85">
        <v>45692</v>
      </c>
      <c r="C483" s="23" t="s">
        <v>1099</v>
      </c>
      <c r="D483" s="23" t="s">
        <v>164</v>
      </c>
      <c r="G483" s="23">
        <v>0</v>
      </c>
      <c r="I483" s="218" t="s">
        <v>1101</v>
      </c>
    </row>
    <row r="484" spans="1:9" x14ac:dyDescent="0.25">
      <c r="A484" s="23">
        <v>485</v>
      </c>
      <c r="B484" s="85">
        <v>45692</v>
      </c>
      <c r="C484" s="23" t="s">
        <v>1102</v>
      </c>
      <c r="D484" s="23" t="s">
        <v>264</v>
      </c>
      <c r="G484" s="23">
        <v>0.8</v>
      </c>
      <c r="I484" s="218" t="s">
        <v>1103</v>
      </c>
    </row>
    <row r="485" spans="1:9" x14ac:dyDescent="0.25">
      <c r="A485" s="23">
        <v>486</v>
      </c>
      <c r="B485" s="85">
        <v>45692</v>
      </c>
      <c r="C485" s="23" t="s">
        <v>1104</v>
      </c>
      <c r="D485" s="23" t="s">
        <v>194</v>
      </c>
      <c r="G485" s="23">
        <v>6.6</v>
      </c>
      <c r="I485" s="218" t="s">
        <v>1105</v>
      </c>
    </row>
    <row r="486" spans="1:9" x14ac:dyDescent="0.25">
      <c r="A486" s="23">
        <v>487</v>
      </c>
      <c r="B486" s="85">
        <v>45692</v>
      </c>
      <c r="C486" s="23" t="s">
        <v>1106</v>
      </c>
      <c r="D486" s="23" t="s">
        <v>174</v>
      </c>
      <c r="G486" s="23">
        <v>0.8</v>
      </c>
      <c r="I486" s="218" t="s">
        <v>1107</v>
      </c>
    </row>
    <row r="487" spans="1:9" x14ac:dyDescent="0.25">
      <c r="A487" s="23">
        <v>488</v>
      </c>
      <c r="B487" s="85">
        <v>45692</v>
      </c>
      <c r="C487" s="23" t="s">
        <v>1108</v>
      </c>
      <c r="D487" s="23" t="s">
        <v>172</v>
      </c>
      <c r="G487" s="23">
        <v>0.8</v>
      </c>
      <c r="I487" s="218" t="s">
        <v>1109</v>
      </c>
    </row>
    <row r="488" spans="1:9" x14ac:dyDescent="0.25">
      <c r="A488" s="23">
        <v>489</v>
      </c>
      <c r="B488" s="85">
        <v>45692</v>
      </c>
      <c r="C488" s="23" t="s">
        <v>607</v>
      </c>
      <c r="D488" s="23" t="s">
        <v>177</v>
      </c>
      <c r="G488" s="23">
        <v>0.8</v>
      </c>
      <c r="I488" s="218" t="s">
        <v>1110</v>
      </c>
    </row>
    <row r="489" spans="1:9" x14ac:dyDescent="0.25">
      <c r="A489" s="23">
        <v>490</v>
      </c>
      <c r="B489" s="85">
        <v>45692</v>
      </c>
      <c r="C489" s="23" t="s">
        <v>1111</v>
      </c>
      <c r="D489" s="23" t="s">
        <v>178</v>
      </c>
      <c r="G489" s="23">
        <v>0.8</v>
      </c>
      <c r="I489" s="218" t="s">
        <v>1112</v>
      </c>
    </row>
    <row r="490" spans="1:9" x14ac:dyDescent="0.25">
      <c r="A490" s="23">
        <v>491</v>
      </c>
      <c r="B490" s="85">
        <v>45692</v>
      </c>
      <c r="C490" s="23" t="s">
        <v>770</v>
      </c>
      <c r="D490" s="23" t="s">
        <v>161</v>
      </c>
      <c r="G490" s="23">
        <v>0.8</v>
      </c>
      <c r="I490" s="218" t="s">
        <v>1113</v>
      </c>
    </row>
    <row r="491" spans="1:9" x14ac:dyDescent="0.25">
      <c r="A491" s="23">
        <v>492</v>
      </c>
      <c r="B491" s="85">
        <v>45692</v>
      </c>
      <c r="C491" s="23" t="s">
        <v>1114</v>
      </c>
      <c r="D491" s="23" t="s">
        <v>162</v>
      </c>
      <c r="G491" s="23">
        <v>0.8</v>
      </c>
      <c r="I491" s="218" t="s">
        <v>1115</v>
      </c>
    </row>
    <row r="492" spans="1:9" x14ac:dyDescent="0.25">
      <c r="A492" s="23">
        <v>493</v>
      </c>
      <c r="B492" s="85">
        <v>45692</v>
      </c>
      <c r="C492" s="23" t="s">
        <v>1116</v>
      </c>
      <c r="D492" s="23" t="s">
        <v>165</v>
      </c>
      <c r="G492" s="23">
        <v>0</v>
      </c>
      <c r="I492" s="218" t="s">
        <v>1117</v>
      </c>
    </row>
    <row r="493" spans="1:9" x14ac:dyDescent="0.25">
      <c r="A493" s="23">
        <v>494</v>
      </c>
      <c r="B493" s="85">
        <v>45692</v>
      </c>
      <c r="C493" s="23" t="s">
        <v>1118</v>
      </c>
      <c r="D493" s="23" t="s">
        <v>168</v>
      </c>
      <c r="G493" s="23">
        <v>0</v>
      </c>
      <c r="I493" s="218" t="s">
        <v>1138</v>
      </c>
    </row>
    <row r="494" spans="1:9" x14ac:dyDescent="0.25">
      <c r="A494" s="23">
        <v>495</v>
      </c>
      <c r="B494" s="85">
        <v>45692</v>
      </c>
      <c r="C494" s="23" t="s">
        <v>1119</v>
      </c>
      <c r="D494" s="23" t="s">
        <v>264</v>
      </c>
      <c r="G494" s="23">
        <v>0</v>
      </c>
      <c r="I494" s="218" t="s">
        <v>1120</v>
      </c>
    </row>
    <row r="495" spans="1:9" x14ac:dyDescent="0.25">
      <c r="A495" s="23">
        <v>496</v>
      </c>
      <c r="B495" s="85">
        <v>45692</v>
      </c>
      <c r="C495" s="23" t="s">
        <v>1121</v>
      </c>
      <c r="D495" s="23" t="s">
        <v>264</v>
      </c>
      <c r="G495" s="23">
        <v>0.8</v>
      </c>
      <c r="I495" s="218" t="s">
        <v>295</v>
      </c>
    </row>
    <row r="496" spans="1:9" x14ac:dyDescent="0.25">
      <c r="A496" s="23">
        <v>497</v>
      </c>
      <c r="B496" s="85">
        <v>45692</v>
      </c>
      <c r="C496" s="23" t="s">
        <v>1122</v>
      </c>
      <c r="D496" s="23" t="s">
        <v>166</v>
      </c>
      <c r="G496" s="23">
        <v>0.68</v>
      </c>
      <c r="I496" s="218" t="s">
        <v>1123</v>
      </c>
    </row>
    <row r="497" spans="1:9" x14ac:dyDescent="0.25">
      <c r="A497" s="23">
        <v>498</v>
      </c>
      <c r="B497" s="85">
        <v>45692</v>
      </c>
      <c r="C497" s="23" t="s">
        <v>232</v>
      </c>
      <c r="D497" s="23" t="s">
        <v>160</v>
      </c>
      <c r="G497" s="23">
        <v>0</v>
      </c>
      <c r="I497" s="218" t="s">
        <v>1124</v>
      </c>
    </row>
    <row r="498" spans="1:9" x14ac:dyDescent="0.25">
      <c r="A498" s="23">
        <v>499</v>
      </c>
      <c r="B498" s="85">
        <v>45692</v>
      </c>
      <c r="C498" s="23" t="s">
        <v>1125</v>
      </c>
      <c r="D498" s="23" t="s">
        <v>268</v>
      </c>
      <c r="G498" s="23">
        <v>0.75</v>
      </c>
      <c r="I498" s="218" t="s">
        <v>1126</v>
      </c>
    </row>
    <row r="499" spans="1:9" x14ac:dyDescent="0.25">
      <c r="A499" s="23">
        <v>500</v>
      </c>
      <c r="B499" s="85">
        <v>45692</v>
      </c>
      <c r="C499" s="23" t="s">
        <v>1127</v>
      </c>
      <c r="D499" s="23" t="s">
        <v>264</v>
      </c>
      <c r="G499" s="23">
        <v>0</v>
      </c>
      <c r="I499" s="218" t="s">
        <v>1128</v>
      </c>
    </row>
    <row r="500" spans="1:9" x14ac:dyDescent="0.25">
      <c r="A500" s="23">
        <v>501</v>
      </c>
      <c r="B500" s="85">
        <v>45692</v>
      </c>
      <c r="C500" s="23" t="s">
        <v>1130</v>
      </c>
      <c r="D500" s="23" t="s">
        <v>173</v>
      </c>
      <c r="G500" s="23">
        <v>0.8</v>
      </c>
      <c r="I500" s="218" t="s">
        <v>1131</v>
      </c>
    </row>
    <row r="501" spans="1:9" x14ac:dyDescent="0.25">
      <c r="A501" s="23">
        <v>502</v>
      </c>
      <c r="B501" s="85">
        <v>45692</v>
      </c>
      <c r="C501" s="23" t="s">
        <v>1132</v>
      </c>
      <c r="D501" s="23" t="s">
        <v>163</v>
      </c>
      <c r="G501" s="23">
        <v>0.8</v>
      </c>
      <c r="I501" s="218" t="s">
        <v>1133</v>
      </c>
    </row>
    <row r="502" spans="1:9" x14ac:dyDescent="0.25">
      <c r="A502" s="23">
        <v>503</v>
      </c>
      <c r="B502" s="85">
        <v>45692</v>
      </c>
      <c r="C502" s="23" t="s">
        <v>1134</v>
      </c>
      <c r="D502" s="23" t="s">
        <v>164</v>
      </c>
      <c r="G502" s="23">
        <v>0.8</v>
      </c>
      <c r="I502" s="218" t="s">
        <v>1135</v>
      </c>
    </row>
    <row r="503" spans="1:9" x14ac:dyDescent="0.25">
      <c r="A503" s="23">
        <v>504</v>
      </c>
      <c r="B503" s="85">
        <v>45692</v>
      </c>
      <c r="C503" s="23" t="s">
        <v>1136</v>
      </c>
      <c r="D503" s="23" t="s">
        <v>170</v>
      </c>
      <c r="G503" s="23">
        <v>0</v>
      </c>
      <c r="I503" s="218" t="s">
        <v>1137</v>
      </c>
    </row>
    <row r="504" spans="1:9" x14ac:dyDescent="0.25">
      <c r="A504" s="23">
        <v>505</v>
      </c>
      <c r="B504" s="85">
        <v>45692</v>
      </c>
      <c r="C504" s="23" t="s">
        <v>1139</v>
      </c>
      <c r="D504" s="23" t="s">
        <v>165</v>
      </c>
      <c r="G504" s="23">
        <v>0.8</v>
      </c>
      <c r="I504" s="218" t="s">
        <v>1140</v>
      </c>
    </row>
    <row r="505" spans="1:9" x14ac:dyDescent="0.25">
      <c r="A505" s="23">
        <v>506</v>
      </c>
      <c r="B505" s="85">
        <v>45692</v>
      </c>
      <c r="C505" s="23" t="s">
        <v>1139</v>
      </c>
      <c r="D505" s="23" t="s">
        <v>168</v>
      </c>
      <c r="G505" s="23">
        <v>0.8</v>
      </c>
      <c r="I505" s="218" t="s">
        <v>1141</v>
      </c>
    </row>
    <row r="506" spans="1:9" x14ac:dyDescent="0.25">
      <c r="A506" s="23">
        <v>507</v>
      </c>
      <c r="B506" s="85">
        <v>45692</v>
      </c>
      <c r="C506" s="23" t="s">
        <v>1139</v>
      </c>
      <c r="D506" s="23" t="s">
        <v>170</v>
      </c>
      <c r="G506" s="23">
        <v>0.8</v>
      </c>
      <c r="I506" s="218" t="s">
        <v>295</v>
      </c>
    </row>
    <row r="507" spans="1:9" x14ac:dyDescent="0.25">
      <c r="A507" s="23">
        <v>508</v>
      </c>
      <c r="B507" s="85">
        <v>45692</v>
      </c>
      <c r="C507" s="23" t="s">
        <v>1142</v>
      </c>
      <c r="D507" s="23" t="s">
        <v>151</v>
      </c>
      <c r="G507" s="23" t="s">
        <v>9</v>
      </c>
      <c r="I507" s="218" t="s">
        <v>1143</v>
      </c>
    </row>
    <row r="508" spans="1:9" x14ac:dyDescent="0.25">
      <c r="A508" s="23">
        <v>509</v>
      </c>
      <c r="B508" s="85">
        <v>45692</v>
      </c>
      <c r="C508" s="23" t="s">
        <v>1144</v>
      </c>
      <c r="D508" s="23" t="s">
        <v>251</v>
      </c>
      <c r="G508" s="23">
        <v>0.8</v>
      </c>
      <c r="I508" s="218" t="s">
        <v>1145</v>
      </c>
    </row>
    <row r="509" spans="1:9" x14ac:dyDescent="0.25">
      <c r="A509" s="23">
        <v>510</v>
      </c>
      <c r="B509" s="85">
        <v>45692</v>
      </c>
      <c r="C509" s="23" t="s">
        <v>1146</v>
      </c>
      <c r="D509" s="23" t="s">
        <v>170</v>
      </c>
      <c r="G509" s="23">
        <v>0</v>
      </c>
      <c r="I509" s="218" t="s">
        <v>1147</v>
      </c>
    </row>
    <row r="510" spans="1:9" x14ac:dyDescent="0.25">
      <c r="A510" s="23">
        <v>511</v>
      </c>
      <c r="B510" s="85">
        <v>45692</v>
      </c>
      <c r="C510" s="23" t="s">
        <v>1148</v>
      </c>
      <c r="D510" s="23" t="s">
        <v>202</v>
      </c>
      <c r="G510" s="23">
        <v>0.8</v>
      </c>
      <c r="I510" s="218" t="s">
        <v>1149</v>
      </c>
    </row>
    <row r="511" spans="1:9" x14ac:dyDescent="0.25">
      <c r="A511" s="23">
        <v>512</v>
      </c>
      <c r="B511" s="85">
        <v>45692</v>
      </c>
      <c r="C511" s="23" t="s">
        <v>1150</v>
      </c>
      <c r="D511" s="23" t="s">
        <v>264</v>
      </c>
      <c r="G511" s="23">
        <v>0.78</v>
      </c>
      <c r="I511" s="218" t="s">
        <v>1151</v>
      </c>
    </row>
    <row r="512" spans="1:9" x14ac:dyDescent="0.25">
      <c r="A512" s="23">
        <v>513</v>
      </c>
      <c r="B512" s="85">
        <v>45692</v>
      </c>
      <c r="C512" s="23" t="s">
        <v>1152</v>
      </c>
      <c r="D512" s="23" t="s">
        <v>174</v>
      </c>
      <c r="G512" s="23">
        <v>0</v>
      </c>
      <c r="I512" s="218" t="s">
        <v>1153</v>
      </c>
    </row>
    <row r="513" spans="1:9" x14ac:dyDescent="0.25">
      <c r="A513" s="23">
        <v>514</v>
      </c>
      <c r="B513" s="85">
        <v>45692</v>
      </c>
      <c r="C513" s="23" t="s">
        <v>1154</v>
      </c>
      <c r="D513" s="23" t="s">
        <v>170</v>
      </c>
      <c r="G513" s="23">
        <v>0.8</v>
      </c>
      <c r="I513" s="218" t="s">
        <v>1155</v>
      </c>
    </row>
    <row r="514" spans="1:9" x14ac:dyDescent="0.25">
      <c r="A514" s="23">
        <v>515</v>
      </c>
      <c r="B514" s="85">
        <v>45692</v>
      </c>
      <c r="C514" s="23" t="s">
        <v>1154</v>
      </c>
      <c r="D514" s="23" t="s">
        <v>302</v>
      </c>
      <c r="G514" s="23">
        <v>0.89</v>
      </c>
      <c r="I514" s="218" t="s">
        <v>1156</v>
      </c>
    </row>
    <row r="515" spans="1:9" x14ac:dyDescent="0.25">
      <c r="A515" s="23">
        <v>516</v>
      </c>
      <c r="B515" s="85">
        <v>45692</v>
      </c>
      <c r="C515" s="23" t="s">
        <v>1157</v>
      </c>
      <c r="D515" s="23" t="s">
        <v>170</v>
      </c>
      <c r="G515" s="23">
        <v>0</v>
      </c>
      <c r="I515" s="218" t="s">
        <v>1155</v>
      </c>
    </row>
    <row r="516" spans="1:9" x14ac:dyDescent="0.25">
      <c r="A516" s="23">
        <v>517</v>
      </c>
      <c r="B516" s="85">
        <v>45692</v>
      </c>
      <c r="C516" s="23" t="s">
        <v>1157</v>
      </c>
      <c r="D516" s="23" t="s">
        <v>172</v>
      </c>
      <c r="G516" s="23">
        <v>0</v>
      </c>
      <c r="I516" s="218" t="s">
        <v>1158</v>
      </c>
    </row>
    <row r="517" spans="1:9" x14ac:dyDescent="0.25">
      <c r="A517" s="23">
        <v>518</v>
      </c>
      <c r="B517" s="85">
        <v>45692</v>
      </c>
      <c r="C517" s="23" t="s">
        <v>1159</v>
      </c>
      <c r="D517" s="23" t="s">
        <v>268</v>
      </c>
      <c r="G517" s="23">
        <v>0</v>
      </c>
      <c r="I517" s="218" t="s">
        <v>1160</v>
      </c>
    </row>
    <row r="518" spans="1:9" x14ac:dyDescent="0.25">
      <c r="A518" s="23">
        <v>519</v>
      </c>
      <c r="B518" s="85">
        <v>45692</v>
      </c>
      <c r="C518" s="23" t="s">
        <v>999</v>
      </c>
      <c r="D518" s="23" t="s">
        <v>178</v>
      </c>
      <c r="G518" s="23">
        <v>0</v>
      </c>
      <c r="I518" s="218" t="s">
        <v>1161</v>
      </c>
    </row>
    <row r="519" spans="1:9" x14ac:dyDescent="0.25">
      <c r="A519" s="23">
        <v>520</v>
      </c>
      <c r="B519" s="85">
        <v>45692</v>
      </c>
      <c r="C519" s="23" t="s">
        <v>1001</v>
      </c>
      <c r="D519" s="23" t="s">
        <v>161</v>
      </c>
      <c r="G519" s="23">
        <v>0</v>
      </c>
      <c r="I519" s="218" t="s">
        <v>1163</v>
      </c>
    </row>
    <row r="520" spans="1:9" x14ac:dyDescent="0.25">
      <c r="A520" s="23">
        <v>521</v>
      </c>
      <c r="B520" s="85">
        <v>45692</v>
      </c>
      <c r="C520" s="23" t="s">
        <v>1164</v>
      </c>
      <c r="D520" s="23" t="s">
        <v>162</v>
      </c>
      <c r="G520" s="23">
        <v>0</v>
      </c>
      <c r="I520" s="218" t="s">
        <v>1165</v>
      </c>
    </row>
    <row r="521" spans="1:9" x14ac:dyDescent="0.25">
      <c r="A521" s="23">
        <v>522</v>
      </c>
      <c r="B521" s="85">
        <v>45692</v>
      </c>
      <c r="C521" s="23" t="s">
        <v>647</v>
      </c>
      <c r="D521" s="23" t="s">
        <v>173</v>
      </c>
      <c r="G521" s="23">
        <v>0</v>
      </c>
      <c r="I521" s="218" t="s">
        <v>1166</v>
      </c>
    </row>
    <row r="522" spans="1:9" x14ac:dyDescent="0.25">
      <c r="A522" s="23">
        <v>523</v>
      </c>
      <c r="B522" s="85">
        <v>45692</v>
      </c>
      <c r="C522" s="23" t="s">
        <v>1167</v>
      </c>
      <c r="D522" s="23" t="s">
        <v>177</v>
      </c>
      <c r="G522" s="23">
        <v>0</v>
      </c>
      <c r="I522" s="218" t="s">
        <v>1168</v>
      </c>
    </row>
    <row r="523" spans="1:9" x14ac:dyDescent="0.25">
      <c r="A523" s="23">
        <v>524</v>
      </c>
      <c r="B523" s="85">
        <v>45692</v>
      </c>
      <c r="C523" s="23" t="s">
        <v>526</v>
      </c>
      <c r="D523" s="23" t="s">
        <v>160</v>
      </c>
      <c r="G523" s="23">
        <v>0.625</v>
      </c>
      <c r="I523" s="218" t="s">
        <v>1169</v>
      </c>
    </row>
    <row r="524" spans="1:9" x14ac:dyDescent="0.25">
      <c r="A524" s="23">
        <v>525</v>
      </c>
      <c r="B524" s="85">
        <v>45692</v>
      </c>
      <c r="C524" s="23" t="s">
        <v>528</v>
      </c>
      <c r="D524" s="23" t="s">
        <v>155</v>
      </c>
      <c r="G524" s="23">
        <v>0</v>
      </c>
      <c r="I524" s="218" t="s">
        <v>1170</v>
      </c>
    </row>
    <row r="525" spans="1:9" x14ac:dyDescent="0.25">
      <c r="A525" s="23">
        <v>526</v>
      </c>
      <c r="B525" s="85">
        <v>45692</v>
      </c>
      <c r="C525" s="23" t="s">
        <v>226</v>
      </c>
      <c r="D525" s="23" t="s">
        <v>170</v>
      </c>
      <c r="G525" s="23">
        <v>0.78</v>
      </c>
      <c r="I525" s="218" t="s">
        <v>1171</v>
      </c>
    </row>
    <row r="526" spans="1:9" x14ac:dyDescent="0.25">
      <c r="A526" s="23">
        <v>527</v>
      </c>
      <c r="B526" s="85">
        <v>45692</v>
      </c>
      <c r="C526" s="23" t="s">
        <v>1172</v>
      </c>
      <c r="D526" s="23" t="s">
        <v>202</v>
      </c>
      <c r="G526" s="23">
        <v>0</v>
      </c>
      <c r="I526" s="218" t="s">
        <v>1173</v>
      </c>
    </row>
    <row r="527" spans="1:9" ht="15.75" customHeight="1" x14ac:dyDescent="0.25">
      <c r="A527" s="23">
        <v>528</v>
      </c>
      <c r="B527" s="85">
        <v>45692</v>
      </c>
      <c r="C527" s="23" t="s">
        <v>1174</v>
      </c>
      <c r="D527" s="23" t="s">
        <v>159</v>
      </c>
      <c r="G527" s="23">
        <v>0.92</v>
      </c>
      <c r="I527" s="218" t="s">
        <v>1175</v>
      </c>
    </row>
    <row r="528" spans="1:9" x14ac:dyDescent="0.25">
      <c r="A528" s="23">
        <v>529</v>
      </c>
      <c r="B528" s="85">
        <v>45692</v>
      </c>
      <c r="C528" s="23" t="s">
        <v>239</v>
      </c>
      <c r="D528" s="23" t="s">
        <v>169</v>
      </c>
      <c r="G528" s="23">
        <v>0</v>
      </c>
      <c r="I528" s="218" t="s">
        <v>1176</v>
      </c>
    </row>
    <row r="529" spans="1:9" x14ac:dyDescent="0.25">
      <c r="A529" s="23">
        <v>530</v>
      </c>
      <c r="B529" s="85">
        <v>45692</v>
      </c>
      <c r="C529" s="23" t="s">
        <v>1177</v>
      </c>
      <c r="D529" s="23" t="s">
        <v>174</v>
      </c>
      <c r="G529" s="23">
        <v>0.8</v>
      </c>
      <c r="I529" s="218" t="s">
        <v>1178</v>
      </c>
    </row>
    <row r="530" spans="1:9" x14ac:dyDescent="0.25">
      <c r="A530" s="23">
        <v>531</v>
      </c>
      <c r="B530" s="85">
        <v>45692</v>
      </c>
      <c r="C530" s="23" t="s">
        <v>1179</v>
      </c>
      <c r="D530" s="23" t="s">
        <v>172</v>
      </c>
      <c r="G530" s="23">
        <v>0.8</v>
      </c>
      <c r="I530" s="218" t="s">
        <v>1180</v>
      </c>
    </row>
    <row r="531" spans="1:9" x14ac:dyDescent="0.25">
      <c r="A531" s="23">
        <v>532</v>
      </c>
      <c r="B531" s="85">
        <v>45692</v>
      </c>
      <c r="C531" s="23" t="s">
        <v>837</v>
      </c>
      <c r="D531" s="23" t="s">
        <v>177</v>
      </c>
      <c r="G531" s="23">
        <v>0.8</v>
      </c>
      <c r="I531" s="218" t="s">
        <v>1181</v>
      </c>
    </row>
    <row r="532" spans="1:9" x14ac:dyDescent="0.25">
      <c r="A532" s="23">
        <v>533</v>
      </c>
      <c r="B532" s="85">
        <v>45692</v>
      </c>
      <c r="C532" s="23" t="s">
        <v>279</v>
      </c>
      <c r="D532" s="23" t="s">
        <v>202</v>
      </c>
      <c r="G532" s="23">
        <v>0.8</v>
      </c>
      <c r="I532" s="218" t="s">
        <v>1182</v>
      </c>
    </row>
    <row r="533" spans="1:9" x14ac:dyDescent="0.25">
      <c r="A533" s="23">
        <v>534</v>
      </c>
      <c r="B533" s="85">
        <v>45692</v>
      </c>
      <c r="C533" s="23" t="s">
        <v>1183</v>
      </c>
      <c r="D533" s="23" t="s">
        <v>159</v>
      </c>
      <c r="G533" s="23">
        <v>0</v>
      </c>
      <c r="I533" s="218" t="s">
        <v>1175</v>
      </c>
    </row>
    <row r="534" spans="1:9" x14ac:dyDescent="0.25">
      <c r="A534" s="23">
        <v>535</v>
      </c>
      <c r="B534" s="85">
        <v>45692</v>
      </c>
      <c r="C534" s="23" t="s">
        <v>1184</v>
      </c>
      <c r="D534" s="23" t="s">
        <v>178</v>
      </c>
      <c r="G534" s="23">
        <v>0.8</v>
      </c>
      <c r="I534" s="218" t="s">
        <v>1185</v>
      </c>
    </row>
    <row r="535" spans="1:9" x14ac:dyDescent="0.25">
      <c r="A535" s="23">
        <v>536</v>
      </c>
      <c r="B535" s="85">
        <v>45692</v>
      </c>
      <c r="C535" s="23" t="s">
        <v>1186</v>
      </c>
      <c r="D535" s="23" t="s">
        <v>161</v>
      </c>
      <c r="G535" s="23">
        <v>0.8</v>
      </c>
      <c r="I535" s="218" t="s">
        <v>1187</v>
      </c>
    </row>
    <row r="536" spans="1:9" x14ac:dyDescent="0.25">
      <c r="A536" s="23">
        <v>537</v>
      </c>
      <c r="B536" s="85">
        <v>45692</v>
      </c>
      <c r="C536" s="23" t="s">
        <v>1188</v>
      </c>
      <c r="D536" s="23" t="s">
        <v>169</v>
      </c>
      <c r="G536" s="23">
        <v>0.3</v>
      </c>
      <c r="I536" s="218" t="s">
        <v>1189</v>
      </c>
    </row>
    <row r="537" spans="1:9" x14ac:dyDescent="0.25">
      <c r="A537" s="23">
        <v>538</v>
      </c>
      <c r="B537" s="85">
        <v>45692</v>
      </c>
      <c r="C537" s="23" t="s">
        <v>1188</v>
      </c>
      <c r="D537" s="23" t="s">
        <v>159</v>
      </c>
      <c r="G537" s="23">
        <v>0.3</v>
      </c>
      <c r="I537" s="218" t="s">
        <v>1190</v>
      </c>
    </row>
    <row r="538" spans="1:9" x14ac:dyDescent="0.25">
      <c r="A538" s="23">
        <v>539</v>
      </c>
      <c r="B538" s="85">
        <v>45692</v>
      </c>
      <c r="C538" s="23" t="s">
        <v>1191</v>
      </c>
      <c r="D538" s="23" t="s">
        <v>169</v>
      </c>
      <c r="G538" s="23">
        <v>0</v>
      </c>
      <c r="I538" s="218" t="s">
        <v>1189</v>
      </c>
    </row>
    <row r="539" spans="1:9" x14ac:dyDescent="0.25">
      <c r="A539" s="23">
        <v>540</v>
      </c>
      <c r="B539" s="85">
        <v>45692</v>
      </c>
      <c r="C539" s="23" t="s">
        <v>1192</v>
      </c>
      <c r="D539" s="23" t="s">
        <v>302</v>
      </c>
      <c r="G539" s="23">
        <v>0</v>
      </c>
      <c r="I539" s="218" t="s">
        <v>1193</v>
      </c>
    </row>
    <row r="540" spans="1:9" x14ac:dyDescent="0.25">
      <c r="A540" s="23">
        <v>541</v>
      </c>
      <c r="B540" s="85">
        <v>45692</v>
      </c>
      <c r="C540" s="23" t="s">
        <v>1194</v>
      </c>
      <c r="D540" s="23" t="s">
        <v>251</v>
      </c>
      <c r="G540" s="23">
        <v>0</v>
      </c>
      <c r="I540" s="218" t="s">
        <v>1195</v>
      </c>
    </row>
    <row r="541" spans="1:9" x14ac:dyDescent="0.25">
      <c r="A541" s="23">
        <v>542</v>
      </c>
      <c r="B541" s="85">
        <v>45692</v>
      </c>
      <c r="C541" s="23" t="s">
        <v>271</v>
      </c>
      <c r="D541" s="23" t="s">
        <v>163</v>
      </c>
      <c r="G541" s="23">
        <v>0</v>
      </c>
      <c r="I541" s="218" t="s">
        <v>1196</v>
      </c>
    </row>
    <row r="542" spans="1:9" x14ac:dyDescent="0.25">
      <c r="A542" s="23">
        <v>543</v>
      </c>
      <c r="B542" s="85">
        <v>45692</v>
      </c>
      <c r="C542" s="23" t="s">
        <v>1197</v>
      </c>
      <c r="D542" s="23" t="s">
        <v>164</v>
      </c>
      <c r="G542" s="23">
        <v>0</v>
      </c>
      <c r="I542" s="218" t="s">
        <v>1198</v>
      </c>
    </row>
    <row r="543" spans="1:9" x14ac:dyDescent="0.25">
      <c r="A543" s="23">
        <v>544</v>
      </c>
      <c r="B543" s="85">
        <v>45692</v>
      </c>
      <c r="C543" s="23" t="s">
        <v>1199</v>
      </c>
      <c r="D543" s="23" t="s">
        <v>162</v>
      </c>
      <c r="G543" s="23">
        <v>0.8</v>
      </c>
      <c r="I543" s="218" t="s">
        <v>1200</v>
      </c>
    </row>
    <row r="544" spans="1:9" x14ac:dyDescent="0.25">
      <c r="A544" s="23">
        <v>545</v>
      </c>
      <c r="B544" s="85">
        <v>45692</v>
      </c>
      <c r="C544" s="23" t="s">
        <v>1201</v>
      </c>
      <c r="D544" s="23" t="s">
        <v>202</v>
      </c>
      <c r="G544" s="23">
        <v>0</v>
      </c>
      <c r="I544" s="218" t="s">
        <v>1202</v>
      </c>
    </row>
    <row r="545" spans="1:9" x14ac:dyDescent="0.25">
      <c r="A545" s="23">
        <v>546</v>
      </c>
      <c r="B545" s="85">
        <v>45692</v>
      </c>
      <c r="C545" s="23" t="s">
        <v>1203</v>
      </c>
      <c r="D545" s="23" t="s">
        <v>168</v>
      </c>
      <c r="G545" s="23">
        <v>0</v>
      </c>
      <c r="I545" s="218" t="s">
        <v>1204</v>
      </c>
    </row>
    <row r="546" spans="1:9" x14ac:dyDescent="0.25">
      <c r="A546" s="23">
        <v>547</v>
      </c>
      <c r="B546" s="85">
        <v>45692</v>
      </c>
      <c r="C546" s="23" t="s">
        <v>1020</v>
      </c>
      <c r="D546" s="23" t="s">
        <v>170</v>
      </c>
      <c r="G546" s="23">
        <v>0</v>
      </c>
      <c r="I546" s="218" t="s">
        <v>1205</v>
      </c>
    </row>
    <row r="547" spans="1:9" x14ac:dyDescent="0.25">
      <c r="A547" s="23">
        <v>548</v>
      </c>
      <c r="B547" s="85">
        <v>45692</v>
      </c>
      <c r="C547" s="23" t="s">
        <v>852</v>
      </c>
      <c r="D547" s="23" t="s">
        <v>174</v>
      </c>
      <c r="G547" s="23">
        <v>0</v>
      </c>
      <c r="I547" s="218" t="s">
        <v>1206</v>
      </c>
    </row>
    <row r="548" spans="1:9" x14ac:dyDescent="0.25">
      <c r="A548" s="23">
        <v>549</v>
      </c>
      <c r="B548" s="85">
        <v>45692</v>
      </c>
      <c r="C548" s="23" t="s">
        <v>1207</v>
      </c>
      <c r="D548" s="23" t="s">
        <v>177</v>
      </c>
      <c r="G548" s="23">
        <v>0</v>
      </c>
      <c r="I548" s="218" t="s">
        <v>1208</v>
      </c>
    </row>
    <row r="549" spans="1:9" x14ac:dyDescent="0.25">
      <c r="A549" s="23">
        <v>550</v>
      </c>
      <c r="B549" s="85">
        <v>45692</v>
      </c>
      <c r="C549" s="23" t="s">
        <v>1209</v>
      </c>
      <c r="D549" s="23" t="s">
        <v>178</v>
      </c>
      <c r="G549" s="23">
        <v>0</v>
      </c>
      <c r="I549" s="218" t="s">
        <v>1210</v>
      </c>
    </row>
    <row r="550" spans="1:9" x14ac:dyDescent="0.25">
      <c r="A550" s="23">
        <v>551</v>
      </c>
      <c r="B550" s="85">
        <v>45692</v>
      </c>
      <c r="C550" s="23" t="s">
        <v>1211</v>
      </c>
      <c r="D550" s="23" t="s">
        <v>161</v>
      </c>
      <c r="G550" s="23">
        <v>0</v>
      </c>
      <c r="I550" s="218" t="s">
        <v>1212</v>
      </c>
    </row>
    <row r="551" spans="1:9" x14ac:dyDescent="0.25">
      <c r="A551" s="23">
        <v>552</v>
      </c>
      <c r="B551" s="85">
        <v>45692</v>
      </c>
      <c r="C551" s="23" t="s">
        <v>1028</v>
      </c>
      <c r="D551" s="23" t="s">
        <v>172</v>
      </c>
      <c r="G551" s="23">
        <v>0</v>
      </c>
      <c r="I551" s="218" t="s">
        <v>1213</v>
      </c>
    </row>
    <row r="552" spans="1:9" x14ac:dyDescent="0.25">
      <c r="A552" s="23">
        <v>553</v>
      </c>
      <c r="B552" s="85">
        <v>45692</v>
      </c>
      <c r="C552" s="23" t="s">
        <v>1214</v>
      </c>
      <c r="D552" s="23" t="s">
        <v>162</v>
      </c>
      <c r="G552" s="23">
        <v>0</v>
      </c>
      <c r="I552" s="218" t="s">
        <v>1215</v>
      </c>
    </row>
    <row r="553" spans="1:9" x14ac:dyDescent="0.25">
      <c r="A553" s="23">
        <v>554</v>
      </c>
      <c r="B553" s="85">
        <v>45692</v>
      </c>
      <c r="C553" s="23" t="s">
        <v>674</v>
      </c>
      <c r="D553" s="23" t="s">
        <v>165</v>
      </c>
      <c r="G553" s="23">
        <v>0</v>
      </c>
      <c r="I553" s="218" t="s">
        <v>1216</v>
      </c>
    </row>
    <row r="554" spans="1:9" x14ac:dyDescent="0.25">
      <c r="A554" s="23">
        <v>555</v>
      </c>
      <c r="B554" s="85">
        <v>45692</v>
      </c>
      <c r="C554" s="23" t="s">
        <v>1217</v>
      </c>
      <c r="D554" s="23" t="s">
        <v>144</v>
      </c>
      <c r="G554" s="23">
        <v>0</v>
      </c>
      <c r="I554" s="218" t="s">
        <v>1218</v>
      </c>
    </row>
    <row r="555" spans="1:9" x14ac:dyDescent="0.25">
      <c r="A555" s="23">
        <v>556</v>
      </c>
      <c r="B555" s="85">
        <v>45692</v>
      </c>
      <c r="C555" s="23" t="s">
        <v>1219</v>
      </c>
      <c r="D555" s="23" t="s">
        <v>252</v>
      </c>
      <c r="G555" s="23">
        <v>0</v>
      </c>
      <c r="I555" s="218" t="s">
        <v>1220</v>
      </c>
    </row>
    <row r="556" spans="1:9" x14ac:dyDescent="0.25">
      <c r="A556" s="23">
        <v>557</v>
      </c>
      <c r="B556" s="85">
        <v>45692</v>
      </c>
      <c r="C556" s="23" t="s">
        <v>283</v>
      </c>
      <c r="D556" s="23" t="s">
        <v>273</v>
      </c>
      <c r="G556" s="23">
        <v>0</v>
      </c>
      <c r="I556" s="218" t="s">
        <v>1221</v>
      </c>
    </row>
    <row r="557" spans="1:9" x14ac:dyDescent="0.25">
      <c r="A557" s="23">
        <v>558</v>
      </c>
      <c r="B557" s="85">
        <v>45692</v>
      </c>
      <c r="C557" s="23" t="s">
        <v>282</v>
      </c>
      <c r="D557" s="23" t="s">
        <v>264</v>
      </c>
      <c r="G557" s="23">
        <v>0</v>
      </c>
      <c r="I557" s="218" t="s">
        <v>1222</v>
      </c>
    </row>
    <row r="558" spans="1:9" x14ac:dyDescent="0.25">
      <c r="A558" s="23">
        <v>559</v>
      </c>
      <c r="B558" s="85">
        <v>45692</v>
      </c>
      <c r="C558" s="23" t="s">
        <v>680</v>
      </c>
      <c r="D558" s="23" t="s">
        <v>155</v>
      </c>
      <c r="G558" s="23">
        <v>0.5</v>
      </c>
      <c r="I558" s="218" t="s">
        <v>1223</v>
      </c>
    </row>
    <row r="559" spans="1:9" x14ac:dyDescent="0.25">
      <c r="A559" s="23">
        <v>560</v>
      </c>
      <c r="B559" s="85">
        <v>45692</v>
      </c>
      <c r="C559" s="23" t="s">
        <v>682</v>
      </c>
      <c r="D559" s="23" t="s">
        <v>166</v>
      </c>
      <c r="G559" s="23">
        <v>0</v>
      </c>
      <c r="I559" s="218" t="s">
        <v>1224</v>
      </c>
    </row>
    <row r="560" spans="1:9" x14ac:dyDescent="0.25">
      <c r="A560" s="23">
        <v>561</v>
      </c>
      <c r="B560" s="85">
        <v>45692</v>
      </c>
      <c r="C560" s="23" t="s">
        <v>541</v>
      </c>
      <c r="D560" s="23" t="s">
        <v>272</v>
      </c>
      <c r="G560" s="23">
        <v>0</v>
      </c>
      <c r="I560" s="218" t="s">
        <v>1225</v>
      </c>
    </row>
    <row r="561" spans="1:9" x14ac:dyDescent="0.25">
      <c r="A561" s="23">
        <v>562</v>
      </c>
      <c r="B561" s="85">
        <v>45693</v>
      </c>
      <c r="C561" s="23" t="s">
        <v>1226</v>
      </c>
      <c r="D561" s="23" t="s">
        <v>263</v>
      </c>
      <c r="G561" s="23">
        <v>0</v>
      </c>
      <c r="I561" s="218" t="s">
        <v>1227</v>
      </c>
    </row>
    <row r="562" spans="1:9" x14ac:dyDescent="0.25">
      <c r="A562" s="23">
        <v>563</v>
      </c>
      <c r="B562" s="85">
        <v>45693</v>
      </c>
      <c r="C562" s="23" t="s">
        <v>1228</v>
      </c>
      <c r="D562" s="23" t="s">
        <v>158</v>
      </c>
      <c r="G562" s="23">
        <v>0</v>
      </c>
      <c r="I562" s="218" t="s">
        <v>1229</v>
      </c>
    </row>
    <row r="563" spans="1:9" x14ac:dyDescent="0.25">
      <c r="A563" s="23">
        <v>564</v>
      </c>
      <c r="B563" s="85">
        <v>45693</v>
      </c>
      <c r="C563" s="23" t="s">
        <v>1230</v>
      </c>
      <c r="D563" s="23" t="s">
        <v>158</v>
      </c>
      <c r="G563" s="23">
        <v>1</v>
      </c>
      <c r="I563" s="218" t="s">
        <v>1231</v>
      </c>
    </row>
    <row r="564" spans="1:9" x14ac:dyDescent="0.25">
      <c r="A564" s="23">
        <v>565</v>
      </c>
      <c r="B564" s="85">
        <v>45693</v>
      </c>
      <c r="C564" s="23" t="s">
        <v>1232</v>
      </c>
      <c r="D564" s="23" t="s">
        <v>157</v>
      </c>
      <c r="G564" s="23">
        <v>0</v>
      </c>
      <c r="I564" s="218" t="s">
        <v>1233</v>
      </c>
    </row>
    <row r="565" spans="1:9" x14ac:dyDescent="0.25">
      <c r="A565" s="23">
        <v>566</v>
      </c>
      <c r="B565" s="85">
        <v>45693</v>
      </c>
      <c r="C565" s="23" t="s">
        <v>1234</v>
      </c>
      <c r="D565" s="23" t="s">
        <v>157</v>
      </c>
      <c r="G565" s="23">
        <v>1</v>
      </c>
      <c r="I565" s="218" t="s">
        <v>1235</v>
      </c>
    </row>
    <row r="566" spans="1:9" x14ac:dyDescent="0.25">
      <c r="A566" s="23">
        <v>567</v>
      </c>
      <c r="B566" s="85">
        <v>45693</v>
      </c>
      <c r="C566" s="23" t="s">
        <v>908</v>
      </c>
      <c r="D566" s="23" t="s">
        <v>166</v>
      </c>
      <c r="G566" s="23">
        <v>0.41</v>
      </c>
      <c r="I566" s="218" t="s">
        <v>1236</v>
      </c>
    </row>
    <row r="567" spans="1:9" x14ac:dyDescent="0.25">
      <c r="A567" s="23">
        <v>568</v>
      </c>
      <c r="B567" s="85">
        <v>45693</v>
      </c>
      <c r="C567" s="23" t="s">
        <v>910</v>
      </c>
      <c r="D567" s="23" t="s">
        <v>160</v>
      </c>
      <c r="G567" s="23">
        <v>0</v>
      </c>
      <c r="I567" s="218" t="s">
        <v>1237</v>
      </c>
    </row>
    <row r="568" spans="1:9" x14ac:dyDescent="0.25">
      <c r="A568" s="23">
        <v>569</v>
      </c>
      <c r="B568" s="85">
        <v>45693</v>
      </c>
      <c r="C568" s="23" t="s">
        <v>1238</v>
      </c>
      <c r="D568" s="23" t="s">
        <v>163</v>
      </c>
      <c r="G568" s="23">
        <v>0.8</v>
      </c>
      <c r="I568" s="218" t="s">
        <v>1239</v>
      </c>
    </row>
    <row r="569" spans="1:9" x14ac:dyDescent="0.25">
      <c r="A569" s="23">
        <v>570</v>
      </c>
      <c r="B569" s="85">
        <v>45693</v>
      </c>
      <c r="C569" s="23" t="s">
        <v>1238</v>
      </c>
      <c r="D569" s="23" t="s">
        <v>164</v>
      </c>
      <c r="G569" s="23">
        <v>0.8</v>
      </c>
      <c r="I569" s="218" t="s">
        <v>1240</v>
      </c>
    </row>
    <row r="570" spans="1:9" x14ac:dyDescent="0.25">
      <c r="A570" s="23">
        <v>571</v>
      </c>
      <c r="B570" s="85">
        <v>45693</v>
      </c>
      <c r="C570" s="23" t="s">
        <v>1238</v>
      </c>
      <c r="D570" s="23" t="s">
        <v>186</v>
      </c>
      <c r="G570" s="23">
        <v>0</v>
      </c>
      <c r="I570" s="218" t="s">
        <v>1242</v>
      </c>
    </row>
    <row r="571" spans="1:9" x14ac:dyDescent="0.25">
      <c r="A571" s="23">
        <v>572</v>
      </c>
      <c r="B571" s="85">
        <v>45693</v>
      </c>
      <c r="C571" s="23" t="s">
        <v>1241</v>
      </c>
      <c r="D571" s="23" t="s">
        <v>273</v>
      </c>
      <c r="G571" s="23">
        <v>0.8</v>
      </c>
      <c r="I571" s="218" t="s">
        <v>1243</v>
      </c>
    </row>
    <row r="572" spans="1:9" x14ac:dyDescent="0.25">
      <c r="A572" s="23">
        <v>573</v>
      </c>
      <c r="B572" s="85">
        <v>45693</v>
      </c>
      <c r="C572" s="23" t="s">
        <v>281</v>
      </c>
      <c r="D572" s="23" t="s">
        <v>252</v>
      </c>
      <c r="G572" s="23">
        <v>0.8</v>
      </c>
      <c r="I572" s="218" t="s">
        <v>1244</v>
      </c>
    </row>
    <row r="573" spans="1:9" x14ac:dyDescent="0.25">
      <c r="A573" s="23">
        <v>574</v>
      </c>
      <c r="B573" s="85">
        <v>45693</v>
      </c>
      <c r="C573" s="23" t="s">
        <v>1245</v>
      </c>
      <c r="D573" s="23" t="s">
        <v>163</v>
      </c>
      <c r="G573" s="23">
        <v>0</v>
      </c>
      <c r="I573" s="218" t="s">
        <v>1246</v>
      </c>
    </row>
    <row r="574" spans="1:9" x14ac:dyDescent="0.25">
      <c r="A574" s="23">
        <v>575</v>
      </c>
      <c r="B574" s="85">
        <v>45693</v>
      </c>
      <c r="C574" s="23" t="s">
        <v>1247</v>
      </c>
      <c r="D574" s="23" t="s">
        <v>144</v>
      </c>
      <c r="G574" s="23">
        <v>0.8</v>
      </c>
      <c r="I574" s="218" t="s">
        <v>1248</v>
      </c>
    </row>
    <row r="575" spans="1:9" x14ac:dyDescent="0.25">
      <c r="A575" s="23">
        <v>576</v>
      </c>
      <c r="B575" s="85">
        <v>45693</v>
      </c>
      <c r="C575" s="23" t="s">
        <v>1249</v>
      </c>
      <c r="D575" s="23" t="s">
        <v>164</v>
      </c>
      <c r="G575" s="23">
        <v>0</v>
      </c>
      <c r="I575" s="218" t="s">
        <v>1250</v>
      </c>
    </row>
    <row r="576" spans="1:9" x14ac:dyDescent="0.25">
      <c r="A576" s="23">
        <v>577</v>
      </c>
      <c r="B576" s="85">
        <v>45693</v>
      </c>
      <c r="C576" s="23" t="s">
        <v>1251</v>
      </c>
      <c r="D576" s="23" t="s">
        <v>272</v>
      </c>
      <c r="G576" s="23">
        <v>0.8</v>
      </c>
      <c r="I576" s="218" t="s">
        <v>1252</v>
      </c>
    </row>
    <row r="577" spans="1:9" x14ac:dyDescent="0.25">
      <c r="A577" s="23">
        <v>578</v>
      </c>
      <c r="B577" s="85">
        <v>45693</v>
      </c>
      <c r="C577" s="23" t="s">
        <v>219</v>
      </c>
      <c r="D577" s="23" t="s">
        <v>168</v>
      </c>
      <c r="G577" s="23">
        <v>0.8</v>
      </c>
      <c r="I577" s="218" t="s">
        <v>1253</v>
      </c>
    </row>
    <row r="578" spans="1:9" x14ac:dyDescent="0.25">
      <c r="A578" s="23">
        <v>579</v>
      </c>
      <c r="B578" s="85">
        <v>45693</v>
      </c>
      <c r="C578" s="23" t="s">
        <v>1254</v>
      </c>
      <c r="D578" s="23" t="s">
        <v>263</v>
      </c>
      <c r="G578" s="23">
        <v>0.8</v>
      </c>
      <c r="I578" s="218" t="s">
        <v>1255</v>
      </c>
    </row>
    <row r="579" spans="1:9" x14ac:dyDescent="0.25">
      <c r="A579" s="23">
        <v>580</v>
      </c>
      <c r="B579" s="85">
        <v>45693</v>
      </c>
      <c r="C579" s="23" t="s">
        <v>1256</v>
      </c>
      <c r="D579" s="23" t="s">
        <v>168</v>
      </c>
      <c r="G579" s="23">
        <v>0</v>
      </c>
      <c r="I579" s="218" t="s">
        <v>1253</v>
      </c>
    </row>
    <row r="580" spans="1:9" x14ac:dyDescent="0.25">
      <c r="A580" s="23">
        <v>581</v>
      </c>
      <c r="B580" s="85">
        <v>45693</v>
      </c>
      <c r="C580" s="23" t="s">
        <v>1257</v>
      </c>
      <c r="D580" s="23" t="s">
        <v>144</v>
      </c>
      <c r="G580" s="23">
        <v>0</v>
      </c>
      <c r="I580" s="218" t="s">
        <v>1258</v>
      </c>
    </row>
    <row r="581" spans="1:9" x14ac:dyDescent="0.25">
      <c r="A581" s="23">
        <v>582</v>
      </c>
      <c r="B581" s="85">
        <v>45693</v>
      </c>
      <c r="C581" s="23" t="s">
        <v>234</v>
      </c>
      <c r="D581" s="23" t="s">
        <v>144</v>
      </c>
      <c r="G581" s="23">
        <v>0.95</v>
      </c>
      <c r="I581" s="218" t="s">
        <v>295</v>
      </c>
    </row>
    <row r="582" spans="1:9" x14ac:dyDescent="0.25">
      <c r="A582" s="23">
        <v>583</v>
      </c>
      <c r="B582" s="85">
        <v>45693</v>
      </c>
      <c r="C582" s="23" t="s">
        <v>234</v>
      </c>
      <c r="D582" s="23" t="s">
        <v>174</v>
      </c>
      <c r="G582" s="23">
        <v>0.8</v>
      </c>
      <c r="I582" s="218" t="s">
        <v>1259</v>
      </c>
    </row>
    <row r="583" spans="1:9" x14ac:dyDescent="0.25">
      <c r="A583" s="23">
        <v>584</v>
      </c>
      <c r="B583" s="85">
        <v>45693</v>
      </c>
      <c r="C583" s="23" t="s">
        <v>255</v>
      </c>
      <c r="D583" s="23" t="s">
        <v>170</v>
      </c>
      <c r="G583" s="23">
        <v>0.8</v>
      </c>
      <c r="I583" s="218" t="s">
        <v>1260</v>
      </c>
    </row>
    <row r="584" spans="1:9" x14ac:dyDescent="0.25">
      <c r="A584" s="23">
        <v>585</v>
      </c>
      <c r="B584" s="85">
        <v>45693</v>
      </c>
      <c r="C584" s="23" t="s">
        <v>1077</v>
      </c>
      <c r="D584" s="23" t="s">
        <v>169</v>
      </c>
      <c r="G584" s="23">
        <v>0.78</v>
      </c>
      <c r="I584" s="218" t="s">
        <v>1261</v>
      </c>
    </row>
    <row r="585" spans="1:9" x14ac:dyDescent="0.25">
      <c r="A585" s="23">
        <v>586</v>
      </c>
      <c r="B585" s="85">
        <v>45693</v>
      </c>
      <c r="C585" s="23" t="s">
        <v>1079</v>
      </c>
      <c r="D585" s="23" t="s">
        <v>159</v>
      </c>
      <c r="G585" s="23">
        <v>0</v>
      </c>
      <c r="I585" s="218" t="s">
        <v>1262</v>
      </c>
    </row>
    <row r="586" spans="1:9" x14ac:dyDescent="0.25">
      <c r="A586" s="23">
        <v>587</v>
      </c>
      <c r="B586" s="85">
        <v>45693</v>
      </c>
      <c r="C586" s="23" t="s">
        <v>1263</v>
      </c>
      <c r="D586" s="23" t="s">
        <v>172</v>
      </c>
      <c r="G586" s="23">
        <v>0.8</v>
      </c>
      <c r="I586" s="218" t="s">
        <v>1264</v>
      </c>
    </row>
    <row r="587" spans="1:9" x14ac:dyDescent="0.25">
      <c r="A587" s="23">
        <v>588</v>
      </c>
      <c r="B587" s="85">
        <v>45693</v>
      </c>
      <c r="C587" s="23" t="s">
        <v>195</v>
      </c>
      <c r="D587" s="23" t="s">
        <v>170</v>
      </c>
      <c r="G587" s="23">
        <v>0</v>
      </c>
      <c r="I587" s="218" t="s">
        <v>1265</v>
      </c>
    </row>
    <row r="588" spans="1:9" x14ac:dyDescent="0.25">
      <c r="A588" s="23">
        <v>589</v>
      </c>
      <c r="B588" s="85">
        <v>45693</v>
      </c>
      <c r="C588" s="23" t="s">
        <v>1266</v>
      </c>
      <c r="D588" s="23" t="s">
        <v>186</v>
      </c>
      <c r="G588" s="23">
        <v>0.5</v>
      </c>
      <c r="I588" s="218" t="s">
        <v>1267</v>
      </c>
    </row>
    <row r="589" spans="1:9" x14ac:dyDescent="0.25">
      <c r="A589" s="23">
        <v>590</v>
      </c>
      <c r="B589" s="85">
        <v>45693</v>
      </c>
      <c r="C589" s="23" t="s">
        <v>750</v>
      </c>
      <c r="D589" s="23" t="s">
        <v>172</v>
      </c>
      <c r="G589" s="23">
        <v>0</v>
      </c>
      <c r="I589" s="218" t="s">
        <v>1264</v>
      </c>
    </row>
    <row r="590" spans="1:9" x14ac:dyDescent="0.25">
      <c r="A590" s="23">
        <v>591</v>
      </c>
      <c r="B590" s="85">
        <v>45693</v>
      </c>
      <c r="C590" s="23" t="s">
        <v>1268</v>
      </c>
      <c r="D590" s="23" t="s">
        <v>174</v>
      </c>
      <c r="G590" s="23">
        <v>0</v>
      </c>
      <c r="I590" s="218" t="s">
        <v>1269</v>
      </c>
    </row>
    <row r="591" spans="1:9" x14ac:dyDescent="0.25">
      <c r="A591" s="23">
        <v>592</v>
      </c>
      <c r="B591" s="85">
        <v>45693</v>
      </c>
      <c r="C591" s="23" t="s">
        <v>1106</v>
      </c>
      <c r="D591" s="23" t="s">
        <v>173</v>
      </c>
      <c r="G591" s="23">
        <v>0.8</v>
      </c>
      <c r="I591" s="218" t="s">
        <v>1270</v>
      </c>
    </row>
    <row r="592" spans="1:9" x14ac:dyDescent="0.25">
      <c r="A592" s="23">
        <v>593</v>
      </c>
      <c r="B592" s="85">
        <v>45693</v>
      </c>
      <c r="C592" s="23" t="s">
        <v>1271</v>
      </c>
      <c r="D592" s="23" t="s">
        <v>162</v>
      </c>
      <c r="G592" s="23">
        <v>0.8</v>
      </c>
      <c r="I592" s="218" t="s">
        <v>1272</v>
      </c>
    </row>
    <row r="593" spans="1:9" x14ac:dyDescent="0.25">
      <c r="A593" s="23">
        <v>594</v>
      </c>
      <c r="B593" s="85">
        <v>45693</v>
      </c>
      <c r="C593" s="23" t="s">
        <v>1273</v>
      </c>
      <c r="D593" s="23" t="s">
        <v>163</v>
      </c>
      <c r="G593" s="23">
        <v>0.8</v>
      </c>
      <c r="I593" s="218" t="s">
        <v>1274</v>
      </c>
    </row>
    <row r="594" spans="1:9" x14ac:dyDescent="0.25">
      <c r="A594" s="23">
        <v>595</v>
      </c>
      <c r="B594" s="85">
        <v>45693</v>
      </c>
      <c r="C594" s="23" t="s">
        <v>1275</v>
      </c>
      <c r="D594" s="23" t="s">
        <v>164</v>
      </c>
      <c r="G594" s="23">
        <v>0.8</v>
      </c>
      <c r="I594" s="218" t="s">
        <v>1276</v>
      </c>
    </row>
    <row r="595" spans="1:9" x14ac:dyDescent="0.25">
      <c r="A595" s="23">
        <v>596</v>
      </c>
      <c r="B595" s="85">
        <v>45693</v>
      </c>
      <c r="C595" s="23" t="s">
        <v>1277</v>
      </c>
      <c r="D595" s="23" t="s">
        <v>264</v>
      </c>
      <c r="G595" s="23">
        <v>0.8</v>
      </c>
      <c r="I595" s="218" t="s">
        <v>1278</v>
      </c>
    </row>
    <row r="596" spans="1:9" x14ac:dyDescent="0.25">
      <c r="A596" s="23">
        <v>597</v>
      </c>
      <c r="B596" s="85">
        <v>45693</v>
      </c>
      <c r="C596" s="23" t="s">
        <v>1102</v>
      </c>
      <c r="D596" s="23" t="s">
        <v>178</v>
      </c>
      <c r="G596" s="23">
        <v>0.8</v>
      </c>
      <c r="I596" s="218" t="s">
        <v>1279</v>
      </c>
    </row>
    <row r="597" spans="1:9" x14ac:dyDescent="0.25">
      <c r="A597" s="23">
        <v>598</v>
      </c>
      <c r="B597" s="85">
        <v>45693</v>
      </c>
      <c r="C597" s="23" t="s">
        <v>586</v>
      </c>
      <c r="D597" s="23" t="s">
        <v>177</v>
      </c>
      <c r="G597" s="23">
        <v>0.83</v>
      </c>
      <c r="I597" s="218" t="s">
        <v>1280</v>
      </c>
    </row>
    <row r="598" spans="1:9" x14ac:dyDescent="0.25">
      <c r="A598" s="23">
        <v>599</v>
      </c>
      <c r="B598" s="85">
        <v>45693</v>
      </c>
      <c r="C598" s="23" t="s">
        <v>1281</v>
      </c>
      <c r="D598" s="23" t="s">
        <v>165</v>
      </c>
      <c r="G598" s="23">
        <v>0.8</v>
      </c>
      <c r="I598" s="218" t="s">
        <v>1282</v>
      </c>
    </row>
    <row r="599" spans="1:9" x14ac:dyDescent="0.25">
      <c r="A599" s="23">
        <v>600</v>
      </c>
      <c r="B599" s="85">
        <v>45693</v>
      </c>
      <c r="C599" s="23" t="s">
        <v>216</v>
      </c>
      <c r="D599" s="23" t="s">
        <v>168</v>
      </c>
      <c r="G599" s="23">
        <v>0.8</v>
      </c>
      <c r="I599" s="218" t="s">
        <v>1283</v>
      </c>
    </row>
    <row r="600" spans="1:9" x14ac:dyDescent="0.25">
      <c r="A600" s="23">
        <v>601</v>
      </c>
      <c r="B600" s="85">
        <v>45693</v>
      </c>
      <c r="C600" s="23" t="s">
        <v>1284</v>
      </c>
      <c r="D600" s="23" t="s">
        <v>170</v>
      </c>
      <c r="G600" s="23">
        <v>0.8</v>
      </c>
      <c r="I600" s="218" t="s">
        <v>295</v>
      </c>
    </row>
    <row r="601" spans="1:9" x14ac:dyDescent="0.25">
      <c r="A601" s="23">
        <v>602</v>
      </c>
      <c r="B601" s="85">
        <v>45693</v>
      </c>
      <c r="C601" s="23" t="s">
        <v>1285</v>
      </c>
      <c r="D601" s="23" t="s">
        <v>174</v>
      </c>
      <c r="G601" s="23">
        <v>0.8</v>
      </c>
      <c r="I601" s="218" t="s">
        <v>1286</v>
      </c>
    </row>
    <row r="602" spans="1:9" x14ac:dyDescent="0.25">
      <c r="A602" s="23">
        <v>603</v>
      </c>
      <c r="B602" s="85">
        <v>45693</v>
      </c>
      <c r="C602" s="23" t="s">
        <v>1287</v>
      </c>
      <c r="D602" s="23" t="s">
        <v>172</v>
      </c>
      <c r="G602" s="23">
        <v>0.8</v>
      </c>
      <c r="I602" s="218" t="s">
        <v>1288</v>
      </c>
    </row>
    <row r="603" spans="1:9" x14ac:dyDescent="0.25">
      <c r="A603" s="23">
        <v>604</v>
      </c>
      <c r="B603" s="85">
        <v>45693</v>
      </c>
      <c r="C603" s="23" t="s">
        <v>1289</v>
      </c>
      <c r="D603" s="23" t="s">
        <v>184</v>
      </c>
      <c r="G603" s="23" t="s">
        <v>9</v>
      </c>
      <c r="I603" s="218" t="s">
        <v>1290</v>
      </c>
    </row>
    <row r="604" spans="1:9" x14ac:dyDescent="0.25">
      <c r="A604" s="23">
        <v>605</v>
      </c>
      <c r="B604" s="85">
        <v>45693</v>
      </c>
      <c r="C604" s="23" t="s">
        <v>1289</v>
      </c>
      <c r="D604" s="23" t="s">
        <v>176</v>
      </c>
      <c r="G604" s="23" t="s">
        <v>9</v>
      </c>
      <c r="I604" s="218" t="s">
        <v>1291</v>
      </c>
    </row>
    <row r="605" spans="1:9" x14ac:dyDescent="0.25">
      <c r="A605" s="23">
        <v>606</v>
      </c>
      <c r="B605" s="85">
        <v>45693</v>
      </c>
      <c r="C605" s="23" t="s">
        <v>1289</v>
      </c>
      <c r="D605" s="23" t="s">
        <v>202</v>
      </c>
      <c r="G605" s="23" t="s">
        <v>9</v>
      </c>
      <c r="I605" s="218" t="s">
        <v>1292</v>
      </c>
    </row>
    <row r="606" spans="1:9" x14ac:dyDescent="0.25">
      <c r="A606" s="23">
        <v>607</v>
      </c>
      <c r="B606" s="85">
        <v>45693</v>
      </c>
      <c r="C606" s="23" t="s">
        <v>1289</v>
      </c>
      <c r="D606" s="23" t="s">
        <v>145</v>
      </c>
      <c r="G606" s="23" t="s">
        <v>9</v>
      </c>
      <c r="I606" s="218" t="s">
        <v>1293</v>
      </c>
    </row>
    <row r="607" spans="1:9" x14ac:dyDescent="0.25">
      <c r="A607" s="23">
        <v>608</v>
      </c>
      <c r="B607" s="85">
        <v>45693</v>
      </c>
      <c r="C607" s="23" t="s">
        <v>1295</v>
      </c>
      <c r="D607" s="23" t="s">
        <v>161</v>
      </c>
      <c r="G607" s="23">
        <v>0.8</v>
      </c>
      <c r="I607" s="218" t="s">
        <v>1296</v>
      </c>
    </row>
    <row r="608" spans="1:9" x14ac:dyDescent="0.25">
      <c r="A608" s="23">
        <v>609</v>
      </c>
      <c r="B608" s="85">
        <v>45693</v>
      </c>
      <c r="C608" s="23" t="s">
        <v>167</v>
      </c>
      <c r="D608" s="23" t="s">
        <v>155</v>
      </c>
      <c r="G608" s="23">
        <v>0</v>
      </c>
      <c r="I608" s="218" t="s">
        <v>1297</v>
      </c>
    </row>
    <row r="609" spans="1:9" x14ac:dyDescent="0.25">
      <c r="A609" s="23">
        <v>610</v>
      </c>
      <c r="B609" s="85">
        <v>45693</v>
      </c>
      <c r="C609" s="23" t="s">
        <v>156</v>
      </c>
      <c r="D609" s="23" t="s">
        <v>160</v>
      </c>
      <c r="G609" s="23">
        <v>0.6</v>
      </c>
      <c r="I609" s="218" t="s">
        <v>1298</v>
      </c>
    </row>
    <row r="610" spans="1:9" x14ac:dyDescent="0.25">
      <c r="A610" s="23">
        <v>611</v>
      </c>
      <c r="B610" s="85">
        <v>45693</v>
      </c>
      <c r="C610" s="23" t="s">
        <v>1299</v>
      </c>
      <c r="D610" s="23" t="s">
        <v>144</v>
      </c>
      <c r="G610" s="23">
        <v>0</v>
      </c>
      <c r="I610" s="218" t="s">
        <v>1300</v>
      </c>
    </row>
    <row r="611" spans="1:9" x14ac:dyDescent="0.25">
      <c r="A611" s="23">
        <v>612</v>
      </c>
      <c r="B611" s="85">
        <v>45693</v>
      </c>
      <c r="C611" s="23" t="s">
        <v>1299</v>
      </c>
      <c r="D611" s="23" t="s">
        <v>144</v>
      </c>
      <c r="G611" s="23" t="s">
        <v>9</v>
      </c>
      <c r="I611" s="218" t="s">
        <v>295</v>
      </c>
    </row>
    <row r="612" spans="1:9" x14ac:dyDescent="0.25">
      <c r="A612" s="23">
        <v>613</v>
      </c>
      <c r="B612" s="85">
        <v>45693</v>
      </c>
      <c r="C612" s="23" t="s">
        <v>179</v>
      </c>
      <c r="D612" s="23" t="s">
        <v>144</v>
      </c>
      <c r="G612" s="23">
        <v>1</v>
      </c>
      <c r="I612" s="218" t="s">
        <v>295</v>
      </c>
    </row>
    <row r="613" spans="1:9" x14ac:dyDescent="0.25">
      <c r="A613" s="23">
        <v>614</v>
      </c>
      <c r="B613" s="85">
        <v>45693</v>
      </c>
      <c r="C613" s="23" t="s">
        <v>1301</v>
      </c>
      <c r="D613" s="23" t="s">
        <v>177</v>
      </c>
      <c r="G613" s="23">
        <v>0</v>
      </c>
      <c r="I613" s="218" t="s">
        <v>1302</v>
      </c>
    </row>
    <row r="614" spans="1:9" x14ac:dyDescent="0.25">
      <c r="A614" s="23">
        <v>615</v>
      </c>
      <c r="B614" s="85">
        <v>45693</v>
      </c>
      <c r="C614" s="23" t="s">
        <v>223</v>
      </c>
      <c r="D614" s="23" t="s">
        <v>177</v>
      </c>
      <c r="G614" s="23">
        <v>0.8</v>
      </c>
      <c r="I614" s="218" t="s">
        <v>295</v>
      </c>
    </row>
    <row r="615" spans="1:9" x14ac:dyDescent="0.25">
      <c r="A615" s="23">
        <v>616</v>
      </c>
      <c r="B615" s="85">
        <v>45693</v>
      </c>
      <c r="C615" s="23" t="s">
        <v>1303</v>
      </c>
      <c r="D615" s="23" t="s">
        <v>251</v>
      </c>
      <c r="G615" s="23">
        <v>0.8</v>
      </c>
      <c r="I615" s="218" t="s">
        <v>1304</v>
      </c>
    </row>
    <row r="616" spans="1:9" x14ac:dyDescent="0.25">
      <c r="A616" s="23">
        <v>617</v>
      </c>
      <c r="B616" s="85">
        <v>45693</v>
      </c>
      <c r="C616" s="23" t="s">
        <v>1305</v>
      </c>
      <c r="D616" s="23" t="s">
        <v>148</v>
      </c>
      <c r="G616" s="23" t="s">
        <v>9</v>
      </c>
      <c r="I616" s="218" t="s">
        <v>1306</v>
      </c>
    </row>
    <row r="617" spans="1:9" x14ac:dyDescent="0.25">
      <c r="A617" s="23">
        <v>619</v>
      </c>
      <c r="B617" s="85">
        <v>45693</v>
      </c>
      <c r="C617" s="23" t="s">
        <v>1307</v>
      </c>
      <c r="D617" s="23" t="s">
        <v>251</v>
      </c>
      <c r="G617" s="23" t="s">
        <v>9</v>
      </c>
      <c r="I617" s="218" t="s">
        <v>1308</v>
      </c>
    </row>
    <row r="618" spans="1:9" x14ac:dyDescent="0.25">
      <c r="A618" s="23">
        <v>619</v>
      </c>
      <c r="B618" s="85">
        <v>45693</v>
      </c>
      <c r="C618" s="23" t="s">
        <v>1310</v>
      </c>
      <c r="D618" s="23" t="s">
        <v>302</v>
      </c>
      <c r="G618" s="23">
        <v>0.8</v>
      </c>
      <c r="I618" s="218" t="s">
        <v>1311</v>
      </c>
    </row>
    <row r="619" spans="1:9" x14ac:dyDescent="0.25">
      <c r="A619" s="23">
        <v>620</v>
      </c>
      <c r="B619" s="85">
        <v>45693</v>
      </c>
      <c r="C619" s="23" t="s">
        <v>1312</v>
      </c>
      <c r="D619" s="23" t="s">
        <v>264</v>
      </c>
      <c r="G619" s="23">
        <v>0</v>
      </c>
      <c r="I619" s="218" t="s">
        <v>1313</v>
      </c>
    </row>
    <row r="620" spans="1:9" x14ac:dyDescent="0.25">
      <c r="A620" s="23">
        <v>622</v>
      </c>
      <c r="B620" s="85">
        <v>45693</v>
      </c>
      <c r="C620" s="23" t="s">
        <v>1315</v>
      </c>
      <c r="D620" s="23" t="s">
        <v>178</v>
      </c>
      <c r="G620" s="23">
        <v>0</v>
      </c>
      <c r="I620" s="218" t="s">
        <v>1316</v>
      </c>
    </row>
    <row r="621" spans="1:9" x14ac:dyDescent="0.25">
      <c r="A621" s="23">
        <v>623</v>
      </c>
      <c r="B621" s="85">
        <v>45693</v>
      </c>
      <c r="C621" s="23" t="s">
        <v>247</v>
      </c>
      <c r="D621" s="23" t="s">
        <v>268</v>
      </c>
      <c r="G621" s="23">
        <v>0.8</v>
      </c>
      <c r="I621" s="218" t="s">
        <v>1317</v>
      </c>
    </row>
    <row r="622" spans="1:9" x14ac:dyDescent="0.25">
      <c r="A622" s="23">
        <v>624</v>
      </c>
      <c r="B622" s="85">
        <v>45693</v>
      </c>
      <c r="C622" s="23" t="s">
        <v>1318</v>
      </c>
      <c r="D622" s="23" t="s">
        <v>202</v>
      </c>
      <c r="G622" s="23">
        <v>0.8</v>
      </c>
      <c r="H622" s="23" t="s">
        <v>1320</v>
      </c>
      <c r="I622" s="218" t="s">
        <v>1319</v>
      </c>
    </row>
    <row r="623" spans="1:9" x14ac:dyDescent="0.25">
      <c r="A623" s="23">
        <v>625</v>
      </c>
      <c r="B623" s="85">
        <v>45693</v>
      </c>
      <c r="C623" s="23" t="s">
        <v>1321</v>
      </c>
      <c r="D623" s="23" t="s">
        <v>268</v>
      </c>
      <c r="G623" s="23">
        <v>0</v>
      </c>
      <c r="I623" s="218" t="s">
        <v>1317</v>
      </c>
    </row>
    <row r="624" spans="1:9" x14ac:dyDescent="0.25">
      <c r="A624" s="23">
        <v>625</v>
      </c>
      <c r="B624" s="85">
        <v>45693</v>
      </c>
      <c r="C624" s="23" t="s">
        <v>1314</v>
      </c>
      <c r="D624" s="23" t="s">
        <v>264</v>
      </c>
      <c r="G624" s="23">
        <v>0.8</v>
      </c>
      <c r="I624" s="218" t="s">
        <v>1322</v>
      </c>
    </row>
    <row r="625" spans="1:9" x14ac:dyDescent="0.25">
      <c r="A625" s="23">
        <v>626</v>
      </c>
      <c r="B625" s="85">
        <v>45693</v>
      </c>
      <c r="C625" s="23" t="s">
        <v>1323</v>
      </c>
      <c r="D625" s="23" t="s">
        <v>302</v>
      </c>
      <c r="G625" s="23">
        <v>0</v>
      </c>
      <c r="I625" s="218" t="s">
        <v>1324</v>
      </c>
    </row>
    <row r="626" spans="1:9" x14ac:dyDescent="0.25">
      <c r="A626" s="23">
        <v>627</v>
      </c>
      <c r="B626" s="85">
        <v>45693</v>
      </c>
      <c r="C626" s="23" t="s">
        <v>480</v>
      </c>
      <c r="D626" s="23" t="s">
        <v>178</v>
      </c>
      <c r="G626" s="23">
        <v>0.8</v>
      </c>
      <c r="I626" s="218" t="s">
        <v>1325</v>
      </c>
    </row>
    <row r="627" spans="1:9" x14ac:dyDescent="0.25">
      <c r="A627" s="23">
        <v>628</v>
      </c>
      <c r="B627" s="85">
        <v>45693</v>
      </c>
      <c r="C627" s="23" t="s">
        <v>1326</v>
      </c>
      <c r="D627" s="23" t="s">
        <v>302</v>
      </c>
      <c r="G627" s="23">
        <v>0.8</v>
      </c>
      <c r="I627" s="218" t="s">
        <v>295</v>
      </c>
    </row>
    <row r="628" spans="1:9" x14ac:dyDescent="0.25">
      <c r="A628" s="23">
        <v>629</v>
      </c>
      <c r="B628" s="85">
        <v>45693</v>
      </c>
      <c r="C628" s="23" t="s">
        <v>1327</v>
      </c>
      <c r="D628" s="23" t="s">
        <v>178</v>
      </c>
      <c r="G628" s="23">
        <v>0</v>
      </c>
      <c r="I628" s="218" t="s">
        <v>1325</v>
      </c>
    </row>
    <row r="629" spans="1:9" x14ac:dyDescent="0.25">
      <c r="A629" s="23">
        <v>630</v>
      </c>
      <c r="B629" s="85">
        <v>45693</v>
      </c>
      <c r="C629" s="23" t="s">
        <v>1328</v>
      </c>
      <c r="D629" s="23" t="s">
        <v>161</v>
      </c>
      <c r="G629" s="23">
        <v>0</v>
      </c>
      <c r="I629" s="218" t="s">
        <v>1329</v>
      </c>
    </row>
    <row r="630" spans="1:9" x14ac:dyDescent="0.25">
      <c r="A630" s="23">
        <v>631</v>
      </c>
      <c r="B630" s="85">
        <v>45693</v>
      </c>
      <c r="C630" s="23" t="s">
        <v>1330</v>
      </c>
      <c r="D630" s="23" t="s">
        <v>162</v>
      </c>
      <c r="G630" s="23">
        <v>0</v>
      </c>
      <c r="I630" s="218" t="s">
        <v>1331</v>
      </c>
    </row>
    <row r="631" spans="1:9" x14ac:dyDescent="0.25">
      <c r="A631" s="23">
        <v>632</v>
      </c>
      <c r="B631" s="85">
        <v>45693</v>
      </c>
      <c r="C631" s="23" t="s">
        <v>528</v>
      </c>
      <c r="D631" s="23" t="s">
        <v>173</v>
      </c>
      <c r="G631" s="23">
        <v>0</v>
      </c>
      <c r="I631" s="218" t="s">
        <v>1332</v>
      </c>
    </row>
    <row r="632" spans="1:9" x14ac:dyDescent="0.25">
      <c r="A632" s="23">
        <v>633</v>
      </c>
      <c r="B632" s="85">
        <v>45693</v>
      </c>
      <c r="C632" s="23" t="s">
        <v>641</v>
      </c>
      <c r="D632" s="23" t="s">
        <v>163</v>
      </c>
      <c r="G632" s="23">
        <v>0</v>
      </c>
      <c r="I632" s="218" t="s">
        <v>1333</v>
      </c>
    </row>
    <row r="633" spans="1:9" x14ac:dyDescent="0.25">
      <c r="A633" s="23">
        <v>634</v>
      </c>
      <c r="B633" s="85">
        <v>45693</v>
      </c>
      <c r="C633" s="23" t="s">
        <v>1164</v>
      </c>
      <c r="D633" s="23" t="s">
        <v>164</v>
      </c>
      <c r="G633" s="23">
        <v>0</v>
      </c>
      <c r="I633" s="218" t="s">
        <v>1334</v>
      </c>
    </row>
    <row r="634" spans="1:9" x14ac:dyDescent="0.25">
      <c r="A634" s="23">
        <v>635</v>
      </c>
      <c r="B634" s="85">
        <v>45693</v>
      </c>
      <c r="C634" s="23" t="s">
        <v>244</v>
      </c>
      <c r="D634" s="23" t="s">
        <v>165</v>
      </c>
      <c r="G634" s="23">
        <v>0</v>
      </c>
      <c r="I634" s="218" t="s">
        <v>1335</v>
      </c>
    </row>
    <row r="635" spans="1:9" x14ac:dyDescent="0.25">
      <c r="A635" s="23">
        <v>636</v>
      </c>
      <c r="B635" s="85">
        <v>45693</v>
      </c>
      <c r="C635" s="23" t="s">
        <v>526</v>
      </c>
      <c r="D635" s="23" t="s">
        <v>155</v>
      </c>
      <c r="G635" s="23">
        <v>0.61499999999999999</v>
      </c>
      <c r="I635" s="218" t="s">
        <v>1336</v>
      </c>
    </row>
    <row r="636" spans="1:9" x14ac:dyDescent="0.25">
      <c r="A636" s="23">
        <v>637</v>
      </c>
      <c r="B636" s="85">
        <v>45693</v>
      </c>
      <c r="C636" s="23" t="s">
        <v>528</v>
      </c>
      <c r="D636" s="23" t="s">
        <v>166</v>
      </c>
      <c r="G636" s="23">
        <v>0</v>
      </c>
      <c r="I636" s="218" t="s">
        <v>1337</v>
      </c>
    </row>
    <row r="637" spans="1:9" x14ac:dyDescent="0.25">
      <c r="A637" s="23">
        <v>638</v>
      </c>
      <c r="B637" s="85">
        <v>45693</v>
      </c>
      <c r="C637" s="23" t="s">
        <v>1338</v>
      </c>
      <c r="D637" s="23" t="s">
        <v>168</v>
      </c>
      <c r="G637" s="23">
        <v>0</v>
      </c>
      <c r="I637" s="218" t="s">
        <v>1339</v>
      </c>
    </row>
    <row r="638" spans="1:9" x14ac:dyDescent="0.25">
      <c r="A638" s="23">
        <v>639</v>
      </c>
      <c r="B638" s="85">
        <v>45693</v>
      </c>
      <c r="C638" s="23" t="s">
        <v>1340</v>
      </c>
      <c r="D638" s="23" t="s">
        <v>178</v>
      </c>
      <c r="G638" s="23">
        <v>0.8</v>
      </c>
      <c r="I638" s="218" t="s">
        <v>1341</v>
      </c>
    </row>
    <row r="639" spans="1:9" x14ac:dyDescent="0.25">
      <c r="A639" s="23">
        <v>640</v>
      </c>
      <c r="B639" s="85">
        <v>45693</v>
      </c>
      <c r="C639" s="23" t="s">
        <v>190</v>
      </c>
      <c r="D639" s="23" t="s">
        <v>162</v>
      </c>
      <c r="G639" s="23">
        <v>0.8</v>
      </c>
      <c r="I639" s="218" t="s">
        <v>1342</v>
      </c>
    </row>
    <row r="640" spans="1:9" x14ac:dyDescent="0.25">
      <c r="A640" s="23">
        <v>641</v>
      </c>
      <c r="B640" s="85">
        <v>45693</v>
      </c>
      <c r="C640" s="23" t="s">
        <v>190</v>
      </c>
      <c r="D640" s="23" t="s">
        <v>161</v>
      </c>
      <c r="G640" s="23">
        <v>0.8</v>
      </c>
      <c r="I640" s="218" t="s">
        <v>1343</v>
      </c>
    </row>
    <row r="641" spans="1:9" x14ac:dyDescent="0.25">
      <c r="A641" s="23">
        <v>642</v>
      </c>
      <c r="B641" s="85">
        <v>45693</v>
      </c>
      <c r="C641" s="23" t="s">
        <v>1344</v>
      </c>
      <c r="D641" s="23" t="s">
        <v>159</v>
      </c>
      <c r="G641" s="23">
        <v>0.88</v>
      </c>
      <c r="I641" s="218" t="s">
        <v>1345</v>
      </c>
    </row>
    <row r="642" spans="1:9" x14ac:dyDescent="0.25">
      <c r="A642" s="23">
        <v>643</v>
      </c>
      <c r="B642" s="85">
        <v>45693</v>
      </c>
      <c r="C642" s="23" t="s">
        <v>1346</v>
      </c>
      <c r="D642" s="23" t="s">
        <v>169</v>
      </c>
      <c r="G642" s="23">
        <v>0</v>
      </c>
      <c r="I642" s="218" t="s">
        <v>1347</v>
      </c>
    </row>
    <row r="643" spans="1:9" x14ac:dyDescent="0.25">
      <c r="A643" s="23">
        <v>644</v>
      </c>
      <c r="B643" s="85">
        <v>45693</v>
      </c>
      <c r="C643" s="23" t="s">
        <v>270</v>
      </c>
      <c r="D643" s="23" t="s">
        <v>173</v>
      </c>
      <c r="G643" s="23">
        <v>0.8</v>
      </c>
      <c r="I643" s="218" t="s">
        <v>1348</v>
      </c>
    </row>
    <row r="644" spans="1:9" x14ac:dyDescent="0.25">
      <c r="A644" s="23">
        <v>645</v>
      </c>
      <c r="B644" s="85">
        <v>45693</v>
      </c>
      <c r="C644" s="23" t="s">
        <v>1349</v>
      </c>
      <c r="D644" s="23" t="s">
        <v>163</v>
      </c>
      <c r="G644" s="23">
        <v>0.8</v>
      </c>
      <c r="I644" s="218" t="s">
        <v>1350</v>
      </c>
    </row>
    <row r="645" spans="1:9" x14ac:dyDescent="0.25">
      <c r="A645" s="23">
        <v>646</v>
      </c>
      <c r="B645" s="85">
        <v>45693</v>
      </c>
      <c r="C645" s="23" t="s">
        <v>837</v>
      </c>
      <c r="D645" s="23" t="s">
        <v>164</v>
      </c>
      <c r="G645" s="23">
        <v>0.8</v>
      </c>
      <c r="I645" s="218" t="s">
        <v>1351</v>
      </c>
    </row>
    <row r="646" spans="1:9" x14ac:dyDescent="0.25">
      <c r="A646" s="23">
        <v>647</v>
      </c>
      <c r="B646" s="85">
        <v>45693</v>
      </c>
      <c r="C646" s="23" t="s">
        <v>1008</v>
      </c>
      <c r="D646" s="23" t="s">
        <v>165</v>
      </c>
      <c r="G646" s="23">
        <v>0.8</v>
      </c>
      <c r="I646" s="218" t="s">
        <v>1352</v>
      </c>
    </row>
    <row r="647" spans="1:9" x14ac:dyDescent="0.25">
      <c r="A647" s="23">
        <v>648</v>
      </c>
      <c r="B647" s="85">
        <v>45693</v>
      </c>
      <c r="C647" s="23" t="s">
        <v>1353</v>
      </c>
      <c r="D647" s="23" t="s">
        <v>168</v>
      </c>
      <c r="G647" s="23">
        <v>0.8</v>
      </c>
      <c r="I647" s="218" t="s">
        <v>1354</v>
      </c>
    </row>
    <row r="648" spans="1:9" x14ac:dyDescent="0.25">
      <c r="A648" s="23">
        <v>649</v>
      </c>
      <c r="B648" s="85">
        <v>45693</v>
      </c>
      <c r="C648" s="23" t="s">
        <v>205</v>
      </c>
      <c r="D648" s="23" t="s">
        <v>168</v>
      </c>
      <c r="G648" s="23">
        <v>0</v>
      </c>
      <c r="I648" s="218" t="s">
        <v>1356</v>
      </c>
    </row>
    <row r="649" spans="1:9" x14ac:dyDescent="0.25">
      <c r="A649" s="23">
        <v>650</v>
      </c>
      <c r="B649" s="85">
        <v>45693</v>
      </c>
      <c r="C649" s="23" t="s">
        <v>1357</v>
      </c>
      <c r="D649" s="23" t="s">
        <v>170</v>
      </c>
      <c r="G649" s="23">
        <v>0</v>
      </c>
      <c r="I649" s="218" t="s">
        <v>1358</v>
      </c>
    </row>
    <row r="650" spans="1:9" x14ac:dyDescent="0.25">
      <c r="A650" s="23">
        <v>651</v>
      </c>
      <c r="B650" s="85">
        <v>45693</v>
      </c>
      <c r="C650" s="23" t="s">
        <v>1359</v>
      </c>
      <c r="D650" s="23" t="s">
        <v>202</v>
      </c>
      <c r="G650" s="23">
        <v>0</v>
      </c>
      <c r="I650" s="218" t="s">
        <v>1360</v>
      </c>
    </row>
    <row r="651" spans="1:9" x14ac:dyDescent="0.25">
      <c r="A651" s="23">
        <v>652</v>
      </c>
      <c r="B651" s="85">
        <v>45693</v>
      </c>
      <c r="C651" s="23" t="s">
        <v>193</v>
      </c>
      <c r="D651" s="23" t="s">
        <v>175</v>
      </c>
      <c r="G651" s="23" t="s">
        <v>9</v>
      </c>
      <c r="I651" s="218" t="s">
        <v>1361</v>
      </c>
    </row>
    <row r="652" spans="1:9" x14ac:dyDescent="0.25">
      <c r="A652" s="23">
        <v>653</v>
      </c>
      <c r="B652" s="85">
        <v>45693</v>
      </c>
      <c r="C652" s="23" t="s">
        <v>680</v>
      </c>
      <c r="D652" s="23" t="s">
        <v>166</v>
      </c>
      <c r="G652" s="23">
        <v>0.44</v>
      </c>
      <c r="I652" s="218" t="s">
        <v>1363</v>
      </c>
    </row>
    <row r="653" spans="1:9" x14ac:dyDescent="0.25">
      <c r="A653" s="23">
        <v>654</v>
      </c>
      <c r="B653" s="85">
        <v>45693</v>
      </c>
      <c r="C653" s="23" t="s">
        <v>682</v>
      </c>
      <c r="D653" s="23" t="s">
        <v>160</v>
      </c>
      <c r="G653" s="23">
        <v>0</v>
      </c>
      <c r="I653" s="218" t="s">
        <v>1364</v>
      </c>
    </row>
    <row r="654" spans="1:9" x14ac:dyDescent="0.25">
      <c r="A654" s="23">
        <v>655</v>
      </c>
      <c r="B654" s="85">
        <v>45693</v>
      </c>
      <c r="C654" s="23" t="s">
        <v>541</v>
      </c>
      <c r="D654" s="23" t="s">
        <v>194</v>
      </c>
      <c r="G654" s="23">
        <v>0</v>
      </c>
      <c r="I654" s="218" t="s">
        <v>1365</v>
      </c>
    </row>
    <row r="655" spans="1:9" x14ac:dyDescent="0.25">
      <c r="A655" s="23">
        <v>656</v>
      </c>
      <c r="B655" s="85">
        <v>45693</v>
      </c>
      <c r="C655" s="23" t="s">
        <v>541</v>
      </c>
      <c r="D655" s="23" t="s">
        <v>194</v>
      </c>
      <c r="G655" s="23" t="s">
        <v>9</v>
      </c>
      <c r="H655" s="95" t="s">
        <v>1366</v>
      </c>
      <c r="I655" s="218" t="s">
        <v>295</v>
      </c>
    </row>
    <row r="656" spans="1:9" x14ac:dyDescent="0.25">
      <c r="A656" s="23">
        <v>657</v>
      </c>
      <c r="B656" s="85">
        <v>45693</v>
      </c>
      <c r="C656" s="23" t="s">
        <v>1367</v>
      </c>
      <c r="D656" s="23" t="s">
        <v>302</v>
      </c>
      <c r="G656" s="23">
        <v>0</v>
      </c>
      <c r="I656" s="218" t="s">
        <v>1368</v>
      </c>
    </row>
    <row r="657" spans="1:9" x14ac:dyDescent="0.25">
      <c r="A657" s="23">
        <v>658</v>
      </c>
      <c r="B657" s="85">
        <v>45693</v>
      </c>
      <c r="C657" s="23" t="s">
        <v>1367</v>
      </c>
      <c r="D657" s="23" t="s">
        <v>172</v>
      </c>
      <c r="G657" s="23">
        <v>0</v>
      </c>
      <c r="I657" s="218" t="s">
        <v>1369</v>
      </c>
    </row>
    <row r="658" spans="1:9" x14ac:dyDescent="0.25">
      <c r="A658" s="23">
        <v>659</v>
      </c>
      <c r="B658" s="85">
        <v>45693</v>
      </c>
      <c r="C658" s="23" t="s">
        <v>878</v>
      </c>
      <c r="D658" s="23" t="s">
        <v>174</v>
      </c>
      <c r="G658" s="23">
        <v>0</v>
      </c>
      <c r="I658" s="218" t="s">
        <v>1370</v>
      </c>
    </row>
    <row r="659" spans="1:9" x14ac:dyDescent="0.25">
      <c r="A659" s="23">
        <v>660</v>
      </c>
      <c r="B659" s="85">
        <v>45693</v>
      </c>
      <c r="C659" s="23" t="s">
        <v>878</v>
      </c>
      <c r="D659" s="23" t="s">
        <v>177</v>
      </c>
      <c r="G659" s="23">
        <v>0</v>
      </c>
      <c r="I659" s="218" t="s">
        <v>1371</v>
      </c>
    </row>
    <row r="660" spans="1:9" x14ac:dyDescent="0.25">
      <c r="A660" s="23">
        <v>661</v>
      </c>
      <c r="B660" s="85">
        <v>45693</v>
      </c>
      <c r="C660" s="23" t="s">
        <v>1372</v>
      </c>
      <c r="D660" s="23" t="s">
        <v>264</v>
      </c>
      <c r="G660" s="23">
        <v>0</v>
      </c>
      <c r="I660" s="218" t="s">
        <v>1373</v>
      </c>
    </row>
    <row r="661" spans="1:9" x14ac:dyDescent="0.25">
      <c r="A661" s="23">
        <v>662</v>
      </c>
      <c r="B661" s="85">
        <v>45693</v>
      </c>
      <c r="C661" s="23" t="s">
        <v>1374</v>
      </c>
      <c r="D661" s="23" t="s">
        <v>178</v>
      </c>
      <c r="G661" s="23">
        <v>0</v>
      </c>
      <c r="I661" s="218" t="s">
        <v>1371</v>
      </c>
    </row>
    <row r="662" spans="1:9" x14ac:dyDescent="0.25">
      <c r="A662" s="23">
        <v>663</v>
      </c>
      <c r="B662" s="85">
        <v>45693</v>
      </c>
      <c r="C662" s="23" t="s">
        <v>1374</v>
      </c>
      <c r="D662" s="23" t="s">
        <v>175</v>
      </c>
      <c r="G662" s="23">
        <v>0</v>
      </c>
      <c r="I662" s="218" t="s">
        <v>1375</v>
      </c>
    </row>
    <row r="663" spans="1:9" x14ac:dyDescent="0.25">
      <c r="A663" s="23">
        <v>664</v>
      </c>
      <c r="B663" s="85">
        <v>45693</v>
      </c>
      <c r="C663" s="23" t="s">
        <v>1374</v>
      </c>
      <c r="D663" s="23" t="s">
        <v>175</v>
      </c>
      <c r="G663" s="23">
        <v>1</v>
      </c>
      <c r="I663" s="218" t="s">
        <v>295</v>
      </c>
    </row>
    <row r="664" spans="1:9" x14ac:dyDescent="0.25">
      <c r="A664" s="23">
        <v>665</v>
      </c>
      <c r="B664" s="85">
        <v>45694</v>
      </c>
      <c r="C664" s="23" t="s">
        <v>1376</v>
      </c>
      <c r="D664" s="23" t="s">
        <v>161</v>
      </c>
      <c r="G664" s="23">
        <v>0</v>
      </c>
      <c r="I664" s="218" t="s">
        <v>1377</v>
      </c>
    </row>
    <row r="665" spans="1:9" x14ac:dyDescent="0.25">
      <c r="A665" s="23">
        <v>666</v>
      </c>
      <c r="B665" s="85">
        <v>45694</v>
      </c>
      <c r="C665" s="23" t="s">
        <v>1378</v>
      </c>
      <c r="D665" s="23" t="s">
        <v>162</v>
      </c>
      <c r="G665" s="23">
        <v>0</v>
      </c>
      <c r="I665" s="218" t="s">
        <v>1379</v>
      </c>
    </row>
    <row r="666" spans="1:9" x14ac:dyDescent="0.25">
      <c r="A666" s="23">
        <v>667</v>
      </c>
      <c r="B666" s="85">
        <v>45694</v>
      </c>
      <c r="C666" s="23" t="s">
        <v>1380</v>
      </c>
      <c r="D666" s="23" t="s">
        <v>173</v>
      </c>
      <c r="G666" s="23">
        <v>0</v>
      </c>
      <c r="I666" s="218" t="s">
        <v>1381</v>
      </c>
    </row>
    <row r="667" spans="1:9" x14ac:dyDescent="0.25">
      <c r="A667" s="23">
        <v>668</v>
      </c>
      <c r="B667" s="85">
        <v>45694</v>
      </c>
      <c r="C667" s="23" t="s">
        <v>1382</v>
      </c>
      <c r="D667" s="23" t="s">
        <v>163</v>
      </c>
      <c r="G667" s="23">
        <v>0</v>
      </c>
      <c r="I667" s="218" t="s">
        <v>1383</v>
      </c>
    </row>
    <row r="668" spans="1:9" x14ac:dyDescent="0.25">
      <c r="A668" s="23">
        <v>669</v>
      </c>
      <c r="B668" s="85">
        <v>45694</v>
      </c>
      <c r="C668" s="23" t="s">
        <v>1382</v>
      </c>
      <c r="D668" s="23" t="s">
        <v>164</v>
      </c>
      <c r="G668" s="23">
        <v>0</v>
      </c>
      <c r="I668" s="218" t="s">
        <v>1384</v>
      </c>
    </row>
    <row r="669" spans="1:9" x14ac:dyDescent="0.25">
      <c r="A669" s="23">
        <v>670</v>
      </c>
      <c r="B669" s="85">
        <v>45694</v>
      </c>
      <c r="C669" s="23" t="s">
        <v>1385</v>
      </c>
      <c r="D669" s="23" t="s">
        <v>165</v>
      </c>
      <c r="G669" s="23">
        <v>0</v>
      </c>
      <c r="I669" s="218" t="s">
        <v>1386</v>
      </c>
    </row>
    <row r="670" spans="1:9" x14ac:dyDescent="0.25">
      <c r="A670" s="23">
        <v>671</v>
      </c>
      <c r="B670" s="85">
        <v>45694</v>
      </c>
      <c r="C670" s="23" t="s">
        <v>1387</v>
      </c>
      <c r="D670" s="23" t="s">
        <v>252</v>
      </c>
      <c r="G670" s="23">
        <v>0</v>
      </c>
      <c r="I670" s="218" t="s">
        <v>1388</v>
      </c>
    </row>
    <row r="671" spans="1:9" x14ac:dyDescent="0.25">
      <c r="A671" s="23">
        <v>672</v>
      </c>
      <c r="B671" s="85">
        <v>45694</v>
      </c>
      <c r="C671" s="23" t="s">
        <v>696</v>
      </c>
      <c r="D671" s="23" t="s">
        <v>144</v>
      </c>
      <c r="G671" s="23">
        <v>0</v>
      </c>
      <c r="I671" s="218" t="s">
        <v>1389</v>
      </c>
    </row>
    <row r="672" spans="1:9" x14ac:dyDescent="0.25">
      <c r="A672" s="23">
        <v>673</v>
      </c>
      <c r="B672" s="85">
        <v>45694</v>
      </c>
      <c r="C672" s="23" t="s">
        <v>1390</v>
      </c>
      <c r="D672" s="23" t="s">
        <v>272</v>
      </c>
      <c r="G672" s="23">
        <v>0</v>
      </c>
      <c r="I672" s="218" t="s">
        <v>1391</v>
      </c>
    </row>
    <row r="673" spans="1:9" x14ac:dyDescent="0.25">
      <c r="A673" s="23">
        <v>674</v>
      </c>
      <c r="B673" s="85">
        <v>45694</v>
      </c>
      <c r="C673" s="23" t="s">
        <v>1392</v>
      </c>
      <c r="D673" s="23" t="s">
        <v>273</v>
      </c>
      <c r="G673" s="23">
        <v>0</v>
      </c>
      <c r="I673" s="218" t="s">
        <v>1393</v>
      </c>
    </row>
    <row r="674" spans="1:9" x14ac:dyDescent="0.25">
      <c r="A674" s="23">
        <v>675</v>
      </c>
      <c r="B674" s="85">
        <v>45694</v>
      </c>
      <c r="C674" s="23" t="s">
        <v>1394</v>
      </c>
      <c r="D674" s="23" t="s">
        <v>155</v>
      </c>
      <c r="G674" s="23">
        <v>0</v>
      </c>
      <c r="I674" s="218" t="s">
        <v>1395</v>
      </c>
    </row>
    <row r="675" spans="1:9" x14ac:dyDescent="0.25">
      <c r="A675" s="23">
        <v>676</v>
      </c>
      <c r="B675" s="85">
        <v>45694</v>
      </c>
      <c r="C675" s="23" t="s">
        <v>1396</v>
      </c>
      <c r="D675" s="23" t="s">
        <v>168</v>
      </c>
      <c r="G675" s="23">
        <v>0.8</v>
      </c>
      <c r="I675" s="218" t="s">
        <v>1397</v>
      </c>
    </row>
    <row r="676" spans="1:9" x14ac:dyDescent="0.25">
      <c r="A676" s="23">
        <v>677</v>
      </c>
      <c r="B676" s="85">
        <v>45694</v>
      </c>
      <c r="C676" s="23" t="s">
        <v>1398</v>
      </c>
      <c r="D676" s="23" t="s">
        <v>160</v>
      </c>
      <c r="G676" s="23">
        <v>0.68</v>
      </c>
      <c r="I676" s="218" t="s">
        <v>1399</v>
      </c>
    </row>
    <row r="677" spans="1:9" x14ac:dyDescent="0.25">
      <c r="A677" s="23">
        <v>678</v>
      </c>
      <c r="B677" s="85">
        <v>45694</v>
      </c>
      <c r="C677" s="23" t="s">
        <v>1400</v>
      </c>
      <c r="D677" s="23" t="s">
        <v>170</v>
      </c>
      <c r="G677" s="23">
        <v>0.8</v>
      </c>
      <c r="I677" s="218" t="s">
        <v>1401</v>
      </c>
    </row>
    <row r="678" spans="1:9" x14ac:dyDescent="0.25">
      <c r="A678" s="23">
        <v>679</v>
      </c>
      <c r="B678" s="85">
        <v>45694</v>
      </c>
      <c r="C678" s="23" t="s">
        <v>1402</v>
      </c>
      <c r="D678" s="23" t="s">
        <v>273</v>
      </c>
      <c r="G678" s="23">
        <v>0.8</v>
      </c>
      <c r="I678" s="218" t="s">
        <v>1403</v>
      </c>
    </row>
    <row r="679" spans="1:9" x14ac:dyDescent="0.25">
      <c r="A679" s="23">
        <v>680</v>
      </c>
      <c r="B679" s="85">
        <v>45694</v>
      </c>
      <c r="C679" s="23" t="s">
        <v>1402</v>
      </c>
      <c r="D679" s="23" t="s">
        <v>168</v>
      </c>
      <c r="G679" s="23">
        <v>0</v>
      </c>
      <c r="I679" s="218" t="s">
        <v>1404</v>
      </c>
    </row>
    <row r="680" spans="1:9" x14ac:dyDescent="0.25">
      <c r="A680" s="23">
        <v>681</v>
      </c>
      <c r="B680" s="85">
        <v>45694</v>
      </c>
      <c r="C680" s="23" t="s">
        <v>1405</v>
      </c>
      <c r="D680" s="23" t="s">
        <v>272</v>
      </c>
      <c r="G680" s="23">
        <v>0.8</v>
      </c>
      <c r="I680" s="218" t="s">
        <v>1406</v>
      </c>
    </row>
    <row r="681" spans="1:9" x14ac:dyDescent="0.25">
      <c r="A681" s="23">
        <v>682</v>
      </c>
      <c r="B681" s="85">
        <v>45694</v>
      </c>
      <c r="C681" s="23" t="s">
        <v>266</v>
      </c>
      <c r="D681" s="23" t="s">
        <v>144</v>
      </c>
      <c r="G681" s="23">
        <v>0.8</v>
      </c>
      <c r="I681" s="218" t="s">
        <v>1407</v>
      </c>
    </row>
    <row r="682" spans="1:9" x14ac:dyDescent="0.25">
      <c r="A682" s="23">
        <v>683</v>
      </c>
      <c r="B682" s="85">
        <v>45694</v>
      </c>
      <c r="C682" s="23" t="s">
        <v>924</v>
      </c>
      <c r="D682" s="23" t="s">
        <v>169</v>
      </c>
      <c r="G682" s="23">
        <v>0.82</v>
      </c>
      <c r="I682" s="218" t="s">
        <v>1408</v>
      </c>
    </row>
    <row r="683" spans="1:9" x14ac:dyDescent="0.25">
      <c r="A683" s="23">
        <v>684</v>
      </c>
      <c r="B683" s="85">
        <v>45694</v>
      </c>
      <c r="C683" s="23" t="s">
        <v>1409</v>
      </c>
      <c r="D683" s="23" t="s">
        <v>159</v>
      </c>
      <c r="G683" s="23">
        <v>0</v>
      </c>
      <c r="I683" s="218" t="s">
        <v>1410</v>
      </c>
    </row>
    <row r="684" spans="1:9" x14ac:dyDescent="0.25">
      <c r="A684" s="23">
        <v>685</v>
      </c>
      <c r="B684" s="85">
        <v>45694</v>
      </c>
      <c r="C684" s="23" t="s">
        <v>1411</v>
      </c>
      <c r="D684" s="23" t="s">
        <v>252</v>
      </c>
      <c r="G684" s="23">
        <v>0.92</v>
      </c>
      <c r="I684" s="218" t="s">
        <v>1412</v>
      </c>
    </row>
    <row r="685" spans="1:9" x14ac:dyDescent="0.25">
      <c r="A685" s="23">
        <v>686</v>
      </c>
      <c r="B685" s="85">
        <v>45694</v>
      </c>
      <c r="C685" s="23" t="s">
        <v>1245</v>
      </c>
      <c r="D685" s="23" t="s">
        <v>168</v>
      </c>
      <c r="G685" s="23">
        <v>0.8</v>
      </c>
      <c r="I685" s="218" t="s">
        <v>1413</v>
      </c>
    </row>
    <row r="686" spans="1:9" x14ac:dyDescent="0.25">
      <c r="A686" s="23">
        <v>687</v>
      </c>
      <c r="B686" s="85">
        <v>45694</v>
      </c>
      <c r="C686" s="23" t="s">
        <v>1414</v>
      </c>
      <c r="D686" s="23" t="s">
        <v>168</v>
      </c>
      <c r="G686" s="23">
        <v>0</v>
      </c>
      <c r="I686" s="218" t="s">
        <v>1413</v>
      </c>
    </row>
    <row r="687" spans="1:9" x14ac:dyDescent="0.25">
      <c r="A687" s="23">
        <v>688</v>
      </c>
      <c r="B687" s="85">
        <v>45694</v>
      </c>
      <c r="C687" s="23" t="s">
        <v>1415</v>
      </c>
      <c r="D687" s="23" t="s">
        <v>170</v>
      </c>
      <c r="G687" s="23">
        <v>0</v>
      </c>
      <c r="I687" s="218" t="s">
        <v>1416</v>
      </c>
    </row>
    <row r="688" spans="1:9" x14ac:dyDescent="0.25">
      <c r="A688" s="23">
        <v>689</v>
      </c>
      <c r="B688" s="85">
        <v>45694</v>
      </c>
      <c r="C688" s="23" t="s">
        <v>1079</v>
      </c>
      <c r="D688" s="23" t="s">
        <v>144</v>
      </c>
      <c r="G688" s="23">
        <v>0</v>
      </c>
      <c r="I688" s="218" t="s">
        <v>1417</v>
      </c>
    </row>
    <row r="689" spans="1:9" x14ac:dyDescent="0.25">
      <c r="A689" s="23">
        <v>690</v>
      </c>
      <c r="B689" s="85">
        <v>45694</v>
      </c>
      <c r="C689" s="23" t="s">
        <v>1418</v>
      </c>
      <c r="D689" s="23" t="s">
        <v>194</v>
      </c>
      <c r="G689" s="23">
        <v>1</v>
      </c>
      <c r="I689" s="218" t="s">
        <v>1419</v>
      </c>
    </row>
    <row r="690" spans="1:9" x14ac:dyDescent="0.25">
      <c r="A690" s="23">
        <v>691</v>
      </c>
      <c r="B690" s="85">
        <v>45694</v>
      </c>
      <c r="C690" s="23" t="s">
        <v>577</v>
      </c>
      <c r="D690" s="23" t="s">
        <v>144</v>
      </c>
      <c r="G690" s="23">
        <v>0.85</v>
      </c>
      <c r="I690" s="218" t="s">
        <v>1420</v>
      </c>
    </row>
    <row r="691" spans="1:9" x14ac:dyDescent="0.25">
      <c r="A691" s="23">
        <v>692</v>
      </c>
      <c r="B691" s="85">
        <v>45694</v>
      </c>
      <c r="C691" s="23" t="s">
        <v>1421</v>
      </c>
      <c r="D691" s="23" t="s">
        <v>174</v>
      </c>
      <c r="G691" s="23">
        <v>0.8</v>
      </c>
      <c r="I691" s="218" t="s">
        <v>1422</v>
      </c>
    </row>
    <row r="692" spans="1:9" x14ac:dyDescent="0.25">
      <c r="A692" s="23">
        <v>693</v>
      </c>
      <c r="B692" s="85">
        <v>45694</v>
      </c>
      <c r="C692" s="23" t="s">
        <v>1423</v>
      </c>
      <c r="D692" s="23" t="s">
        <v>177</v>
      </c>
      <c r="G692" s="23">
        <v>0.8</v>
      </c>
      <c r="I692" s="218" t="s">
        <v>1424</v>
      </c>
    </row>
    <row r="693" spans="1:9" x14ac:dyDescent="0.25">
      <c r="A693" s="23">
        <v>694</v>
      </c>
      <c r="B693" s="85">
        <v>45694</v>
      </c>
      <c r="C693" s="23" t="s">
        <v>255</v>
      </c>
      <c r="D693" s="23" t="s">
        <v>178</v>
      </c>
      <c r="G693" s="23">
        <v>0.8</v>
      </c>
      <c r="I693" s="218" t="s">
        <v>1425</v>
      </c>
    </row>
    <row r="694" spans="1:9" x14ac:dyDescent="0.25">
      <c r="A694" s="23">
        <v>695</v>
      </c>
      <c r="B694" s="85">
        <v>45694</v>
      </c>
      <c r="C694" s="23" t="s">
        <v>1086</v>
      </c>
      <c r="D694" s="23" t="s">
        <v>161</v>
      </c>
      <c r="G694" s="23">
        <v>0.8</v>
      </c>
      <c r="I694" s="218" t="s">
        <v>1426</v>
      </c>
    </row>
    <row r="695" spans="1:9" x14ac:dyDescent="0.25">
      <c r="A695" s="23">
        <v>696</v>
      </c>
      <c r="B695" s="85">
        <v>45694</v>
      </c>
      <c r="C695" s="23" t="s">
        <v>1427</v>
      </c>
      <c r="D695" s="23" t="s">
        <v>172</v>
      </c>
      <c r="G695" s="23">
        <v>0.8</v>
      </c>
      <c r="I695" s="218" t="s">
        <v>1428</v>
      </c>
    </row>
    <row r="696" spans="1:9" x14ac:dyDescent="0.25">
      <c r="A696" s="23">
        <v>697</v>
      </c>
      <c r="B696" s="85">
        <v>45694</v>
      </c>
      <c r="C696" s="23" t="s">
        <v>1429</v>
      </c>
      <c r="D696" s="23" t="s">
        <v>173</v>
      </c>
      <c r="G696" s="23">
        <v>0.8</v>
      </c>
      <c r="I696" s="218" t="s">
        <v>1430</v>
      </c>
    </row>
    <row r="697" spans="1:9" x14ac:dyDescent="0.25">
      <c r="A697" s="23">
        <v>698</v>
      </c>
      <c r="B697" s="85">
        <v>45694</v>
      </c>
      <c r="C697" s="23" t="s">
        <v>1431</v>
      </c>
      <c r="D697" s="23" t="s">
        <v>202</v>
      </c>
      <c r="G697" s="23" t="s">
        <v>9</v>
      </c>
      <c r="I697" s="218" t="s">
        <v>1432</v>
      </c>
    </row>
    <row r="698" spans="1:9" x14ac:dyDescent="0.25">
      <c r="A698" s="23">
        <v>699</v>
      </c>
      <c r="B698" s="85">
        <v>45694</v>
      </c>
      <c r="C698" s="23" t="s">
        <v>953</v>
      </c>
      <c r="D698" s="23" t="s">
        <v>163</v>
      </c>
      <c r="G698" s="23">
        <v>0.8</v>
      </c>
      <c r="I698" s="218" t="s">
        <v>1433</v>
      </c>
    </row>
    <row r="699" spans="1:9" x14ac:dyDescent="0.25">
      <c r="A699" s="23">
        <v>700</v>
      </c>
      <c r="B699" s="85">
        <v>45694</v>
      </c>
      <c r="C699" s="23" t="s">
        <v>1434</v>
      </c>
      <c r="D699" s="23" t="s">
        <v>174</v>
      </c>
      <c r="G699" s="23">
        <v>0</v>
      </c>
      <c r="I699" s="218" t="s">
        <v>1435</v>
      </c>
    </row>
    <row r="700" spans="1:9" x14ac:dyDescent="0.25">
      <c r="A700" s="23">
        <v>701</v>
      </c>
      <c r="B700" s="85">
        <v>45694</v>
      </c>
      <c r="C700" s="23" t="s">
        <v>1434</v>
      </c>
      <c r="D700" s="23" t="s">
        <v>172</v>
      </c>
      <c r="G700" s="23">
        <v>0</v>
      </c>
      <c r="I700" s="218" t="s">
        <v>1428</v>
      </c>
    </row>
    <row r="701" spans="1:9" x14ac:dyDescent="0.25">
      <c r="A701" s="23">
        <v>702</v>
      </c>
      <c r="B701" s="85">
        <v>45694</v>
      </c>
      <c r="C701" s="23" t="s">
        <v>1436</v>
      </c>
      <c r="D701" s="23" t="s">
        <v>178</v>
      </c>
      <c r="G701" s="23">
        <v>0</v>
      </c>
      <c r="I701" s="218" t="s">
        <v>1425</v>
      </c>
    </row>
    <row r="702" spans="1:9" x14ac:dyDescent="0.25">
      <c r="A702" s="23">
        <v>703</v>
      </c>
      <c r="B702" s="85">
        <v>45694</v>
      </c>
      <c r="C702" s="23" t="s">
        <v>1437</v>
      </c>
      <c r="D702" s="23" t="s">
        <v>177</v>
      </c>
      <c r="G702" s="23">
        <v>0</v>
      </c>
      <c r="I702" s="218" t="s">
        <v>1424</v>
      </c>
    </row>
    <row r="703" spans="1:9" x14ac:dyDescent="0.25">
      <c r="A703" s="23">
        <v>704</v>
      </c>
      <c r="B703" s="85">
        <v>45694</v>
      </c>
      <c r="C703" s="23" t="s">
        <v>1099</v>
      </c>
      <c r="D703" s="23" t="s">
        <v>264</v>
      </c>
      <c r="G703" s="23">
        <v>0.7</v>
      </c>
      <c r="I703" s="218" t="s">
        <v>1438</v>
      </c>
    </row>
    <row r="704" spans="1:9" x14ac:dyDescent="0.25">
      <c r="A704" s="23">
        <v>705</v>
      </c>
      <c r="B704" s="85">
        <v>45694</v>
      </c>
      <c r="C704" s="23" t="s">
        <v>959</v>
      </c>
      <c r="D704" s="23" t="s">
        <v>161</v>
      </c>
      <c r="G704" s="23">
        <v>0</v>
      </c>
      <c r="I704" s="218" t="s">
        <v>1439</v>
      </c>
    </row>
    <row r="705" spans="1:9" x14ac:dyDescent="0.25">
      <c r="A705" s="23">
        <v>706</v>
      </c>
      <c r="B705" s="85">
        <v>45694</v>
      </c>
      <c r="C705" s="23" t="s">
        <v>590</v>
      </c>
      <c r="D705" s="23" t="s">
        <v>162</v>
      </c>
      <c r="G705" s="23">
        <v>0.8</v>
      </c>
      <c r="I705" s="218" t="s">
        <v>1440</v>
      </c>
    </row>
    <row r="706" spans="1:9" x14ac:dyDescent="0.25">
      <c r="A706" s="23">
        <v>707</v>
      </c>
      <c r="B706" s="85">
        <v>45694</v>
      </c>
      <c r="C706" s="23" t="s">
        <v>1273</v>
      </c>
      <c r="D706" s="23" t="s">
        <v>165</v>
      </c>
      <c r="G706" s="23">
        <v>0.8</v>
      </c>
      <c r="I706" s="218" t="s">
        <v>1441</v>
      </c>
    </row>
    <row r="707" spans="1:9" x14ac:dyDescent="0.25">
      <c r="A707" s="23">
        <v>708</v>
      </c>
      <c r="B707" s="85">
        <v>45694</v>
      </c>
      <c r="C707" s="23" t="s">
        <v>1273</v>
      </c>
      <c r="D707" s="23" t="s">
        <v>168</v>
      </c>
      <c r="G707" s="23">
        <v>0.8</v>
      </c>
      <c r="I707" s="218" t="s">
        <v>1442</v>
      </c>
    </row>
    <row r="708" spans="1:9" x14ac:dyDescent="0.25">
      <c r="A708" s="23">
        <v>709</v>
      </c>
      <c r="B708" s="85">
        <v>45694</v>
      </c>
      <c r="C708" s="23" t="s">
        <v>1108</v>
      </c>
      <c r="D708" s="23" t="s">
        <v>164</v>
      </c>
      <c r="G708" s="23">
        <v>0.8</v>
      </c>
      <c r="I708" s="218" t="s">
        <v>1443</v>
      </c>
    </row>
    <row r="709" spans="1:9" x14ac:dyDescent="0.25">
      <c r="A709" s="23">
        <v>710</v>
      </c>
      <c r="B709" s="85">
        <v>45694</v>
      </c>
      <c r="C709" s="23" t="s">
        <v>1444</v>
      </c>
      <c r="D709" s="23" t="s">
        <v>170</v>
      </c>
      <c r="G709" s="23">
        <v>0.8</v>
      </c>
      <c r="I709" s="218" t="s">
        <v>1445</v>
      </c>
    </row>
    <row r="710" spans="1:9" x14ac:dyDescent="0.25">
      <c r="A710" s="23">
        <v>711</v>
      </c>
      <c r="B710" s="85">
        <v>45694</v>
      </c>
      <c r="C710" s="23" t="s">
        <v>771</v>
      </c>
      <c r="D710" s="23" t="s">
        <v>174</v>
      </c>
      <c r="G710" s="23">
        <v>0.8</v>
      </c>
      <c r="I710" s="218" t="s">
        <v>1446</v>
      </c>
    </row>
    <row r="711" spans="1:9" x14ac:dyDescent="0.25">
      <c r="A711" s="23">
        <v>712</v>
      </c>
      <c r="B711" s="85">
        <v>45694</v>
      </c>
      <c r="C711" s="23" t="s">
        <v>197</v>
      </c>
      <c r="D711" s="23" t="s">
        <v>172</v>
      </c>
      <c r="G711" s="23">
        <v>0.8</v>
      </c>
      <c r="I711" s="218" t="s">
        <v>1447</v>
      </c>
    </row>
    <row r="712" spans="1:9" x14ac:dyDescent="0.25">
      <c r="A712" s="23">
        <v>713</v>
      </c>
      <c r="B712" s="85">
        <v>45694</v>
      </c>
      <c r="C712" s="23" t="s">
        <v>1448</v>
      </c>
      <c r="D712" s="23" t="s">
        <v>178</v>
      </c>
      <c r="G712" s="23">
        <v>0.8</v>
      </c>
      <c r="I712" s="218" t="s">
        <v>1449</v>
      </c>
    </row>
    <row r="713" spans="1:9" x14ac:dyDescent="0.25">
      <c r="A713" s="23">
        <v>714</v>
      </c>
      <c r="B713" s="85">
        <v>45694</v>
      </c>
      <c r="C713" s="23" t="s">
        <v>1450</v>
      </c>
      <c r="D713" s="23" t="s">
        <v>177</v>
      </c>
      <c r="G713" s="23">
        <v>0.8</v>
      </c>
      <c r="I713" s="218" t="s">
        <v>1451</v>
      </c>
    </row>
    <row r="714" spans="1:9" x14ac:dyDescent="0.25">
      <c r="A714" s="23">
        <v>715</v>
      </c>
      <c r="B714" s="85">
        <v>45694</v>
      </c>
      <c r="C714" s="23" t="s">
        <v>156</v>
      </c>
      <c r="D714" s="23" t="s">
        <v>155</v>
      </c>
      <c r="G714" s="23">
        <v>0.66</v>
      </c>
      <c r="I714" s="218" t="s">
        <v>1452</v>
      </c>
    </row>
    <row r="715" spans="1:9" x14ac:dyDescent="0.25">
      <c r="A715" s="23">
        <v>716</v>
      </c>
      <c r="B715" s="85">
        <v>45694</v>
      </c>
      <c r="C715" s="23" t="s">
        <v>167</v>
      </c>
      <c r="D715" s="23" t="s">
        <v>166</v>
      </c>
      <c r="G715" s="23">
        <v>0</v>
      </c>
      <c r="I715" s="218" t="s">
        <v>1453</v>
      </c>
    </row>
    <row r="716" spans="1:9" x14ac:dyDescent="0.25">
      <c r="A716" s="23">
        <v>717</v>
      </c>
      <c r="B716" s="85">
        <v>45694</v>
      </c>
      <c r="C716" s="23" t="s">
        <v>1454</v>
      </c>
      <c r="D716" s="23" t="s">
        <v>162</v>
      </c>
      <c r="G716" s="23">
        <v>0</v>
      </c>
      <c r="I716" s="218" t="s">
        <v>1455</v>
      </c>
    </row>
    <row r="717" spans="1:9" x14ac:dyDescent="0.25">
      <c r="A717" s="23">
        <v>718</v>
      </c>
      <c r="B717" s="85">
        <v>45694</v>
      </c>
      <c r="C717" s="23" t="s">
        <v>1456</v>
      </c>
      <c r="D717" s="23" t="s">
        <v>161</v>
      </c>
      <c r="G717" s="23">
        <v>0.8</v>
      </c>
      <c r="I717" s="218" t="s">
        <v>1457</v>
      </c>
    </row>
    <row r="718" spans="1:9" x14ac:dyDescent="0.25">
      <c r="A718" s="23">
        <v>719</v>
      </c>
      <c r="B718" s="85">
        <v>45694</v>
      </c>
      <c r="C718" s="23" t="s">
        <v>1127</v>
      </c>
      <c r="D718" s="23" t="s">
        <v>173</v>
      </c>
      <c r="G718" s="23">
        <v>0</v>
      </c>
      <c r="I718" s="218" t="s">
        <v>1458</v>
      </c>
    </row>
    <row r="719" spans="1:9" x14ac:dyDescent="0.25">
      <c r="A719" s="23">
        <v>720</v>
      </c>
      <c r="B719" s="85">
        <v>45694</v>
      </c>
      <c r="C719" s="23" t="s">
        <v>1459</v>
      </c>
      <c r="D719" s="23" t="s">
        <v>163</v>
      </c>
      <c r="G719" s="23">
        <v>0</v>
      </c>
      <c r="I719" s="218" t="s">
        <v>1460</v>
      </c>
    </row>
    <row r="720" spans="1:9" x14ac:dyDescent="0.25">
      <c r="A720" s="23">
        <v>721</v>
      </c>
      <c r="B720" s="85">
        <v>45694</v>
      </c>
      <c r="C720" s="23" t="s">
        <v>1461</v>
      </c>
      <c r="D720" s="23" t="s">
        <v>162</v>
      </c>
      <c r="G720" s="23">
        <v>0.8</v>
      </c>
      <c r="I720" s="218" t="s">
        <v>1462</v>
      </c>
    </row>
    <row r="721" spans="1:9" x14ac:dyDescent="0.25">
      <c r="A721" s="23">
        <v>722</v>
      </c>
      <c r="B721" s="85">
        <v>45694</v>
      </c>
      <c r="C721" s="23" t="s">
        <v>980</v>
      </c>
      <c r="D721" s="23" t="s">
        <v>173</v>
      </c>
      <c r="G721" s="23">
        <v>0.8</v>
      </c>
      <c r="I721" s="218" t="s">
        <v>1463</v>
      </c>
    </row>
    <row r="722" spans="1:9" x14ac:dyDescent="0.25">
      <c r="A722" s="23">
        <v>723</v>
      </c>
      <c r="B722" s="85">
        <v>45694</v>
      </c>
      <c r="C722" s="23" t="s">
        <v>1464</v>
      </c>
      <c r="D722" s="23" t="s">
        <v>163</v>
      </c>
      <c r="G722" s="23">
        <v>0.8</v>
      </c>
      <c r="I722" s="218" t="s">
        <v>1465</v>
      </c>
    </row>
    <row r="723" spans="1:9" x14ac:dyDescent="0.25">
      <c r="A723" s="23">
        <v>724</v>
      </c>
      <c r="B723" s="85">
        <v>45694</v>
      </c>
      <c r="C723" s="23" t="s">
        <v>808</v>
      </c>
      <c r="D723" s="23" t="s">
        <v>202</v>
      </c>
      <c r="G723" s="23">
        <v>0.8</v>
      </c>
      <c r="I723" s="218" t="s">
        <v>1466</v>
      </c>
    </row>
    <row r="724" spans="1:9" x14ac:dyDescent="0.25">
      <c r="A724" s="23">
        <v>725</v>
      </c>
      <c r="B724" s="85">
        <v>45694</v>
      </c>
      <c r="C724" s="23" t="s">
        <v>1467</v>
      </c>
      <c r="D724" s="23" t="s">
        <v>202</v>
      </c>
      <c r="G724" s="23">
        <v>0</v>
      </c>
      <c r="I724" s="218" t="s">
        <v>1466</v>
      </c>
    </row>
    <row r="725" spans="1:9" x14ac:dyDescent="0.25">
      <c r="A725" s="23">
        <v>726</v>
      </c>
      <c r="B725" s="85">
        <v>45694</v>
      </c>
      <c r="C725" s="23" t="s">
        <v>1468</v>
      </c>
      <c r="D725" s="23" t="s">
        <v>164</v>
      </c>
      <c r="G725" s="23">
        <v>0</v>
      </c>
      <c r="I725" s="218" t="s">
        <v>1469</v>
      </c>
    </row>
    <row r="726" spans="1:9" x14ac:dyDescent="0.25">
      <c r="A726" s="23">
        <v>727</v>
      </c>
      <c r="B726" s="85">
        <v>45694</v>
      </c>
      <c r="C726" s="23" t="s">
        <v>1157</v>
      </c>
      <c r="D726" s="23" t="s">
        <v>165</v>
      </c>
      <c r="G726" s="23">
        <v>0</v>
      </c>
      <c r="I726" s="218" t="s">
        <v>1470</v>
      </c>
    </row>
    <row r="727" spans="1:9" x14ac:dyDescent="0.25">
      <c r="A727" s="23">
        <v>728</v>
      </c>
      <c r="B727" s="85">
        <v>45694</v>
      </c>
      <c r="C727" s="23" t="s">
        <v>1472</v>
      </c>
      <c r="D727" s="23" t="s">
        <v>164</v>
      </c>
      <c r="G727" s="23">
        <v>0.82</v>
      </c>
      <c r="I727" s="218" t="s">
        <v>1471</v>
      </c>
    </row>
    <row r="728" spans="1:9" x14ac:dyDescent="0.25">
      <c r="A728" s="23">
        <v>729</v>
      </c>
      <c r="B728" s="85">
        <v>45694</v>
      </c>
      <c r="C728" s="23" t="s">
        <v>1473</v>
      </c>
      <c r="D728" s="23" t="s">
        <v>1474</v>
      </c>
      <c r="G728" s="23">
        <v>4.8</v>
      </c>
      <c r="I728" s="218" t="s">
        <v>1475</v>
      </c>
    </row>
    <row r="729" spans="1:9" x14ac:dyDescent="0.25">
      <c r="A729" s="23">
        <v>730</v>
      </c>
      <c r="B729" s="85">
        <v>45694</v>
      </c>
      <c r="C729" s="23" t="s">
        <v>1476</v>
      </c>
      <c r="D729" s="23" t="s">
        <v>166</v>
      </c>
      <c r="G729" s="23">
        <v>0.57499999999999996</v>
      </c>
      <c r="I729" s="218" t="s">
        <v>1477</v>
      </c>
    </row>
    <row r="730" spans="1:9" x14ac:dyDescent="0.25">
      <c r="A730" s="23">
        <v>731</v>
      </c>
      <c r="B730" s="85">
        <v>45694</v>
      </c>
      <c r="C730" s="23" t="s">
        <v>224</v>
      </c>
      <c r="D730" s="23" t="s">
        <v>160</v>
      </c>
      <c r="G730" s="23">
        <v>0</v>
      </c>
      <c r="I730" s="218" t="s">
        <v>1478</v>
      </c>
    </row>
    <row r="731" spans="1:9" x14ac:dyDescent="0.25">
      <c r="A731" s="23">
        <v>732</v>
      </c>
      <c r="B731" s="85">
        <v>45694</v>
      </c>
      <c r="C731" s="23" t="s">
        <v>1479</v>
      </c>
      <c r="D731" s="23" t="s">
        <v>260</v>
      </c>
      <c r="G731" s="23">
        <v>0</v>
      </c>
      <c r="I731" s="218" t="s">
        <v>1480</v>
      </c>
    </row>
    <row r="732" spans="1:9" x14ac:dyDescent="0.25">
      <c r="A732" s="23">
        <v>733</v>
      </c>
      <c r="B732" s="85">
        <v>45694</v>
      </c>
      <c r="C732" s="23" t="s">
        <v>1481</v>
      </c>
      <c r="D732" s="23" t="s">
        <v>165</v>
      </c>
      <c r="G732" s="23">
        <v>0.82</v>
      </c>
      <c r="I732" s="218" t="s">
        <v>1482</v>
      </c>
    </row>
    <row r="733" spans="1:9" x14ac:dyDescent="0.25">
      <c r="A733" s="23">
        <v>734</v>
      </c>
      <c r="B733" s="85">
        <v>45694</v>
      </c>
      <c r="C733" s="23" t="s">
        <v>270</v>
      </c>
      <c r="D733" s="23" t="s">
        <v>202</v>
      </c>
      <c r="G733" s="23">
        <v>0.8</v>
      </c>
      <c r="I733" s="218" t="s">
        <v>1483</v>
      </c>
    </row>
    <row r="734" spans="1:9" x14ac:dyDescent="0.25">
      <c r="A734" s="23">
        <v>735</v>
      </c>
      <c r="B734" s="85">
        <v>45694</v>
      </c>
      <c r="C734" s="23" t="s">
        <v>652</v>
      </c>
      <c r="D734" s="23" t="s">
        <v>260</v>
      </c>
      <c r="G734" s="23">
        <v>0.75</v>
      </c>
      <c r="I734" s="218" t="s">
        <v>1484</v>
      </c>
    </row>
    <row r="735" spans="1:9" x14ac:dyDescent="0.25">
      <c r="A735" s="23">
        <v>736</v>
      </c>
      <c r="B735" s="85">
        <v>45694</v>
      </c>
      <c r="C735" s="23" t="s">
        <v>182</v>
      </c>
      <c r="D735" s="23" t="s">
        <v>302</v>
      </c>
      <c r="G735" s="23">
        <v>0.8</v>
      </c>
      <c r="I735" s="218" t="s">
        <v>1485</v>
      </c>
    </row>
    <row r="736" spans="1:9" x14ac:dyDescent="0.25">
      <c r="A736" s="23">
        <v>737</v>
      </c>
      <c r="B736" s="85">
        <v>45694</v>
      </c>
      <c r="C736" s="23" t="s">
        <v>1486</v>
      </c>
      <c r="D736" s="23" t="s">
        <v>1474</v>
      </c>
      <c r="G736" s="23">
        <v>0</v>
      </c>
      <c r="H736" s="23" t="s">
        <v>1488</v>
      </c>
      <c r="I736" s="218" t="s">
        <v>1487</v>
      </c>
    </row>
    <row r="737" spans="1:9" x14ac:dyDescent="0.25">
      <c r="A737" s="23">
        <v>738</v>
      </c>
      <c r="B737" s="85">
        <v>45694</v>
      </c>
      <c r="C737" s="23" t="s">
        <v>1489</v>
      </c>
      <c r="D737" s="23" t="s">
        <v>202</v>
      </c>
      <c r="G737" s="23">
        <v>0</v>
      </c>
      <c r="I737" s="218" t="s">
        <v>1490</v>
      </c>
    </row>
    <row r="738" spans="1:9" x14ac:dyDescent="0.25">
      <c r="A738" s="23">
        <v>739</v>
      </c>
      <c r="B738" s="85">
        <v>45694</v>
      </c>
      <c r="C738" s="23" t="s">
        <v>1489</v>
      </c>
      <c r="D738" s="23" t="s">
        <v>168</v>
      </c>
      <c r="G738" s="23">
        <v>0</v>
      </c>
      <c r="I738" s="218" t="s">
        <v>1491</v>
      </c>
    </row>
    <row r="739" spans="1:9" x14ac:dyDescent="0.25">
      <c r="A739" s="23">
        <v>740</v>
      </c>
      <c r="B739" s="85">
        <v>45694</v>
      </c>
      <c r="C739" s="23" t="s">
        <v>1492</v>
      </c>
      <c r="D739" s="23" t="s">
        <v>1474</v>
      </c>
      <c r="G739" s="23">
        <v>6.3</v>
      </c>
      <c r="I739" s="218" t="s">
        <v>1493</v>
      </c>
    </row>
    <row r="740" spans="1:9" x14ac:dyDescent="0.25">
      <c r="A740" s="23">
        <v>741</v>
      </c>
      <c r="B740" s="85">
        <v>45694</v>
      </c>
      <c r="C740" s="23" t="s">
        <v>1494</v>
      </c>
      <c r="D740" s="23" t="s">
        <v>302</v>
      </c>
      <c r="G740" s="23">
        <v>0</v>
      </c>
      <c r="I740" s="218" t="s">
        <v>1495</v>
      </c>
    </row>
    <row r="741" spans="1:9" x14ac:dyDescent="0.25">
      <c r="A741" s="23">
        <v>742</v>
      </c>
      <c r="B741" s="85">
        <v>45694</v>
      </c>
      <c r="C741" s="23" t="s">
        <v>1496</v>
      </c>
      <c r="D741" s="23" t="s">
        <v>173</v>
      </c>
      <c r="G741" s="23">
        <v>0</v>
      </c>
      <c r="I741" s="218" t="s">
        <v>1497</v>
      </c>
    </row>
    <row r="742" spans="1:9" x14ac:dyDescent="0.25">
      <c r="A742" s="23">
        <v>743</v>
      </c>
      <c r="B742" s="85">
        <v>45694</v>
      </c>
      <c r="C742" s="23" t="s">
        <v>1498</v>
      </c>
      <c r="D742" s="23" t="s">
        <v>163</v>
      </c>
      <c r="G742" s="23">
        <v>0</v>
      </c>
      <c r="I742" s="218" t="s">
        <v>1499</v>
      </c>
    </row>
    <row r="743" spans="1:9" x14ac:dyDescent="0.25">
      <c r="A743" s="23">
        <v>744</v>
      </c>
      <c r="B743" s="85">
        <v>45694</v>
      </c>
      <c r="C743" s="23" t="s">
        <v>267</v>
      </c>
      <c r="D743" s="23" t="s">
        <v>170</v>
      </c>
      <c r="G743" s="23">
        <v>0</v>
      </c>
      <c r="I743" s="218" t="s">
        <v>1500</v>
      </c>
    </row>
    <row r="744" spans="1:9" x14ac:dyDescent="0.25">
      <c r="A744" s="23">
        <v>745</v>
      </c>
      <c r="B744" s="85">
        <v>45694</v>
      </c>
      <c r="C744" s="23" t="s">
        <v>181</v>
      </c>
      <c r="D744" s="23" t="s">
        <v>172</v>
      </c>
      <c r="G744" s="23">
        <v>0</v>
      </c>
      <c r="I744" s="218" t="s">
        <v>1501</v>
      </c>
    </row>
    <row r="745" spans="1:9" x14ac:dyDescent="0.25">
      <c r="A745" s="23">
        <v>746</v>
      </c>
      <c r="B745" s="85">
        <v>45694</v>
      </c>
      <c r="C745" s="23" t="s">
        <v>1502</v>
      </c>
      <c r="D745" s="23" t="s">
        <v>174</v>
      </c>
      <c r="G745" s="23">
        <v>0</v>
      </c>
      <c r="I745" s="218" t="s">
        <v>1503</v>
      </c>
    </row>
    <row r="746" spans="1:9" x14ac:dyDescent="0.25">
      <c r="A746" s="23">
        <v>747</v>
      </c>
      <c r="B746" s="85">
        <v>45694</v>
      </c>
      <c r="C746" s="23" t="s">
        <v>1028</v>
      </c>
      <c r="D746" s="23" t="s">
        <v>177</v>
      </c>
      <c r="G746" s="23">
        <v>0</v>
      </c>
      <c r="I746" s="218" t="s">
        <v>1504</v>
      </c>
    </row>
    <row r="747" spans="1:9" x14ac:dyDescent="0.25">
      <c r="A747" s="23">
        <v>748</v>
      </c>
      <c r="B747" s="85">
        <v>45694</v>
      </c>
      <c r="C747" s="23" t="s">
        <v>220</v>
      </c>
      <c r="D747" s="23" t="s">
        <v>178</v>
      </c>
      <c r="G747" s="23">
        <v>0</v>
      </c>
      <c r="I747" s="218" t="s">
        <v>1505</v>
      </c>
    </row>
    <row r="748" spans="1:9" x14ac:dyDescent="0.25">
      <c r="A748" s="23">
        <v>749</v>
      </c>
      <c r="B748" s="85">
        <v>45694</v>
      </c>
      <c r="C748" s="23" t="s">
        <v>1506</v>
      </c>
      <c r="D748" s="23" t="s">
        <v>161</v>
      </c>
      <c r="G748" s="23">
        <v>0</v>
      </c>
      <c r="I748" s="218" t="s">
        <v>1507</v>
      </c>
    </row>
    <row r="749" spans="1:9" x14ac:dyDescent="0.25">
      <c r="A749" s="23">
        <v>750</v>
      </c>
      <c r="B749" s="85">
        <v>45694</v>
      </c>
      <c r="C749" s="23" t="s">
        <v>667</v>
      </c>
      <c r="D749" s="23" t="s">
        <v>162</v>
      </c>
      <c r="G749" s="23">
        <v>0</v>
      </c>
      <c r="I749" s="218" t="s">
        <v>1508</v>
      </c>
    </row>
    <row r="750" spans="1:9" x14ac:dyDescent="0.25">
      <c r="A750" s="23">
        <v>751</v>
      </c>
      <c r="B750" s="85">
        <v>45694</v>
      </c>
      <c r="C750" s="23" t="s">
        <v>217</v>
      </c>
      <c r="D750" s="23" t="s">
        <v>262</v>
      </c>
      <c r="G750" s="23">
        <v>0</v>
      </c>
      <c r="I750" s="218" t="s">
        <v>1509</v>
      </c>
    </row>
    <row r="751" spans="1:9" x14ac:dyDescent="0.25">
      <c r="A751" s="23">
        <v>752</v>
      </c>
      <c r="B751" s="85">
        <v>45694</v>
      </c>
      <c r="C751" s="23" t="s">
        <v>1510</v>
      </c>
      <c r="D751" s="23" t="s">
        <v>164</v>
      </c>
      <c r="G751" s="23">
        <v>0</v>
      </c>
      <c r="I751" s="218" t="s">
        <v>1511</v>
      </c>
    </row>
    <row r="752" spans="1:9" x14ac:dyDescent="0.25">
      <c r="A752" s="23">
        <v>753</v>
      </c>
      <c r="B752" s="85">
        <v>45694</v>
      </c>
      <c r="C752" s="23" t="s">
        <v>680</v>
      </c>
      <c r="D752" s="23" t="s">
        <v>160</v>
      </c>
      <c r="G752" s="23">
        <v>0.48</v>
      </c>
      <c r="I752" s="218" t="s">
        <v>1512</v>
      </c>
    </row>
    <row r="753" spans="1:9" x14ac:dyDescent="0.25">
      <c r="A753" s="23">
        <v>754</v>
      </c>
      <c r="B753" s="85">
        <v>45694</v>
      </c>
      <c r="C753" s="23" t="s">
        <v>682</v>
      </c>
      <c r="D753" s="23" t="s">
        <v>155</v>
      </c>
      <c r="G753" s="23">
        <v>0</v>
      </c>
      <c r="I753" s="218" t="s">
        <v>1513</v>
      </c>
    </row>
    <row r="754" spans="1:9" x14ac:dyDescent="0.25">
      <c r="A754" s="23">
        <v>755</v>
      </c>
      <c r="B754" s="85">
        <v>45694</v>
      </c>
      <c r="C754" s="23" t="s">
        <v>1514</v>
      </c>
      <c r="D754" s="23" t="s">
        <v>1474</v>
      </c>
      <c r="G754" s="23">
        <v>0</v>
      </c>
      <c r="I754" s="218" t="s">
        <v>1515</v>
      </c>
    </row>
    <row r="755" spans="1:9" x14ac:dyDescent="0.25">
      <c r="A755" s="23">
        <v>756</v>
      </c>
      <c r="B755" s="85">
        <v>45694</v>
      </c>
      <c r="C755" s="23" t="s">
        <v>1516</v>
      </c>
      <c r="D755" s="23" t="s">
        <v>165</v>
      </c>
      <c r="G755" s="23">
        <v>0</v>
      </c>
      <c r="I755" s="218" t="s">
        <v>1517</v>
      </c>
    </row>
    <row r="756" spans="1:9" x14ac:dyDescent="0.25">
      <c r="A756" s="23">
        <v>757</v>
      </c>
      <c r="B756" s="85">
        <v>45694</v>
      </c>
      <c r="C756" s="23" t="s">
        <v>1518</v>
      </c>
      <c r="D756" s="23" t="s">
        <v>144</v>
      </c>
      <c r="G756" s="23">
        <v>0</v>
      </c>
      <c r="I756" s="218" t="s">
        <v>1519</v>
      </c>
    </row>
    <row r="757" spans="1:9" x14ac:dyDescent="0.25">
      <c r="A757" s="23">
        <v>758</v>
      </c>
      <c r="B757" s="85">
        <v>45694</v>
      </c>
      <c r="C757" s="23" t="s">
        <v>1520</v>
      </c>
      <c r="D757" s="23" t="s">
        <v>252</v>
      </c>
      <c r="G757" s="23">
        <v>0</v>
      </c>
      <c r="I757" s="218" t="s">
        <v>1521</v>
      </c>
    </row>
    <row r="758" spans="1:9" x14ac:dyDescent="0.25">
      <c r="A758" s="23">
        <v>759</v>
      </c>
      <c r="B758" s="85">
        <v>45694</v>
      </c>
      <c r="C758" s="23" t="s">
        <v>541</v>
      </c>
      <c r="D758" s="23" t="s">
        <v>273</v>
      </c>
      <c r="G758" s="23">
        <v>0</v>
      </c>
      <c r="I758" s="218" t="s">
        <v>1522</v>
      </c>
    </row>
    <row r="759" spans="1:9" x14ac:dyDescent="0.25">
      <c r="A759" s="23">
        <v>760</v>
      </c>
      <c r="B759" s="85">
        <v>45694</v>
      </c>
      <c r="C759" s="23" t="s">
        <v>1523</v>
      </c>
      <c r="D759" s="23" t="s">
        <v>272</v>
      </c>
      <c r="G759" s="23">
        <v>0</v>
      </c>
      <c r="I759" s="218" t="s">
        <v>1524</v>
      </c>
    </row>
    <row r="760" spans="1:9" x14ac:dyDescent="0.25">
      <c r="A760" s="23">
        <v>761</v>
      </c>
      <c r="B760" s="85">
        <v>45694</v>
      </c>
      <c r="C760" s="23" t="s">
        <v>537</v>
      </c>
      <c r="D760" s="23" t="s">
        <v>170</v>
      </c>
      <c r="G760" s="23">
        <v>0.8</v>
      </c>
      <c r="I760" s="218" t="s">
        <v>1525</v>
      </c>
    </row>
    <row r="761" spans="1:9" x14ac:dyDescent="0.25">
      <c r="A761" s="23">
        <v>762</v>
      </c>
      <c r="B761" s="85">
        <v>45694</v>
      </c>
      <c r="C761" s="23" t="s">
        <v>537</v>
      </c>
      <c r="D761" s="23" t="s">
        <v>174</v>
      </c>
      <c r="G761" s="23">
        <v>0.8</v>
      </c>
      <c r="I761" s="218" t="s">
        <v>1526</v>
      </c>
    </row>
    <row r="762" spans="1:9" x14ac:dyDescent="0.25">
      <c r="A762" s="23">
        <v>763</v>
      </c>
      <c r="B762" s="85">
        <v>45694</v>
      </c>
      <c r="C762" s="23" t="s">
        <v>537</v>
      </c>
      <c r="D762" s="23" t="s">
        <v>172</v>
      </c>
      <c r="G762" s="23">
        <v>0.8</v>
      </c>
      <c r="I762" s="218" t="s">
        <v>1527</v>
      </c>
    </row>
    <row r="763" spans="1:9" x14ac:dyDescent="0.25">
      <c r="A763" s="23">
        <v>764</v>
      </c>
      <c r="B763" s="85">
        <v>45694</v>
      </c>
      <c r="C763" s="23" t="s">
        <v>537</v>
      </c>
      <c r="D763" s="23" t="s">
        <v>178</v>
      </c>
      <c r="G763" s="23">
        <v>0.8</v>
      </c>
      <c r="I763" s="218" t="s">
        <v>1528</v>
      </c>
    </row>
    <row r="764" spans="1:9" x14ac:dyDescent="0.25">
      <c r="A764" s="23">
        <v>765</v>
      </c>
      <c r="B764" s="85">
        <v>45694</v>
      </c>
      <c r="C764" s="23" t="s">
        <v>537</v>
      </c>
      <c r="D764" s="23" t="s">
        <v>177</v>
      </c>
      <c r="G764" s="23">
        <v>0.8</v>
      </c>
      <c r="I764" s="218" t="s">
        <v>1529</v>
      </c>
    </row>
    <row r="765" spans="1:9" x14ac:dyDescent="0.25">
      <c r="A765" s="23">
        <v>766</v>
      </c>
      <c r="B765" s="85">
        <v>45694</v>
      </c>
      <c r="C765" s="23" t="s">
        <v>1530</v>
      </c>
      <c r="D765" s="23" t="s">
        <v>161</v>
      </c>
      <c r="G765" s="23">
        <v>0.8</v>
      </c>
      <c r="I765" s="218" t="s">
        <v>1531</v>
      </c>
    </row>
    <row r="766" spans="1:9" x14ac:dyDescent="0.25">
      <c r="A766" s="23">
        <v>767</v>
      </c>
      <c r="B766" s="85">
        <v>45694</v>
      </c>
      <c r="C766" s="23" t="s">
        <v>1530</v>
      </c>
      <c r="D766" s="23" t="s">
        <v>158</v>
      </c>
      <c r="G766" s="23">
        <v>0</v>
      </c>
      <c r="I766" s="218" t="s">
        <v>1532</v>
      </c>
    </row>
    <row r="767" spans="1:9" x14ac:dyDescent="0.25">
      <c r="A767" s="23">
        <v>768</v>
      </c>
      <c r="B767" s="85">
        <v>45694</v>
      </c>
      <c r="C767" s="23" t="s">
        <v>1533</v>
      </c>
      <c r="D767" s="23" t="s">
        <v>170</v>
      </c>
      <c r="G767" s="23">
        <v>0</v>
      </c>
      <c r="I767" s="218" t="s">
        <v>1525</v>
      </c>
    </row>
    <row r="768" spans="1:9" x14ac:dyDescent="0.25">
      <c r="A768" s="23">
        <v>769</v>
      </c>
      <c r="B768" s="85">
        <v>45695</v>
      </c>
      <c r="C768" s="23" t="s">
        <v>399</v>
      </c>
      <c r="D768" s="23" t="s">
        <v>172</v>
      </c>
      <c r="G768" s="23">
        <v>0</v>
      </c>
      <c r="I768" s="218" t="s">
        <v>1534</v>
      </c>
    </row>
    <row r="769" spans="1:9" x14ac:dyDescent="0.25">
      <c r="A769" s="23">
        <v>770</v>
      </c>
      <c r="B769" s="85">
        <v>45695</v>
      </c>
      <c r="C769" s="23" t="s">
        <v>1535</v>
      </c>
      <c r="D769" s="23" t="s">
        <v>174</v>
      </c>
      <c r="G769" s="23">
        <v>0</v>
      </c>
      <c r="I769" s="218" t="s">
        <v>1536</v>
      </c>
    </row>
    <row r="770" spans="1:9" x14ac:dyDescent="0.25">
      <c r="A770" s="23">
        <v>771</v>
      </c>
      <c r="B770" s="85">
        <v>45695</v>
      </c>
      <c r="C770" s="23" t="s">
        <v>551</v>
      </c>
      <c r="D770" s="23" t="s">
        <v>158</v>
      </c>
      <c r="G770" s="23">
        <v>6.7</v>
      </c>
      <c r="I770" s="218" t="s">
        <v>1537</v>
      </c>
    </row>
    <row r="771" spans="1:9" x14ac:dyDescent="0.25">
      <c r="A771" s="23">
        <v>772</v>
      </c>
      <c r="B771" s="85">
        <v>45695</v>
      </c>
      <c r="C771" s="23" t="s">
        <v>1538</v>
      </c>
      <c r="D771" s="23" t="s">
        <v>186</v>
      </c>
      <c r="G771" s="23">
        <v>0</v>
      </c>
      <c r="I771" s="218" t="s">
        <v>1539</v>
      </c>
    </row>
    <row r="772" spans="1:9" x14ac:dyDescent="0.25">
      <c r="A772" s="23">
        <v>773</v>
      </c>
      <c r="B772" s="85">
        <v>45695</v>
      </c>
      <c r="C772" s="23" t="s">
        <v>404</v>
      </c>
      <c r="D772" s="23" t="s">
        <v>177</v>
      </c>
      <c r="G772" s="23">
        <v>0</v>
      </c>
      <c r="I772" s="218" t="s">
        <v>1540</v>
      </c>
    </row>
    <row r="773" spans="1:9" x14ac:dyDescent="0.25">
      <c r="A773" s="23">
        <v>774</v>
      </c>
      <c r="B773" s="85">
        <v>45695</v>
      </c>
      <c r="C773" s="23" t="s">
        <v>410</v>
      </c>
      <c r="D773" s="23" t="s">
        <v>262</v>
      </c>
      <c r="G773" s="23">
        <v>0.64</v>
      </c>
      <c r="I773" s="218" t="s">
        <v>1541</v>
      </c>
    </row>
    <row r="774" spans="1:9" x14ac:dyDescent="0.25">
      <c r="A774" s="23">
        <v>775</v>
      </c>
      <c r="B774" s="85">
        <v>45695</v>
      </c>
      <c r="C774" s="23" t="s">
        <v>1542</v>
      </c>
      <c r="D774" s="23" t="s">
        <v>260</v>
      </c>
      <c r="G774" s="23">
        <v>0</v>
      </c>
      <c r="I774" s="218" t="s">
        <v>1543</v>
      </c>
    </row>
    <row r="775" spans="1:9" x14ac:dyDescent="0.25">
      <c r="A775" s="23">
        <v>776</v>
      </c>
      <c r="B775" s="85">
        <v>45695</v>
      </c>
      <c r="C775" s="23" t="s">
        <v>1544</v>
      </c>
      <c r="D775" s="23" t="s">
        <v>178</v>
      </c>
      <c r="G775" s="23">
        <v>0</v>
      </c>
      <c r="I775" s="218" t="s">
        <v>1545</v>
      </c>
    </row>
    <row r="776" spans="1:9" x14ac:dyDescent="0.25">
      <c r="A776" s="23">
        <v>777</v>
      </c>
      <c r="B776" s="85">
        <v>45695</v>
      </c>
      <c r="C776" s="23" t="s">
        <v>1546</v>
      </c>
      <c r="D776" s="23" t="s">
        <v>161</v>
      </c>
      <c r="G776" s="23">
        <v>0</v>
      </c>
      <c r="I776" s="218" t="s">
        <v>1547</v>
      </c>
    </row>
    <row r="777" spans="1:9" x14ac:dyDescent="0.25">
      <c r="A777" s="23">
        <v>778</v>
      </c>
      <c r="B777" s="85">
        <v>45695</v>
      </c>
      <c r="C777" s="23" t="s">
        <v>1548</v>
      </c>
      <c r="D777" s="23" t="s">
        <v>164</v>
      </c>
      <c r="G777" s="23">
        <v>0.8</v>
      </c>
      <c r="I777" s="218" t="s">
        <v>1549</v>
      </c>
    </row>
    <row r="778" spans="1:9" x14ac:dyDescent="0.25">
      <c r="A778" s="23">
        <v>779</v>
      </c>
      <c r="B778" s="85">
        <v>45695</v>
      </c>
      <c r="C778" s="23" t="s">
        <v>1550</v>
      </c>
      <c r="D778" s="23" t="s">
        <v>173</v>
      </c>
      <c r="G778" s="23">
        <v>0.8</v>
      </c>
      <c r="I778" s="218" t="s">
        <v>1551</v>
      </c>
    </row>
    <row r="779" spans="1:9" x14ac:dyDescent="0.25">
      <c r="A779" s="23">
        <v>780</v>
      </c>
      <c r="B779" s="85">
        <v>45695</v>
      </c>
      <c r="C779" s="23" t="s">
        <v>908</v>
      </c>
      <c r="D779" s="23" t="s">
        <v>155</v>
      </c>
      <c r="G779" s="23">
        <v>0.4</v>
      </c>
      <c r="I779" s="218" t="s">
        <v>1552</v>
      </c>
    </row>
    <row r="780" spans="1:9" x14ac:dyDescent="0.25">
      <c r="A780" s="23">
        <v>781</v>
      </c>
      <c r="B780" s="85">
        <v>45695</v>
      </c>
      <c r="C780" s="23" t="s">
        <v>910</v>
      </c>
      <c r="D780" s="23" t="s">
        <v>166</v>
      </c>
      <c r="G780" s="23">
        <v>0</v>
      </c>
      <c r="I780" s="218" t="s">
        <v>1553</v>
      </c>
    </row>
    <row r="781" spans="1:9" x14ac:dyDescent="0.25">
      <c r="A781" s="23">
        <v>782</v>
      </c>
      <c r="B781" s="85">
        <v>45695</v>
      </c>
      <c r="C781" s="23" t="s">
        <v>1400</v>
      </c>
      <c r="D781" s="23" t="s">
        <v>163</v>
      </c>
      <c r="G781" s="23">
        <v>0.8</v>
      </c>
      <c r="I781" s="218" t="s">
        <v>1554</v>
      </c>
    </row>
    <row r="782" spans="1:9" x14ac:dyDescent="0.25">
      <c r="A782" s="23">
        <v>783</v>
      </c>
      <c r="B782" s="85">
        <v>45695</v>
      </c>
      <c r="C782" s="23" t="s">
        <v>1555</v>
      </c>
      <c r="D782" s="23" t="s">
        <v>273</v>
      </c>
      <c r="G782" s="23">
        <v>0.8</v>
      </c>
      <c r="I782" s="218" t="s">
        <v>1556</v>
      </c>
    </row>
    <row r="783" spans="1:9" x14ac:dyDescent="0.25">
      <c r="A783" s="23">
        <v>784</v>
      </c>
      <c r="B783" s="85">
        <v>45695</v>
      </c>
      <c r="C783" s="23" t="s">
        <v>246</v>
      </c>
      <c r="D783" s="23" t="s">
        <v>252</v>
      </c>
      <c r="G783" s="23">
        <v>0.8</v>
      </c>
      <c r="I783" s="218" t="s">
        <v>1557</v>
      </c>
    </row>
    <row r="784" spans="1:9" x14ac:dyDescent="0.25">
      <c r="A784" s="23">
        <v>785</v>
      </c>
      <c r="B784" s="85">
        <v>45695</v>
      </c>
      <c r="C784" s="23" t="s">
        <v>1558</v>
      </c>
      <c r="D784" s="23" t="s">
        <v>164</v>
      </c>
      <c r="G784" s="23">
        <v>0</v>
      </c>
      <c r="I784" s="218" t="s">
        <v>1559</v>
      </c>
    </row>
    <row r="785" spans="1:9" x14ac:dyDescent="0.25">
      <c r="A785" s="23">
        <v>786</v>
      </c>
      <c r="B785" s="85">
        <v>45695</v>
      </c>
      <c r="C785" s="23" t="s">
        <v>1560</v>
      </c>
      <c r="D785" s="23" t="s">
        <v>272</v>
      </c>
      <c r="G785" s="23">
        <v>0.8</v>
      </c>
      <c r="I785" s="218" t="s">
        <v>1561</v>
      </c>
    </row>
    <row r="786" spans="1:9" x14ac:dyDescent="0.25">
      <c r="A786" s="23">
        <v>787</v>
      </c>
      <c r="B786" s="85">
        <v>45695</v>
      </c>
      <c r="C786" s="23" t="s">
        <v>1562</v>
      </c>
      <c r="D786" s="23" t="s">
        <v>173</v>
      </c>
      <c r="G786" s="23">
        <v>0</v>
      </c>
      <c r="I786" s="218" t="s">
        <v>1551</v>
      </c>
    </row>
    <row r="787" spans="1:9" x14ac:dyDescent="0.25">
      <c r="A787" s="23">
        <v>788</v>
      </c>
      <c r="B787" s="85">
        <v>45695</v>
      </c>
      <c r="C787" s="23" t="s">
        <v>1563</v>
      </c>
      <c r="D787" s="23" t="s">
        <v>163</v>
      </c>
      <c r="G787" s="23">
        <v>0</v>
      </c>
      <c r="I787" s="218" t="s">
        <v>1554</v>
      </c>
    </row>
    <row r="788" spans="1:9" x14ac:dyDescent="0.25">
      <c r="A788" s="23">
        <v>789</v>
      </c>
      <c r="B788" s="85">
        <v>45695</v>
      </c>
      <c r="C788" s="23" t="s">
        <v>1564</v>
      </c>
      <c r="D788" s="23" t="s">
        <v>144</v>
      </c>
      <c r="G788" s="23">
        <v>0.8</v>
      </c>
      <c r="I788" s="218" t="s">
        <v>1565</v>
      </c>
    </row>
    <row r="789" spans="1:9" x14ac:dyDescent="0.25">
      <c r="A789" s="23">
        <v>790</v>
      </c>
      <c r="B789" s="85">
        <v>45695</v>
      </c>
      <c r="C789" s="23" t="s">
        <v>1245</v>
      </c>
      <c r="D789" s="23" t="s">
        <v>164</v>
      </c>
      <c r="G789" s="23">
        <v>0.8</v>
      </c>
      <c r="I789" s="218" t="s">
        <v>1566</v>
      </c>
    </row>
    <row r="790" spans="1:9" x14ac:dyDescent="0.25">
      <c r="A790" s="23">
        <v>791</v>
      </c>
      <c r="B790" s="85">
        <v>45695</v>
      </c>
      <c r="C790" s="23" t="s">
        <v>1567</v>
      </c>
      <c r="D790" s="23" t="s">
        <v>165</v>
      </c>
      <c r="G790" s="23">
        <v>0.8</v>
      </c>
      <c r="I790" s="218" t="s">
        <v>1568</v>
      </c>
    </row>
    <row r="791" spans="1:9" x14ac:dyDescent="0.25">
      <c r="A791" s="23">
        <v>792</v>
      </c>
      <c r="B791" s="85">
        <v>45694</v>
      </c>
      <c r="C791" s="23" t="s">
        <v>1569</v>
      </c>
      <c r="D791" s="23" t="s">
        <v>202</v>
      </c>
      <c r="G791" s="23" t="s">
        <v>9</v>
      </c>
      <c r="I791" s="218" t="s">
        <v>295</v>
      </c>
    </row>
    <row r="792" spans="1:9" x14ac:dyDescent="0.25">
      <c r="A792" s="23">
        <v>793</v>
      </c>
      <c r="B792" s="85">
        <v>45694</v>
      </c>
      <c r="C792" s="23" t="s">
        <v>1346</v>
      </c>
      <c r="D792" s="23" t="s">
        <v>169</v>
      </c>
      <c r="G792" s="23">
        <v>0</v>
      </c>
      <c r="I792" s="218" t="s">
        <v>1570</v>
      </c>
    </row>
    <row r="793" spans="1:9" x14ac:dyDescent="0.25">
      <c r="A793" s="23">
        <v>794</v>
      </c>
      <c r="B793" s="85">
        <v>45694</v>
      </c>
      <c r="C793" s="23" t="s">
        <v>1344</v>
      </c>
      <c r="D793" s="23" t="s">
        <v>159</v>
      </c>
      <c r="G793" s="23">
        <v>1.01</v>
      </c>
      <c r="I793" s="218" t="s">
        <v>1571</v>
      </c>
    </row>
    <row r="794" spans="1:9" x14ac:dyDescent="0.25">
      <c r="A794" s="23">
        <v>795</v>
      </c>
      <c r="B794" s="85">
        <v>45695</v>
      </c>
      <c r="C794" s="23" t="s">
        <v>1572</v>
      </c>
      <c r="D794" s="23" t="s">
        <v>169</v>
      </c>
      <c r="G794" s="23">
        <v>0.81</v>
      </c>
      <c r="I794" s="218" t="s">
        <v>1573</v>
      </c>
    </row>
    <row r="795" spans="1:9" x14ac:dyDescent="0.25">
      <c r="A795" s="23">
        <v>796</v>
      </c>
      <c r="B795" s="85">
        <v>45695</v>
      </c>
      <c r="C795" s="23" t="s">
        <v>1574</v>
      </c>
      <c r="D795" s="23" t="s">
        <v>159</v>
      </c>
      <c r="G795" s="23">
        <v>0</v>
      </c>
      <c r="I795" s="218" t="s">
        <v>1575</v>
      </c>
    </row>
    <row r="796" spans="1:9" x14ac:dyDescent="0.25">
      <c r="A796" s="23">
        <v>797</v>
      </c>
      <c r="B796" s="85">
        <v>45695</v>
      </c>
      <c r="C796" s="23" t="s">
        <v>1079</v>
      </c>
      <c r="D796" s="23" t="s">
        <v>164</v>
      </c>
      <c r="G796" s="23">
        <v>0</v>
      </c>
      <c r="I796" s="218" t="s">
        <v>1576</v>
      </c>
    </row>
    <row r="797" spans="1:9" x14ac:dyDescent="0.25">
      <c r="A797" s="23">
        <v>798</v>
      </c>
      <c r="B797" s="85">
        <v>45695</v>
      </c>
      <c r="C797" s="23" t="s">
        <v>386</v>
      </c>
      <c r="D797" s="23" t="s">
        <v>165</v>
      </c>
      <c r="G797" s="23">
        <v>0</v>
      </c>
      <c r="I797" s="218" t="s">
        <v>1577</v>
      </c>
    </row>
    <row r="798" spans="1:9" x14ac:dyDescent="0.25">
      <c r="A798" s="23">
        <v>799</v>
      </c>
      <c r="B798" s="85">
        <v>45695</v>
      </c>
      <c r="C798" s="23" t="s">
        <v>929</v>
      </c>
      <c r="D798" s="23" t="s">
        <v>168</v>
      </c>
      <c r="G798" s="23">
        <v>0.8</v>
      </c>
      <c r="I798" s="218" t="s">
        <v>1578</v>
      </c>
    </row>
    <row r="799" spans="1:9" x14ac:dyDescent="0.25">
      <c r="A799" s="23">
        <v>800</v>
      </c>
      <c r="B799" s="85">
        <v>45695</v>
      </c>
      <c r="C799" s="23" t="s">
        <v>741</v>
      </c>
      <c r="D799" s="23" t="s">
        <v>174</v>
      </c>
      <c r="G799" s="23">
        <v>0.8</v>
      </c>
      <c r="I799" s="218" t="s">
        <v>1579</v>
      </c>
    </row>
    <row r="800" spans="1:9" x14ac:dyDescent="0.25">
      <c r="A800" s="23">
        <v>801</v>
      </c>
      <c r="B800" s="85">
        <v>45695</v>
      </c>
      <c r="C800" s="23" t="s">
        <v>234</v>
      </c>
      <c r="D800" s="23" t="s">
        <v>172</v>
      </c>
      <c r="G800" s="23">
        <v>0.8</v>
      </c>
      <c r="I800" s="218" t="s">
        <v>1580</v>
      </c>
    </row>
    <row r="801" spans="1:9" x14ac:dyDescent="0.25">
      <c r="A801" s="23">
        <v>802</v>
      </c>
      <c r="B801" s="85">
        <v>45695</v>
      </c>
      <c r="C801" s="23" t="s">
        <v>1423</v>
      </c>
      <c r="D801" s="23" t="s">
        <v>177</v>
      </c>
      <c r="G801" s="23">
        <v>0.8</v>
      </c>
      <c r="I801" s="218" t="s">
        <v>1581</v>
      </c>
    </row>
    <row r="802" spans="1:9" x14ac:dyDescent="0.25">
      <c r="A802" s="23">
        <v>803</v>
      </c>
      <c r="B802" s="85">
        <v>45695</v>
      </c>
      <c r="C802" s="23" t="s">
        <v>1104</v>
      </c>
      <c r="D802" s="23" t="s">
        <v>178</v>
      </c>
      <c r="G802" s="23">
        <v>0.8</v>
      </c>
      <c r="I802" s="218" t="s">
        <v>1582</v>
      </c>
    </row>
    <row r="803" spans="1:9" x14ac:dyDescent="0.25">
      <c r="A803" s="23">
        <v>804</v>
      </c>
      <c r="B803" s="85">
        <v>45695</v>
      </c>
      <c r="C803" s="23" t="s">
        <v>592</v>
      </c>
      <c r="D803" s="23" t="s">
        <v>161</v>
      </c>
      <c r="G803" s="23">
        <v>0.8</v>
      </c>
      <c r="I803" s="218" t="s">
        <v>1583</v>
      </c>
    </row>
    <row r="804" spans="1:9" x14ac:dyDescent="0.25">
      <c r="A804" s="23">
        <v>805</v>
      </c>
      <c r="B804" s="85">
        <v>45695</v>
      </c>
      <c r="C804" s="23" t="s">
        <v>955</v>
      </c>
      <c r="D804" s="23" t="s">
        <v>162</v>
      </c>
      <c r="G804" s="23">
        <v>0.8</v>
      </c>
      <c r="I804" s="218" t="s">
        <v>1584</v>
      </c>
    </row>
    <row r="805" spans="1:9" x14ac:dyDescent="0.25">
      <c r="A805" s="23">
        <v>806</v>
      </c>
      <c r="B805" s="85">
        <v>45695</v>
      </c>
      <c r="C805" s="23" t="s">
        <v>588</v>
      </c>
      <c r="D805" s="23" t="s">
        <v>186</v>
      </c>
      <c r="G805" s="23">
        <v>6.5</v>
      </c>
      <c r="I805" s="218" t="s">
        <v>1585</v>
      </c>
    </row>
    <row r="806" spans="1:9" x14ac:dyDescent="0.25">
      <c r="A806" s="23">
        <v>807</v>
      </c>
      <c r="B806" s="85">
        <v>45695</v>
      </c>
      <c r="C806" s="23" t="s">
        <v>1097</v>
      </c>
      <c r="D806" s="23" t="s">
        <v>168</v>
      </c>
      <c r="G806" s="23">
        <v>0</v>
      </c>
      <c r="I806" s="218" t="s">
        <v>1586</v>
      </c>
    </row>
    <row r="807" spans="1:9" x14ac:dyDescent="0.25">
      <c r="A807" s="23">
        <v>808</v>
      </c>
      <c r="B807" s="85">
        <v>45695</v>
      </c>
      <c r="C807" s="23" t="s">
        <v>1097</v>
      </c>
      <c r="D807" s="23" t="s">
        <v>172</v>
      </c>
      <c r="G807" s="23">
        <v>0</v>
      </c>
      <c r="I807" s="218" t="s">
        <v>1587</v>
      </c>
    </row>
    <row r="808" spans="1:9" x14ac:dyDescent="0.25">
      <c r="A808" s="23">
        <v>809</v>
      </c>
      <c r="B808" s="85">
        <v>45695</v>
      </c>
      <c r="C808" s="23" t="s">
        <v>595</v>
      </c>
      <c r="D808" s="23" t="s">
        <v>174</v>
      </c>
      <c r="G808" s="23">
        <v>0</v>
      </c>
      <c r="I808" s="218" t="s">
        <v>1588</v>
      </c>
    </row>
    <row r="809" spans="1:9" x14ac:dyDescent="0.25">
      <c r="A809" s="23">
        <v>810</v>
      </c>
      <c r="B809" s="85">
        <v>45695</v>
      </c>
      <c r="C809" s="23" t="s">
        <v>1589</v>
      </c>
      <c r="D809" s="23" t="s">
        <v>177</v>
      </c>
      <c r="G809" s="23">
        <v>0</v>
      </c>
      <c r="I809" s="218" t="s">
        <v>1581</v>
      </c>
    </row>
    <row r="810" spans="1:9" x14ac:dyDescent="0.25">
      <c r="A810" s="23">
        <v>811</v>
      </c>
      <c r="B810" s="85">
        <v>45695</v>
      </c>
      <c r="C810" s="23" t="s">
        <v>1434</v>
      </c>
      <c r="D810" s="23" t="s">
        <v>178</v>
      </c>
      <c r="G810" s="23">
        <v>0</v>
      </c>
      <c r="I810" s="218" t="s">
        <v>1582</v>
      </c>
    </row>
    <row r="811" spans="1:9" x14ac:dyDescent="0.25">
      <c r="A811" s="23">
        <v>812</v>
      </c>
      <c r="B811" s="85">
        <v>45695</v>
      </c>
      <c r="C811" s="23" t="s">
        <v>1102</v>
      </c>
      <c r="D811" s="23" t="s">
        <v>161</v>
      </c>
      <c r="G811" s="23">
        <v>0</v>
      </c>
      <c r="I811" s="218" t="s">
        <v>1583</v>
      </c>
    </row>
    <row r="812" spans="1:9" x14ac:dyDescent="0.25">
      <c r="A812" s="23">
        <v>813</v>
      </c>
      <c r="B812" s="85">
        <v>45695</v>
      </c>
      <c r="C812" s="23" t="s">
        <v>607</v>
      </c>
      <c r="D812" s="23" t="s">
        <v>173</v>
      </c>
      <c r="G812" s="23">
        <v>0.8</v>
      </c>
      <c r="I812" s="218" t="s">
        <v>1590</v>
      </c>
    </row>
    <row r="813" spans="1:9" x14ac:dyDescent="0.25">
      <c r="A813" s="23">
        <v>814</v>
      </c>
      <c r="B813" s="85">
        <v>45695</v>
      </c>
      <c r="C813" s="23" t="s">
        <v>1275</v>
      </c>
      <c r="D813" s="23" t="s">
        <v>163</v>
      </c>
      <c r="G813" s="23">
        <v>0.8</v>
      </c>
      <c r="I813" s="218" t="s">
        <v>1591</v>
      </c>
    </row>
    <row r="814" spans="1:9" x14ac:dyDescent="0.25">
      <c r="A814" s="23">
        <v>815</v>
      </c>
      <c r="B814" s="85">
        <v>45695</v>
      </c>
      <c r="C814" s="23" t="s">
        <v>1592</v>
      </c>
      <c r="D814" s="23" t="s">
        <v>260</v>
      </c>
      <c r="G814" s="23">
        <v>0.72</v>
      </c>
      <c r="I814" s="218" t="s">
        <v>1593</v>
      </c>
    </row>
    <row r="815" spans="1:9" x14ac:dyDescent="0.25">
      <c r="A815" s="23">
        <v>816</v>
      </c>
      <c r="B815" s="85">
        <v>45695</v>
      </c>
      <c r="C815" s="23" t="s">
        <v>1281</v>
      </c>
      <c r="D815" s="23" t="s">
        <v>165</v>
      </c>
      <c r="G815" s="23">
        <v>0.8</v>
      </c>
      <c r="I815" s="218" t="s">
        <v>1594</v>
      </c>
    </row>
    <row r="816" spans="1:9" x14ac:dyDescent="0.25">
      <c r="A816" s="23">
        <v>817</v>
      </c>
      <c r="B816" s="85">
        <v>45695</v>
      </c>
      <c r="C816" s="23" t="s">
        <v>236</v>
      </c>
      <c r="D816" s="23" t="s">
        <v>168</v>
      </c>
      <c r="G816" s="23">
        <v>0.8</v>
      </c>
      <c r="I816" s="218" t="s">
        <v>1595</v>
      </c>
    </row>
    <row r="817" spans="1:9" x14ac:dyDescent="0.25">
      <c r="A817" s="23">
        <v>818</v>
      </c>
      <c r="B817" s="85">
        <v>45695</v>
      </c>
      <c r="C817" s="23" t="s">
        <v>1596</v>
      </c>
      <c r="D817" s="23" t="s">
        <v>164</v>
      </c>
      <c r="G817" s="23">
        <v>0.8</v>
      </c>
      <c r="I817" s="218" t="s">
        <v>1597</v>
      </c>
    </row>
    <row r="818" spans="1:9" x14ac:dyDescent="0.25">
      <c r="A818" s="23">
        <v>819</v>
      </c>
      <c r="B818" s="85">
        <v>45695</v>
      </c>
      <c r="C818" s="23" t="s">
        <v>1598</v>
      </c>
      <c r="D818" s="23" t="s">
        <v>162</v>
      </c>
      <c r="G818" s="23">
        <v>0</v>
      </c>
      <c r="I818" s="218" t="s">
        <v>1599</v>
      </c>
    </row>
    <row r="819" spans="1:9" x14ac:dyDescent="0.25">
      <c r="A819" s="23">
        <v>820</v>
      </c>
      <c r="B819" s="85">
        <v>45695</v>
      </c>
      <c r="C819" s="23" t="s">
        <v>167</v>
      </c>
      <c r="D819" s="23" t="s">
        <v>166</v>
      </c>
      <c r="G819" s="23">
        <v>0.64</v>
      </c>
      <c r="I819" s="218" t="s">
        <v>1600</v>
      </c>
    </row>
    <row r="820" spans="1:9" x14ac:dyDescent="0.25">
      <c r="A820" s="23">
        <v>821</v>
      </c>
      <c r="B820" s="85">
        <v>45695</v>
      </c>
      <c r="C820" s="23" t="s">
        <v>1601</v>
      </c>
      <c r="D820" s="23" t="s">
        <v>160</v>
      </c>
      <c r="G820" s="23">
        <v>0</v>
      </c>
      <c r="I820" s="218" t="s">
        <v>1602</v>
      </c>
    </row>
    <row r="821" spans="1:9" x14ac:dyDescent="0.25">
      <c r="A821" s="23">
        <v>822</v>
      </c>
      <c r="B821" s="85">
        <v>45695</v>
      </c>
      <c r="C821" s="23" t="s">
        <v>1603</v>
      </c>
      <c r="D821" s="23" t="s">
        <v>174</v>
      </c>
      <c r="G821" s="23">
        <v>0.8</v>
      </c>
      <c r="I821" s="218" t="s">
        <v>1604</v>
      </c>
    </row>
    <row r="822" spans="1:9" x14ac:dyDescent="0.25">
      <c r="A822" s="23">
        <v>823</v>
      </c>
      <c r="B822" s="85">
        <v>45695</v>
      </c>
      <c r="C822" s="23" t="s">
        <v>1605</v>
      </c>
      <c r="D822" s="23" t="s">
        <v>172</v>
      </c>
      <c r="G822" s="23">
        <v>0.8</v>
      </c>
      <c r="I822" s="218" t="s">
        <v>1606</v>
      </c>
    </row>
    <row r="823" spans="1:9" x14ac:dyDescent="0.25">
      <c r="A823" s="23">
        <v>824</v>
      </c>
      <c r="B823" s="85">
        <v>45695</v>
      </c>
      <c r="C823" s="23" t="s">
        <v>1132</v>
      </c>
      <c r="D823" s="23" t="s">
        <v>177</v>
      </c>
      <c r="G823" s="23">
        <v>0.8</v>
      </c>
      <c r="I823" s="218" t="s">
        <v>1607</v>
      </c>
    </row>
    <row r="824" spans="1:9" x14ac:dyDescent="0.25">
      <c r="A824" s="23">
        <v>825</v>
      </c>
      <c r="B824" s="85">
        <v>45695</v>
      </c>
      <c r="C824" s="23" t="s">
        <v>1608</v>
      </c>
      <c r="D824" s="23" t="s">
        <v>178</v>
      </c>
      <c r="G824" s="23">
        <v>0.8</v>
      </c>
      <c r="I824" s="218" t="s">
        <v>1609</v>
      </c>
    </row>
    <row r="825" spans="1:9" x14ac:dyDescent="0.25">
      <c r="A825" s="23">
        <v>826</v>
      </c>
      <c r="B825" s="85">
        <v>45695</v>
      </c>
      <c r="C825" s="23" t="s">
        <v>1610</v>
      </c>
      <c r="D825" s="23" t="s">
        <v>1474</v>
      </c>
      <c r="G825" s="23">
        <v>2</v>
      </c>
      <c r="I825" s="218" t="s">
        <v>1611</v>
      </c>
    </row>
    <row r="826" spans="1:9" x14ac:dyDescent="0.25">
      <c r="A826" s="23">
        <v>827</v>
      </c>
      <c r="B826" s="85">
        <v>45695</v>
      </c>
      <c r="C826" s="23" t="s">
        <v>1612</v>
      </c>
      <c r="D826" s="23" t="s">
        <v>151</v>
      </c>
      <c r="G826" s="23">
        <v>0.5</v>
      </c>
      <c r="I826" s="218" t="s">
        <v>1613</v>
      </c>
    </row>
    <row r="827" spans="1:9" x14ac:dyDescent="0.25">
      <c r="A827" s="23">
        <v>828</v>
      </c>
      <c r="B827" s="85">
        <v>45695</v>
      </c>
      <c r="C827" s="23" t="s">
        <v>1159</v>
      </c>
      <c r="D827" s="23" t="s">
        <v>1474</v>
      </c>
      <c r="G827" s="23">
        <v>0</v>
      </c>
      <c r="I827" s="218" t="s">
        <v>1614</v>
      </c>
    </row>
    <row r="828" spans="1:9" x14ac:dyDescent="0.25">
      <c r="A828" s="23">
        <v>829</v>
      </c>
      <c r="B828" s="85">
        <v>45695</v>
      </c>
      <c r="C828" s="23" t="s">
        <v>1152</v>
      </c>
      <c r="D828" s="23" t="s">
        <v>173</v>
      </c>
      <c r="G828" s="23">
        <v>0</v>
      </c>
      <c r="I828" s="218" t="s">
        <v>1615</v>
      </c>
    </row>
    <row r="829" spans="1:9" x14ac:dyDescent="0.25">
      <c r="A829" s="23">
        <v>830</v>
      </c>
      <c r="B829" s="85">
        <v>45695</v>
      </c>
      <c r="C829" s="23" t="s">
        <v>277</v>
      </c>
      <c r="D829" s="23" t="s">
        <v>163</v>
      </c>
      <c r="G829" s="23">
        <v>0</v>
      </c>
      <c r="I829" s="218" t="s">
        <v>1616</v>
      </c>
    </row>
    <row r="830" spans="1:9" x14ac:dyDescent="0.25">
      <c r="A830" s="23">
        <v>831</v>
      </c>
      <c r="B830" s="85">
        <v>45695</v>
      </c>
      <c r="C830" s="23" t="s">
        <v>277</v>
      </c>
      <c r="D830" s="23" t="s">
        <v>164</v>
      </c>
      <c r="G830" s="23">
        <v>0</v>
      </c>
      <c r="I830" s="218" t="s">
        <v>1617</v>
      </c>
    </row>
    <row r="831" spans="1:9" x14ac:dyDescent="0.25">
      <c r="A831" s="23">
        <v>832</v>
      </c>
      <c r="B831" s="85">
        <v>45695</v>
      </c>
      <c r="C831" s="23" t="s">
        <v>1618</v>
      </c>
      <c r="D831" s="23" t="s">
        <v>165</v>
      </c>
      <c r="G831" s="23">
        <v>0</v>
      </c>
      <c r="I831" s="218" t="s">
        <v>1619</v>
      </c>
    </row>
    <row r="832" spans="1:9" x14ac:dyDescent="0.25">
      <c r="A832" s="23">
        <v>833</v>
      </c>
      <c r="B832" s="85">
        <v>45695</v>
      </c>
      <c r="C832" s="23" t="s">
        <v>999</v>
      </c>
      <c r="D832" s="23" t="s">
        <v>1474</v>
      </c>
      <c r="G832" s="23">
        <v>1.4</v>
      </c>
      <c r="I832" s="218" t="s">
        <v>295</v>
      </c>
    </row>
    <row r="833" spans="1:9" x14ac:dyDescent="0.25">
      <c r="A833" s="23">
        <v>834</v>
      </c>
      <c r="B833" s="85">
        <v>45695</v>
      </c>
      <c r="C833" s="23" t="s">
        <v>526</v>
      </c>
      <c r="D833" s="23" t="s">
        <v>160</v>
      </c>
      <c r="G833" s="23">
        <v>0.51500000000000001</v>
      </c>
      <c r="I833" s="218" t="s">
        <v>1620</v>
      </c>
    </row>
    <row r="834" spans="1:9" x14ac:dyDescent="0.25">
      <c r="A834" s="23">
        <v>835</v>
      </c>
      <c r="B834" s="85">
        <v>45695</v>
      </c>
      <c r="C834" s="23" t="s">
        <v>528</v>
      </c>
      <c r="D834" s="23" t="s">
        <v>155</v>
      </c>
      <c r="G834" s="23">
        <v>0</v>
      </c>
      <c r="I834" s="218" t="s">
        <v>1621</v>
      </c>
    </row>
    <row r="835" spans="1:9" x14ac:dyDescent="0.25">
      <c r="A835" s="23">
        <v>836</v>
      </c>
      <c r="B835" s="85">
        <v>45695</v>
      </c>
      <c r="C835" s="23" t="s">
        <v>1001</v>
      </c>
      <c r="D835" s="23" t="s">
        <v>168</v>
      </c>
      <c r="G835" s="23">
        <v>0</v>
      </c>
      <c r="I835" s="218" t="s">
        <v>1622</v>
      </c>
    </row>
    <row r="836" spans="1:9" x14ac:dyDescent="0.25">
      <c r="A836" s="23">
        <v>837</v>
      </c>
      <c r="B836" s="85">
        <v>45695</v>
      </c>
      <c r="C836" s="23" t="s">
        <v>647</v>
      </c>
      <c r="D836" s="23" t="s">
        <v>172</v>
      </c>
      <c r="G836" s="23">
        <v>0</v>
      </c>
      <c r="I836" s="218" t="s">
        <v>1623</v>
      </c>
    </row>
    <row r="837" spans="1:9" x14ac:dyDescent="0.25">
      <c r="A837" s="23">
        <v>838</v>
      </c>
      <c r="B837" s="85">
        <v>45695</v>
      </c>
      <c r="C837" s="23" t="s">
        <v>1624</v>
      </c>
      <c r="D837" s="23" t="s">
        <v>174</v>
      </c>
      <c r="G837" s="23">
        <v>0</v>
      </c>
      <c r="I837" s="218" t="s">
        <v>1625</v>
      </c>
    </row>
    <row r="838" spans="1:9" x14ac:dyDescent="0.25">
      <c r="A838" s="23">
        <v>839</v>
      </c>
      <c r="B838" s="85">
        <v>45695</v>
      </c>
      <c r="C838" s="23" t="s">
        <v>1626</v>
      </c>
      <c r="D838" s="23" t="s">
        <v>177</v>
      </c>
      <c r="G838" s="23">
        <v>0</v>
      </c>
      <c r="I838" s="218" t="s">
        <v>1627</v>
      </c>
    </row>
    <row r="839" spans="1:9" x14ac:dyDescent="0.25">
      <c r="A839" s="23">
        <v>840</v>
      </c>
      <c r="B839" s="85">
        <v>45695</v>
      </c>
      <c r="C839" s="23" t="s">
        <v>1628</v>
      </c>
      <c r="D839" s="23" t="s">
        <v>178</v>
      </c>
      <c r="G839" s="23">
        <v>0</v>
      </c>
      <c r="I839" s="218" t="s">
        <v>1629</v>
      </c>
    </row>
    <row r="840" spans="1:9" x14ac:dyDescent="0.25">
      <c r="A840" s="23">
        <v>841</v>
      </c>
      <c r="B840" s="85">
        <v>45695</v>
      </c>
      <c r="C840" s="23" t="s">
        <v>1349</v>
      </c>
      <c r="D840" s="23" t="s">
        <v>161</v>
      </c>
      <c r="G840" s="23">
        <v>0.8</v>
      </c>
      <c r="I840" s="218" t="s">
        <v>1630</v>
      </c>
    </row>
    <row r="841" spans="1:9" x14ac:dyDescent="0.25">
      <c r="A841" s="23">
        <v>842</v>
      </c>
      <c r="B841" s="85">
        <v>45695</v>
      </c>
      <c r="C841" s="23" t="s">
        <v>1349</v>
      </c>
      <c r="D841" s="23" t="s">
        <v>178</v>
      </c>
      <c r="G841" s="23">
        <v>0.8</v>
      </c>
      <c r="I841" s="218" t="s">
        <v>295</v>
      </c>
    </row>
    <row r="842" spans="1:9" x14ac:dyDescent="0.25">
      <c r="A842" s="23">
        <v>843</v>
      </c>
      <c r="B842" s="85">
        <v>45695</v>
      </c>
      <c r="C842" s="23" t="s">
        <v>839</v>
      </c>
      <c r="D842" s="23" t="s">
        <v>164</v>
      </c>
      <c r="G842" s="23">
        <v>0.8</v>
      </c>
      <c r="I842" s="218" t="s">
        <v>1631</v>
      </c>
    </row>
    <row r="843" spans="1:9" x14ac:dyDescent="0.25">
      <c r="A843" s="23">
        <v>844</v>
      </c>
      <c r="B843" s="85">
        <v>45695</v>
      </c>
      <c r="C843" s="23" t="s">
        <v>839</v>
      </c>
      <c r="D843" s="23" t="s">
        <v>173</v>
      </c>
      <c r="G843" s="23">
        <v>0.8</v>
      </c>
      <c r="I843" s="218" t="s">
        <v>1632</v>
      </c>
    </row>
    <row r="844" spans="1:9" x14ac:dyDescent="0.25">
      <c r="A844" s="23">
        <v>845</v>
      </c>
      <c r="B844" s="85">
        <v>45695</v>
      </c>
      <c r="C844" s="23" t="s">
        <v>839</v>
      </c>
      <c r="D844" s="23" t="s">
        <v>162</v>
      </c>
      <c r="G844" s="23">
        <v>0.8</v>
      </c>
      <c r="I844" s="218" t="s">
        <v>1633</v>
      </c>
    </row>
    <row r="845" spans="1:9" x14ac:dyDescent="0.25">
      <c r="A845" s="23">
        <v>846</v>
      </c>
      <c r="B845" s="85">
        <v>45695</v>
      </c>
      <c r="C845" s="23" t="s">
        <v>1634</v>
      </c>
      <c r="D845" s="23" t="s">
        <v>170</v>
      </c>
      <c r="G845" s="23">
        <v>0.8</v>
      </c>
      <c r="I845" s="218" t="s">
        <v>1635</v>
      </c>
    </row>
    <row r="846" spans="1:9" x14ac:dyDescent="0.25">
      <c r="A846" s="23">
        <v>847</v>
      </c>
      <c r="B846" s="85">
        <v>45695</v>
      </c>
      <c r="C846" s="23" t="s">
        <v>1634</v>
      </c>
      <c r="D846" s="23" t="s">
        <v>165</v>
      </c>
      <c r="G846" s="23">
        <v>0.8</v>
      </c>
      <c r="I846" s="218" t="s">
        <v>1636</v>
      </c>
    </row>
    <row r="847" spans="1:9" x14ac:dyDescent="0.25">
      <c r="A847" s="23">
        <v>848</v>
      </c>
      <c r="B847" s="85">
        <v>45695</v>
      </c>
      <c r="C847" s="23" t="s">
        <v>1634</v>
      </c>
      <c r="D847" s="23" t="s">
        <v>168</v>
      </c>
      <c r="G847" s="23">
        <v>0.8</v>
      </c>
      <c r="I847" s="218" t="s">
        <v>1637</v>
      </c>
    </row>
    <row r="848" spans="1:9" x14ac:dyDescent="0.25">
      <c r="A848" s="23">
        <v>849</v>
      </c>
      <c r="B848" s="85">
        <v>45695</v>
      </c>
      <c r="C848" s="23" t="s">
        <v>1638</v>
      </c>
      <c r="D848" s="23" t="s">
        <v>174</v>
      </c>
      <c r="G848" s="23">
        <v>0.8</v>
      </c>
      <c r="I848" s="218" t="s">
        <v>1639</v>
      </c>
    </row>
    <row r="849" spans="1:9" x14ac:dyDescent="0.25">
      <c r="A849" s="23">
        <v>850</v>
      </c>
      <c r="B849" s="85">
        <v>45695</v>
      </c>
      <c r="C849" s="23" t="s">
        <v>1638</v>
      </c>
      <c r="D849" s="23" t="s">
        <v>172</v>
      </c>
      <c r="G849" s="23">
        <v>0.8</v>
      </c>
      <c r="I849" s="218" t="s">
        <v>1640</v>
      </c>
    </row>
    <row r="850" spans="1:9" x14ac:dyDescent="0.25">
      <c r="A850" s="23">
        <v>851</v>
      </c>
      <c r="B850" s="85">
        <v>45695</v>
      </c>
      <c r="C850" s="23" t="s">
        <v>1641</v>
      </c>
      <c r="D850" s="23" t="s">
        <v>302</v>
      </c>
      <c r="G850" s="23">
        <v>0.9</v>
      </c>
      <c r="I850" s="218" t="s">
        <v>1642</v>
      </c>
    </row>
    <row r="851" spans="1:9" x14ac:dyDescent="0.25">
      <c r="A851" s="23">
        <v>852</v>
      </c>
      <c r="B851" s="85">
        <v>45695</v>
      </c>
      <c r="C851" s="23" t="s">
        <v>1641</v>
      </c>
      <c r="D851" s="23" t="s">
        <v>177</v>
      </c>
      <c r="G851" s="23">
        <v>0.8</v>
      </c>
      <c r="I851" s="218" t="s">
        <v>1643</v>
      </c>
    </row>
    <row r="852" spans="1:9" x14ac:dyDescent="0.25">
      <c r="A852" s="23">
        <v>853</v>
      </c>
      <c r="B852" s="85">
        <v>45695</v>
      </c>
      <c r="C852" s="23" t="s">
        <v>1644</v>
      </c>
      <c r="D852" s="23" t="s">
        <v>202</v>
      </c>
      <c r="G852" s="23">
        <v>0.8</v>
      </c>
      <c r="I852" s="218" t="s">
        <v>1645</v>
      </c>
    </row>
    <row r="853" spans="1:9" x14ac:dyDescent="0.25">
      <c r="A853" s="23">
        <v>854</v>
      </c>
      <c r="B853" s="85">
        <v>45695</v>
      </c>
      <c r="C853" s="23" t="s">
        <v>1646</v>
      </c>
      <c r="D853" s="23" t="s">
        <v>177</v>
      </c>
      <c r="G853" s="23">
        <v>0</v>
      </c>
      <c r="I853" s="218" t="s">
        <v>1643</v>
      </c>
    </row>
    <row r="854" spans="1:9" x14ac:dyDescent="0.25">
      <c r="A854" s="23">
        <v>855</v>
      </c>
      <c r="B854" s="85">
        <v>45695</v>
      </c>
      <c r="C854" s="23" t="s">
        <v>1646</v>
      </c>
      <c r="D854" s="23" t="s">
        <v>202</v>
      </c>
      <c r="G854" s="23">
        <v>0</v>
      </c>
      <c r="I854" s="218" t="s">
        <v>1645</v>
      </c>
    </row>
    <row r="855" spans="1:9" x14ac:dyDescent="0.25">
      <c r="A855" s="23">
        <v>856</v>
      </c>
      <c r="B855" s="85">
        <v>45695</v>
      </c>
      <c r="C855" s="23" t="s">
        <v>1647</v>
      </c>
      <c r="D855" s="23" t="s">
        <v>163</v>
      </c>
      <c r="G855" s="23" t="s">
        <v>9</v>
      </c>
      <c r="I855" s="218" t="s">
        <v>1648</v>
      </c>
    </row>
    <row r="856" spans="1:9" x14ac:dyDescent="0.25">
      <c r="A856" s="23">
        <v>857</v>
      </c>
      <c r="B856" s="85">
        <v>45695</v>
      </c>
      <c r="C856" s="23" t="s">
        <v>1649</v>
      </c>
      <c r="D856" s="23" t="s">
        <v>178</v>
      </c>
      <c r="G856" s="23">
        <v>0</v>
      </c>
      <c r="I856" s="218" t="s">
        <v>1650</v>
      </c>
    </row>
    <row r="857" spans="1:9" x14ac:dyDescent="0.25">
      <c r="A857" s="23">
        <v>858</v>
      </c>
      <c r="B857" s="85">
        <v>45695</v>
      </c>
      <c r="C857" s="23" t="s">
        <v>276</v>
      </c>
      <c r="D857" s="23" t="s">
        <v>1474</v>
      </c>
      <c r="G857" s="23">
        <v>0</v>
      </c>
      <c r="I857" s="218" t="s">
        <v>1651</v>
      </c>
    </row>
    <row r="858" spans="1:9" x14ac:dyDescent="0.25">
      <c r="A858" s="23">
        <v>859</v>
      </c>
      <c r="B858" s="85">
        <v>45695</v>
      </c>
      <c r="C858" s="23" t="s">
        <v>239</v>
      </c>
      <c r="D858" s="23" t="s">
        <v>159</v>
      </c>
      <c r="G858" s="23">
        <v>0.94</v>
      </c>
      <c r="I858" s="218" t="s">
        <v>1652</v>
      </c>
    </row>
    <row r="859" spans="1:9" x14ac:dyDescent="0.25">
      <c r="A859" s="23">
        <v>860</v>
      </c>
      <c r="B859" s="85">
        <v>45695</v>
      </c>
      <c r="C859" s="23" t="s">
        <v>1174</v>
      </c>
      <c r="D859" s="23" t="s">
        <v>169</v>
      </c>
      <c r="G859" s="23">
        <v>0</v>
      </c>
      <c r="I859" s="218" t="s">
        <v>1653</v>
      </c>
    </row>
    <row r="860" spans="1:9" x14ac:dyDescent="0.25">
      <c r="A860" s="23">
        <v>861</v>
      </c>
      <c r="B860" s="85">
        <v>45695</v>
      </c>
      <c r="C860" s="23" t="s">
        <v>1654</v>
      </c>
      <c r="D860" s="23" t="s">
        <v>161</v>
      </c>
      <c r="G860" s="23">
        <v>0</v>
      </c>
      <c r="I860" s="218" t="s">
        <v>1655</v>
      </c>
    </row>
    <row r="861" spans="1:9" x14ac:dyDescent="0.25">
      <c r="A861" s="23">
        <v>862</v>
      </c>
      <c r="B861" s="85">
        <v>45695</v>
      </c>
      <c r="C861" s="23" t="s">
        <v>1656</v>
      </c>
      <c r="D861" s="23" t="s">
        <v>162</v>
      </c>
      <c r="G861" s="23">
        <v>0</v>
      </c>
      <c r="I861" s="218" t="s">
        <v>1657</v>
      </c>
    </row>
    <row r="862" spans="1:9" x14ac:dyDescent="0.25">
      <c r="A862" s="23">
        <v>863</v>
      </c>
      <c r="B862" s="85">
        <v>45695</v>
      </c>
      <c r="C862" s="23" t="s">
        <v>1658</v>
      </c>
      <c r="D862" s="23" t="s">
        <v>161</v>
      </c>
      <c r="G862" s="23">
        <v>0.8</v>
      </c>
      <c r="I862" s="218" t="s">
        <v>295</v>
      </c>
    </row>
    <row r="863" spans="1:9" x14ac:dyDescent="0.25">
      <c r="A863" s="23">
        <v>864</v>
      </c>
      <c r="B863" s="85">
        <v>45695</v>
      </c>
      <c r="C863" s="23" t="s">
        <v>1658</v>
      </c>
      <c r="D863" s="23" t="s">
        <v>202</v>
      </c>
      <c r="G863" s="23">
        <v>0.8</v>
      </c>
      <c r="I863" s="218" t="s">
        <v>1659</v>
      </c>
    </row>
    <row r="864" spans="1:9" x14ac:dyDescent="0.25">
      <c r="A864" s="23">
        <v>865</v>
      </c>
      <c r="B864" s="85">
        <v>45695</v>
      </c>
      <c r="C864" s="23" t="s">
        <v>1658</v>
      </c>
      <c r="D864" s="23" t="s">
        <v>162</v>
      </c>
      <c r="G864" s="23">
        <v>0.8</v>
      </c>
      <c r="I864" s="218" t="s">
        <v>295</v>
      </c>
    </row>
    <row r="865" spans="1:9" x14ac:dyDescent="0.25">
      <c r="A865" s="23">
        <v>866</v>
      </c>
      <c r="B865" s="85">
        <v>45695</v>
      </c>
      <c r="C865" s="23" t="s">
        <v>1658</v>
      </c>
      <c r="D865" s="23" t="s">
        <v>178</v>
      </c>
      <c r="G865" s="23">
        <v>0.8</v>
      </c>
      <c r="I865" s="218" t="s">
        <v>295</v>
      </c>
    </row>
    <row r="866" spans="1:9" x14ac:dyDescent="0.25">
      <c r="A866" s="23">
        <v>867</v>
      </c>
      <c r="B866" s="85">
        <v>45695</v>
      </c>
      <c r="C866" s="23" t="s">
        <v>1658</v>
      </c>
      <c r="D866" s="23" t="s">
        <v>177</v>
      </c>
      <c r="G866" s="23">
        <v>0.8</v>
      </c>
      <c r="I866" s="218" t="s">
        <v>1660</v>
      </c>
    </row>
    <row r="867" spans="1:9" x14ac:dyDescent="0.25">
      <c r="A867" s="23">
        <v>869</v>
      </c>
      <c r="B867" s="85">
        <v>45695</v>
      </c>
      <c r="C867" s="23" t="s">
        <v>1662</v>
      </c>
      <c r="D867" s="23" t="s">
        <v>162</v>
      </c>
      <c r="G867" s="23">
        <v>0</v>
      </c>
      <c r="I867" s="218" t="s">
        <v>1657</v>
      </c>
    </row>
    <row r="868" spans="1:9" x14ac:dyDescent="0.25">
      <c r="A868" s="23">
        <v>870</v>
      </c>
      <c r="B868" s="85">
        <v>45695</v>
      </c>
      <c r="C868" s="23" t="s">
        <v>1658</v>
      </c>
      <c r="D868" s="23" t="s">
        <v>194</v>
      </c>
      <c r="G868" s="23" t="s">
        <v>9</v>
      </c>
      <c r="H868" s="23" t="s">
        <v>1661</v>
      </c>
      <c r="I868" s="218" t="s">
        <v>295</v>
      </c>
    </row>
    <row r="869" spans="1:9" x14ac:dyDescent="0.25">
      <c r="A869" s="23">
        <v>871</v>
      </c>
      <c r="B869" s="85">
        <v>45695</v>
      </c>
      <c r="C869" s="23" t="s">
        <v>1663</v>
      </c>
      <c r="D869" s="23" t="s">
        <v>157</v>
      </c>
      <c r="G869" s="23" t="s">
        <v>9</v>
      </c>
      <c r="H869" s="23" t="s">
        <v>1665</v>
      </c>
      <c r="I869" s="218" t="s">
        <v>1664</v>
      </c>
    </row>
    <row r="870" spans="1:9" x14ac:dyDescent="0.25">
      <c r="A870" s="23">
        <v>871</v>
      </c>
      <c r="B870" s="85">
        <v>45695</v>
      </c>
      <c r="C870" s="23" t="s">
        <v>1201</v>
      </c>
      <c r="D870" s="23" t="s">
        <v>202</v>
      </c>
      <c r="G870" s="23">
        <v>0</v>
      </c>
      <c r="I870" s="218" t="s">
        <v>1666</v>
      </c>
    </row>
    <row r="871" spans="1:9" x14ac:dyDescent="0.25">
      <c r="A871" s="23">
        <v>872</v>
      </c>
      <c r="B871" s="85">
        <v>45695</v>
      </c>
      <c r="C871" s="23" t="s">
        <v>205</v>
      </c>
      <c r="D871" s="23" t="s">
        <v>202</v>
      </c>
      <c r="G871" s="23">
        <v>0.8</v>
      </c>
      <c r="I871" s="218" t="s">
        <v>295</v>
      </c>
    </row>
    <row r="872" spans="1:9" x14ac:dyDescent="0.25">
      <c r="A872" s="23">
        <v>873</v>
      </c>
      <c r="B872" s="85">
        <v>45695</v>
      </c>
      <c r="C872" s="23" t="s">
        <v>1663</v>
      </c>
      <c r="D872" s="23" t="s">
        <v>162</v>
      </c>
      <c r="G872" s="23">
        <v>0.8</v>
      </c>
      <c r="I872" s="218" t="s">
        <v>1667</v>
      </c>
    </row>
    <row r="873" spans="1:9" x14ac:dyDescent="0.25">
      <c r="A873" s="23">
        <v>874</v>
      </c>
      <c r="B873" s="85">
        <v>45695</v>
      </c>
      <c r="C873" s="23" t="s">
        <v>1668</v>
      </c>
      <c r="D873" s="23" t="s">
        <v>264</v>
      </c>
      <c r="G873" s="23">
        <v>0</v>
      </c>
      <c r="I873" s="218" t="s">
        <v>1669</v>
      </c>
    </row>
    <row r="874" spans="1:9" x14ac:dyDescent="0.25">
      <c r="A874" s="23">
        <v>875</v>
      </c>
      <c r="B874" s="85">
        <v>45695</v>
      </c>
      <c r="C874" s="23" t="s">
        <v>1670</v>
      </c>
      <c r="D874" s="23" t="s">
        <v>202</v>
      </c>
      <c r="G874" s="23">
        <v>0</v>
      </c>
      <c r="I874" s="218" t="s">
        <v>1671</v>
      </c>
    </row>
    <row r="875" spans="1:9" x14ac:dyDescent="0.25">
      <c r="A875" s="23">
        <v>876</v>
      </c>
      <c r="B875" s="85">
        <v>45695</v>
      </c>
      <c r="C875" s="23" t="s">
        <v>220</v>
      </c>
      <c r="D875" s="23" t="s">
        <v>302</v>
      </c>
      <c r="G875" s="23">
        <v>0</v>
      </c>
      <c r="I875" s="218" t="s">
        <v>1672</v>
      </c>
    </row>
    <row r="876" spans="1:9" x14ac:dyDescent="0.25">
      <c r="A876" s="23">
        <v>877</v>
      </c>
      <c r="B876" s="85">
        <v>45695</v>
      </c>
      <c r="C876" s="23" t="s">
        <v>1673</v>
      </c>
      <c r="D876" s="23" t="s">
        <v>264</v>
      </c>
      <c r="G876" s="23">
        <v>0.7</v>
      </c>
      <c r="I876" s="218" t="s">
        <v>1674</v>
      </c>
    </row>
    <row r="877" spans="1:9" x14ac:dyDescent="0.25">
      <c r="A877" s="23">
        <v>878</v>
      </c>
      <c r="B877" s="85">
        <v>45695</v>
      </c>
      <c r="C877" s="23" t="s">
        <v>1032</v>
      </c>
      <c r="D877" s="23" t="s">
        <v>177</v>
      </c>
      <c r="G877" s="23">
        <v>0</v>
      </c>
      <c r="I877" s="218" t="s">
        <v>1675</v>
      </c>
    </row>
    <row r="878" spans="1:9" x14ac:dyDescent="0.25">
      <c r="A878" s="23">
        <v>879</v>
      </c>
      <c r="B878" s="85">
        <v>45695</v>
      </c>
      <c r="C878" s="23" t="s">
        <v>1676</v>
      </c>
      <c r="D878" s="23" t="s">
        <v>173</v>
      </c>
      <c r="G878" s="23">
        <v>0</v>
      </c>
      <c r="I878" s="218" t="s">
        <v>1677</v>
      </c>
    </row>
    <row r="879" spans="1:9" x14ac:dyDescent="0.25">
      <c r="A879" s="23">
        <v>880</v>
      </c>
      <c r="B879" s="85">
        <v>45695</v>
      </c>
      <c r="C879" s="23" t="s">
        <v>870</v>
      </c>
      <c r="D879" s="23" t="s">
        <v>164</v>
      </c>
      <c r="G879" s="23">
        <v>0</v>
      </c>
      <c r="I879" s="218" t="s">
        <v>1678</v>
      </c>
    </row>
    <row r="880" spans="1:9" x14ac:dyDescent="0.25">
      <c r="A880" s="23">
        <v>881</v>
      </c>
      <c r="B880" s="85">
        <v>45695</v>
      </c>
      <c r="C880" s="23" t="s">
        <v>682</v>
      </c>
      <c r="D880" s="23" t="s">
        <v>165</v>
      </c>
      <c r="G880" s="23">
        <v>0</v>
      </c>
      <c r="I880" s="218" t="s">
        <v>1679</v>
      </c>
    </row>
    <row r="881" spans="1:9" x14ac:dyDescent="0.25">
      <c r="A881" s="23">
        <v>882</v>
      </c>
      <c r="B881" s="85">
        <v>45695</v>
      </c>
      <c r="C881" s="23" t="s">
        <v>680</v>
      </c>
      <c r="D881" s="23" t="s">
        <v>155</v>
      </c>
      <c r="G881" s="23">
        <v>0.44</v>
      </c>
      <c r="I881" s="218" t="s">
        <v>1680</v>
      </c>
    </row>
    <row r="882" spans="1:9" x14ac:dyDescent="0.25">
      <c r="A882" s="23">
        <v>883</v>
      </c>
      <c r="B882" s="85">
        <v>45695</v>
      </c>
      <c r="C882" s="23" t="s">
        <v>682</v>
      </c>
      <c r="D882" s="23" t="s">
        <v>166</v>
      </c>
      <c r="G882" s="23">
        <v>0</v>
      </c>
      <c r="I882" s="218" t="s">
        <v>1681</v>
      </c>
    </row>
    <row r="883" spans="1:9" x14ac:dyDescent="0.25">
      <c r="A883" s="23">
        <v>884</v>
      </c>
      <c r="B883" s="85">
        <v>45695</v>
      </c>
      <c r="C883" s="23" t="s">
        <v>282</v>
      </c>
      <c r="D883" s="23" t="s">
        <v>157</v>
      </c>
      <c r="G883" s="23">
        <v>0</v>
      </c>
      <c r="I883" s="218" t="s">
        <v>1682</v>
      </c>
    </row>
    <row r="884" spans="1:9" x14ac:dyDescent="0.25">
      <c r="A884" s="23">
        <v>885</v>
      </c>
      <c r="B884" s="85">
        <v>45695</v>
      </c>
      <c r="C884" s="23" t="s">
        <v>282</v>
      </c>
      <c r="D884" s="23" t="s">
        <v>157</v>
      </c>
      <c r="G884" s="23">
        <v>6.4</v>
      </c>
      <c r="I884" s="218" t="s">
        <v>295</v>
      </c>
    </row>
    <row r="885" spans="1:9" x14ac:dyDescent="0.25">
      <c r="A885" s="23">
        <v>886</v>
      </c>
      <c r="B885" s="85">
        <v>45695</v>
      </c>
      <c r="C885" s="23" t="s">
        <v>1683</v>
      </c>
      <c r="D885" s="23" t="s">
        <v>168</v>
      </c>
      <c r="G885" s="23">
        <v>0</v>
      </c>
      <c r="I885" s="218" t="s">
        <v>1684</v>
      </c>
    </row>
    <row r="886" spans="1:9" x14ac:dyDescent="0.25">
      <c r="A886" s="23">
        <v>887</v>
      </c>
      <c r="B886" s="85">
        <v>45695</v>
      </c>
      <c r="C886" s="23" t="s">
        <v>1685</v>
      </c>
      <c r="D886" s="23" t="s">
        <v>170</v>
      </c>
      <c r="G886" s="23">
        <v>0</v>
      </c>
      <c r="I886" s="218" t="s">
        <v>1686</v>
      </c>
    </row>
    <row r="887" spans="1:9" x14ac:dyDescent="0.25">
      <c r="A887" s="23">
        <v>888</v>
      </c>
      <c r="B887" s="85">
        <v>45695</v>
      </c>
      <c r="C887" s="23" t="s">
        <v>1685</v>
      </c>
      <c r="D887" s="23" t="s">
        <v>172</v>
      </c>
      <c r="G887" s="23">
        <v>0</v>
      </c>
      <c r="I887" s="218" t="s">
        <v>1687</v>
      </c>
    </row>
    <row r="888" spans="1:9" x14ac:dyDescent="0.25">
      <c r="A888" s="23">
        <v>889</v>
      </c>
      <c r="B888" s="85">
        <v>45695</v>
      </c>
      <c r="C888" s="23" t="s">
        <v>1688</v>
      </c>
      <c r="D888" s="23" t="s">
        <v>174</v>
      </c>
      <c r="G888" s="23">
        <v>0</v>
      </c>
      <c r="I888" s="218" t="s">
        <v>1689</v>
      </c>
    </row>
    <row r="889" spans="1:9" x14ac:dyDescent="0.25">
      <c r="A889" s="23">
        <v>890</v>
      </c>
      <c r="B889" s="85">
        <v>45695</v>
      </c>
      <c r="C889" s="23" t="s">
        <v>1688</v>
      </c>
      <c r="D889" s="23" t="s">
        <v>178</v>
      </c>
      <c r="G889" s="23">
        <v>0</v>
      </c>
      <c r="I889" s="218" t="s">
        <v>1690</v>
      </c>
    </row>
    <row r="890" spans="1:9" x14ac:dyDescent="0.25">
      <c r="A890" s="23">
        <v>891</v>
      </c>
      <c r="B890" s="85">
        <v>45695</v>
      </c>
      <c r="C890" s="23" t="s">
        <v>878</v>
      </c>
      <c r="D890" s="23" t="s">
        <v>162</v>
      </c>
      <c r="G890" s="23">
        <v>0</v>
      </c>
      <c r="I890" s="218" t="s">
        <v>1691</v>
      </c>
    </row>
    <row r="891" spans="1:9" x14ac:dyDescent="0.25">
      <c r="A891" s="23">
        <v>892</v>
      </c>
      <c r="B891" s="85">
        <v>45695</v>
      </c>
      <c r="C891" s="23" t="s">
        <v>878</v>
      </c>
      <c r="D891" s="23" t="s">
        <v>161</v>
      </c>
      <c r="G891" s="23">
        <v>0</v>
      </c>
      <c r="I891" s="218" t="s">
        <v>1692</v>
      </c>
    </row>
    <row r="892" spans="1:9" x14ac:dyDescent="0.25">
      <c r="A892" s="23">
        <v>893</v>
      </c>
      <c r="B892" s="85">
        <v>45695</v>
      </c>
      <c r="C892" s="23" t="s">
        <v>1693</v>
      </c>
      <c r="D892" s="23" t="s">
        <v>144</v>
      </c>
      <c r="G892" s="23">
        <v>0</v>
      </c>
      <c r="I892" s="218" t="s">
        <v>1694</v>
      </c>
    </row>
    <row r="893" spans="1:9" x14ac:dyDescent="0.25">
      <c r="A893" s="23">
        <v>894</v>
      </c>
      <c r="B893" s="85">
        <v>45695</v>
      </c>
      <c r="C893" s="23" t="s">
        <v>1695</v>
      </c>
      <c r="D893" s="23" t="s">
        <v>252</v>
      </c>
      <c r="G893" s="23">
        <v>0</v>
      </c>
      <c r="I893" s="218" t="s">
        <v>1696</v>
      </c>
    </row>
    <row r="894" spans="1:9" x14ac:dyDescent="0.25">
      <c r="A894" s="23">
        <v>895</v>
      </c>
      <c r="B894" s="85">
        <v>45695</v>
      </c>
      <c r="C894" s="23" t="s">
        <v>537</v>
      </c>
      <c r="D894" s="23" t="s">
        <v>273</v>
      </c>
      <c r="G894" s="23">
        <v>0</v>
      </c>
      <c r="I894" s="218" t="s">
        <v>1697</v>
      </c>
    </row>
    <row r="895" spans="1:9" x14ac:dyDescent="0.25">
      <c r="A895" s="23">
        <v>896</v>
      </c>
      <c r="B895" s="85">
        <v>45695</v>
      </c>
      <c r="C895" s="23" t="s">
        <v>539</v>
      </c>
      <c r="D895" s="23" t="s">
        <v>272</v>
      </c>
      <c r="G895" s="23">
        <v>0</v>
      </c>
      <c r="I895" s="218" t="s">
        <v>1698</v>
      </c>
    </row>
    <row r="896" spans="1:9" x14ac:dyDescent="0.25">
      <c r="A896" s="23">
        <v>897</v>
      </c>
      <c r="B896" s="85">
        <v>45696</v>
      </c>
      <c r="C896" s="23" t="s">
        <v>1699</v>
      </c>
      <c r="D896" s="23" t="s">
        <v>160</v>
      </c>
      <c r="G896" s="23">
        <v>0</v>
      </c>
      <c r="I896" s="218" t="s">
        <v>1700</v>
      </c>
    </row>
    <row r="897" spans="1:9" x14ac:dyDescent="0.25">
      <c r="A897" s="23">
        <v>898</v>
      </c>
      <c r="B897" s="85">
        <v>45696</v>
      </c>
      <c r="C897" s="23" t="s">
        <v>1701</v>
      </c>
      <c r="D897" s="23" t="s">
        <v>164</v>
      </c>
      <c r="G897" s="23">
        <v>0.8</v>
      </c>
      <c r="I897" s="218" t="s">
        <v>1702</v>
      </c>
    </row>
    <row r="898" spans="1:9" x14ac:dyDescent="0.25">
      <c r="A898" s="23">
        <v>899</v>
      </c>
      <c r="B898" s="85">
        <v>45696</v>
      </c>
      <c r="C898" s="23" t="s">
        <v>1701</v>
      </c>
      <c r="D898" s="23" t="s">
        <v>173</v>
      </c>
      <c r="G898" s="23">
        <v>0.8</v>
      </c>
      <c r="I898" s="218" t="s">
        <v>1703</v>
      </c>
    </row>
    <row r="899" spans="1:9" x14ac:dyDescent="0.25">
      <c r="A899" s="23">
        <v>900</v>
      </c>
      <c r="B899" s="85">
        <v>45696</v>
      </c>
      <c r="C899" s="23" t="s">
        <v>1704</v>
      </c>
      <c r="D899" s="23" t="s">
        <v>165</v>
      </c>
      <c r="G899" s="23">
        <v>0.8</v>
      </c>
      <c r="I899" s="218" t="s">
        <v>1705</v>
      </c>
    </row>
    <row r="900" spans="1:9" x14ac:dyDescent="0.25">
      <c r="A900" s="23">
        <v>901</v>
      </c>
      <c r="B900" s="85">
        <v>45696</v>
      </c>
      <c r="C900" s="23" t="s">
        <v>1704</v>
      </c>
      <c r="D900" s="23" t="s">
        <v>158</v>
      </c>
      <c r="G900" s="23">
        <v>0</v>
      </c>
      <c r="I900" s="218" t="s">
        <v>1706</v>
      </c>
    </row>
    <row r="901" spans="1:9" x14ac:dyDescent="0.25">
      <c r="A901" s="23">
        <v>902</v>
      </c>
      <c r="B901" s="85">
        <v>45696</v>
      </c>
      <c r="C901" s="23" t="s">
        <v>1707</v>
      </c>
      <c r="D901" s="23" t="s">
        <v>264</v>
      </c>
      <c r="G901" s="23">
        <v>0</v>
      </c>
      <c r="I901" s="218" t="s">
        <v>1708</v>
      </c>
    </row>
    <row r="902" spans="1:9" x14ac:dyDescent="0.25">
      <c r="A902" s="23">
        <v>903</v>
      </c>
      <c r="B902" s="85">
        <v>45696</v>
      </c>
      <c r="C902" s="23" t="s">
        <v>1709</v>
      </c>
      <c r="D902" s="23" t="s">
        <v>173</v>
      </c>
      <c r="G902" s="23">
        <v>0</v>
      </c>
      <c r="I902" s="218" t="s">
        <v>1710</v>
      </c>
    </row>
    <row r="903" spans="1:9" x14ac:dyDescent="0.25">
      <c r="A903" s="23">
        <v>904</v>
      </c>
      <c r="B903" s="85">
        <v>45696</v>
      </c>
      <c r="C903" s="23" t="s">
        <v>908</v>
      </c>
      <c r="D903" s="23" t="s">
        <v>273</v>
      </c>
      <c r="G903" s="23">
        <v>0.8</v>
      </c>
      <c r="I903" s="218" t="s">
        <v>1711</v>
      </c>
    </row>
    <row r="904" spans="1:9" x14ac:dyDescent="0.25">
      <c r="A904" s="23">
        <v>905</v>
      </c>
      <c r="B904" s="85">
        <v>45696</v>
      </c>
      <c r="C904" s="23" t="s">
        <v>910</v>
      </c>
      <c r="D904" s="23" t="s">
        <v>164</v>
      </c>
      <c r="G904" s="23">
        <v>0</v>
      </c>
      <c r="I904" s="218" t="s">
        <v>1712</v>
      </c>
    </row>
    <row r="905" spans="1:9" x14ac:dyDescent="0.25">
      <c r="A905" s="23">
        <v>906</v>
      </c>
      <c r="B905" s="85">
        <v>45696</v>
      </c>
      <c r="C905" s="23" t="s">
        <v>563</v>
      </c>
      <c r="D905" s="23" t="s">
        <v>272</v>
      </c>
      <c r="G905" s="23">
        <v>0.8</v>
      </c>
      <c r="I905" s="218" t="s">
        <v>1713</v>
      </c>
    </row>
    <row r="906" spans="1:9" x14ac:dyDescent="0.25">
      <c r="A906" s="23">
        <v>907</v>
      </c>
      <c r="B906" s="85">
        <v>45696</v>
      </c>
      <c r="C906" s="23" t="s">
        <v>1234</v>
      </c>
      <c r="D906" s="23" t="s">
        <v>165</v>
      </c>
      <c r="G906" s="23">
        <v>0</v>
      </c>
      <c r="I906" s="218" t="s">
        <v>1714</v>
      </c>
    </row>
    <row r="907" spans="1:9" x14ac:dyDescent="0.25">
      <c r="A907" s="23">
        <v>908</v>
      </c>
      <c r="B907" s="85">
        <v>45696</v>
      </c>
      <c r="C907" s="23" t="s">
        <v>1555</v>
      </c>
      <c r="D907" s="23" t="s">
        <v>144</v>
      </c>
      <c r="G907" s="23">
        <v>0.8</v>
      </c>
      <c r="I907" s="218" t="s">
        <v>1715</v>
      </c>
    </row>
    <row r="908" spans="1:9" x14ac:dyDescent="0.25">
      <c r="A908" s="23">
        <v>909</v>
      </c>
      <c r="B908" s="85">
        <v>45696</v>
      </c>
      <c r="C908" s="23" t="s">
        <v>1716</v>
      </c>
      <c r="D908" s="23" t="s">
        <v>166</v>
      </c>
      <c r="G908" s="23">
        <v>0.67</v>
      </c>
      <c r="I908" s="218" t="s">
        <v>1717</v>
      </c>
    </row>
    <row r="909" spans="1:9" x14ac:dyDescent="0.25">
      <c r="A909" s="23">
        <v>910</v>
      </c>
      <c r="B909" s="85">
        <v>45696</v>
      </c>
      <c r="C909" s="23" t="s">
        <v>1718</v>
      </c>
      <c r="D909" s="23" t="s">
        <v>252</v>
      </c>
      <c r="G909" s="23">
        <v>0.9</v>
      </c>
      <c r="I909" s="218" t="s">
        <v>1719</v>
      </c>
    </row>
    <row r="910" spans="1:9" x14ac:dyDescent="0.25">
      <c r="A910" s="23">
        <v>911</v>
      </c>
      <c r="B910" s="85">
        <v>45696</v>
      </c>
      <c r="C910" s="23" t="s">
        <v>1720</v>
      </c>
      <c r="D910" s="23" t="s">
        <v>168</v>
      </c>
      <c r="G910" s="23">
        <v>0.8</v>
      </c>
      <c r="I910" s="218" t="s">
        <v>1721</v>
      </c>
    </row>
    <row r="911" spans="1:9" x14ac:dyDescent="0.25">
      <c r="A911" s="23">
        <v>912</v>
      </c>
      <c r="B911" s="85">
        <v>45696</v>
      </c>
      <c r="C911" s="23" t="s">
        <v>1418</v>
      </c>
      <c r="D911" s="23" t="s">
        <v>174</v>
      </c>
      <c r="G911" s="23">
        <v>0.8</v>
      </c>
      <c r="I911" s="218" t="s">
        <v>1722</v>
      </c>
    </row>
    <row r="912" spans="1:9" x14ac:dyDescent="0.25">
      <c r="A912" s="23">
        <v>913</v>
      </c>
      <c r="B912" s="85">
        <v>45696</v>
      </c>
      <c r="C912" s="23" t="s">
        <v>229</v>
      </c>
      <c r="D912" s="23" t="s">
        <v>264</v>
      </c>
      <c r="G912" s="23">
        <v>0.76</v>
      </c>
      <c r="I912" s="218" t="s">
        <v>1723</v>
      </c>
    </row>
    <row r="913" spans="1:9" x14ac:dyDescent="0.25">
      <c r="A913" s="23">
        <v>914</v>
      </c>
      <c r="B913" s="85">
        <v>45696</v>
      </c>
      <c r="C913" s="23" t="s">
        <v>741</v>
      </c>
      <c r="D913" s="23" t="s">
        <v>172</v>
      </c>
      <c r="G913" s="23">
        <v>0.8</v>
      </c>
      <c r="I913" s="218" t="s">
        <v>1724</v>
      </c>
    </row>
    <row r="914" spans="1:9" x14ac:dyDescent="0.25">
      <c r="A914" s="23">
        <v>915</v>
      </c>
      <c r="B914" s="85">
        <v>45696</v>
      </c>
      <c r="C914" s="23" t="s">
        <v>234</v>
      </c>
      <c r="D914" s="23" t="s">
        <v>177</v>
      </c>
      <c r="G914" s="23">
        <v>0.8</v>
      </c>
      <c r="I914" s="218" t="s">
        <v>1725</v>
      </c>
    </row>
    <row r="915" spans="1:9" x14ac:dyDescent="0.25">
      <c r="A915" s="23">
        <v>916</v>
      </c>
      <c r="B915" s="85">
        <v>45696</v>
      </c>
      <c r="C915" s="23" t="s">
        <v>1429</v>
      </c>
      <c r="D915" s="23" t="s">
        <v>172</v>
      </c>
      <c r="G915" s="23">
        <v>0</v>
      </c>
      <c r="I915" s="218" t="s">
        <v>1726</v>
      </c>
    </row>
    <row r="916" spans="1:9" x14ac:dyDescent="0.25">
      <c r="A916" s="23">
        <v>917</v>
      </c>
      <c r="B916" s="85">
        <v>45696</v>
      </c>
      <c r="C916" s="23" t="s">
        <v>1429</v>
      </c>
      <c r="D916" s="23" t="s">
        <v>168</v>
      </c>
      <c r="G916" s="23">
        <v>0</v>
      </c>
      <c r="I916" s="218" t="s">
        <v>1727</v>
      </c>
    </row>
    <row r="917" spans="1:9" x14ac:dyDescent="0.25">
      <c r="A917" s="23">
        <v>918</v>
      </c>
      <c r="B917" s="85">
        <v>45696</v>
      </c>
      <c r="C917" s="23" t="s">
        <v>152</v>
      </c>
      <c r="D917" s="23" t="s">
        <v>158</v>
      </c>
      <c r="G917" s="23">
        <v>6.7</v>
      </c>
      <c r="I917" s="218" t="s">
        <v>1728</v>
      </c>
    </row>
    <row r="918" spans="1:9" x14ac:dyDescent="0.25">
      <c r="A918" s="23">
        <v>919</v>
      </c>
      <c r="B918" s="85">
        <v>45696</v>
      </c>
      <c r="C918" s="23" t="s">
        <v>1729</v>
      </c>
      <c r="D918" s="23" t="s">
        <v>174</v>
      </c>
      <c r="G918" s="23">
        <v>0</v>
      </c>
      <c r="I918" s="218" t="s">
        <v>1730</v>
      </c>
    </row>
    <row r="919" spans="1:9" x14ac:dyDescent="0.25">
      <c r="A919" s="23">
        <v>920</v>
      </c>
      <c r="B919" s="85">
        <v>45696</v>
      </c>
      <c r="C919" s="23" t="s">
        <v>1731</v>
      </c>
      <c r="D919" s="23" t="s">
        <v>202</v>
      </c>
      <c r="G919" s="23" t="s">
        <v>9</v>
      </c>
      <c r="I919" s="218" t="s">
        <v>1732</v>
      </c>
    </row>
    <row r="920" spans="1:9" x14ac:dyDescent="0.25">
      <c r="A920" s="23">
        <v>921</v>
      </c>
      <c r="B920" s="85">
        <v>45696</v>
      </c>
      <c r="C920" s="23" t="s">
        <v>1733</v>
      </c>
      <c r="D920" s="23" t="s">
        <v>155</v>
      </c>
      <c r="G920" s="23">
        <v>0</v>
      </c>
      <c r="I920" s="218" t="s">
        <v>1734</v>
      </c>
    </row>
    <row r="921" spans="1:9" x14ac:dyDescent="0.25">
      <c r="A921" s="23">
        <v>922</v>
      </c>
      <c r="B921" s="85">
        <v>45696</v>
      </c>
      <c r="C921" s="23" t="s">
        <v>1733</v>
      </c>
      <c r="D921" s="23" t="s">
        <v>166</v>
      </c>
      <c r="G921" s="23">
        <v>0</v>
      </c>
      <c r="I921" s="218" t="s">
        <v>1735</v>
      </c>
    </row>
    <row r="922" spans="1:9" x14ac:dyDescent="0.25">
      <c r="A922" s="23">
        <v>923</v>
      </c>
      <c r="B922" s="85">
        <v>45696</v>
      </c>
      <c r="C922" s="23" t="s">
        <v>595</v>
      </c>
      <c r="D922" s="23" t="s">
        <v>177</v>
      </c>
      <c r="G922" s="23">
        <v>0</v>
      </c>
      <c r="I922" s="218" t="s">
        <v>1736</v>
      </c>
    </row>
    <row r="923" spans="1:9" x14ac:dyDescent="0.25">
      <c r="A923" s="23">
        <v>924</v>
      </c>
      <c r="B923" s="85">
        <v>45696</v>
      </c>
      <c r="C923" s="23" t="s">
        <v>1737</v>
      </c>
      <c r="D923" s="23" t="s">
        <v>178</v>
      </c>
      <c r="G923" s="23">
        <v>0.8</v>
      </c>
      <c r="I923" s="218" t="s">
        <v>1738</v>
      </c>
    </row>
    <row r="924" spans="1:9" x14ac:dyDescent="0.25">
      <c r="A924" s="23">
        <v>925</v>
      </c>
      <c r="B924" s="85">
        <v>45696</v>
      </c>
      <c r="C924" s="23" t="s">
        <v>748</v>
      </c>
      <c r="D924" s="23" t="s">
        <v>264</v>
      </c>
      <c r="G924" s="23">
        <v>0</v>
      </c>
      <c r="I924" s="218" t="s">
        <v>1739</v>
      </c>
    </row>
    <row r="925" spans="1:9" x14ac:dyDescent="0.25">
      <c r="A925" s="23">
        <v>926</v>
      </c>
      <c r="B925" s="85">
        <v>45696</v>
      </c>
      <c r="C925" s="23" t="s">
        <v>961</v>
      </c>
      <c r="D925" s="23" t="s">
        <v>155</v>
      </c>
      <c r="G925" s="23">
        <v>0.49</v>
      </c>
      <c r="I925" s="218" t="s">
        <v>295</v>
      </c>
    </row>
    <row r="926" spans="1:9" x14ac:dyDescent="0.25">
      <c r="A926" s="23">
        <v>927</v>
      </c>
      <c r="B926" s="85">
        <v>45696</v>
      </c>
      <c r="C926" s="23" t="s">
        <v>961</v>
      </c>
      <c r="D926" s="23" t="s">
        <v>166</v>
      </c>
      <c r="G926" s="23">
        <v>0.49</v>
      </c>
      <c r="I926" s="218" t="s">
        <v>295</v>
      </c>
    </row>
    <row r="927" spans="1:9" x14ac:dyDescent="0.25">
      <c r="A927" s="23">
        <v>928</v>
      </c>
      <c r="B927" s="85">
        <v>45696</v>
      </c>
      <c r="C927" s="23" t="s">
        <v>1444</v>
      </c>
      <c r="D927" s="23" t="s">
        <v>162</v>
      </c>
      <c r="G927" s="23">
        <v>0.8</v>
      </c>
      <c r="I927" s="218" t="s">
        <v>1740</v>
      </c>
    </row>
    <row r="928" spans="1:9" x14ac:dyDescent="0.25">
      <c r="A928" s="23">
        <v>929</v>
      </c>
      <c r="B928" s="85">
        <v>45696</v>
      </c>
      <c r="C928" s="23" t="s">
        <v>269</v>
      </c>
      <c r="D928" s="23" t="s">
        <v>173</v>
      </c>
      <c r="G928" s="23">
        <v>0.8</v>
      </c>
      <c r="I928" s="218" t="s">
        <v>1741</v>
      </c>
    </row>
    <row r="929" spans="1:9" x14ac:dyDescent="0.25">
      <c r="A929" s="23">
        <v>930</v>
      </c>
      <c r="B929" s="85">
        <v>45696</v>
      </c>
      <c r="C929" s="23" t="s">
        <v>1596</v>
      </c>
      <c r="D929" s="23" t="s">
        <v>164</v>
      </c>
      <c r="G929" s="23">
        <v>0.8</v>
      </c>
      <c r="I929" s="218" t="s">
        <v>1742</v>
      </c>
    </row>
    <row r="930" spans="1:9" x14ac:dyDescent="0.25">
      <c r="A930" s="23">
        <v>931</v>
      </c>
      <c r="B930" s="85">
        <v>45696</v>
      </c>
      <c r="C930" s="23" t="s">
        <v>1114</v>
      </c>
      <c r="D930" s="23" t="s">
        <v>168</v>
      </c>
      <c r="G930" s="23">
        <v>0.8</v>
      </c>
      <c r="I930" s="218" t="s">
        <v>1743</v>
      </c>
    </row>
    <row r="931" spans="1:9" x14ac:dyDescent="0.25">
      <c r="A931" s="23">
        <v>932</v>
      </c>
      <c r="B931" s="85">
        <v>45696</v>
      </c>
      <c r="C931" s="23" t="s">
        <v>1744</v>
      </c>
      <c r="D931" s="23" t="s">
        <v>161</v>
      </c>
      <c r="G931" s="23">
        <v>0.8</v>
      </c>
      <c r="I931" s="218" t="s">
        <v>1745</v>
      </c>
    </row>
    <row r="932" spans="1:9" x14ac:dyDescent="0.25">
      <c r="A932" s="23">
        <v>933</v>
      </c>
      <c r="B932" s="85">
        <v>45696</v>
      </c>
      <c r="C932" s="23" t="s">
        <v>188</v>
      </c>
      <c r="D932" s="23" t="s">
        <v>178</v>
      </c>
      <c r="G932" s="23">
        <v>0</v>
      </c>
      <c r="I932" s="218" t="s">
        <v>1746</v>
      </c>
    </row>
    <row r="933" spans="1:9" x14ac:dyDescent="0.25">
      <c r="A933" s="23">
        <v>934</v>
      </c>
      <c r="B933" s="85">
        <v>45696</v>
      </c>
      <c r="C933" s="23" t="s">
        <v>1747</v>
      </c>
      <c r="D933" s="23" t="s">
        <v>161</v>
      </c>
      <c r="G933" s="23">
        <v>0</v>
      </c>
      <c r="I933" s="218" t="s">
        <v>1748</v>
      </c>
    </row>
    <row r="934" spans="1:9" x14ac:dyDescent="0.25">
      <c r="A934" s="23">
        <v>935</v>
      </c>
      <c r="B934" s="85">
        <v>45696</v>
      </c>
      <c r="C934" s="23" t="s">
        <v>156</v>
      </c>
      <c r="D934" s="23" t="s">
        <v>160</v>
      </c>
      <c r="G934" s="23">
        <v>0.52500000000000002</v>
      </c>
      <c r="I934" s="218" t="s">
        <v>1749</v>
      </c>
    </row>
    <row r="935" spans="1:9" x14ac:dyDescent="0.25">
      <c r="A935" s="23">
        <v>936</v>
      </c>
      <c r="B935" s="85">
        <v>45696</v>
      </c>
      <c r="C935" s="23" t="s">
        <v>167</v>
      </c>
      <c r="D935" s="23" t="s">
        <v>155</v>
      </c>
      <c r="G935" s="23">
        <v>0</v>
      </c>
      <c r="I935" s="218" t="s">
        <v>1750</v>
      </c>
    </row>
    <row r="936" spans="1:9" x14ac:dyDescent="0.25">
      <c r="A936" s="23">
        <v>937</v>
      </c>
      <c r="B936" s="85">
        <v>45696</v>
      </c>
      <c r="C936" s="23" t="s">
        <v>1751</v>
      </c>
      <c r="D936" s="23" t="s">
        <v>162</v>
      </c>
      <c r="G936" s="23">
        <v>0</v>
      </c>
      <c r="I936" s="218" t="s">
        <v>1752</v>
      </c>
    </row>
    <row r="937" spans="1:9" x14ac:dyDescent="0.25">
      <c r="A937" s="23">
        <v>938</v>
      </c>
      <c r="B937" s="85">
        <v>45696</v>
      </c>
      <c r="C937" s="23" t="s">
        <v>1753</v>
      </c>
      <c r="D937" s="23" t="s">
        <v>173</v>
      </c>
      <c r="G937" s="23">
        <v>0</v>
      </c>
      <c r="I937" s="218" t="s">
        <v>1754</v>
      </c>
    </row>
    <row r="938" spans="1:9" x14ac:dyDescent="0.25">
      <c r="A938" s="23">
        <v>939</v>
      </c>
      <c r="B938" s="85">
        <v>45696</v>
      </c>
      <c r="C938" s="23" t="s">
        <v>1299</v>
      </c>
      <c r="D938" s="23" t="s">
        <v>174</v>
      </c>
      <c r="G938" s="23">
        <v>0.77500000000000013</v>
      </c>
      <c r="I938" s="218" t="s">
        <v>1755</v>
      </c>
    </row>
    <row r="939" spans="1:9" x14ac:dyDescent="0.25">
      <c r="A939" s="23">
        <v>940</v>
      </c>
      <c r="B939" s="85">
        <v>45696</v>
      </c>
      <c r="C939" s="23" t="s">
        <v>1756</v>
      </c>
      <c r="D939" s="23" t="s">
        <v>177</v>
      </c>
      <c r="G939" s="23">
        <v>0.77500000000000013</v>
      </c>
      <c r="I939" s="218" t="s">
        <v>1757</v>
      </c>
    </row>
    <row r="940" spans="1:9" x14ac:dyDescent="0.25">
      <c r="A940" s="23">
        <v>941</v>
      </c>
      <c r="B940" s="85">
        <v>45696</v>
      </c>
      <c r="C940" s="23" t="s">
        <v>1758</v>
      </c>
      <c r="D940" s="23" t="s">
        <v>172</v>
      </c>
      <c r="G940" s="23">
        <v>0.77500000000000013</v>
      </c>
      <c r="I940" s="218" t="s">
        <v>1759</v>
      </c>
    </row>
    <row r="941" spans="1:9" x14ac:dyDescent="0.25">
      <c r="A941" s="23">
        <v>942</v>
      </c>
      <c r="B941" s="85">
        <v>45696</v>
      </c>
      <c r="C941" s="23" t="s">
        <v>1760</v>
      </c>
      <c r="D941" s="23" t="s">
        <v>265</v>
      </c>
      <c r="G941" s="23">
        <v>0</v>
      </c>
      <c r="I941" s="218" t="s">
        <v>1761</v>
      </c>
    </row>
    <row r="942" spans="1:9" x14ac:dyDescent="0.25">
      <c r="A942" s="23">
        <v>943</v>
      </c>
      <c r="B942" s="85">
        <v>45696</v>
      </c>
      <c r="C942" s="23" t="s">
        <v>629</v>
      </c>
      <c r="D942" s="23" t="s">
        <v>1474</v>
      </c>
      <c r="G942" s="23">
        <v>1.6</v>
      </c>
      <c r="H942" s="23" t="s">
        <v>1763</v>
      </c>
      <c r="I942" s="218" t="s">
        <v>1762</v>
      </c>
    </row>
    <row r="943" spans="1:9" x14ac:dyDescent="0.25">
      <c r="A943" s="23">
        <v>944</v>
      </c>
      <c r="B943" s="85">
        <v>45696</v>
      </c>
      <c r="C943" s="23" t="s">
        <v>793</v>
      </c>
      <c r="D943" s="23" t="s">
        <v>169</v>
      </c>
      <c r="G943" s="23">
        <v>0.78</v>
      </c>
      <c r="I943" s="218" t="s">
        <v>1764</v>
      </c>
    </row>
    <row r="944" spans="1:9" x14ac:dyDescent="0.25">
      <c r="A944" s="23">
        <v>945</v>
      </c>
      <c r="B944" s="85">
        <v>45696</v>
      </c>
      <c r="C944" s="23" t="s">
        <v>791</v>
      </c>
      <c r="D944" s="23" t="s">
        <v>159</v>
      </c>
      <c r="G944" s="23">
        <v>0</v>
      </c>
      <c r="I944" s="218" t="s">
        <v>1765</v>
      </c>
    </row>
    <row r="945" spans="1:9" x14ac:dyDescent="0.25">
      <c r="A945" s="23">
        <v>946</v>
      </c>
      <c r="B945" s="85">
        <v>45696</v>
      </c>
      <c r="C945" s="23" t="s">
        <v>1766</v>
      </c>
      <c r="D945" s="23" t="s">
        <v>265</v>
      </c>
      <c r="G945" s="23">
        <v>0.59</v>
      </c>
      <c r="I945" s="218" t="s">
        <v>1767</v>
      </c>
    </row>
    <row r="946" spans="1:9" x14ac:dyDescent="0.25">
      <c r="A946" s="23">
        <v>947</v>
      </c>
      <c r="B946" s="85">
        <v>45696</v>
      </c>
      <c r="C946" s="23" t="s">
        <v>806</v>
      </c>
      <c r="D946" s="23" t="s">
        <v>1474</v>
      </c>
      <c r="G946" s="23">
        <v>0</v>
      </c>
      <c r="I946" s="218" t="s">
        <v>1768</v>
      </c>
    </row>
    <row r="947" spans="1:9" x14ac:dyDescent="0.25">
      <c r="A947" s="23">
        <v>948</v>
      </c>
      <c r="B947" s="85">
        <v>45696</v>
      </c>
      <c r="C947" s="23" t="s">
        <v>1142</v>
      </c>
      <c r="D947" s="23" t="s">
        <v>164</v>
      </c>
      <c r="G947" s="23">
        <v>0</v>
      </c>
      <c r="I947" s="218" t="s">
        <v>1769</v>
      </c>
    </row>
    <row r="948" spans="1:9" x14ac:dyDescent="0.25">
      <c r="A948" s="23">
        <v>949</v>
      </c>
      <c r="B948" s="85">
        <v>45696</v>
      </c>
      <c r="C948" s="23" t="s">
        <v>1770</v>
      </c>
      <c r="D948" s="23" t="s">
        <v>168</v>
      </c>
      <c r="G948" s="23">
        <v>0</v>
      </c>
      <c r="I948" s="218" t="s">
        <v>1771</v>
      </c>
    </row>
    <row r="949" spans="1:9" x14ac:dyDescent="0.25">
      <c r="A949" s="23">
        <v>950</v>
      </c>
      <c r="B949" s="85">
        <v>45696</v>
      </c>
      <c r="C949" s="23" t="s">
        <v>1772</v>
      </c>
      <c r="D949" s="23" t="s">
        <v>178</v>
      </c>
      <c r="G949" s="23">
        <v>0.8</v>
      </c>
      <c r="I949" s="218" t="s">
        <v>1773</v>
      </c>
    </row>
    <row r="950" spans="1:9" x14ac:dyDescent="0.25">
      <c r="A950" s="23">
        <v>951</v>
      </c>
      <c r="B950" s="85">
        <v>45696</v>
      </c>
      <c r="C950" s="23" t="s">
        <v>1326</v>
      </c>
      <c r="D950" s="23" t="s">
        <v>172</v>
      </c>
      <c r="G950" s="23">
        <v>0</v>
      </c>
      <c r="I950" s="218" t="s">
        <v>1774</v>
      </c>
    </row>
    <row r="951" spans="1:9" x14ac:dyDescent="0.25">
      <c r="A951" s="23">
        <v>952</v>
      </c>
      <c r="B951" s="85">
        <v>45696</v>
      </c>
      <c r="C951" s="23" t="s">
        <v>1775</v>
      </c>
      <c r="D951" s="23" t="s">
        <v>162</v>
      </c>
      <c r="G951" s="23">
        <v>0.8</v>
      </c>
      <c r="I951" s="218" t="s">
        <v>1776</v>
      </c>
    </row>
    <row r="952" spans="1:9" x14ac:dyDescent="0.25">
      <c r="A952" s="23">
        <v>953</v>
      </c>
      <c r="B952" s="85">
        <v>45696</v>
      </c>
      <c r="C952" s="23" t="s">
        <v>1777</v>
      </c>
      <c r="D952" s="23" t="s">
        <v>173</v>
      </c>
      <c r="G952" s="23">
        <v>0.8</v>
      </c>
      <c r="I952" s="218" t="s">
        <v>1778</v>
      </c>
    </row>
    <row r="953" spans="1:9" x14ac:dyDescent="0.25">
      <c r="A953" s="23">
        <v>954</v>
      </c>
      <c r="B953" s="85">
        <v>45696</v>
      </c>
      <c r="C953" s="23" t="s">
        <v>1779</v>
      </c>
      <c r="D953" s="23" t="s">
        <v>161</v>
      </c>
      <c r="G953" s="23">
        <v>0.8</v>
      </c>
      <c r="I953" s="218" t="s">
        <v>1780</v>
      </c>
    </row>
    <row r="954" spans="1:9" x14ac:dyDescent="0.25">
      <c r="A954" s="23">
        <v>955</v>
      </c>
      <c r="B954" s="85">
        <v>45696</v>
      </c>
      <c r="C954" s="23" t="s">
        <v>1781</v>
      </c>
      <c r="D954" s="23" t="s">
        <v>163</v>
      </c>
      <c r="G954" s="23">
        <v>0.8</v>
      </c>
      <c r="I954" s="218" t="s">
        <v>1782</v>
      </c>
    </row>
    <row r="955" spans="1:9" x14ac:dyDescent="0.25">
      <c r="A955" s="23">
        <v>956</v>
      </c>
      <c r="B955" s="85">
        <v>45696</v>
      </c>
      <c r="C955" s="23" t="s">
        <v>528</v>
      </c>
      <c r="D955" s="23" t="s">
        <v>155</v>
      </c>
      <c r="G955" s="23">
        <v>0.51</v>
      </c>
      <c r="I955" s="218" t="s">
        <v>1783</v>
      </c>
    </row>
    <row r="956" spans="1:9" x14ac:dyDescent="0.25">
      <c r="A956" s="23">
        <v>957</v>
      </c>
      <c r="B956" s="85">
        <v>45696</v>
      </c>
      <c r="C956" s="23" t="s">
        <v>641</v>
      </c>
      <c r="D956" s="23" t="s">
        <v>160</v>
      </c>
      <c r="G956" s="23">
        <v>0</v>
      </c>
      <c r="I956" s="218" t="s">
        <v>1784</v>
      </c>
    </row>
    <row r="957" spans="1:9" x14ac:dyDescent="0.25">
      <c r="A957" s="23">
        <v>958</v>
      </c>
      <c r="B957" s="85">
        <v>45696</v>
      </c>
      <c r="C957" s="23" t="s">
        <v>1785</v>
      </c>
      <c r="D957" s="23" t="s">
        <v>194</v>
      </c>
      <c r="G957" s="23">
        <v>0.5</v>
      </c>
      <c r="I957" s="218" t="s">
        <v>1786</v>
      </c>
    </row>
    <row r="958" spans="1:9" x14ac:dyDescent="0.25">
      <c r="A958" s="23">
        <v>959</v>
      </c>
      <c r="B958" s="85">
        <v>45696</v>
      </c>
      <c r="C958" s="23" t="s">
        <v>835</v>
      </c>
      <c r="D958" s="23" t="s">
        <v>164</v>
      </c>
      <c r="G958" s="23">
        <v>0.8</v>
      </c>
      <c r="I958" s="218" t="s">
        <v>1787</v>
      </c>
    </row>
    <row r="959" spans="1:9" x14ac:dyDescent="0.25">
      <c r="A959" s="23">
        <v>960</v>
      </c>
      <c r="B959" s="85">
        <v>45696</v>
      </c>
      <c r="C959" s="23" t="s">
        <v>1788</v>
      </c>
      <c r="D959" s="23" t="s">
        <v>174</v>
      </c>
      <c r="G959" s="23">
        <v>0</v>
      </c>
      <c r="I959" s="218" t="s">
        <v>1789</v>
      </c>
    </row>
    <row r="960" spans="1:9" x14ac:dyDescent="0.25">
      <c r="A960" s="23">
        <v>961</v>
      </c>
      <c r="B960" s="85">
        <v>45696</v>
      </c>
      <c r="C960" s="23" t="s">
        <v>1344</v>
      </c>
      <c r="D960" s="23" t="s">
        <v>160</v>
      </c>
      <c r="G960" s="23">
        <v>0.55000000000000004</v>
      </c>
      <c r="I960" s="218" t="s">
        <v>1790</v>
      </c>
    </row>
    <row r="961" spans="1:9" x14ac:dyDescent="0.25">
      <c r="A961" s="23">
        <v>962</v>
      </c>
      <c r="B961" s="85">
        <v>45696</v>
      </c>
      <c r="C961" s="23" t="s">
        <v>1346</v>
      </c>
      <c r="D961" s="23" t="s">
        <v>166</v>
      </c>
      <c r="G961" s="23">
        <v>0</v>
      </c>
      <c r="I961" s="218" t="s">
        <v>1791</v>
      </c>
    </row>
    <row r="962" spans="1:9" x14ac:dyDescent="0.25">
      <c r="A962" s="23">
        <v>963</v>
      </c>
      <c r="B962" s="85">
        <v>45696</v>
      </c>
      <c r="C962" s="23" t="s">
        <v>1792</v>
      </c>
      <c r="D962" s="23" t="s">
        <v>178</v>
      </c>
      <c r="G962" s="23">
        <v>0</v>
      </c>
      <c r="I962" s="218" t="s">
        <v>1793</v>
      </c>
    </row>
    <row r="963" spans="1:9" x14ac:dyDescent="0.25">
      <c r="A963" s="23">
        <v>964</v>
      </c>
      <c r="B963" s="85">
        <v>45696</v>
      </c>
      <c r="C963" s="23" t="s">
        <v>1792</v>
      </c>
      <c r="D963" s="23" t="s">
        <v>177</v>
      </c>
      <c r="G963" s="23">
        <v>0</v>
      </c>
      <c r="I963" s="218" t="s">
        <v>1794</v>
      </c>
    </row>
    <row r="964" spans="1:9" x14ac:dyDescent="0.25">
      <c r="A964" s="23">
        <v>965</v>
      </c>
      <c r="B964" s="85">
        <v>45696</v>
      </c>
      <c r="C964" s="23" t="s">
        <v>1188</v>
      </c>
      <c r="D964" s="23" t="s">
        <v>161</v>
      </c>
      <c r="G964" s="23">
        <v>0</v>
      </c>
      <c r="I964" s="218" t="s">
        <v>1795</v>
      </c>
    </row>
    <row r="965" spans="1:9" x14ac:dyDescent="0.25">
      <c r="A965" s="23">
        <v>966</v>
      </c>
      <c r="B965" s="85">
        <v>45696</v>
      </c>
      <c r="C965" s="23" t="s">
        <v>1188</v>
      </c>
      <c r="D965" s="23" t="s">
        <v>162</v>
      </c>
      <c r="G965" s="23">
        <v>0</v>
      </c>
      <c r="I965" s="218" t="s">
        <v>1796</v>
      </c>
    </row>
    <row r="966" spans="1:9" x14ac:dyDescent="0.25">
      <c r="A966" s="23">
        <v>967</v>
      </c>
      <c r="B966" s="85">
        <v>45696</v>
      </c>
      <c r="C966" s="23" t="s">
        <v>1797</v>
      </c>
      <c r="D966" s="23" t="s">
        <v>163</v>
      </c>
      <c r="G966" s="23">
        <v>0</v>
      </c>
      <c r="I966" s="218" t="s">
        <v>1798</v>
      </c>
    </row>
    <row r="967" spans="1:9" x14ac:dyDescent="0.25">
      <c r="A967" s="23">
        <v>968</v>
      </c>
      <c r="B967" s="85">
        <v>45696</v>
      </c>
      <c r="C967" s="23" t="s">
        <v>1797</v>
      </c>
      <c r="D967" s="23" t="s">
        <v>173</v>
      </c>
      <c r="G967" s="23">
        <v>0</v>
      </c>
      <c r="I967" s="218" t="s">
        <v>1799</v>
      </c>
    </row>
    <row r="968" spans="1:9" x14ac:dyDescent="0.25">
      <c r="A968" s="23">
        <v>969</v>
      </c>
      <c r="B968" s="85">
        <v>45696</v>
      </c>
      <c r="C968" s="23" t="s">
        <v>656</v>
      </c>
      <c r="D968" s="23" t="s">
        <v>164</v>
      </c>
      <c r="G968" s="23">
        <v>0</v>
      </c>
      <c r="I968" s="218" t="s">
        <v>1800</v>
      </c>
    </row>
    <row r="969" spans="1:9" x14ac:dyDescent="0.25">
      <c r="A969" s="23">
        <v>970</v>
      </c>
      <c r="B969" s="85">
        <v>45696</v>
      </c>
      <c r="C969" s="23" t="s">
        <v>1194</v>
      </c>
      <c r="D969" s="23" t="s">
        <v>144</v>
      </c>
      <c r="G969" s="23">
        <v>0</v>
      </c>
      <c r="I969" s="218" t="s">
        <v>1801</v>
      </c>
    </row>
    <row r="970" spans="1:9" x14ac:dyDescent="0.25">
      <c r="A970" s="23">
        <v>971</v>
      </c>
      <c r="B970" s="85">
        <v>45696</v>
      </c>
      <c r="C970" s="23" t="s">
        <v>1194</v>
      </c>
      <c r="D970" s="23" t="s">
        <v>252</v>
      </c>
      <c r="G970" s="23">
        <v>0</v>
      </c>
      <c r="I970" s="218" t="s">
        <v>1803</v>
      </c>
    </row>
    <row r="971" spans="1:9" x14ac:dyDescent="0.25">
      <c r="A971" s="23">
        <v>972</v>
      </c>
      <c r="B971" s="85">
        <v>45696</v>
      </c>
      <c r="C971" s="23" t="s">
        <v>1802</v>
      </c>
      <c r="D971" s="23" t="s">
        <v>273</v>
      </c>
      <c r="G971" s="23">
        <v>0</v>
      </c>
      <c r="I971" s="218" t="s">
        <v>1804</v>
      </c>
    </row>
    <row r="972" spans="1:9" x14ac:dyDescent="0.25">
      <c r="A972" s="23">
        <v>973</v>
      </c>
      <c r="B972" s="85">
        <v>45696</v>
      </c>
      <c r="C972" s="23" t="s">
        <v>1805</v>
      </c>
      <c r="D972" s="23" t="s">
        <v>272</v>
      </c>
      <c r="G972" s="23">
        <v>0</v>
      </c>
      <c r="I972" s="218" t="s">
        <v>1806</v>
      </c>
    </row>
    <row r="973" spans="1:9" x14ac:dyDescent="0.25">
      <c r="A973" s="23">
        <v>974</v>
      </c>
      <c r="B973" s="85">
        <v>45696</v>
      </c>
      <c r="C973" s="23" t="s">
        <v>1201</v>
      </c>
      <c r="D973" s="23" t="s">
        <v>1474</v>
      </c>
      <c r="G973" s="23">
        <v>3</v>
      </c>
      <c r="I973" s="218" t="s">
        <v>1807</v>
      </c>
    </row>
    <row r="974" spans="1:9" x14ac:dyDescent="0.25">
      <c r="A974" s="23">
        <v>975</v>
      </c>
      <c r="B974" s="85">
        <v>45696</v>
      </c>
      <c r="C974" s="23" t="s">
        <v>1808</v>
      </c>
      <c r="D974" s="23" t="s">
        <v>263</v>
      </c>
      <c r="G974" s="23">
        <v>0</v>
      </c>
      <c r="I974" s="218" t="s">
        <v>1809</v>
      </c>
    </row>
    <row r="975" spans="1:9" x14ac:dyDescent="0.25">
      <c r="A975" s="23">
        <v>976</v>
      </c>
      <c r="B975" s="85">
        <v>45696</v>
      </c>
      <c r="C975" s="23" t="s">
        <v>1810</v>
      </c>
      <c r="D975" s="23" t="s">
        <v>1474</v>
      </c>
      <c r="G975" s="23">
        <v>0</v>
      </c>
      <c r="I975" s="218" t="s">
        <v>1811</v>
      </c>
    </row>
    <row r="976" spans="1:9" x14ac:dyDescent="0.25">
      <c r="A976" s="23">
        <v>977</v>
      </c>
      <c r="B976" s="85">
        <v>45696</v>
      </c>
      <c r="C976" s="23" t="s">
        <v>258</v>
      </c>
      <c r="D976" s="23" t="s">
        <v>151</v>
      </c>
      <c r="G976" s="23">
        <v>0</v>
      </c>
      <c r="I976" s="218" t="s">
        <v>1812</v>
      </c>
    </row>
    <row r="977" spans="1:9" x14ac:dyDescent="0.25">
      <c r="A977" s="23">
        <v>978</v>
      </c>
      <c r="B977" s="85">
        <v>45696</v>
      </c>
      <c r="C977" s="23" t="s">
        <v>680</v>
      </c>
      <c r="D977" s="23" t="s">
        <v>166</v>
      </c>
      <c r="G977" s="23">
        <v>0.4</v>
      </c>
      <c r="I977" s="218" t="s">
        <v>1813</v>
      </c>
    </row>
    <row r="978" spans="1:9" x14ac:dyDescent="0.25">
      <c r="A978" s="23">
        <v>979</v>
      </c>
      <c r="B978" s="85">
        <v>45696</v>
      </c>
      <c r="C978" s="23" t="s">
        <v>682</v>
      </c>
      <c r="D978" s="23" t="s">
        <v>160</v>
      </c>
      <c r="G978" s="23">
        <v>0</v>
      </c>
      <c r="I978" s="218" t="s">
        <v>1814</v>
      </c>
    </row>
    <row r="979" spans="1:9" x14ac:dyDescent="0.25">
      <c r="A979" s="23">
        <v>980</v>
      </c>
      <c r="B979" s="85">
        <v>45696</v>
      </c>
      <c r="C979" s="23" t="s">
        <v>1036</v>
      </c>
      <c r="D979" s="23" t="s">
        <v>158</v>
      </c>
      <c r="G979" s="23">
        <v>0</v>
      </c>
      <c r="I979" s="218" t="s">
        <v>1815</v>
      </c>
    </row>
    <row r="980" spans="1:9" x14ac:dyDescent="0.25">
      <c r="A980" s="23">
        <v>981</v>
      </c>
      <c r="B980" s="85">
        <v>45697</v>
      </c>
      <c r="C980" s="23" t="s">
        <v>1816</v>
      </c>
      <c r="D980" s="23" t="s">
        <v>155</v>
      </c>
      <c r="G980" s="23">
        <v>0</v>
      </c>
      <c r="I980" s="218" t="s">
        <v>1817</v>
      </c>
    </row>
    <row r="981" spans="1:9" x14ac:dyDescent="0.25">
      <c r="A981" s="23">
        <v>982</v>
      </c>
      <c r="B981" s="85">
        <v>45697</v>
      </c>
      <c r="C981" s="23" t="s">
        <v>887</v>
      </c>
      <c r="D981" s="23" t="s">
        <v>260</v>
      </c>
      <c r="G981" s="23">
        <v>0</v>
      </c>
      <c r="I981" s="218" t="s">
        <v>1818</v>
      </c>
    </row>
    <row r="982" spans="1:9" x14ac:dyDescent="0.25">
      <c r="A982" s="23">
        <v>983</v>
      </c>
      <c r="B982" s="85">
        <v>45697</v>
      </c>
      <c r="C982" s="23" t="s">
        <v>1819</v>
      </c>
      <c r="D982" s="23" t="s">
        <v>168</v>
      </c>
      <c r="G982" s="23">
        <v>0.8</v>
      </c>
      <c r="I982" s="218" t="s">
        <v>1820</v>
      </c>
    </row>
    <row r="983" spans="1:9" x14ac:dyDescent="0.25">
      <c r="A983" s="23">
        <v>984</v>
      </c>
      <c r="B983" s="85">
        <v>45697</v>
      </c>
      <c r="C983" s="23" t="s">
        <v>1821</v>
      </c>
      <c r="D983" s="23" t="s">
        <v>174</v>
      </c>
      <c r="G983" s="23">
        <v>0.8</v>
      </c>
      <c r="I983" s="218" t="s">
        <v>1822</v>
      </c>
    </row>
    <row r="984" spans="1:9" x14ac:dyDescent="0.25">
      <c r="A984" s="23">
        <v>985</v>
      </c>
      <c r="B984" s="85">
        <v>45697</v>
      </c>
      <c r="C984" s="23" t="s">
        <v>1821</v>
      </c>
      <c r="D984" s="23" t="s">
        <v>194</v>
      </c>
      <c r="G984" s="23">
        <v>0</v>
      </c>
      <c r="I984" s="218" t="s">
        <v>1823</v>
      </c>
    </row>
    <row r="985" spans="1:9" x14ac:dyDescent="0.25">
      <c r="A985" s="23">
        <v>986</v>
      </c>
      <c r="B985" s="85">
        <v>45697</v>
      </c>
      <c r="C985" s="23" t="s">
        <v>1819</v>
      </c>
      <c r="D985" s="23" t="s">
        <v>170</v>
      </c>
      <c r="G985" s="23">
        <v>0.8</v>
      </c>
      <c r="I985" s="218" t="s">
        <v>1824</v>
      </c>
    </row>
    <row r="986" spans="1:9" x14ac:dyDescent="0.25">
      <c r="A986" s="23">
        <v>987</v>
      </c>
      <c r="B986" s="85">
        <v>45697</v>
      </c>
      <c r="C986" s="23" t="s">
        <v>1825</v>
      </c>
      <c r="D986" s="23" t="s">
        <v>273</v>
      </c>
      <c r="G986" s="23">
        <v>0.9</v>
      </c>
      <c r="I986" s="218" t="s">
        <v>1826</v>
      </c>
    </row>
    <row r="987" spans="1:9" x14ac:dyDescent="0.25">
      <c r="A987" s="23">
        <v>988</v>
      </c>
      <c r="B987" s="85">
        <v>45697</v>
      </c>
      <c r="C987" s="23" t="s">
        <v>1827</v>
      </c>
      <c r="D987" s="23" t="s">
        <v>174</v>
      </c>
      <c r="G987" s="23">
        <v>0</v>
      </c>
      <c r="I987" s="218" t="s">
        <v>1828</v>
      </c>
    </row>
    <row r="988" spans="1:9" x14ac:dyDescent="0.25">
      <c r="A988" s="23">
        <v>989</v>
      </c>
      <c r="B988" s="85">
        <v>45697</v>
      </c>
      <c r="C988" s="23" t="s">
        <v>713</v>
      </c>
      <c r="D988" s="23" t="s">
        <v>272</v>
      </c>
      <c r="G988" s="23">
        <v>0.9</v>
      </c>
      <c r="I988" s="218" t="s">
        <v>1829</v>
      </c>
    </row>
    <row r="989" spans="1:9" x14ac:dyDescent="0.25">
      <c r="A989" s="23">
        <v>990</v>
      </c>
      <c r="B989" s="85">
        <v>45697</v>
      </c>
      <c r="C989" s="23" t="s">
        <v>719</v>
      </c>
      <c r="D989" s="23" t="s">
        <v>168</v>
      </c>
      <c r="G989" s="23">
        <v>0</v>
      </c>
      <c r="I989" s="218" t="s">
        <v>1830</v>
      </c>
    </row>
    <row r="990" spans="1:9" x14ac:dyDescent="0.25">
      <c r="A990" s="23">
        <v>991</v>
      </c>
      <c r="B990" s="85">
        <v>45697</v>
      </c>
      <c r="C990" s="23" t="s">
        <v>719</v>
      </c>
      <c r="D990" s="23" t="s">
        <v>252</v>
      </c>
      <c r="G990" s="23">
        <v>0.9</v>
      </c>
      <c r="I990" s="218" t="s">
        <v>1831</v>
      </c>
    </row>
    <row r="991" spans="1:9" x14ac:dyDescent="0.25">
      <c r="A991" s="23">
        <v>992</v>
      </c>
      <c r="B991" s="85">
        <v>45697</v>
      </c>
      <c r="C991" s="23" t="s">
        <v>1832</v>
      </c>
      <c r="D991" s="23" t="s">
        <v>170</v>
      </c>
      <c r="G991" s="23">
        <v>0</v>
      </c>
      <c r="I991" s="218" t="s">
        <v>1833</v>
      </c>
    </row>
    <row r="992" spans="1:9" x14ac:dyDescent="0.25">
      <c r="A992" s="23">
        <v>993</v>
      </c>
      <c r="B992" s="85">
        <v>45697</v>
      </c>
      <c r="C992" s="23" t="s">
        <v>1400</v>
      </c>
      <c r="D992" s="23" t="s">
        <v>144</v>
      </c>
      <c r="G992" s="23">
        <v>0.8</v>
      </c>
      <c r="I992" s="218" t="s">
        <v>1834</v>
      </c>
    </row>
    <row r="993" spans="1:9" x14ac:dyDescent="0.25">
      <c r="A993" s="23">
        <v>994</v>
      </c>
      <c r="B993" s="85">
        <v>45697</v>
      </c>
      <c r="C993" s="23" t="s">
        <v>1835</v>
      </c>
      <c r="D993" s="23" t="s">
        <v>172</v>
      </c>
      <c r="G993" s="23">
        <v>0.8</v>
      </c>
      <c r="I993" s="218" t="s">
        <v>1836</v>
      </c>
    </row>
    <row r="994" spans="1:9" x14ac:dyDescent="0.25">
      <c r="A994" s="23">
        <v>995</v>
      </c>
      <c r="B994" s="85">
        <v>45697</v>
      </c>
      <c r="C994" s="23" t="s">
        <v>1431</v>
      </c>
      <c r="D994" s="23" t="s">
        <v>160</v>
      </c>
      <c r="G994" s="23">
        <v>0.5</v>
      </c>
      <c r="I994" s="218" t="s">
        <v>1837</v>
      </c>
    </row>
    <row r="995" spans="1:9" x14ac:dyDescent="0.25">
      <c r="A995" s="23">
        <v>996</v>
      </c>
      <c r="B995" s="85">
        <v>45697</v>
      </c>
      <c r="C995" s="23" t="s">
        <v>1718</v>
      </c>
      <c r="D995" s="23" t="s">
        <v>174</v>
      </c>
      <c r="G995" s="23">
        <v>0.8</v>
      </c>
      <c r="I995" s="218" t="s">
        <v>1838</v>
      </c>
    </row>
    <row r="996" spans="1:9" x14ac:dyDescent="0.25">
      <c r="A996" s="23">
        <v>997</v>
      </c>
      <c r="B996" s="85">
        <v>45697</v>
      </c>
      <c r="C996" s="23" t="s">
        <v>1839</v>
      </c>
      <c r="D996" s="23" t="s">
        <v>177</v>
      </c>
      <c r="G996" s="23">
        <v>0.8</v>
      </c>
      <c r="I996" s="218" t="s">
        <v>1840</v>
      </c>
    </row>
    <row r="997" spans="1:9" x14ac:dyDescent="0.25">
      <c r="A997" s="23">
        <v>998</v>
      </c>
      <c r="B997" s="85">
        <v>45697</v>
      </c>
      <c r="C997" s="23" t="s">
        <v>1841</v>
      </c>
      <c r="D997" s="23" t="s">
        <v>151</v>
      </c>
      <c r="G997" s="23">
        <v>3.3</v>
      </c>
      <c r="I997" s="218" t="s">
        <v>1842</v>
      </c>
    </row>
    <row r="998" spans="1:9" x14ac:dyDescent="0.25">
      <c r="A998" s="23">
        <v>999</v>
      </c>
      <c r="B998" s="85">
        <v>45697</v>
      </c>
      <c r="C998" s="23" t="s">
        <v>581</v>
      </c>
      <c r="D998" s="23" t="s">
        <v>172</v>
      </c>
      <c r="G998" s="23">
        <v>0</v>
      </c>
      <c r="I998" s="218" t="s">
        <v>1843</v>
      </c>
    </row>
    <row r="999" spans="1:9" x14ac:dyDescent="0.25">
      <c r="A999" s="23">
        <v>1000</v>
      </c>
      <c r="B999" s="85">
        <v>45697</v>
      </c>
      <c r="C999" s="23" t="s">
        <v>1427</v>
      </c>
      <c r="D999" s="23" t="s">
        <v>174</v>
      </c>
      <c r="G999" s="23">
        <v>0</v>
      </c>
      <c r="I999" s="218" t="s">
        <v>1844</v>
      </c>
    </row>
    <row r="1000" spans="1:9" x14ac:dyDescent="0.25">
      <c r="A1000" s="23">
        <v>1001</v>
      </c>
      <c r="B1000" s="85">
        <v>45697</v>
      </c>
      <c r="C1000" s="23" t="s">
        <v>1263</v>
      </c>
      <c r="D1000" s="23" t="s">
        <v>177</v>
      </c>
      <c r="G1000" s="23">
        <v>0</v>
      </c>
      <c r="I1000" s="218" t="s">
        <v>1845</v>
      </c>
    </row>
    <row r="1001" spans="1:9" x14ac:dyDescent="0.25">
      <c r="A1001" s="23">
        <v>1002</v>
      </c>
      <c r="B1001" s="85">
        <v>45697</v>
      </c>
      <c r="C1001" s="23" t="s">
        <v>592</v>
      </c>
      <c r="D1001" s="23" t="s">
        <v>260</v>
      </c>
      <c r="G1001" s="23">
        <v>0.8</v>
      </c>
      <c r="I1001" s="218" t="s">
        <v>1846</v>
      </c>
    </row>
    <row r="1002" spans="1:9" x14ac:dyDescent="0.25">
      <c r="A1002" s="23">
        <v>1003</v>
      </c>
      <c r="B1002" s="85">
        <v>45697</v>
      </c>
      <c r="C1002" s="23" t="s">
        <v>750</v>
      </c>
      <c r="D1002" s="23" t="s">
        <v>178</v>
      </c>
      <c r="G1002" s="23">
        <v>0.8</v>
      </c>
      <c r="I1002" s="218" t="s">
        <v>1847</v>
      </c>
    </row>
    <row r="1003" spans="1:9" x14ac:dyDescent="0.25">
      <c r="A1003" s="23">
        <v>1004</v>
      </c>
      <c r="B1003" s="85">
        <v>45697</v>
      </c>
      <c r="C1003" s="23" t="s">
        <v>1268</v>
      </c>
      <c r="D1003" s="23" t="s">
        <v>161</v>
      </c>
      <c r="G1003" s="23">
        <v>0.8</v>
      </c>
      <c r="I1003" s="218" t="s">
        <v>1848</v>
      </c>
    </row>
    <row r="1004" spans="1:9" x14ac:dyDescent="0.25">
      <c r="A1004" s="23">
        <v>1005</v>
      </c>
      <c r="B1004" s="85">
        <v>45697</v>
      </c>
      <c r="C1004" s="23" t="s">
        <v>1731</v>
      </c>
      <c r="D1004" s="23" t="s">
        <v>162</v>
      </c>
      <c r="G1004" s="23">
        <v>0.8</v>
      </c>
      <c r="I1004" s="218" t="s">
        <v>1849</v>
      </c>
    </row>
    <row r="1005" spans="1:9" x14ac:dyDescent="0.25">
      <c r="A1005" s="23">
        <v>1006</v>
      </c>
      <c r="B1005" s="85">
        <v>45697</v>
      </c>
      <c r="C1005" s="23" t="s">
        <v>1275</v>
      </c>
      <c r="D1005" s="23" t="s">
        <v>158</v>
      </c>
      <c r="G1005" s="23">
        <v>6.5</v>
      </c>
      <c r="I1005" s="218" t="s">
        <v>1850</v>
      </c>
    </row>
    <row r="1006" spans="1:9" x14ac:dyDescent="0.25">
      <c r="A1006" s="23">
        <v>1007</v>
      </c>
      <c r="B1006" s="85">
        <v>45697</v>
      </c>
      <c r="C1006" s="23" t="s">
        <v>237</v>
      </c>
      <c r="D1006" s="23" t="s">
        <v>162</v>
      </c>
      <c r="G1006" s="23">
        <v>0</v>
      </c>
      <c r="I1006" s="218" t="s">
        <v>1849</v>
      </c>
    </row>
    <row r="1007" spans="1:9" x14ac:dyDescent="0.25">
      <c r="A1007" s="23">
        <v>1008</v>
      </c>
      <c r="B1007" s="85">
        <v>45697</v>
      </c>
      <c r="C1007" s="23" t="s">
        <v>764</v>
      </c>
      <c r="D1007" s="23" t="s">
        <v>160</v>
      </c>
      <c r="G1007" s="23">
        <v>0</v>
      </c>
      <c r="I1007" s="218" t="s">
        <v>1851</v>
      </c>
    </row>
    <row r="1008" spans="1:9" x14ac:dyDescent="0.25">
      <c r="A1008" s="23">
        <v>1009</v>
      </c>
      <c r="B1008" s="85">
        <v>45697</v>
      </c>
      <c r="C1008" s="23" t="s">
        <v>764</v>
      </c>
      <c r="D1008" s="23" t="s">
        <v>166</v>
      </c>
      <c r="G1008" s="23">
        <v>0</v>
      </c>
      <c r="I1008" s="218" t="s">
        <v>1852</v>
      </c>
    </row>
    <row r="1009" spans="1:9" x14ac:dyDescent="0.25">
      <c r="A1009" s="23">
        <v>1010</v>
      </c>
      <c r="B1009" s="85">
        <v>45697</v>
      </c>
      <c r="C1009" s="23" t="s">
        <v>765</v>
      </c>
      <c r="D1009" s="23" t="s">
        <v>161</v>
      </c>
      <c r="G1009" s="23">
        <v>0</v>
      </c>
      <c r="I1009" s="218" t="s">
        <v>1853</v>
      </c>
    </row>
    <row r="1010" spans="1:9" x14ac:dyDescent="0.25">
      <c r="A1010" s="23">
        <v>1011</v>
      </c>
      <c r="B1010" s="85">
        <v>45697</v>
      </c>
      <c r="C1010" s="23" t="s">
        <v>765</v>
      </c>
      <c r="D1010" s="23" t="s">
        <v>178</v>
      </c>
      <c r="G1010" s="23">
        <v>0</v>
      </c>
      <c r="I1010" s="218" t="s">
        <v>1854</v>
      </c>
    </row>
    <row r="1011" spans="1:9" x14ac:dyDescent="0.25">
      <c r="A1011" s="23">
        <v>1012</v>
      </c>
      <c r="B1011" s="85">
        <v>45697</v>
      </c>
      <c r="C1011" s="23" t="s">
        <v>1281</v>
      </c>
      <c r="D1011" s="23" t="s">
        <v>160</v>
      </c>
      <c r="G1011" s="23">
        <v>0.51</v>
      </c>
      <c r="I1011" s="218" t="s">
        <v>295</v>
      </c>
    </row>
    <row r="1012" spans="1:9" x14ac:dyDescent="0.25">
      <c r="A1012" s="23">
        <v>1013</v>
      </c>
      <c r="B1012" s="85">
        <v>45697</v>
      </c>
      <c r="C1012" s="23" t="s">
        <v>1281</v>
      </c>
      <c r="D1012" s="23" t="s">
        <v>166</v>
      </c>
      <c r="G1012" s="23">
        <v>0.51</v>
      </c>
      <c r="I1012" s="218" t="s">
        <v>295</v>
      </c>
    </row>
    <row r="1013" spans="1:9" x14ac:dyDescent="0.25">
      <c r="A1013" s="23">
        <v>1014</v>
      </c>
      <c r="B1013" s="85">
        <v>45697</v>
      </c>
      <c r="C1013" s="23" t="s">
        <v>1281</v>
      </c>
      <c r="D1013" s="23" t="s">
        <v>252</v>
      </c>
      <c r="G1013" s="23">
        <v>0</v>
      </c>
      <c r="I1013" s="218" t="s">
        <v>1855</v>
      </c>
    </row>
    <row r="1014" spans="1:9" x14ac:dyDescent="0.25">
      <c r="A1014" s="23">
        <v>1015</v>
      </c>
      <c r="B1014" s="85">
        <v>45697</v>
      </c>
      <c r="C1014" s="23" t="s">
        <v>216</v>
      </c>
      <c r="D1014" s="23" t="s">
        <v>144</v>
      </c>
      <c r="G1014" s="23">
        <v>0</v>
      </c>
      <c r="I1014" s="218" t="s">
        <v>1856</v>
      </c>
    </row>
    <row r="1015" spans="1:9" x14ac:dyDescent="0.25">
      <c r="A1015" s="23">
        <v>1016</v>
      </c>
      <c r="B1015" s="85">
        <v>45697</v>
      </c>
      <c r="C1015" s="23" t="s">
        <v>1857</v>
      </c>
      <c r="D1015" s="23" t="s">
        <v>273</v>
      </c>
      <c r="G1015" s="23">
        <v>0</v>
      </c>
      <c r="I1015" s="218" t="s">
        <v>1858</v>
      </c>
    </row>
    <row r="1016" spans="1:9" x14ac:dyDescent="0.25">
      <c r="A1016" s="23">
        <v>1017</v>
      </c>
      <c r="B1016" s="85">
        <v>45697</v>
      </c>
      <c r="C1016" s="23" t="s">
        <v>1859</v>
      </c>
      <c r="D1016" s="23" t="s">
        <v>272</v>
      </c>
      <c r="G1016" s="23">
        <v>0</v>
      </c>
      <c r="I1016" s="218" t="s">
        <v>1860</v>
      </c>
    </row>
    <row r="1017" spans="1:9" x14ac:dyDescent="0.25">
      <c r="A1017" s="23">
        <v>1018</v>
      </c>
      <c r="B1017" s="85">
        <v>45697</v>
      </c>
      <c r="C1017" s="23" t="s">
        <v>167</v>
      </c>
      <c r="D1017" s="23" t="s">
        <v>166</v>
      </c>
      <c r="G1017" s="23">
        <v>0</v>
      </c>
      <c r="I1017" s="218" t="s">
        <v>1861</v>
      </c>
    </row>
    <row r="1018" spans="1:9" x14ac:dyDescent="0.25">
      <c r="A1018" s="23">
        <v>1019</v>
      </c>
      <c r="B1018" s="85">
        <v>45697</v>
      </c>
      <c r="C1018" s="23" t="s">
        <v>156</v>
      </c>
      <c r="D1018" s="23" t="s">
        <v>155</v>
      </c>
      <c r="G1018" s="23">
        <v>0.51</v>
      </c>
      <c r="I1018" s="218" t="s">
        <v>1862</v>
      </c>
    </row>
    <row r="1019" spans="1:9" x14ac:dyDescent="0.25">
      <c r="A1019" s="23">
        <v>1020</v>
      </c>
      <c r="B1019" s="85">
        <v>45697</v>
      </c>
      <c r="C1019" s="23" t="s">
        <v>1863</v>
      </c>
      <c r="D1019" s="23" t="s">
        <v>164</v>
      </c>
      <c r="G1019" s="23">
        <v>0.8</v>
      </c>
      <c r="I1019" s="218" t="s">
        <v>1864</v>
      </c>
    </row>
    <row r="1020" spans="1:9" x14ac:dyDescent="0.25">
      <c r="A1020" s="23">
        <v>1021</v>
      </c>
      <c r="B1020" s="85">
        <v>45697</v>
      </c>
      <c r="C1020" s="23" t="s">
        <v>1865</v>
      </c>
      <c r="D1020" s="23" t="s">
        <v>165</v>
      </c>
      <c r="G1020" s="23">
        <v>0.8</v>
      </c>
      <c r="I1020" s="218" t="s">
        <v>1866</v>
      </c>
    </row>
    <row r="1021" spans="1:9" x14ac:dyDescent="0.25">
      <c r="A1021" s="23">
        <v>1022</v>
      </c>
      <c r="B1021" s="85">
        <v>45697</v>
      </c>
      <c r="C1021" s="23" t="s">
        <v>1867</v>
      </c>
      <c r="D1021" s="23" t="s">
        <v>164</v>
      </c>
      <c r="G1021" s="23">
        <v>0</v>
      </c>
      <c r="I1021" s="218" t="s">
        <v>1868</v>
      </c>
    </row>
    <row r="1022" spans="1:9" x14ac:dyDescent="0.25">
      <c r="A1022" s="23">
        <v>1023</v>
      </c>
      <c r="B1022" s="85">
        <v>45697</v>
      </c>
      <c r="C1022" s="23" t="s">
        <v>1303</v>
      </c>
      <c r="D1022" s="23" t="s">
        <v>165</v>
      </c>
      <c r="G1022" s="23">
        <v>0</v>
      </c>
      <c r="I1022" s="218" t="s">
        <v>1869</v>
      </c>
    </row>
    <row r="1023" spans="1:9" x14ac:dyDescent="0.25">
      <c r="A1023" s="23">
        <v>1024</v>
      </c>
      <c r="B1023" s="85">
        <v>45697</v>
      </c>
      <c r="C1023" s="23" t="s">
        <v>1870</v>
      </c>
      <c r="D1023" s="23" t="s">
        <v>159</v>
      </c>
      <c r="G1023" s="23">
        <v>0.78</v>
      </c>
      <c r="I1023" s="218" t="s">
        <v>1871</v>
      </c>
    </row>
    <row r="1024" spans="1:9" x14ac:dyDescent="0.25">
      <c r="A1024" s="23">
        <v>1025</v>
      </c>
      <c r="B1024" s="85">
        <v>45697</v>
      </c>
      <c r="C1024" s="23" t="s">
        <v>978</v>
      </c>
      <c r="D1024" s="23" t="s">
        <v>169</v>
      </c>
      <c r="G1024" s="23">
        <v>0</v>
      </c>
      <c r="I1024" s="218" t="s">
        <v>1872</v>
      </c>
    </row>
    <row r="1025" spans="1:9" x14ac:dyDescent="0.25">
      <c r="A1025" s="23">
        <v>1026</v>
      </c>
      <c r="B1025" s="85">
        <v>45697</v>
      </c>
      <c r="C1025" s="23" t="s">
        <v>1777</v>
      </c>
      <c r="D1025" s="23" t="s">
        <v>168</v>
      </c>
      <c r="G1025" s="23">
        <v>0.8</v>
      </c>
      <c r="I1025" s="218" t="s">
        <v>1873</v>
      </c>
    </row>
    <row r="1026" spans="1:9" x14ac:dyDescent="0.25">
      <c r="A1026" s="23">
        <v>1027</v>
      </c>
      <c r="B1026" s="85">
        <v>45697</v>
      </c>
      <c r="C1026" s="23" t="s">
        <v>1874</v>
      </c>
      <c r="D1026" s="23" t="s">
        <v>170</v>
      </c>
      <c r="G1026" s="23">
        <v>0.8</v>
      </c>
      <c r="I1026" s="218" t="s">
        <v>1875</v>
      </c>
    </row>
    <row r="1027" spans="1:9" x14ac:dyDescent="0.25">
      <c r="A1027" s="23">
        <v>1028</v>
      </c>
      <c r="B1027" s="85">
        <v>45697</v>
      </c>
      <c r="C1027" s="23" t="s">
        <v>1330</v>
      </c>
      <c r="D1027" s="23" t="s">
        <v>174</v>
      </c>
      <c r="G1027" s="23">
        <v>0.8</v>
      </c>
      <c r="I1027" s="218" t="s">
        <v>1876</v>
      </c>
    </row>
    <row r="1028" spans="1:9" x14ac:dyDescent="0.25">
      <c r="A1028" s="23">
        <v>1029</v>
      </c>
      <c r="B1028" s="85">
        <v>45697</v>
      </c>
      <c r="C1028" s="23" t="s">
        <v>1476</v>
      </c>
      <c r="D1028" s="23" t="s">
        <v>162</v>
      </c>
      <c r="G1028" s="23">
        <v>0.8</v>
      </c>
      <c r="I1028" s="218" t="s">
        <v>1877</v>
      </c>
    </row>
    <row r="1029" spans="1:9" x14ac:dyDescent="0.25">
      <c r="A1029" s="23">
        <v>1030</v>
      </c>
      <c r="B1029" s="85">
        <v>45697</v>
      </c>
      <c r="C1029" s="23" t="s">
        <v>528</v>
      </c>
      <c r="D1029" s="23" t="s">
        <v>166</v>
      </c>
      <c r="G1029" s="23">
        <v>0.46</v>
      </c>
      <c r="I1029" s="218" t="s">
        <v>1878</v>
      </c>
    </row>
    <row r="1030" spans="1:9" x14ac:dyDescent="0.25">
      <c r="A1030" s="23">
        <v>1031</v>
      </c>
      <c r="B1030" s="85">
        <v>45697</v>
      </c>
      <c r="C1030" s="23" t="s">
        <v>641</v>
      </c>
      <c r="D1030" s="23" t="s">
        <v>160</v>
      </c>
      <c r="G1030" s="23">
        <v>0</v>
      </c>
      <c r="I1030" s="218" t="s">
        <v>1879</v>
      </c>
    </row>
    <row r="1031" spans="1:9" x14ac:dyDescent="0.25">
      <c r="A1031" s="23">
        <v>1032</v>
      </c>
      <c r="B1031" s="85">
        <v>45697</v>
      </c>
      <c r="C1031" s="23" t="s">
        <v>1880</v>
      </c>
      <c r="D1031" s="23" t="s">
        <v>168</v>
      </c>
      <c r="G1031" s="23">
        <v>0</v>
      </c>
      <c r="I1031" s="218" t="s">
        <v>1881</v>
      </c>
    </row>
    <row r="1032" spans="1:9" x14ac:dyDescent="0.25">
      <c r="A1032" s="23">
        <v>1033</v>
      </c>
      <c r="B1032" s="85">
        <v>45697</v>
      </c>
      <c r="C1032" s="23" t="s">
        <v>1882</v>
      </c>
      <c r="D1032" s="23" t="s">
        <v>252</v>
      </c>
      <c r="G1032" s="23">
        <v>0.8</v>
      </c>
      <c r="I1032" s="218" t="s">
        <v>1883</v>
      </c>
    </row>
    <row r="1033" spans="1:9" x14ac:dyDescent="0.25">
      <c r="A1033" s="23">
        <v>1034</v>
      </c>
      <c r="B1033" s="85">
        <v>45697</v>
      </c>
      <c r="C1033" s="23" t="s">
        <v>1884</v>
      </c>
      <c r="D1033" s="23" t="s">
        <v>170</v>
      </c>
      <c r="G1033" s="23">
        <v>0</v>
      </c>
      <c r="I1033" s="218" t="s">
        <v>1885</v>
      </c>
    </row>
    <row r="1034" spans="1:9" x14ac:dyDescent="0.25">
      <c r="A1034" s="23">
        <v>1035</v>
      </c>
      <c r="B1034" s="85">
        <v>45697</v>
      </c>
      <c r="C1034" s="23" t="s">
        <v>1886</v>
      </c>
      <c r="D1034" s="23" t="s">
        <v>273</v>
      </c>
      <c r="G1034" s="23">
        <v>0.8</v>
      </c>
      <c r="I1034" s="218" t="s">
        <v>1887</v>
      </c>
    </row>
    <row r="1035" spans="1:9" x14ac:dyDescent="0.25">
      <c r="A1035" s="23">
        <v>1036</v>
      </c>
      <c r="B1035" s="85">
        <v>45697</v>
      </c>
      <c r="C1035" s="23" t="s">
        <v>259</v>
      </c>
      <c r="D1035" s="23" t="s">
        <v>272</v>
      </c>
      <c r="G1035" s="23">
        <v>0.8</v>
      </c>
      <c r="I1035" s="218" t="s">
        <v>1888</v>
      </c>
    </row>
    <row r="1036" spans="1:9" x14ac:dyDescent="0.25">
      <c r="A1036" s="23">
        <v>1037</v>
      </c>
      <c r="B1036" s="85">
        <v>45697</v>
      </c>
      <c r="C1036" s="23" t="s">
        <v>1889</v>
      </c>
      <c r="D1036" s="23" t="s">
        <v>174</v>
      </c>
      <c r="G1036" s="23">
        <v>0</v>
      </c>
      <c r="I1036" s="218" t="s">
        <v>1890</v>
      </c>
    </row>
    <row r="1037" spans="1:9" x14ac:dyDescent="0.25">
      <c r="A1037" s="23">
        <v>1038</v>
      </c>
      <c r="B1037" s="85">
        <v>45697</v>
      </c>
      <c r="C1037" s="23" t="s">
        <v>1889</v>
      </c>
      <c r="D1037" s="23" t="s">
        <v>162</v>
      </c>
      <c r="G1037" s="23">
        <v>0</v>
      </c>
      <c r="I1037" s="218" t="s">
        <v>1877</v>
      </c>
    </row>
    <row r="1038" spans="1:9" x14ac:dyDescent="0.25">
      <c r="A1038" s="23">
        <v>1039</v>
      </c>
      <c r="B1038" s="85">
        <v>45697</v>
      </c>
      <c r="C1038" s="23" t="s">
        <v>1004</v>
      </c>
      <c r="D1038" s="23" t="s">
        <v>144</v>
      </c>
      <c r="G1038" s="23">
        <v>0.9</v>
      </c>
      <c r="I1038" s="218" t="s">
        <v>1891</v>
      </c>
    </row>
    <row r="1039" spans="1:9" x14ac:dyDescent="0.25">
      <c r="A1039" s="23">
        <v>1040</v>
      </c>
      <c r="B1039" s="85">
        <v>45697</v>
      </c>
      <c r="C1039" s="23" t="s">
        <v>1892</v>
      </c>
      <c r="D1039" s="23" t="s">
        <v>177</v>
      </c>
      <c r="G1039" s="23">
        <v>0.8</v>
      </c>
      <c r="I1039" s="218" t="s">
        <v>1893</v>
      </c>
    </row>
    <row r="1040" spans="1:9" x14ac:dyDescent="0.25">
      <c r="A1040" s="23">
        <v>1041</v>
      </c>
      <c r="B1040" s="85">
        <v>45697</v>
      </c>
      <c r="C1040" s="23" t="s">
        <v>1006</v>
      </c>
      <c r="D1040" s="23" t="s">
        <v>178</v>
      </c>
      <c r="G1040" s="23">
        <v>0.8</v>
      </c>
      <c r="I1040" s="218" t="s">
        <v>1894</v>
      </c>
    </row>
    <row r="1041" spans="1:9" x14ac:dyDescent="0.25">
      <c r="A1041" s="23">
        <v>1042</v>
      </c>
      <c r="B1041" s="85">
        <v>45697</v>
      </c>
      <c r="C1041" s="23" t="s">
        <v>1895</v>
      </c>
      <c r="D1041" s="23" t="s">
        <v>161</v>
      </c>
      <c r="G1041" s="23">
        <v>0.8</v>
      </c>
      <c r="I1041" s="218" t="s">
        <v>1896</v>
      </c>
    </row>
    <row r="1042" spans="1:9" x14ac:dyDescent="0.25">
      <c r="A1042" s="23">
        <v>1043</v>
      </c>
      <c r="B1042" s="85">
        <v>45697</v>
      </c>
      <c r="C1042" s="23" t="s">
        <v>1897</v>
      </c>
      <c r="D1042" s="23" t="s">
        <v>162</v>
      </c>
      <c r="G1042" s="23">
        <v>0.8</v>
      </c>
      <c r="I1042" s="218" t="s">
        <v>1898</v>
      </c>
    </row>
    <row r="1043" spans="1:9" x14ac:dyDescent="0.25">
      <c r="A1043" s="23">
        <v>1044</v>
      </c>
      <c r="B1043" s="85">
        <v>45697</v>
      </c>
      <c r="C1043" s="23" t="s">
        <v>1899</v>
      </c>
      <c r="D1043" s="23" t="s">
        <v>144</v>
      </c>
      <c r="G1043" s="23" t="s">
        <v>9</v>
      </c>
      <c r="I1043" s="218" t="s">
        <v>1900</v>
      </c>
    </row>
    <row r="1044" spans="1:9" x14ac:dyDescent="0.25">
      <c r="A1044" s="23">
        <v>1045</v>
      </c>
      <c r="B1044" s="85">
        <v>45697</v>
      </c>
      <c r="C1044" s="23" t="s">
        <v>1901</v>
      </c>
      <c r="D1044" s="23" t="s">
        <v>164</v>
      </c>
      <c r="G1044" s="23">
        <v>0.8</v>
      </c>
      <c r="I1044" s="218" t="s">
        <v>1902</v>
      </c>
    </row>
    <row r="1045" spans="1:9" x14ac:dyDescent="0.25">
      <c r="A1045" s="23">
        <v>1046</v>
      </c>
      <c r="B1045" s="85">
        <v>45697</v>
      </c>
      <c r="C1045" s="23" t="s">
        <v>1792</v>
      </c>
      <c r="D1045" s="23" t="s">
        <v>177</v>
      </c>
      <c r="G1045" s="23">
        <v>0</v>
      </c>
      <c r="I1045" s="218" t="s">
        <v>1903</v>
      </c>
    </row>
    <row r="1046" spans="1:9" x14ac:dyDescent="0.25">
      <c r="A1046" s="23">
        <v>1047</v>
      </c>
      <c r="B1046" s="85">
        <v>45697</v>
      </c>
      <c r="C1046" s="23" t="s">
        <v>1904</v>
      </c>
      <c r="D1046" s="23" t="s">
        <v>178</v>
      </c>
      <c r="G1046" s="23">
        <v>0</v>
      </c>
      <c r="I1046" s="218" t="s">
        <v>1905</v>
      </c>
    </row>
    <row r="1047" spans="1:9" x14ac:dyDescent="0.25">
      <c r="A1047" s="23">
        <v>1048</v>
      </c>
      <c r="B1047" s="85">
        <v>45697</v>
      </c>
      <c r="C1047" s="23" t="s">
        <v>1906</v>
      </c>
      <c r="D1047" s="23" t="s">
        <v>161</v>
      </c>
      <c r="G1047" s="23">
        <v>0</v>
      </c>
      <c r="I1047" s="218" t="s">
        <v>1907</v>
      </c>
    </row>
    <row r="1048" spans="1:9" x14ac:dyDescent="0.25">
      <c r="A1048" s="23">
        <v>1049</v>
      </c>
      <c r="B1048" s="85">
        <v>45697</v>
      </c>
      <c r="C1048" s="23" t="s">
        <v>1805</v>
      </c>
      <c r="D1048" s="23" t="s">
        <v>162</v>
      </c>
      <c r="G1048" s="23">
        <v>0</v>
      </c>
      <c r="I1048" s="218" t="s">
        <v>1908</v>
      </c>
    </row>
    <row r="1049" spans="1:9" x14ac:dyDescent="0.25">
      <c r="A1049" s="23">
        <v>1050</v>
      </c>
      <c r="B1049" s="85">
        <v>45697</v>
      </c>
      <c r="C1049" s="23" t="s">
        <v>1357</v>
      </c>
      <c r="D1049" s="23" t="s">
        <v>164</v>
      </c>
      <c r="G1049" s="23">
        <v>0</v>
      </c>
      <c r="I1049" s="218" t="s">
        <v>1909</v>
      </c>
    </row>
    <row r="1050" spans="1:9" x14ac:dyDescent="0.25">
      <c r="A1050" s="23">
        <v>1051</v>
      </c>
      <c r="B1050" s="85">
        <v>45697</v>
      </c>
      <c r="C1050" s="23" t="s">
        <v>1910</v>
      </c>
      <c r="D1050" s="23" t="s">
        <v>157</v>
      </c>
      <c r="G1050" s="23">
        <v>0</v>
      </c>
      <c r="I1050" s="218" t="s">
        <v>1911</v>
      </c>
    </row>
    <row r="1051" spans="1:9" x14ac:dyDescent="0.25">
      <c r="A1051" s="23">
        <v>1052</v>
      </c>
      <c r="B1051" s="85">
        <v>45697</v>
      </c>
      <c r="C1051" s="23" t="s">
        <v>1910</v>
      </c>
      <c r="D1051" s="23" t="s">
        <v>158</v>
      </c>
      <c r="G1051" s="23">
        <v>0</v>
      </c>
      <c r="I1051" s="218" t="s">
        <v>1912</v>
      </c>
    </row>
    <row r="1052" spans="1:9" x14ac:dyDescent="0.25">
      <c r="A1052" s="23">
        <v>1053</v>
      </c>
      <c r="B1052" s="85">
        <v>45697</v>
      </c>
      <c r="C1052" s="23" t="s">
        <v>1910</v>
      </c>
      <c r="D1052" s="23" t="s">
        <v>186</v>
      </c>
      <c r="G1052" s="23">
        <v>0</v>
      </c>
      <c r="I1052" s="218" t="s">
        <v>1913</v>
      </c>
    </row>
    <row r="1053" spans="1:9" x14ac:dyDescent="0.25">
      <c r="A1053" s="23">
        <v>1054</v>
      </c>
      <c r="B1053" s="85">
        <v>45697</v>
      </c>
      <c r="C1053" s="23" t="s">
        <v>1910</v>
      </c>
      <c r="D1053" s="23" t="s">
        <v>151</v>
      </c>
      <c r="G1053" s="23">
        <v>0</v>
      </c>
      <c r="I1053" s="218" t="s">
        <v>1914</v>
      </c>
    </row>
    <row r="1054" spans="1:9" x14ac:dyDescent="0.25">
      <c r="A1054" s="23">
        <v>1055</v>
      </c>
      <c r="B1054" s="85">
        <v>45697</v>
      </c>
      <c r="C1054" s="23" t="s">
        <v>1910</v>
      </c>
      <c r="D1054" s="23" t="s">
        <v>175</v>
      </c>
      <c r="G1054" s="23">
        <v>0</v>
      </c>
      <c r="I1054" s="218" t="s">
        <v>1915</v>
      </c>
    </row>
    <row r="1055" spans="1:9" x14ac:dyDescent="0.25">
      <c r="A1055" s="23">
        <v>1056</v>
      </c>
      <c r="B1055" s="85">
        <v>45697</v>
      </c>
      <c r="C1055" s="23" t="s">
        <v>1910</v>
      </c>
      <c r="D1055" s="23" t="s">
        <v>252</v>
      </c>
      <c r="G1055" s="23">
        <v>0</v>
      </c>
      <c r="I1055" s="218" t="s">
        <v>1916</v>
      </c>
    </row>
    <row r="1056" spans="1:9" x14ac:dyDescent="0.25">
      <c r="A1056" s="23">
        <v>1057</v>
      </c>
      <c r="B1056" s="85">
        <v>45697</v>
      </c>
      <c r="C1056" s="23" t="s">
        <v>1910</v>
      </c>
      <c r="D1056" s="23" t="s">
        <v>272</v>
      </c>
      <c r="G1056" s="23">
        <v>0</v>
      </c>
      <c r="I1056" s="218" t="s">
        <v>1917</v>
      </c>
    </row>
    <row r="1057" spans="1:9" x14ac:dyDescent="0.25">
      <c r="A1057" s="23">
        <v>1058</v>
      </c>
      <c r="B1057" s="85">
        <v>45697</v>
      </c>
      <c r="C1057" s="23" t="s">
        <v>1910</v>
      </c>
      <c r="D1057" s="23" t="s">
        <v>273</v>
      </c>
      <c r="G1057" s="23">
        <v>0</v>
      </c>
      <c r="I1057" s="218" t="s">
        <v>1918</v>
      </c>
    </row>
    <row r="1058" spans="1:9" x14ac:dyDescent="0.25">
      <c r="A1058" s="23">
        <v>1059</v>
      </c>
      <c r="B1058" s="85">
        <v>45697</v>
      </c>
      <c r="C1058" s="23" t="s">
        <v>1919</v>
      </c>
      <c r="D1058" s="23" t="s">
        <v>157</v>
      </c>
      <c r="G1058" s="23">
        <v>0.6</v>
      </c>
      <c r="I1058" s="218" t="s">
        <v>1920</v>
      </c>
    </row>
    <row r="1059" spans="1:9" x14ac:dyDescent="0.25">
      <c r="A1059" s="23">
        <v>1060</v>
      </c>
      <c r="B1059" s="85">
        <v>45697</v>
      </c>
      <c r="C1059" s="23" t="s">
        <v>664</v>
      </c>
      <c r="D1059" s="23" t="s">
        <v>158</v>
      </c>
      <c r="G1059" s="23">
        <v>1.1000000000000001</v>
      </c>
      <c r="I1059" s="218" t="s">
        <v>1921</v>
      </c>
    </row>
    <row r="1060" spans="1:9" x14ac:dyDescent="0.25">
      <c r="A1060" s="23">
        <v>1061</v>
      </c>
      <c r="B1060" s="85">
        <v>45697</v>
      </c>
      <c r="C1060" s="23" t="s">
        <v>1922</v>
      </c>
      <c r="D1060" s="23" t="s">
        <v>186</v>
      </c>
      <c r="G1060" s="23">
        <v>1.1000000000000001</v>
      </c>
      <c r="I1060" s="218" t="s">
        <v>1923</v>
      </c>
    </row>
    <row r="1061" spans="1:9" x14ac:dyDescent="0.25">
      <c r="A1061" s="23">
        <v>1062</v>
      </c>
      <c r="B1061" s="85">
        <v>45697</v>
      </c>
      <c r="C1061" s="23" t="s">
        <v>680</v>
      </c>
      <c r="D1061" s="23" t="s">
        <v>160</v>
      </c>
      <c r="G1061" s="23">
        <v>0.38</v>
      </c>
      <c r="I1061" s="218" t="s">
        <v>1924</v>
      </c>
    </row>
    <row r="1062" spans="1:9" x14ac:dyDescent="0.25">
      <c r="A1062" s="23">
        <v>1063</v>
      </c>
      <c r="B1062" s="85">
        <v>45697</v>
      </c>
      <c r="C1062" s="23" t="s">
        <v>682</v>
      </c>
      <c r="D1062" s="23" t="s">
        <v>155</v>
      </c>
      <c r="G1062" s="23">
        <v>0</v>
      </c>
      <c r="I1062" s="218" t="s">
        <v>1925</v>
      </c>
    </row>
    <row r="1063" spans="1:9" x14ac:dyDescent="0.25">
      <c r="A1063" s="23">
        <v>1064</v>
      </c>
      <c r="B1063" s="85">
        <v>45697</v>
      </c>
      <c r="C1063" s="23" t="s">
        <v>1367</v>
      </c>
      <c r="D1063" s="23" t="s">
        <v>260</v>
      </c>
      <c r="G1063" s="23">
        <v>0</v>
      </c>
      <c r="I1063" s="218" t="s">
        <v>1926</v>
      </c>
    </row>
    <row r="1064" spans="1:9" x14ac:dyDescent="0.25">
      <c r="A1064" s="23">
        <v>1065</v>
      </c>
      <c r="B1064" s="85">
        <v>45697</v>
      </c>
      <c r="C1064" s="23" t="s">
        <v>1927</v>
      </c>
      <c r="D1064" s="23" t="s">
        <v>262</v>
      </c>
      <c r="G1064" s="23">
        <v>0</v>
      </c>
      <c r="I1064" s="218" t="s">
        <v>1928</v>
      </c>
    </row>
    <row r="1065" spans="1:9" x14ac:dyDescent="0.25">
      <c r="A1065" s="23">
        <v>1066</v>
      </c>
      <c r="B1065" s="85">
        <v>45697</v>
      </c>
      <c r="C1065" s="23" t="s">
        <v>1530</v>
      </c>
      <c r="D1065" s="23" t="s">
        <v>265</v>
      </c>
      <c r="G1065" s="23">
        <v>0</v>
      </c>
      <c r="I1065" s="218" t="s">
        <v>1929</v>
      </c>
    </row>
    <row r="1066" spans="1:9" x14ac:dyDescent="0.25">
      <c r="A1066" s="23">
        <v>1067</v>
      </c>
      <c r="B1066" s="85">
        <v>45697</v>
      </c>
      <c r="C1066" s="23" t="s">
        <v>1530</v>
      </c>
      <c r="D1066" s="23" t="s">
        <v>261</v>
      </c>
      <c r="G1066" s="23">
        <v>0</v>
      </c>
      <c r="I1066" s="218" t="s">
        <v>1930</v>
      </c>
    </row>
    <row r="1067" spans="1:9" x14ac:dyDescent="0.25">
      <c r="A1067" s="23">
        <v>1068</v>
      </c>
      <c r="B1067" s="85">
        <v>45697</v>
      </c>
      <c r="C1067" s="23" t="s">
        <v>669</v>
      </c>
      <c r="D1067" s="23" t="s">
        <v>151</v>
      </c>
      <c r="G1067" s="23">
        <v>3.2</v>
      </c>
      <c r="I1067" s="218" t="s">
        <v>1932</v>
      </c>
    </row>
    <row r="1068" spans="1:9" x14ac:dyDescent="0.25">
      <c r="A1068" s="23">
        <v>1069</v>
      </c>
      <c r="B1068" s="85">
        <v>45698</v>
      </c>
      <c r="C1068" s="23" t="s">
        <v>1933</v>
      </c>
      <c r="D1068" s="23" t="s">
        <v>166</v>
      </c>
      <c r="G1068" s="23">
        <v>0</v>
      </c>
      <c r="I1068" s="218" t="s">
        <v>1934</v>
      </c>
    </row>
    <row r="1069" spans="1:9" x14ac:dyDescent="0.25">
      <c r="A1069" s="23">
        <v>1070</v>
      </c>
      <c r="B1069" s="85">
        <v>45698</v>
      </c>
      <c r="C1069" s="23" t="s">
        <v>1047</v>
      </c>
      <c r="D1069" s="23" t="s">
        <v>165</v>
      </c>
      <c r="G1069" s="23">
        <v>0.8</v>
      </c>
      <c r="I1069" s="218" t="s">
        <v>1935</v>
      </c>
    </row>
    <row r="1070" spans="1:9" x14ac:dyDescent="0.25">
      <c r="A1070" s="23">
        <v>1071</v>
      </c>
      <c r="B1070" s="85">
        <v>45698</v>
      </c>
      <c r="C1070" s="23" t="s">
        <v>1936</v>
      </c>
      <c r="D1070" s="23" t="s">
        <v>252</v>
      </c>
      <c r="G1070" s="23">
        <v>0.9</v>
      </c>
      <c r="I1070" s="218" t="s">
        <v>1937</v>
      </c>
    </row>
    <row r="1071" spans="1:9" x14ac:dyDescent="0.25">
      <c r="A1071" s="23">
        <v>1072</v>
      </c>
      <c r="B1071" s="85">
        <v>45698</v>
      </c>
      <c r="C1071" s="23" t="s">
        <v>553</v>
      </c>
      <c r="D1071" s="23" t="s">
        <v>273</v>
      </c>
      <c r="G1071" s="23">
        <v>0.9</v>
      </c>
      <c r="I1071" s="218" t="s">
        <v>1938</v>
      </c>
    </row>
    <row r="1072" spans="1:9" x14ac:dyDescent="0.25">
      <c r="A1072" s="23">
        <v>1073</v>
      </c>
      <c r="B1072" s="85">
        <v>45698</v>
      </c>
      <c r="C1072" s="23" t="s">
        <v>889</v>
      </c>
      <c r="D1072" s="23" t="s">
        <v>272</v>
      </c>
      <c r="G1072" s="23">
        <v>0.9</v>
      </c>
      <c r="I1072" s="218" t="s">
        <v>1939</v>
      </c>
    </row>
    <row r="1073" spans="1:9" x14ac:dyDescent="0.25">
      <c r="A1073" s="23">
        <v>1074</v>
      </c>
      <c r="B1073" s="85">
        <v>45698</v>
      </c>
      <c r="C1073" s="23" t="s">
        <v>1940</v>
      </c>
      <c r="D1073" s="23" t="s">
        <v>157</v>
      </c>
      <c r="G1073" s="23">
        <v>0</v>
      </c>
      <c r="I1073" s="218" t="s">
        <v>1941</v>
      </c>
    </row>
    <row r="1074" spans="1:9" x14ac:dyDescent="0.25">
      <c r="A1074" s="23">
        <v>1075</v>
      </c>
      <c r="B1074" s="85">
        <v>45698</v>
      </c>
      <c r="C1074" s="23" t="s">
        <v>1942</v>
      </c>
      <c r="D1074" s="23" t="s">
        <v>165</v>
      </c>
      <c r="G1074" s="23">
        <v>0</v>
      </c>
      <c r="I1074" s="218" t="s">
        <v>1943</v>
      </c>
    </row>
    <row r="1075" spans="1:9" x14ac:dyDescent="0.25">
      <c r="A1075" s="23">
        <v>1076</v>
      </c>
      <c r="B1075" s="85">
        <v>45698</v>
      </c>
      <c r="C1075" s="23" t="s">
        <v>1944</v>
      </c>
      <c r="D1075" s="23" t="s">
        <v>252</v>
      </c>
      <c r="G1075" s="23">
        <v>0</v>
      </c>
      <c r="I1075" s="218" t="s">
        <v>1945</v>
      </c>
    </row>
    <row r="1076" spans="1:9" x14ac:dyDescent="0.25">
      <c r="A1076" s="23">
        <v>1077</v>
      </c>
      <c r="B1076" s="85">
        <v>45698</v>
      </c>
      <c r="C1076" s="23" t="s">
        <v>221</v>
      </c>
      <c r="D1076" s="23" t="s">
        <v>154</v>
      </c>
      <c r="G1076" s="23">
        <v>0</v>
      </c>
      <c r="I1076" s="218" t="s">
        <v>1946</v>
      </c>
    </row>
    <row r="1077" spans="1:9" x14ac:dyDescent="0.25">
      <c r="A1077" s="23">
        <v>1078</v>
      </c>
      <c r="B1077" s="85">
        <v>45698</v>
      </c>
      <c r="C1077" s="23" t="s">
        <v>221</v>
      </c>
      <c r="D1077" s="23" t="s">
        <v>153</v>
      </c>
      <c r="G1077" s="23">
        <v>0</v>
      </c>
      <c r="I1077" s="218" t="s">
        <v>1947</v>
      </c>
    </row>
    <row r="1078" spans="1:9" x14ac:dyDescent="0.25">
      <c r="A1078" s="23">
        <v>1079</v>
      </c>
      <c r="B1078" s="85">
        <v>45698</v>
      </c>
      <c r="C1078" s="23" t="s">
        <v>918</v>
      </c>
      <c r="D1078" s="23" t="s">
        <v>157</v>
      </c>
      <c r="G1078" s="23">
        <v>1.5</v>
      </c>
      <c r="I1078" s="218" t="s">
        <v>1948</v>
      </c>
    </row>
    <row r="1079" spans="1:9" x14ac:dyDescent="0.25">
      <c r="A1079" s="23">
        <v>1080</v>
      </c>
      <c r="B1079" s="85">
        <v>45698</v>
      </c>
      <c r="C1079" s="23" t="s">
        <v>565</v>
      </c>
      <c r="D1079" s="23" t="s">
        <v>170</v>
      </c>
      <c r="G1079" s="23">
        <v>0.8</v>
      </c>
      <c r="I1079" s="218" t="s">
        <v>1949</v>
      </c>
    </row>
    <row r="1080" spans="1:9" x14ac:dyDescent="0.25">
      <c r="A1080" s="23">
        <v>1081</v>
      </c>
      <c r="B1080" s="85">
        <v>45698</v>
      </c>
      <c r="C1080" s="23" t="s">
        <v>908</v>
      </c>
      <c r="D1080" s="23" t="s">
        <v>155</v>
      </c>
      <c r="G1080" s="23">
        <v>0.3</v>
      </c>
      <c r="I1080" s="218" t="s">
        <v>1950</v>
      </c>
    </row>
    <row r="1081" spans="1:9" x14ac:dyDescent="0.25">
      <c r="A1081" s="23">
        <v>1082</v>
      </c>
      <c r="B1081" s="85">
        <v>45698</v>
      </c>
      <c r="C1081" s="23" t="s">
        <v>1951</v>
      </c>
      <c r="D1081" s="23" t="s">
        <v>174</v>
      </c>
      <c r="G1081" s="23">
        <v>0.8</v>
      </c>
      <c r="I1081" s="218" t="s">
        <v>1952</v>
      </c>
    </row>
    <row r="1082" spans="1:9" x14ac:dyDescent="0.25">
      <c r="A1082" s="23">
        <v>1083</v>
      </c>
      <c r="B1082" s="85">
        <v>45698</v>
      </c>
      <c r="C1082" s="23" t="s">
        <v>1238</v>
      </c>
      <c r="D1082" s="23" t="s">
        <v>178</v>
      </c>
      <c r="G1082" s="23">
        <v>0.8</v>
      </c>
      <c r="I1082" s="218" t="s">
        <v>1953</v>
      </c>
    </row>
    <row r="1083" spans="1:9" x14ac:dyDescent="0.25">
      <c r="A1083" s="23">
        <v>1084</v>
      </c>
      <c r="B1083" s="85">
        <v>45698</v>
      </c>
      <c r="C1083" s="23" t="s">
        <v>1251</v>
      </c>
      <c r="D1083" s="23" t="s">
        <v>252</v>
      </c>
      <c r="G1083" s="23">
        <v>0.8</v>
      </c>
      <c r="I1083" s="218" t="s">
        <v>1956</v>
      </c>
    </row>
    <row r="1084" spans="1:9" x14ac:dyDescent="0.25">
      <c r="A1084" s="23">
        <v>1085</v>
      </c>
      <c r="B1084" s="85">
        <v>45698</v>
      </c>
      <c r="C1084" s="23" t="s">
        <v>281</v>
      </c>
      <c r="D1084" s="23" t="s">
        <v>169</v>
      </c>
      <c r="G1084" s="23">
        <v>0.8</v>
      </c>
      <c r="I1084" s="218" t="s">
        <v>1957</v>
      </c>
    </row>
    <row r="1085" spans="1:9" x14ac:dyDescent="0.25">
      <c r="A1085" s="23">
        <v>1086</v>
      </c>
      <c r="B1085" s="85">
        <v>45698</v>
      </c>
      <c r="C1085" s="23" t="s">
        <v>1954</v>
      </c>
      <c r="D1085" s="23" t="s">
        <v>159</v>
      </c>
      <c r="G1085" s="23">
        <v>0</v>
      </c>
      <c r="I1085" s="218" t="s">
        <v>1958</v>
      </c>
    </row>
    <row r="1086" spans="1:9" x14ac:dyDescent="0.25">
      <c r="A1086" s="23">
        <v>1087</v>
      </c>
      <c r="B1086" s="85">
        <v>45698</v>
      </c>
      <c r="C1086" s="23" t="s">
        <v>1955</v>
      </c>
      <c r="D1086" s="23" t="s">
        <v>170</v>
      </c>
      <c r="G1086" s="23">
        <v>0</v>
      </c>
      <c r="I1086" s="218" t="s">
        <v>1959</v>
      </c>
    </row>
    <row r="1087" spans="1:9" x14ac:dyDescent="0.25">
      <c r="A1087" s="23">
        <v>1088</v>
      </c>
      <c r="B1087" s="85">
        <v>45698</v>
      </c>
      <c r="C1087" s="23" t="s">
        <v>1955</v>
      </c>
      <c r="D1087" s="23" t="s">
        <v>174</v>
      </c>
      <c r="G1087" s="23">
        <v>0</v>
      </c>
      <c r="I1087" s="218" t="s">
        <v>1960</v>
      </c>
    </row>
    <row r="1088" spans="1:9" x14ac:dyDescent="0.25">
      <c r="A1088" s="23">
        <v>1089</v>
      </c>
      <c r="B1088" s="85">
        <v>45698</v>
      </c>
      <c r="C1088" s="23" t="s">
        <v>1572</v>
      </c>
      <c r="D1088" s="23" t="s">
        <v>178</v>
      </c>
      <c r="G1088" s="23">
        <v>0</v>
      </c>
      <c r="I1088" s="218" t="s">
        <v>1961</v>
      </c>
    </row>
    <row r="1089" spans="1:9" x14ac:dyDescent="0.25">
      <c r="A1089" s="23">
        <v>1090</v>
      </c>
      <c r="B1089" s="85">
        <v>45698</v>
      </c>
      <c r="C1089" s="23" t="s">
        <v>1572</v>
      </c>
      <c r="D1089" s="23" t="s">
        <v>252</v>
      </c>
      <c r="G1089" s="23">
        <v>0</v>
      </c>
      <c r="I1089" s="218" t="s">
        <v>1956</v>
      </c>
    </row>
    <row r="1090" spans="1:9" x14ac:dyDescent="0.25">
      <c r="A1090" s="23">
        <v>1091</v>
      </c>
      <c r="B1090" s="85">
        <v>45698</v>
      </c>
      <c r="C1090" s="23" t="s">
        <v>1962</v>
      </c>
      <c r="D1090" s="23" t="s">
        <v>272</v>
      </c>
      <c r="G1090" s="23">
        <v>0</v>
      </c>
      <c r="I1090" s="218" t="s">
        <v>1963</v>
      </c>
    </row>
    <row r="1091" spans="1:9" x14ac:dyDescent="0.25">
      <c r="A1091" s="23">
        <v>1092</v>
      </c>
      <c r="B1091" s="85">
        <v>45698</v>
      </c>
      <c r="C1091" s="23" t="s">
        <v>1962</v>
      </c>
      <c r="D1091" s="23" t="s">
        <v>273</v>
      </c>
      <c r="G1091" s="23">
        <v>0</v>
      </c>
      <c r="I1091" s="218" t="s">
        <v>1964</v>
      </c>
    </row>
    <row r="1092" spans="1:9" x14ac:dyDescent="0.25">
      <c r="A1092" s="23">
        <v>1093</v>
      </c>
      <c r="B1092" s="85">
        <v>45698</v>
      </c>
      <c r="C1092" s="23" t="s">
        <v>1965</v>
      </c>
      <c r="D1092" s="23" t="s">
        <v>177</v>
      </c>
      <c r="G1092" s="23">
        <v>0.8</v>
      </c>
      <c r="I1092" s="218" t="s">
        <v>1966</v>
      </c>
    </row>
    <row r="1093" spans="1:9" x14ac:dyDescent="0.25">
      <c r="A1093" s="23">
        <v>1094</v>
      </c>
      <c r="B1093" s="85">
        <v>45698</v>
      </c>
      <c r="C1093" s="23" t="s">
        <v>1967</v>
      </c>
      <c r="D1093" s="23" t="s">
        <v>265</v>
      </c>
      <c r="G1093" s="23">
        <v>0.8</v>
      </c>
      <c r="I1093" s="218" t="s">
        <v>1968</v>
      </c>
    </row>
    <row r="1094" spans="1:9" x14ac:dyDescent="0.25">
      <c r="A1094" s="23">
        <v>1095</v>
      </c>
      <c r="B1094" s="85">
        <v>45698</v>
      </c>
      <c r="C1094" s="23" t="s">
        <v>1967</v>
      </c>
      <c r="D1094" s="23" t="s">
        <v>261</v>
      </c>
      <c r="G1094" s="23">
        <v>0.8</v>
      </c>
      <c r="I1094" s="218" t="s">
        <v>1969</v>
      </c>
    </row>
    <row r="1095" spans="1:9" x14ac:dyDescent="0.25">
      <c r="A1095" s="23">
        <v>1096</v>
      </c>
      <c r="B1095" s="85">
        <v>45698</v>
      </c>
      <c r="C1095" s="23" t="s">
        <v>1967</v>
      </c>
      <c r="D1095" s="23" t="s">
        <v>262</v>
      </c>
      <c r="G1095" s="23">
        <v>0.8</v>
      </c>
      <c r="I1095" s="218" t="s">
        <v>1970</v>
      </c>
    </row>
    <row r="1096" spans="1:9" x14ac:dyDescent="0.25">
      <c r="A1096" s="23">
        <v>1097</v>
      </c>
      <c r="B1096" s="85">
        <v>45698</v>
      </c>
      <c r="C1096" s="23" t="s">
        <v>1971</v>
      </c>
      <c r="D1096" s="23" t="s">
        <v>260</v>
      </c>
      <c r="G1096" s="23">
        <v>0.8</v>
      </c>
      <c r="I1096" s="218" t="s">
        <v>1972</v>
      </c>
    </row>
    <row r="1097" spans="1:9" x14ac:dyDescent="0.25">
      <c r="A1097" s="23">
        <v>1098</v>
      </c>
      <c r="B1097" s="85">
        <v>45698</v>
      </c>
      <c r="C1097" s="23" t="s">
        <v>1971</v>
      </c>
      <c r="D1097" s="23" t="s">
        <v>264</v>
      </c>
      <c r="G1097" s="23">
        <v>0.8</v>
      </c>
      <c r="I1097" s="218" t="s">
        <v>1973</v>
      </c>
    </row>
    <row r="1098" spans="1:9" x14ac:dyDescent="0.25">
      <c r="A1098" s="23">
        <v>1099</v>
      </c>
      <c r="B1098" s="85">
        <v>45698</v>
      </c>
      <c r="C1098" s="23" t="s">
        <v>1974</v>
      </c>
      <c r="D1098" s="23" t="s">
        <v>153</v>
      </c>
      <c r="G1098" s="23">
        <v>2.8</v>
      </c>
      <c r="I1098" s="218" t="s">
        <v>1975</v>
      </c>
    </row>
    <row r="1099" spans="1:9" x14ac:dyDescent="0.25">
      <c r="A1099" s="23">
        <v>1100</v>
      </c>
      <c r="B1099" s="85">
        <v>45698</v>
      </c>
      <c r="C1099" s="23" t="s">
        <v>1976</v>
      </c>
      <c r="D1099" s="23" t="s">
        <v>144</v>
      </c>
      <c r="G1099" s="23">
        <v>0</v>
      </c>
      <c r="I1099" s="218" t="s">
        <v>1977</v>
      </c>
    </row>
    <row r="1100" spans="1:9" x14ac:dyDescent="0.25">
      <c r="A1100" s="23">
        <v>1101</v>
      </c>
      <c r="B1100" s="85">
        <v>45698</v>
      </c>
      <c r="C1100" s="23" t="s">
        <v>1976</v>
      </c>
      <c r="D1100" s="23" t="s">
        <v>144</v>
      </c>
      <c r="G1100" s="23">
        <v>0.8</v>
      </c>
      <c r="I1100" s="218" t="s">
        <v>295</v>
      </c>
    </row>
    <row r="1101" spans="1:9" x14ac:dyDescent="0.25">
      <c r="A1101" s="23">
        <v>1102</v>
      </c>
      <c r="B1101" s="85">
        <v>45698</v>
      </c>
      <c r="C1101" s="23" t="s">
        <v>434</v>
      </c>
      <c r="D1101" s="23" t="s">
        <v>252</v>
      </c>
      <c r="G1101" s="23">
        <v>0.8</v>
      </c>
      <c r="I1101" s="218" t="s">
        <v>1978</v>
      </c>
    </row>
    <row r="1102" spans="1:9" x14ac:dyDescent="0.25">
      <c r="A1102" s="23">
        <v>1103</v>
      </c>
      <c r="B1102" s="85">
        <v>45698</v>
      </c>
      <c r="C1102" s="23" t="s">
        <v>926</v>
      </c>
      <c r="D1102" s="23" t="s">
        <v>177</v>
      </c>
      <c r="G1102" s="23">
        <v>0</v>
      </c>
      <c r="I1102" s="218" t="s">
        <v>1979</v>
      </c>
    </row>
    <row r="1103" spans="1:9" x14ac:dyDescent="0.25">
      <c r="A1103" s="23">
        <v>1104</v>
      </c>
      <c r="B1103" s="85">
        <v>45698</v>
      </c>
      <c r="C1103" s="23" t="s">
        <v>741</v>
      </c>
      <c r="D1103" s="23" t="s">
        <v>273</v>
      </c>
      <c r="G1103" s="23">
        <v>0.8</v>
      </c>
      <c r="I1103" s="218" t="s">
        <v>1980</v>
      </c>
    </row>
    <row r="1104" spans="1:9" x14ac:dyDescent="0.25">
      <c r="A1104" s="23">
        <v>1105</v>
      </c>
      <c r="B1104" s="85">
        <v>45698</v>
      </c>
      <c r="C1104" s="23" t="s">
        <v>931</v>
      </c>
      <c r="D1104" s="23" t="s">
        <v>175</v>
      </c>
      <c r="G1104" s="23">
        <v>1.5</v>
      </c>
      <c r="I1104" s="218" t="s">
        <v>1981</v>
      </c>
    </row>
    <row r="1105" spans="1:9" x14ac:dyDescent="0.25">
      <c r="A1105" s="23">
        <v>1106</v>
      </c>
      <c r="B1105" s="85">
        <v>45698</v>
      </c>
      <c r="C1105" s="23" t="s">
        <v>1982</v>
      </c>
      <c r="D1105" s="23" t="s">
        <v>194</v>
      </c>
      <c r="G1105" s="23">
        <v>6.8</v>
      </c>
      <c r="I1105" s="218" t="s">
        <v>1983</v>
      </c>
    </row>
    <row r="1106" spans="1:9" x14ac:dyDescent="0.25">
      <c r="A1106" s="23">
        <v>1107</v>
      </c>
      <c r="B1106" s="85">
        <v>45698</v>
      </c>
      <c r="C1106" s="23" t="s">
        <v>231</v>
      </c>
      <c r="D1106" s="23" t="s">
        <v>272</v>
      </c>
      <c r="G1106" s="23">
        <v>0.8</v>
      </c>
      <c r="I1106" s="218" t="s">
        <v>1984</v>
      </c>
    </row>
    <row r="1107" spans="1:9" x14ac:dyDescent="0.25">
      <c r="A1107" s="23">
        <v>1108</v>
      </c>
      <c r="B1107" s="85">
        <v>45698</v>
      </c>
      <c r="C1107" s="23" t="s">
        <v>1266</v>
      </c>
      <c r="D1107" s="23" t="s">
        <v>202</v>
      </c>
      <c r="G1107" s="23">
        <v>0.8</v>
      </c>
      <c r="I1107" s="218" t="s">
        <v>1985</v>
      </c>
    </row>
    <row r="1108" spans="1:9" x14ac:dyDescent="0.25">
      <c r="A1108" s="23">
        <v>1109</v>
      </c>
      <c r="B1108" s="85">
        <v>45698</v>
      </c>
      <c r="C1108" s="23" t="s">
        <v>434</v>
      </c>
      <c r="D1108" s="23" t="s">
        <v>154</v>
      </c>
      <c r="G1108" s="23" t="s">
        <v>9</v>
      </c>
      <c r="I1108" s="218" t="s">
        <v>1986</v>
      </c>
    </row>
    <row r="1109" spans="1:9" x14ac:dyDescent="0.25">
      <c r="A1109" s="23">
        <v>1110</v>
      </c>
      <c r="B1109" s="85">
        <v>45698</v>
      </c>
      <c r="C1109" s="23" t="s">
        <v>1987</v>
      </c>
      <c r="D1109" s="23" t="s">
        <v>162</v>
      </c>
      <c r="G1109" s="23">
        <v>0.8</v>
      </c>
      <c r="I1109" s="218" t="s">
        <v>1988</v>
      </c>
    </row>
    <row r="1110" spans="1:9" x14ac:dyDescent="0.25">
      <c r="A1110" s="23">
        <v>1111</v>
      </c>
      <c r="B1110" s="85">
        <v>45698</v>
      </c>
      <c r="C1110" s="23" t="s">
        <v>1989</v>
      </c>
      <c r="D1110" s="23" t="s">
        <v>202</v>
      </c>
      <c r="G1110" s="23">
        <v>0</v>
      </c>
      <c r="I1110" s="218" t="s">
        <v>1985</v>
      </c>
    </row>
    <row r="1111" spans="1:9" x14ac:dyDescent="0.25">
      <c r="A1111" s="23">
        <v>1112</v>
      </c>
      <c r="B1111" s="85">
        <v>45698</v>
      </c>
      <c r="C1111" s="23" t="s">
        <v>1989</v>
      </c>
      <c r="D1111" s="23" t="s">
        <v>162</v>
      </c>
      <c r="G1111" s="23">
        <v>0</v>
      </c>
      <c r="I1111" s="218" t="s">
        <v>1988</v>
      </c>
    </row>
    <row r="1112" spans="1:9" x14ac:dyDescent="0.25">
      <c r="A1112" s="23">
        <v>1113</v>
      </c>
      <c r="B1112" s="85">
        <v>45698</v>
      </c>
      <c r="C1112" s="23" t="s">
        <v>1990</v>
      </c>
      <c r="D1112" s="23" t="s">
        <v>144</v>
      </c>
      <c r="G1112" s="23">
        <v>0</v>
      </c>
      <c r="I1112" s="218" t="s">
        <v>1991</v>
      </c>
    </row>
    <row r="1113" spans="1:9" x14ac:dyDescent="0.25">
      <c r="A1113" s="23">
        <v>1114</v>
      </c>
      <c r="B1113" s="85">
        <v>45698</v>
      </c>
      <c r="C1113" s="23" t="s">
        <v>1990</v>
      </c>
      <c r="D1113" s="23" t="s">
        <v>144</v>
      </c>
      <c r="G1113" s="23" t="s">
        <v>9</v>
      </c>
      <c r="H1113" s="95" t="s">
        <v>1992</v>
      </c>
      <c r="I1113" s="218" t="s">
        <v>295</v>
      </c>
    </row>
    <row r="1114" spans="1:9" x14ac:dyDescent="0.25">
      <c r="A1114" s="23">
        <v>1115</v>
      </c>
      <c r="B1114" s="85">
        <v>45698</v>
      </c>
      <c r="C1114" s="23" t="s">
        <v>958</v>
      </c>
      <c r="D1114" s="23" t="s">
        <v>252</v>
      </c>
      <c r="G1114" s="23">
        <v>0</v>
      </c>
      <c r="I1114" s="218" t="s">
        <v>1993</v>
      </c>
    </row>
    <row r="1115" spans="1:9" x14ac:dyDescent="0.25">
      <c r="A1115" s="23">
        <v>1116</v>
      </c>
      <c r="B1115" s="85">
        <v>45698</v>
      </c>
      <c r="C1115" s="23" t="s">
        <v>958</v>
      </c>
      <c r="D1115" s="23" t="s">
        <v>273</v>
      </c>
      <c r="G1115" s="23">
        <v>0</v>
      </c>
      <c r="I1115" s="218" t="s">
        <v>1994</v>
      </c>
    </row>
    <row r="1116" spans="1:9" x14ac:dyDescent="0.25">
      <c r="A1116" s="23">
        <v>1117</v>
      </c>
      <c r="B1116" s="85">
        <v>45698</v>
      </c>
      <c r="C1116" s="23" t="s">
        <v>1995</v>
      </c>
      <c r="D1116" s="23" t="s">
        <v>263</v>
      </c>
      <c r="G1116" s="23">
        <v>0.68799999999999994</v>
      </c>
      <c r="I1116" s="218" t="s">
        <v>1996</v>
      </c>
    </row>
    <row r="1117" spans="1:9" x14ac:dyDescent="0.25">
      <c r="A1117" s="23">
        <v>1118</v>
      </c>
      <c r="B1117" s="85">
        <v>45698</v>
      </c>
      <c r="C1117" s="23" t="s">
        <v>1997</v>
      </c>
      <c r="D1117" s="23" t="s">
        <v>272</v>
      </c>
      <c r="G1117" s="23">
        <v>0</v>
      </c>
      <c r="I1117" s="218" t="s">
        <v>1998</v>
      </c>
    </row>
    <row r="1118" spans="1:9" x14ac:dyDescent="0.25">
      <c r="A1118" s="23">
        <v>1119</v>
      </c>
      <c r="B1118" s="85">
        <v>45698</v>
      </c>
      <c r="C1118" s="23" t="s">
        <v>269</v>
      </c>
      <c r="D1118" s="23" t="s">
        <v>161</v>
      </c>
      <c r="G1118" s="23">
        <v>0.8</v>
      </c>
      <c r="I1118" s="218" t="s">
        <v>1999</v>
      </c>
    </row>
    <row r="1119" spans="1:9" x14ac:dyDescent="0.25">
      <c r="A1119" s="23">
        <v>1120</v>
      </c>
      <c r="B1119" s="85">
        <v>45698</v>
      </c>
      <c r="C1119" s="23" t="s">
        <v>269</v>
      </c>
      <c r="D1119" s="23" t="s">
        <v>164</v>
      </c>
      <c r="G1119" s="23">
        <v>0.8</v>
      </c>
      <c r="I1119" s="218" t="s">
        <v>2000</v>
      </c>
    </row>
    <row r="1120" spans="1:9" x14ac:dyDescent="0.25">
      <c r="A1120" s="23">
        <v>1121</v>
      </c>
      <c r="B1120" s="85">
        <v>45698</v>
      </c>
      <c r="C1120" s="23" t="s">
        <v>2001</v>
      </c>
      <c r="D1120" s="23" t="s">
        <v>165</v>
      </c>
      <c r="G1120" s="23">
        <v>0.8</v>
      </c>
      <c r="I1120" s="218" t="s">
        <v>2002</v>
      </c>
    </row>
    <row r="1121" spans="1:9" x14ac:dyDescent="0.25">
      <c r="A1121" s="23">
        <v>1122</v>
      </c>
      <c r="B1121" s="85">
        <v>45698</v>
      </c>
      <c r="C1121" s="23" t="s">
        <v>236</v>
      </c>
      <c r="D1121" s="23" t="s">
        <v>175</v>
      </c>
      <c r="G1121" s="23">
        <v>0</v>
      </c>
      <c r="I1121" s="218" t="s">
        <v>2003</v>
      </c>
    </row>
    <row r="1122" spans="1:9" x14ac:dyDescent="0.25">
      <c r="A1122" s="23">
        <v>1123</v>
      </c>
      <c r="B1122" s="85">
        <v>45698</v>
      </c>
      <c r="C1122" s="23" t="s">
        <v>2004</v>
      </c>
      <c r="D1122" s="23" t="s">
        <v>252</v>
      </c>
      <c r="G1122" s="23">
        <v>0.8</v>
      </c>
      <c r="I1122" s="218" t="s">
        <v>2005</v>
      </c>
    </row>
    <row r="1123" spans="1:9" x14ac:dyDescent="0.25">
      <c r="A1123" s="23">
        <v>1124</v>
      </c>
      <c r="B1123" s="85">
        <v>45698</v>
      </c>
      <c r="C1123" s="23" t="s">
        <v>2006</v>
      </c>
      <c r="D1123" s="23" t="s">
        <v>157</v>
      </c>
      <c r="G1123" s="23">
        <v>0</v>
      </c>
      <c r="I1123" s="218" t="s">
        <v>2007</v>
      </c>
    </row>
    <row r="1124" spans="1:9" x14ac:dyDescent="0.25">
      <c r="A1124" s="23">
        <v>1125</v>
      </c>
      <c r="B1124" s="85">
        <v>45698</v>
      </c>
      <c r="C1124" s="23" t="s">
        <v>2006</v>
      </c>
      <c r="D1124" s="23" t="s">
        <v>157</v>
      </c>
      <c r="G1124" s="23" t="s">
        <v>9</v>
      </c>
      <c r="I1124" s="218" t="s">
        <v>295</v>
      </c>
    </row>
    <row r="1125" spans="1:9" x14ac:dyDescent="0.25">
      <c r="A1125" s="23">
        <v>1126</v>
      </c>
      <c r="B1125" s="85">
        <v>45698</v>
      </c>
      <c r="C1125" s="23" t="s">
        <v>2006</v>
      </c>
      <c r="D1125" s="23" t="s">
        <v>165</v>
      </c>
      <c r="G1125" s="23">
        <v>0</v>
      </c>
      <c r="I1125" s="218" t="s">
        <v>2008</v>
      </c>
    </row>
    <row r="1126" spans="1:9" x14ac:dyDescent="0.25">
      <c r="A1126" s="23">
        <v>1127</v>
      </c>
      <c r="B1126" s="85">
        <v>45698</v>
      </c>
      <c r="C1126" s="23" t="s">
        <v>2006</v>
      </c>
      <c r="D1126" s="23" t="s">
        <v>165</v>
      </c>
      <c r="G1126" s="23" t="s">
        <v>9</v>
      </c>
      <c r="H1126" s="23" t="s">
        <v>2009</v>
      </c>
      <c r="I1126" s="218" t="s">
        <v>295</v>
      </c>
    </row>
    <row r="1127" spans="1:9" x14ac:dyDescent="0.25">
      <c r="A1127" s="23">
        <v>1128</v>
      </c>
      <c r="B1127" s="85">
        <v>45698</v>
      </c>
      <c r="C1127" s="23" t="s">
        <v>1450</v>
      </c>
      <c r="D1127" s="23" t="s">
        <v>263</v>
      </c>
      <c r="G1127" s="23">
        <v>0</v>
      </c>
      <c r="I1127" s="218" t="s">
        <v>2010</v>
      </c>
    </row>
    <row r="1128" spans="1:9" x14ac:dyDescent="0.25">
      <c r="A1128" s="23">
        <v>1129</v>
      </c>
      <c r="B1128" s="85">
        <v>45698</v>
      </c>
      <c r="C1128" s="23" t="s">
        <v>188</v>
      </c>
      <c r="D1128" s="23" t="s">
        <v>260</v>
      </c>
      <c r="G1128" s="23">
        <v>0</v>
      </c>
      <c r="I1128" s="218" t="s">
        <v>2011</v>
      </c>
    </row>
    <row r="1129" spans="1:9" x14ac:dyDescent="0.25">
      <c r="A1129" s="23">
        <v>1130</v>
      </c>
      <c r="B1129" s="85">
        <v>45698</v>
      </c>
      <c r="C1129" s="23" t="s">
        <v>188</v>
      </c>
      <c r="D1129" s="23" t="s">
        <v>264</v>
      </c>
      <c r="G1129" s="23">
        <v>0</v>
      </c>
      <c r="I1129" s="218" t="s">
        <v>2012</v>
      </c>
    </row>
    <row r="1130" spans="1:9" x14ac:dyDescent="0.25">
      <c r="A1130" s="23">
        <v>1131</v>
      </c>
      <c r="B1130" s="85">
        <v>45698</v>
      </c>
      <c r="C1130" s="23" t="s">
        <v>188</v>
      </c>
      <c r="D1130" s="23" t="s">
        <v>265</v>
      </c>
      <c r="G1130" s="23">
        <v>0</v>
      </c>
      <c r="I1130" s="218" t="s">
        <v>2013</v>
      </c>
    </row>
    <row r="1131" spans="1:9" x14ac:dyDescent="0.25">
      <c r="A1131" s="23">
        <v>1132</v>
      </c>
      <c r="B1131" s="85">
        <v>45698</v>
      </c>
      <c r="C1131" s="23" t="s">
        <v>188</v>
      </c>
      <c r="D1131" s="23" t="s">
        <v>261</v>
      </c>
      <c r="G1131" s="23">
        <v>0</v>
      </c>
      <c r="I1131" s="218" t="s">
        <v>2014</v>
      </c>
    </row>
    <row r="1132" spans="1:9" x14ac:dyDescent="0.25">
      <c r="A1132" s="23">
        <v>1133</v>
      </c>
      <c r="B1132" s="85">
        <v>45698</v>
      </c>
      <c r="C1132" s="23" t="s">
        <v>188</v>
      </c>
      <c r="D1132" s="23" t="s">
        <v>262</v>
      </c>
      <c r="G1132" s="23">
        <v>0</v>
      </c>
      <c r="I1132" s="218" t="s">
        <v>2015</v>
      </c>
    </row>
    <row r="1133" spans="1:9" x14ac:dyDescent="0.25">
      <c r="A1133" s="23">
        <v>1134</v>
      </c>
      <c r="B1133" s="85">
        <v>45698</v>
      </c>
      <c r="C1133" s="23" t="s">
        <v>167</v>
      </c>
      <c r="D1133" s="23" t="s">
        <v>273</v>
      </c>
      <c r="G1133" s="23">
        <v>0.8</v>
      </c>
      <c r="I1133" s="218" t="s">
        <v>2016</v>
      </c>
    </row>
    <row r="1134" spans="1:9" x14ac:dyDescent="0.25">
      <c r="A1134" s="23">
        <v>1135</v>
      </c>
      <c r="B1134" s="85">
        <v>45698</v>
      </c>
      <c r="C1134" s="23" t="s">
        <v>2017</v>
      </c>
      <c r="D1134" s="23" t="s">
        <v>272</v>
      </c>
      <c r="G1134" s="23">
        <v>0.8</v>
      </c>
      <c r="I1134" s="218" t="s">
        <v>2018</v>
      </c>
    </row>
    <row r="1135" spans="1:9" x14ac:dyDescent="0.25">
      <c r="A1135" s="23">
        <v>1136</v>
      </c>
      <c r="B1135" s="85">
        <v>45698</v>
      </c>
      <c r="C1135" s="23" t="s">
        <v>1865</v>
      </c>
      <c r="D1135" s="23" t="s">
        <v>155</v>
      </c>
      <c r="G1135" s="23">
        <v>0</v>
      </c>
      <c r="I1135" s="218" t="s">
        <v>2019</v>
      </c>
    </row>
    <row r="1136" spans="1:9" x14ac:dyDescent="0.25">
      <c r="A1136" s="23">
        <v>1137</v>
      </c>
      <c r="B1136" s="85">
        <v>45698</v>
      </c>
      <c r="C1136" s="23" t="s">
        <v>1865</v>
      </c>
      <c r="D1136" s="23" t="s">
        <v>160</v>
      </c>
      <c r="G1136" s="23">
        <v>0</v>
      </c>
      <c r="I1136" s="218" t="s">
        <v>2020</v>
      </c>
    </row>
    <row r="1137" spans="1:9" x14ac:dyDescent="0.25">
      <c r="A1137" s="23">
        <v>1138</v>
      </c>
      <c r="B1137" s="85">
        <v>45698</v>
      </c>
      <c r="C1137" s="23" t="s">
        <v>2021</v>
      </c>
      <c r="D1137" s="23" t="s">
        <v>170</v>
      </c>
      <c r="G1137" s="23">
        <v>0.8</v>
      </c>
      <c r="I1137" s="218" t="s">
        <v>2022</v>
      </c>
    </row>
    <row r="1138" spans="1:9" x14ac:dyDescent="0.25">
      <c r="A1138" s="23">
        <v>1139</v>
      </c>
      <c r="B1138" s="85">
        <v>45698</v>
      </c>
      <c r="C1138" s="23" t="s">
        <v>2021</v>
      </c>
      <c r="D1138" s="23" t="s">
        <v>168</v>
      </c>
      <c r="G1138" s="23">
        <v>0.8</v>
      </c>
      <c r="I1138" s="218" t="s">
        <v>2023</v>
      </c>
    </row>
    <row r="1139" spans="1:9" x14ac:dyDescent="0.25">
      <c r="A1139" s="23">
        <v>1140</v>
      </c>
      <c r="B1139" s="85">
        <v>45698</v>
      </c>
      <c r="C1139" s="23" t="s">
        <v>2024</v>
      </c>
      <c r="D1139" s="23" t="s">
        <v>155</v>
      </c>
      <c r="G1139" s="23">
        <v>0.5</v>
      </c>
      <c r="I1139" s="218" t="s">
        <v>295</v>
      </c>
    </row>
    <row r="1140" spans="1:9" x14ac:dyDescent="0.25">
      <c r="A1140" s="23">
        <v>1141</v>
      </c>
      <c r="B1140" s="85">
        <v>45698</v>
      </c>
      <c r="C1140" s="23" t="s">
        <v>2024</v>
      </c>
      <c r="D1140" s="23" t="s">
        <v>166</v>
      </c>
      <c r="G1140" s="23">
        <v>0.5</v>
      </c>
      <c r="I1140" s="218" t="s">
        <v>2025</v>
      </c>
    </row>
    <row r="1141" spans="1:9" x14ac:dyDescent="0.25">
      <c r="A1141" s="23">
        <v>1142</v>
      </c>
      <c r="B1141" s="85">
        <v>45698</v>
      </c>
      <c r="C1141" s="23" t="s">
        <v>236</v>
      </c>
      <c r="D1141" s="23" t="s">
        <v>175</v>
      </c>
      <c r="G1141" s="23" t="s">
        <v>9</v>
      </c>
      <c r="I1141" s="218" t="s">
        <v>295</v>
      </c>
    </row>
    <row r="1142" spans="1:9" x14ac:dyDescent="0.25">
      <c r="A1142" s="23">
        <v>1143</v>
      </c>
      <c r="B1142" s="85">
        <v>45698</v>
      </c>
      <c r="C1142" s="23" t="s">
        <v>778</v>
      </c>
      <c r="D1142" s="23" t="s">
        <v>162</v>
      </c>
      <c r="G1142" s="23">
        <v>0.8</v>
      </c>
      <c r="I1142" s="218" t="s">
        <v>2026</v>
      </c>
    </row>
    <row r="1143" spans="1:9" x14ac:dyDescent="0.25">
      <c r="A1143" s="23">
        <v>1144</v>
      </c>
      <c r="B1143" s="85">
        <v>45698</v>
      </c>
      <c r="C1143" s="23" t="s">
        <v>778</v>
      </c>
      <c r="D1143" s="23" t="s">
        <v>178</v>
      </c>
      <c r="G1143" s="23">
        <v>0.8</v>
      </c>
      <c r="I1143" s="218" t="s">
        <v>2027</v>
      </c>
    </row>
    <row r="1144" spans="1:9" x14ac:dyDescent="0.25">
      <c r="A1144" s="23">
        <v>1145</v>
      </c>
      <c r="B1144" s="85">
        <v>45698</v>
      </c>
      <c r="C1144" s="23" t="s">
        <v>1127</v>
      </c>
      <c r="D1144" s="23" t="s">
        <v>155</v>
      </c>
      <c r="G1144" s="23">
        <v>0</v>
      </c>
      <c r="I1144" s="218" t="s">
        <v>2028</v>
      </c>
    </row>
    <row r="1145" spans="1:9" x14ac:dyDescent="0.25">
      <c r="A1145" s="23">
        <v>1146</v>
      </c>
      <c r="B1145" s="85">
        <v>45698</v>
      </c>
      <c r="C1145" s="23" t="s">
        <v>1127</v>
      </c>
      <c r="D1145" s="23" t="s">
        <v>166</v>
      </c>
      <c r="G1145" s="23">
        <v>0</v>
      </c>
      <c r="I1145" s="218" t="s">
        <v>2029</v>
      </c>
    </row>
    <row r="1146" spans="1:9" x14ac:dyDescent="0.25">
      <c r="A1146" s="23">
        <v>1147</v>
      </c>
      <c r="B1146" s="85">
        <v>45698</v>
      </c>
      <c r="C1146" s="23" t="s">
        <v>778</v>
      </c>
      <c r="D1146" s="23" t="s">
        <v>165</v>
      </c>
      <c r="G1146" s="23">
        <v>0</v>
      </c>
      <c r="I1146" s="218" t="s">
        <v>2030</v>
      </c>
    </row>
    <row r="1147" spans="1:9" x14ac:dyDescent="0.25">
      <c r="A1147" s="23">
        <v>1148</v>
      </c>
      <c r="B1147" s="85">
        <v>45698</v>
      </c>
      <c r="C1147" s="23" t="s">
        <v>778</v>
      </c>
      <c r="D1147" s="23" t="s">
        <v>165</v>
      </c>
      <c r="G1147" s="23">
        <v>0.8</v>
      </c>
      <c r="I1147" s="218" t="s">
        <v>295</v>
      </c>
    </row>
    <row r="1148" spans="1:9" x14ac:dyDescent="0.25">
      <c r="A1148" s="23">
        <v>1149</v>
      </c>
      <c r="B1148" s="85">
        <v>45698</v>
      </c>
      <c r="C1148" s="23" t="s">
        <v>2031</v>
      </c>
      <c r="D1148" s="23" t="s">
        <v>174</v>
      </c>
      <c r="G1148" s="23">
        <v>0.8</v>
      </c>
      <c r="I1148" s="218" t="s">
        <v>2032</v>
      </c>
    </row>
    <row r="1149" spans="1:9" x14ac:dyDescent="0.25">
      <c r="A1149" s="23">
        <v>1150</v>
      </c>
      <c r="B1149" s="85">
        <v>45698</v>
      </c>
      <c r="C1149" s="23" t="s">
        <v>2031</v>
      </c>
      <c r="D1149" s="23" t="s">
        <v>172</v>
      </c>
      <c r="G1149" s="23">
        <v>0.8</v>
      </c>
      <c r="I1149" s="218" t="s">
        <v>2033</v>
      </c>
    </row>
    <row r="1150" spans="1:9" x14ac:dyDescent="0.25">
      <c r="A1150" s="23">
        <v>1151</v>
      </c>
      <c r="B1150" s="85">
        <v>45698</v>
      </c>
      <c r="C1150" s="23" t="s">
        <v>2031</v>
      </c>
      <c r="D1150" s="23" t="s">
        <v>177</v>
      </c>
      <c r="G1150" s="23">
        <v>0.8</v>
      </c>
      <c r="I1150" s="218" t="s">
        <v>2034</v>
      </c>
    </row>
    <row r="1151" spans="1:9" x14ac:dyDescent="0.25">
      <c r="A1151" s="23">
        <v>1152</v>
      </c>
      <c r="B1151" s="85">
        <v>45698</v>
      </c>
      <c r="C1151" s="23" t="s">
        <v>2035</v>
      </c>
      <c r="D1151" s="23" t="s">
        <v>155</v>
      </c>
      <c r="G1151" s="23">
        <v>0.39</v>
      </c>
      <c r="I1151" s="218" t="s">
        <v>295</v>
      </c>
    </row>
    <row r="1152" spans="1:9" x14ac:dyDescent="0.25">
      <c r="A1152" s="23">
        <v>1153</v>
      </c>
      <c r="B1152" s="85">
        <v>45698</v>
      </c>
      <c r="C1152" s="23" t="s">
        <v>1127</v>
      </c>
      <c r="D1152" s="23" t="s">
        <v>166</v>
      </c>
      <c r="G1152" s="23">
        <v>0.39</v>
      </c>
      <c r="I1152" s="218" t="s">
        <v>295</v>
      </c>
    </row>
    <row r="1153" spans="1:9" x14ac:dyDescent="0.25">
      <c r="A1153" s="23">
        <v>1154</v>
      </c>
      <c r="B1153" s="85">
        <v>45698</v>
      </c>
      <c r="C1153" s="23" t="s">
        <v>2036</v>
      </c>
      <c r="D1153" s="23" t="s">
        <v>260</v>
      </c>
      <c r="G1153" s="23">
        <v>0.8</v>
      </c>
      <c r="I1153" s="218" t="s">
        <v>2037</v>
      </c>
    </row>
    <row r="1154" spans="1:9" x14ac:dyDescent="0.25">
      <c r="A1154" s="23">
        <v>1155</v>
      </c>
      <c r="B1154" s="85">
        <v>45698</v>
      </c>
      <c r="C1154" s="23" t="s">
        <v>2036</v>
      </c>
      <c r="D1154" s="23" t="s">
        <v>265</v>
      </c>
      <c r="G1154" s="23">
        <v>0.8</v>
      </c>
      <c r="I1154" s="218" t="s">
        <v>2038</v>
      </c>
    </row>
    <row r="1155" spans="1:9" x14ac:dyDescent="0.25">
      <c r="A1155" s="23">
        <v>1156</v>
      </c>
      <c r="B1155" s="85">
        <v>45698</v>
      </c>
      <c r="C1155" s="23" t="s">
        <v>2036</v>
      </c>
      <c r="D1155" s="23" t="s">
        <v>261</v>
      </c>
      <c r="G1155" s="23">
        <v>0.8</v>
      </c>
      <c r="I1155" s="218" t="s">
        <v>2039</v>
      </c>
    </row>
    <row r="1156" spans="1:9" x14ac:dyDescent="0.25">
      <c r="A1156" s="23">
        <v>1157</v>
      </c>
      <c r="B1156" s="85">
        <v>45698</v>
      </c>
      <c r="C1156" s="23" t="s">
        <v>2036</v>
      </c>
      <c r="D1156" s="23" t="s">
        <v>262</v>
      </c>
      <c r="G1156" s="23">
        <v>0.8</v>
      </c>
      <c r="I1156" s="218" t="s">
        <v>2040</v>
      </c>
    </row>
    <row r="1157" spans="1:9" x14ac:dyDescent="0.25">
      <c r="A1157" s="23">
        <v>1158</v>
      </c>
      <c r="B1157" s="85">
        <v>45698</v>
      </c>
      <c r="C1157" s="23" t="s">
        <v>788</v>
      </c>
      <c r="D1157" s="23" t="s">
        <v>302</v>
      </c>
      <c r="G1157" s="23">
        <v>0.8</v>
      </c>
      <c r="I1157" s="218" t="s">
        <v>2041</v>
      </c>
    </row>
    <row r="1158" spans="1:9" x14ac:dyDescent="0.25">
      <c r="A1158" s="23">
        <v>1159</v>
      </c>
      <c r="B1158" s="85">
        <v>45698</v>
      </c>
      <c r="C1158" s="23" t="s">
        <v>2042</v>
      </c>
      <c r="D1158" s="23" t="s">
        <v>202</v>
      </c>
      <c r="G1158" s="23">
        <v>0.8</v>
      </c>
      <c r="I1158" s="218" t="s">
        <v>2043</v>
      </c>
    </row>
    <row r="1159" spans="1:9" x14ac:dyDescent="0.25">
      <c r="A1159" s="23">
        <v>1160</v>
      </c>
      <c r="B1159" s="85">
        <v>45698</v>
      </c>
      <c r="C1159" s="23" t="s">
        <v>782</v>
      </c>
      <c r="D1159" s="23" t="s">
        <v>164</v>
      </c>
      <c r="G1159" s="23">
        <v>0</v>
      </c>
      <c r="I1159" s="218" t="s">
        <v>2044</v>
      </c>
    </row>
    <row r="1160" spans="1:9" x14ac:dyDescent="0.25">
      <c r="A1160" s="23">
        <v>1161</v>
      </c>
      <c r="B1160" s="85">
        <v>45698</v>
      </c>
      <c r="C1160" s="23" t="s">
        <v>1132</v>
      </c>
      <c r="D1160" s="23" t="s">
        <v>164</v>
      </c>
      <c r="G1160" s="23">
        <v>0.8</v>
      </c>
      <c r="I1160" s="218" t="s">
        <v>295</v>
      </c>
    </row>
    <row r="1161" spans="1:9" x14ac:dyDescent="0.25">
      <c r="A1161" s="23">
        <v>1162</v>
      </c>
      <c r="B1161" s="85">
        <v>45698</v>
      </c>
      <c r="C1161" s="23" t="s">
        <v>2045</v>
      </c>
      <c r="D1161" s="23" t="s">
        <v>161</v>
      </c>
      <c r="G1161" s="23">
        <v>0</v>
      </c>
      <c r="I1161" s="218" t="s">
        <v>2046</v>
      </c>
    </row>
    <row r="1162" spans="1:9" x14ac:dyDescent="0.25">
      <c r="A1162" s="23">
        <v>1163</v>
      </c>
      <c r="B1162" s="85">
        <v>45698</v>
      </c>
      <c r="C1162" s="23" t="s">
        <v>2047</v>
      </c>
      <c r="D1162" s="23" t="s">
        <v>157</v>
      </c>
      <c r="G1162" s="23">
        <v>0</v>
      </c>
      <c r="I1162" s="218" t="s">
        <v>2048</v>
      </c>
    </row>
    <row r="1163" spans="1:9" x14ac:dyDescent="0.25">
      <c r="A1163" s="23">
        <v>1164</v>
      </c>
      <c r="B1163" s="85">
        <v>45698</v>
      </c>
      <c r="C1163" s="23" t="s">
        <v>2047</v>
      </c>
      <c r="D1163" s="23" t="s">
        <v>157</v>
      </c>
      <c r="G1163" s="23">
        <v>2.6</v>
      </c>
      <c r="I1163" s="218" t="s">
        <v>295</v>
      </c>
    </row>
    <row r="1164" spans="1:9" x14ac:dyDescent="0.25">
      <c r="A1164" s="23">
        <v>1165</v>
      </c>
      <c r="B1164" s="85">
        <v>45698</v>
      </c>
      <c r="C1164" s="23" t="s">
        <v>2049</v>
      </c>
      <c r="D1164" s="23" t="s">
        <v>261</v>
      </c>
      <c r="G1164" s="23">
        <v>0</v>
      </c>
      <c r="H1164" s="23" t="s">
        <v>2053</v>
      </c>
      <c r="I1164" s="218" t="s">
        <v>2050</v>
      </c>
    </row>
    <row r="1165" spans="1:9" x14ac:dyDescent="0.25">
      <c r="A1165" s="23">
        <v>1166</v>
      </c>
      <c r="B1165" s="85">
        <v>45698</v>
      </c>
      <c r="C1165" s="23" t="s">
        <v>2051</v>
      </c>
      <c r="D1165" s="23" t="s">
        <v>268</v>
      </c>
      <c r="G1165" s="23">
        <v>0.75</v>
      </c>
      <c r="I1165" s="218" t="s">
        <v>2052</v>
      </c>
    </row>
    <row r="1166" spans="1:9" x14ac:dyDescent="0.25">
      <c r="A1166" s="23">
        <v>1167</v>
      </c>
      <c r="B1166" s="85">
        <v>45698</v>
      </c>
      <c r="C1166" s="23" t="s">
        <v>2054</v>
      </c>
      <c r="D1166" s="23" t="s">
        <v>202</v>
      </c>
      <c r="G1166" s="23">
        <v>0</v>
      </c>
      <c r="I1166" s="218" t="s">
        <v>2043</v>
      </c>
    </row>
    <row r="1167" spans="1:9" x14ac:dyDescent="0.25">
      <c r="A1167" s="23">
        <v>1168</v>
      </c>
      <c r="B1167" s="85">
        <v>45698</v>
      </c>
      <c r="C1167" s="23" t="s">
        <v>1314</v>
      </c>
      <c r="D1167" s="23" t="s">
        <v>302</v>
      </c>
      <c r="G1167" s="23">
        <v>0</v>
      </c>
      <c r="I1167" s="218" t="s">
        <v>2055</v>
      </c>
    </row>
    <row r="1168" spans="1:9" x14ac:dyDescent="0.25">
      <c r="A1168" s="23">
        <v>1169</v>
      </c>
      <c r="B1168" s="85">
        <v>45698</v>
      </c>
      <c r="C1168" s="23" t="s">
        <v>983</v>
      </c>
      <c r="D1168" s="23" t="s">
        <v>202</v>
      </c>
      <c r="G1168" s="23">
        <v>0.8</v>
      </c>
      <c r="I1168" s="218" t="s">
        <v>2056</v>
      </c>
    </row>
    <row r="1169" spans="1:9" x14ac:dyDescent="0.25">
      <c r="A1169" s="23">
        <v>1170</v>
      </c>
      <c r="B1169" s="85">
        <v>45698</v>
      </c>
      <c r="C1169" s="23" t="s">
        <v>2057</v>
      </c>
      <c r="D1169" s="23" t="s">
        <v>165</v>
      </c>
      <c r="G1169" s="23">
        <v>0</v>
      </c>
      <c r="I1169" s="218" t="s">
        <v>2058</v>
      </c>
    </row>
    <row r="1170" spans="1:9" x14ac:dyDescent="0.25">
      <c r="A1170" s="23">
        <v>1171</v>
      </c>
      <c r="B1170" s="85">
        <v>45698</v>
      </c>
      <c r="C1170" s="23" t="s">
        <v>1136</v>
      </c>
      <c r="D1170" s="23" t="s">
        <v>170</v>
      </c>
      <c r="G1170" s="23">
        <v>0</v>
      </c>
      <c r="I1170" s="218" t="s">
        <v>2059</v>
      </c>
    </row>
    <row r="1171" spans="1:9" x14ac:dyDescent="0.25">
      <c r="A1171" s="23">
        <v>1172</v>
      </c>
      <c r="B1171" s="85">
        <v>45698</v>
      </c>
      <c r="C1171" s="23" t="s">
        <v>1136</v>
      </c>
      <c r="D1171" s="23" t="s">
        <v>168</v>
      </c>
      <c r="G1171" s="23">
        <v>0</v>
      </c>
      <c r="I1171" s="218" t="s">
        <v>2060</v>
      </c>
    </row>
    <row r="1172" spans="1:9" x14ac:dyDescent="0.25">
      <c r="A1172" s="23">
        <v>1173</v>
      </c>
      <c r="B1172" s="85">
        <v>45698</v>
      </c>
      <c r="C1172" s="23" t="s">
        <v>1142</v>
      </c>
      <c r="D1172" s="23" t="s">
        <v>172</v>
      </c>
      <c r="G1172" s="23">
        <v>0</v>
      </c>
      <c r="I1172" s="218" t="s">
        <v>2061</v>
      </c>
    </row>
    <row r="1173" spans="1:9" x14ac:dyDescent="0.25">
      <c r="A1173" s="23">
        <v>1174</v>
      </c>
      <c r="B1173" s="85">
        <v>45698</v>
      </c>
      <c r="C1173" s="23" t="s">
        <v>2062</v>
      </c>
      <c r="D1173" s="23" t="s">
        <v>174</v>
      </c>
      <c r="G1173" s="23">
        <v>0</v>
      </c>
      <c r="I1173" s="218" t="s">
        <v>2063</v>
      </c>
    </row>
    <row r="1174" spans="1:9" x14ac:dyDescent="0.25">
      <c r="A1174" s="23">
        <v>1175</v>
      </c>
      <c r="B1174" s="85">
        <v>45698</v>
      </c>
      <c r="C1174" s="23" t="s">
        <v>2064</v>
      </c>
      <c r="D1174" s="23" t="s">
        <v>161</v>
      </c>
      <c r="G1174" s="23">
        <v>0.8</v>
      </c>
      <c r="I1174" s="218" t="s">
        <v>2065</v>
      </c>
    </row>
    <row r="1175" spans="1:9" x14ac:dyDescent="0.25">
      <c r="A1175" s="23">
        <v>1176</v>
      </c>
      <c r="B1175" s="85">
        <v>45698</v>
      </c>
      <c r="C1175" s="23" t="s">
        <v>2066</v>
      </c>
      <c r="D1175" s="23" t="s">
        <v>202</v>
      </c>
      <c r="G1175" s="23">
        <v>0</v>
      </c>
      <c r="I1175" s="218" t="s">
        <v>2067</v>
      </c>
    </row>
    <row r="1176" spans="1:9" x14ac:dyDescent="0.25">
      <c r="A1176" s="23">
        <v>1177</v>
      </c>
      <c r="B1176" s="85">
        <v>45698</v>
      </c>
      <c r="C1176" s="23" t="s">
        <v>1148</v>
      </c>
      <c r="D1176" s="23" t="s">
        <v>261</v>
      </c>
      <c r="G1176" s="23" t="s">
        <v>9</v>
      </c>
      <c r="I1176" s="218" t="s">
        <v>2068</v>
      </c>
    </row>
    <row r="1177" spans="1:9" x14ac:dyDescent="0.25">
      <c r="A1177" s="23">
        <v>1178</v>
      </c>
      <c r="B1177" s="85">
        <v>45698</v>
      </c>
      <c r="C1177" s="23" t="s">
        <v>1148</v>
      </c>
      <c r="D1177" s="23" t="s">
        <v>264</v>
      </c>
      <c r="G1177" s="23" t="s">
        <v>9</v>
      </c>
      <c r="I1177" s="218" t="s">
        <v>2069</v>
      </c>
    </row>
    <row r="1178" spans="1:9" x14ac:dyDescent="0.25">
      <c r="A1178" s="23">
        <v>1179</v>
      </c>
      <c r="B1178" s="85">
        <v>45698</v>
      </c>
      <c r="C1178" s="23" t="s">
        <v>992</v>
      </c>
      <c r="D1178" s="23" t="s">
        <v>162</v>
      </c>
      <c r="G1178" s="23">
        <v>0</v>
      </c>
      <c r="I1178" s="218" t="s">
        <v>2070</v>
      </c>
    </row>
    <row r="1179" spans="1:9" x14ac:dyDescent="0.25">
      <c r="A1179" s="23">
        <v>1180</v>
      </c>
      <c r="B1179" s="85">
        <v>45698</v>
      </c>
      <c r="C1179" s="23" t="s">
        <v>2071</v>
      </c>
      <c r="D1179" s="23" t="s">
        <v>164</v>
      </c>
      <c r="G1179" s="23">
        <v>0</v>
      </c>
      <c r="I1179" s="218" t="s">
        <v>2072</v>
      </c>
    </row>
    <row r="1180" spans="1:9" x14ac:dyDescent="0.25">
      <c r="A1180" s="23">
        <v>1181</v>
      </c>
      <c r="B1180" s="85">
        <v>45698</v>
      </c>
      <c r="C1180" s="23" t="s">
        <v>995</v>
      </c>
      <c r="D1180" s="23" t="s">
        <v>263</v>
      </c>
      <c r="G1180" s="23">
        <v>0.8</v>
      </c>
      <c r="I1180" s="218" t="s">
        <v>2073</v>
      </c>
    </row>
    <row r="1181" spans="1:9" x14ac:dyDescent="0.25">
      <c r="A1181" s="23">
        <v>1182</v>
      </c>
      <c r="B1181" s="85">
        <v>45698</v>
      </c>
      <c r="C1181" s="23" t="s">
        <v>1777</v>
      </c>
      <c r="D1181" s="23" t="s">
        <v>268</v>
      </c>
      <c r="G1181" s="23">
        <v>0</v>
      </c>
      <c r="I1181" s="218" t="s">
        <v>2074</v>
      </c>
    </row>
    <row r="1182" spans="1:9" x14ac:dyDescent="0.25">
      <c r="A1182" s="23">
        <v>1183</v>
      </c>
      <c r="B1182" s="85">
        <v>45698</v>
      </c>
      <c r="C1182" s="23" t="s">
        <v>1770</v>
      </c>
      <c r="D1182" s="23" t="s">
        <v>161</v>
      </c>
      <c r="G1182" s="23">
        <v>0</v>
      </c>
      <c r="I1182" s="218" t="s">
        <v>2065</v>
      </c>
    </row>
    <row r="1183" spans="1:9" x14ac:dyDescent="0.25">
      <c r="A1183" s="23">
        <v>1184</v>
      </c>
      <c r="B1183" s="85">
        <v>45698</v>
      </c>
      <c r="C1183" s="23" t="s">
        <v>2075</v>
      </c>
      <c r="D1183" s="23" t="s">
        <v>165</v>
      </c>
      <c r="G1183" s="23">
        <v>0.8</v>
      </c>
      <c r="I1183" s="218" t="s">
        <v>2076</v>
      </c>
    </row>
    <row r="1184" spans="1:9" x14ac:dyDescent="0.25">
      <c r="A1184" s="23">
        <v>1185</v>
      </c>
      <c r="B1184" s="85">
        <v>45698</v>
      </c>
      <c r="C1184" s="23" t="s">
        <v>1770</v>
      </c>
      <c r="D1184" s="23" t="s">
        <v>178</v>
      </c>
      <c r="G1184" s="23">
        <v>0</v>
      </c>
      <c r="I1184" s="218" t="s">
        <v>2077</v>
      </c>
    </row>
    <row r="1185" spans="1:9" x14ac:dyDescent="0.25">
      <c r="A1185" s="23">
        <v>1186</v>
      </c>
      <c r="B1185" s="85">
        <v>45698</v>
      </c>
      <c r="C1185" s="23" t="s">
        <v>2078</v>
      </c>
      <c r="D1185" s="23" t="s">
        <v>177</v>
      </c>
      <c r="G1185" s="23">
        <v>0</v>
      </c>
      <c r="I1185" s="218" t="s">
        <v>2079</v>
      </c>
    </row>
    <row r="1186" spans="1:9" x14ac:dyDescent="0.25">
      <c r="A1186" s="23">
        <v>1187</v>
      </c>
      <c r="B1186" s="85">
        <v>45698</v>
      </c>
      <c r="C1186" s="23" t="s">
        <v>1157</v>
      </c>
      <c r="D1186" s="23" t="s">
        <v>165</v>
      </c>
      <c r="G1186" s="23">
        <v>0</v>
      </c>
      <c r="I1186" s="218" t="s">
        <v>2080</v>
      </c>
    </row>
    <row r="1187" spans="1:9" x14ac:dyDescent="0.25">
      <c r="A1187" s="23">
        <v>1188</v>
      </c>
      <c r="B1187" s="85">
        <v>45698</v>
      </c>
      <c r="C1187" s="23" t="s">
        <v>2081</v>
      </c>
      <c r="D1187" s="23" t="s">
        <v>268</v>
      </c>
      <c r="G1187" s="23">
        <v>0.5</v>
      </c>
      <c r="I1187" s="218" t="s">
        <v>295</v>
      </c>
    </row>
    <row r="1188" spans="1:9" x14ac:dyDescent="0.25">
      <c r="A1188" s="23">
        <v>1189</v>
      </c>
      <c r="B1188" s="85">
        <v>45698</v>
      </c>
      <c r="C1188" s="23" t="s">
        <v>526</v>
      </c>
      <c r="D1188" s="23" t="s">
        <v>160</v>
      </c>
      <c r="G1188" s="23">
        <v>0.38</v>
      </c>
      <c r="I1188" s="218" t="s">
        <v>2082</v>
      </c>
    </row>
    <row r="1189" spans="1:9" x14ac:dyDescent="0.25">
      <c r="A1189" s="23">
        <v>1190</v>
      </c>
      <c r="B1189" s="85">
        <v>45698</v>
      </c>
      <c r="C1189" s="23" t="s">
        <v>528</v>
      </c>
      <c r="D1189" s="23" t="s">
        <v>155</v>
      </c>
      <c r="G1189" s="23">
        <v>0</v>
      </c>
      <c r="I1189" s="218" t="s">
        <v>2083</v>
      </c>
    </row>
    <row r="1190" spans="1:9" x14ac:dyDescent="0.25">
      <c r="A1190" s="23">
        <v>1191</v>
      </c>
      <c r="B1190" s="85">
        <v>45698</v>
      </c>
      <c r="C1190" s="23" t="s">
        <v>647</v>
      </c>
      <c r="D1190" s="23" t="s">
        <v>261</v>
      </c>
      <c r="G1190" s="23">
        <v>0.75</v>
      </c>
      <c r="I1190" s="218" t="s">
        <v>2084</v>
      </c>
    </row>
    <row r="1191" spans="1:9" x14ac:dyDescent="0.25">
      <c r="A1191" s="23">
        <v>1192</v>
      </c>
      <c r="B1191" s="85">
        <v>45698</v>
      </c>
      <c r="C1191" s="23" t="s">
        <v>2085</v>
      </c>
      <c r="D1191" s="23" t="s">
        <v>262</v>
      </c>
      <c r="G1191" s="23">
        <v>0</v>
      </c>
      <c r="I1191" s="218" t="s">
        <v>2086</v>
      </c>
    </row>
    <row r="1192" spans="1:9" x14ac:dyDescent="0.25">
      <c r="A1192" s="23">
        <v>1193</v>
      </c>
      <c r="B1192" s="85">
        <v>45698</v>
      </c>
      <c r="C1192" s="23" t="s">
        <v>190</v>
      </c>
      <c r="D1192" s="23" t="s">
        <v>154</v>
      </c>
      <c r="G1192" s="23">
        <v>1.5</v>
      </c>
      <c r="I1192" s="218" t="s">
        <v>2087</v>
      </c>
    </row>
    <row r="1193" spans="1:9" x14ac:dyDescent="0.25">
      <c r="A1193" s="23">
        <v>1194</v>
      </c>
      <c r="B1193" s="85">
        <v>45698</v>
      </c>
      <c r="C1193" s="23" t="s">
        <v>1004</v>
      </c>
      <c r="D1193" s="23" t="s">
        <v>252</v>
      </c>
      <c r="G1193" s="23">
        <v>0</v>
      </c>
      <c r="I1193" s="218" t="s">
        <v>2088</v>
      </c>
    </row>
    <row r="1194" spans="1:9" x14ac:dyDescent="0.25">
      <c r="A1194" s="23">
        <v>1195</v>
      </c>
      <c r="B1194" s="85">
        <v>45698</v>
      </c>
      <c r="C1194" s="23" t="s">
        <v>1004</v>
      </c>
      <c r="D1194" s="23" t="s">
        <v>273</v>
      </c>
      <c r="G1194" s="23">
        <v>0</v>
      </c>
      <c r="I1194" s="218" t="s">
        <v>2089</v>
      </c>
    </row>
    <row r="1195" spans="1:9" x14ac:dyDescent="0.25">
      <c r="A1195" s="23">
        <v>1196</v>
      </c>
      <c r="B1195" s="85">
        <v>45698</v>
      </c>
      <c r="C1195" s="23" t="s">
        <v>1895</v>
      </c>
      <c r="D1195" s="23" t="s">
        <v>262</v>
      </c>
      <c r="G1195" s="23">
        <v>0.75</v>
      </c>
      <c r="I1195" s="218" t="s">
        <v>2090</v>
      </c>
    </row>
    <row r="1196" spans="1:9" x14ac:dyDescent="0.25">
      <c r="A1196" s="23">
        <v>1197</v>
      </c>
      <c r="B1196" s="85">
        <v>45698</v>
      </c>
      <c r="C1196" s="23" t="s">
        <v>1183</v>
      </c>
      <c r="D1196" s="23" t="s">
        <v>268</v>
      </c>
      <c r="G1196" s="23">
        <v>0</v>
      </c>
      <c r="I1196" s="218" t="s">
        <v>2091</v>
      </c>
    </row>
    <row r="1197" spans="1:9" x14ac:dyDescent="0.25">
      <c r="A1197" s="23">
        <v>1198</v>
      </c>
      <c r="B1197" s="85">
        <v>45698</v>
      </c>
      <c r="C1197" s="23" t="s">
        <v>1008</v>
      </c>
      <c r="D1197" s="23" t="s">
        <v>273</v>
      </c>
      <c r="G1197" s="23">
        <v>0.84</v>
      </c>
      <c r="I1197" s="218" t="s">
        <v>2092</v>
      </c>
    </row>
    <row r="1198" spans="1:9" x14ac:dyDescent="0.25">
      <c r="A1198" s="23">
        <v>1199</v>
      </c>
      <c r="B1198" s="85">
        <v>45698</v>
      </c>
      <c r="C1198" s="23" t="s">
        <v>1654</v>
      </c>
      <c r="D1198" s="23" t="s">
        <v>272</v>
      </c>
      <c r="G1198" s="23">
        <v>0</v>
      </c>
      <c r="I1198" s="218" t="s">
        <v>2093</v>
      </c>
    </row>
    <row r="1199" spans="1:9" x14ac:dyDescent="0.25">
      <c r="A1199" s="23">
        <v>1200</v>
      </c>
      <c r="B1199" s="85">
        <v>45698</v>
      </c>
      <c r="C1199" s="23" t="s">
        <v>271</v>
      </c>
      <c r="D1199" s="23" t="s">
        <v>273</v>
      </c>
      <c r="G1199" s="23">
        <v>0</v>
      </c>
      <c r="I1199" s="218" t="s">
        <v>2094</v>
      </c>
    </row>
    <row r="1200" spans="1:9" x14ac:dyDescent="0.25">
      <c r="A1200" s="23">
        <v>1201</v>
      </c>
      <c r="B1200" s="85">
        <v>45698</v>
      </c>
      <c r="C1200" s="23" t="s">
        <v>271</v>
      </c>
      <c r="D1200" s="23" t="s">
        <v>159</v>
      </c>
      <c r="G1200" s="23">
        <v>0.7</v>
      </c>
      <c r="I1200" s="218" t="s">
        <v>2095</v>
      </c>
    </row>
    <row r="1201" spans="1:9" x14ac:dyDescent="0.25">
      <c r="A1201" s="23">
        <v>1202</v>
      </c>
      <c r="B1201" s="85">
        <v>45698</v>
      </c>
      <c r="C1201" s="23" t="s">
        <v>2096</v>
      </c>
      <c r="D1201" s="23" t="s">
        <v>169</v>
      </c>
      <c r="G1201" s="23">
        <v>0</v>
      </c>
      <c r="I1201" s="218" t="s">
        <v>2097</v>
      </c>
    </row>
    <row r="1202" spans="1:9" x14ac:dyDescent="0.25">
      <c r="A1202" s="23">
        <v>1203</v>
      </c>
      <c r="B1202" s="85">
        <v>45698</v>
      </c>
      <c r="C1202" s="23" t="s">
        <v>852</v>
      </c>
      <c r="D1202" s="23" t="s">
        <v>157</v>
      </c>
      <c r="G1202" s="23">
        <v>0</v>
      </c>
      <c r="I1202" s="218" t="s">
        <v>2098</v>
      </c>
    </row>
    <row r="1203" spans="1:9" x14ac:dyDescent="0.25">
      <c r="A1203" s="23">
        <v>1204</v>
      </c>
      <c r="B1203" s="85">
        <v>45698</v>
      </c>
      <c r="C1203" s="23" t="s">
        <v>660</v>
      </c>
      <c r="D1203" s="23" t="s">
        <v>170</v>
      </c>
      <c r="G1203" s="23">
        <v>0.8</v>
      </c>
      <c r="I1203" s="218" t="s">
        <v>2099</v>
      </c>
    </row>
    <row r="1204" spans="1:9" x14ac:dyDescent="0.25">
      <c r="A1204" s="23">
        <v>1205</v>
      </c>
      <c r="B1204" s="85">
        <v>45698</v>
      </c>
      <c r="C1204" s="23" t="s">
        <v>660</v>
      </c>
      <c r="D1204" s="23" t="s">
        <v>174</v>
      </c>
      <c r="G1204" s="23">
        <v>0.8</v>
      </c>
      <c r="I1204" s="218" t="s">
        <v>2100</v>
      </c>
    </row>
    <row r="1205" spans="1:9" x14ac:dyDescent="0.25">
      <c r="A1205" s="23">
        <v>1206</v>
      </c>
      <c r="B1205" s="85">
        <v>45698</v>
      </c>
      <c r="C1205" s="23" t="s">
        <v>660</v>
      </c>
      <c r="D1205" s="23" t="s">
        <v>168</v>
      </c>
      <c r="G1205" s="23">
        <v>0.8</v>
      </c>
      <c r="I1205" s="218" t="s">
        <v>2101</v>
      </c>
    </row>
    <row r="1206" spans="1:9" x14ac:dyDescent="0.25">
      <c r="A1206" s="23">
        <v>1207</v>
      </c>
      <c r="B1206" s="85">
        <v>45698</v>
      </c>
      <c r="C1206" s="23" t="s">
        <v>1207</v>
      </c>
      <c r="D1206" s="23" t="s">
        <v>263</v>
      </c>
      <c r="G1206" s="23">
        <v>0</v>
      </c>
      <c r="I1206" s="218" t="s">
        <v>2102</v>
      </c>
    </row>
    <row r="1207" spans="1:9" x14ac:dyDescent="0.25">
      <c r="A1207" s="23">
        <v>1208</v>
      </c>
      <c r="B1207" s="85">
        <v>45698</v>
      </c>
      <c r="C1207" s="23" t="s">
        <v>856</v>
      </c>
      <c r="D1207" s="23" t="s">
        <v>170</v>
      </c>
      <c r="G1207" s="23">
        <v>0</v>
      </c>
      <c r="I1207" s="218" t="s">
        <v>2099</v>
      </c>
    </row>
    <row r="1208" spans="1:9" x14ac:dyDescent="0.25">
      <c r="A1208" s="23">
        <v>1209</v>
      </c>
      <c r="B1208" s="85">
        <v>45698</v>
      </c>
      <c r="C1208" s="23" t="s">
        <v>181</v>
      </c>
      <c r="D1208" s="23" t="s">
        <v>172</v>
      </c>
      <c r="G1208" s="23">
        <v>0.8</v>
      </c>
      <c r="I1208" s="218" t="s">
        <v>2103</v>
      </c>
    </row>
    <row r="1209" spans="1:9" x14ac:dyDescent="0.25">
      <c r="A1209" s="23">
        <v>1210</v>
      </c>
      <c r="B1209" s="85">
        <v>45698</v>
      </c>
      <c r="C1209" s="23" t="s">
        <v>2104</v>
      </c>
      <c r="D1209" s="23" t="s">
        <v>168</v>
      </c>
      <c r="G1209" s="23">
        <v>0</v>
      </c>
      <c r="I1209" s="218" t="s">
        <v>2101</v>
      </c>
    </row>
    <row r="1210" spans="1:9" x14ac:dyDescent="0.25">
      <c r="A1210" s="23">
        <v>1211</v>
      </c>
      <c r="B1210" s="85">
        <v>45698</v>
      </c>
      <c r="C1210" s="23" t="s">
        <v>1670</v>
      </c>
      <c r="D1210" s="23" t="s">
        <v>172</v>
      </c>
      <c r="G1210" s="23">
        <v>0</v>
      </c>
      <c r="I1210" s="218" t="s">
        <v>2103</v>
      </c>
    </row>
    <row r="1211" spans="1:9" x14ac:dyDescent="0.25">
      <c r="A1211" s="23">
        <v>1212</v>
      </c>
      <c r="B1211" s="85">
        <v>45698</v>
      </c>
      <c r="C1211" s="23" t="s">
        <v>2105</v>
      </c>
      <c r="D1211" s="23" t="s">
        <v>175</v>
      </c>
      <c r="G1211" s="23">
        <v>1.5</v>
      </c>
      <c r="I1211" s="218" t="s">
        <v>2106</v>
      </c>
    </row>
    <row r="1212" spans="1:9" x14ac:dyDescent="0.25">
      <c r="A1212" s="23">
        <v>1213</v>
      </c>
      <c r="B1212" s="85">
        <v>45698</v>
      </c>
      <c r="C1212" s="23" t="s">
        <v>2107</v>
      </c>
      <c r="D1212" s="23" t="s">
        <v>174</v>
      </c>
      <c r="G1212" s="23">
        <v>0</v>
      </c>
      <c r="I1212" s="218" t="s">
        <v>2100</v>
      </c>
    </row>
    <row r="1213" spans="1:9" x14ac:dyDescent="0.25">
      <c r="A1213" s="23">
        <v>1214</v>
      </c>
      <c r="B1213" s="85">
        <v>45698</v>
      </c>
      <c r="C1213" s="23" t="s">
        <v>2108</v>
      </c>
      <c r="D1213" s="23" t="s">
        <v>178</v>
      </c>
      <c r="G1213" s="23">
        <v>0.8</v>
      </c>
      <c r="I1213" s="218" t="s">
        <v>2109</v>
      </c>
    </row>
    <row r="1214" spans="1:9" x14ac:dyDescent="0.25">
      <c r="A1214" s="23">
        <v>1215</v>
      </c>
      <c r="B1214" s="85">
        <v>45698</v>
      </c>
      <c r="C1214" s="23" t="s">
        <v>2108</v>
      </c>
      <c r="D1214" s="23" t="s">
        <v>177</v>
      </c>
      <c r="G1214" s="23">
        <v>0.8</v>
      </c>
      <c r="I1214" s="218" t="s">
        <v>2110</v>
      </c>
    </row>
    <row r="1215" spans="1:9" x14ac:dyDescent="0.25">
      <c r="A1215" s="23">
        <v>1216</v>
      </c>
      <c r="B1215" s="85">
        <v>45698</v>
      </c>
      <c r="C1215" s="23" t="s">
        <v>522</v>
      </c>
      <c r="D1215" s="23" t="s">
        <v>194</v>
      </c>
      <c r="G1215" s="23">
        <v>0</v>
      </c>
      <c r="I1215" s="218" t="s">
        <v>2111</v>
      </c>
    </row>
    <row r="1216" spans="1:9" x14ac:dyDescent="0.25">
      <c r="A1216" s="23">
        <v>1217</v>
      </c>
      <c r="B1216" s="85">
        <v>45698</v>
      </c>
      <c r="C1216" s="23" t="s">
        <v>2112</v>
      </c>
      <c r="D1216" s="23" t="s">
        <v>177</v>
      </c>
      <c r="G1216" s="23">
        <v>0</v>
      </c>
      <c r="I1216" s="218" t="s">
        <v>2110</v>
      </c>
    </row>
    <row r="1217" spans="1:9" x14ac:dyDescent="0.25">
      <c r="A1217" s="23">
        <v>1218</v>
      </c>
      <c r="B1217" s="85">
        <v>45699</v>
      </c>
      <c r="C1217" s="23" t="s">
        <v>680</v>
      </c>
      <c r="D1217" s="23" t="s">
        <v>144</v>
      </c>
      <c r="G1217" s="23">
        <v>0.9</v>
      </c>
      <c r="I1217" s="218" t="s">
        <v>2113</v>
      </c>
    </row>
    <row r="1218" spans="1:9" x14ac:dyDescent="0.25">
      <c r="A1218" s="23">
        <v>1219</v>
      </c>
      <c r="B1218" s="85">
        <v>45699</v>
      </c>
      <c r="C1218" s="23" t="s">
        <v>2114</v>
      </c>
      <c r="D1218" s="23" t="s">
        <v>178</v>
      </c>
      <c r="G1218" s="23">
        <v>0</v>
      </c>
      <c r="I1218" s="218" t="s">
        <v>2109</v>
      </c>
    </row>
    <row r="1219" spans="1:9" x14ac:dyDescent="0.25">
      <c r="A1219" s="23">
        <v>1220</v>
      </c>
      <c r="B1219" s="85">
        <v>45698</v>
      </c>
      <c r="C1219" s="23" t="s">
        <v>282</v>
      </c>
      <c r="D1219" s="23" t="s">
        <v>252</v>
      </c>
      <c r="G1219" s="23">
        <v>0.9</v>
      </c>
      <c r="I1219" s="218" t="s">
        <v>2115</v>
      </c>
    </row>
    <row r="1220" spans="1:9" x14ac:dyDescent="0.25">
      <c r="A1220" s="23">
        <v>1221</v>
      </c>
      <c r="B1220" s="85">
        <v>45698</v>
      </c>
      <c r="C1220" s="23" t="s">
        <v>1683</v>
      </c>
      <c r="D1220" s="23" t="s">
        <v>273</v>
      </c>
      <c r="G1220" s="23">
        <v>0.9</v>
      </c>
      <c r="I1220" s="218" t="s">
        <v>2116</v>
      </c>
    </row>
    <row r="1221" spans="1:9" x14ac:dyDescent="0.25">
      <c r="A1221" s="23">
        <v>1222</v>
      </c>
      <c r="B1221" s="85">
        <v>45699</v>
      </c>
      <c r="C1221" s="23" t="s">
        <v>2117</v>
      </c>
      <c r="D1221" s="23" t="s">
        <v>161</v>
      </c>
      <c r="G1221" s="23">
        <v>0.8</v>
      </c>
      <c r="I1221" s="218" t="s">
        <v>2118</v>
      </c>
    </row>
    <row r="1222" spans="1:9" x14ac:dyDescent="0.25">
      <c r="A1222" s="23">
        <v>1223</v>
      </c>
      <c r="B1222" s="85">
        <v>45699</v>
      </c>
      <c r="C1222" s="23" t="s">
        <v>1518</v>
      </c>
      <c r="D1222" s="23" t="s">
        <v>178</v>
      </c>
      <c r="G1222" s="23">
        <v>0.8</v>
      </c>
      <c r="I1222" s="218" t="s">
        <v>295</v>
      </c>
    </row>
    <row r="1223" spans="1:9" x14ac:dyDescent="0.25">
      <c r="A1223" s="23">
        <v>1224</v>
      </c>
      <c r="B1223" s="85">
        <v>45699</v>
      </c>
      <c r="C1223" s="23" t="s">
        <v>1367</v>
      </c>
      <c r="D1223" s="23" t="s">
        <v>178</v>
      </c>
      <c r="G1223" s="23">
        <v>0</v>
      </c>
      <c r="I1223" s="218" t="s">
        <v>2109</v>
      </c>
    </row>
    <row r="1224" spans="1:9" x14ac:dyDescent="0.25">
      <c r="A1224" s="23">
        <v>1225</v>
      </c>
      <c r="B1224" s="85">
        <v>45699</v>
      </c>
      <c r="C1224" s="23" t="s">
        <v>1523</v>
      </c>
      <c r="D1224" s="23" t="s">
        <v>161</v>
      </c>
      <c r="G1224" s="23">
        <v>0</v>
      </c>
      <c r="I1224" s="218" t="s">
        <v>2118</v>
      </c>
    </row>
    <row r="1225" spans="1:9" x14ac:dyDescent="0.25">
      <c r="A1225" s="23">
        <v>1226</v>
      </c>
      <c r="B1225" s="85">
        <v>45699</v>
      </c>
      <c r="C1225" s="23" t="s">
        <v>283</v>
      </c>
      <c r="D1225" s="23" t="s">
        <v>160</v>
      </c>
      <c r="G1225" s="23">
        <v>0</v>
      </c>
      <c r="I1225" s="218" t="s">
        <v>2119</v>
      </c>
    </row>
    <row r="1226" spans="1:9" x14ac:dyDescent="0.25">
      <c r="A1226" s="23">
        <v>1227</v>
      </c>
      <c r="B1226" s="85">
        <v>45699</v>
      </c>
      <c r="C1226" s="23" t="s">
        <v>2120</v>
      </c>
      <c r="D1226" s="23" t="s">
        <v>144</v>
      </c>
      <c r="G1226" s="23">
        <v>0</v>
      </c>
      <c r="I1226" s="218" t="s">
        <v>2113</v>
      </c>
    </row>
    <row r="1227" spans="1:9" x14ac:dyDescent="0.25">
      <c r="A1227" s="23">
        <v>1228</v>
      </c>
      <c r="B1227" s="85">
        <v>45699</v>
      </c>
      <c r="C1227" s="23" t="s">
        <v>1380</v>
      </c>
      <c r="D1227" s="23" t="s">
        <v>273</v>
      </c>
      <c r="G1227" s="23">
        <v>0</v>
      </c>
      <c r="I1227" s="218" t="s">
        <v>2121</v>
      </c>
    </row>
    <row r="1228" spans="1:9" x14ac:dyDescent="0.25">
      <c r="A1228" s="23">
        <v>1229</v>
      </c>
      <c r="B1228" s="85">
        <v>45699</v>
      </c>
      <c r="C1228" s="23" t="s">
        <v>531</v>
      </c>
      <c r="D1228" s="23" t="s">
        <v>175</v>
      </c>
      <c r="G1228" s="23" t="s">
        <v>9</v>
      </c>
      <c r="I1228" s="218" t="s">
        <v>2122</v>
      </c>
    </row>
    <row r="1229" spans="1:9" x14ac:dyDescent="0.25">
      <c r="A1229" s="23">
        <v>1230</v>
      </c>
      <c r="B1229" s="85">
        <v>45699</v>
      </c>
      <c r="C1229" s="23" t="s">
        <v>2123</v>
      </c>
      <c r="D1229" s="23" t="s">
        <v>252</v>
      </c>
      <c r="G1229" s="23">
        <v>0</v>
      </c>
      <c r="I1229" s="218" t="s">
        <v>2124</v>
      </c>
    </row>
    <row r="1230" spans="1:9" x14ac:dyDescent="0.25">
      <c r="A1230" s="23">
        <v>1231</v>
      </c>
      <c r="B1230" s="85">
        <v>45699</v>
      </c>
      <c r="C1230" s="23" t="s">
        <v>1550</v>
      </c>
      <c r="D1230" s="23" t="s">
        <v>162</v>
      </c>
      <c r="G1230" s="23">
        <v>0.8</v>
      </c>
      <c r="I1230" s="218" t="s">
        <v>2125</v>
      </c>
    </row>
    <row r="1231" spans="1:9" x14ac:dyDescent="0.25">
      <c r="A1231" s="23">
        <v>1232</v>
      </c>
      <c r="B1231" s="85">
        <v>45699</v>
      </c>
      <c r="C1231" s="23" t="s">
        <v>2126</v>
      </c>
      <c r="D1231" s="23" t="s">
        <v>263</v>
      </c>
      <c r="G1231" s="23">
        <v>0.65</v>
      </c>
      <c r="I1231" s="218" t="s">
        <v>2127</v>
      </c>
    </row>
    <row r="1232" spans="1:9" x14ac:dyDescent="0.25">
      <c r="A1232" s="23">
        <v>1233</v>
      </c>
      <c r="B1232" s="85">
        <v>45699</v>
      </c>
      <c r="C1232" s="23" t="s">
        <v>2128</v>
      </c>
      <c r="D1232" s="23" t="s">
        <v>252</v>
      </c>
      <c r="G1232" s="23">
        <v>0.9</v>
      </c>
      <c r="I1232" s="218" t="s">
        <v>2129</v>
      </c>
    </row>
    <row r="1233" spans="1:9" x14ac:dyDescent="0.25">
      <c r="A1233" s="23">
        <v>1234</v>
      </c>
      <c r="B1233" s="85">
        <v>45699</v>
      </c>
      <c r="C1233" s="23" t="s">
        <v>2130</v>
      </c>
      <c r="D1233" s="23" t="s">
        <v>273</v>
      </c>
      <c r="G1233" s="23">
        <v>0.9</v>
      </c>
      <c r="I1233" s="218" t="s">
        <v>2131</v>
      </c>
    </row>
    <row r="1234" spans="1:9" x14ac:dyDescent="0.25">
      <c r="A1234" s="23">
        <v>1235</v>
      </c>
      <c r="B1234" s="85">
        <v>45699</v>
      </c>
      <c r="C1234" s="23" t="s">
        <v>2132</v>
      </c>
      <c r="D1234" s="23" t="s">
        <v>162</v>
      </c>
      <c r="G1234" s="23">
        <v>0</v>
      </c>
      <c r="I1234" s="218" t="s">
        <v>2125</v>
      </c>
    </row>
    <row r="1235" spans="1:9" x14ac:dyDescent="0.25">
      <c r="A1235" s="23">
        <v>1236</v>
      </c>
      <c r="B1235" s="85">
        <v>45699</v>
      </c>
      <c r="C1235" s="23" t="s">
        <v>285</v>
      </c>
      <c r="D1235" s="23" t="s">
        <v>272</v>
      </c>
      <c r="G1235" s="23">
        <v>0.9</v>
      </c>
      <c r="I1235" s="218" t="s">
        <v>2133</v>
      </c>
    </row>
    <row r="1236" spans="1:9" x14ac:dyDescent="0.25">
      <c r="A1236" s="23">
        <v>1237</v>
      </c>
      <c r="B1236" s="85">
        <v>45699</v>
      </c>
      <c r="C1236" s="23" t="s">
        <v>246</v>
      </c>
      <c r="D1236" s="23" t="s">
        <v>261</v>
      </c>
      <c r="G1236" s="23">
        <v>0</v>
      </c>
      <c r="H1236" s="23" t="s">
        <v>2135</v>
      </c>
      <c r="I1236" s="218" t="s">
        <v>2134</v>
      </c>
    </row>
    <row r="1237" spans="1:9" x14ac:dyDescent="0.25">
      <c r="A1237" s="23">
        <v>1238</v>
      </c>
      <c r="B1237" s="85">
        <v>45698</v>
      </c>
      <c r="C1237" s="23" t="s">
        <v>680</v>
      </c>
      <c r="D1237" s="23" t="s">
        <v>155</v>
      </c>
      <c r="G1237" s="23">
        <v>0.8</v>
      </c>
      <c r="I1237" s="218" t="s">
        <v>2136</v>
      </c>
    </row>
    <row r="1238" spans="1:9" x14ac:dyDescent="0.25">
      <c r="A1238" s="23">
        <v>1239</v>
      </c>
      <c r="B1238" s="85">
        <v>45698</v>
      </c>
      <c r="C1238" s="23" t="s">
        <v>682</v>
      </c>
      <c r="D1238" s="23" t="s">
        <v>166</v>
      </c>
      <c r="G1238" s="23">
        <v>0</v>
      </c>
      <c r="I1238" s="218" t="s">
        <v>2137</v>
      </c>
    </row>
    <row r="1239" spans="1:9" x14ac:dyDescent="0.25">
      <c r="A1239" s="23">
        <v>1240</v>
      </c>
      <c r="B1239" s="85">
        <v>45699</v>
      </c>
      <c r="C1239" s="23" t="s">
        <v>1431</v>
      </c>
      <c r="D1239" s="23" t="s">
        <v>166</v>
      </c>
      <c r="G1239" s="23">
        <v>0.78</v>
      </c>
      <c r="I1239" s="218" t="s">
        <v>2138</v>
      </c>
    </row>
    <row r="1240" spans="1:9" x14ac:dyDescent="0.25">
      <c r="A1240" s="23">
        <v>1241</v>
      </c>
      <c r="B1240" s="85">
        <v>45699</v>
      </c>
      <c r="C1240" s="23" t="s">
        <v>1431</v>
      </c>
      <c r="D1240" s="23" t="s">
        <v>169</v>
      </c>
      <c r="G1240" s="23">
        <v>0.66</v>
      </c>
      <c r="I1240" s="218" t="s">
        <v>2139</v>
      </c>
    </row>
    <row r="1241" spans="1:9" x14ac:dyDescent="0.25">
      <c r="A1241" s="23">
        <v>1242</v>
      </c>
      <c r="B1241" s="85">
        <v>45699</v>
      </c>
      <c r="C1241" s="23" t="s">
        <v>227</v>
      </c>
      <c r="D1241" s="23" t="s">
        <v>159</v>
      </c>
      <c r="G1241" s="23">
        <v>0</v>
      </c>
      <c r="I1241" s="218" t="s">
        <v>2140</v>
      </c>
    </row>
    <row r="1242" spans="1:9" x14ac:dyDescent="0.25">
      <c r="A1242" s="23">
        <v>1243</v>
      </c>
      <c r="B1242" s="85">
        <v>45699</v>
      </c>
      <c r="C1242" s="23" t="s">
        <v>1249</v>
      </c>
      <c r="D1242" s="23" t="s">
        <v>164</v>
      </c>
      <c r="G1242" s="23">
        <v>0.8</v>
      </c>
      <c r="I1242" s="218" t="s">
        <v>2141</v>
      </c>
    </row>
    <row r="1243" spans="1:9" x14ac:dyDescent="0.25">
      <c r="A1243" s="23">
        <v>1244</v>
      </c>
      <c r="B1243" s="85">
        <v>45699</v>
      </c>
      <c r="C1243" s="23" t="s">
        <v>1967</v>
      </c>
      <c r="D1243" s="23" t="s">
        <v>168</v>
      </c>
      <c r="G1243" s="23">
        <v>0.8</v>
      </c>
      <c r="I1243" s="218" t="s">
        <v>2142</v>
      </c>
    </row>
    <row r="1244" spans="1:9" x14ac:dyDescent="0.25">
      <c r="A1244" s="23">
        <v>1245</v>
      </c>
      <c r="B1244" s="85">
        <v>45699</v>
      </c>
      <c r="C1244" s="23" t="s">
        <v>2143</v>
      </c>
      <c r="D1244" s="23" t="s">
        <v>170</v>
      </c>
      <c r="G1244" s="23">
        <v>0.8</v>
      </c>
      <c r="I1244" s="218" t="s">
        <v>2144</v>
      </c>
    </row>
    <row r="1245" spans="1:9" x14ac:dyDescent="0.25">
      <c r="A1245" s="23">
        <v>1246</v>
      </c>
      <c r="B1245" s="85">
        <v>45699</v>
      </c>
      <c r="C1245" s="23" t="s">
        <v>1079</v>
      </c>
      <c r="D1245" s="23" t="s">
        <v>144</v>
      </c>
      <c r="G1245" s="23">
        <v>0.9</v>
      </c>
      <c r="I1245" s="218" t="s">
        <v>2145</v>
      </c>
    </row>
    <row r="1246" spans="1:9" x14ac:dyDescent="0.25">
      <c r="A1246" s="23">
        <v>1247</v>
      </c>
      <c r="B1246" s="85">
        <v>45699</v>
      </c>
      <c r="C1246" s="23" t="s">
        <v>2146</v>
      </c>
      <c r="D1246" s="23" t="s">
        <v>164</v>
      </c>
      <c r="G1246" s="23">
        <v>0</v>
      </c>
      <c r="I1246" s="218" t="s">
        <v>2147</v>
      </c>
    </row>
    <row r="1247" spans="1:9" x14ac:dyDescent="0.25">
      <c r="A1247" s="23">
        <v>1248</v>
      </c>
      <c r="B1247" s="85">
        <v>45699</v>
      </c>
      <c r="C1247" s="23" t="s">
        <v>2148</v>
      </c>
      <c r="D1247" s="23" t="s">
        <v>168</v>
      </c>
      <c r="G1247" s="23">
        <v>0</v>
      </c>
      <c r="I1247" s="218" t="s">
        <v>2149</v>
      </c>
    </row>
    <row r="1248" spans="1:9" x14ac:dyDescent="0.25">
      <c r="A1248" s="23">
        <v>1249</v>
      </c>
      <c r="B1248" s="85">
        <v>45699</v>
      </c>
      <c r="C1248" s="23" t="s">
        <v>2146</v>
      </c>
      <c r="D1248" s="23" t="s">
        <v>157</v>
      </c>
      <c r="G1248" s="23">
        <v>1.5</v>
      </c>
      <c r="I1248" s="218" t="s">
        <v>2150</v>
      </c>
    </row>
    <row r="1249" spans="1:9" x14ac:dyDescent="0.25">
      <c r="A1249" s="23">
        <v>1250</v>
      </c>
      <c r="B1249" s="85">
        <v>45699</v>
      </c>
      <c r="C1249" s="23" t="s">
        <v>2152</v>
      </c>
      <c r="D1249" s="23" t="s">
        <v>174</v>
      </c>
      <c r="G1249" s="23">
        <v>0.8</v>
      </c>
      <c r="I1249" s="218" t="s">
        <v>2151</v>
      </c>
    </row>
    <row r="1250" spans="1:9" x14ac:dyDescent="0.25">
      <c r="A1250" s="23">
        <v>1251</v>
      </c>
      <c r="B1250" s="85">
        <v>45699</v>
      </c>
      <c r="C1250" s="23" t="s">
        <v>2153</v>
      </c>
      <c r="D1250" s="23" t="s">
        <v>172</v>
      </c>
      <c r="G1250" s="23">
        <v>0.8</v>
      </c>
      <c r="I1250" s="218" t="s">
        <v>2154</v>
      </c>
    </row>
    <row r="1251" spans="1:9" x14ac:dyDescent="0.25">
      <c r="A1251" s="23">
        <v>1252</v>
      </c>
      <c r="B1251" s="85">
        <v>45699</v>
      </c>
      <c r="C1251" s="23" t="s">
        <v>931</v>
      </c>
      <c r="D1251" s="23" t="s">
        <v>261</v>
      </c>
      <c r="G1251" s="23">
        <v>0.8</v>
      </c>
      <c r="I1251" s="218" t="s">
        <v>2155</v>
      </c>
    </row>
    <row r="1252" spans="1:9" x14ac:dyDescent="0.25">
      <c r="A1252" s="23">
        <v>1253</v>
      </c>
      <c r="B1252" s="85">
        <v>45699</v>
      </c>
      <c r="C1252" s="23" t="s">
        <v>1104</v>
      </c>
      <c r="D1252" s="23" t="s">
        <v>170</v>
      </c>
      <c r="G1252" s="23">
        <v>0</v>
      </c>
      <c r="I1252" s="218" t="s">
        <v>2156</v>
      </c>
    </row>
    <row r="1253" spans="1:9" x14ac:dyDescent="0.25">
      <c r="A1253" s="23">
        <v>1254</v>
      </c>
      <c r="B1253" s="85">
        <v>45699</v>
      </c>
      <c r="C1253" s="23" t="s">
        <v>1104</v>
      </c>
      <c r="D1253" s="23" t="s">
        <v>172</v>
      </c>
      <c r="G1253" s="23">
        <v>0</v>
      </c>
      <c r="I1253" s="218" t="s">
        <v>2157</v>
      </c>
    </row>
    <row r="1254" spans="1:9" x14ac:dyDescent="0.25">
      <c r="A1254" s="23">
        <v>1255</v>
      </c>
      <c r="B1254" s="85">
        <v>45699</v>
      </c>
      <c r="C1254" s="23" t="s">
        <v>750</v>
      </c>
      <c r="D1254" s="23" t="s">
        <v>177</v>
      </c>
      <c r="G1254" s="23">
        <v>0.8</v>
      </c>
      <c r="I1254" s="218" t="s">
        <v>2158</v>
      </c>
    </row>
    <row r="1255" spans="1:9" x14ac:dyDescent="0.25">
      <c r="A1255" s="23">
        <v>1256</v>
      </c>
      <c r="B1255" s="85">
        <v>45699</v>
      </c>
      <c r="C1255" s="23" t="s">
        <v>187</v>
      </c>
      <c r="D1255" s="23" t="s">
        <v>175</v>
      </c>
      <c r="G1255" s="23">
        <v>0</v>
      </c>
      <c r="I1255" s="218" t="s">
        <v>2159</v>
      </c>
    </row>
    <row r="1256" spans="1:9" x14ac:dyDescent="0.25">
      <c r="A1256" s="23">
        <v>1257</v>
      </c>
      <c r="B1256" s="85">
        <v>45699</v>
      </c>
      <c r="C1256" s="23" t="s">
        <v>187</v>
      </c>
      <c r="D1256" s="23" t="s">
        <v>175</v>
      </c>
      <c r="G1256" s="23">
        <v>1.5</v>
      </c>
      <c r="H1256" s="23" t="s">
        <v>1763</v>
      </c>
      <c r="I1256" s="218" t="s">
        <v>295</v>
      </c>
    </row>
    <row r="1257" spans="1:9" x14ac:dyDescent="0.25">
      <c r="A1257" s="23">
        <v>1258</v>
      </c>
      <c r="B1257" s="85">
        <v>45699</v>
      </c>
      <c r="C1257" s="23" t="s">
        <v>206</v>
      </c>
      <c r="D1257" s="23" t="s">
        <v>178</v>
      </c>
      <c r="G1257" s="23">
        <v>0.8</v>
      </c>
      <c r="I1257" s="218" t="s">
        <v>2160</v>
      </c>
    </row>
    <row r="1258" spans="1:9" x14ac:dyDescent="0.25">
      <c r="A1258" s="23">
        <v>1259</v>
      </c>
      <c r="B1258" s="85">
        <v>45699</v>
      </c>
      <c r="C1258" s="23" t="s">
        <v>1990</v>
      </c>
      <c r="D1258" s="23" t="s">
        <v>161</v>
      </c>
      <c r="G1258" s="23">
        <v>0.8</v>
      </c>
      <c r="I1258" s="218" t="s">
        <v>2161</v>
      </c>
    </row>
    <row r="1259" spans="1:9" x14ac:dyDescent="0.25">
      <c r="A1259" s="23">
        <v>1260</v>
      </c>
      <c r="B1259" s="85">
        <v>45699</v>
      </c>
      <c r="C1259" s="23" t="s">
        <v>957</v>
      </c>
      <c r="D1259" s="23" t="s">
        <v>194</v>
      </c>
      <c r="G1259" s="23">
        <v>1.5</v>
      </c>
      <c r="I1259" s="218" t="s">
        <v>2162</v>
      </c>
    </row>
    <row r="1260" spans="1:9" x14ac:dyDescent="0.25">
      <c r="A1260" s="23">
        <v>1261</v>
      </c>
      <c r="B1260" s="85">
        <v>45699</v>
      </c>
      <c r="C1260" s="23" t="s">
        <v>1437</v>
      </c>
      <c r="D1260" s="23" t="s">
        <v>174</v>
      </c>
      <c r="G1260" s="23">
        <v>0</v>
      </c>
      <c r="I1260" s="218" t="s">
        <v>2163</v>
      </c>
    </row>
    <row r="1261" spans="1:9" x14ac:dyDescent="0.25">
      <c r="A1261" s="23">
        <v>1262</v>
      </c>
      <c r="B1261" s="85">
        <v>45699</v>
      </c>
      <c r="C1261" s="23" t="s">
        <v>1106</v>
      </c>
      <c r="D1261" s="23" t="s">
        <v>178</v>
      </c>
      <c r="G1261" s="23">
        <v>0</v>
      </c>
      <c r="I1261" s="218" t="s">
        <v>2164</v>
      </c>
    </row>
    <row r="1262" spans="1:9" x14ac:dyDescent="0.25">
      <c r="A1262" s="23">
        <v>1263</v>
      </c>
      <c r="B1262" s="85">
        <v>45699</v>
      </c>
      <c r="C1262" s="23" t="s">
        <v>2165</v>
      </c>
      <c r="D1262" s="23" t="s">
        <v>144</v>
      </c>
      <c r="G1262" s="23">
        <v>0</v>
      </c>
      <c r="I1262" s="218" t="s">
        <v>2166</v>
      </c>
    </row>
    <row r="1263" spans="1:9" x14ac:dyDescent="0.25">
      <c r="A1263" s="23">
        <v>1264</v>
      </c>
      <c r="B1263" s="85">
        <v>45699</v>
      </c>
      <c r="C1263" s="23" t="s">
        <v>2165</v>
      </c>
      <c r="D1263" s="23" t="s">
        <v>161</v>
      </c>
      <c r="G1263" s="23">
        <v>0</v>
      </c>
      <c r="I1263" s="218" t="s">
        <v>2167</v>
      </c>
    </row>
    <row r="1264" spans="1:9" x14ac:dyDescent="0.25">
      <c r="A1264" s="23">
        <v>1265</v>
      </c>
      <c r="B1264" s="85">
        <v>45699</v>
      </c>
      <c r="C1264" s="23" t="s">
        <v>1995</v>
      </c>
      <c r="D1264" s="23" t="s">
        <v>177</v>
      </c>
      <c r="G1264" s="23">
        <v>0</v>
      </c>
      <c r="I1264" s="218" t="s">
        <v>2168</v>
      </c>
    </row>
    <row r="1265" spans="1:9" x14ac:dyDescent="0.25">
      <c r="A1265" s="23">
        <v>1266</v>
      </c>
      <c r="B1265" s="85">
        <v>45699</v>
      </c>
      <c r="C1265" s="23" t="s">
        <v>2169</v>
      </c>
      <c r="D1265" s="23" t="s">
        <v>252</v>
      </c>
      <c r="G1265" s="23">
        <v>0</v>
      </c>
      <c r="I1265" s="218" t="s">
        <v>2170</v>
      </c>
    </row>
    <row r="1266" spans="1:9" x14ac:dyDescent="0.25">
      <c r="A1266" s="23">
        <v>1267</v>
      </c>
      <c r="B1266" s="85">
        <v>45699</v>
      </c>
      <c r="C1266" s="23" t="s">
        <v>269</v>
      </c>
      <c r="D1266" s="23" t="s">
        <v>273</v>
      </c>
      <c r="G1266" s="23">
        <v>0</v>
      </c>
      <c r="I1266" s="218" t="s">
        <v>2171</v>
      </c>
    </row>
    <row r="1267" spans="1:9" x14ac:dyDescent="0.25">
      <c r="A1267" s="23">
        <v>1268</v>
      </c>
      <c r="B1267" s="85">
        <v>45699</v>
      </c>
      <c r="C1267" s="23" t="s">
        <v>971</v>
      </c>
      <c r="D1267" s="23" t="s">
        <v>273</v>
      </c>
      <c r="G1267" s="23">
        <v>0.8</v>
      </c>
      <c r="I1267" s="218" t="s">
        <v>2172</v>
      </c>
    </row>
    <row r="1268" spans="1:9" x14ac:dyDescent="0.25">
      <c r="A1268" s="23">
        <v>1269</v>
      </c>
      <c r="B1268" s="85">
        <v>45699</v>
      </c>
      <c r="C1268" s="23" t="s">
        <v>2173</v>
      </c>
      <c r="D1268" s="23" t="s">
        <v>252</v>
      </c>
      <c r="G1268" s="23">
        <v>0.9</v>
      </c>
      <c r="I1268" s="218" t="s">
        <v>2174</v>
      </c>
    </row>
    <row r="1269" spans="1:9" x14ac:dyDescent="0.25">
      <c r="A1269" s="23">
        <v>1270</v>
      </c>
      <c r="B1269" s="85">
        <v>45699</v>
      </c>
      <c r="C1269" s="23" t="s">
        <v>1118</v>
      </c>
      <c r="D1269" s="23" t="s">
        <v>273</v>
      </c>
      <c r="G1269" s="23">
        <v>0</v>
      </c>
      <c r="I1269" s="218" t="s">
        <v>2172</v>
      </c>
    </row>
    <row r="1270" spans="1:9" x14ac:dyDescent="0.25">
      <c r="A1270" s="23">
        <v>1271</v>
      </c>
      <c r="B1270" s="85">
        <v>45699</v>
      </c>
      <c r="C1270" s="23" t="s">
        <v>2175</v>
      </c>
      <c r="D1270" s="23" t="s">
        <v>273</v>
      </c>
      <c r="G1270" s="23">
        <v>0.9</v>
      </c>
      <c r="I1270" s="218" t="s">
        <v>295</v>
      </c>
    </row>
    <row r="1271" spans="1:9" x14ac:dyDescent="0.25">
      <c r="A1271" s="23">
        <v>1272</v>
      </c>
      <c r="B1271" s="85">
        <v>45699</v>
      </c>
      <c r="C1271" s="23" t="s">
        <v>2176</v>
      </c>
      <c r="D1271" s="23" t="s">
        <v>273</v>
      </c>
      <c r="G1271" s="23">
        <v>0</v>
      </c>
      <c r="I1271" s="218" t="s">
        <v>2177</v>
      </c>
    </row>
    <row r="1272" spans="1:9" x14ac:dyDescent="0.25">
      <c r="A1272" s="23">
        <v>1273</v>
      </c>
      <c r="B1272" s="85">
        <v>45699</v>
      </c>
      <c r="C1272" s="23" t="s">
        <v>237</v>
      </c>
      <c r="D1272" s="23" t="s">
        <v>264</v>
      </c>
      <c r="G1272" s="23">
        <v>0</v>
      </c>
      <c r="I1272" s="218" t="s">
        <v>2178</v>
      </c>
    </row>
    <row r="1273" spans="1:9" x14ac:dyDescent="0.25">
      <c r="A1273" s="23">
        <v>1274</v>
      </c>
      <c r="B1273" s="85">
        <v>45699</v>
      </c>
      <c r="C1273" s="23" t="s">
        <v>237</v>
      </c>
      <c r="D1273" s="23" t="s">
        <v>264</v>
      </c>
      <c r="G1273" s="23">
        <v>0.84</v>
      </c>
      <c r="I1273" s="218" t="s">
        <v>295</v>
      </c>
    </row>
    <row r="1274" spans="1:9" x14ac:dyDescent="0.25">
      <c r="A1274" s="23">
        <v>1275</v>
      </c>
      <c r="B1274" s="85">
        <v>45699</v>
      </c>
      <c r="C1274" s="23" t="s">
        <v>2179</v>
      </c>
      <c r="D1274" s="23" t="s">
        <v>264</v>
      </c>
      <c r="G1274" s="23">
        <v>0</v>
      </c>
      <c r="I1274" s="218" t="s">
        <v>2180</v>
      </c>
    </row>
    <row r="1275" spans="1:9" x14ac:dyDescent="0.25">
      <c r="A1275" s="23">
        <v>1276</v>
      </c>
      <c r="B1275" s="85">
        <v>45699</v>
      </c>
      <c r="C1275" s="23" t="s">
        <v>156</v>
      </c>
      <c r="D1275" s="23" t="s">
        <v>160</v>
      </c>
      <c r="G1275" s="23">
        <v>0.55000000000000004</v>
      </c>
      <c r="I1275" s="218" t="s">
        <v>2181</v>
      </c>
    </row>
    <row r="1276" spans="1:9" x14ac:dyDescent="0.25">
      <c r="A1276" s="23">
        <v>1277</v>
      </c>
      <c r="B1276" s="85">
        <v>45699</v>
      </c>
      <c r="C1276" s="23" t="s">
        <v>167</v>
      </c>
      <c r="D1276" s="23" t="s">
        <v>155</v>
      </c>
      <c r="G1276" s="23">
        <v>0</v>
      </c>
      <c r="I1276" s="218" t="s">
        <v>2182</v>
      </c>
    </row>
    <row r="1277" spans="1:9" x14ac:dyDescent="0.25">
      <c r="A1277" s="23">
        <v>1278</v>
      </c>
      <c r="B1277" s="85">
        <v>45699</v>
      </c>
      <c r="C1277" s="23" t="s">
        <v>1758</v>
      </c>
      <c r="D1277" s="23" t="s">
        <v>272</v>
      </c>
      <c r="G1277" s="23">
        <v>0</v>
      </c>
      <c r="I1277" s="218" t="s">
        <v>2183</v>
      </c>
    </row>
    <row r="1278" spans="1:9" x14ac:dyDescent="0.25">
      <c r="A1278" s="23">
        <v>1279</v>
      </c>
      <c r="B1278" s="85">
        <v>45699</v>
      </c>
      <c r="C1278" s="23" t="s">
        <v>2184</v>
      </c>
      <c r="D1278" s="23" t="s">
        <v>162</v>
      </c>
      <c r="G1278" s="23">
        <v>0.8</v>
      </c>
      <c r="I1278" s="218" t="s">
        <v>2185</v>
      </c>
    </row>
    <row r="1279" spans="1:9" x14ac:dyDescent="0.25">
      <c r="A1279" s="23">
        <v>1280</v>
      </c>
      <c r="B1279" s="85">
        <v>45699</v>
      </c>
      <c r="C1279" s="23" t="s">
        <v>2186</v>
      </c>
      <c r="D1279" s="23" t="s">
        <v>272</v>
      </c>
      <c r="G1279" s="23">
        <v>0.9</v>
      </c>
      <c r="I1279" s="218" t="s">
        <v>2187</v>
      </c>
    </row>
    <row r="1280" spans="1:9" x14ac:dyDescent="0.25">
      <c r="A1280" s="23">
        <v>1281</v>
      </c>
      <c r="B1280" s="85">
        <v>45699</v>
      </c>
      <c r="C1280" s="23" t="s">
        <v>1461</v>
      </c>
      <c r="D1280" s="23" t="s">
        <v>162</v>
      </c>
      <c r="G1280" s="23">
        <v>0</v>
      </c>
      <c r="I1280" s="218" t="s">
        <v>2185</v>
      </c>
    </row>
    <row r="1281" spans="1:9" x14ac:dyDescent="0.25">
      <c r="A1281" s="23">
        <v>1282</v>
      </c>
      <c r="B1281" s="85">
        <v>45699</v>
      </c>
      <c r="C1281" s="23" t="s">
        <v>2036</v>
      </c>
      <c r="D1281" s="23" t="s">
        <v>273</v>
      </c>
      <c r="G1281" s="23">
        <v>0.9</v>
      </c>
      <c r="I1281" s="218" t="s">
        <v>2188</v>
      </c>
    </row>
    <row r="1282" spans="1:9" x14ac:dyDescent="0.25">
      <c r="A1282" s="23">
        <v>1283</v>
      </c>
      <c r="B1282" s="85">
        <v>45699</v>
      </c>
      <c r="C1282" s="23" t="s">
        <v>980</v>
      </c>
      <c r="D1282" s="23" t="s">
        <v>144</v>
      </c>
      <c r="G1282" s="23">
        <v>0.8</v>
      </c>
      <c r="I1282" s="218" t="s">
        <v>2189</v>
      </c>
    </row>
    <row r="1283" spans="1:9" x14ac:dyDescent="0.25">
      <c r="A1283" s="23">
        <v>1284</v>
      </c>
      <c r="B1283" s="85">
        <v>45699</v>
      </c>
      <c r="C1283" s="23" t="s">
        <v>2190</v>
      </c>
      <c r="D1283" s="23" t="s">
        <v>164</v>
      </c>
      <c r="G1283" s="23">
        <v>0.8</v>
      </c>
      <c r="I1283" s="218" t="s">
        <v>2191</v>
      </c>
    </row>
    <row r="1284" spans="1:9" x14ac:dyDescent="0.25">
      <c r="A1284" s="23">
        <v>1285</v>
      </c>
      <c r="B1284" s="85">
        <v>45699</v>
      </c>
      <c r="C1284" s="23" t="s">
        <v>795</v>
      </c>
      <c r="D1284" s="23" t="s">
        <v>164</v>
      </c>
      <c r="G1284" s="23">
        <v>0</v>
      </c>
      <c r="I1284" s="218" t="s">
        <v>2192</v>
      </c>
    </row>
    <row r="1285" spans="1:9" x14ac:dyDescent="0.25">
      <c r="A1285" s="23">
        <v>1286</v>
      </c>
      <c r="B1285" s="85">
        <v>45699</v>
      </c>
      <c r="C1285" s="23" t="s">
        <v>2193</v>
      </c>
      <c r="D1285" s="23" t="s">
        <v>144</v>
      </c>
      <c r="G1285" s="23">
        <v>0</v>
      </c>
      <c r="I1285" s="218" t="s">
        <v>2194</v>
      </c>
    </row>
    <row r="1286" spans="1:9" x14ac:dyDescent="0.25">
      <c r="A1286" s="23">
        <v>1287</v>
      </c>
      <c r="B1286" s="85">
        <v>45699</v>
      </c>
      <c r="C1286" s="23" t="s">
        <v>2195</v>
      </c>
      <c r="D1286" s="23" t="s">
        <v>273</v>
      </c>
      <c r="G1286" s="23">
        <v>0</v>
      </c>
      <c r="I1286" s="218" t="s">
        <v>2196</v>
      </c>
    </row>
    <row r="1287" spans="1:9" x14ac:dyDescent="0.25">
      <c r="A1287" s="23">
        <v>1288</v>
      </c>
      <c r="B1287" s="85">
        <v>45699</v>
      </c>
      <c r="C1287" s="23" t="s">
        <v>2197</v>
      </c>
      <c r="D1287" s="23" t="s">
        <v>252</v>
      </c>
      <c r="G1287" s="23">
        <v>0</v>
      </c>
      <c r="I1287" s="218" t="s">
        <v>2198</v>
      </c>
    </row>
    <row r="1288" spans="1:9" x14ac:dyDescent="0.25">
      <c r="A1288" s="23">
        <v>1289</v>
      </c>
      <c r="B1288" s="85">
        <v>45699</v>
      </c>
      <c r="C1288" s="23" t="s">
        <v>1612</v>
      </c>
      <c r="D1288" s="23" t="s">
        <v>273</v>
      </c>
      <c r="G1288" s="23">
        <v>0.8</v>
      </c>
      <c r="I1288" s="218" t="s">
        <v>2199</v>
      </c>
    </row>
    <row r="1289" spans="1:9" x14ac:dyDescent="0.25">
      <c r="A1289" s="23">
        <v>1290</v>
      </c>
      <c r="B1289" s="85">
        <v>45699</v>
      </c>
      <c r="C1289" s="23" t="s">
        <v>2200</v>
      </c>
      <c r="D1289" s="23" t="s">
        <v>264</v>
      </c>
      <c r="G1289" s="23">
        <v>0.8</v>
      </c>
      <c r="I1289" s="218" t="s">
        <v>2201</v>
      </c>
    </row>
    <row r="1290" spans="1:9" x14ac:dyDescent="0.25">
      <c r="A1290" s="23">
        <v>1291</v>
      </c>
      <c r="B1290" s="85">
        <v>45699</v>
      </c>
      <c r="C1290" s="23" t="s">
        <v>1154</v>
      </c>
      <c r="D1290" s="23" t="s">
        <v>273</v>
      </c>
      <c r="G1290" s="23">
        <v>0</v>
      </c>
      <c r="I1290" s="218" t="s">
        <v>2202</v>
      </c>
    </row>
    <row r="1291" spans="1:9" x14ac:dyDescent="0.25">
      <c r="A1291" s="23">
        <v>1292</v>
      </c>
      <c r="B1291" s="85">
        <v>45699</v>
      </c>
      <c r="C1291" s="23" t="s">
        <v>2203</v>
      </c>
      <c r="D1291" s="23" t="s">
        <v>252</v>
      </c>
      <c r="G1291" s="23">
        <v>0.9</v>
      </c>
      <c r="I1291" s="218" t="s">
        <v>2204</v>
      </c>
    </row>
    <row r="1292" spans="1:9" x14ac:dyDescent="0.25">
      <c r="A1292" s="23">
        <v>1293</v>
      </c>
      <c r="B1292" s="85">
        <v>45699</v>
      </c>
      <c r="C1292" s="23" t="s">
        <v>2205</v>
      </c>
      <c r="D1292" s="23" t="s">
        <v>268</v>
      </c>
      <c r="G1292" s="23">
        <v>0.8</v>
      </c>
      <c r="I1292" s="218" t="s">
        <v>2206</v>
      </c>
    </row>
    <row r="1293" spans="1:9" x14ac:dyDescent="0.25">
      <c r="A1293" s="23">
        <v>1294</v>
      </c>
      <c r="B1293" s="85">
        <v>45699</v>
      </c>
      <c r="C1293" s="23" t="s">
        <v>1154</v>
      </c>
      <c r="D1293" s="23" t="s">
        <v>261</v>
      </c>
      <c r="G1293" s="23" t="s">
        <v>9</v>
      </c>
      <c r="I1293" s="218" t="s">
        <v>2207</v>
      </c>
    </row>
    <row r="1294" spans="1:9" x14ac:dyDescent="0.25">
      <c r="A1294" s="23">
        <v>1295</v>
      </c>
      <c r="B1294" s="85">
        <v>45699</v>
      </c>
      <c r="C1294" s="23" t="s">
        <v>2085</v>
      </c>
      <c r="D1294" s="23" t="s">
        <v>268</v>
      </c>
      <c r="G1294" s="23">
        <v>0</v>
      </c>
      <c r="I1294" s="218" t="s">
        <v>2208</v>
      </c>
    </row>
    <row r="1295" spans="1:9" x14ac:dyDescent="0.25">
      <c r="A1295" s="23">
        <v>1296</v>
      </c>
      <c r="B1295" s="85">
        <v>45699</v>
      </c>
      <c r="C1295" s="23" t="s">
        <v>526</v>
      </c>
      <c r="D1295" s="23" t="s">
        <v>155</v>
      </c>
      <c r="G1295" s="23">
        <v>0.57999999999999996</v>
      </c>
      <c r="I1295" s="218" t="s">
        <v>2209</v>
      </c>
    </row>
    <row r="1296" spans="1:9" x14ac:dyDescent="0.25">
      <c r="A1296" s="23">
        <v>1297</v>
      </c>
      <c r="B1296" s="85">
        <v>45699</v>
      </c>
      <c r="C1296" s="23" t="s">
        <v>528</v>
      </c>
      <c r="D1296" s="23" t="s">
        <v>166</v>
      </c>
      <c r="G1296" s="23">
        <v>0</v>
      </c>
      <c r="I1296" s="218" t="s">
        <v>2210</v>
      </c>
    </row>
    <row r="1297" spans="1:9" x14ac:dyDescent="0.25">
      <c r="A1297" s="23">
        <v>1298</v>
      </c>
      <c r="B1297" s="85">
        <v>45699</v>
      </c>
      <c r="C1297" s="23" t="s">
        <v>2211</v>
      </c>
      <c r="D1297" s="23" t="s">
        <v>273</v>
      </c>
      <c r="G1297" s="23">
        <v>0.8</v>
      </c>
      <c r="I1297" s="218" t="s">
        <v>2212</v>
      </c>
    </row>
    <row r="1298" spans="1:9" x14ac:dyDescent="0.25">
      <c r="A1298" s="23">
        <v>1299</v>
      </c>
      <c r="B1298" s="85">
        <v>45699</v>
      </c>
      <c r="C1298" s="23" t="s">
        <v>1004</v>
      </c>
      <c r="D1298" s="23" t="s">
        <v>144</v>
      </c>
      <c r="G1298" s="23" t="s">
        <v>9</v>
      </c>
      <c r="I1298" s="218" t="s">
        <v>2213</v>
      </c>
    </row>
    <row r="1299" spans="1:9" x14ac:dyDescent="0.25">
      <c r="A1299" s="23">
        <v>1300</v>
      </c>
      <c r="B1299" s="85">
        <v>45699</v>
      </c>
      <c r="C1299" s="23" t="s">
        <v>651</v>
      </c>
      <c r="D1299" s="23" t="s">
        <v>165</v>
      </c>
      <c r="G1299" s="23">
        <v>0.8</v>
      </c>
      <c r="I1299" s="218" t="s">
        <v>2214</v>
      </c>
    </row>
    <row r="1300" spans="1:9" x14ac:dyDescent="0.25">
      <c r="A1300" s="23">
        <v>1301</v>
      </c>
      <c r="B1300" s="85">
        <v>45699</v>
      </c>
      <c r="C1300" s="23" t="s">
        <v>837</v>
      </c>
      <c r="D1300" s="23" t="s">
        <v>168</v>
      </c>
      <c r="G1300" s="23">
        <v>0.8</v>
      </c>
      <c r="I1300" s="218" t="s">
        <v>2215</v>
      </c>
    </row>
    <row r="1301" spans="1:9" x14ac:dyDescent="0.25">
      <c r="A1301" s="23">
        <v>1302</v>
      </c>
      <c r="B1301" s="85">
        <v>45699</v>
      </c>
      <c r="C1301" s="23" t="s">
        <v>253</v>
      </c>
      <c r="D1301" s="23" t="s">
        <v>261</v>
      </c>
      <c r="G1301" s="23">
        <v>0.67</v>
      </c>
      <c r="I1301" s="218" t="s">
        <v>2216</v>
      </c>
    </row>
    <row r="1302" spans="1:9" x14ac:dyDescent="0.25">
      <c r="A1302" s="23">
        <v>1303</v>
      </c>
      <c r="B1302" s="85">
        <v>45699</v>
      </c>
      <c r="C1302" s="23" t="s">
        <v>270</v>
      </c>
      <c r="D1302" s="23" t="s">
        <v>265</v>
      </c>
      <c r="G1302" s="23">
        <v>0</v>
      </c>
      <c r="I1302" s="218" t="s">
        <v>2217</v>
      </c>
    </row>
    <row r="1303" spans="1:9" x14ac:dyDescent="0.25">
      <c r="A1303" s="23">
        <v>1304</v>
      </c>
      <c r="B1303" s="85">
        <v>45699</v>
      </c>
      <c r="C1303" s="23" t="s">
        <v>1011</v>
      </c>
      <c r="D1303" s="23" t="s">
        <v>265</v>
      </c>
      <c r="G1303" s="23">
        <v>0.67</v>
      </c>
      <c r="I1303" s="218" t="s">
        <v>295</v>
      </c>
    </row>
    <row r="1304" spans="1:9" x14ac:dyDescent="0.25">
      <c r="A1304" s="23">
        <v>1305</v>
      </c>
      <c r="B1304" s="85">
        <v>45699</v>
      </c>
      <c r="C1304" s="23" t="s">
        <v>1344</v>
      </c>
      <c r="D1304" s="23" t="s">
        <v>159</v>
      </c>
      <c r="G1304" s="23">
        <v>0.76</v>
      </c>
      <c r="I1304" s="218" t="s">
        <v>2218</v>
      </c>
    </row>
    <row r="1305" spans="1:9" x14ac:dyDescent="0.25">
      <c r="A1305" s="23">
        <v>1306</v>
      </c>
      <c r="B1305" s="85">
        <v>45699</v>
      </c>
      <c r="C1305" s="23" t="s">
        <v>1174</v>
      </c>
      <c r="D1305" s="23" t="s">
        <v>169</v>
      </c>
      <c r="G1305" s="23">
        <v>0</v>
      </c>
      <c r="I1305" s="218" t="s">
        <v>2219</v>
      </c>
    </row>
    <row r="1306" spans="1:9" x14ac:dyDescent="0.25">
      <c r="A1306" s="23">
        <v>1307</v>
      </c>
      <c r="B1306" s="85">
        <v>45699</v>
      </c>
      <c r="C1306" s="23" t="s">
        <v>654</v>
      </c>
      <c r="D1306" s="23" t="s">
        <v>165</v>
      </c>
      <c r="G1306" s="23">
        <v>0</v>
      </c>
      <c r="I1306" s="218" t="s">
        <v>2220</v>
      </c>
    </row>
    <row r="1307" spans="1:9" x14ac:dyDescent="0.25">
      <c r="A1307" s="23">
        <v>1308</v>
      </c>
      <c r="B1307" s="85">
        <v>45699</v>
      </c>
      <c r="C1307" s="23" t="s">
        <v>2221</v>
      </c>
      <c r="D1307" s="23" t="s">
        <v>170</v>
      </c>
      <c r="G1307" s="23">
        <v>0.8</v>
      </c>
      <c r="I1307" s="218" t="s">
        <v>2222</v>
      </c>
    </row>
    <row r="1308" spans="1:9" x14ac:dyDescent="0.25">
      <c r="A1308" s="23">
        <v>1309</v>
      </c>
      <c r="B1308" s="85">
        <v>45699</v>
      </c>
      <c r="C1308" s="23" t="s">
        <v>1802</v>
      </c>
      <c r="D1308" s="23" t="s">
        <v>174</v>
      </c>
      <c r="G1308" s="23">
        <v>0.8</v>
      </c>
      <c r="I1308" s="218" t="s">
        <v>2223</v>
      </c>
    </row>
    <row r="1309" spans="1:9" x14ac:dyDescent="0.25">
      <c r="A1309" s="23">
        <v>1310</v>
      </c>
      <c r="B1309" s="85">
        <v>45699</v>
      </c>
      <c r="C1309" s="23" t="s">
        <v>1802</v>
      </c>
      <c r="D1309" s="23" t="s">
        <v>172</v>
      </c>
      <c r="G1309" s="23">
        <v>0.8</v>
      </c>
      <c r="I1309" s="218" t="s">
        <v>2224</v>
      </c>
    </row>
    <row r="1310" spans="1:9" x14ac:dyDescent="0.25">
      <c r="A1310" s="23">
        <v>1311</v>
      </c>
      <c r="B1310" s="85">
        <v>45699</v>
      </c>
      <c r="C1310" s="23" t="s">
        <v>1802</v>
      </c>
      <c r="D1310" s="23" t="s">
        <v>177</v>
      </c>
      <c r="G1310" s="23">
        <v>0.8</v>
      </c>
      <c r="I1310" s="218" t="s">
        <v>2225</v>
      </c>
    </row>
    <row r="1311" spans="1:9" x14ac:dyDescent="0.25">
      <c r="A1311" s="23">
        <v>1312</v>
      </c>
      <c r="B1311" s="85">
        <v>45699</v>
      </c>
      <c r="C1311" s="23" t="s">
        <v>1802</v>
      </c>
      <c r="D1311" s="23" t="s">
        <v>178</v>
      </c>
      <c r="G1311" s="23">
        <v>0.8</v>
      </c>
      <c r="I1311" s="218" t="s">
        <v>2226</v>
      </c>
    </row>
    <row r="1312" spans="1:9" x14ac:dyDescent="0.25">
      <c r="A1312" s="23">
        <v>1313</v>
      </c>
      <c r="B1312" s="85">
        <v>45699</v>
      </c>
      <c r="C1312" s="23" t="s">
        <v>1802</v>
      </c>
      <c r="D1312" s="23" t="s">
        <v>161</v>
      </c>
      <c r="G1312" s="23">
        <v>0.8</v>
      </c>
      <c r="I1312" s="218" t="s">
        <v>2227</v>
      </c>
    </row>
    <row r="1313" spans="1:9" x14ac:dyDescent="0.25">
      <c r="A1313" s="23">
        <v>1314</v>
      </c>
      <c r="B1313" s="85">
        <v>45699</v>
      </c>
      <c r="C1313" s="23" t="s">
        <v>2228</v>
      </c>
      <c r="D1313" s="23" t="s">
        <v>186</v>
      </c>
      <c r="G1313" s="23" t="s">
        <v>7</v>
      </c>
      <c r="H1313" s="23" t="s">
        <v>2250</v>
      </c>
      <c r="I1313" s="218" t="s">
        <v>2229</v>
      </c>
    </row>
    <row r="1314" spans="1:9" x14ac:dyDescent="0.25">
      <c r="A1314" s="23">
        <v>1315</v>
      </c>
      <c r="B1314" s="85">
        <v>45699</v>
      </c>
      <c r="C1314" s="23" t="s">
        <v>1663</v>
      </c>
      <c r="D1314" s="23" t="s">
        <v>168</v>
      </c>
      <c r="G1314" s="23">
        <v>0</v>
      </c>
      <c r="I1314" s="218" t="s">
        <v>2230</v>
      </c>
    </row>
    <row r="1315" spans="1:9" x14ac:dyDescent="0.25">
      <c r="A1315" s="23">
        <v>1316</v>
      </c>
      <c r="B1315" s="85">
        <v>45699</v>
      </c>
      <c r="C1315" s="23" t="s">
        <v>213</v>
      </c>
      <c r="D1315" s="23" t="s">
        <v>170</v>
      </c>
      <c r="G1315" s="23">
        <v>0</v>
      </c>
      <c r="I1315" s="218" t="s">
        <v>2231</v>
      </c>
    </row>
    <row r="1316" spans="1:9" x14ac:dyDescent="0.25">
      <c r="A1316" s="23">
        <v>1317</v>
      </c>
      <c r="B1316" s="85">
        <v>45699</v>
      </c>
      <c r="C1316" s="23" t="s">
        <v>2232</v>
      </c>
      <c r="D1316" s="23" t="s">
        <v>172</v>
      </c>
      <c r="G1316" s="23">
        <v>0</v>
      </c>
      <c r="I1316" s="218" t="s">
        <v>2233</v>
      </c>
    </row>
    <row r="1317" spans="1:9" x14ac:dyDescent="0.25">
      <c r="A1317" s="23">
        <v>1318</v>
      </c>
      <c r="B1317" s="85">
        <v>45699</v>
      </c>
      <c r="C1317" s="23" t="s">
        <v>2234</v>
      </c>
      <c r="D1317" s="23" t="s">
        <v>174</v>
      </c>
      <c r="G1317" s="23">
        <v>0</v>
      </c>
      <c r="I1317" s="218" t="s">
        <v>2235</v>
      </c>
    </row>
    <row r="1318" spans="1:9" x14ac:dyDescent="0.25">
      <c r="A1318" s="23">
        <v>1319</v>
      </c>
      <c r="B1318" s="85">
        <v>45699</v>
      </c>
      <c r="C1318" s="23" t="s">
        <v>854</v>
      </c>
      <c r="D1318" s="23" t="s">
        <v>177</v>
      </c>
      <c r="G1318" s="23">
        <v>0</v>
      </c>
      <c r="I1318" s="218" t="s">
        <v>2236</v>
      </c>
    </row>
    <row r="1319" spans="1:9" x14ac:dyDescent="0.25">
      <c r="A1319" s="23">
        <v>1320</v>
      </c>
      <c r="B1319" s="85">
        <v>45699</v>
      </c>
      <c r="C1319" s="23" t="s">
        <v>192</v>
      </c>
      <c r="D1319" s="23" t="s">
        <v>178</v>
      </c>
      <c r="G1319" s="23">
        <v>0</v>
      </c>
      <c r="I1319" s="218" t="s">
        <v>2237</v>
      </c>
    </row>
    <row r="1320" spans="1:9" x14ac:dyDescent="0.25">
      <c r="A1320" s="23">
        <v>1321</v>
      </c>
      <c r="B1320" s="85">
        <v>45699</v>
      </c>
      <c r="C1320" s="23" t="s">
        <v>1668</v>
      </c>
      <c r="D1320" s="23" t="s">
        <v>161</v>
      </c>
      <c r="G1320" s="23">
        <v>0</v>
      </c>
      <c r="I1320" s="218" t="s">
        <v>2238</v>
      </c>
    </row>
    <row r="1321" spans="1:9" x14ac:dyDescent="0.25">
      <c r="A1321" s="23">
        <v>1322</v>
      </c>
      <c r="B1321" s="85">
        <v>45699</v>
      </c>
      <c r="C1321" s="23" t="s">
        <v>2239</v>
      </c>
      <c r="D1321" s="23" t="s">
        <v>273</v>
      </c>
      <c r="G1321" s="23">
        <v>0</v>
      </c>
      <c r="I1321" s="218" t="s">
        <v>2240</v>
      </c>
    </row>
    <row r="1322" spans="1:9" x14ac:dyDescent="0.25">
      <c r="A1322" s="23">
        <v>1323</v>
      </c>
      <c r="B1322" s="85">
        <v>45699</v>
      </c>
      <c r="C1322" s="23" t="s">
        <v>2241</v>
      </c>
      <c r="D1322" s="23" t="s">
        <v>264</v>
      </c>
      <c r="G1322" s="23">
        <v>0</v>
      </c>
      <c r="I1322" s="218" t="s">
        <v>2242</v>
      </c>
    </row>
    <row r="1323" spans="1:9" x14ac:dyDescent="0.25">
      <c r="A1323" s="23">
        <v>1324</v>
      </c>
      <c r="B1323" s="85">
        <v>45699</v>
      </c>
      <c r="C1323" s="23" t="s">
        <v>2243</v>
      </c>
      <c r="D1323" s="23" t="s">
        <v>272</v>
      </c>
      <c r="G1323" s="23">
        <v>0</v>
      </c>
      <c r="I1323" s="218" t="s">
        <v>2244</v>
      </c>
    </row>
    <row r="1324" spans="1:9" x14ac:dyDescent="0.25">
      <c r="A1324" s="23">
        <v>1325</v>
      </c>
      <c r="B1324" s="85">
        <v>45699</v>
      </c>
      <c r="C1324" s="23" t="s">
        <v>2245</v>
      </c>
      <c r="D1324" s="23" t="s">
        <v>252</v>
      </c>
      <c r="G1324" s="23">
        <v>0</v>
      </c>
      <c r="I1324" s="218" t="s">
        <v>2246</v>
      </c>
    </row>
    <row r="1325" spans="1:9" x14ac:dyDescent="0.25">
      <c r="A1325" s="23">
        <v>1326</v>
      </c>
      <c r="B1325" s="85">
        <v>45699</v>
      </c>
      <c r="C1325" s="23" t="s">
        <v>680</v>
      </c>
      <c r="D1325" s="23" t="s">
        <v>166</v>
      </c>
      <c r="G1325" s="23">
        <v>0.44500000000000001</v>
      </c>
      <c r="I1325" s="218" t="s">
        <v>2247</v>
      </c>
    </row>
    <row r="1326" spans="1:9" x14ac:dyDescent="0.25">
      <c r="A1326" s="23">
        <v>1327</v>
      </c>
      <c r="B1326" s="85">
        <v>45699</v>
      </c>
      <c r="C1326" s="23" t="s">
        <v>682</v>
      </c>
      <c r="D1326" s="23" t="s">
        <v>160</v>
      </c>
      <c r="G1326" s="23">
        <v>0</v>
      </c>
      <c r="I1326" s="218" t="s">
        <v>2248</v>
      </c>
    </row>
    <row r="1327" spans="1:9" x14ac:dyDescent="0.25">
      <c r="A1327" s="23">
        <v>1328</v>
      </c>
      <c r="B1327" s="85">
        <v>45699</v>
      </c>
      <c r="C1327" s="23" t="s">
        <v>533</v>
      </c>
      <c r="D1327" s="23" t="s">
        <v>260</v>
      </c>
      <c r="G1327" s="23">
        <v>0</v>
      </c>
      <c r="I1327" s="218" t="s">
        <v>2249</v>
      </c>
    </row>
    <row r="1328" spans="1:9" x14ac:dyDescent="0.25">
      <c r="A1328" s="23">
        <v>1329</v>
      </c>
      <c r="B1328" s="85">
        <v>45700</v>
      </c>
      <c r="C1328" s="23" t="s">
        <v>2251</v>
      </c>
      <c r="D1328" s="23" t="s">
        <v>162</v>
      </c>
      <c r="G1328" s="23">
        <v>0.8</v>
      </c>
      <c r="I1328" s="218" t="s">
        <v>2252</v>
      </c>
    </row>
    <row r="1329" spans="1:9" x14ac:dyDescent="0.25">
      <c r="A1329" s="23">
        <v>1330</v>
      </c>
      <c r="B1329" s="85">
        <v>45700</v>
      </c>
      <c r="C1329" s="23" t="s">
        <v>2251</v>
      </c>
      <c r="D1329" s="23" t="s">
        <v>168</v>
      </c>
      <c r="G1329" s="23">
        <v>0.8</v>
      </c>
      <c r="I1329" s="218" t="s">
        <v>2253</v>
      </c>
    </row>
    <row r="1330" spans="1:9" x14ac:dyDescent="0.25">
      <c r="A1330" s="23">
        <v>1331</v>
      </c>
      <c r="B1330" s="85">
        <v>45700</v>
      </c>
      <c r="C1330" s="23" t="s">
        <v>2251</v>
      </c>
      <c r="D1330" s="23" t="s">
        <v>164</v>
      </c>
      <c r="G1330" s="23">
        <v>0.8</v>
      </c>
      <c r="I1330" s="218" t="s">
        <v>2254</v>
      </c>
    </row>
    <row r="1331" spans="1:9" x14ac:dyDescent="0.25">
      <c r="A1331" s="23">
        <v>1332</v>
      </c>
      <c r="B1331" s="85">
        <v>45700</v>
      </c>
      <c r="C1331" s="23" t="s">
        <v>2251</v>
      </c>
      <c r="D1331" s="23" t="s">
        <v>170</v>
      </c>
      <c r="G1331" s="23">
        <v>0.8</v>
      </c>
      <c r="I1331" s="218" t="s">
        <v>2255</v>
      </c>
    </row>
    <row r="1332" spans="1:9" x14ac:dyDescent="0.25">
      <c r="A1332" s="23">
        <v>1333</v>
      </c>
      <c r="B1332" s="85">
        <v>45700</v>
      </c>
      <c r="C1332" s="23" t="s">
        <v>2251</v>
      </c>
      <c r="D1332" s="23" t="s">
        <v>165</v>
      </c>
      <c r="G1332" s="23">
        <v>0.8</v>
      </c>
      <c r="I1332" s="218" t="s">
        <v>2256</v>
      </c>
    </row>
    <row r="1333" spans="1:9" x14ac:dyDescent="0.25">
      <c r="A1333" s="23">
        <v>1334</v>
      </c>
      <c r="B1333" s="85">
        <v>45700</v>
      </c>
      <c r="C1333" s="23" t="s">
        <v>698</v>
      </c>
      <c r="D1333" s="23" t="s">
        <v>194</v>
      </c>
      <c r="G1333" s="23">
        <v>0</v>
      </c>
      <c r="I1333" s="218" t="s">
        <v>2257</v>
      </c>
    </row>
    <row r="1334" spans="1:9" x14ac:dyDescent="0.25">
      <c r="A1334" s="23">
        <v>1335</v>
      </c>
      <c r="B1334" s="85">
        <v>45700</v>
      </c>
      <c r="C1334" s="23" t="s">
        <v>2258</v>
      </c>
      <c r="D1334" s="23" t="s">
        <v>162</v>
      </c>
      <c r="G1334" s="23">
        <v>0</v>
      </c>
      <c r="I1334" s="218" t="s">
        <v>2252</v>
      </c>
    </row>
    <row r="1335" spans="1:9" x14ac:dyDescent="0.25">
      <c r="A1335" s="23">
        <v>1336</v>
      </c>
      <c r="B1335" s="85">
        <v>45700</v>
      </c>
      <c r="C1335" s="23" t="s">
        <v>2251</v>
      </c>
      <c r="D1335" s="23" t="s">
        <v>164</v>
      </c>
      <c r="G1335" s="23">
        <v>0</v>
      </c>
      <c r="I1335" s="218" t="s">
        <v>2254</v>
      </c>
    </row>
    <row r="1336" spans="1:9" x14ac:dyDescent="0.25">
      <c r="A1336" s="23">
        <v>1337</v>
      </c>
      <c r="B1336" s="85">
        <v>45700</v>
      </c>
      <c r="C1336" s="23" t="s">
        <v>401</v>
      </c>
      <c r="D1336" s="23" t="s">
        <v>170</v>
      </c>
      <c r="G1336" s="23">
        <v>0</v>
      </c>
      <c r="I1336" s="218" t="s">
        <v>2255</v>
      </c>
    </row>
    <row r="1337" spans="1:9" x14ac:dyDescent="0.25">
      <c r="A1337" s="23">
        <v>1338</v>
      </c>
      <c r="B1337" s="85">
        <v>45700</v>
      </c>
      <c r="C1337" s="23" t="s">
        <v>2259</v>
      </c>
      <c r="D1337" s="23" t="s">
        <v>165</v>
      </c>
      <c r="G1337" s="23">
        <v>0</v>
      </c>
      <c r="I1337" s="218" t="s">
        <v>2260</v>
      </c>
    </row>
    <row r="1338" spans="1:9" x14ac:dyDescent="0.25">
      <c r="A1338" s="23">
        <v>1339</v>
      </c>
      <c r="B1338" s="85">
        <v>45700</v>
      </c>
      <c r="C1338" s="23" t="s">
        <v>2259</v>
      </c>
      <c r="D1338" s="23" t="s">
        <v>155</v>
      </c>
      <c r="G1338" s="23">
        <v>0</v>
      </c>
      <c r="I1338" s="218" t="s">
        <v>2261</v>
      </c>
    </row>
    <row r="1339" spans="1:9" x14ac:dyDescent="0.25">
      <c r="A1339" s="23">
        <v>1340</v>
      </c>
      <c r="B1339" s="85">
        <v>45700</v>
      </c>
      <c r="C1339" s="23" t="s">
        <v>2262</v>
      </c>
      <c r="D1339" s="23" t="s">
        <v>168</v>
      </c>
      <c r="G1339" s="23">
        <v>0</v>
      </c>
      <c r="I1339" s="218" t="s">
        <v>2263</v>
      </c>
    </row>
    <row r="1340" spans="1:9" x14ac:dyDescent="0.25">
      <c r="A1340" s="23">
        <v>1341</v>
      </c>
      <c r="B1340" s="85">
        <v>45700</v>
      </c>
      <c r="C1340" s="23" t="s">
        <v>908</v>
      </c>
      <c r="D1340" s="23" t="s">
        <v>160</v>
      </c>
      <c r="G1340" s="23">
        <v>0.44</v>
      </c>
      <c r="I1340" s="218" t="s">
        <v>2264</v>
      </c>
    </row>
    <row r="1341" spans="1:9" x14ac:dyDescent="0.25">
      <c r="A1341" s="23">
        <v>1342</v>
      </c>
      <c r="B1341" s="85">
        <v>45700</v>
      </c>
      <c r="C1341" s="23" t="s">
        <v>563</v>
      </c>
      <c r="D1341" s="23" t="s">
        <v>172</v>
      </c>
      <c r="G1341" s="23">
        <v>0.8</v>
      </c>
      <c r="I1341" s="218" t="s">
        <v>2265</v>
      </c>
    </row>
    <row r="1342" spans="1:9" x14ac:dyDescent="0.25">
      <c r="A1342" s="23">
        <v>1343</v>
      </c>
      <c r="B1342" s="85">
        <v>45700</v>
      </c>
      <c r="C1342" s="23" t="s">
        <v>1402</v>
      </c>
      <c r="D1342" s="23" t="s">
        <v>252</v>
      </c>
      <c r="G1342" s="23">
        <v>0.9</v>
      </c>
      <c r="I1342" s="218" t="s">
        <v>2266</v>
      </c>
    </row>
    <row r="1343" spans="1:9" x14ac:dyDescent="0.25">
      <c r="A1343" s="23">
        <v>1344</v>
      </c>
      <c r="B1343" s="85">
        <v>45700</v>
      </c>
      <c r="C1343" s="23" t="s">
        <v>2267</v>
      </c>
      <c r="D1343" s="23" t="s">
        <v>272</v>
      </c>
      <c r="G1343" s="23">
        <v>0.9</v>
      </c>
      <c r="I1343" s="218" t="s">
        <v>2268</v>
      </c>
    </row>
    <row r="1344" spans="1:9" x14ac:dyDescent="0.25">
      <c r="A1344" s="23">
        <v>1345</v>
      </c>
      <c r="B1344" s="85">
        <v>45700</v>
      </c>
      <c r="C1344" s="23" t="s">
        <v>924</v>
      </c>
      <c r="D1344" s="23" t="s">
        <v>273</v>
      </c>
      <c r="G1344" s="23">
        <v>0.95</v>
      </c>
      <c r="I1344" s="218" t="s">
        <v>2269</v>
      </c>
    </row>
    <row r="1345" spans="1:9" x14ac:dyDescent="0.25">
      <c r="A1345" s="23">
        <v>1346</v>
      </c>
      <c r="B1345" s="85">
        <v>45700</v>
      </c>
      <c r="C1345" s="23" t="s">
        <v>1431</v>
      </c>
      <c r="D1345" s="23" t="s">
        <v>169</v>
      </c>
      <c r="G1345" s="23">
        <v>0.76</v>
      </c>
      <c r="I1345" s="218" t="s">
        <v>2270</v>
      </c>
    </row>
    <row r="1346" spans="1:9" x14ac:dyDescent="0.25">
      <c r="A1346" s="23">
        <v>1347</v>
      </c>
      <c r="B1346" s="85">
        <v>45700</v>
      </c>
      <c r="C1346" s="23" t="s">
        <v>227</v>
      </c>
      <c r="D1346" s="23" t="s">
        <v>159</v>
      </c>
      <c r="G1346" s="23">
        <v>0</v>
      </c>
      <c r="I1346" s="218" t="s">
        <v>2271</v>
      </c>
    </row>
    <row r="1347" spans="1:9" x14ac:dyDescent="0.25">
      <c r="A1347" s="23">
        <v>1348</v>
      </c>
      <c r="B1347" s="85">
        <v>45700</v>
      </c>
      <c r="C1347" s="23" t="s">
        <v>1289</v>
      </c>
      <c r="D1347" s="23" t="s">
        <v>144</v>
      </c>
      <c r="G1347" s="23">
        <v>0</v>
      </c>
      <c r="I1347" s="218" t="s">
        <v>2272</v>
      </c>
    </row>
    <row r="1348" spans="1:9" x14ac:dyDescent="0.25">
      <c r="A1348" s="23">
        <v>1349</v>
      </c>
      <c r="B1348" s="85">
        <v>45700</v>
      </c>
      <c r="C1348" s="23" t="s">
        <v>1835</v>
      </c>
      <c r="D1348" s="23" t="s">
        <v>144</v>
      </c>
      <c r="G1348" s="23">
        <v>0.95</v>
      </c>
      <c r="I1348" s="218" t="s">
        <v>295</v>
      </c>
    </row>
    <row r="1349" spans="1:9" x14ac:dyDescent="0.25">
      <c r="A1349" s="23">
        <v>1350</v>
      </c>
      <c r="B1349" s="85">
        <v>45700</v>
      </c>
      <c r="C1349" s="23" t="s">
        <v>1718</v>
      </c>
      <c r="D1349" s="23" t="s">
        <v>174</v>
      </c>
      <c r="G1349" s="23">
        <v>0.8</v>
      </c>
      <c r="I1349" s="218" t="s">
        <v>2273</v>
      </c>
    </row>
    <row r="1350" spans="1:9" x14ac:dyDescent="0.25">
      <c r="A1350" s="23">
        <v>1352</v>
      </c>
      <c r="B1350" s="85">
        <v>45700</v>
      </c>
      <c r="C1350" s="23" t="s">
        <v>1289</v>
      </c>
      <c r="D1350" s="23" t="s">
        <v>163</v>
      </c>
      <c r="G1350" s="23" t="s">
        <v>9</v>
      </c>
      <c r="I1350" s="218" t="s">
        <v>2274</v>
      </c>
    </row>
    <row r="1351" spans="1:9" x14ac:dyDescent="0.25">
      <c r="A1351" s="23">
        <v>1353</v>
      </c>
      <c r="B1351" s="85">
        <v>45700</v>
      </c>
      <c r="C1351" s="23" t="s">
        <v>1289</v>
      </c>
      <c r="D1351" s="23" t="s">
        <v>173</v>
      </c>
      <c r="G1351" s="23" t="s">
        <v>9</v>
      </c>
      <c r="I1351" s="218" t="s">
        <v>2275</v>
      </c>
    </row>
    <row r="1352" spans="1:9" x14ac:dyDescent="0.25">
      <c r="A1352" s="23">
        <v>1354</v>
      </c>
      <c r="B1352" s="85">
        <v>45700</v>
      </c>
      <c r="C1352" s="23" t="s">
        <v>2276</v>
      </c>
      <c r="D1352" s="23" t="s">
        <v>194</v>
      </c>
      <c r="G1352" s="23">
        <v>6.5</v>
      </c>
      <c r="I1352" s="218" t="s">
        <v>2277</v>
      </c>
    </row>
    <row r="1353" spans="1:9" x14ac:dyDescent="0.25">
      <c r="A1353" s="23">
        <v>1355</v>
      </c>
      <c r="B1353" s="85">
        <v>45700</v>
      </c>
      <c r="C1353" s="23" t="s">
        <v>2278</v>
      </c>
      <c r="D1353" s="23" t="s">
        <v>172</v>
      </c>
      <c r="G1353" s="23">
        <v>0</v>
      </c>
      <c r="I1353" s="218" t="s">
        <v>2279</v>
      </c>
    </row>
    <row r="1354" spans="1:9" x14ac:dyDescent="0.25">
      <c r="A1354" s="23">
        <v>1356</v>
      </c>
      <c r="B1354" s="85">
        <v>45700</v>
      </c>
      <c r="C1354" s="23" t="s">
        <v>434</v>
      </c>
      <c r="D1354" s="23" t="s">
        <v>174</v>
      </c>
      <c r="G1354" s="23">
        <v>0</v>
      </c>
      <c r="I1354" s="218" t="s">
        <v>2280</v>
      </c>
    </row>
    <row r="1355" spans="1:9" x14ac:dyDescent="0.25">
      <c r="A1355" s="23">
        <v>1357</v>
      </c>
      <c r="B1355" s="85">
        <v>45700</v>
      </c>
      <c r="C1355" s="23" t="s">
        <v>735</v>
      </c>
      <c r="D1355" s="23" t="s">
        <v>144</v>
      </c>
      <c r="G1355" s="23">
        <v>0</v>
      </c>
      <c r="I1355" s="218" t="s">
        <v>2281</v>
      </c>
    </row>
    <row r="1356" spans="1:9" x14ac:dyDescent="0.25">
      <c r="A1356" s="23">
        <v>1358</v>
      </c>
      <c r="B1356" s="85">
        <v>45700</v>
      </c>
      <c r="C1356" s="23" t="s">
        <v>931</v>
      </c>
      <c r="D1356" s="23" t="s">
        <v>252</v>
      </c>
      <c r="G1356" s="23">
        <v>0</v>
      </c>
      <c r="I1356" s="218" t="s">
        <v>2282</v>
      </c>
    </row>
    <row r="1357" spans="1:9" x14ac:dyDescent="0.25">
      <c r="A1357" s="23">
        <v>1359</v>
      </c>
      <c r="B1357" s="85">
        <v>45700</v>
      </c>
      <c r="C1357" s="23" t="s">
        <v>931</v>
      </c>
      <c r="D1357" s="23" t="s">
        <v>272</v>
      </c>
      <c r="G1357" s="23">
        <v>0</v>
      </c>
      <c r="I1357" s="218" t="s">
        <v>2283</v>
      </c>
    </row>
    <row r="1358" spans="1:9" x14ac:dyDescent="0.25">
      <c r="A1358" s="23">
        <v>1360</v>
      </c>
      <c r="B1358" s="85">
        <v>45700</v>
      </c>
      <c r="C1358" s="23" t="s">
        <v>152</v>
      </c>
      <c r="D1358" s="23" t="s">
        <v>252</v>
      </c>
      <c r="G1358" s="23">
        <v>0.9</v>
      </c>
      <c r="I1358" s="218" t="s">
        <v>2284</v>
      </c>
    </row>
    <row r="1359" spans="1:9" x14ac:dyDescent="0.25">
      <c r="A1359" s="23">
        <v>1361</v>
      </c>
      <c r="B1359" s="85">
        <v>45700</v>
      </c>
      <c r="C1359" s="23" t="s">
        <v>152</v>
      </c>
      <c r="D1359" s="23" t="s">
        <v>272</v>
      </c>
      <c r="G1359" s="23">
        <v>0.9</v>
      </c>
      <c r="I1359" s="218" t="s">
        <v>2285</v>
      </c>
    </row>
    <row r="1360" spans="1:9" x14ac:dyDescent="0.25">
      <c r="A1360" s="23">
        <v>1362</v>
      </c>
      <c r="B1360" s="85">
        <v>45700</v>
      </c>
      <c r="C1360" s="23" t="s">
        <v>943</v>
      </c>
      <c r="D1360" s="23" t="s">
        <v>144</v>
      </c>
      <c r="G1360" s="23">
        <v>0.9</v>
      </c>
      <c r="I1360" s="218" t="s">
        <v>2286</v>
      </c>
    </row>
    <row r="1361" spans="1:9" x14ac:dyDescent="0.25">
      <c r="A1361" s="23">
        <v>1364</v>
      </c>
      <c r="B1361" s="85">
        <v>45700</v>
      </c>
      <c r="C1361" s="23" t="s">
        <v>2288</v>
      </c>
      <c r="D1361" s="23" t="s">
        <v>161</v>
      </c>
      <c r="G1361" s="23">
        <v>0.8</v>
      </c>
      <c r="I1361" s="218" t="s">
        <v>2289</v>
      </c>
    </row>
    <row r="1362" spans="1:9" x14ac:dyDescent="0.25">
      <c r="A1362" s="23">
        <v>1365</v>
      </c>
      <c r="B1362" s="85">
        <v>45700</v>
      </c>
      <c r="C1362" s="23" t="s">
        <v>2288</v>
      </c>
      <c r="D1362" s="23" t="s">
        <v>178</v>
      </c>
      <c r="G1362" s="23">
        <v>0.8</v>
      </c>
      <c r="I1362" s="218" t="s">
        <v>2290</v>
      </c>
    </row>
    <row r="1363" spans="1:9" x14ac:dyDescent="0.25">
      <c r="A1363" s="23">
        <v>1366</v>
      </c>
      <c r="B1363" s="85">
        <v>45700</v>
      </c>
      <c r="C1363" s="23" t="s">
        <v>1097</v>
      </c>
      <c r="D1363" s="23" t="s">
        <v>162</v>
      </c>
      <c r="G1363" s="23">
        <v>0.8</v>
      </c>
      <c r="I1363" s="218" t="s">
        <v>2291</v>
      </c>
    </row>
    <row r="1364" spans="1:9" x14ac:dyDescent="0.25">
      <c r="A1364" s="23">
        <v>1367</v>
      </c>
      <c r="B1364" s="85">
        <v>45700</v>
      </c>
      <c r="C1364" s="23" t="s">
        <v>1097</v>
      </c>
      <c r="D1364" s="23" t="s">
        <v>260</v>
      </c>
      <c r="G1364" s="23">
        <v>0.7</v>
      </c>
      <c r="I1364" s="218" t="s">
        <v>2292</v>
      </c>
    </row>
    <row r="1365" spans="1:9" x14ac:dyDescent="0.25">
      <c r="A1365" s="23">
        <v>1368</v>
      </c>
      <c r="B1365" s="85">
        <v>45700</v>
      </c>
      <c r="C1365" s="23" t="s">
        <v>595</v>
      </c>
      <c r="D1365" s="23" t="s">
        <v>268</v>
      </c>
      <c r="G1365" s="23">
        <v>0.7</v>
      </c>
      <c r="I1365" s="218" t="s">
        <v>2293</v>
      </c>
    </row>
    <row r="1366" spans="1:9" ht="29.25" x14ac:dyDescent="0.25">
      <c r="A1366" s="23">
        <v>1369</v>
      </c>
      <c r="B1366" s="85">
        <v>45700</v>
      </c>
      <c r="C1366" s="23" t="s">
        <v>752</v>
      </c>
      <c r="D1366" s="23" t="s">
        <v>263</v>
      </c>
      <c r="G1366" s="23">
        <v>0</v>
      </c>
      <c r="H1366" s="235" t="s">
        <v>2294</v>
      </c>
      <c r="I1366" s="218" t="s">
        <v>2295</v>
      </c>
    </row>
    <row r="1367" spans="1:9" x14ac:dyDescent="0.25">
      <c r="A1367" s="23">
        <v>1370</v>
      </c>
      <c r="B1367" s="85">
        <v>45700</v>
      </c>
      <c r="C1367" s="23" t="s">
        <v>1990</v>
      </c>
      <c r="D1367" s="23" t="s">
        <v>261</v>
      </c>
      <c r="G1367" s="23">
        <v>0</v>
      </c>
      <c r="I1367" s="218" t="s">
        <v>2296</v>
      </c>
    </row>
    <row r="1368" spans="1:9" x14ac:dyDescent="0.25">
      <c r="A1368" s="23">
        <v>1370</v>
      </c>
      <c r="B1368" s="85">
        <v>45700</v>
      </c>
      <c r="C1368" s="23" t="s">
        <v>1414</v>
      </c>
      <c r="D1368" s="23" t="s">
        <v>264</v>
      </c>
      <c r="G1368" s="23">
        <v>0.74</v>
      </c>
      <c r="I1368" s="218" t="s">
        <v>2297</v>
      </c>
    </row>
    <row r="1369" spans="1:9" x14ac:dyDescent="0.25">
      <c r="A1369" s="23">
        <v>1371</v>
      </c>
      <c r="B1369" s="85">
        <v>45700</v>
      </c>
      <c r="C1369" s="23" t="s">
        <v>752</v>
      </c>
      <c r="D1369" s="23" t="s">
        <v>264</v>
      </c>
      <c r="G1369" s="23">
        <v>0</v>
      </c>
      <c r="I1369" s="218" t="s">
        <v>2298</v>
      </c>
    </row>
    <row r="1370" spans="1:9" x14ac:dyDescent="0.25">
      <c r="A1370" s="23">
        <v>1372</v>
      </c>
      <c r="B1370" s="85">
        <v>45700</v>
      </c>
      <c r="C1370" s="23" t="s">
        <v>1731</v>
      </c>
      <c r="D1370" s="23" t="s">
        <v>164</v>
      </c>
      <c r="G1370" s="23">
        <v>0.8</v>
      </c>
      <c r="I1370" s="218" t="s">
        <v>2299</v>
      </c>
    </row>
    <row r="1371" spans="1:9" x14ac:dyDescent="0.25">
      <c r="A1371" s="23">
        <v>1373</v>
      </c>
      <c r="B1371" s="85">
        <v>45700</v>
      </c>
      <c r="C1371" s="23" t="s">
        <v>1744</v>
      </c>
      <c r="D1371" s="23" t="s">
        <v>168</v>
      </c>
      <c r="G1371" s="23">
        <v>0.8</v>
      </c>
      <c r="I1371" s="218" t="s">
        <v>2300</v>
      </c>
    </row>
    <row r="1372" spans="1:9" x14ac:dyDescent="0.25">
      <c r="A1372" s="23">
        <v>1374</v>
      </c>
      <c r="B1372" s="85">
        <v>45700</v>
      </c>
      <c r="C1372" s="23" t="s">
        <v>963</v>
      </c>
      <c r="D1372" s="23" t="s">
        <v>165</v>
      </c>
      <c r="G1372" s="23">
        <v>0.8</v>
      </c>
      <c r="I1372" s="218" t="s">
        <v>2301</v>
      </c>
    </row>
    <row r="1373" spans="1:9" x14ac:dyDescent="0.25">
      <c r="A1373" s="23">
        <v>1375</v>
      </c>
      <c r="B1373" s="85">
        <v>45700</v>
      </c>
      <c r="C1373" s="23" t="s">
        <v>1275</v>
      </c>
      <c r="D1373" s="23" t="s">
        <v>170</v>
      </c>
      <c r="G1373" s="23">
        <v>0.8</v>
      </c>
      <c r="I1373" s="218" t="s">
        <v>2302</v>
      </c>
    </row>
    <row r="1374" spans="1:9" x14ac:dyDescent="0.25">
      <c r="A1374" s="23">
        <v>1376</v>
      </c>
      <c r="B1374" s="85">
        <v>45700</v>
      </c>
      <c r="C1374" s="23" t="s">
        <v>2303</v>
      </c>
      <c r="D1374" s="23" t="s">
        <v>268</v>
      </c>
      <c r="G1374" s="23">
        <v>0</v>
      </c>
      <c r="I1374" s="218" t="s">
        <v>2304</v>
      </c>
    </row>
    <row r="1375" spans="1:9" x14ac:dyDescent="0.25">
      <c r="A1375" s="23">
        <v>1377</v>
      </c>
      <c r="B1375" s="85">
        <v>45700</v>
      </c>
      <c r="C1375" s="23" t="s">
        <v>222</v>
      </c>
      <c r="D1375" s="23" t="s">
        <v>172</v>
      </c>
      <c r="G1375" s="23">
        <v>0.8</v>
      </c>
      <c r="I1375" s="218" t="s">
        <v>2305</v>
      </c>
    </row>
    <row r="1376" spans="1:9" x14ac:dyDescent="0.25">
      <c r="A1376" s="23">
        <v>1378</v>
      </c>
      <c r="B1376" s="85">
        <v>45700</v>
      </c>
      <c r="C1376" s="23" t="s">
        <v>2001</v>
      </c>
      <c r="D1376" s="23" t="s">
        <v>174</v>
      </c>
      <c r="G1376" s="23">
        <v>0.8</v>
      </c>
      <c r="I1376" s="218" t="s">
        <v>2306</v>
      </c>
    </row>
    <row r="1377" spans="1:9" x14ac:dyDescent="0.25">
      <c r="A1377" s="23">
        <v>1378</v>
      </c>
      <c r="B1377" s="85">
        <v>45700</v>
      </c>
      <c r="C1377" s="23" t="s">
        <v>2287</v>
      </c>
      <c r="D1377" s="23" t="s">
        <v>177</v>
      </c>
      <c r="G1377" s="23">
        <v>0.8</v>
      </c>
      <c r="I1377" s="218" t="s">
        <v>2307</v>
      </c>
    </row>
    <row r="1378" spans="1:9" x14ac:dyDescent="0.25">
      <c r="A1378" s="23">
        <v>1379</v>
      </c>
      <c r="B1378" s="85">
        <v>45700</v>
      </c>
      <c r="C1378" s="23" t="s">
        <v>2308</v>
      </c>
      <c r="D1378" s="23" t="s">
        <v>202</v>
      </c>
      <c r="G1378" s="23">
        <v>0.8</v>
      </c>
      <c r="I1378" s="218" t="s">
        <v>2309</v>
      </c>
    </row>
    <row r="1379" spans="1:9" x14ac:dyDescent="0.25">
      <c r="A1379" s="23">
        <v>1380</v>
      </c>
      <c r="B1379" s="85">
        <v>45700</v>
      </c>
      <c r="C1379" s="23" t="s">
        <v>971</v>
      </c>
      <c r="D1379" s="23" t="s">
        <v>263</v>
      </c>
      <c r="G1379" s="23">
        <v>0.85333333333333339</v>
      </c>
      <c r="I1379" s="218" t="s">
        <v>2310</v>
      </c>
    </row>
    <row r="1380" spans="1:9" x14ac:dyDescent="0.25">
      <c r="A1380" s="23">
        <v>1381</v>
      </c>
      <c r="B1380" s="85">
        <v>45700</v>
      </c>
      <c r="C1380" s="23" t="s">
        <v>286</v>
      </c>
      <c r="D1380" s="23" t="s">
        <v>302</v>
      </c>
      <c r="G1380" s="23">
        <v>0.8</v>
      </c>
      <c r="I1380" s="218" t="s">
        <v>2311</v>
      </c>
    </row>
    <row r="1381" spans="1:9" x14ac:dyDescent="0.25">
      <c r="A1381" s="23">
        <v>1382</v>
      </c>
      <c r="B1381" s="85">
        <v>45700</v>
      </c>
      <c r="C1381" s="23" t="s">
        <v>2312</v>
      </c>
      <c r="D1381" s="23" t="s">
        <v>261</v>
      </c>
      <c r="G1381" s="23">
        <v>0.85333333333333339</v>
      </c>
      <c r="I1381" s="218" t="s">
        <v>2313</v>
      </c>
    </row>
    <row r="1382" spans="1:9" x14ac:dyDescent="0.25">
      <c r="A1382" s="23">
        <v>1383</v>
      </c>
      <c r="B1382" s="85">
        <v>45700</v>
      </c>
      <c r="C1382" s="23" t="s">
        <v>2312</v>
      </c>
      <c r="D1382" s="23" t="s">
        <v>264</v>
      </c>
      <c r="G1382" s="23">
        <v>0.85333333333333339</v>
      </c>
      <c r="I1382" s="218" t="s">
        <v>2314</v>
      </c>
    </row>
    <row r="1383" spans="1:9" x14ac:dyDescent="0.25">
      <c r="A1383" s="23">
        <v>1384</v>
      </c>
      <c r="B1383" s="85">
        <v>45700</v>
      </c>
      <c r="C1383" s="23" t="s">
        <v>167</v>
      </c>
      <c r="D1383" s="23" t="s">
        <v>186</v>
      </c>
      <c r="G1383" s="23">
        <v>0</v>
      </c>
      <c r="I1383" s="218" t="s">
        <v>2315</v>
      </c>
    </row>
    <row r="1384" spans="1:9" x14ac:dyDescent="0.25">
      <c r="A1384" s="23">
        <v>1384</v>
      </c>
      <c r="B1384" s="85">
        <v>45700</v>
      </c>
      <c r="C1384" s="23" t="s">
        <v>167</v>
      </c>
      <c r="D1384" s="23" t="s">
        <v>186</v>
      </c>
      <c r="G1384" s="23">
        <v>1</v>
      </c>
      <c r="I1384" s="218" t="s">
        <v>295</v>
      </c>
    </row>
    <row r="1385" spans="1:9" x14ac:dyDescent="0.25">
      <c r="A1385" s="23">
        <v>1385</v>
      </c>
      <c r="B1385" s="85">
        <v>45700</v>
      </c>
      <c r="C1385" s="23" t="s">
        <v>156</v>
      </c>
      <c r="D1385" s="23" t="s">
        <v>155</v>
      </c>
      <c r="G1385" s="23">
        <v>0.66500000000000004</v>
      </c>
      <c r="I1385" s="218" t="s">
        <v>2316</v>
      </c>
    </row>
    <row r="1386" spans="1:9" x14ac:dyDescent="0.25">
      <c r="A1386" s="23">
        <v>1386</v>
      </c>
      <c r="B1386" s="85">
        <v>45700</v>
      </c>
      <c r="C1386" s="23" t="s">
        <v>167</v>
      </c>
      <c r="D1386" s="23" t="s">
        <v>166</v>
      </c>
      <c r="G1386" s="23">
        <v>0</v>
      </c>
      <c r="I1386" s="218" t="s">
        <v>2317</v>
      </c>
    </row>
    <row r="1387" spans="1:9" x14ac:dyDescent="0.25">
      <c r="A1387" s="23">
        <v>1387</v>
      </c>
      <c r="B1387" s="85">
        <v>45700</v>
      </c>
      <c r="C1387" s="23" t="s">
        <v>2319</v>
      </c>
      <c r="D1387" s="23" t="s">
        <v>202</v>
      </c>
      <c r="G1387" s="23">
        <v>0</v>
      </c>
      <c r="I1387" s="218" t="s">
        <v>2320</v>
      </c>
    </row>
    <row r="1388" spans="1:9" x14ac:dyDescent="0.25">
      <c r="A1388" s="23">
        <v>1388</v>
      </c>
      <c r="B1388" s="85">
        <v>45700</v>
      </c>
      <c r="C1388" s="23" t="s">
        <v>2319</v>
      </c>
      <c r="D1388" s="23" t="s">
        <v>302</v>
      </c>
      <c r="G1388" s="23">
        <v>0</v>
      </c>
      <c r="I1388" s="218" t="s">
        <v>2321</v>
      </c>
    </row>
    <row r="1389" spans="1:9" x14ac:dyDescent="0.25">
      <c r="A1389" s="23">
        <v>1389</v>
      </c>
      <c r="B1389" s="85">
        <v>45700</v>
      </c>
      <c r="C1389" s="23" t="s">
        <v>2322</v>
      </c>
      <c r="D1389" s="23" t="s">
        <v>177</v>
      </c>
      <c r="G1389" s="23">
        <v>0</v>
      </c>
      <c r="I1389" s="218" t="s">
        <v>2323</v>
      </c>
    </row>
    <row r="1390" spans="1:9" x14ac:dyDescent="0.25">
      <c r="A1390" s="23">
        <v>1390</v>
      </c>
      <c r="B1390" s="85">
        <v>45700</v>
      </c>
      <c r="C1390" s="23" t="s">
        <v>2322</v>
      </c>
      <c r="D1390" s="23" t="s">
        <v>178</v>
      </c>
      <c r="G1390" s="23">
        <v>0</v>
      </c>
      <c r="I1390" s="218" t="s">
        <v>2324</v>
      </c>
    </row>
    <row r="1391" spans="1:9" x14ac:dyDescent="0.25">
      <c r="A1391" s="23">
        <v>1391</v>
      </c>
      <c r="B1391" s="85">
        <v>45700</v>
      </c>
      <c r="C1391" s="23" t="s">
        <v>2325</v>
      </c>
      <c r="D1391" s="23" t="s">
        <v>161</v>
      </c>
      <c r="G1391" s="23">
        <v>0</v>
      </c>
      <c r="I1391" s="218" t="s">
        <v>2326</v>
      </c>
    </row>
    <row r="1392" spans="1:9" x14ac:dyDescent="0.25">
      <c r="A1392" s="23">
        <v>1392</v>
      </c>
      <c r="B1392" s="85">
        <v>45700</v>
      </c>
      <c r="C1392" s="23" t="s">
        <v>2325</v>
      </c>
      <c r="D1392" s="23" t="s">
        <v>162</v>
      </c>
      <c r="G1392" s="23">
        <v>0</v>
      </c>
      <c r="I1392" s="218" t="s">
        <v>2327</v>
      </c>
    </row>
    <row r="1393" spans="1:9" x14ac:dyDescent="0.25">
      <c r="A1393" s="23">
        <v>1393</v>
      </c>
      <c r="B1393" s="85">
        <v>45700</v>
      </c>
      <c r="C1393" s="23" t="s">
        <v>1127</v>
      </c>
      <c r="D1393" s="23" t="s">
        <v>164</v>
      </c>
      <c r="G1393" s="23">
        <v>0</v>
      </c>
      <c r="I1393" s="218" t="s">
        <v>2328</v>
      </c>
    </row>
    <row r="1394" spans="1:9" x14ac:dyDescent="0.25">
      <c r="A1394" s="23">
        <v>1394</v>
      </c>
      <c r="B1394" s="85">
        <v>45700</v>
      </c>
      <c r="C1394" s="23" t="s">
        <v>1127</v>
      </c>
      <c r="D1394" s="23" t="s">
        <v>165</v>
      </c>
      <c r="G1394" s="23">
        <v>0</v>
      </c>
      <c r="I1394" s="218" t="s">
        <v>2329</v>
      </c>
    </row>
    <row r="1395" spans="1:9" x14ac:dyDescent="0.25">
      <c r="A1395" s="23">
        <v>1395</v>
      </c>
      <c r="B1395" s="85">
        <v>45700</v>
      </c>
      <c r="C1395" s="23" t="s">
        <v>782</v>
      </c>
      <c r="D1395" s="23" t="s">
        <v>177</v>
      </c>
      <c r="G1395" s="23">
        <v>0.8</v>
      </c>
      <c r="I1395" s="218" t="s">
        <v>2330</v>
      </c>
    </row>
    <row r="1396" spans="1:9" x14ac:dyDescent="0.25">
      <c r="A1396" s="23">
        <v>1396</v>
      </c>
      <c r="B1396" s="85">
        <v>45700</v>
      </c>
      <c r="C1396" s="23" t="s">
        <v>1134</v>
      </c>
      <c r="D1396" s="23" t="s">
        <v>168</v>
      </c>
      <c r="G1396" s="23">
        <v>0</v>
      </c>
      <c r="I1396" s="218" t="s">
        <v>2331</v>
      </c>
    </row>
    <row r="1397" spans="1:9" x14ac:dyDescent="0.25">
      <c r="A1397" s="23">
        <v>1397</v>
      </c>
      <c r="B1397" s="85">
        <v>45700</v>
      </c>
      <c r="C1397" s="23" t="s">
        <v>2332</v>
      </c>
      <c r="D1397" s="23" t="s">
        <v>178</v>
      </c>
      <c r="G1397" s="23">
        <v>0.8</v>
      </c>
      <c r="I1397" s="218" t="s">
        <v>2333</v>
      </c>
    </row>
    <row r="1398" spans="1:9" x14ac:dyDescent="0.25">
      <c r="A1398" s="23">
        <v>1398</v>
      </c>
      <c r="B1398" s="85">
        <v>45700</v>
      </c>
      <c r="C1398" s="23" t="s">
        <v>1760</v>
      </c>
      <c r="D1398" s="23" t="s">
        <v>175</v>
      </c>
      <c r="G1398" s="23">
        <v>0</v>
      </c>
      <c r="I1398" s="218" t="s">
        <v>2334</v>
      </c>
    </row>
    <row r="1399" spans="1:9" x14ac:dyDescent="0.25">
      <c r="A1399" s="23">
        <v>1399</v>
      </c>
      <c r="B1399" s="85">
        <v>45700</v>
      </c>
      <c r="C1399" s="23" t="s">
        <v>1760</v>
      </c>
      <c r="D1399" s="23" t="s">
        <v>154</v>
      </c>
      <c r="G1399" s="23">
        <v>0</v>
      </c>
      <c r="I1399" s="218" t="s">
        <v>2335</v>
      </c>
    </row>
    <row r="1400" spans="1:9" x14ac:dyDescent="0.25">
      <c r="A1400" s="23">
        <v>1400</v>
      </c>
      <c r="B1400" s="85">
        <v>45700</v>
      </c>
      <c r="C1400" s="23" t="s">
        <v>1760</v>
      </c>
      <c r="D1400" s="23" t="s">
        <v>153</v>
      </c>
      <c r="G1400" s="23">
        <v>0</v>
      </c>
      <c r="I1400" s="218" t="s">
        <v>2336</v>
      </c>
    </row>
    <row r="1401" spans="1:9" x14ac:dyDescent="0.25">
      <c r="A1401" s="23">
        <v>1401</v>
      </c>
      <c r="B1401" s="85">
        <v>45700</v>
      </c>
      <c r="C1401" s="23" t="s">
        <v>793</v>
      </c>
      <c r="D1401" s="23" t="s">
        <v>161</v>
      </c>
      <c r="G1401" s="23">
        <v>0.8</v>
      </c>
      <c r="I1401" s="218" t="s">
        <v>2337</v>
      </c>
    </row>
    <row r="1402" spans="1:9" x14ac:dyDescent="0.25">
      <c r="A1402" s="23">
        <v>1402</v>
      </c>
      <c r="B1402" s="85">
        <v>45700</v>
      </c>
      <c r="C1402" s="23" t="s">
        <v>791</v>
      </c>
      <c r="D1402" s="23" t="s">
        <v>162</v>
      </c>
      <c r="G1402" s="23">
        <v>0.8</v>
      </c>
      <c r="I1402" s="218" t="s">
        <v>2338</v>
      </c>
    </row>
    <row r="1403" spans="1:9" x14ac:dyDescent="0.25">
      <c r="A1403" s="23">
        <v>1403</v>
      </c>
      <c r="B1403" s="85">
        <v>45700</v>
      </c>
      <c r="C1403" s="23" t="s">
        <v>2339</v>
      </c>
      <c r="D1403" s="23" t="s">
        <v>164</v>
      </c>
      <c r="G1403" s="23">
        <v>0.8</v>
      </c>
      <c r="I1403" s="218" t="s">
        <v>2340</v>
      </c>
    </row>
    <row r="1404" spans="1:9" x14ac:dyDescent="0.25">
      <c r="A1404" s="23">
        <v>1404</v>
      </c>
      <c r="B1404" s="85">
        <v>45700</v>
      </c>
      <c r="C1404" s="23" t="s">
        <v>2341</v>
      </c>
      <c r="D1404" s="23" t="s">
        <v>170</v>
      </c>
      <c r="G1404" s="23">
        <v>0</v>
      </c>
      <c r="I1404" s="218" t="s">
        <v>2342</v>
      </c>
    </row>
    <row r="1405" spans="1:9" x14ac:dyDescent="0.25">
      <c r="A1405" s="23">
        <v>1405</v>
      </c>
      <c r="B1405" s="85">
        <v>45700</v>
      </c>
      <c r="C1405" s="23" t="s">
        <v>2343</v>
      </c>
      <c r="D1405" s="23" t="s">
        <v>153</v>
      </c>
      <c r="G1405" s="23">
        <v>0.5</v>
      </c>
      <c r="I1405" s="218" t="s">
        <v>2344</v>
      </c>
    </row>
    <row r="1406" spans="1:9" x14ac:dyDescent="0.25">
      <c r="A1406" s="23">
        <v>1406</v>
      </c>
      <c r="B1406" s="85">
        <v>45700</v>
      </c>
      <c r="C1406" s="23" t="s">
        <v>2345</v>
      </c>
      <c r="D1406" s="23" t="s">
        <v>153</v>
      </c>
      <c r="G1406" s="23">
        <v>0</v>
      </c>
      <c r="I1406" s="218" t="s">
        <v>2344</v>
      </c>
    </row>
    <row r="1407" spans="1:9" x14ac:dyDescent="0.25">
      <c r="A1407" s="23">
        <v>1407</v>
      </c>
      <c r="B1407" s="85">
        <v>45700</v>
      </c>
      <c r="C1407" s="23" t="s">
        <v>2200</v>
      </c>
      <c r="D1407" s="23" t="s">
        <v>153</v>
      </c>
      <c r="G1407" s="23">
        <v>1</v>
      </c>
      <c r="I1407" s="218" t="s">
        <v>295</v>
      </c>
    </row>
    <row r="1408" spans="1:9" x14ac:dyDescent="0.25">
      <c r="A1408" s="23">
        <v>1408</v>
      </c>
      <c r="B1408" s="85">
        <v>45700</v>
      </c>
      <c r="C1408" s="23" t="s">
        <v>2343</v>
      </c>
      <c r="D1408" s="23" t="s">
        <v>170</v>
      </c>
      <c r="G1408" s="23">
        <v>0.8</v>
      </c>
      <c r="I1408" s="218" t="s">
        <v>2346</v>
      </c>
    </row>
    <row r="1409" spans="1:9" x14ac:dyDescent="0.25">
      <c r="A1409" s="23">
        <v>1409</v>
      </c>
      <c r="B1409" s="85">
        <v>45700</v>
      </c>
      <c r="C1409" s="23" t="s">
        <v>2347</v>
      </c>
      <c r="D1409" s="23" t="s">
        <v>165</v>
      </c>
      <c r="G1409" s="23">
        <v>0.8</v>
      </c>
      <c r="I1409" s="218" t="s">
        <v>2348</v>
      </c>
    </row>
    <row r="1410" spans="1:9" x14ac:dyDescent="0.25">
      <c r="A1410" s="23">
        <v>1410</v>
      </c>
      <c r="B1410" s="85">
        <v>45700</v>
      </c>
      <c r="C1410" s="23" t="s">
        <v>2347</v>
      </c>
      <c r="D1410" s="23" t="s">
        <v>168</v>
      </c>
      <c r="G1410" s="23">
        <v>0.8</v>
      </c>
      <c r="I1410" s="218" t="s">
        <v>2349</v>
      </c>
    </row>
    <row r="1411" spans="1:9" x14ac:dyDescent="0.25">
      <c r="A1411" s="23">
        <v>1411</v>
      </c>
      <c r="B1411" s="85">
        <v>45700</v>
      </c>
      <c r="C1411" s="23" t="s">
        <v>1323</v>
      </c>
      <c r="D1411" s="23" t="s">
        <v>202</v>
      </c>
      <c r="G1411" s="23">
        <v>0.8</v>
      </c>
      <c r="I1411" s="218" t="s">
        <v>2350</v>
      </c>
    </row>
    <row r="1412" spans="1:9" x14ac:dyDescent="0.25">
      <c r="A1412" s="23">
        <v>1412</v>
      </c>
      <c r="B1412" s="85">
        <v>45700</v>
      </c>
      <c r="C1412" s="23" t="s">
        <v>1323</v>
      </c>
      <c r="D1412" s="23" t="s">
        <v>302</v>
      </c>
      <c r="G1412" s="23">
        <v>0.8</v>
      </c>
      <c r="I1412" s="218" t="s">
        <v>2351</v>
      </c>
    </row>
    <row r="1413" spans="1:9" x14ac:dyDescent="0.25">
      <c r="A1413" s="23">
        <v>1413</v>
      </c>
      <c r="B1413" s="85">
        <v>45700</v>
      </c>
      <c r="C1413" s="23" t="s">
        <v>2352</v>
      </c>
      <c r="D1413" s="23" t="s">
        <v>175</v>
      </c>
      <c r="G1413" s="23">
        <v>0.5</v>
      </c>
      <c r="I1413" s="218" t="s">
        <v>2353</v>
      </c>
    </row>
    <row r="1414" spans="1:9" x14ac:dyDescent="0.25">
      <c r="A1414" s="23">
        <v>1414</v>
      </c>
      <c r="B1414" s="85">
        <v>45700</v>
      </c>
      <c r="C1414" s="23" t="s">
        <v>2081</v>
      </c>
      <c r="D1414" s="23" t="s">
        <v>174</v>
      </c>
      <c r="G1414" s="23">
        <v>0</v>
      </c>
      <c r="I1414" s="218" t="s">
        <v>2354</v>
      </c>
    </row>
    <row r="1415" spans="1:9" x14ac:dyDescent="0.25">
      <c r="A1415" s="23">
        <v>1415</v>
      </c>
      <c r="B1415" s="85">
        <v>45700</v>
      </c>
      <c r="C1415" s="23" t="s">
        <v>1473</v>
      </c>
      <c r="D1415" s="23" t="s">
        <v>172</v>
      </c>
      <c r="G1415" s="23">
        <v>0</v>
      </c>
      <c r="I1415" s="218" t="s">
        <v>2355</v>
      </c>
    </row>
    <row r="1416" spans="1:9" x14ac:dyDescent="0.25">
      <c r="A1416" s="23">
        <v>1416</v>
      </c>
      <c r="B1416" s="85">
        <v>45700</v>
      </c>
      <c r="C1416" s="23" t="s">
        <v>526</v>
      </c>
      <c r="D1416" s="23" t="s">
        <v>166</v>
      </c>
      <c r="G1416" s="23">
        <v>0.62</v>
      </c>
      <c r="I1416" s="218" t="s">
        <v>2356</v>
      </c>
    </row>
    <row r="1417" spans="1:9" x14ac:dyDescent="0.25">
      <c r="A1417" s="23">
        <v>1417</v>
      </c>
      <c r="B1417" s="85">
        <v>45700</v>
      </c>
      <c r="C1417" s="23" t="s">
        <v>528</v>
      </c>
      <c r="D1417" s="23" t="s">
        <v>160</v>
      </c>
      <c r="G1417" s="23">
        <v>0</v>
      </c>
      <c r="I1417" s="218" t="s">
        <v>2357</v>
      </c>
    </row>
    <row r="1418" spans="1:9" x14ac:dyDescent="0.25">
      <c r="A1418" s="23">
        <v>1418</v>
      </c>
      <c r="B1418" s="85">
        <v>45700</v>
      </c>
      <c r="C1418" s="23" t="s">
        <v>2358</v>
      </c>
      <c r="D1418" s="23" t="s">
        <v>202</v>
      </c>
      <c r="G1418" s="23">
        <v>0</v>
      </c>
      <c r="I1418" s="218" t="s">
        <v>2359</v>
      </c>
    </row>
    <row r="1419" spans="1:9" x14ac:dyDescent="0.25">
      <c r="A1419" s="23">
        <v>1419</v>
      </c>
      <c r="B1419" s="85">
        <v>45700</v>
      </c>
      <c r="C1419" s="23" t="s">
        <v>2358</v>
      </c>
      <c r="D1419" s="23" t="s">
        <v>177</v>
      </c>
      <c r="G1419" s="23">
        <v>0</v>
      </c>
      <c r="I1419" s="218" t="s">
        <v>2360</v>
      </c>
    </row>
    <row r="1420" spans="1:9" x14ac:dyDescent="0.25">
      <c r="A1420" s="23">
        <v>1420</v>
      </c>
      <c r="B1420" s="85">
        <v>45700</v>
      </c>
      <c r="C1420" s="23" t="s">
        <v>2361</v>
      </c>
      <c r="D1420" s="23" t="s">
        <v>178</v>
      </c>
      <c r="G1420" s="23">
        <v>0</v>
      </c>
      <c r="I1420" s="218" t="s">
        <v>2362</v>
      </c>
    </row>
    <row r="1421" spans="1:9" x14ac:dyDescent="0.25">
      <c r="A1421" s="23">
        <v>1421</v>
      </c>
      <c r="B1421" s="85">
        <v>45700</v>
      </c>
      <c r="C1421" s="23" t="s">
        <v>1889</v>
      </c>
      <c r="D1421" s="23" t="s">
        <v>161</v>
      </c>
      <c r="G1421" s="23">
        <v>0</v>
      </c>
      <c r="I1421" s="218" t="s">
        <v>2363</v>
      </c>
    </row>
    <row r="1422" spans="1:9" x14ac:dyDescent="0.25">
      <c r="A1422" s="23">
        <v>1422</v>
      </c>
      <c r="B1422" s="85">
        <v>45700</v>
      </c>
      <c r="C1422" s="23" t="s">
        <v>832</v>
      </c>
      <c r="D1422" s="23" t="s">
        <v>172</v>
      </c>
      <c r="G1422" s="23">
        <v>0.8</v>
      </c>
      <c r="I1422" s="218" t="s">
        <v>2364</v>
      </c>
    </row>
    <row r="1423" spans="1:9" x14ac:dyDescent="0.25">
      <c r="A1423" s="23">
        <v>1423</v>
      </c>
      <c r="B1423" s="85">
        <v>45700</v>
      </c>
      <c r="C1423" s="23" t="s">
        <v>2365</v>
      </c>
      <c r="D1423" s="23" t="s">
        <v>174</v>
      </c>
      <c r="G1423" s="23">
        <v>0.8</v>
      </c>
      <c r="I1423" s="218" t="s">
        <v>2366</v>
      </c>
    </row>
    <row r="1424" spans="1:9" x14ac:dyDescent="0.25">
      <c r="A1424" s="23">
        <v>1424</v>
      </c>
      <c r="B1424" s="85">
        <v>45700</v>
      </c>
      <c r="C1424" s="23" t="s">
        <v>182</v>
      </c>
      <c r="D1424" s="23" t="s">
        <v>202</v>
      </c>
      <c r="G1424" s="23">
        <v>0.8</v>
      </c>
      <c r="I1424" s="218" t="s">
        <v>2367</v>
      </c>
    </row>
    <row r="1425" spans="1:9" x14ac:dyDescent="0.25">
      <c r="A1425" s="23">
        <v>1425</v>
      </c>
      <c r="B1425" s="85">
        <v>45700</v>
      </c>
      <c r="C1425" s="23" t="s">
        <v>1346</v>
      </c>
      <c r="D1425" s="23" t="s">
        <v>159</v>
      </c>
      <c r="G1425" s="23">
        <v>0.78</v>
      </c>
      <c r="I1425" s="218" t="s">
        <v>2368</v>
      </c>
    </row>
    <row r="1426" spans="1:9" x14ac:dyDescent="0.25">
      <c r="A1426" s="23">
        <v>1426</v>
      </c>
      <c r="B1426" s="85">
        <v>45700</v>
      </c>
      <c r="C1426" s="23" t="s">
        <v>1174</v>
      </c>
      <c r="D1426" s="23" t="s">
        <v>169</v>
      </c>
      <c r="G1426" s="23">
        <v>0</v>
      </c>
      <c r="I1426" s="218" t="s">
        <v>2369</v>
      </c>
    </row>
    <row r="1427" spans="1:9" x14ac:dyDescent="0.25">
      <c r="A1427" s="23">
        <v>1427</v>
      </c>
      <c r="B1427" s="85">
        <v>45700</v>
      </c>
      <c r="C1427" s="23" t="s">
        <v>1638</v>
      </c>
      <c r="D1427" s="23" t="s">
        <v>177</v>
      </c>
      <c r="G1427" s="23">
        <v>0.8</v>
      </c>
      <c r="I1427" s="218" t="s">
        <v>2370</v>
      </c>
    </row>
    <row r="1428" spans="1:9" x14ac:dyDescent="0.25">
      <c r="A1428" s="23">
        <v>1428</v>
      </c>
      <c r="B1428" s="85">
        <v>45700</v>
      </c>
      <c r="C1428" s="23" t="s">
        <v>2371</v>
      </c>
      <c r="D1428" s="23" t="s">
        <v>302</v>
      </c>
      <c r="G1428" s="23">
        <v>0</v>
      </c>
      <c r="I1428" s="218" t="s">
        <v>2372</v>
      </c>
    </row>
    <row r="1429" spans="1:9" x14ac:dyDescent="0.25">
      <c r="A1429" s="23">
        <v>1429</v>
      </c>
      <c r="B1429" s="85">
        <v>45700</v>
      </c>
      <c r="C1429" s="23" t="s">
        <v>2373</v>
      </c>
      <c r="D1429" s="23" t="s">
        <v>162</v>
      </c>
      <c r="G1429" s="23">
        <v>0</v>
      </c>
      <c r="I1429" s="218" t="s">
        <v>2374</v>
      </c>
    </row>
    <row r="1430" spans="1:9" x14ac:dyDescent="0.25">
      <c r="A1430" s="23">
        <v>1430</v>
      </c>
      <c r="B1430" s="85">
        <v>45700</v>
      </c>
      <c r="C1430" s="23" t="s">
        <v>1486</v>
      </c>
      <c r="D1430" s="23" t="s">
        <v>164</v>
      </c>
      <c r="G1430" s="23">
        <v>0</v>
      </c>
      <c r="I1430" s="218" t="s">
        <v>2375</v>
      </c>
    </row>
    <row r="1431" spans="1:9" x14ac:dyDescent="0.25">
      <c r="A1431" s="23">
        <v>1431</v>
      </c>
      <c r="B1431" s="85">
        <v>45700</v>
      </c>
      <c r="C1431" s="23" t="s">
        <v>1646</v>
      </c>
      <c r="D1431" s="23" t="s">
        <v>165</v>
      </c>
      <c r="G1431" s="23">
        <v>0</v>
      </c>
      <c r="I1431" s="218" t="s">
        <v>2376</v>
      </c>
    </row>
    <row r="1432" spans="1:9" x14ac:dyDescent="0.25">
      <c r="A1432" s="23">
        <v>1432</v>
      </c>
      <c r="B1432" s="85">
        <v>45700</v>
      </c>
      <c r="C1432" s="23" t="s">
        <v>2377</v>
      </c>
      <c r="D1432" s="23" t="s">
        <v>170</v>
      </c>
      <c r="G1432" s="23">
        <v>0</v>
      </c>
      <c r="I1432" s="218" t="s">
        <v>2378</v>
      </c>
    </row>
    <row r="1433" spans="1:9" x14ac:dyDescent="0.25">
      <c r="A1433" s="23">
        <v>1433</v>
      </c>
      <c r="B1433" s="85">
        <v>45700</v>
      </c>
      <c r="C1433" s="23" t="s">
        <v>2379</v>
      </c>
      <c r="D1433" s="23" t="s">
        <v>168</v>
      </c>
      <c r="G1433" s="23">
        <v>0</v>
      </c>
      <c r="I1433" s="218" t="s">
        <v>2380</v>
      </c>
    </row>
    <row r="1434" spans="1:9" x14ac:dyDescent="0.25">
      <c r="A1434" s="23">
        <v>1434</v>
      </c>
      <c r="B1434" s="85">
        <v>45700</v>
      </c>
      <c r="C1434" s="23" t="s">
        <v>1788</v>
      </c>
      <c r="D1434" s="23" t="s">
        <v>154</v>
      </c>
      <c r="G1434" s="23">
        <v>3.5</v>
      </c>
      <c r="I1434" s="218" t="s">
        <v>2381</v>
      </c>
    </row>
    <row r="1435" spans="1:9" x14ac:dyDescent="0.25">
      <c r="A1435" s="23">
        <v>1435</v>
      </c>
      <c r="B1435" s="85">
        <v>45700</v>
      </c>
      <c r="C1435" s="23" t="s">
        <v>1188</v>
      </c>
      <c r="D1435" s="23" t="s">
        <v>172</v>
      </c>
      <c r="G1435" s="23">
        <v>0</v>
      </c>
      <c r="I1435" s="218" t="s">
        <v>2382</v>
      </c>
    </row>
    <row r="1436" spans="1:9" x14ac:dyDescent="0.25">
      <c r="A1436" s="23">
        <v>1436</v>
      </c>
      <c r="B1436" s="85">
        <v>45700</v>
      </c>
      <c r="C1436" s="23" t="s">
        <v>2383</v>
      </c>
      <c r="D1436" s="23" t="s">
        <v>174</v>
      </c>
      <c r="G1436" s="23">
        <v>0</v>
      </c>
      <c r="I1436" s="218" t="s">
        <v>2384</v>
      </c>
    </row>
    <row r="1437" spans="1:9" x14ac:dyDescent="0.25">
      <c r="A1437" s="23">
        <v>1437</v>
      </c>
      <c r="B1437" s="85">
        <v>45700</v>
      </c>
      <c r="C1437" s="23" t="s">
        <v>1492</v>
      </c>
      <c r="D1437" s="23" t="s">
        <v>202</v>
      </c>
      <c r="G1437" s="23">
        <v>0</v>
      </c>
      <c r="I1437" s="218" t="s">
        <v>2385</v>
      </c>
    </row>
    <row r="1438" spans="1:9" x14ac:dyDescent="0.25">
      <c r="A1438" s="23">
        <v>1438</v>
      </c>
      <c r="B1438" s="85">
        <v>45700</v>
      </c>
      <c r="C1438" s="23" t="s">
        <v>1802</v>
      </c>
      <c r="D1438" s="23" t="s">
        <v>177</v>
      </c>
      <c r="G1438" s="23">
        <v>0</v>
      </c>
      <c r="I1438" s="218" t="s">
        <v>2386</v>
      </c>
    </row>
    <row r="1439" spans="1:9" x14ac:dyDescent="0.25">
      <c r="A1439" s="23">
        <v>1439</v>
      </c>
      <c r="B1439" s="85">
        <v>45700</v>
      </c>
      <c r="C1439" s="23" t="s">
        <v>2387</v>
      </c>
      <c r="D1439" s="23" t="s">
        <v>144</v>
      </c>
      <c r="G1439" s="23">
        <v>0</v>
      </c>
      <c r="I1439" s="218" t="s">
        <v>2388</v>
      </c>
    </row>
    <row r="1440" spans="1:9" x14ac:dyDescent="0.25">
      <c r="A1440" s="23">
        <v>1440</v>
      </c>
      <c r="B1440" s="85">
        <v>45700</v>
      </c>
      <c r="C1440" s="23" t="s">
        <v>1203</v>
      </c>
      <c r="D1440" s="23" t="s">
        <v>252</v>
      </c>
      <c r="G1440" s="23">
        <v>0</v>
      </c>
      <c r="I1440" s="218" t="s">
        <v>2389</v>
      </c>
    </row>
    <row r="1441" spans="1:9" x14ac:dyDescent="0.25">
      <c r="A1441" s="23">
        <v>1441</v>
      </c>
      <c r="B1441" s="85">
        <v>45700</v>
      </c>
      <c r="C1441" s="23" t="s">
        <v>2390</v>
      </c>
      <c r="D1441" s="23" t="s">
        <v>268</v>
      </c>
      <c r="G1441" s="23">
        <v>0.8</v>
      </c>
      <c r="I1441" s="218" t="s">
        <v>2391</v>
      </c>
    </row>
    <row r="1442" spans="1:9" x14ac:dyDescent="0.25">
      <c r="A1442" s="23">
        <v>1442</v>
      </c>
      <c r="B1442" s="85">
        <v>45700</v>
      </c>
      <c r="C1442" s="23" t="s">
        <v>1203</v>
      </c>
      <c r="D1442" s="23" t="s">
        <v>261</v>
      </c>
      <c r="G1442" s="23">
        <v>0</v>
      </c>
      <c r="I1442" s="218" t="s">
        <v>2392</v>
      </c>
    </row>
    <row r="1443" spans="1:9" x14ac:dyDescent="0.25">
      <c r="A1443" s="23">
        <v>1443</v>
      </c>
      <c r="B1443" s="85">
        <v>45700</v>
      </c>
      <c r="C1443" s="23" t="s">
        <v>2393</v>
      </c>
      <c r="D1443" s="23" t="s">
        <v>273</v>
      </c>
      <c r="G1443" s="23">
        <v>0</v>
      </c>
      <c r="I1443" s="218" t="s">
        <v>2394</v>
      </c>
    </row>
    <row r="1444" spans="1:9" x14ac:dyDescent="0.25">
      <c r="A1444" s="23">
        <v>1444</v>
      </c>
      <c r="B1444" s="85">
        <v>45700</v>
      </c>
      <c r="C1444" s="23" t="s">
        <v>2395</v>
      </c>
      <c r="D1444" s="23" t="s">
        <v>268</v>
      </c>
      <c r="G1444" s="23">
        <v>0</v>
      </c>
      <c r="I1444" s="218" t="s">
        <v>2396</v>
      </c>
    </row>
    <row r="1445" spans="1:9" x14ac:dyDescent="0.25">
      <c r="A1445" s="23">
        <v>1445</v>
      </c>
      <c r="B1445" s="85">
        <v>45700</v>
      </c>
      <c r="C1445" s="23" t="s">
        <v>2397</v>
      </c>
      <c r="D1445" s="23" t="s">
        <v>272</v>
      </c>
      <c r="G1445" s="23">
        <v>0</v>
      </c>
      <c r="I1445" s="218" t="s">
        <v>2398</v>
      </c>
    </row>
    <row r="1446" spans="1:9" x14ac:dyDescent="0.25">
      <c r="A1446" s="23">
        <v>1446</v>
      </c>
      <c r="B1446" s="85">
        <v>45700</v>
      </c>
      <c r="C1446" s="23" t="s">
        <v>1028</v>
      </c>
      <c r="D1446" s="23" t="s">
        <v>168</v>
      </c>
      <c r="G1446" s="23">
        <v>0.8</v>
      </c>
      <c r="I1446" s="218" t="s">
        <v>2399</v>
      </c>
    </row>
    <row r="1447" spans="1:9" x14ac:dyDescent="0.25">
      <c r="A1447" s="23">
        <v>1447</v>
      </c>
      <c r="B1447" s="85">
        <v>45700</v>
      </c>
      <c r="C1447" s="23" t="s">
        <v>1028</v>
      </c>
      <c r="D1447" s="23" t="s">
        <v>162</v>
      </c>
      <c r="G1447" s="23">
        <v>0.8</v>
      </c>
      <c r="I1447" s="218" t="s">
        <v>2400</v>
      </c>
    </row>
    <row r="1448" spans="1:9" x14ac:dyDescent="0.25">
      <c r="A1448" s="23">
        <v>1448</v>
      </c>
      <c r="B1448" s="85">
        <v>45700</v>
      </c>
      <c r="C1448" s="23" t="s">
        <v>1028</v>
      </c>
      <c r="D1448" s="23" t="s">
        <v>178</v>
      </c>
      <c r="G1448" s="23">
        <v>0.8</v>
      </c>
      <c r="I1448" s="218" t="s">
        <v>2401</v>
      </c>
    </row>
    <row r="1449" spans="1:9" x14ac:dyDescent="0.25">
      <c r="A1449" s="23">
        <v>1449</v>
      </c>
      <c r="B1449" s="85">
        <v>45700</v>
      </c>
      <c r="C1449" s="23" t="s">
        <v>220</v>
      </c>
      <c r="D1449" s="23" t="s">
        <v>186</v>
      </c>
      <c r="G1449" s="23">
        <v>0</v>
      </c>
      <c r="I1449" s="218" t="s">
        <v>2402</v>
      </c>
    </row>
    <row r="1450" spans="1:9" x14ac:dyDescent="0.25">
      <c r="A1450" s="23">
        <v>1450</v>
      </c>
      <c r="B1450" s="85">
        <v>45700</v>
      </c>
      <c r="C1450" s="23" t="s">
        <v>2403</v>
      </c>
      <c r="D1450" s="23" t="s">
        <v>178</v>
      </c>
      <c r="G1450" s="23">
        <v>0</v>
      </c>
      <c r="I1450" s="218" t="s">
        <v>2404</v>
      </c>
    </row>
    <row r="1451" spans="1:9" x14ac:dyDescent="0.25">
      <c r="A1451" s="23">
        <v>1451</v>
      </c>
      <c r="B1451" s="85">
        <v>45700</v>
      </c>
      <c r="C1451" s="23" t="s">
        <v>1673</v>
      </c>
      <c r="D1451" s="23" t="s">
        <v>168</v>
      </c>
      <c r="G1451" s="23">
        <v>0</v>
      </c>
      <c r="I1451" s="218" t="s">
        <v>2405</v>
      </c>
    </row>
    <row r="1452" spans="1:9" x14ac:dyDescent="0.25">
      <c r="A1452" s="23">
        <v>1452</v>
      </c>
      <c r="B1452" s="85">
        <v>45700</v>
      </c>
      <c r="C1452" s="23" t="s">
        <v>2406</v>
      </c>
      <c r="D1452" s="23" t="s">
        <v>162</v>
      </c>
      <c r="G1452" s="23">
        <v>0</v>
      </c>
      <c r="I1452" s="218" t="s">
        <v>2407</v>
      </c>
    </row>
    <row r="1453" spans="1:9" x14ac:dyDescent="0.25">
      <c r="A1453" s="23">
        <v>1453</v>
      </c>
      <c r="B1453" s="85">
        <v>45700</v>
      </c>
      <c r="C1453" s="23" t="s">
        <v>870</v>
      </c>
      <c r="D1453" s="23" t="s">
        <v>261</v>
      </c>
      <c r="G1453" s="23">
        <v>0.8</v>
      </c>
      <c r="I1453" s="218" t="s">
        <v>2408</v>
      </c>
    </row>
    <row r="1454" spans="1:9" x14ac:dyDescent="0.25">
      <c r="A1454" s="23">
        <v>1454</v>
      </c>
      <c r="B1454" s="85">
        <v>45700</v>
      </c>
      <c r="C1454" s="23" t="s">
        <v>2406</v>
      </c>
      <c r="D1454" s="23" t="s">
        <v>265</v>
      </c>
      <c r="G1454" s="23">
        <v>0</v>
      </c>
      <c r="I1454" s="218" t="s">
        <v>2409</v>
      </c>
    </row>
    <row r="1455" spans="1:9" x14ac:dyDescent="0.25">
      <c r="A1455" s="23">
        <v>1455</v>
      </c>
      <c r="B1455" s="85">
        <v>45700</v>
      </c>
      <c r="C1455" s="23" t="s">
        <v>680</v>
      </c>
      <c r="D1455" s="23" t="s">
        <v>160</v>
      </c>
      <c r="G1455" s="23">
        <v>0.48</v>
      </c>
      <c r="I1455" s="218" t="s">
        <v>2410</v>
      </c>
    </row>
    <row r="1456" spans="1:9" x14ac:dyDescent="0.25">
      <c r="A1456" s="23">
        <v>1456</v>
      </c>
      <c r="B1456" s="85">
        <v>45700</v>
      </c>
      <c r="C1456" s="23" t="s">
        <v>682</v>
      </c>
      <c r="D1456" s="23" t="s">
        <v>155</v>
      </c>
      <c r="G1456" s="23">
        <v>0</v>
      </c>
      <c r="I1456" s="218" t="s">
        <v>2411</v>
      </c>
    </row>
    <row r="1457" spans="1:9" x14ac:dyDescent="0.25">
      <c r="A1457" s="23">
        <v>1457</v>
      </c>
      <c r="B1457" s="85">
        <v>45700</v>
      </c>
      <c r="C1457" s="23" t="s">
        <v>541</v>
      </c>
      <c r="D1457" s="23" t="s">
        <v>264</v>
      </c>
      <c r="G1457" s="23">
        <v>0</v>
      </c>
      <c r="I1457" s="218" t="s">
        <v>2412</v>
      </c>
    </row>
    <row r="1458" spans="1:9" x14ac:dyDescent="0.25">
      <c r="A1458" s="23">
        <v>1459</v>
      </c>
      <c r="B1458" s="85">
        <v>45701</v>
      </c>
      <c r="C1458" s="23" t="s">
        <v>700</v>
      </c>
      <c r="D1458" s="23" t="s">
        <v>168</v>
      </c>
      <c r="G1458" s="23">
        <v>0.8</v>
      </c>
      <c r="I1458" s="218" t="s">
        <v>2413</v>
      </c>
    </row>
    <row r="1459" spans="1:9" x14ac:dyDescent="0.25">
      <c r="A1459" s="23">
        <v>1460</v>
      </c>
      <c r="B1459" s="85">
        <v>45701</v>
      </c>
      <c r="C1459" s="23" t="s">
        <v>399</v>
      </c>
      <c r="D1459" s="23" t="s">
        <v>165</v>
      </c>
      <c r="G1459" s="23">
        <v>0.8</v>
      </c>
      <c r="I1459" s="218" t="s">
        <v>2414</v>
      </c>
    </row>
    <row r="1460" spans="1:9" x14ac:dyDescent="0.25">
      <c r="A1460" s="23">
        <v>1461</v>
      </c>
      <c r="B1460" s="85">
        <v>45701</v>
      </c>
      <c r="C1460" s="23" t="s">
        <v>1382</v>
      </c>
      <c r="D1460" s="23" t="s">
        <v>158</v>
      </c>
      <c r="G1460" s="23">
        <v>0</v>
      </c>
      <c r="I1460" s="218" t="s">
        <v>2415</v>
      </c>
    </row>
    <row r="1461" spans="1:9" x14ac:dyDescent="0.25">
      <c r="A1461" s="23">
        <v>1462</v>
      </c>
      <c r="B1461" s="85">
        <v>45701</v>
      </c>
      <c r="C1461" s="23" t="s">
        <v>2416</v>
      </c>
      <c r="D1461" s="23" t="s">
        <v>252</v>
      </c>
      <c r="G1461" s="23">
        <v>0.9</v>
      </c>
      <c r="I1461" s="218" t="s">
        <v>2417</v>
      </c>
    </row>
    <row r="1462" spans="1:9" x14ac:dyDescent="0.25">
      <c r="A1462" s="23">
        <v>1463</v>
      </c>
      <c r="B1462" s="85">
        <v>45701</v>
      </c>
      <c r="C1462" s="23" t="s">
        <v>700</v>
      </c>
      <c r="D1462" s="23" t="s">
        <v>164</v>
      </c>
      <c r="G1462" s="23">
        <v>0.8</v>
      </c>
      <c r="I1462" s="218" t="s">
        <v>2418</v>
      </c>
    </row>
    <row r="1463" spans="1:9" x14ac:dyDescent="0.25">
      <c r="A1463" s="23">
        <v>1464</v>
      </c>
      <c r="B1463" s="85">
        <v>45701</v>
      </c>
      <c r="C1463" s="23" t="s">
        <v>2419</v>
      </c>
      <c r="D1463" s="23" t="s">
        <v>164</v>
      </c>
      <c r="G1463" s="23">
        <v>0</v>
      </c>
      <c r="I1463" s="218" t="s">
        <v>2418</v>
      </c>
    </row>
    <row r="1464" spans="1:9" x14ac:dyDescent="0.25">
      <c r="A1464" s="23">
        <v>1464</v>
      </c>
      <c r="B1464" s="85">
        <v>45701</v>
      </c>
      <c r="C1464" s="23" t="s">
        <v>2420</v>
      </c>
      <c r="D1464" s="23" t="s">
        <v>272</v>
      </c>
      <c r="G1464" s="23">
        <v>0.9</v>
      </c>
      <c r="I1464" s="218" t="s">
        <v>2421</v>
      </c>
    </row>
    <row r="1465" spans="1:9" x14ac:dyDescent="0.25">
      <c r="A1465" s="23">
        <v>1465</v>
      </c>
      <c r="B1465" s="85">
        <v>45701</v>
      </c>
      <c r="C1465" s="23" t="s">
        <v>2422</v>
      </c>
      <c r="D1465" s="23" t="s">
        <v>165</v>
      </c>
      <c r="G1465" s="23">
        <v>0</v>
      </c>
      <c r="I1465" s="218" t="s">
        <v>2414</v>
      </c>
    </row>
    <row r="1466" spans="1:9" x14ac:dyDescent="0.25">
      <c r="A1466" s="23">
        <v>1466</v>
      </c>
      <c r="B1466" s="85">
        <v>45701</v>
      </c>
      <c r="C1466" s="23" t="s">
        <v>2123</v>
      </c>
      <c r="D1466" s="23" t="s">
        <v>168</v>
      </c>
      <c r="G1466" s="23">
        <v>0</v>
      </c>
      <c r="I1466" s="218" t="s">
        <v>2413</v>
      </c>
    </row>
    <row r="1467" spans="1:9" x14ac:dyDescent="0.25">
      <c r="A1467" s="23">
        <v>1467</v>
      </c>
      <c r="B1467" s="85">
        <v>45701</v>
      </c>
      <c r="C1467" s="23" t="s">
        <v>1047</v>
      </c>
      <c r="D1467" s="23" t="s">
        <v>252</v>
      </c>
      <c r="G1467" s="23">
        <v>0</v>
      </c>
      <c r="I1467" s="218" t="s">
        <v>2423</v>
      </c>
    </row>
    <row r="1468" spans="1:9" x14ac:dyDescent="0.25">
      <c r="A1468" s="23">
        <v>1468</v>
      </c>
      <c r="B1468" s="85">
        <v>45701</v>
      </c>
      <c r="C1468" s="23" t="s">
        <v>2424</v>
      </c>
      <c r="D1468" s="23" t="s">
        <v>272</v>
      </c>
      <c r="G1468" s="23">
        <v>0</v>
      </c>
      <c r="I1468" s="218" t="s">
        <v>2425</v>
      </c>
    </row>
    <row r="1469" spans="1:9" x14ac:dyDescent="0.25">
      <c r="A1469" s="23">
        <v>1469</v>
      </c>
      <c r="B1469" s="85">
        <v>45701</v>
      </c>
      <c r="C1469" s="23" t="s">
        <v>2426</v>
      </c>
      <c r="D1469" s="23" t="s">
        <v>166</v>
      </c>
      <c r="G1469" s="23">
        <v>0</v>
      </c>
      <c r="I1469" s="218" t="s">
        <v>2427</v>
      </c>
    </row>
    <row r="1470" spans="1:9" x14ac:dyDescent="0.25">
      <c r="A1470" s="23">
        <v>1470</v>
      </c>
      <c r="B1470" s="85">
        <v>45701</v>
      </c>
      <c r="C1470" s="23" t="s">
        <v>2428</v>
      </c>
      <c r="D1470" s="23" t="s">
        <v>155</v>
      </c>
      <c r="G1470" s="23">
        <v>0.71</v>
      </c>
      <c r="I1470" s="218" t="s">
        <v>2429</v>
      </c>
    </row>
    <row r="1471" spans="1:9" x14ac:dyDescent="0.25">
      <c r="A1471" s="23">
        <v>1471</v>
      </c>
      <c r="B1471" s="85">
        <v>45701</v>
      </c>
      <c r="C1471" s="23" t="s">
        <v>2430</v>
      </c>
      <c r="D1471" s="23" t="s">
        <v>170</v>
      </c>
      <c r="G1471" s="23">
        <v>0.8</v>
      </c>
      <c r="I1471" s="218" t="s">
        <v>2431</v>
      </c>
    </row>
    <row r="1472" spans="1:9" x14ac:dyDescent="0.25">
      <c r="A1472" s="23">
        <v>1472</v>
      </c>
      <c r="B1472" s="85">
        <v>45701</v>
      </c>
      <c r="C1472" s="23" t="s">
        <v>2432</v>
      </c>
      <c r="D1472" s="23" t="s">
        <v>252</v>
      </c>
      <c r="G1472" s="23">
        <v>0.9</v>
      </c>
      <c r="I1472" s="218" t="s">
        <v>2433</v>
      </c>
    </row>
    <row r="1473" spans="1:9" x14ac:dyDescent="0.25">
      <c r="A1473" s="23">
        <v>1473</v>
      </c>
      <c r="B1473" s="85">
        <v>45701</v>
      </c>
      <c r="C1473" s="23" t="s">
        <v>2434</v>
      </c>
      <c r="D1473" s="23" t="s">
        <v>170</v>
      </c>
      <c r="G1473" s="23">
        <v>0</v>
      </c>
      <c r="I1473" s="218" t="s">
        <v>2431</v>
      </c>
    </row>
    <row r="1474" spans="1:9" x14ac:dyDescent="0.25">
      <c r="A1474" s="23">
        <v>1474</v>
      </c>
      <c r="B1474" s="85">
        <v>45701</v>
      </c>
      <c r="C1474" s="23" t="s">
        <v>912</v>
      </c>
      <c r="D1474" s="23" t="s">
        <v>272</v>
      </c>
      <c r="G1474" s="23">
        <v>0.9</v>
      </c>
      <c r="I1474" s="218" t="s">
        <v>2435</v>
      </c>
    </row>
    <row r="1475" spans="1:9" x14ac:dyDescent="0.25">
      <c r="A1475" s="23">
        <v>1475</v>
      </c>
      <c r="B1475" s="85">
        <v>45701</v>
      </c>
      <c r="C1475" s="23" t="s">
        <v>2128</v>
      </c>
      <c r="D1475" s="23" t="s">
        <v>273</v>
      </c>
      <c r="G1475" s="23">
        <v>0.9</v>
      </c>
      <c r="I1475" s="218" t="s">
        <v>2436</v>
      </c>
    </row>
    <row r="1476" spans="1:9" x14ac:dyDescent="0.25">
      <c r="A1476" s="23">
        <v>1476</v>
      </c>
      <c r="B1476" s="85">
        <v>45701</v>
      </c>
      <c r="C1476" s="23" t="s">
        <v>1431</v>
      </c>
      <c r="D1476" s="23" t="s">
        <v>172</v>
      </c>
      <c r="G1476" s="23">
        <v>0.8</v>
      </c>
      <c r="I1476" s="218" t="s">
        <v>2437</v>
      </c>
    </row>
    <row r="1477" spans="1:9" x14ac:dyDescent="0.25">
      <c r="A1477" s="23">
        <v>1477</v>
      </c>
      <c r="B1477" s="85">
        <v>45701</v>
      </c>
      <c r="C1477" s="23" t="s">
        <v>1065</v>
      </c>
      <c r="D1477" s="23" t="s">
        <v>177</v>
      </c>
      <c r="G1477" s="23">
        <v>0.8</v>
      </c>
      <c r="I1477" s="218" t="s">
        <v>2438</v>
      </c>
    </row>
    <row r="1478" spans="1:9" x14ac:dyDescent="0.25">
      <c r="A1478" s="23">
        <v>1478</v>
      </c>
      <c r="B1478" s="85">
        <v>45701</v>
      </c>
      <c r="C1478" s="23" t="s">
        <v>1431</v>
      </c>
      <c r="D1478" s="23" t="s">
        <v>169</v>
      </c>
      <c r="G1478" s="23">
        <v>0.68</v>
      </c>
      <c r="I1478" s="218" t="s">
        <v>2439</v>
      </c>
    </row>
    <row r="1479" spans="1:9" x14ac:dyDescent="0.25">
      <c r="A1479" s="23">
        <v>1479</v>
      </c>
      <c r="B1479" s="85">
        <v>45701</v>
      </c>
      <c r="C1479" s="23" t="s">
        <v>227</v>
      </c>
      <c r="D1479" s="23" t="s">
        <v>159</v>
      </c>
      <c r="G1479" s="23">
        <v>0</v>
      </c>
      <c r="I1479" s="218" t="s">
        <v>2440</v>
      </c>
    </row>
    <row r="1480" spans="1:9" x14ac:dyDescent="0.25">
      <c r="A1480" s="23">
        <v>1480</v>
      </c>
      <c r="B1480" s="85">
        <v>45701</v>
      </c>
      <c r="C1480" s="23" t="s">
        <v>1247</v>
      </c>
      <c r="D1480" s="23" t="s">
        <v>174</v>
      </c>
      <c r="G1480" s="23">
        <v>0.8</v>
      </c>
      <c r="I1480" s="218" t="s">
        <v>2441</v>
      </c>
    </row>
    <row r="1481" spans="1:9" x14ac:dyDescent="0.25">
      <c r="A1481" s="23">
        <v>1481</v>
      </c>
      <c r="B1481" s="85">
        <v>45701</v>
      </c>
      <c r="C1481" s="23" t="s">
        <v>2442</v>
      </c>
      <c r="D1481" s="23" t="s">
        <v>144</v>
      </c>
      <c r="G1481" s="23" t="s">
        <v>9</v>
      </c>
      <c r="I1481" s="218" t="s">
        <v>2443</v>
      </c>
    </row>
    <row r="1482" spans="1:9" x14ac:dyDescent="0.25">
      <c r="A1482" s="23">
        <v>1482</v>
      </c>
      <c r="B1482" s="85">
        <v>45701</v>
      </c>
      <c r="C1482" s="23" t="s">
        <v>2444</v>
      </c>
      <c r="D1482" s="23" t="s">
        <v>172</v>
      </c>
      <c r="G1482" s="23">
        <v>0</v>
      </c>
      <c r="I1482" s="218" t="s">
        <v>2437</v>
      </c>
    </row>
    <row r="1483" spans="1:9" x14ac:dyDescent="0.25">
      <c r="A1483" s="23">
        <v>1483</v>
      </c>
      <c r="B1483" s="85">
        <v>45701</v>
      </c>
      <c r="C1483" s="23" t="s">
        <v>254</v>
      </c>
      <c r="D1483" s="23" t="s">
        <v>265</v>
      </c>
      <c r="G1483" s="23">
        <v>0.66</v>
      </c>
      <c r="I1483" s="218" t="s">
        <v>2445</v>
      </c>
    </row>
    <row r="1484" spans="1:9" x14ac:dyDescent="0.25">
      <c r="A1484" s="23">
        <v>1484</v>
      </c>
      <c r="B1484" s="85">
        <v>45701</v>
      </c>
      <c r="C1484" s="23" t="s">
        <v>2146</v>
      </c>
      <c r="D1484" s="23" t="s">
        <v>174</v>
      </c>
      <c r="G1484" s="23">
        <v>0</v>
      </c>
      <c r="I1484" s="218" t="s">
        <v>2446</v>
      </c>
    </row>
    <row r="1485" spans="1:9" x14ac:dyDescent="0.25">
      <c r="A1485" s="23">
        <v>1485</v>
      </c>
      <c r="B1485" s="85">
        <v>45701</v>
      </c>
      <c r="C1485" s="23" t="s">
        <v>2278</v>
      </c>
      <c r="D1485" s="23" t="s">
        <v>186</v>
      </c>
      <c r="G1485" s="23">
        <v>6.7</v>
      </c>
      <c r="I1485" s="218" t="s">
        <v>2447</v>
      </c>
    </row>
    <row r="1486" spans="1:9" x14ac:dyDescent="0.25">
      <c r="A1486" s="23">
        <v>1486</v>
      </c>
      <c r="B1486" s="85">
        <v>45701</v>
      </c>
      <c r="C1486" s="23" t="s">
        <v>741</v>
      </c>
      <c r="D1486" s="23" t="s">
        <v>177</v>
      </c>
      <c r="G1486" s="23">
        <v>0</v>
      </c>
      <c r="I1486" s="218" t="s">
        <v>2448</v>
      </c>
    </row>
    <row r="1487" spans="1:9" x14ac:dyDescent="0.25">
      <c r="A1487" s="23">
        <v>1487</v>
      </c>
      <c r="B1487" s="85">
        <v>45701</v>
      </c>
      <c r="C1487" s="23" t="s">
        <v>215</v>
      </c>
      <c r="D1487" s="23" t="s">
        <v>252</v>
      </c>
      <c r="G1487" s="23">
        <v>0</v>
      </c>
      <c r="I1487" s="218" t="s">
        <v>2449</v>
      </c>
    </row>
    <row r="1488" spans="1:9" x14ac:dyDescent="0.25">
      <c r="A1488" s="23">
        <v>1488</v>
      </c>
      <c r="B1488" s="85">
        <v>45701</v>
      </c>
      <c r="C1488" s="23" t="s">
        <v>588</v>
      </c>
      <c r="D1488" s="23" t="s">
        <v>178</v>
      </c>
      <c r="G1488" s="23">
        <v>0.8</v>
      </c>
      <c r="I1488" s="218" t="s">
        <v>2450</v>
      </c>
    </row>
    <row r="1489" spans="1:9" x14ac:dyDescent="0.25">
      <c r="A1489" s="23">
        <v>1489</v>
      </c>
      <c r="B1489" s="85">
        <v>45701</v>
      </c>
      <c r="C1489" s="23" t="s">
        <v>590</v>
      </c>
      <c r="D1489" s="23" t="s">
        <v>161</v>
      </c>
      <c r="G1489" s="23">
        <v>0.8</v>
      </c>
      <c r="I1489" s="218" t="s">
        <v>2451</v>
      </c>
    </row>
    <row r="1490" spans="1:9" x14ac:dyDescent="0.25">
      <c r="A1490" s="23">
        <v>1490</v>
      </c>
      <c r="B1490" s="85">
        <v>45701</v>
      </c>
      <c r="C1490" s="23" t="s">
        <v>1266</v>
      </c>
      <c r="D1490" s="23" t="s">
        <v>252</v>
      </c>
      <c r="G1490" s="23">
        <v>1</v>
      </c>
      <c r="I1490" s="218" t="s">
        <v>2452</v>
      </c>
    </row>
    <row r="1491" spans="1:9" x14ac:dyDescent="0.25">
      <c r="A1491" s="23">
        <v>1491</v>
      </c>
      <c r="B1491" s="85">
        <v>45701</v>
      </c>
      <c r="C1491" s="23" t="s">
        <v>195</v>
      </c>
      <c r="D1491" s="23" t="s">
        <v>158</v>
      </c>
      <c r="G1491" s="23">
        <v>1.5</v>
      </c>
      <c r="I1491" s="218" t="s">
        <v>2453</v>
      </c>
    </row>
    <row r="1492" spans="1:9" x14ac:dyDescent="0.25">
      <c r="A1492" s="23">
        <v>1492</v>
      </c>
      <c r="B1492" s="85">
        <v>45701</v>
      </c>
      <c r="C1492" s="23" t="s">
        <v>1987</v>
      </c>
      <c r="D1492" s="23" t="s">
        <v>162</v>
      </c>
      <c r="G1492" s="23">
        <v>0.8</v>
      </c>
      <c r="I1492" s="218" t="s">
        <v>2454</v>
      </c>
    </row>
    <row r="1493" spans="1:9" x14ac:dyDescent="0.25">
      <c r="A1493" s="23">
        <v>1493</v>
      </c>
      <c r="B1493" s="85">
        <v>45701</v>
      </c>
      <c r="C1493" s="23" t="s">
        <v>1102</v>
      </c>
      <c r="D1493" s="23" t="s">
        <v>161</v>
      </c>
      <c r="G1493" s="23">
        <v>0</v>
      </c>
      <c r="I1493" s="218" t="s">
        <v>2451</v>
      </c>
    </row>
    <row r="1494" spans="1:9" x14ac:dyDescent="0.25">
      <c r="A1494" s="23">
        <v>1494</v>
      </c>
      <c r="B1494" s="85">
        <v>45701</v>
      </c>
      <c r="C1494" s="23" t="s">
        <v>1102</v>
      </c>
      <c r="D1494" s="23" t="s">
        <v>162</v>
      </c>
      <c r="G1494" s="23">
        <v>0</v>
      </c>
      <c r="I1494" s="218" t="s">
        <v>2454</v>
      </c>
    </row>
    <row r="1495" spans="1:9" x14ac:dyDescent="0.25">
      <c r="A1495" s="23">
        <v>1495</v>
      </c>
      <c r="B1495" s="85">
        <v>45701</v>
      </c>
      <c r="C1495" s="23" t="s">
        <v>1102</v>
      </c>
      <c r="D1495" s="23" t="s">
        <v>178</v>
      </c>
      <c r="G1495" s="23">
        <v>0</v>
      </c>
      <c r="I1495" s="218" t="s">
        <v>2450</v>
      </c>
    </row>
    <row r="1496" spans="1:9" x14ac:dyDescent="0.25">
      <c r="A1496" s="23">
        <v>1496</v>
      </c>
      <c r="B1496" s="85">
        <v>45701</v>
      </c>
      <c r="C1496" s="23" t="s">
        <v>1102</v>
      </c>
      <c r="D1496" s="23" t="s">
        <v>264</v>
      </c>
      <c r="G1496" s="23">
        <v>0.8</v>
      </c>
      <c r="I1496" s="218" t="s">
        <v>2455</v>
      </c>
    </row>
    <row r="1497" spans="1:9" x14ac:dyDescent="0.25">
      <c r="A1497" s="23">
        <v>1497</v>
      </c>
      <c r="B1497" s="85">
        <v>45701</v>
      </c>
      <c r="C1497" s="23" t="s">
        <v>1997</v>
      </c>
      <c r="D1497" s="23" t="s">
        <v>252</v>
      </c>
      <c r="G1497" s="23">
        <v>0</v>
      </c>
      <c r="I1497" s="218" t="s">
        <v>2456</v>
      </c>
    </row>
    <row r="1498" spans="1:9" x14ac:dyDescent="0.25">
      <c r="A1498" s="23">
        <v>1498</v>
      </c>
      <c r="B1498" s="85">
        <v>45701</v>
      </c>
      <c r="C1498" s="23" t="s">
        <v>1271</v>
      </c>
      <c r="D1498" s="23" t="s">
        <v>252</v>
      </c>
      <c r="G1498" s="23">
        <v>1</v>
      </c>
      <c r="I1498" s="218" t="s">
        <v>295</v>
      </c>
    </row>
    <row r="1499" spans="1:9" x14ac:dyDescent="0.25">
      <c r="A1499" s="23">
        <v>1499</v>
      </c>
      <c r="B1499" s="85">
        <v>45701</v>
      </c>
      <c r="C1499" s="23" t="s">
        <v>1108</v>
      </c>
      <c r="D1499" s="23" t="s">
        <v>165</v>
      </c>
      <c r="G1499" s="23">
        <v>0.8</v>
      </c>
      <c r="I1499" s="218" t="s">
        <v>2457</v>
      </c>
    </row>
    <row r="1500" spans="1:9" x14ac:dyDescent="0.25">
      <c r="A1500" s="23">
        <v>1500</v>
      </c>
      <c r="B1500" s="85">
        <v>45701</v>
      </c>
      <c r="C1500" s="23" t="s">
        <v>1108</v>
      </c>
      <c r="D1500" s="23" t="s">
        <v>170</v>
      </c>
      <c r="G1500" s="23">
        <v>0.8</v>
      </c>
      <c r="I1500" s="218" t="s">
        <v>2458</v>
      </c>
    </row>
    <row r="1501" spans="1:9" x14ac:dyDescent="0.25">
      <c r="A1501" s="23">
        <v>1501</v>
      </c>
      <c r="B1501" s="85">
        <v>45701</v>
      </c>
      <c r="C1501" s="23" t="s">
        <v>1108</v>
      </c>
      <c r="D1501" s="23" t="s">
        <v>164</v>
      </c>
      <c r="G1501" s="23">
        <v>0.8</v>
      </c>
      <c r="I1501" s="218" t="s">
        <v>2459</v>
      </c>
    </row>
    <row r="1502" spans="1:9" x14ac:dyDescent="0.25">
      <c r="A1502" s="23">
        <v>1502</v>
      </c>
      <c r="B1502" s="85">
        <v>45701</v>
      </c>
      <c r="C1502" s="23" t="s">
        <v>1108</v>
      </c>
      <c r="D1502" s="23" t="s">
        <v>168</v>
      </c>
      <c r="G1502" s="23">
        <v>0.8</v>
      </c>
      <c r="I1502" s="218" t="s">
        <v>2460</v>
      </c>
    </row>
    <row r="1503" spans="1:9" x14ac:dyDescent="0.25">
      <c r="A1503" s="23">
        <v>1503</v>
      </c>
      <c r="B1503" s="85">
        <v>45701</v>
      </c>
      <c r="C1503" s="23" t="s">
        <v>2461</v>
      </c>
      <c r="D1503" s="23" t="s">
        <v>175</v>
      </c>
      <c r="G1503" s="23">
        <v>0</v>
      </c>
      <c r="H1503" s="23" t="s">
        <v>2463</v>
      </c>
      <c r="I1503" s="218" t="s">
        <v>2462</v>
      </c>
    </row>
    <row r="1504" spans="1:9" x14ac:dyDescent="0.25">
      <c r="A1504" s="23">
        <v>1504</v>
      </c>
      <c r="B1504" s="85">
        <v>45701</v>
      </c>
      <c r="C1504" s="23" t="s">
        <v>2461</v>
      </c>
      <c r="D1504" s="23" t="s">
        <v>175</v>
      </c>
      <c r="G1504" s="23" t="s">
        <v>9</v>
      </c>
      <c r="I1504" s="218" t="s">
        <v>295</v>
      </c>
    </row>
    <row r="1505" spans="1:9" x14ac:dyDescent="0.25">
      <c r="A1505" s="23">
        <v>1505</v>
      </c>
      <c r="B1505" s="85">
        <v>45701</v>
      </c>
      <c r="C1505" s="23" t="s">
        <v>207</v>
      </c>
      <c r="D1505" s="23" t="s">
        <v>174</v>
      </c>
      <c r="G1505" s="23">
        <v>0.8</v>
      </c>
      <c r="I1505" s="218" t="s">
        <v>2464</v>
      </c>
    </row>
    <row r="1506" spans="1:9" x14ac:dyDescent="0.25">
      <c r="A1506" s="23">
        <v>1506</v>
      </c>
      <c r="B1506" s="85">
        <v>45701</v>
      </c>
      <c r="C1506" s="23" t="s">
        <v>767</v>
      </c>
      <c r="D1506" s="23" t="s">
        <v>172</v>
      </c>
      <c r="G1506" s="23">
        <v>0.8</v>
      </c>
      <c r="I1506" s="218" t="s">
        <v>2465</v>
      </c>
    </row>
    <row r="1507" spans="1:9" x14ac:dyDescent="0.25">
      <c r="A1507" s="23">
        <v>1507</v>
      </c>
      <c r="B1507" s="85">
        <v>45701</v>
      </c>
      <c r="C1507" s="23" t="s">
        <v>1596</v>
      </c>
      <c r="D1507" s="23" t="s">
        <v>202</v>
      </c>
      <c r="G1507" s="23">
        <v>0.8</v>
      </c>
      <c r="I1507" s="218" t="s">
        <v>2466</v>
      </c>
    </row>
    <row r="1508" spans="1:9" x14ac:dyDescent="0.25">
      <c r="A1508" s="23">
        <v>1508</v>
      </c>
      <c r="B1508" s="85">
        <v>45701</v>
      </c>
      <c r="C1508" s="23" t="s">
        <v>2467</v>
      </c>
      <c r="D1508" s="23" t="s">
        <v>177</v>
      </c>
      <c r="G1508" s="23">
        <v>0.8</v>
      </c>
      <c r="I1508" s="218" t="s">
        <v>2468</v>
      </c>
    </row>
    <row r="1509" spans="1:9" x14ac:dyDescent="0.25">
      <c r="A1509" s="23">
        <v>1509</v>
      </c>
      <c r="B1509" s="85">
        <v>45701</v>
      </c>
      <c r="C1509" s="23" t="s">
        <v>2469</v>
      </c>
      <c r="D1509" s="23" t="s">
        <v>178</v>
      </c>
      <c r="G1509" s="23">
        <v>0.8</v>
      </c>
      <c r="I1509" s="218" t="s">
        <v>2470</v>
      </c>
    </row>
    <row r="1510" spans="1:9" x14ac:dyDescent="0.25">
      <c r="A1510" s="23">
        <v>1510</v>
      </c>
      <c r="B1510" s="85">
        <v>45701</v>
      </c>
      <c r="C1510" s="23" t="s">
        <v>249</v>
      </c>
      <c r="D1510" s="23" t="s">
        <v>161</v>
      </c>
      <c r="G1510" s="23">
        <v>0.8</v>
      </c>
      <c r="I1510" s="218" t="s">
        <v>2471</v>
      </c>
    </row>
    <row r="1511" spans="1:9" x14ac:dyDescent="0.25">
      <c r="A1511" s="23">
        <v>1511</v>
      </c>
      <c r="B1511" s="85">
        <v>45701</v>
      </c>
      <c r="C1511" s="23" t="s">
        <v>2472</v>
      </c>
      <c r="D1511" s="23" t="s">
        <v>164</v>
      </c>
      <c r="G1511" s="23">
        <v>0</v>
      </c>
      <c r="I1511" s="218" t="s">
        <v>2473</v>
      </c>
    </row>
    <row r="1512" spans="1:9" x14ac:dyDescent="0.25">
      <c r="A1512" s="23">
        <v>1512</v>
      </c>
      <c r="B1512" s="85">
        <v>45701</v>
      </c>
      <c r="C1512" s="23" t="s">
        <v>210</v>
      </c>
      <c r="D1512" s="23" t="s">
        <v>165</v>
      </c>
      <c r="G1512" s="23">
        <v>0</v>
      </c>
      <c r="I1512" s="218" t="s">
        <v>2474</v>
      </c>
    </row>
    <row r="1513" spans="1:9" x14ac:dyDescent="0.25">
      <c r="A1513" s="23">
        <v>1513</v>
      </c>
      <c r="B1513" s="85">
        <v>45701</v>
      </c>
      <c r="C1513" s="23" t="s">
        <v>249</v>
      </c>
      <c r="D1513" s="23" t="s">
        <v>175</v>
      </c>
      <c r="G1513" s="23">
        <v>0</v>
      </c>
      <c r="I1513" s="218" t="s">
        <v>2475</v>
      </c>
    </row>
    <row r="1514" spans="1:9" x14ac:dyDescent="0.25">
      <c r="A1514" s="23">
        <v>1514</v>
      </c>
      <c r="B1514" s="85">
        <v>45701</v>
      </c>
      <c r="C1514" s="23" t="s">
        <v>249</v>
      </c>
      <c r="D1514" s="23" t="s">
        <v>175</v>
      </c>
      <c r="G1514" s="23">
        <v>3.8</v>
      </c>
      <c r="I1514" s="218" t="s">
        <v>295</v>
      </c>
    </row>
    <row r="1515" spans="1:9" x14ac:dyDescent="0.25">
      <c r="A1515" s="23">
        <v>1515</v>
      </c>
      <c r="B1515" s="85">
        <v>45701</v>
      </c>
      <c r="C1515" s="23" t="s">
        <v>209</v>
      </c>
      <c r="D1515" s="23" t="s">
        <v>168</v>
      </c>
      <c r="G1515" s="23">
        <v>0</v>
      </c>
      <c r="I1515" s="218" t="s">
        <v>2476</v>
      </c>
    </row>
    <row r="1516" spans="1:9" x14ac:dyDescent="0.25">
      <c r="A1516" s="23">
        <v>1516</v>
      </c>
      <c r="B1516" s="85">
        <v>45701</v>
      </c>
      <c r="C1516" s="23" t="s">
        <v>1116</v>
      </c>
      <c r="D1516" s="23" t="s">
        <v>170</v>
      </c>
      <c r="G1516" s="23">
        <v>0</v>
      </c>
      <c r="I1516" s="218" t="s">
        <v>2477</v>
      </c>
    </row>
    <row r="1517" spans="1:9" x14ac:dyDescent="0.25">
      <c r="A1517" s="23">
        <v>1517</v>
      </c>
      <c r="B1517" s="85">
        <v>45701</v>
      </c>
      <c r="C1517" s="23" t="s">
        <v>2478</v>
      </c>
      <c r="D1517" s="23" t="s">
        <v>172</v>
      </c>
      <c r="G1517" s="23">
        <v>0</v>
      </c>
      <c r="I1517" s="218" t="s">
        <v>2479</v>
      </c>
    </row>
    <row r="1518" spans="1:9" x14ac:dyDescent="0.25">
      <c r="A1518" s="23">
        <v>1518</v>
      </c>
      <c r="B1518" s="85">
        <v>45701</v>
      </c>
      <c r="C1518" s="23" t="s">
        <v>2480</v>
      </c>
      <c r="D1518" s="23" t="s">
        <v>162</v>
      </c>
      <c r="G1518" s="23">
        <v>0.8</v>
      </c>
      <c r="I1518" s="218" t="s">
        <v>2481</v>
      </c>
    </row>
    <row r="1519" spans="1:9" x14ac:dyDescent="0.25">
      <c r="A1519" s="23">
        <v>1519</v>
      </c>
      <c r="B1519" s="85">
        <v>45701</v>
      </c>
      <c r="C1519" s="23" t="s">
        <v>167</v>
      </c>
      <c r="D1519" s="23" t="s">
        <v>166</v>
      </c>
      <c r="G1519" s="23">
        <v>0.64</v>
      </c>
      <c r="I1519" s="218" t="s">
        <v>2482</v>
      </c>
    </row>
    <row r="1520" spans="1:9" x14ac:dyDescent="0.25">
      <c r="A1520" s="23">
        <v>1520</v>
      </c>
      <c r="B1520" s="85">
        <v>45701</v>
      </c>
      <c r="C1520" s="23" t="s">
        <v>1601</v>
      </c>
      <c r="D1520" s="23" t="s">
        <v>160</v>
      </c>
      <c r="G1520" s="23">
        <v>0</v>
      </c>
      <c r="I1520" s="218" t="s">
        <v>2483</v>
      </c>
    </row>
    <row r="1521" spans="1:9" x14ac:dyDescent="0.25">
      <c r="A1521" s="23">
        <v>1521</v>
      </c>
      <c r="B1521" s="85">
        <v>45701</v>
      </c>
      <c r="C1521" s="23" t="s">
        <v>2484</v>
      </c>
      <c r="D1521" s="23" t="s">
        <v>174</v>
      </c>
      <c r="G1521" s="23">
        <v>0</v>
      </c>
      <c r="I1521" s="218" t="s">
        <v>2485</v>
      </c>
    </row>
    <row r="1522" spans="1:9" x14ac:dyDescent="0.25">
      <c r="A1522" s="23">
        <v>1522</v>
      </c>
      <c r="B1522" s="85">
        <v>45701</v>
      </c>
      <c r="C1522" s="23" t="s">
        <v>1119</v>
      </c>
      <c r="D1522" s="23" t="s">
        <v>164</v>
      </c>
      <c r="G1522" s="23">
        <v>0.8</v>
      </c>
      <c r="I1522" s="218" t="s">
        <v>2486</v>
      </c>
    </row>
    <row r="1523" spans="1:9" x14ac:dyDescent="0.25">
      <c r="A1523" s="23">
        <v>1523</v>
      </c>
      <c r="B1523" s="85">
        <v>45701</v>
      </c>
      <c r="C1523" s="23" t="s">
        <v>1122</v>
      </c>
      <c r="D1523" s="23" t="s">
        <v>268</v>
      </c>
      <c r="G1523" s="23">
        <v>0.83333333333333337</v>
      </c>
      <c r="I1523" s="218" t="s">
        <v>2487</v>
      </c>
    </row>
    <row r="1524" spans="1:9" x14ac:dyDescent="0.25">
      <c r="A1524" s="23">
        <v>1524</v>
      </c>
      <c r="B1524" s="85">
        <v>45701</v>
      </c>
      <c r="C1524" s="23" t="s">
        <v>1459</v>
      </c>
      <c r="D1524" s="23" t="s">
        <v>162</v>
      </c>
      <c r="G1524" s="23">
        <v>0</v>
      </c>
      <c r="I1524" s="218" t="s">
        <v>2488</v>
      </c>
    </row>
    <row r="1525" spans="1:9" x14ac:dyDescent="0.25">
      <c r="A1525" s="23">
        <v>1525</v>
      </c>
      <c r="B1525" s="85">
        <v>45701</v>
      </c>
      <c r="C1525" s="23" t="s">
        <v>2489</v>
      </c>
      <c r="D1525" s="23" t="s">
        <v>165</v>
      </c>
      <c r="G1525" s="23">
        <v>0.8</v>
      </c>
      <c r="I1525" s="218" t="s">
        <v>2490</v>
      </c>
    </row>
    <row r="1526" spans="1:9" x14ac:dyDescent="0.25">
      <c r="A1526" s="23">
        <v>1526</v>
      </c>
      <c r="B1526" s="85">
        <v>45701</v>
      </c>
      <c r="C1526" s="23" t="s">
        <v>2491</v>
      </c>
      <c r="D1526" s="23" t="s">
        <v>268</v>
      </c>
      <c r="G1526" s="23">
        <v>0</v>
      </c>
      <c r="I1526" s="218" t="s">
        <v>2487</v>
      </c>
    </row>
    <row r="1527" spans="1:9" x14ac:dyDescent="0.25">
      <c r="A1527" s="23">
        <v>1527</v>
      </c>
      <c r="B1527" s="85">
        <v>45701</v>
      </c>
      <c r="C1527" s="23" t="s">
        <v>2492</v>
      </c>
      <c r="D1527" s="23" t="s">
        <v>168</v>
      </c>
      <c r="G1527" s="23">
        <v>0.83333333333333337</v>
      </c>
      <c r="I1527" s="218" t="s">
        <v>2493</v>
      </c>
    </row>
    <row r="1528" spans="1:9" x14ac:dyDescent="0.25">
      <c r="A1528" s="23">
        <v>1528</v>
      </c>
      <c r="B1528" s="85">
        <v>45701</v>
      </c>
      <c r="C1528" s="23" t="s">
        <v>784</v>
      </c>
      <c r="D1528" s="23" t="s">
        <v>170</v>
      </c>
      <c r="G1528" s="23">
        <v>0.83333333333333337</v>
      </c>
      <c r="I1528" s="218" t="s">
        <v>2494</v>
      </c>
    </row>
    <row r="1529" spans="1:9" x14ac:dyDescent="0.25">
      <c r="A1529" s="23">
        <v>1529</v>
      </c>
      <c r="B1529" s="85">
        <v>45701</v>
      </c>
      <c r="C1529" s="23" t="s">
        <v>1310</v>
      </c>
      <c r="D1529" s="23" t="s">
        <v>174</v>
      </c>
      <c r="G1529" s="23">
        <v>0.83333333333333337</v>
      </c>
      <c r="I1529" s="218" t="s">
        <v>2495</v>
      </c>
    </row>
    <row r="1530" spans="1:9" x14ac:dyDescent="0.25">
      <c r="A1530" s="23">
        <v>1530</v>
      </c>
      <c r="B1530" s="85">
        <v>45701</v>
      </c>
      <c r="C1530" s="23" t="s">
        <v>2049</v>
      </c>
      <c r="D1530" s="23" t="s">
        <v>202</v>
      </c>
      <c r="G1530" s="23">
        <v>0</v>
      </c>
      <c r="I1530" s="218" t="s">
        <v>2496</v>
      </c>
    </row>
    <row r="1531" spans="1:9" x14ac:dyDescent="0.25">
      <c r="A1531" s="23">
        <v>1531</v>
      </c>
      <c r="B1531" s="85">
        <v>45701</v>
      </c>
      <c r="C1531" s="23" t="s">
        <v>2497</v>
      </c>
      <c r="D1531" s="23" t="s">
        <v>172</v>
      </c>
      <c r="G1531" s="23">
        <v>0.8</v>
      </c>
      <c r="I1531" s="218" t="s">
        <v>2498</v>
      </c>
    </row>
    <row r="1532" spans="1:9" x14ac:dyDescent="0.25">
      <c r="A1532" s="23">
        <v>1532</v>
      </c>
      <c r="B1532" s="85">
        <v>45701</v>
      </c>
      <c r="C1532" s="23" t="s">
        <v>989</v>
      </c>
      <c r="D1532" s="23" t="s">
        <v>164</v>
      </c>
      <c r="G1532" s="23">
        <v>0</v>
      </c>
      <c r="I1532" s="218" t="s">
        <v>2499</v>
      </c>
    </row>
    <row r="1533" spans="1:9" x14ac:dyDescent="0.25">
      <c r="A1533" s="23">
        <v>1533</v>
      </c>
      <c r="B1533" s="85">
        <v>45701</v>
      </c>
      <c r="C1533" s="23" t="s">
        <v>818</v>
      </c>
      <c r="D1533" s="23" t="s">
        <v>165</v>
      </c>
      <c r="G1533" s="23">
        <v>0</v>
      </c>
      <c r="I1533" s="218" t="s">
        <v>2500</v>
      </c>
    </row>
    <row r="1534" spans="1:9" x14ac:dyDescent="0.25">
      <c r="A1534" s="23">
        <v>1534</v>
      </c>
      <c r="B1534" s="85">
        <v>45701</v>
      </c>
      <c r="C1534" s="23" t="s">
        <v>823</v>
      </c>
      <c r="D1534" s="23" t="s">
        <v>168</v>
      </c>
      <c r="G1534" s="23">
        <v>0</v>
      </c>
      <c r="I1534" s="218" t="s">
        <v>2501</v>
      </c>
    </row>
    <row r="1535" spans="1:9" x14ac:dyDescent="0.25">
      <c r="A1535" s="23">
        <v>1535</v>
      </c>
      <c r="B1535" s="85">
        <v>45701</v>
      </c>
      <c r="C1535" s="23" t="s">
        <v>2502</v>
      </c>
      <c r="D1535" s="23" t="s">
        <v>162</v>
      </c>
      <c r="G1535" s="23">
        <v>0.83</v>
      </c>
      <c r="I1535" s="218" t="s">
        <v>2503</v>
      </c>
    </row>
    <row r="1536" spans="1:9" x14ac:dyDescent="0.25">
      <c r="A1536" s="23">
        <v>1536</v>
      </c>
      <c r="B1536" s="85">
        <v>45701</v>
      </c>
      <c r="C1536" s="23" t="s">
        <v>2504</v>
      </c>
      <c r="D1536" s="23" t="s">
        <v>170</v>
      </c>
      <c r="G1536" s="23">
        <v>0</v>
      </c>
      <c r="I1536" s="218" t="s">
        <v>2505</v>
      </c>
    </row>
    <row r="1537" spans="1:9" x14ac:dyDescent="0.25">
      <c r="A1537" s="23">
        <v>1537</v>
      </c>
      <c r="B1537" s="85">
        <v>45701</v>
      </c>
      <c r="C1537" s="23" t="s">
        <v>2081</v>
      </c>
      <c r="D1537" s="23" t="s">
        <v>172</v>
      </c>
      <c r="G1537" s="23">
        <v>0</v>
      </c>
      <c r="I1537" s="218" t="s">
        <v>2506</v>
      </c>
    </row>
    <row r="1538" spans="1:9" x14ac:dyDescent="0.25">
      <c r="A1538" s="23">
        <v>1538</v>
      </c>
      <c r="B1538" s="85">
        <v>45701</v>
      </c>
      <c r="C1538" s="23" t="s">
        <v>2507</v>
      </c>
      <c r="D1538" s="23" t="s">
        <v>174</v>
      </c>
      <c r="G1538" s="23">
        <v>0</v>
      </c>
      <c r="I1538" s="218" t="s">
        <v>2508</v>
      </c>
    </row>
    <row r="1539" spans="1:9" x14ac:dyDescent="0.25">
      <c r="A1539" s="23">
        <v>1539</v>
      </c>
      <c r="B1539" s="85">
        <v>45701</v>
      </c>
      <c r="C1539" s="23" t="s">
        <v>1164</v>
      </c>
      <c r="D1539" s="23" t="s">
        <v>177</v>
      </c>
      <c r="G1539" s="23">
        <v>0</v>
      </c>
      <c r="I1539" s="218" t="s">
        <v>2509</v>
      </c>
    </row>
    <row r="1540" spans="1:9" x14ac:dyDescent="0.25">
      <c r="A1540" s="23">
        <v>1540</v>
      </c>
      <c r="B1540" s="85">
        <v>45701</v>
      </c>
      <c r="C1540" s="23" t="s">
        <v>244</v>
      </c>
      <c r="D1540" s="23" t="s">
        <v>178</v>
      </c>
      <c r="G1540" s="23">
        <v>0</v>
      </c>
      <c r="I1540" s="218" t="s">
        <v>2510</v>
      </c>
    </row>
    <row r="1541" spans="1:9" x14ac:dyDescent="0.25">
      <c r="A1541" s="23">
        <v>1541</v>
      </c>
      <c r="B1541" s="85">
        <v>45701</v>
      </c>
      <c r="C1541" s="23" t="s">
        <v>526</v>
      </c>
      <c r="D1541" s="23" t="s">
        <v>160</v>
      </c>
      <c r="G1541" s="23">
        <v>0.68</v>
      </c>
      <c r="I1541" s="218" t="s">
        <v>2511</v>
      </c>
    </row>
    <row r="1542" spans="1:9" x14ac:dyDescent="0.25">
      <c r="A1542" s="23">
        <v>1542</v>
      </c>
      <c r="B1542" s="85">
        <v>45701</v>
      </c>
      <c r="C1542" s="23" t="s">
        <v>528</v>
      </c>
      <c r="D1542" s="23" t="s">
        <v>155</v>
      </c>
      <c r="G1542" s="23">
        <v>0</v>
      </c>
      <c r="I1542" s="218" t="s">
        <v>2512</v>
      </c>
    </row>
    <row r="1543" spans="1:9" x14ac:dyDescent="0.25">
      <c r="A1543" s="23">
        <v>1543</v>
      </c>
      <c r="B1543" s="85">
        <v>45701</v>
      </c>
      <c r="C1543" s="23" t="s">
        <v>2513</v>
      </c>
      <c r="D1543" s="23" t="s">
        <v>161</v>
      </c>
      <c r="G1543" s="23">
        <v>0</v>
      </c>
      <c r="I1543" s="218" t="s">
        <v>2514</v>
      </c>
    </row>
    <row r="1544" spans="1:9" x14ac:dyDescent="0.25">
      <c r="A1544" s="23">
        <v>1544</v>
      </c>
      <c r="B1544" s="85">
        <v>45701</v>
      </c>
      <c r="C1544" s="23" t="s">
        <v>651</v>
      </c>
      <c r="D1544" s="23" t="s">
        <v>164</v>
      </c>
      <c r="G1544" s="23">
        <v>0.8</v>
      </c>
      <c r="I1544" s="218" t="s">
        <v>2515</v>
      </c>
    </row>
    <row r="1545" spans="1:9" x14ac:dyDescent="0.25">
      <c r="A1545" s="23">
        <v>1545</v>
      </c>
      <c r="B1545" s="85">
        <v>45701</v>
      </c>
      <c r="C1545" s="23" t="s">
        <v>270</v>
      </c>
      <c r="D1545" s="23" t="s">
        <v>165</v>
      </c>
      <c r="G1545" s="23">
        <v>0.8</v>
      </c>
      <c r="I1545" s="218" t="s">
        <v>2516</v>
      </c>
    </row>
    <row r="1546" spans="1:9" x14ac:dyDescent="0.25">
      <c r="A1546" s="23">
        <v>1546</v>
      </c>
      <c r="B1546" s="85">
        <v>45701</v>
      </c>
      <c r="C1546" s="23" t="s">
        <v>1349</v>
      </c>
      <c r="D1546" s="23" t="s">
        <v>168</v>
      </c>
      <c r="G1546" s="23">
        <v>0.8</v>
      </c>
      <c r="I1546" s="218" t="s">
        <v>2517</v>
      </c>
    </row>
    <row r="1547" spans="1:9" x14ac:dyDescent="0.25">
      <c r="A1547" s="23">
        <v>1547</v>
      </c>
      <c r="B1547" s="85">
        <v>45701</v>
      </c>
      <c r="C1547" s="23" t="s">
        <v>1008</v>
      </c>
      <c r="D1547" s="23" t="s">
        <v>170</v>
      </c>
      <c r="G1547" s="23">
        <v>0.8</v>
      </c>
      <c r="I1547" s="218" t="s">
        <v>2518</v>
      </c>
    </row>
    <row r="1548" spans="1:9" x14ac:dyDescent="0.25">
      <c r="A1548" s="23">
        <v>1548</v>
      </c>
      <c r="B1548" s="85">
        <v>45701</v>
      </c>
      <c r="C1548" s="23" t="s">
        <v>841</v>
      </c>
      <c r="D1548" s="23" t="s">
        <v>174</v>
      </c>
      <c r="G1548" s="23">
        <v>0.8</v>
      </c>
      <c r="I1548" s="218" t="s">
        <v>2519</v>
      </c>
    </row>
    <row r="1549" spans="1:9" x14ac:dyDescent="0.25">
      <c r="A1549" s="23">
        <v>1549</v>
      </c>
      <c r="B1549" s="85">
        <v>45701</v>
      </c>
      <c r="C1549" s="23" t="s">
        <v>212</v>
      </c>
      <c r="D1549" s="23" t="s">
        <v>172</v>
      </c>
      <c r="G1549" s="23">
        <v>0.8</v>
      </c>
      <c r="I1549" s="218" t="s">
        <v>2520</v>
      </c>
    </row>
    <row r="1550" spans="1:9" x14ac:dyDescent="0.25">
      <c r="A1550" s="23">
        <v>1550</v>
      </c>
      <c r="B1550" s="85">
        <v>45701</v>
      </c>
      <c r="C1550" s="23" t="s">
        <v>1792</v>
      </c>
      <c r="D1550" s="23" t="s">
        <v>162</v>
      </c>
      <c r="G1550" s="23">
        <v>0</v>
      </c>
      <c r="I1550" s="218" t="s">
        <v>2521</v>
      </c>
    </row>
    <row r="1551" spans="1:9" x14ac:dyDescent="0.25">
      <c r="A1551" s="23">
        <v>1551</v>
      </c>
      <c r="B1551" s="85">
        <v>45701</v>
      </c>
      <c r="C1551" s="23" t="s">
        <v>2379</v>
      </c>
      <c r="D1551" s="23" t="s">
        <v>268</v>
      </c>
      <c r="G1551" s="23">
        <v>0.8</v>
      </c>
      <c r="I1551" s="218" t="s">
        <v>2522</v>
      </c>
    </row>
    <row r="1552" spans="1:9" x14ac:dyDescent="0.25">
      <c r="A1552" s="23">
        <v>1552</v>
      </c>
      <c r="B1552" s="85">
        <v>45701</v>
      </c>
      <c r="C1552" s="23" t="s">
        <v>656</v>
      </c>
      <c r="D1552" s="23" t="s">
        <v>164</v>
      </c>
      <c r="G1552" s="23">
        <v>0</v>
      </c>
      <c r="I1552" s="218" t="s">
        <v>2523</v>
      </c>
    </row>
    <row r="1553" spans="1:9" x14ac:dyDescent="0.25">
      <c r="A1553" s="23">
        <v>1553</v>
      </c>
      <c r="B1553" s="85">
        <v>45701</v>
      </c>
      <c r="C1553" s="23" t="s">
        <v>1802</v>
      </c>
      <c r="D1553" s="23" t="s">
        <v>165</v>
      </c>
      <c r="G1553" s="23">
        <v>0</v>
      </c>
      <c r="I1553" s="218" t="s">
        <v>2524</v>
      </c>
    </row>
    <row r="1554" spans="1:9" x14ac:dyDescent="0.25">
      <c r="A1554" s="23">
        <v>1554</v>
      </c>
      <c r="B1554" s="85">
        <v>45701</v>
      </c>
      <c r="C1554" s="23" t="s">
        <v>2525</v>
      </c>
      <c r="D1554" s="23" t="s">
        <v>168</v>
      </c>
      <c r="G1554" s="23">
        <v>0</v>
      </c>
      <c r="I1554" s="218" t="s">
        <v>2526</v>
      </c>
    </row>
    <row r="1555" spans="1:9" x14ac:dyDescent="0.25">
      <c r="A1555" s="23">
        <v>1555</v>
      </c>
      <c r="B1555" s="85">
        <v>45701</v>
      </c>
      <c r="C1555" s="23" t="s">
        <v>2527</v>
      </c>
      <c r="D1555" s="23" t="s">
        <v>268</v>
      </c>
      <c r="G1555" s="23">
        <v>0</v>
      </c>
      <c r="I1555" s="218" t="s">
        <v>2522</v>
      </c>
    </row>
    <row r="1556" spans="1:9" x14ac:dyDescent="0.25">
      <c r="A1556" s="23">
        <v>1556</v>
      </c>
      <c r="B1556" s="85">
        <v>45701</v>
      </c>
      <c r="C1556" s="23" t="s">
        <v>2528</v>
      </c>
      <c r="D1556" s="23" t="s">
        <v>273</v>
      </c>
      <c r="G1556" s="23" t="s">
        <v>7</v>
      </c>
      <c r="I1556" s="218" t="s">
        <v>2529</v>
      </c>
    </row>
    <row r="1557" spans="1:9" x14ac:dyDescent="0.25">
      <c r="A1557" s="23">
        <v>1557</v>
      </c>
      <c r="B1557" s="85">
        <v>45701</v>
      </c>
      <c r="C1557" s="23" t="s">
        <v>2530</v>
      </c>
      <c r="D1557" s="23" t="s">
        <v>175</v>
      </c>
      <c r="G1557" s="23">
        <v>0</v>
      </c>
      <c r="I1557" s="218" t="s">
        <v>2531</v>
      </c>
    </row>
    <row r="1558" spans="1:9" x14ac:dyDescent="0.25">
      <c r="A1558" s="23">
        <v>1558</v>
      </c>
      <c r="B1558" s="85">
        <v>45701</v>
      </c>
      <c r="C1558" s="23" t="s">
        <v>2530</v>
      </c>
      <c r="D1558" s="23" t="s">
        <v>153</v>
      </c>
      <c r="G1558" s="23">
        <v>0</v>
      </c>
      <c r="I1558" s="218" t="s">
        <v>2532</v>
      </c>
    </row>
    <row r="1559" spans="1:9" x14ac:dyDescent="0.25">
      <c r="A1559" s="23">
        <v>1559</v>
      </c>
      <c r="B1559" s="85">
        <v>45701</v>
      </c>
      <c r="C1559" s="23" t="s">
        <v>2533</v>
      </c>
      <c r="D1559" s="23" t="s">
        <v>175</v>
      </c>
      <c r="G1559" s="23">
        <v>0.5</v>
      </c>
      <c r="I1559" s="218" t="s">
        <v>295</v>
      </c>
    </row>
    <row r="1560" spans="1:9" x14ac:dyDescent="0.25">
      <c r="A1560" s="23">
        <v>1560</v>
      </c>
      <c r="B1560" s="85">
        <v>45701</v>
      </c>
      <c r="C1560" s="23" t="s">
        <v>2534</v>
      </c>
      <c r="D1560" s="23" t="s">
        <v>153</v>
      </c>
      <c r="G1560" s="23">
        <v>0.5</v>
      </c>
      <c r="I1560" s="218" t="s">
        <v>295</v>
      </c>
    </row>
    <row r="1561" spans="1:9" x14ac:dyDescent="0.25">
      <c r="A1561" s="23">
        <v>1561</v>
      </c>
      <c r="B1561" s="85">
        <v>45701</v>
      </c>
      <c r="C1561" s="23" t="s">
        <v>1203</v>
      </c>
      <c r="D1561" s="23" t="s">
        <v>177</v>
      </c>
      <c r="G1561" s="23">
        <v>0.8</v>
      </c>
      <c r="I1561" s="218" t="s">
        <v>2535</v>
      </c>
    </row>
    <row r="1562" spans="1:9" x14ac:dyDescent="0.25">
      <c r="A1562" s="23">
        <v>1562</v>
      </c>
      <c r="B1562" s="85">
        <v>45701</v>
      </c>
      <c r="C1562" s="23" t="s">
        <v>852</v>
      </c>
      <c r="D1562" s="23" t="s">
        <v>178</v>
      </c>
      <c r="G1562" s="23">
        <v>0.8</v>
      </c>
      <c r="I1562" s="218" t="s">
        <v>2536</v>
      </c>
    </row>
    <row r="1563" spans="1:9" x14ac:dyDescent="0.25">
      <c r="A1563" s="23">
        <v>1564</v>
      </c>
      <c r="B1563" s="85">
        <v>45701</v>
      </c>
      <c r="C1563" s="23" t="s">
        <v>192</v>
      </c>
      <c r="D1563" s="23" t="s">
        <v>170</v>
      </c>
      <c r="G1563" s="23">
        <v>0</v>
      </c>
      <c r="I1563" s="218" t="s">
        <v>2538</v>
      </c>
    </row>
    <row r="1564" spans="1:9" x14ac:dyDescent="0.25">
      <c r="A1564" s="23">
        <v>1565</v>
      </c>
      <c r="B1564" s="85">
        <v>45701</v>
      </c>
      <c r="C1564" s="23" t="s">
        <v>214</v>
      </c>
      <c r="D1564" s="23" t="s">
        <v>174</v>
      </c>
      <c r="G1564" s="23">
        <v>0</v>
      </c>
      <c r="I1564" s="218" t="s">
        <v>2539</v>
      </c>
    </row>
    <row r="1565" spans="1:9" x14ac:dyDescent="0.25">
      <c r="A1565" s="23">
        <v>1566</v>
      </c>
      <c r="B1565" s="85">
        <v>45701</v>
      </c>
      <c r="C1565" s="23" t="s">
        <v>214</v>
      </c>
      <c r="D1565" s="23" t="s">
        <v>172</v>
      </c>
      <c r="G1565" s="23">
        <v>0</v>
      </c>
      <c r="I1565" s="218" t="s">
        <v>2540</v>
      </c>
    </row>
    <row r="1566" spans="1:9" x14ac:dyDescent="0.25">
      <c r="A1566" s="23">
        <v>1566</v>
      </c>
      <c r="B1566" s="85">
        <v>45701</v>
      </c>
      <c r="C1566" s="23" t="s">
        <v>854</v>
      </c>
      <c r="D1566" s="23" t="s">
        <v>194</v>
      </c>
      <c r="G1566" s="23" t="s">
        <v>9</v>
      </c>
      <c r="I1566" s="218" t="s">
        <v>2537</v>
      </c>
    </row>
    <row r="1567" spans="1:9" x14ac:dyDescent="0.25">
      <c r="A1567" s="23">
        <v>1567</v>
      </c>
      <c r="B1567" s="85">
        <v>45701</v>
      </c>
      <c r="C1567" s="23" t="s">
        <v>1211</v>
      </c>
      <c r="D1567" s="23" t="s">
        <v>161</v>
      </c>
      <c r="G1567" s="23">
        <v>0.8</v>
      </c>
      <c r="I1567" s="218" t="s">
        <v>2541</v>
      </c>
    </row>
    <row r="1568" spans="1:9" x14ac:dyDescent="0.25">
      <c r="A1568" s="23">
        <v>1568</v>
      </c>
      <c r="B1568" s="85">
        <v>45701</v>
      </c>
      <c r="C1568" s="23" t="s">
        <v>1211</v>
      </c>
      <c r="D1568" s="23" t="s">
        <v>162</v>
      </c>
      <c r="G1568" s="23">
        <v>0.8</v>
      </c>
      <c r="I1568" s="218" t="s">
        <v>2542</v>
      </c>
    </row>
    <row r="1569" spans="1:9" x14ac:dyDescent="0.25">
      <c r="A1569" s="23">
        <v>1569</v>
      </c>
      <c r="B1569" s="85">
        <v>45701</v>
      </c>
      <c r="C1569" s="23" t="s">
        <v>2543</v>
      </c>
      <c r="D1569" s="23" t="s">
        <v>164</v>
      </c>
      <c r="G1569" s="23">
        <v>0.8</v>
      </c>
      <c r="I1569" s="218" t="s">
        <v>2544</v>
      </c>
    </row>
    <row r="1570" spans="1:9" x14ac:dyDescent="0.25">
      <c r="A1570" s="23">
        <v>1570</v>
      </c>
      <c r="B1570" s="85">
        <v>45701</v>
      </c>
      <c r="C1570" s="23" t="s">
        <v>2543</v>
      </c>
      <c r="D1570" s="23" t="s">
        <v>165</v>
      </c>
      <c r="G1570" s="23" t="s">
        <v>9</v>
      </c>
      <c r="I1570" s="218" t="s">
        <v>2545</v>
      </c>
    </row>
    <row r="1571" spans="1:9" x14ac:dyDescent="0.25">
      <c r="A1571" s="23">
        <v>1571</v>
      </c>
      <c r="B1571" s="85">
        <v>45701</v>
      </c>
      <c r="C1571" s="23" t="s">
        <v>860</v>
      </c>
      <c r="D1571" s="23" t="s">
        <v>177</v>
      </c>
      <c r="G1571" s="23">
        <v>0</v>
      </c>
      <c r="I1571" s="218" t="s">
        <v>2546</v>
      </c>
    </row>
    <row r="1572" spans="1:9" x14ac:dyDescent="0.25">
      <c r="A1572" s="23">
        <v>1572</v>
      </c>
      <c r="B1572" s="85">
        <v>45701</v>
      </c>
      <c r="C1572" s="23" t="s">
        <v>2547</v>
      </c>
      <c r="D1572" s="23" t="s">
        <v>178</v>
      </c>
      <c r="G1572" s="23">
        <v>0</v>
      </c>
      <c r="I1572" s="218" t="s">
        <v>2548</v>
      </c>
    </row>
    <row r="1573" spans="1:9" x14ac:dyDescent="0.25">
      <c r="A1573" s="23">
        <v>1573</v>
      </c>
      <c r="B1573" s="85">
        <v>45701</v>
      </c>
      <c r="C1573" s="23" t="s">
        <v>867</v>
      </c>
      <c r="D1573" s="23" t="s">
        <v>173</v>
      </c>
      <c r="G1573" s="23">
        <v>0.8</v>
      </c>
      <c r="I1573" s="218" t="s">
        <v>2549</v>
      </c>
    </row>
    <row r="1574" spans="1:9" x14ac:dyDescent="0.25">
      <c r="A1574" s="23">
        <v>1574</v>
      </c>
      <c r="B1574" s="85">
        <v>45701</v>
      </c>
      <c r="C1574" s="23" t="s">
        <v>1810</v>
      </c>
      <c r="D1574" s="23" t="s">
        <v>273</v>
      </c>
      <c r="G1574" s="23">
        <v>0.95</v>
      </c>
      <c r="I1574" s="218" t="s">
        <v>2550</v>
      </c>
    </row>
    <row r="1575" spans="1:9" x14ac:dyDescent="0.25">
      <c r="A1575" s="23">
        <v>1575</v>
      </c>
      <c r="B1575" s="85">
        <v>45701</v>
      </c>
      <c r="C1575" s="23" t="s">
        <v>2551</v>
      </c>
      <c r="D1575" s="23" t="s">
        <v>161</v>
      </c>
      <c r="G1575" s="23">
        <v>0</v>
      </c>
      <c r="I1575" s="218" t="s">
        <v>2552</v>
      </c>
    </row>
    <row r="1576" spans="1:9" x14ac:dyDescent="0.25">
      <c r="A1576" s="23">
        <v>1576</v>
      </c>
      <c r="B1576" s="85">
        <v>45701</v>
      </c>
      <c r="C1576" s="23" t="s">
        <v>280</v>
      </c>
      <c r="D1576" s="23" t="s">
        <v>272</v>
      </c>
      <c r="G1576" s="23" t="s">
        <v>7</v>
      </c>
      <c r="I1576" s="218" t="s">
        <v>2553</v>
      </c>
    </row>
    <row r="1577" spans="1:9" x14ac:dyDescent="0.25">
      <c r="A1577" s="23">
        <v>1577</v>
      </c>
      <c r="B1577" s="85">
        <v>45701</v>
      </c>
      <c r="C1577" s="23" t="s">
        <v>2555</v>
      </c>
      <c r="D1577" s="23" t="s">
        <v>164</v>
      </c>
      <c r="G1577" s="23">
        <v>0</v>
      </c>
      <c r="I1577" s="218" t="s">
        <v>2556</v>
      </c>
    </row>
    <row r="1578" spans="1:9" x14ac:dyDescent="0.25">
      <c r="A1578" s="23">
        <v>1578</v>
      </c>
      <c r="B1578" s="85">
        <v>45701</v>
      </c>
      <c r="C1578" s="23" t="s">
        <v>2557</v>
      </c>
      <c r="D1578" s="23" t="s">
        <v>263</v>
      </c>
      <c r="G1578" s="23">
        <v>0</v>
      </c>
      <c r="I1578" s="218" t="s">
        <v>2558</v>
      </c>
    </row>
    <row r="1579" spans="1:9" x14ac:dyDescent="0.25">
      <c r="A1579" s="23">
        <v>1579</v>
      </c>
      <c r="B1579" s="85">
        <v>45701</v>
      </c>
      <c r="C1579" s="23" t="s">
        <v>2559</v>
      </c>
      <c r="D1579" s="23" t="s">
        <v>173</v>
      </c>
      <c r="G1579" s="23">
        <v>0</v>
      </c>
      <c r="I1579" s="218" t="s">
        <v>2549</v>
      </c>
    </row>
    <row r="1580" spans="1:9" x14ac:dyDescent="0.25">
      <c r="A1580" s="23">
        <v>1580</v>
      </c>
      <c r="B1580" s="85">
        <v>45701</v>
      </c>
      <c r="C1580" s="23" t="s">
        <v>282</v>
      </c>
      <c r="D1580" s="23" t="s">
        <v>162</v>
      </c>
      <c r="G1580" s="23">
        <v>0</v>
      </c>
      <c r="I1580" s="218" t="s">
        <v>2560</v>
      </c>
    </row>
    <row r="1581" spans="1:9" x14ac:dyDescent="0.25">
      <c r="A1581" s="23">
        <v>1581</v>
      </c>
      <c r="B1581" s="85">
        <v>45701</v>
      </c>
      <c r="C1581" s="23" t="s">
        <v>282</v>
      </c>
      <c r="D1581" s="23" t="s">
        <v>155</v>
      </c>
      <c r="G1581" s="23">
        <v>0.54</v>
      </c>
      <c r="I1581" s="218" t="s">
        <v>2561</v>
      </c>
    </row>
    <row r="1582" spans="1:9" x14ac:dyDescent="0.25">
      <c r="A1582" s="23">
        <v>1582</v>
      </c>
      <c r="B1582" s="85">
        <v>45701</v>
      </c>
      <c r="C1582" s="23" t="s">
        <v>2562</v>
      </c>
      <c r="D1582" s="23" t="s">
        <v>166</v>
      </c>
      <c r="G1582" s="23">
        <v>0</v>
      </c>
      <c r="I1582" s="218" t="s">
        <v>2563</v>
      </c>
    </row>
    <row r="1583" spans="1:9" x14ac:dyDescent="0.25">
      <c r="A1583" s="23">
        <v>1583</v>
      </c>
      <c r="B1583" s="85">
        <v>45701</v>
      </c>
      <c r="C1583" s="23" t="s">
        <v>1520</v>
      </c>
      <c r="D1583" s="23" t="s">
        <v>252</v>
      </c>
      <c r="G1583" s="23">
        <v>0</v>
      </c>
      <c r="I1583" s="218" t="s">
        <v>2564</v>
      </c>
    </row>
    <row r="1584" spans="1:9" x14ac:dyDescent="0.25">
      <c r="A1584" s="23">
        <v>1584</v>
      </c>
      <c r="B1584" s="85">
        <v>45701</v>
      </c>
      <c r="C1584" s="23" t="s">
        <v>537</v>
      </c>
      <c r="D1584" s="23" t="s">
        <v>175</v>
      </c>
      <c r="G1584" s="23" t="s">
        <v>9</v>
      </c>
      <c r="I1584" s="218" t="s">
        <v>2565</v>
      </c>
    </row>
    <row r="1585" spans="1:9" x14ac:dyDescent="0.25">
      <c r="A1585" s="23">
        <v>1585</v>
      </c>
      <c r="B1585" s="85">
        <v>45701</v>
      </c>
      <c r="C1585" s="23" t="s">
        <v>2567</v>
      </c>
      <c r="D1585" s="23" t="s">
        <v>168</v>
      </c>
      <c r="G1585" s="23">
        <v>0.8</v>
      </c>
      <c r="I1585" s="218" t="s">
        <v>2568</v>
      </c>
    </row>
    <row r="1586" spans="1:9" x14ac:dyDescent="0.25">
      <c r="A1586" s="23">
        <v>1586</v>
      </c>
      <c r="B1586" s="85">
        <v>45701</v>
      </c>
      <c r="C1586" s="23" t="s">
        <v>2567</v>
      </c>
      <c r="D1586" s="23" t="s">
        <v>170</v>
      </c>
      <c r="G1586" s="23">
        <v>0.8</v>
      </c>
      <c r="I1586" s="218" t="s">
        <v>2569</v>
      </c>
    </row>
    <row r="1587" spans="1:9" x14ac:dyDescent="0.25">
      <c r="A1587" s="23">
        <v>1587</v>
      </c>
      <c r="B1587" s="85">
        <v>45701</v>
      </c>
      <c r="C1587" s="23" t="s">
        <v>2570</v>
      </c>
      <c r="D1587" s="23" t="s">
        <v>168</v>
      </c>
      <c r="G1587" s="23">
        <v>0</v>
      </c>
      <c r="I1587" s="218" t="s">
        <v>2568</v>
      </c>
    </row>
    <row r="1588" spans="1:9" x14ac:dyDescent="0.25">
      <c r="A1588" s="23">
        <v>1588</v>
      </c>
      <c r="B1588" s="85">
        <v>45701</v>
      </c>
      <c r="C1588" s="23" t="s">
        <v>2571</v>
      </c>
      <c r="D1588" s="23" t="s">
        <v>170</v>
      </c>
      <c r="G1588" s="23">
        <v>0</v>
      </c>
      <c r="I1588" s="218" t="s">
        <v>2569</v>
      </c>
    </row>
    <row r="1589" spans="1:9" x14ac:dyDescent="0.25">
      <c r="A1589" s="23">
        <v>1589</v>
      </c>
      <c r="B1589" s="85">
        <v>45701</v>
      </c>
      <c r="C1589" s="23" t="s">
        <v>1344</v>
      </c>
      <c r="D1589" s="23" t="s">
        <v>159</v>
      </c>
      <c r="G1589" s="23">
        <v>1</v>
      </c>
      <c r="I1589" s="218" t="s">
        <v>2572</v>
      </c>
    </row>
    <row r="1590" spans="1:9" x14ac:dyDescent="0.25">
      <c r="A1590" s="23">
        <v>1590</v>
      </c>
      <c r="B1590" s="85">
        <v>45701</v>
      </c>
      <c r="C1590" s="23" t="s">
        <v>1174</v>
      </c>
      <c r="D1590" s="23" t="s">
        <v>169</v>
      </c>
      <c r="G1590" s="23">
        <v>0</v>
      </c>
      <c r="I1590" s="218" t="s">
        <v>2573</v>
      </c>
    </row>
    <row r="1591" spans="1:9" x14ac:dyDescent="0.25">
      <c r="A1591" s="23">
        <v>1591</v>
      </c>
      <c r="B1591" s="85">
        <v>45702</v>
      </c>
      <c r="C1591" s="23" t="s">
        <v>2574</v>
      </c>
      <c r="D1591" s="23" t="s">
        <v>273</v>
      </c>
      <c r="G1591" s="23">
        <v>0</v>
      </c>
      <c r="I1591" s="218" t="s">
        <v>2575</v>
      </c>
    </row>
    <row r="1592" spans="1:9" x14ac:dyDescent="0.25">
      <c r="A1592" s="23">
        <v>1592</v>
      </c>
      <c r="B1592" s="85">
        <v>45702</v>
      </c>
      <c r="C1592" s="23" t="s">
        <v>2576</v>
      </c>
      <c r="D1592" s="23" t="s">
        <v>260</v>
      </c>
      <c r="G1592" s="23">
        <v>0</v>
      </c>
      <c r="I1592" s="218" t="s">
        <v>2577</v>
      </c>
    </row>
    <row r="1593" spans="1:9" x14ac:dyDescent="0.25">
      <c r="A1593" s="23">
        <v>1593</v>
      </c>
      <c r="B1593" s="85">
        <v>45702</v>
      </c>
      <c r="C1593" s="23" t="s">
        <v>910</v>
      </c>
      <c r="D1593" s="23" t="s">
        <v>166</v>
      </c>
      <c r="G1593" s="23">
        <v>0.41499999999999998</v>
      </c>
      <c r="I1593" s="218" t="s">
        <v>2578</v>
      </c>
    </row>
    <row r="1594" spans="1:9" x14ac:dyDescent="0.25">
      <c r="A1594" s="23">
        <v>1594</v>
      </c>
      <c r="B1594" s="85">
        <v>45702</v>
      </c>
      <c r="C1594" s="23" t="s">
        <v>721</v>
      </c>
      <c r="D1594" s="23" t="s">
        <v>160</v>
      </c>
      <c r="G1594" s="23">
        <v>0</v>
      </c>
      <c r="I1594" s="218" t="s">
        <v>2579</v>
      </c>
    </row>
    <row r="1595" spans="1:9" x14ac:dyDescent="0.25">
      <c r="A1595" s="23">
        <v>1595</v>
      </c>
      <c r="B1595" s="85">
        <v>45702</v>
      </c>
      <c r="C1595" s="23" t="s">
        <v>2580</v>
      </c>
      <c r="D1595" s="23" t="s">
        <v>260</v>
      </c>
      <c r="G1595" s="23">
        <v>0.71</v>
      </c>
      <c r="I1595" s="218" t="s">
        <v>2581</v>
      </c>
    </row>
    <row r="1596" spans="1:9" x14ac:dyDescent="0.25">
      <c r="A1596" s="23">
        <v>1596</v>
      </c>
      <c r="B1596" s="85">
        <v>45702</v>
      </c>
      <c r="C1596" s="23" t="s">
        <v>2582</v>
      </c>
      <c r="D1596" s="23" t="s">
        <v>252</v>
      </c>
      <c r="G1596" s="23">
        <v>0.95</v>
      </c>
      <c r="I1596" s="218" t="s">
        <v>2583</v>
      </c>
    </row>
    <row r="1597" spans="1:9" x14ac:dyDescent="0.25">
      <c r="A1597" s="23">
        <v>1598</v>
      </c>
      <c r="B1597" s="85">
        <v>45702</v>
      </c>
      <c r="C1597" s="23" t="s">
        <v>2584</v>
      </c>
      <c r="D1597" s="23" t="s">
        <v>272</v>
      </c>
      <c r="G1597" s="23">
        <v>0</v>
      </c>
      <c r="I1597" s="218" t="s">
        <v>2585</v>
      </c>
    </row>
    <row r="1598" spans="1:9" x14ac:dyDescent="0.25">
      <c r="A1598" s="23">
        <v>1599</v>
      </c>
      <c r="B1598" s="85">
        <v>45702</v>
      </c>
      <c r="C1598" s="23" t="s">
        <v>2584</v>
      </c>
      <c r="D1598" s="23" t="s">
        <v>272</v>
      </c>
      <c r="G1598" s="23">
        <v>0.9</v>
      </c>
      <c r="I1598" s="218" t="s">
        <v>295</v>
      </c>
    </row>
    <row r="1599" spans="1:9" x14ac:dyDescent="0.25">
      <c r="A1599" s="23">
        <v>1599</v>
      </c>
      <c r="B1599" s="85">
        <v>45702</v>
      </c>
      <c r="C1599" s="23" t="s">
        <v>1835</v>
      </c>
      <c r="D1599" s="23" t="s">
        <v>273</v>
      </c>
      <c r="G1599" s="23">
        <v>0.9</v>
      </c>
      <c r="I1599" s="218" t="s">
        <v>2586</v>
      </c>
    </row>
    <row r="1600" spans="1:9" x14ac:dyDescent="0.25">
      <c r="A1600" s="23">
        <v>1600</v>
      </c>
      <c r="B1600" s="85">
        <v>45702</v>
      </c>
      <c r="C1600" s="23" t="s">
        <v>2587</v>
      </c>
      <c r="D1600" s="23" t="s">
        <v>172</v>
      </c>
      <c r="G1600" s="23">
        <v>0.8</v>
      </c>
      <c r="I1600" s="218" t="s">
        <v>2588</v>
      </c>
    </row>
    <row r="1601" spans="1:9" x14ac:dyDescent="0.25">
      <c r="A1601" s="23">
        <v>1601</v>
      </c>
      <c r="B1601" s="85">
        <v>45702</v>
      </c>
      <c r="C1601" s="23" t="s">
        <v>2589</v>
      </c>
      <c r="D1601" s="23" t="s">
        <v>172</v>
      </c>
      <c r="G1601" s="23">
        <v>0</v>
      </c>
      <c r="I1601" s="218" t="s">
        <v>2588</v>
      </c>
    </row>
    <row r="1602" spans="1:9" x14ac:dyDescent="0.25">
      <c r="A1602" s="23">
        <v>1602</v>
      </c>
      <c r="B1602" s="85">
        <v>45702</v>
      </c>
      <c r="C1602" s="23" t="s">
        <v>2590</v>
      </c>
      <c r="D1602" s="23" t="s">
        <v>252</v>
      </c>
      <c r="G1602" s="23">
        <v>0</v>
      </c>
      <c r="I1602" s="218" t="s">
        <v>2591</v>
      </c>
    </row>
    <row r="1603" spans="1:9" x14ac:dyDescent="0.25">
      <c r="A1603" s="23">
        <v>1603</v>
      </c>
      <c r="B1603" s="85">
        <v>45702</v>
      </c>
      <c r="C1603" s="23" t="s">
        <v>729</v>
      </c>
      <c r="D1603" s="23" t="s">
        <v>169</v>
      </c>
      <c r="G1603" s="23">
        <v>0.78</v>
      </c>
      <c r="I1603" s="218" t="s">
        <v>2592</v>
      </c>
    </row>
    <row r="1604" spans="1:9" x14ac:dyDescent="0.25">
      <c r="A1604" s="23">
        <v>1604</v>
      </c>
      <c r="B1604" s="85">
        <v>45702</v>
      </c>
      <c r="C1604" s="23" t="s">
        <v>2593</v>
      </c>
      <c r="D1604" s="23" t="s">
        <v>159</v>
      </c>
      <c r="G1604" s="23">
        <v>0</v>
      </c>
      <c r="I1604" s="218" t="s">
        <v>2594</v>
      </c>
    </row>
    <row r="1605" spans="1:9" x14ac:dyDescent="0.25">
      <c r="A1605" s="23">
        <v>1605</v>
      </c>
      <c r="B1605" s="85">
        <v>45702</v>
      </c>
      <c r="C1605" s="23" t="s">
        <v>2153</v>
      </c>
      <c r="D1605" s="23" t="s">
        <v>252</v>
      </c>
      <c r="G1605" s="23">
        <v>1</v>
      </c>
      <c r="I1605" s="218" t="s">
        <v>295</v>
      </c>
    </row>
    <row r="1606" spans="1:9" x14ac:dyDescent="0.25">
      <c r="A1606" s="23">
        <v>1606</v>
      </c>
      <c r="B1606" s="85">
        <v>45702</v>
      </c>
      <c r="C1606" s="23" t="s">
        <v>1081</v>
      </c>
      <c r="D1606" s="23" t="s">
        <v>174</v>
      </c>
      <c r="G1606" s="23">
        <v>0.8</v>
      </c>
      <c r="I1606" s="218" t="s">
        <v>2595</v>
      </c>
    </row>
    <row r="1607" spans="1:9" x14ac:dyDescent="0.25">
      <c r="A1607" s="23">
        <v>1607</v>
      </c>
      <c r="B1607" s="85">
        <v>45702</v>
      </c>
      <c r="C1607" s="23" t="s">
        <v>1421</v>
      </c>
      <c r="D1607" s="23" t="s">
        <v>177</v>
      </c>
      <c r="G1607" s="23">
        <v>0.8</v>
      </c>
      <c r="I1607" s="218" t="s">
        <v>2596</v>
      </c>
    </row>
    <row r="1608" spans="1:9" x14ac:dyDescent="0.25">
      <c r="A1608" s="23">
        <v>1608</v>
      </c>
      <c r="B1608" s="85">
        <v>45702</v>
      </c>
      <c r="C1608" s="23" t="s">
        <v>739</v>
      </c>
      <c r="D1608" s="23" t="s">
        <v>178</v>
      </c>
      <c r="G1608" s="23">
        <v>0.8</v>
      </c>
      <c r="I1608" s="218" t="s">
        <v>2597</v>
      </c>
    </row>
    <row r="1609" spans="1:9" x14ac:dyDescent="0.25">
      <c r="A1609" s="23">
        <v>1609</v>
      </c>
      <c r="B1609" s="85">
        <v>45702</v>
      </c>
      <c r="C1609" s="23" t="s">
        <v>255</v>
      </c>
      <c r="D1609" s="23" t="s">
        <v>161</v>
      </c>
      <c r="G1609" s="23">
        <v>0.8</v>
      </c>
      <c r="I1609" s="218" t="s">
        <v>2598</v>
      </c>
    </row>
    <row r="1610" spans="1:9" x14ac:dyDescent="0.25">
      <c r="A1610" s="23">
        <v>1610</v>
      </c>
      <c r="B1610" s="85">
        <v>45702</v>
      </c>
      <c r="C1610" s="23" t="s">
        <v>1090</v>
      </c>
      <c r="D1610" s="23" t="s">
        <v>162</v>
      </c>
      <c r="G1610" s="23">
        <v>0.8</v>
      </c>
      <c r="I1610" s="218" t="s">
        <v>2599</v>
      </c>
    </row>
    <row r="1611" spans="1:9" x14ac:dyDescent="0.25">
      <c r="A1611" s="23">
        <v>1611</v>
      </c>
      <c r="B1611" s="85">
        <v>45702</v>
      </c>
      <c r="C1611" s="23" t="s">
        <v>1429</v>
      </c>
      <c r="D1611" s="23" t="s">
        <v>173</v>
      </c>
      <c r="G1611" s="23">
        <v>0.8</v>
      </c>
      <c r="I1611" s="218" t="s">
        <v>2600</v>
      </c>
    </row>
    <row r="1612" spans="1:9" x14ac:dyDescent="0.25">
      <c r="A1612" s="23">
        <v>1612</v>
      </c>
      <c r="B1612" s="85">
        <v>45702</v>
      </c>
      <c r="C1612" s="23" t="s">
        <v>228</v>
      </c>
      <c r="D1612" s="23" t="s">
        <v>164</v>
      </c>
      <c r="G1612" s="23">
        <v>0.8</v>
      </c>
      <c r="I1612" s="218" t="s">
        <v>2601</v>
      </c>
    </row>
    <row r="1613" spans="1:9" x14ac:dyDescent="0.25">
      <c r="A1613" s="23">
        <v>1613</v>
      </c>
      <c r="B1613" s="85">
        <v>45702</v>
      </c>
      <c r="C1613" s="23" t="s">
        <v>951</v>
      </c>
      <c r="D1613" s="23" t="s">
        <v>263</v>
      </c>
      <c r="G1613" s="23">
        <v>0.8</v>
      </c>
      <c r="I1613" s="218" t="s">
        <v>2602</v>
      </c>
    </row>
    <row r="1614" spans="1:9" x14ac:dyDescent="0.25">
      <c r="A1614" s="23">
        <v>1614</v>
      </c>
      <c r="B1614" s="85">
        <v>45702</v>
      </c>
      <c r="C1614" s="23" t="s">
        <v>206</v>
      </c>
      <c r="D1614" s="23" t="s">
        <v>174</v>
      </c>
      <c r="G1614" s="23">
        <v>0</v>
      </c>
      <c r="I1614" s="218" t="s">
        <v>2603</v>
      </c>
    </row>
    <row r="1615" spans="1:9" x14ac:dyDescent="0.25">
      <c r="A1615" s="23">
        <v>1615</v>
      </c>
      <c r="B1615" s="85">
        <v>45702</v>
      </c>
      <c r="C1615" s="23" t="s">
        <v>206</v>
      </c>
      <c r="D1615" s="23" t="s">
        <v>177</v>
      </c>
      <c r="G1615" s="23">
        <v>0</v>
      </c>
      <c r="I1615" s="218" t="s">
        <v>2604</v>
      </c>
    </row>
    <row r="1616" spans="1:9" x14ac:dyDescent="0.25">
      <c r="A1616" s="23">
        <v>1616</v>
      </c>
      <c r="B1616" s="85">
        <v>45702</v>
      </c>
      <c r="C1616" s="23" t="s">
        <v>1989</v>
      </c>
      <c r="D1616" s="23" t="s">
        <v>161</v>
      </c>
      <c r="G1616" s="23">
        <v>0</v>
      </c>
      <c r="I1616" s="218" t="s">
        <v>2598</v>
      </c>
    </row>
    <row r="1617" spans="1:9" x14ac:dyDescent="0.25">
      <c r="A1617" s="23">
        <v>1617</v>
      </c>
      <c r="B1617" s="85">
        <v>45702</v>
      </c>
      <c r="C1617" s="23" t="s">
        <v>1989</v>
      </c>
      <c r="D1617" s="23" t="s">
        <v>178</v>
      </c>
      <c r="G1617" s="23">
        <v>0</v>
      </c>
      <c r="I1617" s="218" t="s">
        <v>2597</v>
      </c>
    </row>
    <row r="1618" spans="1:9" x14ac:dyDescent="0.25">
      <c r="A1618" s="23">
        <v>1618</v>
      </c>
      <c r="B1618" s="85">
        <v>45702</v>
      </c>
      <c r="C1618" s="23" t="s">
        <v>1982</v>
      </c>
      <c r="D1618" s="23" t="s">
        <v>194</v>
      </c>
      <c r="G1618" s="23">
        <v>0</v>
      </c>
      <c r="I1618" s="218" t="s">
        <v>2605</v>
      </c>
    </row>
    <row r="1619" spans="1:9" x14ac:dyDescent="0.25">
      <c r="A1619" s="23">
        <v>1619</v>
      </c>
      <c r="B1619" s="85">
        <v>45702</v>
      </c>
      <c r="C1619" s="23" t="s">
        <v>1982</v>
      </c>
      <c r="D1619" s="23" t="s">
        <v>194</v>
      </c>
      <c r="G1619" s="23">
        <v>6.7</v>
      </c>
      <c r="I1619" s="218" t="s">
        <v>295</v>
      </c>
    </row>
    <row r="1620" spans="1:9" x14ac:dyDescent="0.25">
      <c r="A1620" s="23">
        <v>1620</v>
      </c>
      <c r="B1620" s="85">
        <v>45702</v>
      </c>
      <c r="C1620" s="23" t="s">
        <v>1737</v>
      </c>
      <c r="D1620" s="23" t="s">
        <v>165</v>
      </c>
      <c r="G1620" s="23">
        <v>0</v>
      </c>
      <c r="I1620" s="218" t="s">
        <v>2606</v>
      </c>
    </row>
    <row r="1621" spans="1:9" x14ac:dyDescent="0.25">
      <c r="A1621" s="23">
        <v>1621</v>
      </c>
      <c r="B1621" s="85">
        <v>45702</v>
      </c>
      <c r="C1621" s="23" t="s">
        <v>1737</v>
      </c>
      <c r="D1621" s="23" t="s">
        <v>165</v>
      </c>
      <c r="G1621" s="23">
        <v>0.8</v>
      </c>
      <c r="I1621" s="218" t="s">
        <v>295</v>
      </c>
    </row>
    <row r="1622" spans="1:9" x14ac:dyDescent="0.25">
      <c r="A1622" s="23">
        <v>1622</v>
      </c>
      <c r="B1622" s="85">
        <v>45702</v>
      </c>
      <c r="C1622" s="23" t="s">
        <v>963</v>
      </c>
      <c r="D1622" s="23" t="s">
        <v>168</v>
      </c>
      <c r="G1622" s="23">
        <v>0.8</v>
      </c>
      <c r="I1622" s="218" t="s">
        <v>2607</v>
      </c>
    </row>
    <row r="1623" spans="1:9" x14ac:dyDescent="0.25">
      <c r="A1623" s="23">
        <v>1623</v>
      </c>
      <c r="B1623" s="85">
        <v>45702</v>
      </c>
      <c r="C1623" s="23" t="s">
        <v>607</v>
      </c>
      <c r="D1623" s="23" t="s">
        <v>170</v>
      </c>
      <c r="G1623" s="23">
        <v>0.8</v>
      </c>
      <c r="I1623" s="218" t="s">
        <v>2608</v>
      </c>
    </row>
    <row r="1624" spans="1:9" x14ac:dyDescent="0.25">
      <c r="A1624" s="23">
        <v>1624</v>
      </c>
      <c r="B1624" s="85">
        <v>45702</v>
      </c>
      <c r="C1624" s="23" t="s">
        <v>2609</v>
      </c>
      <c r="D1624" s="23" t="s">
        <v>172</v>
      </c>
      <c r="G1624" s="23">
        <v>0.8</v>
      </c>
      <c r="I1624" s="218" t="s">
        <v>2610</v>
      </c>
    </row>
    <row r="1625" spans="1:9" x14ac:dyDescent="0.25">
      <c r="A1625" s="23">
        <v>1625</v>
      </c>
      <c r="B1625" s="85">
        <v>45702</v>
      </c>
      <c r="C1625" s="23" t="s">
        <v>233</v>
      </c>
      <c r="D1625" s="23" t="s">
        <v>174</v>
      </c>
      <c r="G1625" s="23">
        <v>0.8</v>
      </c>
      <c r="I1625" s="218" t="s">
        <v>2611</v>
      </c>
    </row>
    <row r="1626" spans="1:9" x14ac:dyDescent="0.25">
      <c r="A1626" s="23">
        <v>1626</v>
      </c>
      <c r="B1626" s="85">
        <v>45702</v>
      </c>
      <c r="C1626" s="23" t="s">
        <v>216</v>
      </c>
      <c r="D1626" s="23" t="s">
        <v>177</v>
      </c>
      <c r="G1626" s="23">
        <v>0.8</v>
      </c>
      <c r="I1626" s="218" t="s">
        <v>2612</v>
      </c>
    </row>
    <row r="1627" spans="1:9" x14ac:dyDescent="0.25">
      <c r="A1627" s="23">
        <v>1627</v>
      </c>
      <c r="B1627" s="85">
        <v>45702</v>
      </c>
      <c r="C1627" s="23" t="s">
        <v>197</v>
      </c>
      <c r="D1627" s="23" t="s">
        <v>178</v>
      </c>
      <c r="G1627" s="23">
        <v>0.8</v>
      </c>
      <c r="I1627" s="218" t="s">
        <v>2613</v>
      </c>
    </row>
    <row r="1628" spans="1:9" x14ac:dyDescent="0.25">
      <c r="A1628" s="23">
        <v>1628</v>
      </c>
      <c r="B1628" s="85">
        <v>45702</v>
      </c>
      <c r="C1628" s="23" t="s">
        <v>971</v>
      </c>
      <c r="D1628" s="23" t="s">
        <v>175</v>
      </c>
      <c r="G1628" s="23">
        <v>0</v>
      </c>
      <c r="I1628" s="218" t="s">
        <v>2614</v>
      </c>
    </row>
    <row r="1629" spans="1:9" x14ac:dyDescent="0.25">
      <c r="A1629" s="23">
        <v>1629</v>
      </c>
      <c r="B1629" s="85">
        <v>45702</v>
      </c>
      <c r="C1629" s="23" t="s">
        <v>971</v>
      </c>
      <c r="D1629" s="23" t="s">
        <v>175</v>
      </c>
      <c r="G1629" s="23">
        <v>3.8</v>
      </c>
      <c r="I1629" s="218" t="s">
        <v>295</v>
      </c>
    </row>
    <row r="1630" spans="1:9" x14ac:dyDescent="0.25">
      <c r="A1630" s="23">
        <v>1630</v>
      </c>
      <c r="B1630" s="85">
        <v>45702</v>
      </c>
      <c r="C1630" s="23" t="s">
        <v>249</v>
      </c>
      <c r="D1630" s="23" t="s">
        <v>162</v>
      </c>
      <c r="G1630" s="23">
        <v>0</v>
      </c>
      <c r="I1630" s="218" t="s">
        <v>2615</v>
      </c>
    </row>
    <row r="1631" spans="1:9" x14ac:dyDescent="0.25">
      <c r="A1631" s="23">
        <v>1631</v>
      </c>
      <c r="B1631" s="85">
        <v>45702</v>
      </c>
      <c r="C1631" s="23" t="s">
        <v>1448</v>
      </c>
      <c r="D1631" s="23" t="s">
        <v>173</v>
      </c>
      <c r="G1631" s="23">
        <v>0</v>
      </c>
      <c r="I1631" s="218" t="s">
        <v>2616</v>
      </c>
    </row>
    <row r="1632" spans="1:9" x14ac:dyDescent="0.25">
      <c r="A1632" s="23">
        <v>1632</v>
      </c>
      <c r="B1632" s="85">
        <v>45702</v>
      </c>
      <c r="C1632" s="23" t="s">
        <v>203</v>
      </c>
      <c r="D1632" s="23" t="s">
        <v>164</v>
      </c>
      <c r="G1632" s="23">
        <v>0</v>
      </c>
      <c r="I1632" s="218" t="s">
        <v>2617</v>
      </c>
    </row>
    <row r="1633" spans="1:9" x14ac:dyDescent="0.25">
      <c r="A1633" s="23">
        <v>1633</v>
      </c>
      <c r="B1633" s="85">
        <v>45702</v>
      </c>
      <c r="C1633" s="23" t="s">
        <v>2618</v>
      </c>
      <c r="D1633" s="23" t="s">
        <v>161</v>
      </c>
      <c r="G1633" s="23">
        <v>0.8</v>
      </c>
      <c r="I1633" s="218" t="s">
        <v>2619</v>
      </c>
    </row>
    <row r="1634" spans="1:9" x14ac:dyDescent="0.25">
      <c r="A1634" s="23">
        <v>1634</v>
      </c>
      <c r="B1634" s="85">
        <v>45702</v>
      </c>
      <c r="C1634" s="23" t="s">
        <v>1601</v>
      </c>
      <c r="D1634" s="23" t="s">
        <v>202</v>
      </c>
      <c r="G1634" s="23">
        <v>0.8</v>
      </c>
      <c r="I1634" s="218" t="s">
        <v>2620</v>
      </c>
    </row>
    <row r="1635" spans="1:9" x14ac:dyDescent="0.25">
      <c r="A1635" s="23">
        <v>1635</v>
      </c>
      <c r="B1635" s="85">
        <v>45702</v>
      </c>
      <c r="C1635" s="23" t="s">
        <v>2621</v>
      </c>
      <c r="D1635" s="23" t="s">
        <v>164</v>
      </c>
      <c r="G1635" s="23">
        <v>0.8</v>
      </c>
      <c r="I1635" s="218" t="s">
        <v>2622</v>
      </c>
    </row>
    <row r="1636" spans="1:9" x14ac:dyDescent="0.25">
      <c r="A1636" s="23">
        <v>1636</v>
      </c>
      <c r="B1636" s="85">
        <v>45702</v>
      </c>
      <c r="C1636" s="23" t="s">
        <v>2621</v>
      </c>
      <c r="D1636" s="23" t="s">
        <v>173</v>
      </c>
      <c r="G1636" s="23">
        <v>0.8</v>
      </c>
      <c r="I1636" s="218" t="s">
        <v>2623</v>
      </c>
    </row>
    <row r="1637" spans="1:9" x14ac:dyDescent="0.25">
      <c r="A1637" s="23">
        <v>1637</v>
      </c>
      <c r="B1637" s="85">
        <v>45702</v>
      </c>
      <c r="C1637" s="23" t="s">
        <v>2621</v>
      </c>
      <c r="D1637" s="23" t="s">
        <v>162</v>
      </c>
      <c r="G1637" s="23">
        <v>0.8</v>
      </c>
      <c r="I1637" s="218" t="s">
        <v>2624</v>
      </c>
    </row>
    <row r="1638" spans="1:9" x14ac:dyDescent="0.25">
      <c r="A1638" s="23">
        <v>1638</v>
      </c>
      <c r="B1638" s="85">
        <v>45702</v>
      </c>
      <c r="C1638" s="23" t="s">
        <v>2625</v>
      </c>
      <c r="D1638" s="23" t="s">
        <v>165</v>
      </c>
      <c r="G1638" s="23">
        <v>0</v>
      </c>
      <c r="I1638" s="218" t="s">
        <v>2626</v>
      </c>
    </row>
    <row r="1639" spans="1:9" x14ac:dyDescent="0.25">
      <c r="A1639" s="23">
        <v>1639</v>
      </c>
      <c r="B1639" s="85">
        <v>45702</v>
      </c>
      <c r="C1639" s="23" t="s">
        <v>2627</v>
      </c>
      <c r="D1639" s="23" t="s">
        <v>168</v>
      </c>
      <c r="G1639" s="23">
        <v>0</v>
      </c>
      <c r="I1639" s="218" t="s">
        <v>2628</v>
      </c>
    </row>
    <row r="1640" spans="1:9" x14ac:dyDescent="0.25">
      <c r="A1640" s="23">
        <v>1640</v>
      </c>
      <c r="B1640" s="85">
        <v>45702</v>
      </c>
      <c r="C1640" s="23" t="s">
        <v>2629</v>
      </c>
      <c r="D1640" s="23" t="s">
        <v>170</v>
      </c>
      <c r="G1640" s="23">
        <v>0</v>
      </c>
      <c r="I1640" s="218" t="s">
        <v>2630</v>
      </c>
    </row>
    <row r="1641" spans="1:9" x14ac:dyDescent="0.25">
      <c r="A1641" s="23">
        <v>1641</v>
      </c>
      <c r="B1641" s="85">
        <v>45702</v>
      </c>
      <c r="C1641" s="23" t="s">
        <v>156</v>
      </c>
      <c r="D1641" s="23" t="s">
        <v>160</v>
      </c>
      <c r="G1641" s="23">
        <v>0.64</v>
      </c>
      <c r="I1641" s="218" t="s">
        <v>2631</v>
      </c>
    </row>
    <row r="1642" spans="1:9" x14ac:dyDescent="0.25">
      <c r="A1642" s="23">
        <v>1642</v>
      </c>
      <c r="B1642" s="85">
        <v>45702</v>
      </c>
      <c r="C1642" s="23" t="s">
        <v>167</v>
      </c>
      <c r="D1642" s="23" t="s">
        <v>155</v>
      </c>
      <c r="G1642" s="23">
        <v>0</v>
      </c>
      <c r="I1642" s="218" t="s">
        <v>2632</v>
      </c>
    </row>
    <row r="1643" spans="1:9" x14ac:dyDescent="0.25">
      <c r="A1643" s="23">
        <v>1643</v>
      </c>
      <c r="B1643" s="85">
        <v>45702</v>
      </c>
      <c r="C1643" s="23" t="s">
        <v>2625</v>
      </c>
      <c r="D1643" s="23" t="s">
        <v>268</v>
      </c>
      <c r="G1643" s="23">
        <v>0.85</v>
      </c>
      <c r="I1643" s="218" t="s">
        <v>2633</v>
      </c>
    </row>
    <row r="1644" spans="1:9" x14ac:dyDescent="0.25">
      <c r="A1644" s="23">
        <v>1644</v>
      </c>
      <c r="B1644" s="85">
        <v>45702</v>
      </c>
      <c r="C1644" s="23" t="s">
        <v>2480</v>
      </c>
      <c r="D1644" s="23" t="s">
        <v>175</v>
      </c>
      <c r="G1644" s="23">
        <v>0</v>
      </c>
      <c r="I1644" s="218" t="s">
        <v>2634</v>
      </c>
    </row>
    <row r="1645" spans="1:9" x14ac:dyDescent="0.25">
      <c r="A1645" s="23">
        <v>1645</v>
      </c>
      <c r="B1645" s="85">
        <v>45702</v>
      </c>
      <c r="C1645" s="23" t="s">
        <v>2480</v>
      </c>
      <c r="D1645" s="23" t="s">
        <v>175</v>
      </c>
      <c r="G1645" s="23" t="s">
        <v>9</v>
      </c>
      <c r="H1645" s="23" t="s">
        <v>2635</v>
      </c>
      <c r="I1645" s="218" t="s">
        <v>295</v>
      </c>
    </row>
    <row r="1646" spans="1:9" x14ac:dyDescent="0.25">
      <c r="A1646" s="23">
        <v>1646</v>
      </c>
      <c r="B1646" s="85">
        <v>45702</v>
      </c>
      <c r="C1646" s="23" t="s">
        <v>2636</v>
      </c>
      <c r="D1646" s="23" t="s">
        <v>172</v>
      </c>
      <c r="G1646" s="23">
        <v>0</v>
      </c>
      <c r="I1646" s="218" t="s">
        <v>2637</v>
      </c>
    </row>
    <row r="1647" spans="1:9" x14ac:dyDescent="0.25">
      <c r="A1647" s="23">
        <v>1648</v>
      </c>
      <c r="B1647" s="85">
        <v>45702</v>
      </c>
      <c r="C1647" s="23" t="s">
        <v>2639</v>
      </c>
      <c r="D1647" s="23" t="s">
        <v>150</v>
      </c>
      <c r="G1647" s="23">
        <v>0</v>
      </c>
      <c r="I1647" s="218" t="s">
        <v>2640</v>
      </c>
    </row>
    <row r="1648" spans="1:9" x14ac:dyDescent="0.25">
      <c r="A1648" s="23">
        <v>1649</v>
      </c>
      <c r="B1648" s="85">
        <v>45702</v>
      </c>
      <c r="C1648" s="23" t="s">
        <v>2639</v>
      </c>
      <c r="D1648" s="23" t="s">
        <v>150</v>
      </c>
      <c r="G1648" s="23">
        <v>3.5</v>
      </c>
      <c r="I1648" s="218" t="s">
        <v>295</v>
      </c>
    </row>
    <row r="1649" spans="1:9" x14ac:dyDescent="0.25">
      <c r="A1649" s="23">
        <v>1649</v>
      </c>
      <c r="B1649" s="85">
        <v>45702</v>
      </c>
      <c r="C1649" s="23" t="s">
        <v>2638</v>
      </c>
      <c r="D1649" s="23" t="s">
        <v>174</v>
      </c>
      <c r="G1649" s="23">
        <v>0</v>
      </c>
      <c r="I1649" s="218" t="s">
        <v>2641</v>
      </c>
    </row>
    <row r="1650" spans="1:9" x14ac:dyDescent="0.25">
      <c r="A1650" s="23">
        <v>1650</v>
      </c>
      <c r="B1650" s="85">
        <v>45702</v>
      </c>
      <c r="C1650" s="23" t="s">
        <v>1870</v>
      </c>
      <c r="D1650" s="23" t="s">
        <v>175</v>
      </c>
      <c r="G1650" s="23">
        <v>0</v>
      </c>
      <c r="I1650" s="218" t="s">
        <v>2642</v>
      </c>
    </row>
    <row r="1651" spans="1:9" x14ac:dyDescent="0.25">
      <c r="A1651" s="23">
        <v>1651</v>
      </c>
      <c r="B1651" s="85">
        <v>45702</v>
      </c>
      <c r="C1651" s="23" t="s">
        <v>1870</v>
      </c>
      <c r="D1651" s="23" t="s">
        <v>175</v>
      </c>
      <c r="G1651" s="23">
        <v>3.8</v>
      </c>
      <c r="I1651" s="218" t="s">
        <v>295</v>
      </c>
    </row>
    <row r="1652" spans="1:9" x14ac:dyDescent="0.25">
      <c r="A1652" s="23">
        <v>1652</v>
      </c>
      <c r="B1652" s="85">
        <v>45702</v>
      </c>
      <c r="C1652" s="23" t="s">
        <v>2325</v>
      </c>
      <c r="D1652" s="23" t="s">
        <v>161</v>
      </c>
      <c r="G1652" s="23">
        <v>0</v>
      </c>
      <c r="I1652" s="218" t="s">
        <v>2643</v>
      </c>
    </row>
    <row r="1653" spans="1:9" x14ac:dyDescent="0.25">
      <c r="A1653" s="23">
        <v>1653</v>
      </c>
      <c r="B1653" s="85">
        <v>45702</v>
      </c>
      <c r="C1653" s="23" t="s">
        <v>2325</v>
      </c>
      <c r="D1653" s="23" t="s">
        <v>178</v>
      </c>
      <c r="G1653" s="23">
        <v>0</v>
      </c>
      <c r="I1653" s="218" t="s">
        <v>2644</v>
      </c>
    </row>
    <row r="1654" spans="1:9" x14ac:dyDescent="0.25">
      <c r="A1654" s="23">
        <v>1654</v>
      </c>
      <c r="B1654" s="85">
        <v>45702</v>
      </c>
      <c r="C1654" s="23" t="s">
        <v>1125</v>
      </c>
      <c r="D1654" s="23" t="s">
        <v>162</v>
      </c>
      <c r="G1654" s="23">
        <v>0</v>
      </c>
      <c r="I1654" s="218" t="s">
        <v>2645</v>
      </c>
    </row>
    <row r="1655" spans="1:9" x14ac:dyDescent="0.25">
      <c r="A1655" s="23">
        <v>1655</v>
      </c>
      <c r="B1655" s="85">
        <v>45702</v>
      </c>
      <c r="C1655" s="23" t="s">
        <v>2491</v>
      </c>
      <c r="D1655" s="23" t="s">
        <v>173</v>
      </c>
      <c r="G1655" s="23">
        <v>0</v>
      </c>
      <c r="I1655" s="218" t="s">
        <v>2646</v>
      </c>
    </row>
    <row r="1656" spans="1:9" x14ac:dyDescent="0.25">
      <c r="A1656" s="23">
        <v>1656</v>
      </c>
      <c r="B1656" s="85">
        <v>45702</v>
      </c>
      <c r="C1656" s="23" t="s">
        <v>1605</v>
      </c>
      <c r="D1656" s="23" t="s">
        <v>165</v>
      </c>
      <c r="G1656" s="23">
        <v>0.8</v>
      </c>
      <c r="I1656" s="218" t="s">
        <v>2647</v>
      </c>
    </row>
    <row r="1657" spans="1:9" x14ac:dyDescent="0.25">
      <c r="A1657" s="23">
        <v>1657</v>
      </c>
      <c r="B1657" s="85">
        <v>45702</v>
      </c>
      <c r="C1657" s="23" t="s">
        <v>1605</v>
      </c>
      <c r="D1657" s="23" t="s">
        <v>168</v>
      </c>
      <c r="G1657" s="23">
        <v>0.8</v>
      </c>
      <c r="I1657" s="218" t="s">
        <v>2648</v>
      </c>
    </row>
    <row r="1658" spans="1:9" x14ac:dyDescent="0.25">
      <c r="A1658" s="23">
        <v>1658</v>
      </c>
      <c r="B1658" s="85">
        <v>45702</v>
      </c>
      <c r="C1658" s="23" t="s">
        <v>1301</v>
      </c>
      <c r="D1658" s="23" t="s">
        <v>202</v>
      </c>
      <c r="G1658" s="23">
        <v>0</v>
      </c>
      <c r="I1658" s="218" t="s">
        <v>2649</v>
      </c>
    </row>
    <row r="1659" spans="1:9" x14ac:dyDescent="0.25">
      <c r="A1659" s="23">
        <v>1659</v>
      </c>
      <c r="B1659" s="85">
        <v>45702</v>
      </c>
      <c r="C1659" s="23" t="s">
        <v>1301</v>
      </c>
      <c r="D1659" s="23" t="s">
        <v>177</v>
      </c>
      <c r="G1659" s="23">
        <v>0</v>
      </c>
      <c r="I1659" s="218" t="s">
        <v>2650</v>
      </c>
    </row>
    <row r="1660" spans="1:9" x14ac:dyDescent="0.25">
      <c r="A1660" s="23">
        <v>1660</v>
      </c>
      <c r="B1660" s="85">
        <v>45702</v>
      </c>
      <c r="C1660" s="23" t="s">
        <v>1464</v>
      </c>
      <c r="D1660" s="23" t="s">
        <v>170</v>
      </c>
      <c r="G1660" s="23">
        <v>0.8</v>
      </c>
      <c r="I1660" s="218" t="s">
        <v>2651</v>
      </c>
    </row>
    <row r="1661" spans="1:9" x14ac:dyDescent="0.25">
      <c r="A1661" s="23">
        <v>1661</v>
      </c>
      <c r="B1661" s="85">
        <v>45702</v>
      </c>
      <c r="C1661" s="23" t="s">
        <v>2652</v>
      </c>
      <c r="D1661" s="23" t="s">
        <v>172</v>
      </c>
      <c r="G1661" s="23">
        <v>0.8</v>
      </c>
      <c r="I1661" s="218" t="s">
        <v>2653</v>
      </c>
    </row>
    <row r="1662" spans="1:9" x14ac:dyDescent="0.25">
      <c r="A1662" s="23">
        <v>1662</v>
      </c>
      <c r="B1662" s="85">
        <v>45702</v>
      </c>
      <c r="C1662" s="23" t="s">
        <v>1318</v>
      </c>
      <c r="D1662" s="23" t="s">
        <v>164</v>
      </c>
      <c r="G1662" s="23">
        <v>0</v>
      </c>
      <c r="I1662" s="218" t="s">
        <v>2654</v>
      </c>
    </row>
    <row r="1663" spans="1:9" x14ac:dyDescent="0.25">
      <c r="A1663" s="23">
        <v>1663</v>
      </c>
      <c r="B1663" s="85">
        <v>45702</v>
      </c>
      <c r="C1663" s="23" t="s">
        <v>802</v>
      </c>
      <c r="D1663" s="23" t="s">
        <v>165</v>
      </c>
      <c r="G1663" s="23">
        <v>0</v>
      </c>
      <c r="I1663" s="218" t="s">
        <v>2655</v>
      </c>
    </row>
    <row r="1664" spans="1:9" x14ac:dyDescent="0.25">
      <c r="A1664" s="23">
        <v>1664</v>
      </c>
      <c r="B1664" s="85">
        <v>45702</v>
      </c>
      <c r="C1664" s="23" t="s">
        <v>806</v>
      </c>
      <c r="D1664" s="23" t="s">
        <v>168</v>
      </c>
      <c r="G1664" s="23">
        <v>0</v>
      </c>
      <c r="I1664" s="218" t="s">
        <v>2656</v>
      </c>
    </row>
    <row r="1665" spans="1:9" x14ac:dyDescent="0.25">
      <c r="A1665" s="23">
        <v>1665</v>
      </c>
      <c r="B1665" s="85">
        <v>45702</v>
      </c>
      <c r="C1665" s="23" t="s">
        <v>1142</v>
      </c>
      <c r="D1665" s="23" t="s">
        <v>170</v>
      </c>
      <c r="G1665" s="23">
        <v>0</v>
      </c>
      <c r="I1665" s="218" t="s">
        <v>2657</v>
      </c>
    </row>
    <row r="1666" spans="1:9" x14ac:dyDescent="0.25">
      <c r="A1666" s="23">
        <v>1666</v>
      </c>
      <c r="B1666" s="85">
        <v>45702</v>
      </c>
      <c r="C1666" s="23" t="s">
        <v>2658</v>
      </c>
      <c r="D1666" s="23" t="s">
        <v>174</v>
      </c>
      <c r="G1666" s="23">
        <v>0.8</v>
      </c>
      <c r="I1666" s="218" t="s">
        <v>2659</v>
      </c>
    </row>
    <row r="1667" spans="1:9" x14ac:dyDescent="0.25">
      <c r="A1667" s="23">
        <v>1667</v>
      </c>
      <c r="B1667" s="85">
        <v>45702</v>
      </c>
      <c r="C1667" s="23" t="s">
        <v>2066</v>
      </c>
      <c r="D1667" s="23" t="s">
        <v>174</v>
      </c>
      <c r="G1667" s="23">
        <v>0</v>
      </c>
      <c r="I1667" s="218" t="s">
        <v>2660</v>
      </c>
    </row>
    <row r="1668" spans="1:9" x14ac:dyDescent="0.25">
      <c r="A1668" s="23">
        <v>1668</v>
      </c>
      <c r="B1668" s="85">
        <v>45702</v>
      </c>
      <c r="C1668" s="23" t="s">
        <v>2066</v>
      </c>
      <c r="D1668" s="23" t="s">
        <v>172</v>
      </c>
      <c r="G1668" s="23">
        <v>0</v>
      </c>
      <c r="I1668" s="218" t="s">
        <v>2661</v>
      </c>
    </row>
    <row r="1669" spans="1:9" x14ac:dyDescent="0.25">
      <c r="A1669" s="23">
        <v>1669</v>
      </c>
      <c r="B1669" s="85">
        <v>45702</v>
      </c>
      <c r="C1669" s="23" t="s">
        <v>820</v>
      </c>
      <c r="D1669" s="23" t="s">
        <v>252</v>
      </c>
      <c r="G1669" s="23">
        <v>0</v>
      </c>
      <c r="I1669" s="218" t="s">
        <v>2662</v>
      </c>
    </row>
    <row r="1670" spans="1:9" x14ac:dyDescent="0.25">
      <c r="A1670" s="23">
        <v>1670</v>
      </c>
      <c r="B1670" s="85">
        <v>45702</v>
      </c>
      <c r="C1670" s="23" t="s">
        <v>2663</v>
      </c>
      <c r="D1670" s="23" t="s">
        <v>273</v>
      </c>
      <c r="G1670" s="23">
        <v>0</v>
      </c>
      <c r="I1670" s="218" t="s">
        <v>2664</v>
      </c>
    </row>
    <row r="1671" spans="1:9" x14ac:dyDescent="0.25">
      <c r="A1671" s="23">
        <v>1671</v>
      </c>
      <c r="B1671" s="85">
        <v>45702</v>
      </c>
      <c r="C1671" s="23" t="s">
        <v>1154</v>
      </c>
      <c r="D1671" s="23" t="s">
        <v>272</v>
      </c>
      <c r="G1671" s="23">
        <v>0</v>
      </c>
      <c r="I1671" s="218" t="s">
        <v>2665</v>
      </c>
    </row>
    <row r="1672" spans="1:9" x14ac:dyDescent="0.25">
      <c r="A1672" s="23">
        <v>1672</v>
      </c>
      <c r="B1672" s="85">
        <v>45702</v>
      </c>
      <c r="C1672" s="23" t="s">
        <v>2666</v>
      </c>
      <c r="D1672" s="23" t="s">
        <v>268</v>
      </c>
      <c r="G1672" s="23">
        <v>0</v>
      </c>
      <c r="I1672" s="218" t="s">
        <v>2667</v>
      </c>
    </row>
    <row r="1673" spans="1:9" x14ac:dyDescent="0.25">
      <c r="A1673" s="23">
        <v>1673</v>
      </c>
      <c r="B1673" s="85">
        <v>45702</v>
      </c>
      <c r="C1673" s="23" t="s">
        <v>1775</v>
      </c>
      <c r="D1673" s="23" t="s">
        <v>1474</v>
      </c>
      <c r="G1673" s="23">
        <v>2.7</v>
      </c>
      <c r="I1673" s="218" t="s">
        <v>2668</v>
      </c>
    </row>
    <row r="1674" spans="1:9" x14ac:dyDescent="0.25">
      <c r="A1674" s="23">
        <v>1674</v>
      </c>
      <c r="B1674" s="85">
        <v>45702</v>
      </c>
      <c r="C1674" s="23" t="s">
        <v>526</v>
      </c>
      <c r="D1674" s="23" t="s">
        <v>155</v>
      </c>
      <c r="G1674" s="23">
        <v>0.75</v>
      </c>
      <c r="I1674" s="218" t="s">
        <v>2669</v>
      </c>
    </row>
    <row r="1675" spans="1:9" x14ac:dyDescent="0.25">
      <c r="A1675" s="23">
        <v>1675</v>
      </c>
      <c r="B1675" s="85">
        <v>45702</v>
      </c>
      <c r="C1675" s="23" t="s">
        <v>528</v>
      </c>
      <c r="D1675" s="23" t="s">
        <v>166</v>
      </c>
      <c r="G1675" s="23">
        <v>0</v>
      </c>
      <c r="I1675" s="218" t="s">
        <v>2670</v>
      </c>
    </row>
    <row r="1676" spans="1:9" x14ac:dyDescent="0.25">
      <c r="A1676" s="23">
        <v>1676</v>
      </c>
      <c r="B1676" s="85">
        <v>45702</v>
      </c>
      <c r="C1676" s="23" t="s">
        <v>1344</v>
      </c>
      <c r="D1676" s="23" t="s">
        <v>159</v>
      </c>
      <c r="G1676" s="23">
        <v>0.8</v>
      </c>
      <c r="I1676" s="218" t="s">
        <v>2671</v>
      </c>
    </row>
    <row r="1677" spans="1:9" x14ac:dyDescent="0.25">
      <c r="A1677" s="23">
        <v>1677</v>
      </c>
      <c r="B1677" s="85">
        <v>45702</v>
      </c>
      <c r="C1677" s="23" t="s">
        <v>1346</v>
      </c>
      <c r="D1677" s="23" t="s">
        <v>169</v>
      </c>
      <c r="G1677" s="23">
        <v>0</v>
      </c>
      <c r="I1677" s="218" t="s">
        <v>2672</v>
      </c>
    </row>
    <row r="1678" spans="1:9" x14ac:dyDescent="0.25">
      <c r="A1678" s="23">
        <v>1678</v>
      </c>
      <c r="B1678" s="85">
        <v>45702</v>
      </c>
      <c r="C1678" s="23" t="s">
        <v>1895</v>
      </c>
      <c r="D1678" s="23" t="s">
        <v>177</v>
      </c>
      <c r="G1678" s="23">
        <v>0.8</v>
      </c>
      <c r="I1678" s="218" t="s">
        <v>2673</v>
      </c>
    </row>
    <row r="1679" spans="1:9" x14ac:dyDescent="0.25">
      <c r="A1679" s="23">
        <v>1679</v>
      </c>
      <c r="B1679" s="85">
        <v>45702</v>
      </c>
      <c r="C1679" s="23" t="s">
        <v>1634</v>
      </c>
      <c r="D1679" s="23" t="s">
        <v>202</v>
      </c>
      <c r="G1679" s="23">
        <v>0.8</v>
      </c>
      <c r="I1679" s="218" t="s">
        <v>2674</v>
      </c>
    </row>
    <row r="1680" spans="1:9" x14ac:dyDescent="0.25">
      <c r="A1680" s="23">
        <v>1680</v>
      </c>
      <c r="B1680" s="85">
        <v>45702</v>
      </c>
      <c r="C1680" s="23" t="s">
        <v>2675</v>
      </c>
      <c r="D1680" s="23" t="s">
        <v>178</v>
      </c>
      <c r="G1680" s="23">
        <v>0.8</v>
      </c>
      <c r="I1680" s="218" t="s">
        <v>2676</v>
      </c>
    </row>
    <row r="1681" spans="1:9" x14ac:dyDescent="0.25">
      <c r="A1681" s="23">
        <v>1681</v>
      </c>
      <c r="B1681" s="85">
        <v>45702</v>
      </c>
      <c r="C1681" s="23" t="s">
        <v>2677</v>
      </c>
      <c r="D1681" s="23" t="s">
        <v>202</v>
      </c>
      <c r="G1681" s="23">
        <v>0</v>
      </c>
      <c r="I1681" s="218" t="s">
        <v>2674</v>
      </c>
    </row>
    <row r="1682" spans="1:9" x14ac:dyDescent="0.25">
      <c r="A1682" s="23">
        <v>1682</v>
      </c>
      <c r="B1682" s="85">
        <v>45702</v>
      </c>
      <c r="C1682" s="23" t="s">
        <v>1644</v>
      </c>
      <c r="D1682" s="23" t="s">
        <v>177</v>
      </c>
      <c r="G1682" s="23">
        <v>0</v>
      </c>
      <c r="I1682" s="218" t="s">
        <v>2673</v>
      </c>
    </row>
    <row r="1683" spans="1:9" x14ac:dyDescent="0.25">
      <c r="A1683" s="23">
        <v>1683</v>
      </c>
      <c r="B1683" s="85">
        <v>45702</v>
      </c>
      <c r="C1683" s="23" t="s">
        <v>1647</v>
      </c>
      <c r="D1683" s="23" t="s">
        <v>178</v>
      </c>
      <c r="G1683" s="23">
        <v>0</v>
      </c>
      <c r="I1683" s="218" t="s">
        <v>2676</v>
      </c>
    </row>
    <row r="1684" spans="1:9" ht="28.5" x14ac:dyDescent="0.2">
      <c r="B1684" s="85">
        <v>45702</v>
      </c>
      <c r="C1684" s="23" t="s">
        <v>1788</v>
      </c>
      <c r="D1684" s="23" t="s">
        <v>1474</v>
      </c>
      <c r="G1684" s="23">
        <v>0</v>
      </c>
      <c r="H1684" s="235" t="s">
        <v>2689</v>
      </c>
      <c r="I1684" s="396" t="s">
        <v>2691</v>
      </c>
    </row>
    <row r="1685" spans="1:9" x14ac:dyDescent="0.25">
      <c r="A1685" s="23">
        <v>1684</v>
      </c>
      <c r="B1685" s="85">
        <v>45702</v>
      </c>
      <c r="C1685" s="23" t="s">
        <v>2678</v>
      </c>
      <c r="D1685" s="23" t="s">
        <v>173</v>
      </c>
      <c r="G1685" s="23">
        <v>0.8</v>
      </c>
      <c r="I1685" s="218" t="s">
        <v>2679</v>
      </c>
    </row>
    <row r="1686" spans="1:9" x14ac:dyDescent="0.25">
      <c r="A1686" s="23">
        <v>1685</v>
      </c>
      <c r="B1686" s="85">
        <v>45702</v>
      </c>
      <c r="C1686" s="23" t="s">
        <v>2678</v>
      </c>
      <c r="D1686" s="23" t="s">
        <v>162</v>
      </c>
      <c r="G1686" s="23">
        <v>0.8</v>
      </c>
      <c r="I1686" s="218" t="s">
        <v>2680</v>
      </c>
    </row>
    <row r="1687" spans="1:9" x14ac:dyDescent="0.25">
      <c r="A1687" s="23">
        <v>1686</v>
      </c>
      <c r="B1687" s="85">
        <v>45702</v>
      </c>
      <c r="C1687" s="23" t="s">
        <v>2678</v>
      </c>
      <c r="D1687" s="23" t="s">
        <v>161</v>
      </c>
      <c r="G1687" s="23">
        <v>0.8</v>
      </c>
      <c r="I1687" s="218" t="s">
        <v>2681</v>
      </c>
    </row>
    <row r="1688" spans="1:9" x14ac:dyDescent="0.25">
      <c r="A1688" s="23">
        <v>1687</v>
      </c>
      <c r="B1688" s="85">
        <v>45702</v>
      </c>
      <c r="C1688" s="23" t="s">
        <v>2678</v>
      </c>
      <c r="D1688" s="23" t="s">
        <v>164</v>
      </c>
      <c r="G1688" s="23">
        <v>0.8</v>
      </c>
      <c r="I1688" s="218" t="s">
        <v>2682</v>
      </c>
    </row>
    <row r="1689" spans="1:9" x14ac:dyDescent="0.25">
      <c r="A1689" s="23">
        <v>1688</v>
      </c>
      <c r="B1689" s="85">
        <v>45702</v>
      </c>
      <c r="C1689" s="23" t="s">
        <v>848</v>
      </c>
      <c r="D1689" s="23" t="s">
        <v>186</v>
      </c>
      <c r="G1689" s="23">
        <v>0</v>
      </c>
      <c r="I1689" s="218" t="s">
        <v>2683</v>
      </c>
    </row>
    <row r="1690" spans="1:9" x14ac:dyDescent="0.25">
      <c r="A1690" s="23">
        <v>1689</v>
      </c>
      <c r="B1690" s="85">
        <v>45702</v>
      </c>
      <c r="C1690" s="23" t="s">
        <v>2387</v>
      </c>
      <c r="D1690" s="23" t="s">
        <v>161</v>
      </c>
      <c r="G1690" s="23">
        <v>0</v>
      </c>
      <c r="I1690" s="218" t="s">
        <v>2681</v>
      </c>
    </row>
    <row r="1691" spans="1:9" x14ac:dyDescent="0.25">
      <c r="B1691" s="85">
        <v>45702</v>
      </c>
      <c r="C1691" s="23" t="s">
        <v>2387</v>
      </c>
      <c r="D1691" s="23" t="s">
        <v>1474</v>
      </c>
      <c r="G1691" s="23">
        <v>2</v>
      </c>
      <c r="I1691" s="218" t="s">
        <v>2692</v>
      </c>
    </row>
    <row r="1692" spans="1:9" x14ac:dyDescent="0.25">
      <c r="A1692" s="23">
        <v>1690</v>
      </c>
      <c r="B1692" s="85">
        <v>45702</v>
      </c>
      <c r="C1692" s="23" t="s">
        <v>2684</v>
      </c>
      <c r="D1692" s="23" t="s">
        <v>162</v>
      </c>
      <c r="G1692" s="23">
        <v>0</v>
      </c>
      <c r="I1692" s="218" t="s">
        <v>2680</v>
      </c>
    </row>
    <row r="1693" spans="1:9" x14ac:dyDescent="0.25">
      <c r="A1693" s="23">
        <v>1691</v>
      </c>
      <c r="B1693" s="85">
        <v>45702</v>
      </c>
      <c r="C1693" s="23" t="s">
        <v>2685</v>
      </c>
      <c r="D1693" s="23" t="s">
        <v>173</v>
      </c>
      <c r="G1693" s="23">
        <v>0</v>
      </c>
      <c r="I1693" s="218" t="s">
        <v>2679</v>
      </c>
    </row>
    <row r="1694" spans="1:9" x14ac:dyDescent="0.25">
      <c r="A1694" s="23">
        <v>1692</v>
      </c>
      <c r="B1694" s="85">
        <v>45702</v>
      </c>
      <c r="C1694" s="23" t="s">
        <v>267</v>
      </c>
      <c r="D1694" s="23" t="s">
        <v>164</v>
      </c>
      <c r="G1694" s="23">
        <v>0</v>
      </c>
      <c r="I1694" s="218" t="s">
        <v>2686</v>
      </c>
    </row>
    <row r="1695" spans="1:9" x14ac:dyDescent="0.25">
      <c r="A1695" s="23">
        <v>1693</v>
      </c>
      <c r="B1695" s="85">
        <v>45702</v>
      </c>
      <c r="C1695" s="23" t="s">
        <v>2687</v>
      </c>
      <c r="D1695" s="23" t="s">
        <v>1474</v>
      </c>
      <c r="G1695" s="23">
        <v>0</v>
      </c>
      <c r="I1695" s="218" t="s">
        <v>2688</v>
      </c>
    </row>
    <row r="1696" spans="1:9" x14ac:dyDescent="0.25">
      <c r="A1696" s="23">
        <v>1696</v>
      </c>
      <c r="B1696" s="85">
        <v>45702</v>
      </c>
      <c r="C1696" s="23" t="s">
        <v>867</v>
      </c>
      <c r="D1696" s="23" t="s">
        <v>157</v>
      </c>
      <c r="G1696" s="23">
        <v>0</v>
      </c>
      <c r="I1696" s="218" t="s">
        <v>2693</v>
      </c>
    </row>
    <row r="1697" spans="1:9" x14ac:dyDescent="0.25">
      <c r="A1697" s="23">
        <v>1697</v>
      </c>
      <c r="B1697" s="85">
        <v>45702</v>
      </c>
      <c r="C1697" s="23" t="s">
        <v>258</v>
      </c>
      <c r="D1697" s="23" t="s">
        <v>165</v>
      </c>
      <c r="G1697" s="23" t="s">
        <v>9</v>
      </c>
      <c r="I1697" s="218" t="s">
        <v>2694</v>
      </c>
    </row>
    <row r="1698" spans="1:9" x14ac:dyDescent="0.25">
      <c r="A1698" s="23">
        <v>1698</v>
      </c>
      <c r="B1698" s="85">
        <v>45702</v>
      </c>
      <c r="C1698" s="23" t="s">
        <v>674</v>
      </c>
      <c r="D1698" s="23" t="s">
        <v>262</v>
      </c>
      <c r="G1698" s="23">
        <v>0</v>
      </c>
      <c r="I1698" s="218" t="s">
        <v>2695</v>
      </c>
    </row>
    <row r="1699" spans="1:9" x14ac:dyDescent="0.25">
      <c r="A1699" s="23">
        <v>1699</v>
      </c>
      <c r="B1699" s="85">
        <v>45702</v>
      </c>
      <c r="C1699" s="23" t="s">
        <v>1685</v>
      </c>
      <c r="D1699" s="23" t="s">
        <v>154</v>
      </c>
      <c r="G1699" s="23">
        <v>0</v>
      </c>
      <c r="I1699" s="218" t="s">
        <v>2696</v>
      </c>
    </row>
    <row r="1700" spans="1:9" x14ac:dyDescent="0.25">
      <c r="A1700" s="23">
        <v>1700</v>
      </c>
      <c r="B1700" s="85">
        <v>45703</v>
      </c>
      <c r="C1700" s="23" t="s">
        <v>547</v>
      </c>
      <c r="D1700" s="23" t="s">
        <v>151</v>
      </c>
      <c r="G1700" s="23">
        <v>0</v>
      </c>
      <c r="I1700" s="218" t="s">
        <v>2697</v>
      </c>
    </row>
    <row r="1701" spans="1:9" x14ac:dyDescent="0.25">
      <c r="A1701" s="23">
        <v>1701</v>
      </c>
      <c r="B1701" s="85">
        <v>45703</v>
      </c>
      <c r="C1701" s="23" t="s">
        <v>1382</v>
      </c>
      <c r="D1701" s="23" t="s">
        <v>166</v>
      </c>
      <c r="G1701" s="23">
        <v>0.47499999999999998</v>
      </c>
      <c r="I1701" s="218" t="s">
        <v>2698</v>
      </c>
    </row>
    <row r="1702" spans="1:9" x14ac:dyDescent="0.25">
      <c r="A1702" s="23">
        <v>1702</v>
      </c>
      <c r="B1702" s="85">
        <v>45703</v>
      </c>
      <c r="C1702" s="23" t="s">
        <v>2699</v>
      </c>
      <c r="D1702" s="23" t="s">
        <v>160</v>
      </c>
      <c r="G1702" s="23">
        <v>0</v>
      </c>
      <c r="I1702" s="218" t="s">
        <v>2700</v>
      </c>
    </row>
    <row r="1703" spans="1:9" x14ac:dyDescent="0.25">
      <c r="A1703" s="23">
        <v>1703</v>
      </c>
      <c r="B1703" s="85">
        <v>45703</v>
      </c>
      <c r="C1703" s="23" t="s">
        <v>1699</v>
      </c>
      <c r="D1703" s="23" t="s">
        <v>264</v>
      </c>
      <c r="G1703" s="23">
        <v>0</v>
      </c>
      <c r="I1703" s="218" t="s">
        <v>2701</v>
      </c>
    </row>
    <row r="1704" spans="1:9" x14ac:dyDescent="0.25">
      <c r="A1704" s="23">
        <v>1704</v>
      </c>
      <c r="B1704" s="85">
        <v>45703</v>
      </c>
      <c r="C1704" s="23" t="s">
        <v>2702</v>
      </c>
      <c r="D1704" s="23" t="s">
        <v>160</v>
      </c>
      <c r="G1704" s="23">
        <v>0.38</v>
      </c>
      <c r="I1704" s="218" t="s">
        <v>2703</v>
      </c>
    </row>
    <row r="1705" spans="1:9" x14ac:dyDescent="0.25">
      <c r="A1705" s="23">
        <v>1705</v>
      </c>
      <c r="B1705" s="85">
        <v>45703</v>
      </c>
      <c r="C1705" s="23" t="s">
        <v>1396</v>
      </c>
      <c r="D1705" s="23" t="s">
        <v>155</v>
      </c>
      <c r="G1705" s="23">
        <v>0</v>
      </c>
      <c r="I1705" s="218" t="s">
        <v>2704</v>
      </c>
    </row>
    <row r="1706" spans="1:9" x14ac:dyDescent="0.25">
      <c r="A1706" s="23">
        <v>1706</v>
      </c>
      <c r="B1706" s="85">
        <v>45703</v>
      </c>
      <c r="C1706" s="23" t="s">
        <v>2705</v>
      </c>
      <c r="D1706" s="23" t="s">
        <v>186</v>
      </c>
      <c r="G1706" s="23">
        <v>6.6</v>
      </c>
      <c r="I1706" s="218" t="s">
        <v>2706</v>
      </c>
    </row>
    <row r="1707" spans="1:9" x14ac:dyDescent="0.25">
      <c r="A1707" s="23">
        <v>1707</v>
      </c>
      <c r="B1707" s="85">
        <v>45703</v>
      </c>
      <c r="C1707" s="23" t="s">
        <v>2587</v>
      </c>
      <c r="D1707" s="23" t="s">
        <v>194</v>
      </c>
      <c r="G1707" s="23">
        <v>0</v>
      </c>
      <c r="I1707" s="218" t="s">
        <v>2707</v>
      </c>
    </row>
    <row r="1708" spans="1:9" x14ac:dyDescent="0.25">
      <c r="A1708" s="23">
        <v>1708</v>
      </c>
      <c r="B1708" s="85">
        <v>45703</v>
      </c>
      <c r="C1708" s="397" t="s">
        <v>2708</v>
      </c>
      <c r="D1708" s="397" t="s">
        <v>169</v>
      </c>
      <c r="E1708" s="397"/>
      <c r="F1708" s="397"/>
      <c r="G1708" s="397">
        <v>0.72</v>
      </c>
      <c r="I1708" s="218" t="s">
        <v>2709</v>
      </c>
    </row>
    <row r="1709" spans="1:9" x14ac:dyDescent="0.25">
      <c r="A1709" s="23">
        <v>1709</v>
      </c>
      <c r="B1709" s="85">
        <v>45703</v>
      </c>
      <c r="C1709" s="397" t="s">
        <v>2710</v>
      </c>
      <c r="D1709" s="397" t="s">
        <v>159</v>
      </c>
      <c r="E1709" s="397"/>
      <c r="F1709" s="397"/>
      <c r="G1709" s="397">
        <v>0</v>
      </c>
      <c r="I1709" s="218" t="s">
        <v>2711</v>
      </c>
    </row>
    <row r="1710" spans="1:9" x14ac:dyDescent="0.25">
      <c r="A1710" s="23">
        <v>1710</v>
      </c>
      <c r="B1710" s="85">
        <v>45703</v>
      </c>
      <c r="C1710" s="23" t="s">
        <v>1421</v>
      </c>
      <c r="D1710" s="23" t="s">
        <v>165</v>
      </c>
      <c r="G1710" s="23">
        <v>0</v>
      </c>
      <c r="I1710" s="218" t="s">
        <v>2712</v>
      </c>
    </row>
    <row r="1711" spans="1:9" x14ac:dyDescent="0.25">
      <c r="A1711" s="23">
        <v>1711</v>
      </c>
      <c r="B1711" s="85">
        <v>45703</v>
      </c>
      <c r="C1711" s="23" t="s">
        <v>1421</v>
      </c>
      <c r="D1711" s="23" t="s">
        <v>165</v>
      </c>
      <c r="G1711" s="23">
        <v>0.8</v>
      </c>
      <c r="I1711" s="218" t="s">
        <v>295</v>
      </c>
    </row>
    <row r="1712" spans="1:9" x14ac:dyDescent="0.25">
      <c r="A1712" s="23">
        <v>1712</v>
      </c>
      <c r="B1712" s="85">
        <v>45703</v>
      </c>
      <c r="C1712" s="23" t="s">
        <v>255</v>
      </c>
      <c r="D1712" s="23" t="s">
        <v>168</v>
      </c>
      <c r="G1712" s="23">
        <v>0.8</v>
      </c>
      <c r="I1712" s="218" t="s">
        <v>2713</v>
      </c>
    </row>
    <row r="1713" spans="1:9" x14ac:dyDescent="0.25">
      <c r="A1713" s="23">
        <v>1713</v>
      </c>
      <c r="B1713" s="85">
        <v>45703</v>
      </c>
      <c r="C1713" s="23" t="s">
        <v>750</v>
      </c>
      <c r="D1713" s="23" t="s">
        <v>174</v>
      </c>
      <c r="G1713" s="23">
        <v>0.8</v>
      </c>
      <c r="I1713" s="218" t="s">
        <v>2714</v>
      </c>
    </row>
    <row r="1714" spans="1:9" x14ac:dyDescent="0.25">
      <c r="A1714" s="23">
        <v>1714</v>
      </c>
      <c r="B1714" s="85">
        <v>45703</v>
      </c>
      <c r="C1714" s="23" t="s">
        <v>744</v>
      </c>
      <c r="D1714" s="23" t="s">
        <v>172</v>
      </c>
      <c r="G1714" s="23">
        <v>0.8</v>
      </c>
      <c r="I1714" s="218" t="s">
        <v>2715</v>
      </c>
    </row>
    <row r="1715" spans="1:9" x14ac:dyDescent="0.25">
      <c r="A1715" s="23">
        <v>1715</v>
      </c>
      <c r="B1715" s="85">
        <v>45703</v>
      </c>
      <c r="C1715" s="23" t="s">
        <v>953</v>
      </c>
      <c r="D1715" s="23" t="s">
        <v>151</v>
      </c>
      <c r="G1715" s="23">
        <v>1</v>
      </c>
      <c r="I1715" s="218" t="s">
        <v>2716</v>
      </c>
    </row>
    <row r="1716" spans="1:9" x14ac:dyDescent="0.25">
      <c r="A1716" s="23">
        <v>1717</v>
      </c>
      <c r="B1716" s="85">
        <v>45703</v>
      </c>
      <c r="C1716" s="23" t="s">
        <v>955</v>
      </c>
      <c r="D1716" s="23" t="s">
        <v>174</v>
      </c>
      <c r="G1716" s="23">
        <v>0</v>
      </c>
      <c r="I1716" s="218" t="s">
        <v>2714</v>
      </c>
    </row>
    <row r="1717" spans="1:9" x14ac:dyDescent="0.25">
      <c r="A1717" s="23">
        <v>1718</v>
      </c>
      <c r="B1717" s="85">
        <v>45703</v>
      </c>
      <c r="C1717" s="23" t="s">
        <v>1989</v>
      </c>
      <c r="D1717" s="23" t="s">
        <v>165</v>
      </c>
      <c r="G1717" s="23">
        <v>0</v>
      </c>
      <c r="I1717" s="218" t="s">
        <v>2717</v>
      </c>
    </row>
    <row r="1718" spans="1:9" x14ac:dyDescent="0.25">
      <c r="A1718" s="23">
        <v>1719</v>
      </c>
      <c r="B1718" s="85">
        <v>45703</v>
      </c>
      <c r="C1718" s="23" t="s">
        <v>595</v>
      </c>
      <c r="D1718" s="23" t="s">
        <v>264</v>
      </c>
      <c r="G1718" s="23">
        <v>0.8</v>
      </c>
      <c r="I1718" s="218" t="s">
        <v>2718</v>
      </c>
    </row>
    <row r="1719" spans="1:9" x14ac:dyDescent="0.25">
      <c r="A1719" s="23">
        <v>1720</v>
      </c>
      <c r="B1719" s="85">
        <v>45703</v>
      </c>
      <c r="C1719" s="23" t="s">
        <v>2719</v>
      </c>
      <c r="D1719" s="23" t="s">
        <v>168</v>
      </c>
      <c r="G1719" s="23">
        <v>0</v>
      </c>
      <c r="I1719" s="218" t="s">
        <v>2713</v>
      </c>
    </row>
    <row r="1720" spans="1:9" x14ac:dyDescent="0.25">
      <c r="A1720" s="23">
        <v>1721</v>
      </c>
      <c r="B1720" s="85">
        <v>45703</v>
      </c>
      <c r="C1720" s="23" t="s">
        <v>604</v>
      </c>
      <c r="D1720" s="23" t="s">
        <v>174</v>
      </c>
      <c r="G1720" s="23">
        <v>0.75</v>
      </c>
      <c r="I1720" s="218" t="s">
        <v>2720</v>
      </c>
    </row>
    <row r="1721" spans="1:9" x14ac:dyDescent="0.25">
      <c r="A1721" s="23">
        <v>1722</v>
      </c>
      <c r="B1721" s="85">
        <v>45703</v>
      </c>
      <c r="C1721" s="23" t="s">
        <v>2461</v>
      </c>
      <c r="D1721" s="23" t="s">
        <v>202</v>
      </c>
      <c r="G1721" s="23">
        <v>0.75</v>
      </c>
      <c r="I1721" s="218" t="s">
        <v>2721</v>
      </c>
    </row>
    <row r="1722" spans="1:9" x14ac:dyDescent="0.25">
      <c r="A1722" s="23">
        <v>1723</v>
      </c>
      <c r="B1722" s="85">
        <v>45703</v>
      </c>
      <c r="C1722" s="23" t="s">
        <v>1277</v>
      </c>
      <c r="D1722" s="23" t="s">
        <v>177</v>
      </c>
      <c r="G1722" s="23">
        <v>0.75</v>
      </c>
      <c r="I1722" s="218" t="s">
        <v>2722</v>
      </c>
    </row>
    <row r="1723" spans="1:9" x14ac:dyDescent="0.25">
      <c r="A1723" s="23">
        <v>1724</v>
      </c>
      <c r="B1723" s="85">
        <v>45703</v>
      </c>
      <c r="C1723" s="23" t="s">
        <v>1444</v>
      </c>
      <c r="D1723" s="23" t="s">
        <v>178</v>
      </c>
      <c r="G1723" s="23">
        <v>0.75</v>
      </c>
      <c r="I1723" s="218" t="s">
        <v>2723</v>
      </c>
    </row>
    <row r="1724" spans="1:9" x14ac:dyDescent="0.25">
      <c r="A1724" s="23">
        <v>1725</v>
      </c>
      <c r="B1724" s="85">
        <v>45703</v>
      </c>
      <c r="C1724" s="23" t="s">
        <v>2165</v>
      </c>
      <c r="D1724" s="23" t="s">
        <v>154</v>
      </c>
      <c r="G1724" s="23">
        <v>3</v>
      </c>
      <c r="I1724" s="218" t="s">
        <v>2724</v>
      </c>
    </row>
    <row r="1725" spans="1:9" x14ac:dyDescent="0.25">
      <c r="A1725" s="23">
        <v>1725</v>
      </c>
      <c r="B1725" s="85">
        <v>45703</v>
      </c>
      <c r="C1725" s="23" t="s">
        <v>1104</v>
      </c>
      <c r="D1725" s="23" t="s">
        <v>170</v>
      </c>
      <c r="G1725" s="23">
        <v>0.75</v>
      </c>
      <c r="I1725" s="218" t="s">
        <v>2725</v>
      </c>
    </row>
    <row r="1726" spans="1:9" x14ac:dyDescent="0.25">
      <c r="A1726" s="23">
        <v>1727</v>
      </c>
      <c r="B1726" s="85">
        <v>45703</v>
      </c>
      <c r="C1726" s="23" t="s">
        <v>196</v>
      </c>
      <c r="D1726" s="23" t="s">
        <v>170</v>
      </c>
      <c r="G1726" s="23">
        <v>0</v>
      </c>
      <c r="I1726" s="218" t="s">
        <v>2726</v>
      </c>
    </row>
    <row r="1727" spans="1:9" x14ac:dyDescent="0.25">
      <c r="A1727" s="23">
        <v>1728</v>
      </c>
      <c r="B1727" s="85">
        <v>45703</v>
      </c>
      <c r="C1727" s="23" t="s">
        <v>196</v>
      </c>
      <c r="D1727" s="23" t="s">
        <v>262</v>
      </c>
      <c r="G1727" s="23">
        <v>0.74</v>
      </c>
      <c r="I1727" s="218" t="s">
        <v>2727</v>
      </c>
    </row>
    <row r="1728" spans="1:9" x14ac:dyDescent="0.25">
      <c r="A1728" s="23">
        <v>1729</v>
      </c>
      <c r="B1728" s="85">
        <v>45703</v>
      </c>
      <c r="C1728" s="23" t="s">
        <v>2728</v>
      </c>
      <c r="D1728" s="23" t="s">
        <v>161</v>
      </c>
      <c r="G1728" s="23">
        <v>0.8</v>
      </c>
      <c r="I1728" s="218" t="s">
        <v>2729</v>
      </c>
    </row>
    <row r="1729" spans="1:9" x14ac:dyDescent="0.25">
      <c r="A1729" s="23">
        <v>1730</v>
      </c>
      <c r="B1729" s="85">
        <v>45703</v>
      </c>
      <c r="C1729" s="23" t="s">
        <v>2730</v>
      </c>
      <c r="D1729" s="23" t="s">
        <v>172</v>
      </c>
      <c r="G1729" s="23">
        <v>0</v>
      </c>
      <c r="I1729" s="218" t="s">
        <v>2731</v>
      </c>
    </row>
    <row r="1730" spans="1:9" x14ac:dyDescent="0.25">
      <c r="A1730" s="23">
        <v>1731</v>
      </c>
      <c r="B1730" s="85">
        <v>45703</v>
      </c>
      <c r="C1730" s="23" t="s">
        <v>784</v>
      </c>
      <c r="D1730" s="23" t="s">
        <v>172</v>
      </c>
      <c r="G1730" s="23">
        <v>0.8</v>
      </c>
      <c r="I1730" s="218" t="s">
        <v>2732</v>
      </c>
    </row>
    <row r="1731" spans="1:9" x14ac:dyDescent="0.25">
      <c r="A1731" s="23">
        <v>1732</v>
      </c>
      <c r="B1731" s="85">
        <v>45703</v>
      </c>
      <c r="C1731" s="23" t="s">
        <v>1132</v>
      </c>
      <c r="D1731" s="23" t="s">
        <v>162</v>
      </c>
      <c r="G1731" s="23">
        <v>0.8</v>
      </c>
      <c r="I1731" s="218" t="s">
        <v>2733</v>
      </c>
    </row>
    <row r="1732" spans="1:9" x14ac:dyDescent="0.25">
      <c r="A1732" s="23">
        <v>1733</v>
      </c>
      <c r="B1732" s="85">
        <v>45703</v>
      </c>
      <c r="C1732" s="23" t="s">
        <v>790</v>
      </c>
      <c r="D1732" s="23" t="s">
        <v>163</v>
      </c>
      <c r="G1732" s="23">
        <v>0</v>
      </c>
      <c r="I1732" s="218" t="s">
        <v>2734</v>
      </c>
    </row>
    <row r="1733" spans="1:9" x14ac:dyDescent="0.25">
      <c r="A1733" s="23">
        <v>1734</v>
      </c>
      <c r="B1733" s="85">
        <v>45703</v>
      </c>
      <c r="C1733" s="23" t="s">
        <v>790</v>
      </c>
      <c r="D1733" s="23" t="s">
        <v>163</v>
      </c>
      <c r="G1733" s="23">
        <v>0.8</v>
      </c>
      <c r="I1733" s="218" t="s">
        <v>295</v>
      </c>
    </row>
    <row r="1734" spans="1:9" x14ac:dyDescent="0.25">
      <c r="A1734" s="23">
        <v>1735</v>
      </c>
      <c r="B1734" s="85">
        <v>45703</v>
      </c>
      <c r="C1734" s="23" t="s">
        <v>983</v>
      </c>
      <c r="D1734" s="23" t="s">
        <v>194</v>
      </c>
      <c r="G1734" s="23">
        <v>1.5</v>
      </c>
      <c r="I1734" s="218" t="s">
        <v>2735</v>
      </c>
    </row>
    <row r="1735" spans="1:9" x14ac:dyDescent="0.25">
      <c r="A1735" s="23">
        <v>1736</v>
      </c>
      <c r="B1735" s="85">
        <v>45703</v>
      </c>
      <c r="C1735" s="23" t="s">
        <v>2736</v>
      </c>
      <c r="D1735" s="23" t="s">
        <v>174</v>
      </c>
      <c r="G1735" s="23">
        <v>0</v>
      </c>
      <c r="I1735" s="218" t="s">
        <v>2737</v>
      </c>
    </row>
    <row r="1736" spans="1:9" x14ac:dyDescent="0.25">
      <c r="A1736" s="23">
        <v>1737</v>
      </c>
      <c r="B1736" s="85">
        <v>45703</v>
      </c>
      <c r="C1736" s="23" t="s">
        <v>2736</v>
      </c>
      <c r="D1736" s="23" t="s">
        <v>172</v>
      </c>
      <c r="G1736" s="23">
        <v>0</v>
      </c>
      <c r="I1736" s="218" t="s">
        <v>2738</v>
      </c>
    </row>
    <row r="1737" spans="1:9" x14ac:dyDescent="0.25">
      <c r="A1737" s="23">
        <v>1738</v>
      </c>
      <c r="B1737" s="85">
        <v>45703</v>
      </c>
      <c r="C1737" s="23" t="s">
        <v>146</v>
      </c>
      <c r="D1737" s="23" t="s">
        <v>202</v>
      </c>
      <c r="G1737" s="23">
        <v>0</v>
      </c>
      <c r="I1737" s="218" t="s">
        <v>2739</v>
      </c>
    </row>
    <row r="1738" spans="1:9" x14ac:dyDescent="0.25">
      <c r="A1738" s="23">
        <v>1739</v>
      </c>
      <c r="B1738" s="85">
        <v>45703</v>
      </c>
      <c r="C1738" s="23" t="s">
        <v>146</v>
      </c>
      <c r="D1738" s="23" t="s">
        <v>177</v>
      </c>
      <c r="G1738" s="23">
        <v>0</v>
      </c>
      <c r="I1738" s="218" t="s">
        <v>2740</v>
      </c>
    </row>
    <row r="1739" spans="1:9" x14ac:dyDescent="0.25">
      <c r="A1739" s="23">
        <v>1740</v>
      </c>
      <c r="B1739" s="85">
        <v>45703</v>
      </c>
      <c r="C1739" s="23" t="s">
        <v>2741</v>
      </c>
      <c r="D1739" s="23" t="s">
        <v>268</v>
      </c>
      <c r="G1739" s="23">
        <v>0.81666666666666676</v>
      </c>
      <c r="I1739" s="218" t="s">
        <v>2742</v>
      </c>
    </row>
    <row r="1740" spans="1:9" x14ac:dyDescent="0.25">
      <c r="A1740" s="23">
        <v>1741</v>
      </c>
      <c r="B1740" s="85">
        <v>45703</v>
      </c>
      <c r="C1740" s="23" t="s">
        <v>2743</v>
      </c>
      <c r="D1740" s="23" t="s">
        <v>161</v>
      </c>
      <c r="G1740" s="23">
        <v>0</v>
      </c>
      <c r="I1740" s="218" t="s">
        <v>2744</v>
      </c>
    </row>
    <row r="1741" spans="1:9" x14ac:dyDescent="0.25">
      <c r="A1741" s="23">
        <v>1742</v>
      </c>
      <c r="B1741" s="85">
        <v>45703</v>
      </c>
      <c r="C1741" s="23" t="s">
        <v>2743</v>
      </c>
      <c r="D1741" s="23" t="s">
        <v>178</v>
      </c>
      <c r="G1741" s="23">
        <v>0</v>
      </c>
      <c r="I1741" s="218" t="s">
        <v>2745</v>
      </c>
    </row>
    <row r="1742" spans="1:9" x14ac:dyDescent="0.25">
      <c r="A1742" s="23">
        <v>1743</v>
      </c>
      <c r="B1742" s="85">
        <v>45703</v>
      </c>
      <c r="C1742" s="23" t="s">
        <v>1136</v>
      </c>
      <c r="D1742" s="23" t="s">
        <v>163</v>
      </c>
      <c r="G1742" s="23">
        <v>0</v>
      </c>
      <c r="I1742" s="218" t="s">
        <v>2746</v>
      </c>
    </row>
    <row r="1743" spans="1:9" x14ac:dyDescent="0.25">
      <c r="A1743" s="23">
        <v>1744</v>
      </c>
      <c r="B1743" s="85">
        <v>45703</v>
      </c>
      <c r="C1743" s="23" t="s">
        <v>1136</v>
      </c>
      <c r="D1743" s="23" t="s">
        <v>162</v>
      </c>
      <c r="G1743" s="23">
        <v>0</v>
      </c>
      <c r="I1743" s="218" t="s">
        <v>2747</v>
      </c>
    </row>
    <row r="1744" spans="1:9" x14ac:dyDescent="0.25">
      <c r="A1744" s="23">
        <v>1745</v>
      </c>
      <c r="B1744" s="85">
        <v>45703</v>
      </c>
      <c r="C1744" s="23" t="s">
        <v>2748</v>
      </c>
      <c r="D1744" s="23" t="s">
        <v>157</v>
      </c>
      <c r="G1744" s="23">
        <v>1.5</v>
      </c>
      <c r="I1744" s="218" t="s">
        <v>2749</v>
      </c>
    </row>
    <row r="1745" spans="1:9" x14ac:dyDescent="0.25">
      <c r="A1745" s="23">
        <v>1746</v>
      </c>
      <c r="B1745" s="85">
        <v>45703</v>
      </c>
      <c r="C1745" s="23" t="s">
        <v>2750</v>
      </c>
      <c r="D1745" s="23" t="s">
        <v>1474</v>
      </c>
      <c r="G1745" s="23">
        <v>4.8</v>
      </c>
      <c r="I1745" s="218" t="s">
        <v>2751</v>
      </c>
    </row>
    <row r="1746" spans="1:9" x14ac:dyDescent="0.25">
      <c r="A1746" s="23">
        <v>1747</v>
      </c>
      <c r="B1746" s="85">
        <v>45703</v>
      </c>
      <c r="C1746" s="23" t="s">
        <v>156</v>
      </c>
      <c r="D1746" s="23" t="s">
        <v>155</v>
      </c>
      <c r="G1746" s="23">
        <v>0.64500000000000002</v>
      </c>
      <c r="I1746" s="218" t="s">
        <v>2752</v>
      </c>
    </row>
    <row r="1747" spans="1:9" x14ac:dyDescent="0.25">
      <c r="A1747" s="23">
        <v>1748</v>
      </c>
      <c r="B1747" s="85">
        <v>45703</v>
      </c>
      <c r="C1747" s="23" t="s">
        <v>167</v>
      </c>
      <c r="D1747" s="23" t="s">
        <v>166</v>
      </c>
      <c r="G1747" s="23">
        <v>0</v>
      </c>
      <c r="I1747" s="218" t="s">
        <v>2753</v>
      </c>
    </row>
    <row r="1748" spans="1:9" x14ac:dyDescent="0.25">
      <c r="A1748" s="23">
        <v>1749</v>
      </c>
      <c r="B1748" s="85">
        <v>45703</v>
      </c>
      <c r="C1748" s="23" t="s">
        <v>526</v>
      </c>
      <c r="D1748" s="23" t="s">
        <v>166</v>
      </c>
      <c r="G1748" s="23">
        <v>0.64</v>
      </c>
      <c r="I1748" s="218" t="s">
        <v>2754</v>
      </c>
    </row>
    <row r="1749" spans="1:9" x14ac:dyDescent="0.25">
      <c r="A1749" s="23">
        <v>1750</v>
      </c>
      <c r="B1749" s="85">
        <v>45703</v>
      </c>
      <c r="C1749" s="23" t="s">
        <v>528</v>
      </c>
      <c r="D1749" s="23" t="s">
        <v>160</v>
      </c>
      <c r="G1749" s="23">
        <v>0</v>
      </c>
      <c r="I1749" s="218" t="s">
        <v>2755</v>
      </c>
    </row>
    <row r="1750" spans="1:9" x14ac:dyDescent="0.25">
      <c r="A1750" s="23">
        <v>1751</v>
      </c>
      <c r="B1750" s="85">
        <v>45703</v>
      </c>
      <c r="C1750" s="23" t="s">
        <v>1344</v>
      </c>
      <c r="D1750" s="23" t="s">
        <v>159</v>
      </c>
      <c r="G1750" s="23">
        <v>0.86</v>
      </c>
      <c r="I1750" s="218" t="s">
        <v>2756</v>
      </c>
    </row>
    <row r="1751" spans="1:9" x14ac:dyDescent="0.25">
      <c r="A1751" s="23">
        <v>1752</v>
      </c>
      <c r="B1751" s="85">
        <v>45703</v>
      </c>
      <c r="C1751" s="23" t="s">
        <v>1346</v>
      </c>
      <c r="D1751" s="23" t="s">
        <v>169</v>
      </c>
      <c r="G1751" s="23">
        <v>0</v>
      </c>
      <c r="I1751" s="218" t="s">
        <v>2757</v>
      </c>
    </row>
    <row r="1752" spans="1:9" x14ac:dyDescent="0.25">
      <c r="A1752" s="23">
        <v>1753</v>
      </c>
      <c r="B1752" s="85">
        <v>45703</v>
      </c>
      <c r="C1752" s="23" t="s">
        <v>388</v>
      </c>
      <c r="D1752" s="23" t="s">
        <v>158</v>
      </c>
      <c r="G1752" s="23">
        <v>0</v>
      </c>
      <c r="I1752" s="218" t="s">
        <v>2758</v>
      </c>
    </row>
    <row r="1753" spans="1:9" x14ac:dyDescent="0.25">
      <c r="A1753" s="23">
        <v>1754</v>
      </c>
      <c r="B1753" s="85">
        <v>45703</v>
      </c>
      <c r="C1753" s="23" t="s">
        <v>240</v>
      </c>
      <c r="D1753" s="23" t="s">
        <v>263</v>
      </c>
      <c r="G1753" s="23">
        <v>0</v>
      </c>
      <c r="I1753" s="218" t="s">
        <v>2759</v>
      </c>
    </row>
    <row r="1754" spans="1:9" x14ac:dyDescent="0.25">
      <c r="A1754" s="23">
        <v>1755</v>
      </c>
      <c r="B1754" s="85">
        <v>45703</v>
      </c>
      <c r="C1754" s="23" t="s">
        <v>1530</v>
      </c>
      <c r="D1754" s="23" t="s">
        <v>154</v>
      </c>
      <c r="G1754" s="23">
        <v>0</v>
      </c>
      <c r="I1754" s="218" t="s">
        <v>2760</v>
      </c>
    </row>
    <row r="1755" spans="1:9" x14ac:dyDescent="0.25">
      <c r="A1755" s="23">
        <v>1756</v>
      </c>
      <c r="B1755" s="85">
        <v>45704</v>
      </c>
      <c r="C1755" s="23" t="s">
        <v>2761</v>
      </c>
      <c r="D1755" s="23" t="s">
        <v>194</v>
      </c>
      <c r="G1755" s="23">
        <v>0</v>
      </c>
      <c r="I1755" s="218" t="s">
        <v>2762</v>
      </c>
    </row>
    <row r="1756" spans="1:9" x14ac:dyDescent="0.25">
      <c r="A1756" s="23">
        <v>1757</v>
      </c>
      <c r="B1756" s="85">
        <v>45704</v>
      </c>
      <c r="C1756" s="23" t="s">
        <v>2761</v>
      </c>
      <c r="D1756" s="23" t="s">
        <v>170</v>
      </c>
      <c r="G1756" s="23">
        <v>0.8</v>
      </c>
      <c r="I1756" s="218" t="s">
        <v>2763</v>
      </c>
    </row>
    <row r="1757" spans="1:9" x14ac:dyDescent="0.25">
      <c r="A1757" s="23">
        <v>1758</v>
      </c>
      <c r="B1757" s="85">
        <v>45704</v>
      </c>
      <c r="C1757" s="23" t="s">
        <v>2761</v>
      </c>
      <c r="D1757" s="23" t="s">
        <v>173</v>
      </c>
      <c r="G1757" s="23">
        <v>0.8</v>
      </c>
      <c r="I1757" s="218" t="s">
        <v>2764</v>
      </c>
    </row>
    <row r="1758" spans="1:9" x14ac:dyDescent="0.25">
      <c r="A1758" s="23">
        <v>1759</v>
      </c>
      <c r="B1758" s="85">
        <v>45704</v>
      </c>
      <c r="C1758" s="23" t="s">
        <v>2761</v>
      </c>
      <c r="D1758" s="23" t="s">
        <v>164</v>
      </c>
      <c r="G1758" s="23">
        <v>0.8</v>
      </c>
      <c r="I1758" s="218" t="s">
        <v>2765</v>
      </c>
    </row>
    <row r="1759" spans="1:9" x14ac:dyDescent="0.25">
      <c r="A1759" s="23">
        <v>1760</v>
      </c>
      <c r="B1759" s="85">
        <v>45704</v>
      </c>
      <c r="C1759" s="23" t="s">
        <v>2761</v>
      </c>
      <c r="D1759" s="23" t="s">
        <v>165</v>
      </c>
      <c r="G1759" s="23">
        <v>0.8</v>
      </c>
      <c r="I1759" s="218" t="s">
        <v>2766</v>
      </c>
    </row>
    <row r="1760" spans="1:9" x14ac:dyDescent="0.25">
      <c r="A1760" s="23">
        <v>1761</v>
      </c>
      <c r="B1760" s="85">
        <v>45704</v>
      </c>
      <c r="C1760" s="23" t="s">
        <v>2761</v>
      </c>
      <c r="D1760" s="23" t="s">
        <v>168</v>
      </c>
      <c r="G1760" s="23">
        <v>0.8</v>
      </c>
      <c r="I1760" s="218" t="s">
        <v>2767</v>
      </c>
    </row>
    <row r="1761" spans="1:9" x14ac:dyDescent="0.25">
      <c r="A1761" s="23">
        <v>1762</v>
      </c>
      <c r="B1761" s="85">
        <v>45704</v>
      </c>
      <c r="C1761" s="23" t="s">
        <v>1382</v>
      </c>
      <c r="D1761" s="23" t="s">
        <v>173</v>
      </c>
      <c r="G1761" s="23">
        <v>0</v>
      </c>
      <c r="I1761" s="218" t="s">
        <v>2764</v>
      </c>
    </row>
    <row r="1762" spans="1:9" x14ac:dyDescent="0.25">
      <c r="A1762" s="23">
        <v>1763</v>
      </c>
      <c r="B1762" s="85">
        <v>45704</v>
      </c>
      <c r="C1762" s="23" t="s">
        <v>2768</v>
      </c>
      <c r="D1762" s="23" t="s">
        <v>165</v>
      </c>
      <c r="G1762" s="23">
        <v>0</v>
      </c>
      <c r="I1762" s="218" t="s">
        <v>2766</v>
      </c>
    </row>
    <row r="1763" spans="1:9" x14ac:dyDescent="0.25">
      <c r="A1763" s="23">
        <v>1764</v>
      </c>
      <c r="B1763" s="85">
        <v>45704</v>
      </c>
      <c r="C1763" s="23" t="s">
        <v>1385</v>
      </c>
      <c r="D1763" s="23" t="s">
        <v>164</v>
      </c>
      <c r="G1763" s="23">
        <v>0</v>
      </c>
      <c r="I1763" s="218" t="s">
        <v>2765</v>
      </c>
    </row>
    <row r="1764" spans="1:9" x14ac:dyDescent="0.25">
      <c r="A1764" s="23">
        <v>1765</v>
      </c>
      <c r="B1764" s="85">
        <v>45704</v>
      </c>
      <c r="C1764" s="23" t="s">
        <v>2769</v>
      </c>
      <c r="D1764" s="23" t="s">
        <v>168</v>
      </c>
      <c r="G1764" s="23">
        <v>0</v>
      </c>
      <c r="I1764" s="218" t="s">
        <v>2767</v>
      </c>
    </row>
    <row r="1765" spans="1:9" x14ac:dyDescent="0.25">
      <c r="A1765" s="23">
        <v>1766</v>
      </c>
      <c r="B1765" s="85">
        <v>45704</v>
      </c>
      <c r="C1765" s="23" t="s">
        <v>886</v>
      </c>
      <c r="D1765" s="23" t="s">
        <v>170</v>
      </c>
      <c r="G1765" s="23">
        <v>0</v>
      </c>
      <c r="I1765" s="218" t="s">
        <v>2763</v>
      </c>
    </row>
    <row r="1766" spans="1:9" x14ac:dyDescent="0.25">
      <c r="A1766" s="23">
        <v>1767</v>
      </c>
      <c r="B1766" s="85">
        <v>45704</v>
      </c>
      <c r="C1766" s="23" t="s">
        <v>1376</v>
      </c>
      <c r="D1766" s="23" t="s">
        <v>151</v>
      </c>
      <c r="G1766" s="23" t="s">
        <v>9</v>
      </c>
      <c r="I1766" s="218" t="s">
        <v>2770</v>
      </c>
    </row>
    <row r="1767" spans="1:9" x14ac:dyDescent="0.25">
      <c r="A1767" s="23">
        <v>1768</v>
      </c>
      <c r="B1767" s="85">
        <v>45704</v>
      </c>
      <c r="C1767" s="23" t="s">
        <v>2771</v>
      </c>
      <c r="D1767" s="23" t="s">
        <v>260</v>
      </c>
      <c r="G1767" s="23">
        <v>0</v>
      </c>
      <c r="I1767" s="218" t="s">
        <v>2772</v>
      </c>
    </row>
    <row r="1768" spans="1:9" x14ac:dyDescent="0.25">
      <c r="A1768" s="23">
        <v>1769</v>
      </c>
      <c r="B1768" s="85">
        <v>45704</v>
      </c>
      <c r="C1768" s="23" t="s">
        <v>908</v>
      </c>
      <c r="D1768" s="23" t="s">
        <v>268</v>
      </c>
      <c r="G1768" s="23">
        <v>0</v>
      </c>
      <c r="I1768" s="218" t="s">
        <v>2773</v>
      </c>
    </row>
    <row r="1769" spans="1:9" x14ac:dyDescent="0.25">
      <c r="A1769" s="23">
        <v>1770</v>
      </c>
      <c r="B1769" s="85">
        <v>45704</v>
      </c>
      <c r="C1769" s="23" t="s">
        <v>908</v>
      </c>
      <c r="D1769" s="23" t="s">
        <v>264</v>
      </c>
      <c r="G1769" s="23">
        <v>0</v>
      </c>
      <c r="I1769" s="218" t="s">
        <v>2774</v>
      </c>
    </row>
    <row r="1770" spans="1:9" x14ac:dyDescent="0.25">
      <c r="A1770" s="23">
        <v>1771</v>
      </c>
      <c r="B1770" s="85">
        <v>45704</v>
      </c>
      <c r="C1770" s="23" t="s">
        <v>908</v>
      </c>
      <c r="D1770" s="23" t="s">
        <v>265</v>
      </c>
      <c r="G1770" s="23">
        <v>0</v>
      </c>
      <c r="I1770" s="218" t="s">
        <v>2775</v>
      </c>
    </row>
    <row r="1771" spans="1:9" x14ac:dyDescent="0.25">
      <c r="A1771" s="23">
        <v>1772</v>
      </c>
      <c r="B1771" s="85">
        <v>45704</v>
      </c>
      <c r="C1771" s="23" t="s">
        <v>908</v>
      </c>
      <c r="D1771" s="23" t="s">
        <v>261</v>
      </c>
      <c r="G1771" s="23">
        <v>0</v>
      </c>
      <c r="I1771" s="218" t="s">
        <v>2776</v>
      </c>
    </row>
    <row r="1772" spans="1:9" x14ac:dyDescent="0.25">
      <c r="A1772" s="23">
        <v>1773</v>
      </c>
      <c r="B1772" s="85">
        <v>45704</v>
      </c>
      <c r="C1772" s="23" t="s">
        <v>908</v>
      </c>
      <c r="D1772" s="23" t="s">
        <v>262</v>
      </c>
      <c r="G1772" s="23">
        <v>0</v>
      </c>
      <c r="I1772" s="218" t="s">
        <v>2777</v>
      </c>
    </row>
    <row r="1773" spans="1:9" x14ac:dyDescent="0.25">
      <c r="A1773" s="23">
        <v>1774</v>
      </c>
      <c r="B1773" s="85">
        <v>45704</v>
      </c>
      <c r="C1773" s="23" t="s">
        <v>1574</v>
      </c>
      <c r="D1773" s="23" t="s">
        <v>174</v>
      </c>
      <c r="G1773" s="23">
        <v>0.8</v>
      </c>
      <c r="I1773" s="218" t="s">
        <v>2778</v>
      </c>
    </row>
    <row r="1774" spans="1:9" x14ac:dyDescent="0.25">
      <c r="A1774" s="23">
        <v>1775</v>
      </c>
      <c r="B1774" s="85">
        <v>45704</v>
      </c>
      <c r="C1774" s="23" t="s">
        <v>2779</v>
      </c>
      <c r="D1774" s="23" t="s">
        <v>151</v>
      </c>
      <c r="G1774" s="23">
        <v>0</v>
      </c>
      <c r="I1774" s="218" t="s">
        <v>2770</v>
      </c>
    </row>
    <row r="1775" spans="1:9" x14ac:dyDescent="0.25">
      <c r="A1775" s="23">
        <v>1776</v>
      </c>
      <c r="B1775" s="85">
        <v>45704</v>
      </c>
      <c r="C1775" s="23" t="s">
        <v>2589</v>
      </c>
      <c r="D1775" s="23" t="s">
        <v>260</v>
      </c>
      <c r="G1775" s="23">
        <v>0.61599999999999999</v>
      </c>
      <c r="I1775" s="218" t="s">
        <v>2780</v>
      </c>
    </row>
    <row r="1776" spans="1:9" x14ac:dyDescent="0.25">
      <c r="A1776" s="23">
        <v>1777</v>
      </c>
      <c r="B1776" s="85">
        <v>45704</v>
      </c>
      <c r="C1776" s="23" t="s">
        <v>2589</v>
      </c>
      <c r="D1776" s="23" t="s">
        <v>264</v>
      </c>
      <c r="G1776" s="23">
        <v>0.58750000000000002</v>
      </c>
      <c r="I1776" s="218" t="s">
        <v>2781</v>
      </c>
    </row>
    <row r="1777" spans="1:9" x14ac:dyDescent="0.25">
      <c r="A1777" s="23">
        <v>1778</v>
      </c>
      <c r="B1777" s="85">
        <v>45704</v>
      </c>
      <c r="C1777" s="23" t="s">
        <v>2589</v>
      </c>
      <c r="D1777" s="23" t="s">
        <v>265</v>
      </c>
      <c r="G1777" s="23">
        <v>0.58750000000000002</v>
      </c>
      <c r="I1777" s="218" t="s">
        <v>2782</v>
      </c>
    </row>
    <row r="1778" spans="1:9" x14ac:dyDescent="0.25">
      <c r="A1778" s="23">
        <v>1779</v>
      </c>
      <c r="B1778" s="85">
        <v>45704</v>
      </c>
      <c r="C1778" s="23" t="s">
        <v>2589</v>
      </c>
      <c r="D1778" s="23" t="s">
        <v>261</v>
      </c>
      <c r="G1778" s="23">
        <v>0.58750000000000002</v>
      </c>
      <c r="I1778" s="218" t="s">
        <v>2783</v>
      </c>
    </row>
    <row r="1779" spans="1:9" x14ac:dyDescent="0.25">
      <c r="A1779" s="23">
        <v>1780</v>
      </c>
      <c r="B1779" s="85">
        <v>45704</v>
      </c>
      <c r="C1779" s="23" t="s">
        <v>1839</v>
      </c>
      <c r="D1779" s="23" t="s">
        <v>263</v>
      </c>
      <c r="G1779" s="23">
        <v>0.58750000000000002</v>
      </c>
      <c r="I1779" s="218" t="s">
        <v>2784</v>
      </c>
    </row>
    <row r="1780" spans="1:9" x14ac:dyDescent="0.25">
      <c r="A1780" s="23">
        <v>1781</v>
      </c>
      <c r="B1780" s="85">
        <v>45704</v>
      </c>
      <c r="C1780" s="23" t="s">
        <v>2785</v>
      </c>
      <c r="D1780" s="23" t="s">
        <v>172</v>
      </c>
      <c r="G1780" s="23">
        <v>0.8</v>
      </c>
      <c r="I1780" s="218" t="s">
        <v>2786</v>
      </c>
    </row>
    <row r="1781" spans="1:9" x14ac:dyDescent="0.25">
      <c r="A1781" s="23">
        <v>1782</v>
      </c>
      <c r="B1781" s="85">
        <v>45704</v>
      </c>
      <c r="C1781" s="23" t="s">
        <v>1971</v>
      </c>
      <c r="D1781" s="23" t="s">
        <v>158</v>
      </c>
      <c r="G1781" s="23">
        <v>1</v>
      </c>
      <c r="I1781" s="218" t="s">
        <v>2787</v>
      </c>
    </row>
    <row r="1782" spans="1:9" x14ac:dyDescent="0.25">
      <c r="A1782" s="23">
        <v>1783</v>
      </c>
      <c r="B1782" s="85">
        <v>45704</v>
      </c>
      <c r="C1782" s="23" t="s">
        <v>929</v>
      </c>
      <c r="D1782" s="23" t="s">
        <v>202</v>
      </c>
      <c r="G1782" s="23">
        <v>0.8</v>
      </c>
      <c r="I1782" s="218" t="s">
        <v>2788</v>
      </c>
    </row>
    <row r="1783" spans="1:9" x14ac:dyDescent="0.25">
      <c r="A1783" s="23">
        <v>1784</v>
      </c>
      <c r="B1783" s="85">
        <v>45704</v>
      </c>
      <c r="C1783" s="23" t="s">
        <v>741</v>
      </c>
      <c r="D1783" s="23" t="s">
        <v>157</v>
      </c>
      <c r="G1783" s="23">
        <v>0</v>
      </c>
      <c r="I1783" s="218" t="s">
        <v>2789</v>
      </c>
    </row>
    <row r="1784" spans="1:9" x14ac:dyDescent="0.25">
      <c r="A1784" s="23">
        <v>1785</v>
      </c>
      <c r="B1784" s="85">
        <v>45704</v>
      </c>
      <c r="C1784" s="23" t="s">
        <v>739</v>
      </c>
      <c r="D1784" s="23" t="s">
        <v>169</v>
      </c>
      <c r="G1784" s="23">
        <v>0.74</v>
      </c>
      <c r="I1784" s="218" t="s">
        <v>2790</v>
      </c>
    </row>
    <row r="1785" spans="1:9" x14ac:dyDescent="0.25">
      <c r="A1785" s="23">
        <v>1786</v>
      </c>
      <c r="B1785" s="85">
        <v>45704</v>
      </c>
      <c r="C1785" s="23" t="s">
        <v>255</v>
      </c>
      <c r="D1785" s="23" t="s">
        <v>159</v>
      </c>
      <c r="G1785" s="23">
        <v>0</v>
      </c>
      <c r="I1785" s="218" t="s">
        <v>2791</v>
      </c>
    </row>
    <row r="1786" spans="1:9" x14ac:dyDescent="0.25">
      <c r="A1786" s="23">
        <v>1787</v>
      </c>
      <c r="B1786" s="85">
        <v>45704</v>
      </c>
      <c r="C1786" s="23" t="s">
        <v>2792</v>
      </c>
      <c r="D1786" s="23" t="s">
        <v>177</v>
      </c>
      <c r="G1786" s="23">
        <v>0.77666666666666673</v>
      </c>
      <c r="I1786" s="218" t="s">
        <v>2793</v>
      </c>
    </row>
    <row r="1787" spans="1:9" x14ac:dyDescent="0.25">
      <c r="A1787" s="23">
        <v>1788</v>
      </c>
      <c r="B1787" s="85">
        <v>45704</v>
      </c>
      <c r="C1787" s="23" t="s">
        <v>195</v>
      </c>
      <c r="D1787" s="23" t="s">
        <v>178</v>
      </c>
      <c r="G1787" s="23">
        <v>0.77666666666666673</v>
      </c>
      <c r="I1787" s="218" t="s">
        <v>2794</v>
      </c>
    </row>
    <row r="1788" spans="1:9" x14ac:dyDescent="0.25">
      <c r="A1788" s="23">
        <v>1789</v>
      </c>
      <c r="B1788" s="85">
        <v>45704</v>
      </c>
      <c r="C1788" s="23" t="s">
        <v>1995</v>
      </c>
      <c r="D1788" s="23" t="s">
        <v>160</v>
      </c>
      <c r="G1788" s="23">
        <v>0.54</v>
      </c>
      <c r="I1788" s="218" t="s">
        <v>2795</v>
      </c>
    </row>
    <row r="1789" spans="1:9" x14ac:dyDescent="0.25">
      <c r="A1789" s="23">
        <v>1790</v>
      </c>
      <c r="B1789" s="85">
        <v>45704</v>
      </c>
      <c r="C1789" s="23" t="s">
        <v>1997</v>
      </c>
      <c r="D1789" s="23" t="s">
        <v>155</v>
      </c>
      <c r="G1789" s="23">
        <v>0</v>
      </c>
      <c r="I1789" s="218" t="s">
        <v>2796</v>
      </c>
    </row>
    <row r="1790" spans="1:9" x14ac:dyDescent="0.25">
      <c r="A1790" s="23">
        <v>1791</v>
      </c>
      <c r="B1790" s="85">
        <v>45704</v>
      </c>
      <c r="C1790" s="23" t="s">
        <v>1731</v>
      </c>
      <c r="D1790" s="23" t="s">
        <v>262</v>
      </c>
      <c r="G1790" s="23">
        <v>0.80999999999999994</v>
      </c>
      <c r="I1790" s="218" t="s">
        <v>2797</v>
      </c>
    </row>
    <row r="1791" spans="1:9" x14ac:dyDescent="0.25">
      <c r="A1791" s="23">
        <v>1792</v>
      </c>
      <c r="B1791" s="85">
        <v>45704</v>
      </c>
      <c r="C1791" s="23" t="s">
        <v>1106</v>
      </c>
      <c r="D1791" s="23" t="s">
        <v>161</v>
      </c>
      <c r="G1791" s="23">
        <v>0.78</v>
      </c>
      <c r="I1791" s="218" t="s">
        <v>2798</v>
      </c>
    </row>
    <row r="1792" spans="1:9" x14ac:dyDescent="0.25">
      <c r="A1792" s="23">
        <v>1793</v>
      </c>
      <c r="B1792" s="85">
        <v>45704</v>
      </c>
      <c r="C1792" s="23" t="s">
        <v>257</v>
      </c>
      <c r="D1792" s="23" t="s">
        <v>194</v>
      </c>
      <c r="G1792" s="23">
        <v>1</v>
      </c>
      <c r="I1792" s="218" t="s">
        <v>2799</v>
      </c>
    </row>
    <row r="1793" spans="1:9" x14ac:dyDescent="0.25">
      <c r="A1793" s="23">
        <v>1794</v>
      </c>
      <c r="B1793" s="85">
        <v>45704</v>
      </c>
      <c r="C1793" s="23" t="s">
        <v>971</v>
      </c>
      <c r="D1793" s="23" t="s">
        <v>162</v>
      </c>
      <c r="G1793" s="23">
        <v>0.79999999999999993</v>
      </c>
      <c r="I1793" s="218" t="s">
        <v>2800</v>
      </c>
    </row>
    <row r="1794" spans="1:9" x14ac:dyDescent="0.25">
      <c r="A1794" s="23">
        <v>1795</v>
      </c>
      <c r="B1794" s="85">
        <v>45704</v>
      </c>
      <c r="C1794" s="23" t="s">
        <v>2312</v>
      </c>
      <c r="D1794" s="23" t="s">
        <v>173</v>
      </c>
      <c r="G1794" s="23">
        <v>0.79999999999999993</v>
      </c>
      <c r="I1794" s="218" t="s">
        <v>2801</v>
      </c>
    </row>
    <row r="1795" spans="1:9" x14ac:dyDescent="0.25">
      <c r="A1795" s="23">
        <v>1796</v>
      </c>
      <c r="B1795" s="85">
        <v>45704</v>
      </c>
      <c r="C1795" s="23" t="s">
        <v>2802</v>
      </c>
      <c r="D1795" s="23" t="s">
        <v>163</v>
      </c>
      <c r="G1795" s="23">
        <v>0.8</v>
      </c>
      <c r="I1795" s="218" t="s">
        <v>2803</v>
      </c>
    </row>
    <row r="1796" spans="1:9" x14ac:dyDescent="0.25">
      <c r="A1796" s="23">
        <v>1797</v>
      </c>
      <c r="B1796" s="85">
        <v>45704</v>
      </c>
      <c r="C1796" s="23" t="s">
        <v>2802</v>
      </c>
      <c r="D1796" s="23" t="s">
        <v>164</v>
      </c>
      <c r="G1796" s="23">
        <v>0.8</v>
      </c>
      <c r="I1796" s="218" t="s">
        <v>2804</v>
      </c>
    </row>
    <row r="1797" spans="1:9" x14ac:dyDescent="0.25">
      <c r="A1797" s="23">
        <v>1798</v>
      </c>
      <c r="B1797" s="85">
        <v>45704</v>
      </c>
      <c r="C1797" s="23" t="s">
        <v>209</v>
      </c>
      <c r="D1797" s="23" t="s">
        <v>172</v>
      </c>
      <c r="G1797" s="23">
        <v>0</v>
      </c>
      <c r="I1797" s="218" t="s">
        <v>2805</v>
      </c>
    </row>
    <row r="1798" spans="1:9" x14ac:dyDescent="0.25">
      <c r="A1798" s="23">
        <v>1799</v>
      </c>
      <c r="B1798" s="85">
        <v>45704</v>
      </c>
      <c r="C1798" s="23" t="s">
        <v>1747</v>
      </c>
      <c r="D1798" s="23" t="s">
        <v>202</v>
      </c>
      <c r="G1798" s="23">
        <v>0</v>
      </c>
      <c r="I1798" s="218" t="s">
        <v>2806</v>
      </c>
    </row>
    <row r="1799" spans="1:9" x14ac:dyDescent="0.25">
      <c r="A1799" s="23">
        <v>1800</v>
      </c>
      <c r="B1799" s="85">
        <v>45704</v>
      </c>
      <c r="C1799" s="23" t="s">
        <v>1747</v>
      </c>
      <c r="D1799" s="23" t="s">
        <v>174</v>
      </c>
      <c r="G1799" s="23">
        <v>0</v>
      </c>
      <c r="I1799" s="218" t="s">
        <v>2807</v>
      </c>
    </row>
    <row r="1800" spans="1:9" x14ac:dyDescent="0.25">
      <c r="A1800" s="23">
        <v>1801</v>
      </c>
      <c r="B1800" s="85">
        <v>45704</v>
      </c>
      <c r="C1800" s="23" t="s">
        <v>2808</v>
      </c>
      <c r="D1800" s="23" t="s">
        <v>178</v>
      </c>
      <c r="G1800" s="23">
        <v>0</v>
      </c>
      <c r="I1800" s="218" t="s">
        <v>2809</v>
      </c>
    </row>
    <row r="1801" spans="1:9" x14ac:dyDescent="0.25">
      <c r="A1801" s="23">
        <v>1802</v>
      </c>
      <c r="B1801" s="85">
        <v>45704</v>
      </c>
      <c r="C1801" s="23" t="s">
        <v>2808</v>
      </c>
      <c r="D1801" s="23" t="s">
        <v>177</v>
      </c>
      <c r="G1801" s="23">
        <v>0</v>
      </c>
      <c r="I1801" s="218" t="s">
        <v>2810</v>
      </c>
    </row>
    <row r="1802" spans="1:9" x14ac:dyDescent="0.25">
      <c r="A1802" s="23">
        <v>1803</v>
      </c>
      <c r="B1802" s="85">
        <v>45704</v>
      </c>
      <c r="C1802" s="23" t="s">
        <v>156</v>
      </c>
      <c r="D1802" s="23" t="s">
        <v>157</v>
      </c>
      <c r="G1802" s="23">
        <v>1</v>
      </c>
      <c r="I1802" s="218" t="s">
        <v>2811</v>
      </c>
    </row>
    <row r="1803" spans="1:9" x14ac:dyDescent="0.25">
      <c r="A1803" s="23">
        <v>1804</v>
      </c>
      <c r="B1803" s="85">
        <v>45704</v>
      </c>
      <c r="C1803" s="23" t="s">
        <v>2629</v>
      </c>
      <c r="D1803" s="23" t="s">
        <v>161</v>
      </c>
      <c r="G1803" s="23">
        <v>0</v>
      </c>
      <c r="I1803" s="218" t="s">
        <v>2812</v>
      </c>
    </row>
    <row r="1804" spans="1:9" x14ac:dyDescent="0.25">
      <c r="A1804" s="23">
        <v>1805</v>
      </c>
      <c r="B1804" s="85">
        <v>45704</v>
      </c>
      <c r="C1804" s="23" t="s">
        <v>2813</v>
      </c>
      <c r="D1804" s="23" t="s">
        <v>162</v>
      </c>
      <c r="G1804" s="23">
        <v>0</v>
      </c>
      <c r="I1804" s="218" t="s">
        <v>2814</v>
      </c>
    </row>
    <row r="1805" spans="1:9" x14ac:dyDescent="0.25">
      <c r="A1805" s="23">
        <v>1806</v>
      </c>
      <c r="B1805" s="85">
        <v>45704</v>
      </c>
      <c r="C1805" s="23" t="s">
        <v>2815</v>
      </c>
      <c r="D1805" s="23" t="s">
        <v>163</v>
      </c>
      <c r="G1805" s="23">
        <v>0</v>
      </c>
      <c r="I1805" s="218" t="s">
        <v>2816</v>
      </c>
    </row>
    <row r="1806" spans="1:9" x14ac:dyDescent="0.25">
      <c r="A1806" s="23">
        <v>1807</v>
      </c>
      <c r="B1806" s="85">
        <v>45704</v>
      </c>
      <c r="C1806" s="23" t="s">
        <v>2815</v>
      </c>
      <c r="D1806" s="23" t="s">
        <v>173</v>
      </c>
      <c r="G1806" s="23">
        <v>0</v>
      </c>
      <c r="I1806" s="218" t="s">
        <v>2817</v>
      </c>
    </row>
    <row r="1807" spans="1:9" x14ac:dyDescent="0.25">
      <c r="A1807" s="23">
        <v>1808</v>
      </c>
      <c r="B1807" s="85">
        <v>45704</v>
      </c>
      <c r="C1807" s="23" t="s">
        <v>2818</v>
      </c>
      <c r="D1807" s="23" t="s">
        <v>164</v>
      </c>
      <c r="G1807" s="23">
        <v>0</v>
      </c>
      <c r="I1807" s="218" t="s">
        <v>2819</v>
      </c>
    </row>
    <row r="1808" spans="1:9" x14ac:dyDescent="0.25">
      <c r="A1808" s="23">
        <v>1809</v>
      </c>
      <c r="B1808" s="85">
        <v>45704</v>
      </c>
      <c r="C1808" s="23" t="s">
        <v>2820</v>
      </c>
      <c r="D1808" s="23" t="s">
        <v>264</v>
      </c>
      <c r="G1808" s="23">
        <v>0</v>
      </c>
      <c r="I1808" s="218" t="s">
        <v>2821</v>
      </c>
    </row>
    <row r="1809" spans="1:9" x14ac:dyDescent="0.25">
      <c r="A1809" s="23">
        <v>1810</v>
      </c>
      <c r="B1809" s="85">
        <v>45704</v>
      </c>
      <c r="C1809" s="23" t="s">
        <v>2205</v>
      </c>
      <c r="D1809" s="23" t="s">
        <v>194</v>
      </c>
      <c r="G1809" s="23">
        <v>0</v>
      </c>
      <c r="I1809" s="218" t="s">
        <v>2822</v>
      </c>
    </row>
    <row r="1810" spans="1:9" x14ac:dyDescent="0.25">
      <c r="A1810" s="23">
        <v>1811</v>
      </c>
      <c r="B1810" s="85">
        <v>45704</v>
      </c>
      <c r="C1810" s="23" t="s">
        <v>2823</v>
      </c>
      <c r="D1810" s="23" t="s">
        <v>151</v>
      </c>
      <c r="G1810" s="23">
        <v>3.3</v>
      </c>
      <c r="I1810" s="218" t="s">
        <v>2824</v>
      </c>
    </row>
    <row r="1811" spans="1:9" x14ac:dyDescent="0.25">
      <c r="A1811" s="23">
        <v>1812</v>
      </c>
      <c r="B1811" s="85">
        <v>45704</v>
      </c>
      <c r="C1811" s="23" t="s">
        <v>2825</v>
      </c>
      <c r="D1811" s="23" t="s">
        <v>1474</v>
      </c>
      <c r="G1811" s="23">
        <v>0</v>
      </c>
      <c r="I1811" s="218" t="s">
        <v>2826</v>
      </c>
    </row>
    <row r="1812" spans="1:9" x14ac:dyDescent="0.25">
      <c r="A1812" s="23">
        <v>1813</v>
      </c>
      <c r="B1812" s="85">
        <v>45704</v>
      </c>
      <c r="C1812" s="23" t="s">
        <v>2827</v>
      </c>
      <c r="D1812" s="23" t="s">
        <v>154</v>
      </c>
      <c r="G1812" s="23">
        <v>3.3</v>
      </c>
      <c r="I1812" s="218" t="s">
        <v>2828</v>
      </c>
    </row>
    <row r="1813" spans="1:9" x14ac:dyDescent="0.25">
      <c r="A1813" s="23">
        <v>1814</v>
      </c>
      <c r="B1813" s="85">
        <v>45704</v>
      </c>
      <c r="C1813" s="23" t="s">
        <v>2361</v>
      </c>
      <c r="D1813" s="23" t="s">
        <v>157</v>
      </c>
      <c r="G1813" s="23">
        <v>0</v>
      </c>
      <c r="I1813" s="218" t="s">
        <v>2829</v>
      </c>
    </row>
    <row r="1814" spans="1:9" x14ac:dyDescent="0.25">
      <c r="A1814" s="23">
        <v>1815</v>
      </c>
      <c r="B1814" s="85">
        <v>45704</v>
      </c>
      <c r="C1814" s="23" t="s">
        <v>1882</v>
      </c>
      <c r="D1814" s="23" t="s">
        <v>165</v>
      </c>
      <c r="G1814" s="23">
        <v>0.8</v>
      </c>
      <c r="I1814" s="218" t="s">
        <v>2830</v>
      </c>
    </row>
    <row r="1815" spans="1:9" x14ac:dyDescent="0.25">
      <c r="A1815" s="23">
        <v>1816</v>
      </c>
      <c r="B1815" s="85">
        <v>45704</v>
      </c>
      <c r="C1815" s="23" t="s">
        <v>259</v>
      </c>
      <c r="D1815" s="23" t="s">
        <v>168</v>
      </c>
      <c r="G1815" s="23">
        <v>0.8</v>
      </c>
      <c r="I1815" s="218" t="s">
        <v>2831</v>
      </c>
    </row>
    <row r="1816" spans="1:9" x14ac:dyDescent="0.25">
      <c r="A1816" s="23">
        <v>1817</v>
      </c>
      <c r="B1816" s="85">
        <v>45704</v>
      </c>
      <c r="C1816" s="23" t="s">
        <v>1628</v>
      </c>
      <c r="D1816" s="23" t="s">
        <v>170</v>
      </c>
      <c r="G1816" s="23">
        <v>0.8</v>
      </c>
      <c r="I1816" s="218" t="s">
        <v>2832</v>
      </c>
    </row>
    <row r="1817" spans="1:9" x14ac:dyDescent="0.25">
      <c r="A1817" s="23">
        <v>1817</v>
      </c>
      <c r="B1817" s="85">
        <v>45704</v>
      </c>
      <c r="C1817" s="23" t="s">
        <v>2211</v>
      </c>
      <c r="D1817" s="23" t="s">
        <v>194</v>
      </c>
      <c r="G1817" s="23">
        <v>1.5</v>
      </c>
      <c r="H1817" s="23" t="s">
        <v>2834</v>
      </c>
      <c r="I1817" s="218" t="s">
        <v>2833</v>
      </c>
    </row>
    <row r="1818" spans="1:9" x14ac:dyDescent="0.25">
      <c r="A1818" s="23">
        <v>1818</v>
      </c>
      <c r="B1818" s="85">
        <v>45704</v>
      </c>
      <c r="C1818" s="23" t="s">
        <v>1349</v>
      </c>
      <c r="D1818" s="23" t="s">
        <v>172</v>
      </c>
      <c r="G1818" s="23">
        <v>0.8</v>
      </c>
      <c r="I1818" s="218" t="s">
        <v>2835</v>
      </c>
    </row>
    <row r="1819" spans="1:9" x14ac:dyDescent="0.25">
      <c r="A1819" s="23">
        <v>1819</v>
      </c>
      <c r="B1819" s="85">
        <v>45704</v>
      </c>
      <c r="C1819" s="23" t="s">
        <v>1008</v>
      </c>
      <c r="D1819" s="23" t="s">
        <v>174</v>
      </c>
      <c r="G1819" s="23">
        <v>0.8</v>
      </c>
      <c r="I1819" s="218" t="s">
        <v>2836</v>
      </c>
    </row>
    <row r="1820" spans="1:9" x14ac:dyDescent="0.25">
      <c r="A1820" s="23">
        <v>1820</v>
      </c>
      <c r="B1820" s="85">
        <v>45704</v>
      </c>
      <c r="C1820" s="23" t="s">
        <v>2837</v>
      </c>
      <c r="D1820" s="23" t="s">
        <v>264</v>
      </c>
      <c r="G1820" s="23">
        <v>0.75</v>
      </c>
      <c r="I1820" s="218" t="s">
        <v>2838</v>
      </c>
    </row>
    <row r="1821" spans="1:9" x14ac:dyDescent="0.25">
      <c r="A1821" s="23">
        <v>1821</v>
      </c>
      <c r="B1821" s="85">
        <v>45704</v>
      </c>
      <c r="C1821" s="23" t="s">
        <v>1353</v>
      </c>
      <c r="D1821" s="23" t="s">
        <v>178</v>
      </c>
      <c r="G1821" s="23">
        <v>0.8</v>
      </c>
      <c r="I1821" s="218" t="s">
        <v>2839</v>
      </c>
    </row>
    <row r="1822" spans="1:9" x14ac:dyDescent="0.25">
      <c r="A1822" s="23">
        <v>1822</v>
      </c>
      <c r="B1822" s="85">
        <v>45704</v>
      </c>
      <c r="C1822" s="23" t="s">
        <v>2677</v>
      </c>
      <c r="D1822" s="23" t="s">
        <v>194</v>
      </c>
      <c r="G1822" s="23">
        <v>0</v>
      </c>
      <c r="I1822" s="218" t="s">
        <v>2840</v>
      </c>
    </row>
    <row r="1823" spans="1:9" x14ac:dyDescent="0.25">
      <c r="A1823" s="23">
        <v>1823</v>
      </c>
      <c r="B1823" s="85">
        <v>45704</v>
      </c>
      <c r="C1823" s="23" t="s">
        <v>2841</v>
      </c>
      <c r="D1823" s="23" t="s">
        <v>161</v>
      </c>
      <c r="G1823" s="23">
        <v>0.8</v>
      </c>
      <c r="I1823" s="218" t="s">
        <v>2842</v>
      </c>
    </row>
    <row r="1824" spans="1:9" x14ac:dyDescent="0.25">
      <c r="A1824" s="23">
        <v>1824</v>
      </c>
      <c r="B1824" s="85">
        <v>45704</v>
      </c>
      <c r="C1824" s="23" t="s">
        <v>1904</v>
      </c>
      <c r="D1824" s="23" t="s">
        <v>165</v>
      </c>
      <c r="G1824" s="23">
        <v>0</v>
      </c>
      <c r="I1824" s="218" t="s">
        <v>2843</v>
      </c>
    </row>
    <row r="1825" spans="1:9" x14ac:dyDescent="0.25">
      <c r="A1825" s="23">
        <v>1825</v>
      </c>
      <c r="B1825" s="85">
        <v>45704</v>
      </c>
      <c r="C1825" s="23" t="s">
        <v>1194</v>
      </c>
      <c r="D1825" s="23" t="s">
        <v>168</v>
      </c>
      <c r="G1825" s="23">
        <v>0</v>
      </c>
      <c r="I1825" s="218" t="s">
        <v>2844</v>
      </c>
    </row>
    <row r="1826" spans="1:9" x14ac:dyDescent="0.25">
      <c r="A1826" s="23">
        <v>1826</v>
      </c>
      <c r="B1826" s="85">
        <v>45704</v>
      </c>
      <c r="C1826" s="23" t="s">
        <v>1569</v>
      </c>
      <c r="D1826" s="23" t="s">
        <v>159</v>
      </c>
      <c r="G1826" s="23">
        <v>1</v>
      </c>
      <c r="I1826" s="218" t="s">
        <v>2845</v>
      </c>
    </row>
    <row r="1827" spans="1:9" x14ac:dyDescent="0.25">
      <c r="A1827" s="23">
        <v>1827</v>
      </c>
      <c r="B1827" s="85">
        <v>45704</v>
      </c>
      <c r="C1827" s="23" t="s">
        <v>185</v>
      </c>
      <c r="D1827" s="23" t="s">
        <v>169</v>
      </c>
      <c r="G1827" s="23">
        <v>0</v>
      </c>
      <c r="I1827" s="218" t="s">
        <v>2846</v>
      </c>
    </row>
    <row r="1828" spans="1:9" x14ac:dyDescent="0.25">
      <c r="A1828" s="23">
        <v>1828</v>
      </c>
      <c r="B1828" s="85">
        <v>45704</v>
      </c>
      <c r="C1828" s="23" t="s">
        <v>2847</v>
      </c>
      <c r="D1828" s="23" t="s">
        <v>170</v>
      </c>
      <c r="G1828" s="23">
        <v>0</v>
      </c>
      <c r="I1828" s="218" t="s">
        <v>2848</v>
      </c>
    </row>
    <row r="1829" spans="1:9" x14ac:dyDescent="0.25">
      <c r="A1829" s="23">
        <v>1829</v>
      </c>
      <c r="B1829" s="85">
        <v>45704</v>
      </c>
      <c r="C1829" s="23" t="s">
        <v>2849</v>
      </c>
      <c r="D1829" s="23" t="s">
        <v>172</v>
      </c>
      <c r="G1829" s="23">
        <v>0</v>
      </c>
      <c r="I1829" s="218" t="s">
        <v>2850</v>
      </c>
    </row>
    <row r="1830" spans="1:9" x14ac:dyDescent="0.25">
      <c r="A1830" s="23">
        <v>1830</v>
      </c>
      <c r="B1830" s="85">
        <v>45704</v>
      </c>
      <c r="C1830" s="23" t="s">
        <v>1496</v>
      </c>
      <c r="D1830" s="23" t="s">
        <v>174</v>
      </c>
      <c r="G1830" s="23">
        <v>0</v>
      </c>
      <c r="I1830" s="218" t="s">
        <v>2851</v>
      </c>
    </row>
    <row r="1831" spans="1:9" x14ac:dyDescent="0.25">
      <c r="A1831" s="23">
        <v>1831</v>
      </c>
      <c r="B1831" s="85">
        <v>45704</v>
      </c>
      <c r="C1831" s="23" t="s">
        <v>2852</v>
      </c>
      <c r="D1831" s="23" t="s">
        <v>178</v>
      </c>
      <c r="G1831" s="23">
        <v>0</v>
      </c>
      <c r="I1831" s="218" t="s">
        <v>2853</v>
      </c>
    </row>
    <row r="1832" spans="1:9" x14ac:dyDescent="0.25">
      <c r="A1832" s="23">
        <v>1832</v>
      </c>
      <c r="B1832" s="85">
        <v>45704</v>
      </c>
      <c r="C1832" s="23" t="s">
        <v>1025</v>
      </c>
      <c r="D1832" s="23" t="s">
        <v>161</v>
      </c>
      <c r="G1832" s="23">
        <v>0</v>
      </c>
      <c r="I1832" s="218" t="s">
        <v>2854</v>
      </c>
    </row>
    <row r="1833" spans="1:9" x14ac:dyDescent="0.25">
      <c r="A1833" s="23">
        <v>1833</v>
      </c>
      <c r="B1833" s="85">
        <v>45704</v>
      </c>
      <c r="C1833" s="23" t="s">
        <v>2547</v>
      </c>
      <c r="D1833" s="23" t="s">
        <v>175</v>
      </c>
      <c r="G1833" s="23">
        <v>0</v>
      </c>
      <c r="I1833" s="218" t="s">
        <v>2855</v>
      </c>
    </row>
    <row r="1834" spans="1:9" x14ac:dyDescent="0.25">
      <c r="A1834" s="23">
        <v>1834</v>
      </c>
      <c r="B1834" s="85">
        <v>45704</v>
      </c>
      <c r="C1834" s="23" t="s">
        <v>2856</v>
      </c>
      <c r="D1834" s="23" t="s">
        <v>173</v>
      </c>
      <c r="G1834" s="23">
        <v>0.8</v>
      </c>
      <c r="I1834" s="218" t="s">
        <v>2857</v>
      </c>
    </row>
    <row r="1835" spans="1:9" x14ac:dyDescent="0.25">
      <c r="A1835" s="23">
        <v>1835</v>
      </c>
      <c r="B1835" s="85">
        <v>45704</v>
      </c>
      <c r="C1835" s="23" t="s">
        <v>2856</v>
      </c>
      <c r="D1835" s="23" t="s">
        <v>162</v>
      </c>
      <c r="G1835" s="23">
        <v>0.8</v>
      </c>
      <c r="I1835" s="218" t="s">
        <v>2858</v>
      </c>
    </row>
    <row r="1836" spans="1:9" x14ac:dyDescent="0.25">
      <c r="A1836" s="23">
        <v>1835</v>
      </c>
      <c r="B1836" s="85">
        <v>45704</v>
      </c>
      <c r="C1836" s="23" t="s">
        <v>519</v>
      </c>
      <c r="D1836" s="23" t="s">
        <v>162</v>
      </c>
      <c r="G1836" s="23">
        <v>0</v>
      </c>
      <c r="I1836" s="218" t="s">
        <v>2858</v>
      </c>
    </row>
    <row r="1837" spans="1:9" x14ac:dyDescent="0.25">
      <c r="A1837" s="23">
        <v>1837</v>
      </c>
      <c r="B1837" s="85">
        <v>45704</v>
      </c>
      <c r="C1837" s="23" t="s">
        <v>2859</v>
      </c>
      <c r="D1837" s="23" t="s">
        <v>173</v>
      </c>
      <c r="G1837" s="23">
        <v>0</v>
      </c>
      <c r="I1837" s="218" t="s">
        <v>2857</v>
      </c>
    </row>
    <row r="1838" spans="1:9" x14ac:dyDescent="0.25">
      <c r="A1838" s="23">
        <v>1838</v>
      </c>
      <c r="B1838" s="85">
        <v>45704</v>
      </c>
      <c r="C1838" s="23" t="s">
        <v>1217</v>
      </c>
      <c r="D1838" s="23" t="s">
        <v>264</v>
      </c>
      <c r="G1838" s="23">
        <v>0</v>
      </c>
      <c r="I1838" s="218" t="s">
        <v>2860</v>
      </c>
    </row>
    <row r="1839" spans="1:9" x14ac:dyDescent="0.25">
      <c r="A1839" s="23">
        <v>1839</v>
      </c>
      <c r="B1839" s="85">
        <v>45704</v>
      </c>
      <c r="C1839" s="23" t="s">
        <v>2114</v>
      </c>
      <c r="D1839" s="23" t="s">
        <v>157</v>
      </c>
      <c r="G1839" s="23">
        <v>6.6</v>
      </c>
      <c r="I1839" s="218" t="s">
        <v>2861</v>
      </c>
    </row>
    <row r="1840" spans="1:9" x14ac:dyDescent="0.25">
      <c r="A1840" s="23">
        <v>1840</v>
      </c>
      <c r="B1840" s="85">
        <v>45704</v>
      </c>
      <c r="C1840" s="23" t="s">
        <v>2562</v>
      </c>
      <c r="D1840" s="23" t="s">
        <v>163</v>
      </c>
      <c r="G1840" s="23">
        <v>0.8</v>
      </c>
      <c r="I1840" s="218" t="s">
        <v>2862</v>
      </c>
    </row>
    <row r="1841" spans="1:9" x14ac:dyDescent="0.25">
      <c r="A1841" s="23">
        <v>1841</v>
      </c>
      <c r="B1841" s="85">
        <v>45704</v>
      </c>
      <c r="C1841" s="23" t="s">
        <v>2863</v>
      </c>
      <c r="D1841" s="23" t="s">
        <v>186</v>
      </c>
      <c r="G1841" s="23">
        <v>0</v>
      </c>
      <c r="I1841" s="218" t="s">
        <v>2864</v>
      </c>
    </row>
    <row r="1842" spans="1:9" x14ac:dyDescent="0.25">
      <c r="A1842" s="23">
        <v>1842</v>
      </c>
      <c r="B1842" s="85">
        <v>45704</v>
      </c>
      <c r="C1842" s="23" t="s">
        <v>1523</v>
      </c>
      <c r="D1842" s="23" t="s">
        <v>163</v>
      </c>
      <c r="G1842" s="23">
        <v>0</v>
      </c>
      <c r="I1842" s="218" t="s">
        <v>2862</v>
      </c>
    </row>
    <row r="1843" spans="1:9" x14ac:dyDescent="0.25">
      <c r="A1843" s="23">
        <v>1843</v>
      </c>
      <c r="B1843" s="85">
        <v>45704</v>
      </c>
      <c r="C1843" s="23" t="s">
        <v>1015</v>
      </c>
      <c r="D1843" s="23" t="s">
        <v>155</v>
      </c>
      <c r="G1843" s="23">
        <v>0.66500000000000004</v>
      </c>
      <c r="I1843" s="218" t="s">
        <v>2865</v>
      </c>
    </row>
    <row r="1844" spans="1:9" x14ac:dyDescent="0.25">
      <c r="A1844" s="23">
        <v>1844</v>
      </c>
      <c r="B1844" s="85">
        <v>45704</v>
      </c>
      <c r="C1844" s="23" t="s">
        <v>1201</v>
      </c>
      <c r="D1844" s="23" t="s">
        <v>166</v>
      </c>
      <c r="G1844" s="23">
        <v>0</v>
      </c>
      <c r="I1844" s="218" t="s">
        <v>2866</v>
      </c>
    </row>
    <row r="1845" spans="1:9" x14ac:dyDescent="0.25">
      <c r="A1845" s="23">
        <v>1845</v>
      </c>
      <c r="B1845" s="85">
        <v>45705</v>
      </c>
      <c r="C1845" s="23" t="s">
        <v>2867</v>
      </c>
      <c r="D1845" s="23" t="s">
        <v>155</v>
      </c>
      <c r="G1845" s="23">
        <v>0</v>
      </c>
      <c r="I1845" s="218" t="s">
        <v>2868</v>
      </c>
    </row>
    <row r="1846" spans="1:9" x14ac:dyDescent="0.25">
      <c r="A1846" s="23">
        <v>1846</v>
      </c>
      <c r="B1846" s="85">
        <v>45705</v>
      </c>
      <c r="C1846" s="23" t="s">
        <v>2869</v>
      </c>
      <c r="D1846" s="23" t="s">
        <v>166</v>
      </c>
      <c r="G1846" s="23">
        <v>0.45</v>
      </c>
      <c r="I1846" s="218" t="s">
        <v>2870</v>
      </c>
    </row>
    <row r="1847" spans="1:9" x14ac:dyDescent="0.25">
      <c r="A1847" s="23">
        <v>1847</v>
      </c>
      <c r="B1847" s="85">
        <v>45705</v>
      </c>
      <c r="C1847" s="23" t="s">
        <v>2871</v>
      </c>
      <c r="D1847" s="23" t="s">
        <v>154</v>
      </c>
      <c r="G1847" s="23">
        <v>0</v>
      </c>
      <c r="I1847" s="218" t="s">
        <v>2872</v>
      </c>
    </row>
    <row r="1848" spans="1:9" x14ac:dyDescent="0.25">
      <c r="A1848" s="23">
        <v>1848</v>
      </c>
      <c r="B1848" s="85">
        <v>45705</v>
      </c>
      <c r="C1848" s="23" t="s">
        <v>1226</v>
      </c>
      <c r="D1848" s="23" t="s">
        <v>153</v>
      </c>
      <c r="G1848" s="23">
        <v>0</v>
      </c>
      <c r="I1848" s="218" t="s">
        <v>2873</v>
      </c>
    </row>
    <row r="1849" spans="1:9" x14ac:dyDescent="0.25">
      <c r="A1849" s="23">
        <v>1849</v>
      </c>
      <c r="B1849" s="85">
        <v>45705</v>
      </c>
      <c r="C1849" s="23" t="s">
        <v>2874</v>
      </c>
      <c r="D1849" s="23" t="s">
        <v>263</v>
      </c>
      <c r="G1849" s="23">
        <v>0</v>
      </c>
      <c r="I1849" s="218" t="s">
        <v>2875</v>
      </c>
    </row>
    <row r="1850" spans="1:9" x14ac:dyDescent="0.25">
      <c r="A1850" s="23">
        <v>1850</v>
      </c>
      <c r="B1850" s="85">
        <v>45705</v>
      </c>
      <c r="C1850" s="23" t="s">
        <v>2876</v>
      </c>
      <c r="D1850" s="23" t="s">
        <v>194</v>
      </c>
      <c r="G1850" s="23">
        <v>0.5</v>
      </c>
      <c r="I1850" s="218" t="s">
        <v>2877</v>
      </c>
    </row>
    <row r="1851" spans="1:9" x14ac:dyDescent="0.25">
      <c r="A1851" s="23">
        <v>1851</v>
      </c>
      <c r="B1851" s="85">
        <v>45705</v>
      </c>
      <c r="C1851" s="23" t="s">
        <v>2878</v>
      </c>
      <c r="D1851" s="23" t="s">
        <v>194</v>
      </c>
      <c r="G1851" s="23">
        <v>0</v>
      </c>
      <c r="I1851" s="218" t="s">
        <v>2877</v>
      </c>
    </row>
    <row r="1852" spans="1:9" x14ac:dyDescent="0.25">
      <c r="A1852" s="23">
        <v>1852</v>
      </c>
      <c r="B1852" s="85">
        <v>45705</v>
      </c>
      <c r="C1852" s="23" t="s">
        <v>567</v>
      </c>
      <c r="D1852" s="23" t="s">
        <v>153</v>
      </c>
      <c r="G1852" s="23">
        <v>1.2</v>
      </c>
      <c r="I1852" s="218" t="s">
        <v>2879</v>
      </c>
    </row>
    <row r="1853" spans="1:9" x14ac:dyDescent="0.25">
      <c r="A1853" s="23">
        <v>1853</v>
      </c>
      <c r="B1853" s="85">
        <v>45705</v>
      </c>
      <c r="C1853" s="23" t="s">
        <v>1560</v>
      </c>
      <c r="D1853" s="23" t="s">
        <v>264</v>
      </c>
      <c r="G1853" s="23">
        <v>0.73799999999999999</v>
      </c>
      <c r="I1853" s="218" t="s">
        <v>2880</v>
      </c>
    </row>
    <row r="1854" spans="1:9" x14ac:dyDescent="0.25">
      <c r="A1854" s="23">
        <v>1854</v>
      </c>
      <c r="B1854" s="85">
        <v>45705</v>
      </c>
      <c r="C1854" s="23" t="s">
        <v>1835</v>
      </c>
      <c r="D1854" s="23" t="s">
        <v>164</v>
      </c>
      <c r="G1854" s="23">
        <v>0.8</v>
      </c>
      <c r="I1854" s="218" t="s">
        <v>2881</v>
      </c>
    </row>
    <row r="1855" spans="1:9" x14ac:dyDescent="0.25">
      <c r="A1855" s="23">
        <v>1855</v>
      </c>
      <c r="B1855" s="85">
        <v>45705</v>
      </c>
      <c r="C1855" s="23" t="s">
        <v>2442</v>
      </c>
      <c r="D1855" s="23" t="s">
        <v>165</v>
      </c>
      <c r="G1855" s="23">
        <v>0.8</v>
      </c>
      <c r="I1855" s="218" t="s">
        <v>2882</v>
      </c>
    </row>
    <row r="1856" spans="1:9" x14ac:dyDescent="0.25">
      <c r="A1856" s="23">
        <v>1856</v>
      </c>
      <c r="B1856" s="85">
        <v>45705</v>
      </c>
      <c r="C1856" s="23" t="s">
        <v>2143</v>
      </c>
      <c r="D1856" s="23" t="s">
        <v>164</v>
      </c>
      <c r="G1856" s="23">
        <v>0</v>
      </c>
      <c r="I1856" s="218" t="s">
        <v>2881</v>
      </c>
    </row>
    <row r="1857" spans="1:9" x14ac:dyDescent="0.25">
      <c r="A1857" s="23">
        <v>1857</v>
      </c>
      <c r="B1857" s="85">
        <v>45705</v>
      </c>
      <c r="C1857" s="23" t="s">
        <v>1967</v>
      </c>
      <c r="D1857" s="23" t="s">
        <v>165</v>
      </c>
      <c r="G1857" s="23">
        <v>0</v>
      </c>
      <c r="I1857" s="218" t="s">
        <v>2882</v>
      </c>
    </row>
    <row r="1858" spans="1:9" x14ac:dyDescent="0.25">
      <c r="A1858" s="23">
        <v>1858</v>
      </c>
      <c r="B1858" s="85">
        <v>45705</v>
      </c>
      <c r="C1858" s="23" t="s">
        <v>729</v>
      </c>
      <c r="D1858" s="23" t="s">
        <v>169</v>
      </c>
      <c r="G1858" s="23">
        <v>0.81</v>
      </c>
      <c r="I1858" s="218" t="s">
        <v>2883</v>
      </c>
    </row>
    <row r="1859" spans="1:9" x14ac:dyDescent="0.25">
      <c r="A1859" s="23">
        <v>1859</v>
      </c>
      <c r="B1859" s="85">
        <v>45705</v>
      </c>
      <c r="C1859" s="23" t="s">
        <v>2593</v>
      </c>
      <c r="D1859" s="23" t="s">
        <v>159</v>
      </c>
      <c r="G1859" s="23">
        <v>0</v>
      </c>
      <c r="I1859" s="218" t="s">
        <v>2884</v>
      </c>
    </row>
    <row r="1860" spans="1:9" x14ac:dyDescent="0.25">
      <c r="A1860" s="23">
        <v>1860</v>
      </c>
      <c r="B1860" s="85">
        <v>45705</v>
      </c>
      <c r="C1860" s="23" t="s">
        <v>234</v>
      </c>
      <c r="D1860" s="23" t="s">
        <v>168</v>
      </c>
      <c r="G1860" s="23">
        <v>0.8</v>
      </c>
      <c r="I1860" s="218" t="s">
        <v>2885</v>
      </c>
    </row>
    <row r="1861" spans="1:9" x14ac:dyDescent="0.25">
      <c r="A1861" s="23">
        <v>1861</v>
      </c>
      <c r="B1861" s="85">
        <v>45705</v>
      </c>
      <c r="C1861" s="23" t="s">
        <v>1086</v>
      </c>
      <c r="D1861" s="23" t="s">
        <v>175</v>
      </c>
      <c r="G1861" s="23">
        <v>1</v>
      </c>
      <c r="I1861" s="218" t="s">
        <v>2886</v>
      </c>
    </row>
    <row r="1862" spans="1:9" x14ac:dyDescent="0.25">
      <c r="A1862" s="23">
        <v>1862</v>
      </c>
      <c r="B1862" s="85">
        <v>45705</v>
      </c>
      <c r="C1862" s="23" t="s">
        <v>171</v>
      </c>
      <c r="D1862" s="23" t="s">
        <v>170</v>
      </c>
      <c r="G1862" s="23">
        <v>0.8</v>
      </c>
      <c r="I1862" s="218" t="s">
        <v>2887</v>
      </c>
    </row>
    <row r="1863" spans="1:9" x14ac:dyDescent="0.25">
      <c r="A1863" s="23">
        <v>1863</v>
      </c>
      <c r="B1863" s="85">
        <v>45705</v>
      </c>
      <c r="C1863" s="23" t="s">
        <v>1104</v>
      </c>
      <c r="D1863" s="23" t="s">
        <v>170</v>
      </c>
      <c r="G1863" s="23">
        <v>0</v>
      </c>
      <c r="I1863" s="218" t="s">
        <v>2887</v>
      </c>
    </row>
    <row r="1864" spans="1:9" x14ac:dyDescent="0.25">
      <c r="A1864" s="23">
        <v>1864</v>
      </c>
      <c r="B1864" s="85">
        <v>45705</v>
      </c>
      <c r="C1864" s="23" t="s">
        <v>951</v>
      </c>
      <c r="D1864" s="23" t="s">
        <v>172</v>
      </c>
      <c r="G1864" s="23">
        <v>0.8</v>
      </c>
      <c r="I1864" s="218" t="s">
        <v>2889</v>
      </c>
    </row>
    <row r="1865" spans="1:9" x14ac:dyDescent="0.25">
      <c r="A1865" s="23">
        <v>1865</v>
      </c>
      <c r="B1865" s="85">
        <v>45705</v>
      </c>
      <c r="C1865" s="23" t="s">
        <v>228</v>
      </c>
      <c r="D1865" s="23" t="s">
        <v>174</v>
      </c>
      <c r="G1865" s="23">
        <v>0.8</v>
      </c>
      <c r="I1865" s="218" t="s">
        <v>2890</v>
      </c>
    </row>
    <row r="1866" spans="1:9" x14ac:dyDescent="0.25">
      <c r="A1866" s="23">
        <v>1866</v>
      </c>
      <c r="B1866" s="85">
        <v>45705</v>
      </c>
      <c r="C1866" s="23" t="s">
        <v>750</v>
      </c>
      <c r="D1866" s="23" t="s">
        <v>202</v>
      </c>
      <c r="G1866" s="23">
        <v>0.8</v>
      </c>
      <c r="I1866" s="218" t="s">
        <v>2891</v>
      </c>
    </row>
    <row r="1867" spans="1:9" x14ac:dyDescent="0.25">
      <c r="A1867" s="23">
        <v>1867</v>
      </c>
      <c r="B1867" s="85">
        <v>45705</v>
      </c>
      <c r="C1867" s="23" t="s">
        <v>1268</v>
      </c>
      <c r="D1867" s="23" t="s">
        <v>154</v>
      </c>
      <c r="G1867" s="23">
        <v>1</v>
      </c>
      <c r="I1867" s="218" t="s">
        <v>2892</v>
      </c>
    </row>
    <row r="1868" spans="1:9" x14ac:dyDescent="0.25">
      <c r="A1868" s="23">
        <v>1868</v>
      </c>
      <c r="B1868" s="85">
        <v>45705</v>
      </c>
      <c r="C1868" s="23" t="s">
        <v>1268</v>
      </c>
      <c r="D1868" s="23" t="s">
        <v>177</v>
      </c>
      <c r="G1868" s="23">
        <v>0.8</v>
      </c>
      <c r="I1868" s="218" t="s">
        <v>2893</v>
      </c>
    </row>
    <row r="1869" spans="1:9" x14ac:dyDescent="0.25">
      <c r="A1869" s="23">
        <v>1869</v>
      </c>
      <c r="B1869" s="85">
        <v>45705</v>
      </c>
      <c r="C1869" s="23" t="s">
        <v>595</v>
      </c>
      <c r="D1869" s="23" t="s">
        <v>168</v>
      </c>
      <c r="G1869" s="23">
        <v>0</v>
      </c>
      <c r="I1869" s="218" t="s">
        <v>2894</v>
      </c>
    </row>
    <row r="1870" spans="1:9" x14ac:dyDescent="0.25">
      <c r="A1870" s="23">
        <v>1870</v>
      </c>
      <c r="B1870" s="85">
        <v>45705</v>
      </c>
      <c r="C1870" s="23" t="s">
        <v>1589</v>
      </c>
      <c r="D1870" s="23" t="s">
        <v>172</v>
      </c>
      <c r="G1870" s="23">
        <v>0</v>
      </c>
      <c r="I1870" s="218" t="s">
        <v>2889</v>
      </c>
    </row>
    <row r="1871" spans="1:9" x14ac:dyDescent="0.25">
      <c r="A1871" s="23">
        <v>1871</v>
      </c>
      <c r="B1871" s="85">
        <v>45705</v>
      </c>
      <c r="C1871" s="23" t="s">
        <v>206</v>
      </c>
      <c r="D1871" s="23" t="s">
        <v>263</v>
      </c>
      <c r="G1871" s="23">
        <v>0.73</v>
      </c>
      <c r="I1871" s="218" t="s">
        <v>2895</v>
      </c>
    </row>
    <row r="1872" spans="1:9" x14ac:dyDescent="0.25">
      <c r="A1872" s="23">
        <v>1872</v>
      </c>
      <c r="B1872" s="85">
        <v>45705</v>
      </c>
      <c r="C1872" s="23" t="s">
        <v>1990</v>
      </c>
      <c r="D1872" s="23" t="s">
        <v>194</v>
      </c>
      <c r="G1872" s="23">
        <v>1</v>
      </c>
      <c r="I1872" s="218" t="s">
        <v>2896</v>
      </c>
    </row>
    <row r="1873" spans="1:9" x14ac:dyDescent="0.25">
      <c r="A1873" s="23">
        <v>1873</v>
      </c>
      <c r="B1873" s="85">
        <v>45705</v>
      </c>
      <c r="C1873" s="23" t="s">
        <v>2719</v>
      </c>
      <c r="D1873" s="23" t="s">
        <v>174</v>
      </c>
      <c r="G1873" s="23">
        <v>0</v>
      </c>
      <c r="I1873" s="218" t="s">
        <v>2890</v>
      </c>
    </row>
    <row r="1874" spans="1:9" x14ac:dyDescent="0.25">
      <c r="A1874" s="23">
        <v>1874</v>
      </c>
      <c r="B1874" s="85">
        <v>45705</v>
      </c>
      <c r="C1874" s="23" t="s">
        <v>1436</v>
      </c>
      <c r="D1874" s="23" t="s">
        <v>194</v>
      </c>
      <c r="G1874" s="23">
        <v>0</v>
      </c>
      <c r="I1874" s="218" t="s">
        <v>2896</v>
      </c>
    </row>
    <row r="1875" spans="1:9" x14ac:dyDescent="0.25">
      <c r="A1875" s="23">
        <v>1875</v>
      </c>
      <c r="B1875" s="85">
        <v>45705</v>
      </c>
      <c r="C1875" s="23" t="s">
        <v>754</v>
      </c>
      <c r="D1875" s="23" t="s">
        <v>186</v>
      </c>
      <c r="G1875" s="23">
        <v>1</v>
      </c>
      <c r="I1875" s="218" t="s">
        <v>2897</v>
      </c>
    </row>
    <row r="1876" spans="1:9" x14ac:dyDescent="0.25">
      <c r="A1876" s="23">
        <v>1876</v>
      </c>
      <c r="B1876" s="85">
        <v>45705</v>
      </c>
      <c r="C1876" s="23" t="s">
        <v>2303</v>
      </c>
      <c r="D1876" s="23" t="s">
        <v>202</v>
      </c>
      <c r="G1876" s="23">
        <v>0</v>
      </c>
      <c r="I1876" s="218" t="s">
        <v>2898</v>
      </c>
    </row>
    <row r="1877" spans="1:9" x14ac:dyDescent="0.25">
      <c r="A1877" s="23">
        <v>1877</v>
      </c>
      <c r="B1877" s="85">
        <v>45705</v>
      </c>
      <c r="C1877" s="23" t="s">
        <v>2899</v>
      </c>
      <c r="D1877" s="23" t="s">
        <v>260</v>
      </c>
      <c r="G1877" s="23">
        <v>0</v>
      </c>
      <c r="I1877" s="218" t="s">
        <v>2900</v>
      </c>
    </row>
    <row r="1878" spans="1:9" x14ac:dyDescent="0.25">
      <c r="A1878" s="23">
        <v>1878</v>
      </c>
      <c r="B1878" s="85">
        <v>45705</v>
      </c>
      <c r="C1878" s="23" t="s">
        <v>2899</v>
      </c>
      <c r="D1878" s="23" t="s">
        <v>263</v>
      </c>
      <c r="G1878" s="23">
        <v>0</v>
      </c>
      <c r="I1878" s="218" t="s">
        <v>2901</v>
      </c>
    </row>
    <row r="1879" spans="1:9" x14ac:dyDescent="0.25">
      <c r="A1879" s="23">
        <v>1879</v>
      </c>
      <c r="B1879" s="85">
        <v>45705</v>
      </c>
      <c r="C1879" s="23" t="s">
        <v>2899</v>
      </c>
      <c r="D1879" s="23" t="s">
        <v>264</v>
      </c>
      <c r="G1879" s="23">
        <v>0</v>
      </c>
      <c r="I1879" s="218" t="s">
        <v>2902</v>
      </c>
    </row>
    <row r="1880" spans="1:9" x14ac:dyDescent="0.25">
      <c r="A1880" s="23">
        <v>1880</v>
      </c>
      <c r="B1880" s="85">
        <v>45705</v>
      </c>
      <c r="C1880" s="23" t="s">
        <v>2899</v>
      </c>
      <c r="D1880" s="23" t="s">
        <v>265</v>
      </c>
      <c r="G1880" s="23">
        <v>0</v>
      </c>
      <c r="I1880" s="218" t="s">
        <v>2903</v>
      </c>
    </row>
    <row r="1881" spans="1:9" x14ac:dyDescent="0.25">
      <c r="A1881" s="23">
        <v>1881</v>
      </c>
      <c r="B1881" s="85">
        <v>45705</v>
      </c>
      <c r="C1881" s="23" t="s">
        <v>2899</v>
      </c>
      <c r="D1881" s="23" t="s">
        <v>261</v>
      </c>
      <c r="G1881" s="23">
        <v>0</v>
      </c>
      <c r="I1881" s="218" t="s">
        <v>2904</v>
      </c>
    </row>
    <row r="1882" spans="1:9" x14ac:dyDescent="0.25">
      <c r="A1882" s="23">
        <v>1882</v>
      </c>
      <c r="B1882" s="85">
        <v>45705</v>
      </c>
      <c r="C1882" s="23" t="s">
        <v>2899</v>
      </c>
      <c r="D1882" s="23" t="s">
        <v>262</v>
      </c>
      <c r="G1882" s="23">
        <v>0</v>
      </c>
      <c r="I1882" s="218" t="s">
        <v>2905</v>
      </c>
    </row>
    <row r="1883" spans="1:9" x14ac:dyDescent="0.25">
      <c r="A1883" s="23">
        <v>1883</v>
      </c>
      <c r="B1883" s="85">
        <v>45705</v>
      </c>
      <c r="C1883" s="23" t="s">
        <v>2906</v>
      </c>
      <c r="D1883" s="23" t="s">
        <v>177</v>
      </c>
      <c r="G1883" s="23">
        <v>0</v>
      </c>
      <c r="I1883" s="218" t="s">
        <v>2907</v>
      </c>
    </row>
    <row r="1884" spans="1:9" x14ac:dyDescent="0.25">
      <c r="A1884" s="23">
        <v>1884</v>
      </c>
      <c r="B1884" s="85">
        <v>45705</v>
      </c>
      <c r="C1884" s="23" t="s">
        <v>2908</v>
      </c>
      <c r="D1884" s="23" t="s">
        <v>178</v>
      </c>
      <c r="G1884" s="23">
        <v>0.8</v>
      </c>
      <c r="I1884" s="218" t="s">
        <v>2909</v>
      </c>
    </row>
    <row r="1885" spans="1:9" x14ac:dyDescent="0.25">
      <c r="A1885" s="23">
        <v>1885</v>
      </c>
      <c r="B1885" s="85">
        <v>45705</v>
      </c>
      <c r="C1885" s="23" t="s">
        <v>2621</v>
      </c>
      <c r="D1885" s="23" t="s">
        <v>161</v>
      </c>
      <c r="G1885" s="23">
        <v>0.8</v>
      </c>
      <c r="I1885" s="218" t="s">
        <v>2910</v>
      </c>
    </row>
    <row r="1886" spans="1:9" x14ac:dyDescent="0.25">
      <c r="A1886" s="23">
        <v>1886</v>
      </c>
      <c r="B1886" s="85">
        <v>45705</v>
      </c>
      <c r="C1886" s="23" t="s">
        <v>167</v>
      </c>
      <c r="D1886" s="23" t="s">
        <v>155</v>
      </c>
      <c r="G1886" s="23">
        <v>0.7</v>
      </c>
      <c r="I1886" s="218" t="s">
        <v>2911</v>
      </c>
    </row>
    <row r="1887" spans="1:9" x14ac:dyDescent="0.25">
      <c r="A1887" s="23">
        <v>1887</v>
      </c>
      <c r="B1887" s="85">
        <v>45705</v>
      </c>
      <c r="C1887" s="23" t="s">
        <v>1601</v>
      </c>
      <c r="D1887" s="23" t="s">
        <v>160</v>
      </c>
      <c r="G1887" s="23">
        <v>0</v>
      </c>
      <c r="I1887" s="218" t="s">
        <v>2912</v>
      </c>
    </row>
    <row r="1888" spans="1:9" x14ac:dyDescent="0.25">
      <c r="A1888" s="23">
        <v>1888</v>
      </c>
      <c r="B1888" s="85">
        <v>45705</v>
      </c>
      <c r="C1888" s="23" t="s">
        <v>2625</v>
      </c>
      <c r="D1888" s="23" t="s">
        <v>194</v>
      </c>
      <c r="G1888" s="23">
        <v>1</v>
      </c>
      <c r="I1888" s="218" t="s">
        <v>2913</v>
      </c>
    </row>
    <row r="1889" spans="1:9" x14ac:dyDescent="0.25">
      <c r="A1889" s="23">
        <v>1889</v>
      </c>
      <c r="B1889" s="85">
        <v>45705</v>
      </c>
      <c r="C1889" s="23" t="s">
        <v>2914</v>
      </c>
      <c r="D1889" s="23" t="s">
        <v>162</v>
      </c>
      <c r="G1889" s="23">
        <v>0.8</v>
      </c>
      <c r="I1889" s="218" t="s">
        <v>2915</v>
      </c>
    </row>
    <row r="1890" spans="1:9" x14ac:dyDescent="0.25">
      <c r="A1890" s="23">
        <v>1890</v>
      </c>
      <c r="B1890" s="85">
        <v>45705</v>
      </c>
      <c r="C1890" s="23" t="s">
        <v>2176</v>
      </c>
      <c r="D1890" s="23" t="s">
        <v>186</v>
      </c>
      <c r="G1890" s="23">
        <v>0</v>
      </c>
      <c r="I1890" s="218" t="s">
        <v>2916</v>
      </c>
    </row>
    <row r="1891" spans="1:9" x14ac:dyDescent="0.25">
      <c r="A1891" s="23">
        <v>1891</v>
      </c>
      <c r="B1891" s="85">
        <v>45705</v>
      </c>
      <c r="C1891" s="23" t="s">
        <v>2918</v>
      </c>
      <c r="D1891" s="23" t="s">
        <v>178</v>
      </c>
      <c r="G1891" s="23">
        <v>0</v>
      </c>
      <c r="I1891" s="218" t="s">
        <v>2919</v>
      </c>
    </row>
    <row r="1892" spans="1:9" x14ac:dyDescent="0.25">
      <c r="A1892" s="23">
        <v>1892</v>
      </c>
      <c r="B1892" s="85">
        <v>45705</v>
      </c>
      <c r="C1892" s="23" t="s">
        <v>2920</v>
      </c>
      <c r="D1892" s="23" t="s">
        <v>173</v>
      </c>
      <c r="G1892" s="23">
        <v>0.8</v>
      </c>
      <c r="I1892" s="218" t="s">
        <v>2921</v>
      </c>
    </row>
    <row r="1893" spans="1:9" x14ac:dyDescent="0.25">
      <c r="A1893" s="23">
        <v>1893</v>
      </c>
      <c r="B1893" s="85">
        <v>45705</v>
      </c>
      <c r="C1893" s="23" t="s">
        <v>2045</v>
      </c>
      <c r="D1893" s="23" t="s">
        <v>163</v>
      </c>
      <c r="G1893" s="23">
        <v>0.8</v>
      </c>
      <c r="I1893" s="218" t="s">
        <v>2922</v>
      </c>
    </row>
    <row r="1894" spans="1:9" x14ac:dyDescent="0.25">
      <c r="A1894" s="23">
        <v>1894</v>
      </c>
      <c r="B1894" s="85">
        <v>45705</v>
      </c>
      <c r="C1894" s="23" t="s">
        <v>2045</v>
      </c>
      <c r="D1894" s="23" t="s">
        <v>164</v>
      </c>
      <c r="G1894" s="23">
        <v>0.8</v>
      </c>
      <c r="I1894" s="218" t="s">
        <v>2923</v>
      </c>
    </row>
    <row r="1895" spans="1:9" x14ac:dyDescent="0.25">
      <c r="A1895" s="23">
        <v>1895</v>
      </c>
      <c r="B1895" s="85">
        <v>45705</v>
      </c>
      <c r="C1895" s="23" t="s">
        <v>1307</v>
      </c>
      <c r="D1895" s="23" t="s">
        <v>165</v>
      </c>
      <c r="G1895" s="23">
        <v>0.8</v>
      </c>
      <c r="I1895" s="218" t="s">
        <v>2924</v>
      </c>
    </row>
    <row r="1896" spans="1:9" x14ac:dyDescent="0.25">
      <c r="A1896" s="23">
        <v>1896</v>
      </c>
      <c r="B1896" s="85">
        <v>45705</v>
      </c>
      <c r="C1896" s="23" t="s">
        <v>2925</v>
      </c>
      <c r="D1896" s="23" t="s">
        <v>161</v>
      </c>
      <c r="G1896" s="23">
        <v>0</v>
      </c>
      <c r="I1896" s="218" t="s">
        <v>2926</v>
      </c>
    </row>
    <row r="1897" spans="1:9" x14ac:dyDescent="0.25">
      <c r="A1897" s="23">
        <v>1897</v>
      </c>
      <c r="B1897" s="85">
        <v>45705</v>
      </c>
      <c r="C1897" s="23" t="s">
        <v>2925</v>
      </c>
      <c r="D1897" s="23" t="s">
        <v>162</v>
      </c>
      <c r="G1897" s="23">
        <v>0</v>
      </c>
      <c r="I1897" s="218" t="s">
        <v>2927</v>
      </c>
    </row>
    <row r="1898" spans="1:9" x14ac:dyDescent="0.25">
      <c r="A1898" s="23">
        <v>1898</v>
      </c>
      <c r="B1898" s="85">
        <v>45705</v>
      </c>
      <c r="C1898" s="23" t="s">
        <v>2928</v>
      </c>
      <c r="D1898" s="23" t="s">
        <v>186</v>
      </c>
      <c r="G1898" s="23">
        <v>1</v>
      </c>
      <c r="I1898" s="218" t="s">
        <v>2929</v>
      </c>
    </row>
    <row r="1899" spans="1:9" x14ac:dyDescent="0.25">
      <c r="A1899" s="23">
        <v>1899</v>
      </c>
      <c r="B1899" s="85">
        <v>45705</v>
      </c>
      <c r="C1899" s="23" t="s">
        <v>2930</v>
      </c>
      <c r="D1899" s="23" t="s">
        <v>163</v>
      </c>
      <c r="G1899" s="23">
        <v>0</v>
      </c>
      <c r="I1899" s="218" t="s">
        <v>2931</v>
      </c>
    </row>
    <row r="1900" spans="1:9" x14ac:dyDescent="0.25">
      <c r="A1900" s="23">
        <v>1900</v>
      </c>
      <c r="B1900" s="85">
        <v>45705</v>
      </c>
      <c r="C1900" s="23" t="s">
        <v>2930</v>
      </c>
      <c r="D1900" s="23" t="s">
        <v>173</v>
      </c>
      <c r="G1900" s="23">
        <v>0</v>
      </c>
      <c r="I1900" s="218" t="s">
        <v>2932</v>
      </c>
    </row>
    <row r="1901" spans="1:9" x14ac:dyDescent="0.25">
      <c r="A1901" s="23">
        <v>1901</v>
      </c>
      <c r="B1901" s="85">
        <v>45705</v>
      </c>
      <c r="C1901" s="23" t="s">
        <v>1610</v>
      </c>
      <c r="D1901" s="23" t="s">
        <v>164</v>
      </c>
      <c r="G1901" s="23">
        <v>0</v>
      </c>
      <c r="I1901" s="218" t="s">
        <v>2933</v>
      </c>
    </row>
    <row r="1902" spans="1:9" x14ac:dyDescent="0.25">
      <c r="A1902" s="23">
        <v>1902</v>
      </c>
      <c r="B1902" s="85">
        <v>45705</v>
      </c>
      <c r="C1902" s="23" t="s">
        <v>1610</v>
      </c>
      <c r="D1902" s="23" t="s">
        <v>165</v>
      </c>
      <c r="G1902" s="23">
        <v>0</v>
      </c>
      <c r="I1902" s="218" t="s">
        <v>2934</v>
      </c>
    </row>
    <row r="1903" spans="1:9" x14ac:dyDescent="0.25">
      <c r="A1903" s="23">
        <v>1903</v>
      </c>
      <c r="B1903" s="85">
        <v>45705</v>
      </c>
      <c r="C1903" s="23" t="s">
        <v>2352</v>
      </c>
      <c r="D1903" s="23" t="s">
        <v>262</v>
      </c>
      <c r="G1903" s="23">
        <v>0.7</v>
      </c>
      <c r="I1903" s="218" t="s">
        <v>2935</v>
      </c>
    </row>
    <row r="1904" spans="1:9" x14ac:dyDescent="0.25">
      <c r="A1904" s="23">
        <v>1904</v>
      </c>
      <c r="B1904" s="85">
        <v>45705</v>
      </c>
      <c r="C1904" s="23" t="s">
        <v>2352</v>
      </c>
      <c r="D1904" s="23" t="s">
        <v>261</v>
      </c>
      <c r="G1904" s="23">
        <v>0.7</v>
      </c>
      <c r="I1904" s="218" t="s">
        <v>2936</v>
      </c>
    </row>
    <row r="1905" spans="1:9" x14ac:dyDescent="0.25">
      <c r="A1905" s="23">
        <v>1905</v>
      </c>
      <c r="B1905" s="85">
        <v>45705</v>
      </c>
      <c r="C1905" s="23" t="s">
        <v>2352</v>
      </c>
      <c r="D1905" s="23" t="s">
        <v>265</v>
      </c>
      <c r="G1905" s="23">
        <v>0.7</v>
      </c>
      <c r="I1905" s="218" t="s">
        <v>2937</v>
      </c>
    </row>
    <row r="1906" spans="1:9" x14ac:dyDescent="0.25">
      <c r="A1906" s="23">
        <v>1906</v>
      </c>
      <c r="B1906" s="85">
        <v>45705</v>
      </c>
      <c r="C1906" s="23" t="s">
        <v>2352</v>
      </c>
      <c r="D1906" s="23" t="s">
        <v>264</v>
      </c>
      <c r="G1906" s="23">
        <v>0.7</v>
      </c>
      <c r="I1906" s="218" t="s">
        <v>2938</v>
      </c>
    </row>
    <row r="1907" spans="1:9" x14ac:dyDescent="0.25">
      <c r="A1907" s="23">
        <v>1907</v>
      </c>
      <c r="B1907" s="85">
        <v>45705</v>
      </c>
      <c r="C1907" s="23" t="s">
        <v>2352</v>
      </c>
      <c r="D1907" s="23" t="s">
        <v>260</v>
      </c>
      <c r="G1907" s="23">
        <v>0.7</v>
      </c>
      <c r="I1907" s="218" t="s">
        <v>2939</v>
      </c>
    </row>
    <row r="1908" spans="1:9" x14ac:dyDescent="0.25">
      <c r="A1908" s="23">
        <v>1908</v>
      </c>
      <c r="B1908" s="85">
        <v>45705</v>
      </c>
      <c r="C1908" s="23" t="s">
        <v>526</v>
      </c>
      <c r="D1908" s="23" t="s">
        <v>160</v>
      </c>
      <c r="G1908" s="23">
        <v>0.68</v>
      </c>
      <c r="I1908" s="218" t="s">
        <v>2940</v>
      </c>
    </row>
    <row r="1909" spans="1:9" x14ac:dyDescent="0.25">
      <c r="A1909" s="23">
        <v>1909</v>
      </c>
      <c r="B1909" s="85">
        <v>45705</v>
      </c>
      <c r="C1909" s="23" t="s">
        <v>528</v>
      </c>
      <c r="D1909" s="23" t="s">
        <v>166</v>
      </c>
      <c r="G1909" s="23">
        <v>0</v>
      </c>
      <c r="I1909" s="218" t="s">
        <v>2941</v>
      </c>
    </row>
    <row r="1910" spans="1:9" x14ac:dyDescent="0.25">
      <c r="A1910" s="23">
        <v>1910</v>
      </c>
      <c r="B1910" s="85">
        <v>45705</v>
      </c>
      <c r="C1910" s="23" t="s">
        <v>643</v>
      </c>
      <c r="D1910" s="23" t="s">
        <v>263</v>
      </c>
      <c r="G1910" s="23">
        <v>0.7</v>
      </c>
      <c r="I1910" s="218" t="s">
        <v>2942</v>
      </c>
    </row>
    <row r="1911" spans="1:9" x14ac:dyDescent="0.25">
      <c r="A1911" s="23">
        <v>1911</v>
      </c>
      <c r="B1911" s="85">
        <v>45705</v>
      </c>
      <c r="C1911" s="23" t="s">
        <v>1892</v>
      </c>
      <c r="D1911" s="23" t="s">
        <v>268</v>
      </c>
      <c r="G1911" s="23">
        <v>0.7</v>
      </c>
      <c r="I1911" s="218" t="s">
        <v>2943</v>
      </c>
    </row>
    <row r="1912" spans="1:9" x14ac:dyDescent="0.25">
      <c r="A1912" s="23">
        <v>1912</v>
      </c>
      <c r="B1912" s="85">
        <v>45705</v>
      </c>
      <c r="C1912" s="23" t="s">
        <v>1186</v>
      </c>
      <c r="D1912" s="23" t="s">
        <v>166</v>
      </c>
      <c r="G1912" s="23">
        <v>0.82</v>
      </c>
      <c r="I1912" s="218" t="s">
        <v>2944</v>
      </c>
    </row>
    <row r="1913" spans="1:9" x14ac:dyDescent="0.25">
      <c r="A1913" s="23">
        <v>1913</v>
      </c>
      <c r="B1913" s="85">
        <v>45705</v>
      </c>
      <c r="C1913" s="23" t="s">
        <v>1015</v>
      </c>
      <c r="D1913" s="23" t="s">
        <v>194</v>
      </c>
      <c r="G1913" s="23">
        <v>0</v>
      </c>
      <c r="I1913" s="218" t="s">
        <v>2945</v>
      </c>
    </row>
    <row r="1914" spans="1:9" x14ac:dyDescent="0.25">
      <c r="A1914" s="23">
        <v>1914</v>
      </c>
      <c r="B1914" s="85">
        <v>45705</v>
      </c>
      <c r="C1914" s="23" t="s">
        <v>2946</v>
      </c>
      <c r="D1914" s="23" t="s">
        <v>166</v>
      </c>
      <c r="G1914" s="23">
        <v>0</v>
      </c>
      <c r="I1914" s="218" t="s">
        <v>2947</v>
      </c>
    </row>
    <row r="1915" spans="1:9" x14ac:dyDescent="0.25">
      <c r="A1915" s="23">
        <v>1915</v>
      </c>
      <c r="B1915" s="85">
        <v>45705</v>
      </c>
      <c r="C1915" s="23" t="s">
        <v>845</v>
      </c>
      <c r="D1915" s="23" t="s">
        <v>168</v>
      </c>
      <c r="G1915" s="23">
        <v>0.8</v>
      </c>
      <c r="I1915" s="218" t="s">
        <v>2948</v>
      </c>
    </row>
    <row r="1916" spans="1:9" x14ac:dyDescent="0.25">
      <c r="A1916" s="23">
        <v>1916</v>
      </c>
      <c r="B1916" s="85">
        <v>45705</v>
      </c>
      <c r="C1916" s="23" t="s">
        <v>1201</v>
      </c>
      <c r="D1916" s="23" t="s">
        <v>159</v>
      </c>
      <c r="G1916" s="23">
        <v>1.01</v>
      </c>
      <c r="I1916" s="218" t="s">
        <v>2949</v>
      </c>
    </row>
    <row r="1917" spans="1:9" x14ac:dyDescent="0.25">
      <c r="A1917" s="23">
        <v>1917</v>
      </c>
      <c r="B1917" s="85">
        <v>45705</v>
      </c>
      <c r="C1917" s="23" t="s">
        <v>2946</v>
      </c>
      <c r="D1917" s="23" t="s">
        <v>169</v>
      </c>
      <c r="G1917" s="23">
        <v>0</v>
      </c>
      <c r="I1917" s="218" t="s">
        <v>2950</v>
      </c>
    </row>
    <row r="1918" spans="1:9" x14ac:dyDescent="0.25">
      <c r="A1918" s="23">
        <v>1918</v>
      </c>
      <c r="B1918" s="85">
        <v>45705</v>
      </c>
      <c r="C1918" s="23" t="s">
        <v>2951</v>
      </c>
      <c r="D1918" s="23" t="s">
        <v>168</v>
      </c>
      <c r="G1918" s="23">
        <v>0</v>
      </c>
      <c r="I1918" s="218" t="s">
        <v>2948</v>
      </c>
    </row>
    <row r="1919" spans="1:9" x14ac:dyDescent="0.25">
      <c r="A1919" s="23">
        <v>1919</v>
      </c>
      <c r="B1919" s="85">
        <v>45705</v>
      </c>
      <c r="C1919" s="23" t="s">
        <v>1502</v>
      </c>
      <c r="D1919" s="23" t="s">
        <v>170</v>
      </c>
      <c r="G1919" s="23">
        <v>0.8</v>
      </c>
      <c r="I1919" s="218" t="s">
        <v>2952</v>
      </c>
    </row>
    <row r="1920" spans="1:9" x14ac:dyDescent="0.25">
      <c r="A1920" s="23">
        <v>1920</v>
      </c>
      <c r="B1920" s="85">
        <v>45705</v>
      </c>
      <c r="C1920" s="23" t="s">
        <v>664</v>
      </c>
      <c r="D1920" s="23" t="s">
        <v>174</v>
      </c>
      <c r="G1920" s="23">
        <v>0.8</v>
      </c>
      <c r="I1920" s="218" t="s">
        <v>2953</v>
      </c>
    </row>
    <row r="1921" spans="1:9" x14ac:dyDescent="0.25">
      <c r="A1921" s="23">
        <v>1921</v>
      </c>
      <c r="B1921" s="85">
        <v>45705</v>
      </c>
      <c r="C1921" s="23" t="s">
        <v>664</v>
      </c>
      <c r="D1921" s="23" t="s">
        <v>172</v>
      </c>
      <c r="G1921" s="23">
        <v>0.8</v>
      </c>
      <c r="I1921" s="218" t="s">
        <v>2954</v>
      </c>
    </row>
    <row r="1922" spans="1:9" x14ac:dyDescent="0.25">
      <c r="A1922" s="23">
        <v>1922</v>
      </c>
      <c r="B1922" s="85">
        <v>45705</v>
      </c>
      <c r="C1922" s="23" t="s">
        <v>664</v>
      </c>
      <c r="D1922" s="23" t="s">
        <v>157</v>
      </c>
      <c r="G1922" s="23">
        <v>0</v>
      </c>
      <c r="I1922" s="218" t="s">
        <v>2955</v>
      </c>
    </row>
    <row r="1923" spans="1:9" x14ac:dyDescent="0.25">
      <c r="A1923" s="23">
        <v>1923</v>
      </c>
      <c r="B1923" s="85">
        <v>45705</v>
      </c>
      <c r="C1923" s="23" t="s">
        <v>2956</v>
      </c>
      <c r="D1923" s="23" t="s">
        <v>170</v>
      </c>
      <c r="G1923" s="23">
        <v>0</v>
      </c>
      <c r="I1923" s="218" t="s">
        <v>2952</v>
      </c>
    </row>
    <row r="1924" spans="1:9" x14ac:dyDescent="0.25">
      <c r="A1924" s="23">
        <v>1924</v>
      </c>
      <c r="B1924" s="85">
        <v>45705</v>
      </c>
      <c r="C1924" s="23" t="s">
        <v>2957</v>
      </c>
      <c r="D1924" s="23" t="s">
        <v>172</v>
      </c>
      <c r="G1924" s="23">
        <v>0</v>
      </c>
      <c r="I1924" s="218" t="s">
        <v>2958</v>
      </c>
    </row>
    <row r="1925" spans="1:9" x14ac:dyDescent="0.25">
      <c r="A1925" s="23">
        <v>1925</v>
      </c>
      <c r="B1925" s="85">
        <v>45705</v>
      </c>
      <c r="C1925" s="23" t="s">
        <v>2241</v>
      </c>
      <c r="D1925" s="23" t="s">
        <v>268</v>
      </c>
      <c r="G1925" s="23">
        <v>0</v>
      </c>
      <c r="I1925" s="218" t="s">
        <v>2959</v>
      </c>
    </row>
    <row r="1926" spans="1:9" x14ac:dyDescent="0.25">
      <c r="A1926" s="23">
        <v>1926</v>
      </c>
      <c r="B1926" s="85">
        <v>45705</v>
      </c>
      <c r="C1926" s="23" t="s">
        <v>2960</v>
      </c>
      <c r="D1926" s="23" t="s">
        <v>174</v>
      </c>
      <c r="G1926" s="23">
        <v>0</v>
      </c>
      <c r="I1926" s="218" t="s">
        <v>2961</v>
      </c>
    </row>
    <row r="1927" spans="1:9" x14ac:dyDescent="0.25">
      <c r="A1927" s="23">
        <v>1927</v>
      </c>
      <c r="B1927" s="85">
        <v>45705</v>
      </c>
      <c r="C1927" s="23" t="s">
        <v>282</v>
      </c>
      <c r="D1927" s="23" t="s">
        <v>175</v>
      </c>
      <c r="G1927" s="23">
        <v>0</v>
      </c>
      <c r="I1927" s="218" t="s">
        <v>2962</v>
      </c>
    </row>
    <row r="1928" spans="1:9" x14ac:dyDescent="0.25">
      <c r="A1928" s="23">
        <v>1928</v>
      </c>
      <c r="B1928" s="85">
        <v>45705</v>
      </c>
      <c r="C1928" s="23" t="s">
        <v>1367</v>
      </c>
      <c r="D1928" s="23" t="s">
        <v>194</v>
      </c>
      <c r="G1928" s="23">
        <v>6.5</v>
      </c>
      <c r="I1928" s="218" t="s">
        <v>2963</v>
      </c>
    </row>
    <row r="1929" spans="1:9" x14ac:dyDescent="0.25">
      <c r="A1929" s="23">
        <v>1929</v>
      </c>
      <c r="B1929" s="85">
        <v>45705</v>
      </c>
      <c r="C1929" s="23" t="s">
        <v>2964</v>
      </c>
      <c r="D1929" s="23" t="s">
        <v>186</v>
      </c>
      <c r="G1929" s="23">
        <v>0</v>
      </c>
      <c r="I1929" s="218" t="s">
        <v>2965</v>
      </c>
    </row>
    <row r="1930" spans="1:9" x14ac:dyDescent="0.25">
      <c r="A1930" s="23">
        <v>1930</v>
      </c>
      <c r="B1930" s="85">
        <v>45706</v>
      </c>
      <c r="C1930" s="23" t="s">
        <v>2867</v>
      </c>
      <c r="D1930" s="23" t="s">
        <v>155</v>
      </c>
      <c r="G1930" s="23">
        <v>0</v>
      </c>
      <c r="I1930" s="218" t="s">
        <v>2966</v>
      </c>
    </row>
    <row r="1931" spans="1:9" x14ac:dyDescent="0.25">
      <c r="A1931" s="23">
        <v>1931</v>
      </c>
      <c r="B1931" s="85">
        <v>45706</v>
      </c>
      <c r="C1931" s="23" t="s">
        <v>2867</v>
      </c>
      <c r="D1931" s="23" t="s">
        <v>166</v>
      </c>
      <c r="G1931" s="23">
        <v>0.64</v>
      </c>
      <c r="I1931" s="218" t="s">
        <v>2967</v>
      </c>
    </row>
    <row r="1932" spans="1:9" x14ac:dyDescent="0.25">
      <c r="A1932" s="23">
        <v>1932</v>
      </c>
      <c r="B1932" s="85">
        <v>45706</v>
      </c>
      <c r="C1932" s="23" t="s">
        <v>2968</v>
      </c>
      <c r="D1932" s="23" t="s">
        <v>154</v>
      </c>
      <c r="G1932" s="23">
        <v>0</v>
      </c>
      <c r="I1932" s="218" t="s">
        <v>2969</v>
      </c>
    </row>
    <row r="1933" spans="1:9" x14ac:dyDescent="0.25">
      <c r="A1933" s="23">
        <v>1933</v>
      </c>
      <c r="B1933" s="85">
        <v>45706</v>
      </c>
      <c r="C1933" s="23" t="s">
        <v>1821</v>
      </c>
      <c r="D1933" s="23" t="s">
        <v>202</v>
      </c>
      <c r="G1933" s="23">
        <v>0.8</v>
      </c>
      <c r="I1933" s="218" t="s">
        <v>2970</v>
      </c>
    </row>
    <row r="1934" spans="1:9" x14ac:dyDescent="0.25">
      <c r="A1934" s="23">
        <v>1934</v>
      </c>
      <c r="B1934" s="85">
        <v>45706</v>
      </c>
      <c r="C1934" s="23" t="s">
        <v>2971</v>
      </c>
      <c r="D1934" s="23" t="s">
        <v>202</v>
      </c>
      <c r="G1934" s="23">
        <v>0</v>
      </c>
      <c r="I1934" s="218" t="s">
        <v>2972</v>
      </c>
    </row>
    <row r="1935" spans="1:9" x14ac:dyDescent="0.25">
      <c r="A1935" s="23">
        <v>1935</v>
      </c>
      <c r="B1935" s="85">
        <v>45706</v>
      </c>
      <c r="C1935" s="23" t="s">
        <v>2973</v>
      </c>
      <c r="D1935" s="23" t="s">
        <v>153</v>
      </c>
      <c r="G1935" s="23">
        <v>0</v>
      </c>
      <c r="I1935" s="218" t="s">
        <v>2974</v>
      </c>
    </row>
    <row r="1936" spans="1:9" x14ac:dyDescent="0.25">
      <c r="A1936" s="23">
        <v>1936</v>
      </c>
      <c r="B1936" s="85">
        <v>45706</v>
      </c>
      <c r="C1936" s="23" t="s">
        <v>2975</v>
      </c>
      <c r="D1936" s="23" t="s">
        <v>177</v>
      </c>
      <c r="G1936" s="23">
        <v>0.8</v>
      </c>
      <c r="I1936" s="218" t="s">
        <v>2976</v>
      </c>
    </row>
    <row r="1937" spans="1:9" x14ac:dyDescent="0.25">
      <c r="A1937" s="23">
        <v>1937</v>
      </c>
      <c r="B1937" s="85">
        <v>45706</v>
      </c>
      <c r="C1937" s="23" t="s">
        <v>1054</v>
      </c>
      <c r="D1937" s="23" t="s">
        <v>178</v>
      </c>
      <c r="G1937" s="23">
        <v>0.8</v>
      </c>
      <c r="I1937" s="218" t="s">
        <v>2977</v>
      </c>
    </row>
    <row r="1938" spans="1:9" x14ac:dyDescent="0.25">
      <c r="A1938" s="23">
        <v>1938</v>
      </c>
      <c r="B1938" s="85">
        <v>45706</v>
      </c>
      <c r="C1938" s="23" t="s">
        <v>910</v>
      </c>
      <c r="D1938" s="23" t="s">
        <v>161</v>
      </c>
      <c r="G1938" s="23">
        <v>0.8</v>
      </c>
      <c r="I1938" s="218" t="s">
        <v>2978</v>
      </c>
    </row>
    <row r="1939" spans="1:9" x14ac:dyDescent="0.25">
      <c r="A1939" s="23">
        <v>1939</v>
      </c>
      <c r="B1939" s="85">
        <v>45706</v>
      </c>
      <c r="C1939" s="23" t="s">
        <v>908</v>
      </c>
      <c r="D1939" s="23" t="s">
        <v>155</v>
      </c>
      <c r="G1939" s="23">
        <v>0.45</v>
      </c>
      <c r="I1939" s="218" t="s">
        <v>2979</v>
      </c>
    </row>
    <row r="1940" spans="1:9" x14ac:dyDescent="0.25">
      <c r="A1940" s="23">
        <v>1940</v>
      </c>
      <c r="B1940" s="85">
        <v>45706</v>
      </c>
      <c r="C1940" s="23" t="s">
        <v>910</v>
      </c>
      <c r="D1940" s="23" t="s">
        <v>160</v>
      </c>
      <c r="G1940" s="23">
        <v>0</v>
      </c>
      <c r="I1940" s="218" t="s">
        <v>2980</v>
      </c>
    </row>
    <row r="1941" spans="1:9" x14ac:dyDescent="0.25">
      <c r="A1941" s="23">
        <v>1941</v>
      </c>
      <c r="B1941" s="85">
        <v>45706</v>
      </c>
      <c r="C1941" s="23" t="s">
        <v>572</v>
      </c>
      <c r="D1941" s="23" t="s">
        <v>178</v>
      </c>
      <c r="G1941" s="23">
        <v>0</v>
      </c>
      <c r="I1941" s="218" t="s">
        <v>2981</v>
      </c>
    </row>
    <row r="1942" spans="1:9" x14ac:dyDescent="0.25">
      <c r="A1942" s="23">
        <v>1942</v>
      </c>
      <c r="B1942" s="85">
        <v>45706</v>
      </c>
      <c r="C1942" s="23" t="s">
        <v>572</v>
      </c>
      <c r="D1942" s="23" t="s">
        <v>177</v>
      </c>
      <c r="G1942" s="23">
        <v>0</v>
      </c>
      <c r="I1942" s="218" t="s">
        <v>2982</v>
      </c>
    </row>
    <row r="1943" spans="1:9" x14ac:dyDescent="0.25">
      <c r="A1943" s="23">
        <v>1943</v>
      </c>
      <c r="B1943" s="85">
        <v>45706</v>
      </c>
      <c r="C1943" s="23" t="s">
        <v>567</v>
      </c>
      <c r="D1943" s="23" t="s">
        <v>153</v>
      </c>
      <c r="G1943" s="23">
        <v>1</v>
      </c>
      <c r="I1943" s="218" t="s">
        <v>2983</v>
      </c>
    </row>
    <row r="1944" spans="1:9" x14ac:dyDescent="0.25">
      <c r="A1944" s="23">
        <v>1944</v>
      </c>
      <c r="B1944" s="85">
        <v>45706</v>
      </c>
      <c r="C1944" s="23" t="s">
        <v>2984</v>
      </c>
      <c r="D1944" s="23" t="s">
        <v>161</v>
      </c>
      <c r="G1944" s="23">
        <v>0</v>
      </c>
      <c r="I1944" s="218" t="s">
        <v>2978</v>
      </c>
    </row>
    <row r="1945" spans="1:9" x14ac:dyDescent="0.25">
      <c r="A1945" s="23">
        <v>1945</v>
      </c>
      <c r="B1945" s="85">
        <v>45706</v>
      </c>
      <c r="C1945" s="23" t="s">
        <v>2705</v>
      </c>
      <c r="D1945" s="23" t="s">
        <v>178</v>
      </c>
      <c r="G1945" s="23">
        <v>0.8</v>
      </c>
      <c r="I1945" s="218" t="s">
        <v>295</v>
      </c>
    </row>
    <row r="1946" spans="1:9" x14ac:dyDescent="0.25">
      <c r="A1946" s="23">
        <v>1946</v>
      </c>
      <c r="B1946" s="85">
        <v>45706</v>
      </c>
      <c r="C1946" s="23" t="s">
        <v>924</v>
      </c>
      <c r="D1946" s="23" t="s">
        <v>161</v>
      </c>
      <c r="G1946" s="23">
        <v>0.8</v>
      </c>
      <c r="I1946" s="218" t="s">
        <v>2985</v>
      </c>
    </row>
    <row r="1947" spans="1:9" x14ac:dyDescent="0.25">
      <c r="A1947" s="23">
        <v>1947</v>
      </c>
      <c r="B1947" s="85">
        <v>45706</v>
      </c>
      <c r="C1947" s="23" t="s">
        <v>2710</v>
      </c>
      <c r="D1947" s="23" t="s">
        <v>162</v>
      </c>
      <c r="G1947" s="23">
        <v>0.8</v>
      </c>
      <c r="I1947" s="218" t="s">
        <v>2986</v>
      </c>
    </row>
    <row r="1948" spans="1:9" x14ac:dyDescent="0.25">
      <c r="A1948" s="23">
        <v>1948</v>
      </c>
      <c r="B1948" s="85">
        <v>45706</v>
      </c>
      <c r="C1948" s="23" t="s">
        <v>1254</v>
      </c>
      <c r="D1948" s="23" t="s">
        <v>178</v>
      </c>
      <c r="G1948" s="23">
        <v>0</v>
      </c>
      <c r="I1948" s="218" t="s">
        <v>2987</v>
      </c>
    </row>
    <row r="1949" spans="1:9" x14ac:dyDescent="0.25">
      <c r="A1949" s="23">
        <v>1949</v>
      </c>
      <c r="B1949" s="85">
        <v>45706</v>
      </c>
      <c r="C1949" s="23" t="s">
        <v>254</v>
      </c>
      <c r="D1949" s="23" t="s">
        <v>161</v>
      </c>
      <c r="G1949" s="23">
        <v>0</v>
      </c>
      <c r="I1949" s="218" t="s">
        <v>2985</v>
      </c>
    </row>
    <row r="1950" spans="1:9" x14ac:dyDescent="0.25">
      <c r="A1950" s="23">
        <v>1950</v>
      </c>
      <c r="B1950" s="85">
        <v>45706</v>
      </c>
      <c r="C1950" s="23" t="s">
        <v>2590</v>
      </c>
      <c r="D1950" s="23" t="s">
        <v>169</v>
      </c>
      <c r="G1950" s="23">
        <v>0.81</v>
      </c>
      <c r="I1950" s="218" t="s">
        <v>2988</v>
      </c>
    </row>
    <row r="1951" spans="1:9" x14ac:dyDescent="0.25">
      <c r="A1951" s="23">
        <v>1951</v>
      </c>
      <c r="B1951" s="85">
        <v>45706</v>
      </c>
      <c r="C1951" s="23" t="s">
        <v>1077</v>
      </c>
      <c r="D1951" s="23" t="s">
        <v>159</v>
      </c>
      <c r="G1951" s="23">
        <v>0</v>
      </c>
      <c r="I1951" s="218" t="s">
        <v>2989</v>
      </c>
    </row>
    <row r="1952" spans="1:9" x14ac:dyDescent="0.25">
      <c r="A1952" s="23">
        <v>1952</v>
      </c>
      <c r="B1952" s="85">
        <v>45706</v>
      </c>
      <c r="C1952" s="23" t="s">
        <v>1839</v>
      </c>
      <c r="D1952" s="23" t="s">
        <v>162</v>
      </c>
      <c r="G1952" s="23">
        <v>0</v>
      </c>
      <c r="I1952" s="218" t="s">
        <v>2990</v>
      </c>
    </row>
    <row r="1953" spans="1:9" x14ac:dyDescent="0.25">
      <c r="A1953" s="23">
        <v>1953</v>
      </c>
      <c r="B1953" s="85">
        <v>45706</v>
      </c>
      <c r="C1953" s="23" t="s">
        <v>2152</v>
      </c>
      <c r="D1953" s="23" t="s">
        <v>173</v>
      </c>
      <c r="G1953" s="23">
        <v>0.8</v>
      </c>
      <c r="I1953" s="218" t="s">
        <v>2991</v>
      </c>
    </row>
    <row r="1954" spans="1:9" x14ac:dyDescent="0.25">
      <c r="A1954" s="23">
        <v>1954</v>
      </c>
      <c r="B1954" s="85">
        <v>45706</v>
      </c>
      <c r="C1954" s="23" t="s">
        <v>1081</v>
      </c>
      <c r="D1954" s="23" t="s">
        <v>163</v>
      </c>
      <c r="G1954" s="23">
        <v>0.8</v>
      </c>
      <c r="I1954" s="218" t="s">
        <v>2992</v>
      </c>
    </row>
    <row r="1955" spans="1:9" x14ac:dyDescent="0.25">
      <c r="A1955" s="23">
        <v>1955</v>
      </c>
      <c r="B1955" s="85">
        <v>45706</v>
      </c>
      <c r="C1955" s="23" t="s">
        <v>1421</v>
      </c>
      <c r="D1955" s="23" t="s">
        <v>164</v>
      </c>
      <c r="G1955" s="23">
        <v>0.8</v>
      </c>
      <c r="I1955" s="218" t="s">
        <v>2993</v>
      </c>
    </row>
    <row r="1956" spans="1:9" x14ac:dyDescent="0.25">
      <c r="A1956" s="23">
        <v>1956</v>
      </c>
      <c r="B1956" s="85">
        <v>45706</v>
      </c>
      <c r="C1956" s="23" t="s">
        <v>1423</v>
      </c>
      <c r="D1956" s="23" t="s">
        <v>165</v>
      </c>
      <c r="G1956" s="23">
        <v>0.8</v>
      </c>
      <c r="I1956" s="218" t="s">
        <v>2994</v>
      </c>
    </row>
    <row r="1957" spans="1:9" x14ac:dyDescent="0.25">
      <c r="A1957" s="23">
        <v>1957</v>
      </c>
      <c r="B1957" s="85">
        <v>45706</v>
      </c>
      <c r="C1957" s="23" t="s">
        <v>152</v>
      </c>
      <c r="D1957" s="23" t="s">
        <v>168</v>
      </c>
      <c r="G1957" s="23">
        <v>0.8</v>
      </c>
      <c r="I1957" s="218" t="s">
        <v>2995</v>
      </c>
    </row>
    <row r="1958" spans="1:9" x14ac:dyDescent="0.25">
      <c r="A1958" s="23">
        <v>1958</v>
      </c>
      <c r="B1958" s="85">
        <v>45706</v>
      </c>
      <c r="C1958" s="23" t="s">
        <v>1104</v>
      </c>
      <c r="D1958" s="23" t="s">
        <v>170</v>
      </c>
      <c r="G1958" s="23">
        <v>0.8</v>
      </c>
      <c r="I1958" s="218" t="s">
        <v>2996</v>
      </c>
    </row>
    <row r="1959" spans="1:9" x14ac:dyDescent="0.25">
      <c r="A1959" s="23">
        <v>1959</v>
      </c>
      <c r="B1959" s="85">
        <v>45706</v>
      </c>
      <c r="C1959" s="23" t="s">
        <v>231</v>
      </c>
      <c r="D1959" s="23" t="s">
        <v>174</v>
      </c>
      <c r="G1959" s="23">
        <v>0.8</v>
      </c>
      <c r="I1959" s="218" t="s">
        <v>2997</v>
      </c>
    </row>
    <row r="1960" spans="1:9" x14ac:dyDescent="0.25">
      <c r="A1960" s="23">
        <v>1960</v>
      </c>
      <c r="B1960" s="85">
        <v>45706</v>
      </c>
      <c r="C1960" s="23" t="s">
        <v>231</v>
      </c>
      <c r="D1960" s="23" t="s">
        <v>172</v>
      </c>
      <c r="G1960" s="23">
        <v>0.8</v>
      </c>
      <c r="I1960" s="218" t="s">
        <v>2998</v>
      </c>
    </row>
    <row r="1961" spans="1:9" x14ac:dyDescent="0.25">
      <c r="A1961" s="23">
        <v>1961</v>
      </c>
      <c r="B1961" s="85">
        <v>45706</v>
      </c>
      <c r="C1961" s="23" t="s">
        <v>2792</v>
      </c>
      <c r="D1961" s="23" t="s">
        <v>175</v>
      </c>
      <c r="G1961" s="23">
        <v>1</v>
      </c>
      <c r="I1961" s="218" t="s">
        <v>2999</v>
      </c>
    </row>
    <row r="1962" spans="1:9" x14ac:dyDescent="0.25">
      <c r="A1962" s="23">
        <v>1962</v>
      </c>
      <c r="B1962" s="85">
        <v>45706</v>
      </c>
      <c r="C1962" s="23" t="s">
        <v>744</v>
      </c>
      <c r="D1962" s="23" t="s">
        <v>173</v>
      </c>
      <c r="G1962" s="23">
        <v>0</v>
      </c>
      <c r="I1962" s="218" t="s">
        <v>3000</v>
      </c>
    </row>
    <row r="1963" spans="1:9" x14ac:dyDescent="0.25">
      <c r="A1963" s="23">
        <v>1963</v>
      </c>
      <c r="B1963" s="85">
        <v>45706</v>
      </c>
      <c r="C1963" s="23" t="s">
        <v>3001</v>
      </c>
      <c r="D1963" s="23" t="s">
        <v>163</v>
      </c>
      <c r="G1963" s="23">
        <v>0</v>
      </c>
      <c r="I1963" s="218" t="s">
        <v>3002</v>
      </c>
    </row>
    <row r="1964" spans="1:9" x14ac:dyDescent="0.25">
      <c r="A1964" s="23">
        <v>1964</v>
      </c>
      <c r="B1964" s="85">
        <v>45706</v>
      </c>
      <c r="C1964" s="23" t="s">
        <v>3001</v>
      </c>
      <c r="D1964" s="23" t="s">
        <v>164</v>
      </c>
      <c r="G1964" s="23">
        <v>0</v>
      </c>
      <c r="I1964" s="218" t="s">
        <v>3003</v>
      </c>
    </row>
    <row r="1965" spans="1:9" x14ac:dyDescent="0.25">
      <c r="A1965" s="23">
        <v>1965</v>
      </c>
      <c r="B1965" s="85">
        <v>45706</v>
      </c>
      <c r="C1965" s="23" t="s">
        <v>953</v>
      </c>
      <c r="D1965" s="23" t="s">
        <v>202</v>
      </c>
      <c r="G1965" s="23">
        <v>0.8</v>
      </c>
      <c r="I1965" s="218" t="s">
        <v>3004</v>
      </c>
    </row>
    <row r="1966" spans="1:9" x14ac:dyDescent="0.25">
      <c r="A1966" s="23">
        <v>1966</v>
      </c>
      <c r="B1966" s="85">
        <v>45706</v>
      </c>
      <c r="C1966" s="23" t="s">
        <v>750</v>
      </c>
      <c r="D1966" s="23" t="s">
        <v>177</v>
      </c>
      <c r="G1966" s="23">
        <v>0.8</v>
      </c>
      <c r="I1966" s="218" t="s">
        <v>3005</v>
      </c>
    </row>
    <row r="1967" spans="1:9" x14ac:dyDescent="0.25">
      <c r="A1967" s="23">
        <v>1967</v>
      </c>
      <c r="B1967" s="85">
        <v>45706</v>
      </c>
      <c r="C1967" s="23" t="s">
        <v>187</v>
      </c>
      <c r="D1967" s="23" t="s">
        <v>178</v>
      </c>
      <c r="G1967" s="23">
        <v>0.8</v>
      </c>
      <c r="I1967" s="218" t="s">
        <v>3006</v>
      </c>
    </row>
    <row r="1968" spans="1:9" x14ac:dyDescent="0.25">
      <c r="A1968" s="23">
        <v>1968</v>
      </c>
      <c r="B1968" s="85">
        <v>45706</v>
      </c>
      <c r="C1968" s="23" t="s">
        <v>1987</v>
      </c>
      <c r="D1968" s="23" t="s">
        <v>165</v>
      </c>
      <c r="G1968" s="23">
        <v>0</v>
      </c>
      <c r="I1968" s="218" t="s">
        <v>3007</v>
      </c>
    </row>
    <row r="1969" spans="1:9" x14ac:dyDescent="0.25">
      <c r="A1969" s="23">
        <v>1969</v>
      </c>
      <c r="B1969" s="85">
        <v>45706</v>
      </c>
      <c r="C1969" s="23" t="s">
        <v>1589</v>
      </c>
      <c r="D1969" s="23" t="s">
        <v>168</v>
      </c>
      <c r="G1969" s="23">
        <v>0</v>
      </c>
      <c r="I1969" s="218" t="s">
        <v>2995</v>
      </c>
    </row>
    <row r="1970" spans="1:9" x14ac:dyDescent="0.25">
      <c r="A1970" s="23">
        <v>1970</v>
      </c>
      <c r="B1970" s="85">
        <v>45706</v>
      </c>
      <c r="C1970" s="23" t="s">
        <v>2719</v>
      </c>
      <c r="D1970" s="23" t="s">
        <v>154</v>
      </c>
      <c r="G1970" s="23">
        <v>1</v>
      </c>
      <c r="I1970" s="218" t="s">
        <v>3008</v>
      </c>
    </row>
    <row r="1971" spans="1:9" x14ac:dyDescent="0.25">
      <c r="A1971" s="23">
        <v>1971</v>
      </c>
      <c r="B1971" s="85">
        <v>45706</v>
      </c>
      <c r="C1971" s="23" t="s">
        <v>2719</v>
      </c>
      <c r="D1971" s="23" t="s">
        <v>170</v>
      </c>
      <c r="G1971" s="23">
        <v>0</v>
      </c>
      <c r="I1971" s="218" t="s">
        <v>2996</v>
      </c>
    </row>
    <row r="1972" spans="1:9" x14ac:dyDescent="0.25">
      <c r="A1972" s="23">
        <v>1972</v>
      </c>
      <c r="B1972" s="85">
        <v>45706</v>
      </c>
      <c r="C1972" s="23" t="s">
        <v>1436</v>
      </c>
      <c r="D1972" s="23" t="s">
        <v>174</v>
      </c>
      <c r="G1972" s="23">
        <v>0</v>
      </c>
      <c r="I1972" s="218" t="s">
        <v>2997</v>
      </c>
    </row>
    <row r="1973" spans="1:9" x14ac:dyDescent="0.25">
      <c r="A1973" s="23">
        <v>1973</v>
      </c>
      <c r="B1973" s="85">
        <v>45706</v>
      </c>
      <c r="C1973" s="23" t="s">
        <v>1436</v>
      </c>
      <c r="D1973" s="23" t="s">
        <v>172</v>
      </c>
      <c r="G1973" s="23">
        <v>0</v>
      </c>
      <c r="I1973" s="218" t="s">
        <v>2998</v>
      </c>
    </row>
    <row r="1974" spans="1:9" x14ac:dyDescent="0.25">
      <c r="A1974" s="23">
        <v>1974</v>
      </c>
      <c r="B1974" s="85">
        <v>45706</v>
      </c>
      <c r="C1974" s="23" t="s">
        <v>1436</v>
      </c>
      <c r="D1974" s="23" t="s">
        <v>202</v>
      </c>
      <c r="G1974" s="23">
        <v>0</v>
      </c>
      <c r="I1974" s="218" t="s">
        <v>3004</v>
      </c>
    </row>
    <row r="1975" spans="1:9" x14ac:dyDescent="0.25">
      <c r="A1975" s="23">
        <v>1975</v>
      </c>
      <c r="B1975" s="85">
        <v>45706</v>
      </c>
      <c r="C1975" s="23" t="s">
        <v>1436</v>
      </c>
      <c r="D1975" s="23" t="s">
        <v>177</v>
      </c>
      <c r="G1975" s="23">
        <v>0</v>
      </c>
      <c r="I1975" s="218" t="s">
        <v>3005</v>
      </c>
    </row>
    <row r="1976" spans="1:9" x14ac:dyDescent="0.25">
      <c r="A1976" s="23">
        <v>1976</v>
      </c>
      <c r="B1976" s="85">
        <v>45706</v>
      </c>
      <c r="C1976" s="23" t="s">
        <v>1989</v>
      </c>
      <c r="D1976" s="23" t="s">
        <v>157</v>
      </c>
      <c r="G1976" s="23">
        <v>6.6</v>
      </c>
      <c r="I1976" s="218" t="s">
        <v>3009</v>
      </c>
    </row>
    <row r="1977" spans="1:9" x14ac:dyDescent="0.25">
      <c r="A1977" s="23">
        <v>1977</v>
      </c>
      <c r="B1977" s="85">
        <v>45706</v>
      </c>
      <c r="C1977" s="23" t="s">
        <v>604</v>
      </c>
      <c r="D1977" s="23" t="s">
        <v>178</v>
      </c>
      <c r="G1977" s="23">
        <v>0</v>
      </c>
      <c r="I1977" s="218" t="s">
        <v>3010</v>
      </c>
    </row>
    <row r="1978" spans="1:9" x14ac:dyDescent="0.25">
      <c r="A1978" s="23">
        <v>1978</v>
      </c>
      <c r="B1978" s="85">
        <v>45706</v>
      </c>
      <c r="C1978" s="23" t="s">
        <v>3011</v>
      </c>
      <c r="D1978" s="23" t="s">
        <v>268</v>
      </c>
      <c r="G1978" s="23">
        <v>0.73333333333333339</v>
      </c>
      <c r="I1978" s="218" t="s">
        <v>3012</v>
      </c>
    </row>
    <row r="1979" spans="1:9" x14ac:dyDescent="0.25">
      <c r="A1979" s="23">
        <v>1979</v>
      </c>
      <c r="B1979" s="85">
        <v>45706</v>
      </c>
      <c r="C1979" s="23" t="s">
        <v>3013</v>
      </c>
      <c r="D1979" s="23" t="s">
        <v>161</v>
      </c>
      <c r="G1979" s="23">
        <v>0.8</v>
      </c>
      <c r="I1979" s="218" t="s">
        <v>3014</v>
      </c>
    </row>
    <row r="1980" spans="1:9" x14ac:dyDescent="0.25">
      <c r="A1980" s="23">
        <v>1980</v>
      </c>
      <c r="B1980" s="85">
        <v>45706</v>
      </c>
      <c r="C1980" s="23" t="s">
        <v>210</v>
      </c>
      <c r="D1980" s="23" t="s">
        <v>186</v>
      </c>
      <c r="G1980" s="23">
        <v>1</v>
      </c>
      <c r="I1980" s="218" t="s">
        <v>3015</v>
      </c>
    </row>
    <row r="1981" spans="1:9" x14ac:dyDescent="0.25">
      <c r="A1981" s="23">
        <v>1981</v>
      </c>
      <c r="B1981" s="85">
        <v>45706</v>
      </c>
      <c r="C1981" s="23" t="s">
        <v>3016</v>
      </c>
      <c r="D1981" s="23" t="s">
        <v>268</v>
      </c>
      <c r="G1981" s="23">
        <v>0</v>
      </c>
      <c r="I1981" s="218" t="s">
        <v>3017</v>
      </c>
    </row>
    <row r="1982" spans="1:9" x14ac:dyDescent="0.25">
      <c r="A1982" s="23">
        <v>1982</v>
      </c>
      <c r="B1982" s="85">
        <v>45706</v>
      </c>
      <c r="C1982" s="23" t="s">
        <v>3018</v>
      </c>
      <c r="D1982" s="23" t="s">
        <v>162</v>
      </c>
      <c r="G1982" s="23">
        <v>0.8</v>
      </c>
      <c r="I1982" s="218" t="s">
        <v>3019</v>
      </c>
    </row>
    <row r="1983" spans="1:9" x14ac:dyDescent="0.25">
      <c r="A1983" s="23">
        <v>1983</v>
      </c>
      <c r="B1983" s="85">
        <v>45706</v>
      </c>
      <c r="C1983" s="23" t="s">
        <v>167</v>
      </c>
      <c r="D1983" s="23" t="s">
        <v>173</v>
      </c>
      <c r="G1983" s="23">
        <v>0.8</v>
      </c>
      <c r="I1983" s="218" t="s">
        <v>3020</v>
      </c>
    </row>
    <row r="1984" spans="1:9" x14ac:dyDescent="0.25">
      <c r="A1984" s="23">
        <v>1984</v>
      </c>
      <c r="B1984" s="85">
        <v>45706</v>
      </c>
      <c r="C1984" s="23" t="s">
        <v>1601</v>
      </c>
      <c r="D1984" s="23" t="s">
        <v>194</v>
      </c>
      <c r="G1984" s="23">
        <v>0</v>
      </c>
      <c r="I1984" s="218" t="s">
        <v>3021</v>
      </c>
    </row>
    <row r="1985" spans="1:9" x14ac:dyDescent="0.25">
      <c r="A1985" s="23">
        <v>1985</v>
      </c>
      <c r="B1985" s="85">
        <v>45706</v>
      </c>
      <c r="C1985" s="23" t="s">
        <v>3022</v>
      </c>
      <c r="D1985" s="23" t="s">
        <v>161</v>
      </c>
      <c r="G1985" s="23">
        <v>0</v>
      </c>
      <c r="I1985" s="218" t="s">
        <v>3023</v>
      </c>
    </row>
    <row r="1986" spans="1:9" x14ac:dyDescent="0.25">
      <c r="A1986" s="23">
        <v>1986</v>
      </c>
      <c r="B1986" s="85">
        <v>45706</v>
      </c>
      <c r="C1986" s="23" t="s">
        <v>3024</v>
      </c>
      <c r="D1986" s="23" t="s">
        <v>162</v>
      </c>
      <c r="G1986" s="23">
        <v>0</v>
      </c>
      <c r="I1986" s="218" t="s">
        <v>3025</v>
      </c>
    </row>
    <row r="1987" spans="1:9" x14ac:dyDescent="0.25">
      <c r="A1987" s="23">
        <v>1987</v>
      </c>
      <c r="B1987" s="85">
        <v>45706</v>
      </c>
      <c r="C1987" s="23" t="s">
        <v>167</v>
      </c>
      <c r="D1987" s="23" t="s">
        <v>160</v>
      </c>
      <c r="G1987" s="23">
        <v>0.71</v>
      </c>
      <c r="I1987" s="218" t="s">
        <v>3026</v>
      </c>
    </row>
    <row r="1988" spans="1:9" x14ac:dyDescent="0.25">
      <c r="A1988" s="23">
        <v>1988</v>
      </c>
      <c r="B1988" s="85">
        <v>45706</v>
      </c>
      <c r="C1988" s="23" t="s">
        <v>1601</v>
      </c>
      <c r="D1988" s="23" t="s">
        <v>166</v>
      </c>
      <c r="G1988" s="23">
        <v>0</v>
      </c>
      <c r="I1988" s="218" t="s">
        <v>3027</v>
      </c>
    </row>
    <row r="1989" spans="1:9" x14ac:dyDescent="0.25">
      <c r="A1989" s="23">
        <v>1989</v>
      </c>
      <c r="B1989" s="85">
        <v>45706</v>
      </c>
      <c r="C1989" s="23" t="s">
        <v>1870</v>
      </c>
      <c r="D1989" s="23" t="s">
        <v>163</v>
      </c>
      <c r="G1989" s="23">
        <v>0.8</v>
      </c>
      <c r="I1989" s="218" t="s">
        <v>3028</v>
      </c>
    </row>
    <row r="1990" spans="1:9" x14ac:dyDescent="0.25">
      <c r="A1990" s="23">
        <v>1990</v>
      </c>
      <c r="B1990" s="85">
        <v>45706</v>
      </c>
      <c r="C1990" s="23" t="s">
        <v>2036</v>
      </c>
      <c r="D1990" s="23" t="s">
        <v>164</v>
      </c>
      <c r="G1990" s="23">
        <v>0.8</v>
      </c>
      <c r="I1990" s="218" t="s">
        <v>3030</v>
      </c>
    </row>
    <row r="1991" spans="1:9" x14ac:dyDescent="0.25">
      <c r="A1991" s="23">
        <v>1991</v>
      </c>
      <c r="B1991" s="85">
        <v>45706</v>
      </c>
      <c r="C1991" s="23" t="s">
        <v>3031</v>
      </c>
      <c r="D1991" s="23" t="s">
        <v>173</v>
      </c>
      <c r="G1991" s="23">
        <v>0</v>
      </c>
      <c r="I1991" s="218" t="s">
        <v>3032</v>
      </c>
    </row>
    <row r="1992" spans="1:9" x14ac:dyDescent="0.25">
      <c r="A1992" s="23">
        <v>1992</v>
      </c>
      <c r="B1992" s="85">
        <v>45706</v>
      </c>
      <c r="C1992" s="23" t="s">
        <v>3033</v>
      </c>
      <c r="D1992" s="23" t="s">
        <v>165</v>
      </c>
      <c r="G1992" s="23">
        <v>0.8</v>
      </c>
      <c r="I1992" s="218" t="s">
        <v>3034</v>
      </c>
    </row>
    <row r="1993" spans="1:9" x14ac:dyDescent="0.25">
      <c r="A1993" s="23">
        <v>1993</v>
      </c>
      <c r="B1993" s="85">
        <v>45706</v>
      </c>
      <c r="C1993" s="23" t="s">
        <v>2928</v>
      </c>
      <c r="D1993" s="23" t="s">
        <v>194</v>
      </c>
      <c r="G1993" s="23">
        <v>1</v>
      </c>
      <c r="I1993" s="218" t="s">
        <v>3035</v>
      </c>
    </row>
    <row r="1994" spans="1:9" x14ac:dyDescent="0.25">
      <c r="A1994" s="23">
        <v>1994</v>
      </c>
      <c r="B1994" s="85">
        <v>45706</v>
      </c>
      <c r="C1994" s="23" t="s">
        <v>2054</v>
      </c>
      <c r="D1994" s="23" t="s">
        <v>165</v>
      </c>
      <c r="G1994" s="23">
        <v>0</v>
      </c>
      <c r="I1994" s="218" t="s">
        <v>3034</v>
      </c>
    </row>
    <row r="1995" spans="1:9" x14ac:dyDescent="0.25">
      <c r="A1995" s="23">
        <v>1995</v>
      </c>
      <c r="B1995" s="85">
        <v>45706</v>
      </c>
      <c r="C1995" s="23" t="s">
        <v>2064</v>
      </c>
      <c r="D1995" s="23" t="s">
        <v>168</v>
      </c>
      <c r="G1995" s="23">
        <v>0.8</v>
      </c>
      <c r="I1995" s="218" t="s">
        <v>3036</v>
      </c>
    </row>
    <row r="1996" spans="1:9" x14ac:dyDescent="0.25">
      <c r="A1996" s="23">
        <v>1996</v>
      </c>
      <c r="B1996" s="85">
        <v>45706</v>
      </c>
      <c r="C1996" s="23" t="s">
        <v>2051</v>
      </c>
      <c r="D1996" s="23" t="s">
        <v>157</v>
      </c>
      <c r="G1996" s="23" t="s">
        <v>9</v>
      </c>
      <c r="I1996" s="218" t="s">
        <v>3037</v>
      </c>
    </row>
    <row r="1997" spans="1:9" x14ac:dyDescent="0.25">
      <c r="A1997" s="23">
        <v>1997</v>
      </c>
      <c r="B1997" s="85">
        <v>45706</v>
      </c>
      <c r="C1997" s="23" t="s">
        <v>3038</v>
      </c>
      <c r="D1997" s="23" t="s">
        <v>170</v>
      </c>
      <c r="G1997" s="23">
        <v>0.8</v>
      </c>
      <c r="I1997" s="218" t="s">
        <v>3039</v>
      </c>
    </row>
    <row r="1998" spans="1:9" x14ac:dyDescent="0.25">
      <c r="A1998" s="23">
        <v>1998</v>
      </c>
      <c r="B1998" s="85">
        <v>45706</v>
      </c>
      <c r="C1998" s="23" t="s">
        <v>797</v>
      </c>
      <c r="D1998" s="23" t="s">
        <v>268</v>
      </c>
      <c r="G1998" s="23">
        <v>0.83333333333333337</v>
      </c>
      <c r="I1998" s="218" t="s">
        <v>3040</v>
      </c>
    </row>
    <row r="1999" spans="1:9" x14ac:dyDescent="0.25">
      <c r="A1999" s="23">
        <v>1999</v>
      </c>
      <c r="B1999" s="85">
        <v>45706</v>
      </c>
      <c r="C1999" s="23" t="s">
        <v>3042</v>
      </c>
      <c r="D1999" s="23" t="s">
        <v>163</v>
      </c>
      <c r="G1999" s="23">
        <v>0</v>
      </c>
      <c r="I1999" s="218" t="s">
        <v>3043</v>
      </c>
    </row>
    <row r="2000" spans="1:9" x14ac:dyDescent="0.25">
      <c r="A2000" s="23">
        <v>2000</v>
      </c>
      <c r="B2000" s="85">
        <v>45706</v>
      </c>
      <c r="C2000" s="23" t="s">
        <v>821</v>
      </c>
      <c r="D2000" s="23" t="s">
        <v>164</v>
      </c>
      <c r="G2000" s="23">
        <v>0</v>
      </c>
      <c r="I2000" s="218" t="s">
        <v>3044</v>
      </c>
    </row>
    <row r="2001" spans="1:9" x14ac:dyDescent="0.25">
      <c r="A2001" s="23">
        <v>2001</v>
      </c>
      <c r="B2001" s="85">
        <v>45706</v>
      </c>
      <c r="C2001" s="23" t="s">
        <v>1146</v>
      </c>
      <c r="D2001" s="23" t="s">
        <v>268</v>
      </c>
      <c r="G2001" s="23">
        <v>0</v>
      </c>
      <c r="I2001" s="218" t="s">
        <v>3045</v>
      </c>
    </row>
    <row r="2002" spans="1:9" x14ac:dyDescent="0.25">
      <c r="A2002" s="23">
        <v>2002</v>
      </c>
      <c r="B2002" s="85">
        <v>45706</v>
      </c>
      <c r="C2002" s="37" t="s">
        <v>1150</v>
      </c>
      <c r="D2002" s="23" t="s">
        <v>157</v>
      </c>
      <c r="G2002" s="23">
        <v>1.5</v>
      </c>
      <c r="I2002" s="218" t="s">
        <v>3046</v>
      </c>
    </row>
    <row r="2003" spans="1:9" x14ac:dyDescent="0.25">
      <c r="A2003" s="23">
        <v>2003</v>
      </c>
      <c r="B2003" s="85">
        <v>45706</v>
      </c>
      <c r="C2003" s="23" t="s">
        <v>2200</v>
      </c>
      <c r="D2003" s="23" t="s">
        <v>174</v>
      </c>
      <c r="G2003" s="23">
        <v>0.77500000000000002</v>
      </c>
      <c r="I2003" s="218" t="s">
        <v>3047</v>
      </c>
    </row>
    <row r="2004" spans="1:9" x14ac:dyDescent="0.25">
      <c r="A2004" s="23">
        <v>2004</v>
      </c>
      <c r="B2004" s="85">
        <v>45706</v>
      </c>
      <c r="C2004" s="23" t="s">
        <v>2200</v>
      </c>
      <c r="D2004" s="23" t="s">
        <v>172</v>
      </c>
      <c r="G2004" s="23">
        <v>0.77500000000000002</v>
      </c>
      <c r="I2004" s="218" t="s">
        <v>3048</v>
      </c>
    </row>
    <row r="2005" spans="1:9" x14ac:dyDescent="0.25">
      <c r="A2005" s="23">
        <v>2005</v>
      </c>
      <c r="B2005" s="85">
        <v>45706</v>
      </c>
      <c r="C2005" s="23" t="s">
        <v>3049</v>
      </c>
      <c r="D2005" s="23" t="s">
        <v>168</v>
      </c>
      <c r="G2005" s="23">
        <v>0</v>
      </c>
      <c r="I2005" s="218" t="s">
        <v>3050</v>
      </c>
    </row>
    <row r="2006" spans="1:9" x14ac:dyDescent="0.25">
      <c r="A2006" s="23">
        <v>2006</v>
      </c>
      <c r="B2006" s="85">
        <v>45706</v>
      </c>
      <c r="C2006" s="23" t="s">
        <v>3051</v>
      </c>
      <c r="D2006" s="23" t="s">
        <v>170</v>
      </c>
      <c r="G2006" s="23">
        <v>0</v>
      </c>
      <c r="I2006" s="218" t="s">
        <v>3052</v>
      </c>
    </row>
    <row r="2007" spans="1:9" x14ac:dyDescent="0.25">
      <c r="A2007" s="23">
        <v>2007</v>
      </c>
      <c r="B2007" s="85">
        <v>45706</v>
      </c>
      <c r="C2007" s="23" t="s">
        <v>3051</v>
      </c>
      <c r="D2007" s="23" t="s">
        <v>172</v>
      </c>
      <c r="G2007" s="23">
        <v>0</v>
      </c>
      <c r="I2007" s="218" t="s">
        <v>3053</v>
      </c>
    </row>
    <row r="2008" spans="1:9" x14ac:dyDescent="0.25">
      <c r="A2008" s="23">
        <v>2008</v>
      </c>
      <c r="B2008" s="85">
        <v>45706</v>
      </c>
      <c r="C2008" s="23" t="s">
        <v>2504</v>
      </c>
      <c r="D2008" s="23" t="s">
        <v>174</v>
      </c>
      <c r="G2008" s="23">
        <v>0</v>
      </c>
      <c r="I2008" s="218" t="s">
        <v>3054</v>
      </c>
    </row>
    <row r="2009" spans="1:9" x14ac:dyDescent="0.25">
      <c r="A2009" s="23">
        <v>2009</v>
      </c>
      <c r="B2009" s="85">
        <v>45706</v>
      </c>
      <c r="C2009" s="23" t="s">
        <v>1183</v>
      </c>
      <c r="D2009" s="23" t="s">
        <v>268</v>
      </c>
      <c r="G2009" s="23">
        <v>0.83333333333333337</v>
      </c>
      <c r="I2009" s="218" t="s">
        <v>3055</v>
      </c>
    </row>
    <row r="2010" spans="1:9" x14ac:dyDescent="0.25">
      <c r="A2010" s="23">
        <v>2010</v>
      </c>
      <c r="B2010" s="85">
        <v>45706</v>
      </c>
      <c r="C2010" s="23" t="s">
        <v>1344</v>
      </c>
      <c r="D2010" s="23" t="s">
        <v>159</v>
      </c>
      <c r="G2010" s="23">
        <v>0.9</v>
      </c>
      <c r="I2010" s="218" t="s">
        <v>3056</v>
      </c>
    </row>
    <row r="2011" spans="1:9" x14ac:dyDescent="0.25">
      <c r="A2011" s="23">
        <v>2011</v>
      </c>
      <c r="B2011" s="85">
        <v>45706</v>
      </c>
      <c r="C2011" s="23" t="s">
        <v>1346</v>
      </c>
      <c r="D2011" s="23" t="s">
        <v>169</v>
      </c>
      <c r="G2011" s="23">
        <v>0</v>
      </c>
      <c r="I2011" s="218" t="s">
        <v>3057</v>
      </c>
    </row>
    <row r="2012" spans="1:9" x14ac:dyDescent="0.25">
      <c r="A2012" s="23">
        <v>2012</v>
      </c>
      <c r="B2012" s="85">
        <v>45706</v>
      </c>
      <c r="C2012" s="23" t="s">
        <v>2205</v>
      </c>
      <c r="D2012" s="23" t="s">
        <v>1474</v>
      </c>
      <c r="G2012" s="23">
        <v>0.4</v>
      </c>
      <c r="I2012" s="218" t="s">
        <v>3058</v>
      </c>
    </row>
    <row r="2013" spans="1:9" x14ac:dyDescent="0.25">
      <c r="A2013" s="23">
        <v>2013</v>
      </c>
      <c r="B2013" s="85">
        <v>45706</v>
      </c>
      <c r="C2013" s="23" t="s">
        <v>1473</v>
      </c>
      <c r="D2013" s="23" t="s">
        <v>1474</v>
      </c>
      <c r="G2013" s="23">
        <v>0</v>
      </c>
      <c r="I2013" s="218" t="s">
        <v>3058</v>
      </c>
    </row>
    <row r="2014" spans="1:9" x14ac:dyDescent="0.25">
      <c r="A2014" s="23">
        <v>2014</v>
      </c>
      <c r="B2014" s="85">
        <v>45706</v>
      </c>
      <c r="C2014" s="23" t="s">
        <v>2383</v>
      </c>
      <c r="D2014" s="23" t="s">
        <v>1474</v>
      </c>
      <c r="G2014" s="23">
        <v>3.5</v>
      </c>
      <c r="I2014" s="218" t="s">
        <v>3059</v>
      </c>
    </row>
    <row r="2015" spans="1:9" x14ac:dyDescent="0.25">
      <c r="A2015" s="23">
        <v>2015</v>
      </c>
      <c r="B2015" s="85">
        <v>45706</v>
      </c>
      <c r="C2015" s="23" t="s">
        <v>388</v>
      </c>
      <c r="D2015" s="23" t="s">
        <v>175</v>
      </c>
      <c r="G2015" s="23">
        <v>0</v>
      </c>
      <c r="I2015" s="218" t="s">
        <v>3060</v>
      </c>
    </row>
    <row r="2016" spans="1:9" x14ac:dyDescent="0.25">
      <c r="A2016" s="23">
        <v>2016</v>
      </c>
      <c r="B2016" s="85">
        <v>45706</v>
      </c>
      <c r="C2016" s="23" t="s">
        <v>388</v>
      </c>
      <c r="D2016" s="23" t="s">
        <v>175</v>
      </c>
      <c r="G2016" s="23" t="s">
        <v>9</v>
      </c>
      <c r="H2016" s="23" t="s">
        <v>3124</v>
      </c>
      <c r="I2016" s="218" t="s">
        <v>295</v>
      </c>
    </row>
    <row r="2017" spans="1:9" x14ac:dyDescent="0.25">
      <c r="A2017" s="23">
        <v>2017</v>
      </c>
      <c r="B2017" s="85">
        <v>45706</v>
      </c>
      <c r="C2017" s="23" t="s">
        <v>3061</v>
      </c>
      <c r="D2017" s="23" t="s">
        <v>264</v>
      </c>
      <c r="G2017" s="23">
        <v>0</v>
      </c>
      <c r="I2017" s="218" t="s">
        <v>3062</v>
      </c>
    </row>
    <row r="2018" spans="1:9" x14ac:dyDescent="0.25">
      <c r="A2018" s="23">
        <v>2018</v>
      </c>
      <c r="B2018" s="85">
        <v>45706</v>
      </c>
      <c r="C2018" s="23" t="s">
        <v>2245</v>
      </c>
      <c r="D2018" s="23" t="s">
        <v>194</v>
      </c>
      <c r="G2018" s="23">
        <v>0</v>
      </c>
      <c r="I2018" s="218" t="s">
        <v>3063</v>
      </c>
    </row>
    <row r="2019" spans="1:9" x14ac:dyDescent="0.25">
      <c r="A2019" s="23">
        <v>2019</v>
      </c>
      <c r="B2019" s="85">
        <v>45706</v>
      </c>
      <c r="C2019" s="23" t="s">
        <v>3064</v>
      </c>
      <c r="D2019" s="23" t="s">
        <v>1474</v>
      </c>
      <c r="G2019" s="23">
        <v>0</v>
      </c>
      <c r="I2019" s="218" t="s">
        <v>3065</v>
      </c>
    </row>
    <row r="2020" spans="1:9" x14ac:dyDescent="0.25">
      <c r="A2020" s="23">
        <v>2020</v>
      </c>
      <c r="B2020" s="85">
        <v>45706</v>
      </c>
      <c r="C2020" s="23" t="s">
        <v>641</v>
      </c>
      <c r="D2020" s="23" t="s">
        <v>166</v>
      </c>
      <c r="G2020" s="23">
        <v>0.57499999999999996</v>
      </c>
      <c r="I2020" s="218" t="s">
        <v>3066</v>
      </c>
    </row>
    <row r="2021" spans="1:9" x14ac:dyDescent="0.25">
      <c r="A2021" s="23">
        <v>2021</v>
      </c>
      <c r="B2021" s="85">
        <v>45706</v>
      </c>
      <c r="C2021" s="23" t="s">
        <v>641</v>
      </c>
      <c r="D2021" s="23" t="s">
        <v>155</v>
      </c>
      <c r="G2021" s="23">
        <v>0</v>
      </c>
      <c r="I2021" s="218" t="s">
        <v>3067</v>
      </c>
    </row>
    <row r="2022" spans="1:9" x14ac:dyDescent="0.25">
      <c r="A2022" s="23">
        <v>2022</v>
      </c>
      <c r="B2022" s="85">
        <v>45706</v>
      </c>
      <c r="C2022" s="23" t="s">
        <v>682</v>
      </c>
      <c r="D2022" s="23" t="s">
        <v>160</v>
      </c>
      <c r="G2022" s="23">
        <v>0</v>
      </c>
      <c r="I2022" s="218" t="s">
        <v>3068</v>
      </c>
    </row>
    <row r="2023" spans="1:9" x14ac:dyDescent="0.25">
      <c r="A2023" s="23">
        <v>2023</v>
      </c>
      <c r="B2023" s="85">
        <v>45706</v>
      </c>
      <c r="C2023" s="23" t="s">
        <v>680</v>
      </c>
      <c r="D2023" s="23" t="s">
        <v>155</v>
      </c>
      <c r="G2023" s="23">
        <v>0.49</v>
      </c>
      <c r="I2023" s="218" t="s">
        <v>3069</v>
      </c>
    </row>
    <row r="2024" spans="1:9" x14ac:dyDescent="0.25">
      <c r="A2024" s="23">
        <v>2024</v>
      </c>
      <c r="B2024" s="85">
        <v>45706</v>
      </c>
      <c r="C2024" s="23" t="s">
        <v>2571</v>
      </c>
      <c r="D2024" s="23" t="s">
        <v>186</v>
      </c>
      <c r="G2024" s="23">
        <v>0</v>
      </c>
      <c r="I2024" s="218" t="s">
        <v>3070</v>
      </c>
    </row>
    <row r="2025" spans="1:9" x14ac:dyDescent="0.25">
      <c r="A2025" s="23">
        <v>2025</v>
      </c>
      <c r="B2025" s="85">
        <v>45707</v>
      </c>
      <c r="C2025" s="23" t="s">
        <v>2771</v>
      </c>
      <c r="D2025" s="23" t="s">
        <v>154</v>
      </c>
      <c r="G2025" s="23">
        <v>0</v>
      </c>
      <c r="I2025" s="218" t="s">
        <v>3071</v>
      </c>
    </row>
    <row r="2026" spans="1:9" x14ac:dyDescent="0.25">
      <c r="A2026" s="23">
        <v>2026</v>
      </c>
      <c r="B2026" s="85">
        <v>45707</v>
      </c>
      <c r="C2026" s="23" t="s">
        <v>1695</v>
      </c>
      <c r="D2026" s="23" t="s">
        <v>268</v>
      </c>
      <c r="G2026" s="23">
        <v>0</v>
      </c>
      <c r="I2026" s="218" t="s">
        <v>3072</v>
      </c>
    </row>
    <row r="2027" spans="1:9" x14ac:dyDescent="0.25">
      <c r="A2027" s="23">
        <v>2027</v>
      </c>
      <c r="B2027" s="85">
        <v>45707</v>
      </c>
      <c r="C2027" s="23" t="s">
        <v>908</v>
      </c>
      <c r="D2027" s="23" t="s">
        <v>160</v>
      </c>
      <c r="G2027" s="23">
        <v>0.42499999999999999</v>
      </c>
      <c r="I2027" s="218" t="s">
        <v>3073</v>
      </c>
    </row>
    <row r="2028" spans="1:9" x14ac:dyDescent="0.25">
      <c r="A2028" s="23">
        <v>2028</v>
      </c>
      <c r="B2028" s="85">
        <v>45707</v>
      </c>
      <c r="C2028" s="23" t="s">
        <v>910</v>
      </c>
      <c r="D2028" s="23" t="s">
        <v>166</v>
      </c>
      <c r="G2028" s="23">
        <v>0</v>
      </c>
      <c r="I2028" s="218" t="s">
        <v>3074</v>
      </c>
    </row>
    <row r="2029" spans="1:9" x14ac:dyDescent="0.25">
      <c r="A2029" s="23">
        <v>2029</v>
      </c>
      <c r="B2029" s="85">
        <v>45707</v>
      </c>
      <c r="C2029" s="23" t="s">
        <v>248</v>
      </c>
      <c r="D2029" s="23" t="s">
        <v>194</v>
      </c>
      <c r="G2029" s="23">
        <v>0.5</v>
      </c>
      <c r="I2029" s="218" t="s">
        <v>3075</v>
      </c>
    </row>
    <row r="2030" spans="1:9" x14ac:dyDescent="0.25">
      <c r="A2030" s="23">
        <v>2030</v>
      </c>
      <c r="B2030" s="85">
        <v>45707</v>
      </c>
      <c r="C2030" s="23" t="s">
        <v>2130</v>
      </c>
      <c r="D2030" s="23" t="s">
        <v>202</v>
      </c>
      <c r="G2030" s="23">
        <v>0.8</v>
      </c>
      <c r="I2030" s="218" t="s">
        <v>3076</v>
      </c>
    </row>
    <row r="2031" spans="1:9" x14ac:dyDescent="0.25">
      <c r="A2031" s="23">
        <v>2031</v>
      </c>
      <c r="B2031" s="85">
        <v>45707</v>
      </c>
      <c r="C2031" s="23" t="s">
        <v>1289</v>
      </c>
      <c r="D2031" s="23" t="s">
        <v>175</v>
      </c>
      <c r="G2031" s="23">
        <v>0</v>
      </c>
      <c r="I2031" s="218" t="s">
        <v>3077</v>
      </c>
    </row>
    <row r="2032" spans="1:9" x14ac:dyDescent="0.25">
      <c r="A2032" s="23">
        <v>2032</v>
      </c>
      <c r="B2032" s="85">
        <v>45707</v>
      </c>
      <c r="C2032" s="23" t="s">
        <v>1249</v>
      </c>
      <c r="D2032" s="23" t="s">
        <v>178</v>
      </c>
      <c r="G2032" s="23">
        <v>0.8</v>
      </c>
      <c r="I2032" s="218" t="s">
        <v>3078</v>
      </c>
    </row>
    <row r="2033" spans="1:9" x14ac:dyDescent="0.25">
      <c r="A2033" s="23">
        <v>2033</v>
      </c>
      <c r="B2033" s="85">
        <v>45707</v>
      </c>
      <c r="C2033" s="23" t="s">
        <v>2710</v>
      </c>
      <c r="D2033" s="23" t="s">
        <v>194</v>
      </c>
      <c r="G2033" s="23">
        <v>0</v>
      </c>
      <c r="I2033" s="218" t="s">
        <v>3079</v>
      </c>
    </row>
    <row r="2034" spans="1:9" x14ac:dyDescent="0.25">
      <c r="A2034" s="23">
        <v>2034</v>
      </c>
      <c r="B2034" s="85">
        <v>45707</v>
      </c>
      <c r="C2034" s="23" t="s">
        <v>1411</v>
      </c>
      <c r="D2034" s="23" t="s">
        <v>264</v>
      </c>
      <c r="G2034" s="23">
        <v>0.84</v>
      </c>
      <c r="I2034" s="218" t="s">
        <v>3080</v>
      </c>
    </row>
    <row r="2035" spans="1:9" x14ac:dyDescent="0.25">
      <c r="A2035" s="23">
        <v>2035</v>
      </c>
      <c r="B2035" s="85">
        <v>45707</v>
      </c>
      <c r="C2035" s="23" t="s">
        <v>1431</v>
      </c>
      <c r="D2035" s="23" t="s">
        <v>169</v>
      </c>
      <c r="G2035" s="23">
        <v>0.78</v>
      </c>
      <c r="I2035" s="218" t="s">
        <v>3081</v>
      </c>
    </row>
    <row r="2036" spans="1:9" x14ac:dyDescent="0.25">
      <c r="A2036" s="23">
        <v>2036</v>
      </c>
      <c r="B2036" s="85">
        <v>45707</v>
      </c>
      <c r="C2036" s="23" t="s">
        <v>227</v>
      </c>
      <c r="D2036" s="23" t="s">
        <v>159</v>
      </c>
      <c r="G2036" s="23">
        <v>0</v>
      </c>
      <c r="I2036" s="218" t="s">
        <v>3082</v>
      </c>
    </row>
    <row r="2037" spans="1:9" x14ac:dyDescent="0.25">
      <c r="A2037" s="23">
        <v>2037</v>
      </c>
      <c r="B2037" s="85">
        <v>45707</v>
      </c>
      <c r="C2037" s="23" t="s">
        <v>3083</v>
      </c>
      <c r="D2037" s="23" t="s">
        <v>163</v>
      </c>
      <c r="G2037" s="23">
        <v>0.8</v>
      </c>
      <c r="I2037" s="218" t="s">
        <v>3084</v>
      </c>
    </row>
    <row r="2038" spans="1:9" x14ac:dyDescent="0.25">
      <c r="A2038" s="23">
        <v>2038</v>
      </c>
      <c r="B2038" s="85">
        <v>45707</v>
      </c>
      <c r="C2038" s="23" t="s">
        <v>3083</v>
      </c>
      <c r="D2038" s="23" t="s">
        <v>162</v>
      </c>
      <c r="G2038" s="23">
        <v>0.8</v>
      </c>
      <c r="I2038" s="218" t="s">
        <v>3085</v>
      </c>
    </row>
    <row r="2039" spans="1:9" x14ac:dyDescent="0.25">
      <c r="A2039" s="23">
        <v>2039</v>
      </c>
      <c r="B2039" s="85">
        <v>45707</v>
      </c>
      <c r="C2039" s="23" t="s">
        <v>2779</v>
      </c>
      <c r="D2039" s="23" t="s">
        <v>202</v>
      </c>
      <c r="G2039" s="23">
        <v>0</v>
      </c>
      <c r="I2039" s="218" t="s">
        <v>3086</v>
      </c>
    </row>
    <row r="2040" spans="1:9" x14ac:dyDescent="0.25">
      <c r="A2040" s="23">
        <v>2040</v>
      </c>
      <c r="B2040" s="85">
        <v>45707</v>
      </c>
      <c r="C2040" s="23" t="s">
        <v>1065</v>
      </c>
      <c r="D2040" s="23" t="s">
        <v>161</v>
      </c>
      <c r="G2040" s="23">
        <v>0.8</v>
      </c>
      <c r="I2040" s="218" t="s">
        <v>3087</v>
      </c>
    </row>
    <row r="2041" spans="1:9" x14ac:dyDescent="0.25">
      <c r="A2041" s="23">
        <v>2041</v>
      </c>
      <c r="B2041" s="85">
        <v>45707</v>
      </c>
      <c r="C2041" s="23" t="s">
        <v>1414</v>
      </c>
      <c r="D2041" s="23" t="s">
        <v>178</v>
      </c>
      <c r="G2041" s="23">
        <v>0</v>
      </c>
      <c r="I2041" s="218" t="s">
        <v>3078</v>
      </c>
    </row>
    <row r="2042" spans="1:9" x14ac:dyDescent="0.25">
      <c r="A2042" s="23">
        <v>2042</v>
      </c>
      <c r="B2042" s="85">
        <v>45707</v>
      </c>
      <c r="C2042" s="23" t="s">
        <v>1415</v>
      </c>
      <c r="D2042" s="23" t="s">
        <v>161</v>
      </c>
      <c r="G2042" s="23">
        <v>0</v>
      </c>
      <c r="I2042" s="218" t="s">
        <v>3087</v>
      </c>
    </row>
    <row r="2043" spans="1:9" x14ac:dyDescent="0.25">
      <c r="A2043" s="23">
        <v>2043</v>
      </c>
      <c r="B2043" s="85">
        <v>45707</v>
      </c>
      <c r="C2043" s="23" t="s">
        <v>3088</v>
      </c>
      <c r="D2043" s="23" t="s">
        <v>162</v>
      </c>
      <c r="G2043" s="23">
        <v>0</v>
      </c>
      <c r="I2043" s="218" t="s">
        <v>3089</v>
      </c>
    </row>
    <row r="2044" spans="1:9" x14ac:dyDescent="0.25">
      <c r="A2044" s="23">
        <v>2044</v>
      </c>
      <c r="B2044" s="85">
        <v>45707</v>
      </c>
      <c r="C2044" s="23" t="s">
        <v>3090</v>
      </c>
      <c r="D2044" s="23" t="s">
        <v>163</v>
      </c>
      <c r="G2044" s="23">
        <v>0</v>
      </c>
      <c r="I2044" s="218" t="s">
        <v>3091</v>
      </c>
    </row>
    <row r="2045" spans="1:9" x14ac:dyDescent="0.25">
      <c r="A2045" s="23">
        <v>2045</v>
      </c>
      <c r="B2045" s="85">
        <v>45707</v>
      </c>
      <c r="C2045" s="23" t="s">
        <v>3092</v>
      </c>
      <c r="D2045" s="23" t="s">
        <v>175</v>
      </c>
      <c r="G2045" s="23">
        <v>1</v>
      </c>
      <c r="I2045" s="218" t="s">
        <v>3093</v>
      </c>
    </row>
    <row r="2046" spans="1:9" x14ac:dyDescent="0.25">
      <c r="A2046" s="23">
        <v>2046</v>
      </c>
      <c r="B2046" s="85">
        <v>45707</v>
      </c>
      <c r="C2046" s="23" t="s">
        <v>739</v>
      </c>
      <c r="D2046" s="23" t="s">
        <v>164</v>
      </c>
      <c r="G2046" s="23">
        <v>0.8</v>
      </c>
      <c r="I2046" s="218" t="s">
        <v>3094</v>
      </c>
    </row>
    <row r="2047" spans="1:9" x14ac:dyDescent="0.25">
      <c r="A2047" s="23">
        <v>2047</v>
      </c>
      <c r="B2047" s="85">
        <v>45707</v>
      </c>
      <c r="C2047" s="23" t="s">
        <v>946</v>
      </c>
      <c r="D2047" s="23" t="s">
        <v>168</v>
      </c>
      <c r="G2047" s="23">
        <v>0.8</v>
      </c>
      <c r="I2047" s="218" t="s">
        <v>3095</v>
      </c>
    </row>
    <row r="2048" spans="1:9" x14ac:dyDescent="0.25">
      <c r="A2048" s="23">
        <v>2048</v>
      </c>
      <c r="B2048" s="85">
        <v>45707</v>
      </c>
      <c r="C2048" s="23" t="s">
        <v>152</v>
      </c>
      <c r="D2048" s="23" t="s">
        <v>165</v>
      </c>
      <c r="G2048" s="23">
        <v>0.8</v>
      </c>
      <c r="I2048" s="218" t="s">
        <v>3096</v>
      </c>
    </row>
    <row r="2049" spans="1:9" x14ac:dyDescent="0.25">
      <c r="A2049" s="23">
        <v>2049</v>
      </c>
      <c r="B2049" s="85">
        <v>45707</v>
      </c>
      <c r="C2049" s="23" t="s">
        <v>1090</v>
      </c>
      <c r="D2049" s="23" t="s">
        <v>170</v>
      </c>
      <c r="G2049" s="23">
        <v>0.8</v>
      </c>
      <c r="I2049" s="218" t="s">
        <v>3097</v>
      </c>
    </row>
    <row r="2050" spans="1:9" x14ac:dyDescent="0.25">
      <c r="A2050" s="23">
        <v>2050</v>
      </c>
      <c r="B2050" s="85">
        <v>45707</v>
      </c>
      <c r="C2050" s="23" t="s">
        <v>1429</v>
      </c>
      <c r="D2050" s="23" t="s">
        <v>174</v>
      </c>
      <c r="G2050" s="23">
        <v>0.8</v>
      </c>
      <c r="I2050" s="218" t="s">
        <v>3098</v>
      </c>
    </row>
    <row r="2051" spans="1:9" x14ac:dyDescent="0.25">
      <c r="A2051" s="23">
        <v>2051</v>
      </c>
      <c r="B2051" s="85">
        <v>45707</v>
      </c>
      <c r="C2051" s="23" t="s">
        <v>3099</v>
      </c>
      <c r="D2051" s="23" t="s">
        <v>202</v>
      </c>
      <c r="G2051" s="23">
        <v>0.8</v>
      </c>
      <c r="I2051" s="218" t="s">
        <v>3100</v>
      </c>
    </row>
    <row r="2052" spans="1:9" x14ac:dyDescent="0.25">
      <c r="A2052" s="23">
        <v>2052</v>
      </c>
      <c r="B2052" s="85">
        <v>45707</v>
      </c>
      <c r="C2052" s="23" t="s">
        <v>3099</v>
      </c>
      <c r="D2052" s="23" t="s">
        <v>177</v>
      </c>
      <c r="G2052" s="23">
        <v>0.8</v>
      </c>
      <c r="I2052" s="218" t="s">
        <v>3101</v>
      </c>
    </row>
    <row r="2053" spans="1:9" x14ac:dyDescent="0.25">
      <c r="A2053" s="23">
        <v>2053</v>
      </c>
      <c r="B2053" s="85">
        <v>45707</v>
      </c>
      <c r="C2053" s="23" t="s">
        <v>1097</v>
      </c>
      <c r="D2053" s="23" t="s">
        <v>186</v>
      </c>
      <c r="G2053" s="23">
        <v>1</v>
      </c>
      <c r="I2053" s="218" t="s">
        <v>3102</v>
      </c>
    </row>
    <row r="2054" spans="1:9" x14ac:dyDescent="0.25">
      <c r="A2054" s="23">
        <v>2054</v>
      </c>
      <c r="B2054" s="85">
        <v>45707</v>
      </c>
      <c r="C2054" s="23" t="s">
        <v>595</v>
      </c>
      <c r="D2054" s="23" t="s">
        <v>164</v>
      </c>
      <c r="G2054" s="23">
        <v>0</v>
      </c>
      <c r="I2054" s="218" t="s">
        <v>3094</v>
      </c>
    </row>
    <row r="2055" spans="1:9" x14ac:dyDescent="0.25">
      <c r="A2055" s="23">
        <v>2055</v>
      </c>
      <c r="B2055" s="85">
        <v>45707</v>
      </c>
      <c r="C2055" s="23" t="s">
        <v>3103</v>
      </c>
      <c r="D2055" s="23" t="s">
        <v>165</v>
      </c>
      <c r="G2055" s="23">
        <v>0</v>
      </c>
      <c r="I2055" s="218" t="s">
        <v>3096</v>
      </c>
    </row>
    <row r="2056" spans="1:9" x14ac:dyDescent="0.25">
      <c r="A2056" s="23">
        <v>2056</v>
      </c>
      <c r="B2056" s="85">
        <v>45707</v>
      </c>
      <c r="C2056" s="23" t="s">
        <v>1099</v>
      </c>
      <c r="D2056" s="23" t="s">
        <v>154</v>
      </c>
      <c r="G2056" s="23">
        <v>1</v>
      </c>
      <c r="I2056" s="218" t="s">
        <v>3104</v>
      </c>
    </row>
    <row r="2057" spans="1:9" x14ac:dyDescent="0.25">
      <c r="A2057" s="23">
        <v>2057</v>
      </c>
      <c r="B2057" s="85">
        <v>45707</v>
      </c>
      <c r="C2057" s="23" t="s">
        <v>231</v>
      </c>
      <c r="D2057" s="23" t="s">
        <v>268</v>
      </c>
      <c r="G2057" s="23">
        <v>0.8</v>
      </c>
      <c r="I2057" s="218" t="s">
        <v>3105</v>
      </c>
    </row>
    <row r="2058" spans="1:9" x14ac:dyDescent="0.25">
      <c r="A2058" s="23">
        <v>2058</v>
      </c>
      <c r="B2058" s="85">
        <v>45707</v>
      </c>
      <c r="C2058" s="23" t="s">
        <v>2719</v>
      </c>
      <c r="D2058" s="23" t="s">
        <v>168</v>
      </c>
      <c r="G2058" s="23">
        <v>0</v>
      </c>
      <c r="I2058" s="218" t="s">
        <v>3095</v>
      </c>
    </row>
    <row r="2059" spans="1:9" x14ac:dyDescent="0.25">
      <c r="A2059" s="23">
        <v>2059</v>
      </c>
      <c r="B2059" s="85">
        <v>45707</v>
      </c>
      <c r="C2059" s="23" t="s">
        <v>1436</v>
      </c>
      <c r="D2059" s="23" t="s">
        <v>170</v>
      </c>
      <c r="G2059" s="23">
        <v>0</v>
      </c>
      <c r="I2059" s="218" t="s">
        <v>3097</v>
      </c>
    </row>
    <row r="2060" spans="1:9" x14ac:dyDescent="0.25">
      <c r="A2060" s="23">
        <v>2060</v>
      </c>
      <c r="B2060" s="85">
        <v>45707</v>
      </c>
      <c r="C2060" s="23" t="s">
        <v>963</v>
      </c>
      <c r="D2060" s="23" t="s">
        <v>202</v>
      </c>
      <c r="G2060" s="23">
        <v>0</v>
      </c>
      <c r="I2060" s="218" t="s">
        <v>3106</v>
      </c>
    </row>
    <row r="2061" spans="1:9" x14ac:dyDescent="0.25">
      <c r="A2061" s="23">
        <v>2061</v>
      </c>
      <c r="B2061" s="85">
        <v>45707</v>
      </c>
      <c r="C2061" s="23" t="s">
        <v>963</v>
      </c>
      <c r="D2061" s="23" t="s">
        <v>177</v>
      </c>
      <c r="G2061" s="23">
        <v>0</v>
      </c>
      <c r="I2061" s="218" t="s">
        <v>3107</v>
      </c>
    </row>
    <row r="2062" spans="1:9" x14ac:dyDescent="0.25">
      <c r="A2062" s="23">
        <v>2062</v>
      </c>
      <c r="B2062" s="85">
        <v>45707</v>
      </c>
      <c r="C2062" s="23" t="s">
        <v>1271</v>
      </c>
      <c r="D2062" s="23" t="s">
        <v>268</v>
      </c>
      <c r="G2062" s="23">
        <v>0</v>
      </c>
      <c r="I2062" s="218" t="s">
        <v>3108</v>
      </c>
    </row>
    <row r="2063" spans="1:9" x14ac:dyDescent="0.25">
      <c r="A2063" s="23">
        <v>2063</v>
      </c>
      <c r="B2063" s="85">
        <v>45707</v>
      </c>
      <c r="C2063" s="23" t="s">
        <v>1731</v>
      </c>
      <c r="D2063" s="23" t="s">
        <v>174</v>
      </c>
      <c r="G2063" s="23">
        <v>0</v>
      </c>
      <c r="I2063" s="218" t="s">
        <v>3109</v>
      </c>
    </row>
    <row r="2064" spans="1:9" x14ac:dyDescent="0.25">
      <c r="A2064" s="23">
        <v>2064</v>
      </c>
      <c r="B2064" s="85">
        <v>45707</v>
      </c>
      <c r="C2064" s="23" t="s">
        <v>2325</v>
      </c>
      <c r="D2064" s="23" t="s">
        <v>151</v>
      </c>
      <c r="G2064" s="23">
        <v>0</v>
      </c>
      <c r="H2064" s="23" t="s">
        <v>3111</v>
      </c>
      <c r="I2064" s="218" t="s">
        <v>3110</v>
      </c>
    </row>
    <row r="2065" spans="1:9" x14ac:dyDescent="0.25">
      <c r="A2065" s="23">
        <v>2065</v>
      </c>
      <c r="B2065" s="85">
        <v>45707</v>
      </c>
      <c r="C2065" s="23" t="s">
        <v>2325</v>
      </c>
      <c r="D2065" s="23" t="s">
        <v>151</v>
      </c>
      <c r="G2065" s="23" t="s">
        <v>9</v>
      </c>
      <c r="I2065" s="218" t="s">
        <v>295</v>
      </c>
    </row>
    <row r="2066" spans="1:9" x14ac:dyDescent="0.25">
      <c r="A2066" s="23">
        <v>2066</v>
      </c>
      <c r="B2066" s="85">
        <v>45707</v>
      </c>
      <c r="C2066" s="23" t="s">
        <v>622</v>
      </c>
      <c r="D2066" s="23" t="s">
        <v>178</v>
      </c>
      <c r="G2066" s="23">
        <v>0.8</v>
      </c>
      <c r="I2066" s="218" t="s">
        <v>3112</v>
      </c>
    </row>
    <row r="2067" spans="1:9" x14ac:dyDescent="0.25">
      <c r="A2067" s="23">
        <v>2067</v>
      </c>
      <c r="B2067" s="85">
        <v>45707</v>
      </c>
      <c r="C2067" s="23" t="s">
        <v>2186</v>
      </c>
      <c r="D2067" s="23" t="s">
        <v>194</v>
      </c>
      <c r="G2067" s="23">
        <v>1</v>
      </c>
      <c r="I2067" s="218" t="s">
        <v>3113</v>
      </c>
    </row>
    <row r="2068" spans="1:9" x14ac:dyDescent="0.25">
      <c r="A2068" s="23">
        <v>2068</v>
      </c>
      <c r="B2068" s="85">
        <v>45707</v>
      </c>
      <c r="C2068" s="23" t="s">
        <v>3031</v>
      </c>
      <c r="D2068" s="23" t="s">
        <v>151</v>
      </c>
      <c r="G2068" s="23">
        <v>0</v>
      </c>
      <c r="I2068" s="218" t="s">
        <v>3114</v>
      </c>
    </row>
    <row r="2069" spans="1:9" x14ac:dyDescent="0.25">
      <c r="A2069" s="23">
        <v>2069</v>
      </c>
      <c r="B2069" s="85">
        <v>45707</v>
      </c>
      <c r="C2069" s="23" t="s">
        <v>3031</v>
      </c>
      <c r="D2069" s="23" t="s">
        <v>151</v>
      </c>
      <c r="G2069" s="23">
        <v>1</v>
      </c>
      <c r="I2069" s="218" t="s">
        <v>295</v>
      </c>
    </row>
    <row r="2070" spans="1:9" x14ac:dyDescent="0.25">
      <c r="A2070" s="23">
        <v>2070</v>
      </c>
      <c r="B2070" s="85">
        <v>45707</v>
      </c>
      <c r="C2070" s="23" t="s">
        <v>3115</v>
      </c>
      <c r="D2070" s="23" t="s">
        <v>161</v>
      </c>
      <c r="G2070" s="23">
        <v>0.8</v>
      </c>
      <c r="I2070" s="218" t="s">
        <v>3116</v>
      </c>
    </row>
    <row r="2071" spans="1:9" x14ac:dyDescent="0.25">
      <c r="A2071" s="23">
        <v>2071</v>
      </c>
      <c r="B2071" s="85">
        <v>45707</v>
      </c>
      <c r="C2071" s="23" t="s">
        <v>3117</v>
      </c>
      <c r="D2071" s="23" t="s">
        <v>186</v>
      </c>
      <c r="G2071" s="23">
        <v>0</v>
      </c>
      <c r="I2071" s="218" t="s">
        <v>3118</v>
      </c>
    </row>
    <row r="2072" spans="1:9" x14ac:dyDescent="0.25">
      <c r="A2072" s="23">
        <v>2072</v>
      </c>
      <c r="B2072" s="85">
        <v>45707</v>
      </c>
      <c r="C2072" s="23" t="s">
        <v>3119</v>
      </c>
      <c r="D2072" s="23" t="s">
        <v>186</v>
      </c>
      <c r="G2072" s="23">
        <v>1.5</v>
      </c>
      <c r="I2072" s="218" t="s">
        <v>295</v>
      </c>
    </row>
    <row r="2073" spans="1:9" x14ac:dyDescent="0.25">
      <c r="A2073" s="23">
        <v>2073</v>
      </c>
      <c r="B2073" s="85">
        <v>45707</v>
      </c>
      <c r="C2073" s="23" t="s">
        <v>3120</v>
      </c>
      <c r="D2073" s="23" t="s">
        <v>194</v>
      </c>
      <c r="G2073" s="23">
        <v>0</v>
      </c>
      <c r="I2073" s="218" t="s">
        <v>3121</v>
      </c>
    </row>
    <row r="2074" spans="1:9" x14ac:dyDescent="0.25">
      <c r="A2074" s="23">
        <v>2074</v>
      </c>
      <c r="B2074" s="85">
        <v>45707</v>
      </c>
      <c r="C2074" s="23" t="s">
        <v>3122</v>
      </c>
      <c r="D2074" s="23" t="s">
        <v>178</v>
      </c>
      <c r="G2074" s="23">
        <v>0</v>
      </c>
      <c r="I2074" s="218" t="s">
        <v>3123</v>
      </c>
    </row>
    <row r="2075" spans="1:9" x14ac:dyDescent="0.25">
      <c r="A2075" s="23">
        <v>2075</v>
      </c>
      <c r="B2075" s="85">
        <v>45707</v>
      </c>
      <c r="C2075" s="23" t="s">
        <v>1467</v>
      </c>
      <c r="D2075" s="23" t="s">
        <v>162</v>
      </c>
      <c r="G2075" s="23">
        <v>0.8</v>
      </c>
      <c r="I2075" s="218" t="s">
        <v>3125</v>
      </c>
    </row>
    <row r="2076" spans="1:9" x14ac:dyDescent="0.25">
      <c r="A2076" s="23">
        <v>2076</v>
      </c>
      <c r="B2076" s="85">
        <v>45707</v>
      </c>
      <c r="C2076" s="23" t="s">
        <v>3126</v>
      </c>
      <c r="D2076" s="23" t="s">
        <v>163</v>
      </c>
      <c r="G2076" s="23">
        <v>0.8</v>
      </c>
      <c r="I2076" s="218" t="s">
        <v>3127</v>
      </c>
    </row>
    <row r="2077" spans="1:9" x14ac:dyDescent="0.25">
      <c r="A2077" s="23">
        <v>2077</v>
      </c>
      <c r="B2077" s="85">
        <v>45707</v>
      </c>
      <c r="C2077" s="23" t="s">
        <v>3126</v>
      </c>
      <c r="D2077" s="23" t="s">
        <v>164</v>
      </c>
      <c r="G2077" s="23">
        <v>0.8</v>
      </c>
      <c r="I2077" s="218" t="s">
        <v>3128</v>
      </c>
    </row>
    <row r="2078" spans="1:9" x14ac:dyDescent="0.25">
      <c r="A2078" s="23">
        <v>2078</v>
      </c>
      <c r="B2078" s="85">
        <v>45707</v>
      </c>
      <c r="C2078" s="23" t="s">
        <v>1468</v>
      </c>
      <c r="D2078" s="23" t="s">
        <v>161</v>
      </c>
      <c r="G2078" s="23">
        <v>0</v>
      </c>
      <c r="I2078" s="218" t="s">
        <v>3129</v>
      </c>
    </row>
    <row r="2079" spans="1:9" x14ac:dyDescent="0.25">
      <c r="A2079" s="23">
        <v>2079</v>
      </c>
      <c r="B2079" s="85">
        <v>45707</v>
      </c>
      <c r="C2079" s="23" t="s">
        <v>3130</v>
      </c>
      <c r="D2079" s="23" t="s">
        <v>162</v>
      </c>
      <c r="G2079" s="23">
        <v>0</v>
      </c>
      <c r="I2079" s="218" t="s">
        <v>3131</v>
      </c>
    </row>
    <row r="2080" spans="1:9" x14ac:dyDescent="0.25">
      <c r="A2080" s="23">
        <v>2080</v>
      </c>
      <c r="B2080" s="85">
        <v>45707</v>
      </c>
      <c r="C2080" s="23" t="s">
        <v>3132</v>
      </c>
      <c r="D2080" s="23" t="s">
        <v>268</v>
      </c>
      <c r="G2080" s="23">
        <v>0.72</v>
      </c>
      <c r="I2080" s="218" t="s">
        <v>3133</v>
      </c>
    </row>
    <row r="2081" spans="1:9" x14ac:dyDescent="0.25">
      <c r="A2081" s="23">
        <v>2081</v>
      </c>
      <c r="B2081" s="85">
        <v>45707</v>
      </c>
      <c r="C2081" s="23" t="s">
        <v>1777</v>
      </c>
      <c r="D2081" s="23" t="s">
        <v>263</v>
      </c>
      <c r="G2081" s="23">
        <v>0</v>
      </c>
      <c r="I2081" s="218" t="s">
        <v>3134</v>
      </c>
    </row>
    <row r="2082" spans="1:9" x14ac:dyDescent="0.25">
      <c r="A2082" s="23">
        <v>2082</v>
      </c>
      <c r="B2082" s="85">
        <v>45707</v>
      </c>
      <c r="C2082" s="23" t="s">
        <v>2666</v>
      </c>
      <c r="D2082" s="23" t="s">
        <v>163</v>
      </c>
      <c r="G2082" s="23">
        <v>0</v>
      </c>
      <c r="I2082" s="218" t="s">
        <v>3135</v>
      </c>
    </row>
    <row r="2083" spans="1:9" x14ac:dyDescent="0.25">
      <c r="A2083" s="23">
        <v>2083</v>
      </c>
      <c r="B2083" s="85">
        <v>45707</v>
      </c>
      <c r="C2083" s="23" t="s">
        <v>1152</v>
      </c>
      <c r="D2083" s="23" t="s">
        <v>164</v>
      </c>
      <c r="G2083" s="23">
        <v>0</v>
      </c>
      <c r="I2083" s="218" t="s">
        <v>3136</v>
      </c>
    </row>
    <row r="2084" spans="1:9" x14ac:dyDescent="0.25">
      <c r="A2084" s="23">
        <v>2084</v>
      </c>
      <c r="B2084" s="85">
        <v>45707</v>
      </c>
      <c r="C2084" s="23" t="s">
        <v>167</v>
      </c>
      <c r="D2084" s="23" t="s">
        <v>166</v>
      </c>
      <c r="G2084" s="23">
        <v>0.61</v>
      </c>
      <c r="I2084" s="218" t="s">
        <v>3137</v>
      </c>
    </row>
    <row r="2085" spans="1:9" x14ac:dyDescent="0.25">
      <c r="A2085" s="23">
        <v>2085</v>
      </c>
      <c r="B2085" s="85">
        <v>45707</v>
      </c>
      <c r="C2085" s="23" t="s">
        <v>1601</v>
      </c>
      <c r="D2085" s="23" t="s">
        <v>155</v>
      </c>
      <c r="G2085" s="23">
        <v>0</v>
      </c>
      <c r="I2085" s="218" t="s">
        <v>3138</v>
      </c>
    </row>
    <row r="2086" spans="1:9" x14ac:dyDescent="0.25">
      <c r="A2086" s="23">
        <v>2086</v>
      </c>
      <c r="B2086" s="85">
        <v>45707</v>
      </c>
      <c r="C2086" s="23" t="s">
        <v>528</v>
      </c>
      <c r="D2086" s="23" t="s">
        <v>155</v>
      </c>
      <c r="G2086" s="23">
        <v>0.64</v>
      </c>
      <c r="I2086" s="218" t="s">
        <v>3139</v>
      </c>
    </row>
    <row r="2087" spans="1:9" x14ac:dyDescent="0.25">
      <c r="A2087" s="23">
        <v>2087</v>
      </c>
      <c r="B2087" s="85">
        <v>45707</v>
      </c>
      <c r="C2087" s="23" t="s">
        <v>641</v>
      </c>
      <c r="D2087" s="23" t="s">
        <v>160</v>
      </c>
      <c r="G2087" s="23">
        <v>0</v>
      </c>
      <c r="I2087" s="218" t="s">
        <v>3140</v>
      </c>
    </row>
    <row r="2088" spans="1:9" x14ac:dyDescent="0.25">
      <c r="A2088" s="23">
        <v>2088</v>
      </c>
      <c r="B2088" s="85">
        <v>45707</v>
      </c>
      <c r="C2088" s="23" t="s">
        <v>3141</v>
      </c>
      <c r="D2088" s="23" t="s">
        <v>264</v>
      </c>
      <c r="G2088" s="23">
        <v>0</v>
      </c>
      <c r="I2088" s="218" t="s">
        <v>3142</v>
      </c>
    </row>
    <row r="2089" spans="1:9" x14ac:dyDescent="0.25">
      <c r="A2089" s="23">
        <v>2089</v>
      </c>
      <c r="B2089" s="85">
        <v>45707</v>
      </c>
      <c r="C2089" s="23" t="s">
        <v>1634</v>
      </c>
      <c r="D2089" s="23" t="s">
        <v>165</v>
      </c>
      <c r="G2089" s="23">
        <v>0.8</v>
      </c>
      <c r="I2089" s="218" t="s">
        <v>3143</v>
      </c>
    </row>
    <row r="2090" spans="1:9" x14ac:dyDescent="0.25">
      <c r="A2090" s="23">
        <v>2090</v>
      </c>
      <c r="B2090" s="85">
        <v>45707</v>
      </c>
      <c r="C2090" s="23" t="s">
        <v>1638</v>
      </c>
      <c r="D2090" s="23" t="s">
        <v>168</v>
      </c>
      <c r="G2090" s="23">
        <v>0.8</v>
      </c>
      <c r="I2090" s="218" t="s">
        <v>3144</v>
      </c>
    </row>
    <row r="2091" spans="1:9" x14ac:dyDescent="0.25">
      <c r="A2091" s="23">
        <v>2091</v>
      </c>
      <c r="B2091" s="85">
        <v>45707</v>
      </c>
      <c r="C2091" s="23" t="s">
        <v>2675</v>
      </c>
      <c r="D2091" s="23" t="s">
        <v>263</v>
      </c>
      <c r="G2091" s="23">
        <v>0.74</v>
      </c>
      <c r="I2091" s="218" t="s">
        <v>3145</v>
      </c>
    </row>
    <row r="2092" spans="1:9" x14ac:dyDescent="0.25">
      <c r="A2092" s="23">
        <v>2092</v>
      </c>
      <c r="B2092" s="85">
        <v>45707</v>
      </c>
      <c r="C2092" s="23" t="s">
        <v>3146</v>
      </c>
      <c r="D2092" s="23" t="s">
        <v>172</v>
      </c>
      <c r="G2092" s="23">
        <v>0.8</v>
      </c>
      <c r="I2092" s="218" t="s">
        <v>3147</v>
      </c>
    </row>
    <row r="2093" spans="1:9" x14ac:dyDescent="0.25">
      <c r="A2093" s="23">
        <v>2093</v>
      </c>
      <c r="B2093" s="85">
        <v>45707</v>
      </c>
      <c r="C2093" s="23" t="s">
        <v>3148</v>
      </c>
      <c r="D2093" s="23" t="s">
        <v>174</v>
      </c>
      <c r="G2093" s="23">
        <v>0.8</v>
      </c>
      <c r="I2093" s="218" t="s">
        <v>3149</v>
      </c>
    </row>
    <row r="2094" spans="1:9" x14ac:dyDescent="0.25">
      <c r="A2094" s="23">
        <v>2094</v>
      </c>
      <c r="B2094" s="85">
        <v>45707</v>
      </c>
      <c r="C2094" s="23" t="s">
        <v>3150</v>
      </c>
      <c r="D2094" s="23" t="s">
        <v>264</v>
      </c>
      <c r="G2094" s="23">
        <v>0.74</v>
      </c>
      <c r="I2094" s="218" t="s">
        <v>3151</v>
      </c>
    </row>
    <row r="2095" spans="1:9" x14ac:dyDescent="0.25">
      <c r="A2095" s="23">
        <v>2095</v>
      </c>
      <c r="B2095" s="85">
        <v>45707</v>
      </c>
      <c r="C2095" s="23" t="s">
        <v>1646</v>
      </c>
      <c r="D2095" s="23" t="s">
        <v>165</v>
      </c>
      <c r="G2095" s="23">
        <v>0</v>
      </c>
      <c r="I2095" s="218" t="s">
        <v>3143</v>
      </c>
    </row>
    <row r="2096" spans="1:9" ht="29.25" x14ac:dyDescent="0.25">
      <c r="A2096" s="23">
        <v>2096</v>
      </c>
      <c r="B2096" s="85">
        <v>45707</v>
      </c>
      <c r="C2096" s="23" t="s">
        <v>276</v>
      </c>
      <c r="D2096" s="23" t="s">
        <v>268</v>
      </c>
      <c r="G2096" s="23">
        <v>0</v>
      </c>
      <c r="H2096" s="235" t="s">
        <v>3157</v>
      </c>
      <c r="I2096" s="218" t="s">
        <v>3152</v>
      </c>
    </row>
    <row r="2097" spans="1:9" ht="29.25" x14ac:dyDescent="0.25">
      <c r="A2097" s="23">
        <v>2097</v>
      </c>
      <c r="B2097" s="85">
        <v>45707</v>
      </c>
      <c r="C2097" s="23" t="s">
        <v>276</v>
      </c>
      <c r="D2097" s="23" t="s">
        <v>260</v>
      </c>
      <c r="G2097" s="23">
        <v>0</v>
      </c>
      <c r="H2097" s="235" t="s">
        <v>3158</v>
      </c>
      <c r="I2097" s="218" t="s">
        <v>3153</v>
      </c>
    </row>
    <row r="2098" spans="1:9" ht="29.25" x14ac:dyDescent="0.25">
      <c r="A2098" s="23">
        <v>2098</v>
      </c>
      <c r="B2098" s="85">
        <v>45707</v>
      </c>
      <c r="C2098" s="23" t="s">
        <v>276</v>
      </c>
      <c r="D2098" s="23" t="s">
        <v>263</v>
      </c>
      <c r="G2098" s="23">
        <v>0</v>
      </c>
      <c r="H2098" s="235" t="s">
        <v>3157</v>
      </c>
      <c r="I2098" s="218" t="s">
        <v>3145</v>
      </c>
    </row>
    <row r="2099" spans="1:9" ht="29.25" x14ac:dyDescent="0.25">
      <c r="A2099" s="23">
        <v>2099</v>
      </c>
      <c r="B2099" s="85">
        <v>45707</v>
      </c>
      <c r="C2099" s="23" t="s">
        <v>276</v>
      </c>
      <c r="D2099" s="23" t="s">
        <v>264</v>
      </c>
      <c r="G2099" s="23">
        <v>0</v>
      </c>
      <c r="H2099" s="235" t="s">
        <v>3157</v>
      </c>
      <c r="I2099" s="218" t="s">
        <v>3151</v>
      </c>
    </row>
    <row r="2100" spans="1:9" ht="29.25" x14ac:dyDescent="0.25">
      <c r="A2100" s="23">
        <v>2100</v>
      </c>
      <c r="B2100" s="85">
        <v>45707</v>
      </c>
      <c r="C2100" s="23" t="s">
        <v>276</v>
      </c>
      <c r="D2100" s="23" t="s">
        <v>265</v>
      </c>
      <c r="G2100" s="23">
        <v>0</v>
      </c>
      <c r="H2100" s="235" t="s">
        <v>3158</v>
      </c>
      <c r="I2100" s="218" t="s">
        <v>3154</v>
      </c>
    </row>
    <row r="2101" spans="1:9" ht="29.25" x14ac:dyDescent="0.25">
      <c r="A2101" s="23">
        <v>2101</v>
      </c>
      <c r="B2101" s="85">
        <v>45707</v>
      </c>
      <c r="C2101" s="23" t="s">
        <v>276</v>
      </c>
      <c r="D2101" s="23" t="s">
        <v>261</v>
      </c>
      <c r="G2101" s="23">
        <v>0</v>
      </c>
      <c r="H2101" s="235" t="s">
        <v>3158</v>
      </c>
      <c r="I2101" s="218" t="s">
        <v>3155</v>
      </c>
    </row>
    <row r="2102" spans="1:9" ht="29.25" x14ac:dyDescent="0.25">
      <c r="A2102" s="23">
        <v>2102</v>
      </c>
      <c r="B2102" s="85">
        <v>45707</v>
      </c>
      <c r="C2102" s="23" t="s">
        <v>276</v>
      </c>
      <c r="D2102" s="23" t="s">
        <v>262</v>
      </c>
      <c r="G2102" s="23">
        <v>0</v>
      </c>
      <c r="H2102" s="235" t="s">
        <v>3158</v>
      </c>
      <c r="I2102" s="218" t="s">
        <v>3156</v>
      </c>
    </row>
    <row r="2103" spans="1:9" x14ac:dyDescent="0.25">
      <c r="A2103" s="23">
        <v>2103</v>
      </c>
      <c r="B2103" s="85">
        <v>45707</v>
      </c>
      <c r="C2103" s="23" t="s">
        <v>3159</v>
      </c>
      <c r="D2103" s="23" t="s">
        <v>168</v>
      </c>
      <c r="G2103" s="23">
        <v>0</v>
      </c>
      <c r="I2103" s="218" t="s">
        <v>3160</v>
      </c>
    </row>
    <row r="2104" spans="1:9" x14ac:dyDescent="0.25">
      <c r="A2104" s="23">
        <v>2104</v>
      </c>
      <c r="B2104" s="85">
        <v>45707</v>
      </c>
      <c r="C2104" s="23" t="s">
        <v>2383</v>
      </c>
      <c r="D2104" s="23" t="s">
        <v>172</v>
      </c>
      <c r="G2104" s="23">
        <v>0</v>
      </c>
      <c r="I2104" s="218" t="s">
        <v>3161</v>
      </c>
    </row>
    <row r="2105" spans="1:9" x14ac:dyDescent="0.25">
      <c r="A2105" s="23">
        <v>2105</v>
      </c>
      <c r="B2105" s="85">
        <v>45707</v>
      </c>
      <c r="C2105" s="23" t="s">
        <v>1492</v>
      </c>
      <c r="D2105" s="23" t="s">
        <v>260</v>
      </c>
      <c r="G2105" s="23">
        <v>0.7</v>
      </c>
      <c r="I2105" s="218" t="s">
        <v>3162</v>
      </c>
    </row>
    <row r="2106" spans="1:9" x14ac:dyDescent="0.25">
      <c r="A2106" s="23">
        <v>2106</v>
      </c>
      <c r="B2106" s="85">
        <v>45707</v>
      </c>
      <c r="C2106" s="23" t="s">
        <v>1492</v>
      </c>
      <c r="D2106" s="23" t="s">
        <v>264</v>
      </c>
      <c r="G2106" s="23">
        <v>0.7</v>
      </c>
      <c r="I2106" s="218" t="s">
        <v>3163</v>
      </c>
    </row>
    <row r="2107" spans="1:9" x14ac:dyDescent="0.25">
      <c r="A2107" s="23">
        <v>2107</v>
      </c>
      <c r="B2107" s="85">
        <v>45707</v>
      </c>
      <c r="C2107" s="23" t="s">
        <v>1492</v>
      </c>
      <c r="D2107" s="23" t="s">
        <v>265</v>
      </c>
      <c r="G2107" s="23">
        <v>0.7</v>
      </c>
      <c r="I2107" s="218" t="s">
        <v>3164</v>
      </c>
    </row>
    <row r="2108" spans="1:9" x14ac:dyDescent="0.25">
      <c r="A2108" s="23">
        <v>2108</v>
      </c>
      <c r="B2108" s="85">
        <v>45707</v>
      </c>
      <c r="C2108" s="23" t="s">
        <v>1492</v>
      </c>
      <c r="D2108" s="23" t="s">
        <v>261</v>
      </c>
      <c r="G2108" s="23">
        <v>0.7</v>
      </c>
      <c r="I2108" s="218" t="s">
        <v>3165</v>
      </c>
    </row>
    <row r="2109" spans="1:9" x14ac:dyDescent="0.25">
      <c r="A2109" s="23">
        <v>2109</v>
      </c>
      <c r="B2109" s="85">
        <v>45707</v>
      </c>
      <c r="C2109" s="23" t="s">
        <v>1492</v>
      </c>
      <c r="D2109" s="23" t="s">
        <v>262</v>
      </c>
      <c r="G2109" s="23">
        <v>0.7</v>
      </c>
      <c r="I2109" s="218" t="s">
        <v>3166</v>
      </c>
    </row>
    <row r="2110" spans="1:9" x14ac:dyDescent="0.25">
      <c r="A2110" s="23">
        <v>2110</v>
      </c>
      <c r="B2110" s="85">
        <v>45707</v>
      </c>
      <c r="C2110" s="23" t="s">
        <v>271</v>
      </c>
      <c r="D2110" s="23" t="s">
        <v>263</v>
      </c>
      <c r="G2110" s="23">
        <v>0.7</v>
      </c>
      <c r="I2110" s="218" t="s">
        <v>3167</v>
      </c>
    </row>
    <row r="2111" spans="1:9" x14ac:dyDescent="0.25">
      <c r="A2111" s="23">
        <v>2111</v>
      </c>
      <c r="B2111" s="85">
        <v>45707</v>
      </c>
      <c r="C2111" s="23" t="s">
        <v>1805</v>
      </c>
      <c r="D2111" s="23" t="s">
        <v>174</v>
      </c>
      <c r="G2111" s="23">
        <v>0</v>
      </c>
      <c r="I2111" s="218" t="s">
        <v>3168</v>
      </c>
    </row>
    <row r="2112" spans="1:9" x14ac:dyDescent="0.25">
      <c r="A2112" s="23">
        <v>2112</v>
      </c>
      <c r="B2112" s="85">
        <v>45707</v>
      </c>
      <c r="C2112" s="23" t="s">
        <v>3169</v>
      </c>
      <c r="D2112" s="23" t="s">
        <v>162</v>
      </c>
      <c r="G2112" s="23">
        <v>0.8</v>
      </c>
      <c r="I2112" s="218" t="s">
        <v>3170</v>
      </c>
    </row>
    <row r="2113" spans="1:9" x14ac:dyDescent="0.25">
      <c r="A2113" s="23">
        <v>2113</v>
      </c>
      <c r="B2113" s="85">
        <v>45707</v>
      </c>
      <c r="C2113" s="23" t="s">
        <v>3171</v>
      </c>
      <c r="D2113" s="23" t="s">
        <v>202</v>
      </c>
      <c r="G2113" s="23">
        <v>0.8</v>
      </c>
      <c r="I2113" s="218" t="s">
        <v>3172</v>
      </c>
    </row>
    <row r="2114" spans="1:9" x14ac:dyDescent="0.25">
      <c r="A2114" s="23">
        <v>2114</v>
      </c>
      <c r="B2114" s="85">
        <v>45707</v>
      </c>
      <c r="C2114" s="23" t="s">
        <v>3171</v>
      </c>
      <c r="D2114" s="23" t="s">
        <v>177</v>
      </c>
      <c r="G2114" s="23">
        <v>0.8</v>
      </c>
      <c r="I2114" s="218" t="s">
        <v>3173</v>
      </c>
    </row>
    <row r="2115" spans="1:9" x14ac:dyDescent="0.25">
      <c r="A2115" s="23">
        <v>2115</v>
      </c>
      <c r="B2115" s="85">
        <v>45707</v>
      </c>
      <c r="C2115" s="23" t="s">
        <v>3171</v>
      </c>
      <c r="D2115" s="23" t="s">
        <v>161</v>
      </c>
      <c r="G2115" s="23">
        <v>0.8</v>
      </c>
      <c r="I2115" s="218" t="s">
        <v>3174</v>
      </c>
    </row>
    <row r="2116" spans="1:9" x14ac:dyDescent="0.25">
      <c r="A2116" s="23">
        <v>2116</v>
      </c>
      <c r="B2116" s="85">
        <v>45707</v>
      </c>
      <c r="C2116" s="23" t="s">
        <v>2685</v>
      </c>
      <c r="D2116" s="23" t="s">
        <v>157</v>
      </c>
      <c r="G2116" s="23">
        <v>0</v>
      </c>
      <c r="I2116" s="218" t="s">
        <v>3175</v>
      </c>
    </row>
    <row r="2117" spans="1:9" x14ac:dyDescent="0.25">
      <c r="A2117" s="23">
        <v>2117</v>
      </c>
      <c r="B2117" s="85">
        <v>45707</v>
      </c>
      <c r="C2117" s="23" t="s">
        <v>276</v>
      </c>
      <c r="D2117" s="23" t="s">
        <v>268</v>
      </c>
      <c r="G2117" s="23" t="s">
        <v>9</v>
      </c>
      <c r="I2117" s="218" t="s">
        <v>295</v>
      </c>
    </row>
    <row r="2118" spans="1:9" x14ac:dyDescent="0.25">
      <c r="A2118" s="23">
        <v>2118</v>
      </c>
      <c r="B2118" s="85">
        <v>45707</v>
      </c>
      <c r="C2118" s="23" t="s">
        <v>3177</v>
      </c>
      <c r="D2118" s="23" t="s">
        <v>202</v>
      </c>
      <c r="G2118" s="23">
        <v>0</v>
      </c>
      <c r="I2118" s="218" t="s">
        <v>3178</v>
      </c>
    </row>
    <row r="2119" spans="1:9" x14ac:dyDescent="0.25">
      <c r="A2119" s="23">
        <v>2119</v>
      </c>
      <c r="B2119" s="85">
        <v>45707</v>
      </c>
      <c r="C2119" s="23" t="s">
        <v>1808</v>
      </c>
      <c r="D2119" s="23" t="s">
        <v>177</v>
      </c>
      <c r="G2119" s="23">
        <v>0</v>
      </c>
      <c r="I2119" s="218" t="s">
        <v>3179</v>
      </c>
    </row>
    <row r="2120" spans="1:9" x14ac:dyDescent="0.25">
      <c r="A2120" s="23">
        <v>2120</v>
      </c>
      <c r="B2120" s="85">
        <v>45707</v>
      </c>
      <c r="C2120" s="23" t="s">
        <v>1344</v>
      </c>
      <c r="D2120" s="23" t="s">
        <v>159</v>
      </c>
      <c r="G2120" s="23">
        <v>1</v>
      </c>
      <c r="I2120" s="218" t="s">
        <v>3180</v>
      </c>
    </row>
    <row r="2121" spans="1:9" x14ac:dyDescent="0.25">
      <c r="A2121" s="23">
        <v>2121</v>
      </c>
      <c r="B2121" s="85">
        <v>45707</v>
      </c>
      <c r="C2121" s="23" t="s">
        <v>1346</v>
      </c>
      <c r="D2121" s="23" t="s">
        <v>169</v>
      </c>
      <c r="G2121" s="23">
        <v>0</v>
      </c>
      <c r="I2121" s="218" t="s">
        <v>3181</v>
      </c>
    </row>
    <row r="2122" spans="1:9" x14ac:dyDescent="0.25">
      <c r="A2122" s="23">
        <v>2122</v>
      </c>
      <c r="B2122" s="85">
        <v>45707</v>
      </c>
      <c r="C2122" s="23" t="s">
        <v>3182</v>
      </c>
      <c r="D2122" s="23" t="s">
        <v>161</v>
      </c>
      <c r="G2122" s="23">
        <v>0</v>
      </c>
      <c r="I2122" s="218" t="s">
        <v>3183</v>
      </c>
    </row>
    <row r="2123" spans="1:9" x14ac:dyDescent="0.25">
      <c r="A2123" s="23">
        <v>2123</v>
      </c>
      <c r="B2123" s="85">
        <v>45707</v>
      </c>
      <c r="C2123" s="23" t="s">
        <v>388</v>
      </c>
      <c r="D2123" s="23" t="s">
        <v>162</v>
      </c>
      <c r="G2123" s="23">
        <v>0</v>
      </c>
      <c r="I2123" s="218" t="s">
        <v>3184</v>
      </c>
    </row>
    <row r="2124" spans="1:9" x14ac:dyDescent="0.25">
      <c r="A2124" s="23">
        <v>2124</v>
      </c>
      <c r="B2124" s="85">
        <v>45707</v>
      </c>
      <c r="C2124" s="23" t="s">
        <v>2245</v>
      </c>
      <c r="D2124" s="23" t="s">
        <v>175</v>
      </c>
      <c r="G2124" s="23">
        <v>0</v>
      </c>
      <c r="I2124" s="218" t="s">
        <v>3185</v>
      </c>
    </row>
    <row r="2125" spans="1:9" x14ac:dyDescent="0.25">
      <c r="A2125" s="23">
        <v>2125</v>
      </c>
      <c r="B2125" s="85">
        <v>45707</v>
      </c>
      <c r="C2125" s="23" t="s">
        <v>680</v>
      </c>
      <c r="D2125" s="23" t="s">
        <v>160</v>
      </c>
      <c r="G2125" s="23">
        <v>0.8</v>
      </c>
      <c r="I2125" s="218" t="s">
        <v>3186</v>
      </c>
    </row>
    <row r="2126" spans="1:9" x14ac:dyDescent="0.25">
      <c r="A2126" s="23">
        <v>2126</v>
      </c>
      <c r="B2126" s="85">
        <v>45707</v>
      </c>
      <c r="C2126" s="23" t="s">
        <v>682</v>
      </c>
      <c r="D2126" s="23" t="s">
        <v>166</v>
      </c>
      <c r="G2126" s="23">
        <v>0</v>
      </c>
      <c r="I2126" s="218" t="s">
        <v>3187</v>
      </c>
    </row>
    <row r="2127" spans="1:9" x14ac:dyDescent="0.25">
      <c r="A2127" s="23">
        <v>2127</v>
      </c>
      <c r="B2127" s="85">
        <v>45708</v>
      </c>
      <c r="C2127" s="23" t="s">
        <v>399</v>
      </c>
      <c r="D2127" s="23" t="s">
        <v>154</v>
      </c>
      <c r="G2127" s="23">
        <v>0</v>
      </c>
      <c r="I2127" s="218" t="s">
        <v>3188</v>
      </c>
    </row>
    <row r="2128" spans="1:9" x14ac:dyDescent="0.25">
      <c r="A2128" s="23">
        <v>2128</v>
      </c>
      <c r="B2128" s="85">
        <v>45708</v>
      </c>
      <c r="C2128" s="23" t="s">
        <v>3189</v>
      </c>
      <c r="D2128" s="23" t="s">
        <v>153</v>
      </c>
      <c r="G2128" s="23">
        <v>0</v>
      </c>
      <c r="I2128" s="218" t="s">
        <v>3190</v>
      </c>
    </row>
    <row r="2129" spans="1:9" x14ac:dyDescent="0.25">
      <c r="A2129" s="23">
        <v>2129</v>
      </c>
      <c r="B2129" s="85">
        <v>45708</v>
      </c>
      <c r="C2129" s="23" t="s">
        <v>3191</v>
      </c>
      <c r="D2129" s="23" t="s">
        <v>264</v>
      </c>
      <c r="G2129" s="23">
        <v>0</v>
      </c>
      <c r="I2129" s="218" t="s">
        <v>3192</v>
      </c>
    </row>
    <row r="2130" spans="1:9" x14ac:dyDescent="0.25">
      <c r="A2130" s="23">
        <v>2130</v>
      </c>
      <c r="B2130" s="85">
        <v>45708</v>
      </c>
      <c r="C2130" s="23" t="s">
        <v>3193</v>
      </c>
      <c r="D2130" s="23" t="s">
        <v>194</v>
      </c>
      <c r="G2130" s="23">
        <v>0.5</v>
      </c>
      <c r="I2130" s="218" t="s">
        <v>3194</v>
      </c>
    </row>
    <row r="2131" spans="1:9" x14ac:dyDescent="0.25">
      <c r="A2131" s="23">
        <v>2131</v>
      </c>
      <c r="B2131" s="85">
        <v>45708</v>
      </c>
      <c r="C2131" s="23" t="s">
        <v>3195</v>
      </c>
      <c r="D2131" s="23" t="s">
        <v>163</v>
      </c>
      <c r="G2131" s="23">
        <v>0.8</v>
      </c>
      <c r="I2131" s="218" t="s">
        <v>3196</v>
      </c>
    </row>
    <row r="2132" spans="1:9" x14ac:dyDescent="0.25">
      <c r="A2132" s="23">
        <v>2132</v>
      </c>
      <c r="B2132" s="85">
        <v>45708</v>
      </c>
      <c r="C2132" s="23" t="s">
        <v>3197</v>
      </c>
      <c r="D2132" s="23" t="s">
        <v>153</v>
      </c>
      <c r="G2132" s="23">
        <v>1</v>
      </c>
      <c r="I2132" s="218" t="s">
        <v>3198</v>
      </c>
    </row>
    <row r="2133" spans="1:9" x14ac:dyDescent="0.25">
      <c r="A2133" s="23">
        <v>2133</v>
      </c>
      <c r="B2133" s="85">
        <v>45708</v>
      </c>
      <c r="C2133" s="23" t="s">
        <v>1944</v>
      </c>
      <c r="D2133" s="23" t="s">
        <v>163</v>
      </c>
      <c r="G2133" s="23">
        <v>0</v>
      </c>
      <c r="I2133" s="218" t="s">
        <v>3196</v>
      </c>
    </row>
    <row r="2134" spans="1:9" x14ac:dyDescent="0.25">
      <c r="A2134" s="23">
        <v>2134</v>
      </c>
      <c r="B2134" s="85">
        <v>45708</v>
      </c>
      <c r="C2134" s="23" t="s">
        <v>3199</v>
      </c>
      <c r="D2134" s="23" t="s">
        <v>194</v>
      </c>
      <c r="G2134" s="23">
        <v>0</v>
      </c>
      <c r="I2134" s="218" t="s">
        <v>3200</v>
      </c>
    </row>
    <row r="2135" spans="1:9" x14ac:dyDescent="0.25">
      <c r="A2135" s="23">
        <v>2135</v>
      </c>
      <c r="B2135" s="85">
        <v>45708</v>
      </c>
      <c r="C2135" s="23" t="s">
        <v>227</v>
      </c>
      <c r="D2135" s="23" t="s">
        <v>164</v>
      </c>
      <c r="G2135" s="23">
        <v>0.8</v>
      </c>
      <c r="I2135" s="218" t="s">
        <v>3201</v>
      </c>
    </row>
    <row r="2136" spans="1:9" x14ac:dyDescent="0.25">
      <c r="A2136" s="23">
        <v>2136</v>
      </c>
      <c r="B2136" s="85">
        <v>45708</v>
      </c>
      <c r="C2136" s="23" t="s">
        <v>1431</v>
      </c>
      <c r="D2136" s="23" t="s">
        <v>169</v>
      </c>
      <c r="G2136" s="23">
        <v>0.82</v>
      </c>
      <c r="I2136" s="218" t="s">
        <v>3202</v>
      </c>
    </row>
    <row r="2137" spans="1:9" x14ac:dyDescent="0.25">
      <c r="A2137" s="23">
        <v>2137</v>
      </c>
      <c r="B2137" s="85">
        <v>45708</v>
      </c>
      <c r="C2137" s="23" t="s">
        <v>227</v>
      </c>
      <c r="D2137" s="23" t="s">
        <v>159</v>
      </c>
      <c r="G2137" s="23">
        <v>0</v>
      </c>
      <c r="I2137" s="218" t="s">
        <v>3203</v>
      </c>
    </row>
    <row r="2138" spans="1:9" x14ac:dyDescent="0.25">
      <c r="A2138" s="23">
        <v>2138</v>
      </c>
      <c r="B2138" s="85">
        <v>45708</v>
      </c>
      <c r="C2138" s="23" t="s">
        <v>1247</v>
      </c>
      <c r="D2138" s="23" t="s">
        <v>165</v>
      </c>
      <c r="G2138" s="23">
        <v>0.8</v>
      </c>
      <c r="I2138" s="218" t="s">
        <v>3204</v>
      </c>
    </row>
    <row r="2139" spans="1:9" x14ac:dyDescent="0.25">
      <c r="A2139" s="23">
        <v>2139</v>
      </c>
      <c r="B2139" s="85">
        <v>45708</v>
      </c>
      <c r="C2139" s="23" t="s">
        <v>1065</v>
      </c>
      <c r="D2139" s="23" t="s">
        <v>194</v>
      </c>
      <c r="G2139" s="23" t="s">
        <v>7</v>
      </c>
      <c r="I2139" s="218" t="s">
        <v>3205</v>
      </c>
    </row>
    <row r="2140" spans="1:9" x14ac:dyDescent="0.25">
      <c r="A2140" s="23">
        <v>2140</v>
      </c>
      <c r="B2140" s="85">
        <v>45708</v>
      </c>
      <c r="C2140" s="23" t="s">
        <v>1835</v>
      </c>
      <c r="D2140" s="23" t="s">
        <v>168</v>
      </c>
      <c r="G2140" s="23">
        <v>0.8</v>
      </c>
      <c r="I2140" s="218" t="s">
        <v>3206</v>
      </c>
    </row>
    <row r="2141" spans="1:9" x14ac:dyDescent="0.25">
      <c r="A2141" s="23">
        <v>2141</v>
      </c>
      <c r="B2141" s="85">
        <v>45708</v>
      </c>
      <c r="C2141" s="23" t="s">
        <v>3207</v>
      </c>
      <c r="D2141" s="23" t="s">
        <v>170</v>
      </c>
      <c r="G2141" s="23">
        <v>0.8</v>
      </c>
      <c r="I2141" s="218" t="s">
        <v>3208</v>
      </c>
    </row>
    <row r="2142" spans="1:9" x14ac:dyDescent="0.25">
      <c r="A2142" s="23">
        <v>2142</v>
      </c>
      <c r="B2142" s="85">
        <v>45708</v>
      </c>
      <c r="C2142" s="23" t="s">
        <v>3209</v>
      </c>
      <c r="D2142" s="23" t="s">
        <v>164</v>
      </c>
      <c r="G2142" s="23">
        <v>0</v>
      </c>
      <c r="I2142" s="218" t="s">
        <v>3201</v>
      </c>
    </row>
    <row r="2143" spans="1:9" x14ac:dyDescent="0.25">
      <c r="A2143" s="23">
        <v>2143</v>
      </c>
      <c r="B2143" s="85">
        <v>45708</v>
      </c>
      <c r="C2143" s="23" t="s">
        <v>3210</v>
      </c>
      <c r="D2143" s="23" t="s">
        <v>154</v>
      </c>
      <c r="G2143" s="23">
        <v>1</v>
      </c>
      <c r="I2143" s="218" t="s">
        <v>3211</v>
      </c>
    </row>
    <row r="2144" spans="1:9" x14ac:dyDescent="0.25">
      <c r="A2144" s="23">
        <v>2144</v>
      </c>
      <c r="B2144" s="85">
        <v>45708</v>
      </c>
      <c r="C2144" s="23" t="s">
        <v>1415</v>
      </c>
      <c r="D2144" s="23" t="s">
        <v>165</v>
      </c>
      <c r="G2144" s="23">
        <v>0</v>
      </c>
      <c r="I2144" s="218" t="s">
        <v>3204</v>
      </c>
    </row>
    <row r="2145" spans="1:9" x14ac:dyDescent="0.25">
      <c r="A2145" s="23">
        <v>2145</v>
      </c>
      <c r="B2145" s="85">
        <v>45708</v>
      </c>
      <c r="C2145" s="23" t="s">
        <v>1415</v>
      </c>
      <c r="D2145" s="23" t="s">
        <v>168</v>
      </c>
      <c r="G2145" s="23">
        <v>0</v>
      </c>
      <c r="I2145" s="218" t="s">
        <v>3206</v>
      </c>
    </row>
    <row r="2146" spans="1:9" x14ac:dyDescent="0.25">
      <c r="A2146" s="23">
        <v>2146</v>
      </c>
      <c r="B2146" s="85">
        <v>45708</v>
      </c>
      <c r="C2146" s="23" t="s">
        <v>3212</v>
      </c>
      <c r="D2146" s="23" t="s">
        <v>170</v>
      </c>
      <c r="G2146" s="23">
        <v>0</v>
      </c>
      <c r="I2146" s="218" t="s">
        <v>3208</v>
      </c>
    </row>
    <row r="2147" spans="1:9" x14ac:dyDescent="0.25">
      <c r="A2147" s="23">
        <v>2147</v>
      </c>
      <c r="B2147" s="85">
        <v>45708</v>
      </c>
      <c r="C2147" s="23" t="s">
        <v>432</v>
      </c>
      <c r="D2147" s="23" t="s">
        <v>268</v>
      </c>
      <c r="G2147" s="23">
        <v>0.8</v>
      </c>
      <c r="I2147" s="218" t="s">
        <v>3213</v>
      </c>
    </row>
    <row r="2148" spans="1:9" x14ac:dyDescent="0.25">
      <c r="A2148" s="23">
        <v>2148</v>
      </c>
      <c r="B2148" s="85">
        <v>45708</v>
      </c>
      <c r="C2148" s="23" t="s">
        <v>737</v>
      </c>
      <c r="D2148" s="23" t="s">
        <v>175</v>
      </c>
      <c r="G2148" s="23">
        <v>1</v>
      </c>
      <c r="I2148" s="218" t="s">
        <v>3214</v>
      </c>
    </row>
    <row r="2149" spans="1:9" x14ac:dyDescent="0.25">
      <c r="A2149" s="23">
        <v>2149</v>
      </c>
      <c r="B2149" s="85">
        <v>45708</v>
      </c>
      <c r="C2149" s="23" t="s">
        <v>1090</v>
      </c>
      <c r="D2149" s="23" t="s">
        <v>174</v>
      </c>
      <c r="G2149" s="23">
        <v>0.8</v>
      </c>
      <c r="I2149" s="218" t="s">
        <v>3215</v>
      </c>
    </row>
    <row r="2150" spans="1:9" x14ac:dyDescent="0.25">
      <c r="A2150" s="23">
        <v>2150</v>
      </c>
      <c r="B2150" s="85">
        <v>45708</v>
      </c>
      <c r="C2150" s="23" t="s">
        <v>1090</v>
      </c>
      <c r="D2150" s="23" t="s">
        <v>172</v>
      </c>
      <c r="G2150" s="23">
        <v>0.8</v>
      </c>
      <c r="I2150" s="218" t="s">
        <v>3216</v>
      </c>
    </row>
    <row r="2151" spans="1:9" x14ac:dyDescent="0.25">
      <c r="A2151" s="23">
        <v>2151</v>
      </c>
      <c r="B2151" s="85">
        <v>45708</v>
      </c>
      <c r="C2151" s="23" t="s">
        <v>746</v>
      </c>
      <c r="D2151" s="23" t="s">
        <v>202</v>
      </c>
      <c r="G2151" s="23">
        <v>0.8</v>
      </c>
      <c r="I2151" s="218" t="s">
        <v>3217</v>
      </c>
    </row>
    <row r="2152" spans="1:9" x14ac:dyDescent="0.25">
      <c r="A2152" s="23">
        <v>2152</v>
      </c>
      <c r="B2152" s="85">
        <v>45708</v>
      </c>
      <c r="C2152" s="23" t="s">
        <v>951</v>
      </c>
      <c r="D2152" s="23" t="s">
        <v>151</v>
      </c>
      <c r="G2152" s="23">
        <v>0</v>
      </c>
      <c r="I2152" s="218" t="s">
        <v>3218</v>
      </c>
    </row>
    <row r="2153" spans="1:9" x14ac:dyDescent="0.25">
      <c r="A2153" s="23">
        <v>2153</v>
      </c>
      <c r="B2153" s="85">
        <v>45708</v>
      </c>
      <c r="C2153" s="23" t="s">
        <v>951</v>
      </c>
      <c r="D2153" s="23" t="s">
        <v>151</v>
      </c>
      <c r="G2153" s="23" t="s">
        <v>9</v>
      </c>
      <c r="I2153" s="218" t="s">
        <v>295</v>
      </c>
    </row>
    <row r="2154" spans="1:9" x14ac:dyDescent="0.25">
      <c r="A2154" s="23">
        <v>2154</v>
      </c>
      <c r="B2154" s="85">
        <v>45708</v>
      </c>
      <c r="C2154" s="23" t="s">
        <v>3220</v>
      </c>
      <c r="D2154" s="23" t="s">
        <v>177</v>
      </c>
      <c r="G2154" s="23">
        <v>0.8</v>
      </c>
      <c r="I2154" s="218" t="s">
        <v>3221</v>
      </c>
    </row>
    <row r="2155" spans="1:9" x14ac:dyDescent="0.25">
      <c r="A2155" s="23">
        <v>2155</v>
      </c>
      <c r="B2155" s="85">
        <v>45708</v>
      </c>
      <c r="C2155" s="23" t="s">
        <v>955</v>
      </c>
      <c r="D2155" s="23" t="s">
        <v>161</v>
      </c>
      <c r="G2155" s="23">
        <v>0.8</v>
      </c>
      <c r="I2155" s="218" t="s">
        <v>3222</v>
      </c>
    </row>
    <row r="2156" spans="1:9" x14ac:dyDescent="0.25">
      <c r="A2156" s="23">
        <v>2156</v>
      </c>
      <c r="B2156" s="85">
        <v>45708</v>
      </c>
      <c r="C2156" s="23" t="s">
        <v>3103</v>
      </c>
      <c r="D2156" s="23" t="s">
        <v>157</v>
      </c>
      <c r="G2156" s="23">
        <v>1</v>
      </c>
      <c r="I2156" s="218" t="s">
        <v>3223</v>
      </c>
    </row>
    <row r="2157" spans="1:9" x14ac:dyDescent="0.25">
      <c r="A2157" s="23">
        <v>2157</v>
      </c>
      <c r="B2157" s="85">
        <v>45708</v>
      </c>
      <c r="C2157" s="23" t="s">
        <v>1102</v>
      </c>
      <c r="D2157" s="23" t="s">
        <v>163</v>
      </c>
      <c r="G2157" s="23">
        <v>0.8</v>
      </c>
      <c r="I2157" s="218" t="s">
        <v>3224</v>
      </c>
    </row>
    <row r="2158" spans="1:9" x14ac:dyDescent="0.25">
      <c r="A2158" s="23">
        <v>2158</v>
      </c>
      <c r="B2158" s="85">
        <v>45708</v>
      </c>
      <c r="C2158" s="23" t="s">
        <v>1102</v>
      </c>
      <c r="D2158" s="23" t="s">
        <v>164</v>
      </c>
      <c r="G2158" s="23">
        <v>0.8</v>
      </c>
      <c r="I2158" s="218" t="s">
        <v>3225</v>
      </c>
    </row>
    <row r="2159" spans="1:9" x14ac:dyDescent="0.25">
      <c r="A2159" s="23">
        <v>2159</v>
      </c>
      <c r="B2159" s="85">
        <v>45708</v>
      </c>
      <c r="C2159" s="23" t="s">
        <v>1102</v>
      </c>
      <c r="D2159" s="23" t="s">
        <v>165</v>
      </c>
      <c r="G2159" s="23">
        <v>0.8</v>
      </c>
      <c r="I2159" s="218" t="s">
        <v>3226</v>
      </c>
    </row>
    <row r="2160" spans="1:9" x14ac:dyDescent="0.25">
      <c r="A2160" s="23">
        <v>2160</v>
      </c>
      <c r="B2160" s="85">
        <v>45708</v>
      </c>
      <c r="C2160" s="23" t="s">
        <v>1102</v>
      </c>
      <c r="D2160" s="23" t="s">
        <v>168</v>
      </c>
      <c r="G2160" s="23">
        <v>0.8</v>
      </c>
      <c r="I2160" s="218" t="s">
        <v>3227</v>
      </c>
    </row>
    <row r="2161" spans="1:9" x14ac:dyDescent="0.25">
      <c r="A2161" s="23">
        <v>2161</v>
      </c>
      <c r="B2161" s="85">
        <v>45708</v>
      </c>
      <c r="C2161" s="23" t="s">
        <v>958</v>
      </c>
      <c r="D2161" s="23" t="s">
        <v>175</v>
      </c>
      <c r="G2161" s="23">
        <v>0</v>
      </c>
      <c r="I2161" s="218" t="s">
        <v>3228</v>
      </c>
    </row>
    <row r="2162" spans="1:9" x14ac:dyDescent="0.25">
      <c r="A2162" s="23">
        <v>2162</v>
      </c>
      <c r="B2162" s="85">
        <v>45708</v>
      </c>
      <c r="C2162" s="23" t="s">
        <v>958</v>
      </c>
      <c r="D2162" s="23" t="s">
        <v>175</v>
      </c>
      <c r="G2162" s="23" t="s">
        <v>9</v>
      </c>
      <c r="I2162" s="218" t="s">
        <v>295</v>
      </c>
    </row>
    <row r="2163" spans="1:9" x14ac:dyDescent="0.25">
      <c r="A2163" s="23">
        <v>2163</v>
      </c>
      <c r="B2163" s="85">
        <v>45708</v>
      </c>
      <c r="C2163" s="23" t="s">
        <v>752</v>
      </c>
      <c r="D2163" s="23" t="s">
        <v>162</v>
      </c>
      <c r="G2163" s="23">
        <v>0.88888888888888884</v>
      </c>
      <c r="I2163" s="218" t="s">
        <v>3230</v>
      </c>
    </row>
    <row r="2164" spans="1:9" x14ac:dyDescent="0.25">
      <c r="A2164" s="23">
        <v>2164</v>
      </c>
      <c r="B2164" s="85">
        <v>45708</v>
      </c>
      <c r="C2164" s="23" t="s">
        <v>2609</v>
      </c>
      <c r="D2164" s="23" t="s">
        <v>174</v>
      </c>
      <c r="G2164" s="23">
        <v>0</v>
      </c>
      <c r="I2164" s="218" t="s">
        <v>3215</v>
      </c>
    </row>
    <row r="2165" spans="1:9" x14ac:dyDescent="0.25">
      <c r="A2165" s="23">
        <v>2165</v>
      </c>
      <c r="B2165" s="85">
        <v>45708</v>
      </c>
      <c r="C2165" s="23" t="s">
        <v>2609</v>
      </c>
      <c r="D2165" s="23" t="s">
        <v>172</v>
      </c>
      <c r="G2165" s="23">
        <v>0</v>
      </c>
      <c r="I2165" s="218" t="s">
        <v>3216</v>
      </c>
    </row>
    <row r="2166" spans="1:9" x14ac:dyDescent="0.25">
      <c r="A2166" s="23">
        <v>2166</v>
      </c>
      <c r="B2166" s="85">
        <v>45708</v>
      </c>
      <c r="C2166" s="23" t="s">
        <v>764</v>
      </c>
      <c r="D2166" s="23" t="s">
        <v>202</v>
      </c>
      <c r="G2166" s="23">
        <v>0</v>
      </c>
      <c r="I2166" s="218" t="s">
        <v>3217</v>
      </c>
    </row>
    <row r="2167" spans="1:9" x14ac:dyDescent="0.25">
      <c r="A2167" s="23">
        <v>2167</v>
      </c>
      <c r="B2167" s="85">
        <v>45708</v>
      </c>
      <c r="C2167" s="23" t="s">
        <v>764</v>
      </c>
      <c r="D2167" s="23" t="s">
        <v>177</v>
      </c>
      <c r="G2167" s="23">
        <v>0</v>
      </c>
      <c r="I2167" s="218" t="s">
        <v>3221</v>
      </c>
    </row>
    <row r="2168" spans="1:9" x14ac:dyDescent="0.25">
      <c r="A2168" s="23">
        <v>2168</v>
      </c>
      <c r="B2168" s="85">
        <v>45708</v>
      </c>
      <c r="C2168" s="23" t="s">
        <v>1111</v>
      </c>
      <c r="D2168" s="23" t="s">
        <v>268</v>
      </c>
      <c r="G2168" s="23">
        <v>0</v>
      </c>
      <c r="I2168" s="218" t="s">
        <v>3231</v>
      </c>
    </row>
    <row r="2169" spans="1:9" x14ac:dyDescent="0.25">
      <c r="A2169" s="23">
        <v>2169</v>
      </c>
      <c r="B2169" s="85">
        <v>45708</v>
      </c>
      <c r="C2169" s="23" t="s">
        <v>1111</v>
      </c>
      <c r="D2169" s="23" t="s">
        <v>260</v>
      </c>
      <c r="G2169" s="23">
        <v>0</v>
      </c>
      <c r="I2169" s="218" t="s">
        <v>3232</v>
      </c>
    </row>
    <row r="2170" spans="1:9" x14ac:dyDescent="0.25">
      <c r="A2170" s="23">
        <v>2170</v>
      </c>
      <c r="B2170" s="85">
        <v>45708</v>
      </c>
      <c r="C2170" s="23" t="s">
        <v>1111</v>
      </c>
      <c r="D2170" s="23" t="s">
        <v>263</v>
      </c>
      <c r="G2170" s="23">
        <v>0</v>
      </c>
      <c r="I2170" s="218" t="s">
        <v>3233</v>
      </c>
    </row>
    <row r="2171" spans="1:9" x14ac:dyDescent="0.25">
      <c r="A2171" s="23">
        <v>2171</v>
      </c>
      <c r="B2171" s="85">
        <v>45708</v>
      </c>
      <c r="C2171" s="23" t="s">
        <v>1111</v>
      </c>
      <c r="D2171" s="23" t="s">
        <v>265</v>
      </c>
      <c r="G2171" s="23">
        <v>0</v>
      </c>
      <c r="I2171" s="218" t="s">
        <v>3234</v>
      </c>
    </row>
    <row r="2172" spans="1:9" x14ac:dyDescent="0.25">
      <c r="A2172" s="23">
        <v>2172</v>
      </c>
      <c r="B2172" s="85">
        <v>45708</v>
      </c>
      <c r="C2172" s="23" t="s">
        <v>1111</v>
      </c>
      <c r="D2172" s="23" t="s">
        <v>261</v>
      </c>
      <c r="G2172" s="23">
        <v>0</v>
      </c>
      <c r="I2172" s="218" t="s">
        <v>3235</v>
      </c>
    </row>
    <row r="2173" spans="1:9" x14ac:dyDescent="0.25">
      <c r="A2173" s="23">
        <v>2173</v>
      </c>
      <c r="B2173" s="85">
        <v>45708</v>
      </c>
      <c r="C2173" s="23" t="s">
        <v>1111</v>
      </c>
      <c r="D2173" s="23" t="s">
        <v>262</v>
      </c>
      <c r="G2173" s="23">
        <v>0</v>
      </c>
      <c r="I2173" s="218" t="s">
        <v>3236</v>
      </c>
    </row>
    <row r="2174" spans="1:9" x14ac:dyDescent="0.25">
      <c r="A2174" s="23">
        <v>2174</v>
      </c>
      <c r="B2174" s="85">
        <v>45708</v>
      </c>
      <c r="C2174" s="23" t="s">
        <v>196</v>
      </c>
      <c r="D2174" s="23" t="s">
        <v>161</v>
      </c>
      <c r="G2174" s="23">
        <v>0</v>
      </c>
      <c r="I2174" s="218" t="s">
        <v>3237</v>
      </c>
    </row>
    <row r="2175" spans="1:9" x14ac:dyDescent="0.25">
      <c r="A2175" s="23">
        <v>2175</v>
      </c>
      <c r="B2175" s="85">
        <v>45708</v>
      </c>
      <c r="C2175" s="23" t="s">
        <v>3238</v>
      </c>
      <c r="D2175" s="23" t="s">
        <v>170</v>
      </c>
      <c r="G2175" s="23">
        <v>0.8</v>
      </c>
      <c r="I2175" s="218" t="s">
        <v>3239</v>
      </c>
    </row>
    <row r="2176" spans="1:9" x14ac:dyDescent="0.25">
      <c r="A2176" s="23">
        <v>2176</v>
      </c>
      <c r="B2176" s="85">
        <v>45708</v>
      </c>
      <c r="C2176" s="23" t="s">
        <v>1857</v>
      </c>
      <c r="D2176" s="23" t="s">
        <v>172</v>
      </c>
      <c r="G2176" s="23">
        <v>0.8</v>
      </c>
      <c r="I2176" s="218" t="s">
        <v>3240</v>
      </c>
    </row>
    <row r="2177" spans="1:9" x14ac:dyDescent="0.25">
      <c r="A2177" s="23">
        <v>2177</v>
      </c>
      <c r="B2177" s="85">
        <v>45708</v>
      </c>
      <c r="C2177" s="23" t="s">
        <v>2308</v>
      </c>
      <c r="D2177" s="23" t="s">
        <v>174</v>
      </c>
      <c r="G2177" s="23">
        <v>0.8</v>
      </c>
      <c r="I2177" s="218" t="s">
        <v>3241</v>
      </c>
    </row>
    <row r="2178" spans="1:9" x14ac:dyDescent="0.25">
      <c r="A2178" s="23">
        <v>2178</v>
      </c>
      <c r="B2178" s="85">
        <v>45708</v>
      </c>
      <c r="C2178" s="23" t="s">
        <v>2802</v>
      </c>
      <c r="D2178" s="23" t="s">
        <v>260</v>
      </c>
      <c r="G2178" s="23">
        <v>0.8833333333333333</v>
      </c>
      <c r="I2178" s="218" t="s">
        <v>3242</v>
      </c>
    </row>
    <row r="2179" spans="1:9" x14ac:dyDescent="0.25">
      <c r="A2179" s="23">
        <v>2179</v>
      </c>
      <c r="B2179" s="85">
        <v>45708</v>
      </c>
      <c r="C2179" s="23" t="s">
        <v>2802</v>
      </c>
      <c r="D2179" s="23" t="s">
        <v>264</v>
      </c>
      <c r="G2179" s="23">
        <v>0.8833333333333333</v>
      </c>
      <c r="I2179" s="218" t="s">
        <v>3243</v>
      </c>
    </row>
    <row r="2180" spans="1:9" x14ac:dyDescent="0.25">
      <c r="A2180" s="23">
        <v>2180</v>
      </c>
      <c r="B2180" s="85">
        <v>45708</v>
      </c>
      <c r="C2180" s="23" t="s">
        <v>2802</v>
      </c>
      <c r="D2180" s="23" t="s">
        <v>265</v>
      </c>
      <c r="G2180" s="23">
        <v>0.8833333333333333</v>
      </c>
      <c r="I2180" s="218" t="s">
        <v>3244</v>
      </c>
    </row>
    <row r="2181" spans="1:9" x14ac:dyDescent="0.25">
      <c r="A2181" s="23">
        <v>2181</v>
      </c>
      <c r="B2181" s="85">
        <v>45708</v>
      </c>
      <c r="C2181" s="23" t="s">
        <v>2802</v>
      </c>
      <c r="D2181" s="23" t="s">
        <v>261</v>
      </c>
      <c r="G2181" s="23">
        <v>0.8833333333333333</v>
      </c>
      <c r="I2181" s="218" t="s">
        <v>3245</v>
      </c>
    </row>
    <row r="2182" spans="1:9" x14ac:dyDescent="0.25">
      <c r="A2182" s="23">
        <v>2182</v>
      </c>
      <c r="B2182" s="85">
        <v>45708</v>
      </c>
      <c r="C2182" s="23" t="s">
        <v>2802</v>
      </c>
      <c r="D2182" s="23" t="s">
        <v>262</v>
      </c>
      <c r="G2182" s="23">
        <v>0.8833333333333333</v>
      </c>
      <c r="I2182" s="218" t="s">
        <v>3246</v>
      </c>
    </row>
    <row r="2183" spans="1:9" x14ac:dyDescent="0.25">
      <c r="A2183" s="23">
        <v>2183</v>
      </c>
      <c r="B2183" s="85">
        <v>45708</v>
      </c>
      <c r="C2183" s="23" t="s">
        <v>2173</v>
      </c>
      <c r="D2183" s="23" t="s">
        <v>202</v>
      </c>
      <c r="G2183" s="23">
        <v>0.8125</v>
      </c>
      <c r="I2183" s="218" t="s">
        <v>3247</v>
      </c>
    </row>
    <row r="2184" spans="1:9" x14ac:dyDescent="0.25">
      <c r="A2184" s="23">
        <v>2184</v>
      </c>
      <c r="B2184" s="85">
        <v>45708</v>
      </c>
      <c r="C2184" s="23" t="s">
        <v>3248</v>
      </c>
      <c r="D2184" s="23" t="s">
        <v>177</v>
      </c>
      <c r="G2184" s="23">
        <v>0.8</v>
      </c>
      <c r="I2184" s="218" t="s">
        <v>3249</v>
      </c>
    </row>
    <row r="2185" spans="1:9" x14ac:dyDescent="0.25">
      <c r="A2185" s="23">
        <v>2185</v>
      </c>
      <c r="B2185" s="85">
        <v>45708</v>
      </c>
      <c r="C2185" s="23" t="s">
        <v>3250</v>
      </c>
      <c r="D2185" s="23" t="s">
        <v>260</v>
      </c>
      <c r="G2185" s="23">
        <v>0</v>
      </c>
      <c r="I2185" s="218" t="s">
        <v>3242</v>
      </c>
    </row>
    <row r="2186" spans="1:9" x14ac:dyDescent="0.25">
      <c r="A2186" s="23">
        <v>2186</v>
      </c>
      <c r="B2186" s="85">
        <v>45708</v>
      </c>
      <c r="C2186" s="23" t="s">
        <v>3250</v>
      </c>
      <c r="D2186" s="23" t="s">
        <v>264</v>
      </c>
      <c r="G2186" s="23">
        <v>0</v>
      </c>
      <c r="I2186" s="218" t="s">
        <v>3243</v>
      </c>
    </row>
    <row r="2187" spans="1:9" x14ac:dyDescent="0.25">
      <c r="A2187" s="23">
        <v>2187</v>
      </c>
      <c r="B2187" s="85">
        <v>45708</v>
      </c>
      <c r="C2187" s="23" t="s">
        <v>3250</v>
      </c>
      <c r="D2187" s="23" t="s">
        <v>262</v>
      </c>
      <c r="G2187" s="23">
        <v>0</v>
      </c>
      <c r="I2187" s="218" t="s">
        <v>3246</v>
      </c>
    </row>
    <row r="2188" spans="1:9" x14ac:dyDescent="0.25">
      <c r="A2188" s="23">
        <v>2188</v>
      </c>
      <c r="B2188" s="85">
        <v>45708</v>
      </c>
      <c r="C2188" s="23" t="s">
        <v>156</v>
      </c>
      <c r="D2188" s="23" t="s">
        <v>175</v>
      </c>
      <c r="G2188" s="23">
        <v>1.8</v>
      </c>
      <c r="H2188" s="23" t="s">
        <v>3267</v>
      </c>
      <c r="I2188" s="218" t="s">
        <v>3251</v>
      </c>
    </row>
    <row r="2189" spans="1:9" x14ac:dyDescent="0.25">
      <c r="A2189" s="23">
        <v>2189</v>
      </c>
      <c r="B2189" s="85">
        <v>45708</v>
      </c>
      <c r="C2189" s="23" t="s">
        <v>1601</v>
      </c>
      <c r="D2189" s="23" t="s">
        <v>162</v>
      </c>
      <c r="G2189" s="23">
        <v>0</v>
      </c>
      <c r="I2189" s="218" t="s">
        <v>3252</v>
      </c>
    </row>
    <row r="2190" spans="1:9" x14ac:dyDescent="0.25">
      <c r="A2190" s="23">
        <v>2190</v>
      </c>
      <c r="B2190" s="85">
        <v>45708</v>
      </c>
      <c r="C2190" s="23" t="s">
        <v>2017</v>
      </c>
      <c r="D2190" s="23" t="s">
        <v>163</v>
      </c>
      <c r="G2190" s="23">
        <v>0</v>
      </c>
      <c r="I2190" s="218" t="s">
        <v>3253</v>
      </c>
    </row>
    <row r="2191" spans="1:9" x14ac:dyDescent="0.25">
      <c r="A2191" s="23">
        <v>2191</v>
      </c>
      <c r="B2191" s="85">
        <v>45708</v>
      </c>
      <c r="C2191" s="23" t="s">
        <v>2480</v>
      </c>
      <c r="D2191" s="23" t="s">
        <v>164</v>
      </c>
      <c r="G2191" s="23">
        <v>0</v>
      </c>
      <c r="I2191" s="218" t="s">
        <v>3254</v>
      </c>
    </row>
    <row r="2192" spans="1:9" x14ac:dyDescent="0.25">
      <c r="A2192" s="23">
        <v>2192</v>
      </c>
      <c r="B2192" s="85">
        <v>45708</v>
      </c>
      <c r="C2192" s="23" t="s">
        <v>2639</v>
      </c>
      <c r="D2192" s="23" t="s">
        <v>165</v>
      </c>
      <c r="G2192" s="23">
        <v>0</v>
      </c>
      <c r="I2192" s="218" t="s">
        <v>3255</v>
      </c>
    </row>
    <row r="2193" spans="1:9" x14ac:dyDescent="0.25">
      <c r="A2193" s="23">
        <v>2193</v>
      </c>
      <c r="B2193" s="85">
        <v>45708</v>
      </c>
      <c r="C2193" s="23" t="s">
        <v>908</v>
      </c>
      <c r="D2193" s="23" t="s">
        <v>166</v>
      </c>
      <c r="G2193" s="23">
        <v>0.52</v>
      </c>
      <c r="I2193" s="218" t="s">
        <v>3256</v>
      </c>
    </row>
    <row r="2194" spans="1:9" x14ac:dyDescent="0.25">
      <c r="A2194" s="23">
        <v>2194</v>
      </c>
      <c r="B2194" s="85">
        <v>45708</v>
      </c>
      <c r="C2194" s="23" t="s">
        <v>910</v>
      </c>
      <c r="D2194" s="23" t="s">
        <v>155</v>
      </c>
      <c r="G2194" s="23">
        <v>0</v>
      </c>
      <c r="I2194" s="218" t="s">
        <v>3257</v>
      </c>
    </row>
    <row r="2195" spans="1:9" x14ac:dyDescent="0.25">
      <c r="A2195" s="23">
        <v>2195</v>
      </c>
      <c r="B2195" s="85">
        <v>45708</v>
      </c>
      <c r="C2195" s="23" t="s">
        <v>167</v>
      </c>
      <c r="D2195" s="23" t="s">
        <v>155</v>
      </c>
      <c r="G2195" s="23">
        <v>0.61</v>
      </c>
      <c r="I2195" s="218" t="s">
        <v>3258</v>
      </c>
    </row>
    <row r="2196" spans="1:9" x14ac:dyDescent="0.25">
      <c r="A2196" s="23">
        <v>2196</v>
      </c>
      <c r="B2196" s="85">
        <v>45708</v>
      </c>
      <c r="C2196" s="23" t="s">
        <v>1601</v>
      </c>
      <c r="D2196" s="23" t="s">
        <v>160</v>
      </c>
      <c r="G2196" s="23">
        <v>0</v>
      </c>
      <c r="I2196" s="218" t="s">
        <v>3259</v>
      </c>
    </row>
    <row r="2197" spans="1:9" x14ac:dyDescent="0.25">
      <c r="A2197" s="23">
        <v>2197</v>
      </c>
      <c r="B2197" s="85">
        <v>45708</v>
      </c>
      <c r="C2197" s="23" t="s">
        <v>3260</v>
      </c>
      <c r="D2197" s="23" t="s">
        <v>168</v>
      </c>
      <c r="G2197" s="23">
        <v>0</v>
      </c>
      <c r="I2197" s="218" t="s">
        <v>3261</v>
      </c>
    </row>
    <row r="2198" spans="1:9" x14ac:dyDescent="0.25">
      <c r="A2198" s="23">
        <v>2198</v>
      </c>
      <c r="B2198" s="85">
        <v>45708</v>
      </c>
      <c r="C2198" s="23" t="s">
        <v>3262</v>
      </c>
      <c r="D2198" s="23" t="s">
        <v>194</v>
      </c>
      <c r="G2198" s="23">
        <v>0</v>
      </c>
      <c r="I2198" s="218" t="s">
        <v>3263</v>
      </c>
    </row>
    <row r="2199" spans="1:9" x14ac:dyDescent="0.25">
      <c r="A2199" s="23">
        <v>2199</v>
      </c>
      <c r="B2199" s="85">
        <v>45708</v>
      </c>
      <c r="C2199" s="23" t="s">
        <v>3262</v>
      </c>
      <c r="D2199" s="23" t="s">
        <v>194</v>
      </c>
      <c r="G2199" s="23">
        <v>1</v>
      </c>
      <c r="H2199" s="23" t="s">
        <v>3268</v>
      </c>
      <c r="I2199" s="218" t="s">
        <v>295</v>
      </c>
    </row>
    <row r="2200" spans="1:9" x14ac:dyDescent="0.25">
      <c r="A2200" s="23">
        <v>2200</v>
      </c>
      <c r="B2200" s="85">
        <v>45708</v>
      </c>
      <c r="C2200" s="23" t="s">
        <v>274</v>
      </c>
      <c r="D2200" s="23" t="s">
        <v>170</v>
      </c>
      <c r="G2200" s="23">
        <v>0</v>
      </c>
      <c r="I2200" s="218" t="s">
        <v>3264</v>
      </c>
    </row>
    <row r="2201" spans="1:9" x14ac:dyDescent="0.25">
      <c r="A2201" s="23">
        <v>2201</v>
      </c>
      <c r="B2201" s="85">
        <v>45708</v>
      </c>
      <c r="C2201" s="23" t="s">
        <v>3024</v>
      </c>
      <c r="D2201" s="23" t="s">
        <v>262</v>
      </c>
      <c r="G2201" s="23">
        <v>0.8</v>
      </c>
      <c r="I2201" s="218" t="s">
        <v>3265</v>
      </c>
    </row>
    <row r="2202" spans="1:9" x14ac:dyDescent="0.25">
      <c r="A2202" s="23">
        <v>2202</v>
      </c>
      <c r="B2202" s="85">
        <v>45708</v>
      </c>
      <c r="C2202" s="23" t="s">
        <v>3024</v>
      </c>
      <c r="D2202" s="23" t="s">
        <v>178</v>
      </c>
      <c r="G2202" s="23">
        <v>0.8</v>
      </c>
      <c r="I2202" s="218" t="s">
        <v>3266</v>
      </c>
    </row>
    <row r="2203" spans="1:9" x14ac:dyDescent="0.25">
      <c r="A2203" s="23">
        <v>2203</v>
      </c>
      <c r="B2203" s="85">
        <v>45708</v>
      </c>
      <c r="C2203" s="23" t="s">
        <v>3270</v>
      </c>
      <c r="D2203" s="23" t="s">
        <v>194</v>
      </c>
      <c r="G2203" s="23">
        <v>0</v>
      </c>
      <c r="I2203" s="218" t="s">
        <v>3271</v>
      </c>
    </row>
    <row r="2204" spans="1:9" x14ac:dyDescent="0.25">
      <c r="A2204" s="23">
        <v>2204</v>
      </c>
      <c r="B2204" s="85">
        <v>45708</v>
      </c>
      <c r="C2204" s="23" t="s">
        <v>3270</v>
      </c>
      <c r="D2204" s="23" t="s">
        <v>194</v>
      </c>
      <c r="G2204" s="23" t="s">
        <v>7</v>
      </c>
      <c r="I2204" s="218" t="s">
        <v>295</v>
      </c>
    </row>
    <row r="2205" spans="1:9" x14ac:dyDescent="0.25">
      <c r="A2205" s="23">
        <v>2205</v>
      </c>
      <c r="B2205" s="85">
        <v>45708</v>
      </c>
      <c r="C2205" s="23" t="s">
        <v>211</v>
      </c>
      <c r="D2205" s="23" t="s">
        <v>173</v>
      </c>
      <c r="G2205" s="23">
        <v>0.8</v>
      </c>
      <c r="I2205" s="218" t="s">
        <v>3272</v>
      </c>
    </row>
    <row r="2206" spans="1:9" x14ac:dyDescent="0.25">
      <c r="A2206" s="23">
        <v>2206</v>
      </c>
      <c r="B2206" s="85">
        <v>45708</v>
      </c>
      <c r="C2206" s="23" t="s">
        <v>3273</v>
      </c>
      <c r="D2206" s="23" t="s">
        <v>163</v>
      </c>
      <c r="G2206" s="23">
        <v>0.8</v>
      </c>
      <c r="I2206" s="218" t="s">
        <v>3274</v>
      </c>
    </row>
    <row r="2207" spans="1:9" x14ac:dyDescent="0.25">
      <c r="A2207" s="23">
        <v>2207</v>
      </c>
      <c r="B2207" s="85">
        <v>45708</v>
      </c>
      <c r="C2207" s="23" t="s">
        <v>3275</v>
      </c>
      <c r="D2207" s="23" t="s">
        <v>162</v>
      </c>
      <c r="G2207" s="23">
        <v>0.8</v>
      </c>
      <c r="I2207" s="218" t="s">
        <v>3276</v>
      </c>
    </row>
    <row r="2208" spans="1:9" x14ac:dyDescent="0.25">
      <c r="A2208" s="23">
        <v>2208</v>
      </c>
      <c r="B2208" s="85">
        <v>45708</v>
      </c>
      <c r="C2208" s="23" t="s">
        <v>211</v>
      </c>
      <c r="D2208" s="23" t="s">
        <v>161</v>
      </c>
      <c r="G2208" s="23">
        <v>0.8</v>
      </c>
      <c r="I2208" s="218" t="s">
        <v>3277</v>
      </c>
    </row>
    <row r="2209" spans="1:9" x14ac:dyDescent="0.25">
      <c r="A2209" s="23">
        <v>2209</v>
      </c>
      <c r="B2209" s="85">
        <v>45708</v>
      </c>
      <c r="C2209" s="23" t="s">
        <v>3278</v>
      </c>
      <c r="D2209" s="23" t="s">
        <v>174</v>
      </c>
      <c r="G2209" s="23">
        <v>0</v>
      </c>
      <c r="I2209" s="218" t="s">
        <v>3279</v>
      </c>
    </row>
    <row r="2210" spans="1:9" x14ac:dyDescent="0.25">
      <c r="A2210" s="23">
        <v>2210</v>
      </c>
      <c r="B2210" s="85">
        <v>45708</v>
      </c>
      <c r="C2210" s="23" t="s">
        <v>2925</v>
      </c>
      <c r="D2210" s="23" t="s">
        <v>172</v>
      </c>
      <c r="G2210" s="23">
        <v>0</v>
      </c>
      <c r="I2210" s="218" t="s">
        <v>3280</v>
      </c>
    </row>
    <row r="2211" spans="1:9" x14ac:dyDescent="0.25">
      <c r="A2211" s="23">
        <v>2211</v>
      </c>
      <c r="B2211" s="85">
        <v>45708</v>
      </c>
      <c r="C2211" s="23" t="s">
        <v>2042</v>
      </c>
      <c r="D2211" s="23" t="s">
        <v>163</v>
      </c>
      <c r="G2211" s="23">
        <v>0</v>
      </c>
      <c r="I2211" s="218" t="s">
        <v>3274</v>
      </c>
    </row>
    <row r="2212" spans="1:9" x14ac:dyDescent="0.25">
      <c r="A2212" s="23">
        <v>2212</v>
      </c>
      <c r="B2212" s="85">
        <v>45708</v>
      </c>
      <c r="C2212" s="23" t="s">
        <v>2042</v>
      </c>
      <c r="D2212" s="23" t="s">
        <v>173</v>
      </c>
      <c r="G2212" s="23">
        <v>0</v>
      </c>
      <c r="I2212" s="218" t="s">
        <v>3272</v>
      </c>
    </row>
    <row r="2213" spans="1:9" x14ac:dyDescent="0.25">
      <c r="A2213" s="23">
        <v>2213</v>
      </c>
      <c r="B2213" s="85">
        <v>45708</v>
      </c>
      <c r="C2213" s="23" t="s">
        <v>2042</v>
      </c>
      <c r="D2213" s="23" t="s">
        <v>150</v>
      </c>
      <c r="G2213" s="23">
        <v>0</v>
      </c>
      <c r="I2213" s="218" t="s">
        <v>3281</v>
      </c>
    </row>
    <row r="2214" spans="1:9" x14ac:dyDescent="0.25">
      <c r="A2214" s="23">
        <v>2214</v>
      </c>
      <c r="B2214" s="85">
        <v>45708</v>
      </c>
      <c r="C2214" s="23" t="s">
        <v>2042</v>
      </c>
      <c r="D2214" s="23" t="s">
        <v>150</v>
      </c>
      <c r="G2214" s="23" t="s">
        <v>9</v>
      </c>
      <c r="I2214" s="218" t="s">
        <v>295</v>
      </c>
    </row>
    <row r="2215" spans="1:9" x14ac:dyDescent="0.25">
      <c r="A2215" s="23">
        <v>2215</v>
      </c>
      <c r="B2215" s="85">
        <v>45708</v>
      </c>
      <c r="C2215" s="23" t="s">
        <v>2193</v>
      </c>
      <c r="D2215" s="23" t="s">
        <v>252</v>
      </c>
      <c r="G2215" s="23">
        <v>0.95</v>
      </c>
      <c r="I2215" s="218" t="s">
        <v>3284</v>
      </c>
    </row>
    <row r="2216" spans="1:9" x14ac:dyDescent="0.25">
      <c r="A2216" s="23">
        <v>2216</v>
      </c>
      <c r="B2216" s="85">
        <v>45708</v>
      </c>
      <c r="C2216" s="23" t="s">
        <v>2193</v>
      </c>
      <c r="D2216" s="23" t="s">
        <v>273</v>
      </c>
      <c r="G2216" s="23">
        <v>0.95</v>
      </c>
      <c r="I2216" s="218" t="s">
        <v>3285</v>
      </c>
    </row>
    <row r="2217" spans="1:9" x14ac:dyDescent="0.25">
      <c r="A2217" s="23">
        <v>2217</v>
      </c>
      <c r="B2217" s="85">
        <v>45708</v>
      </c>
      <c r="C2217" s="23" t="s">
        <v>2193</v>
      </c>
      <c r="D2217" s="23" t="s">
        <v>164</v>
      </c>
      <c r="G2217" s="23">
        <v>0.8</v>
      </c>
      <c r="I2217" s="218" t="s">
        <v>3286</v>
      </c>
    </row>
    <row r="2218" spans="1:9" x14ac:dyDescent="0.25">
      <c r="A2218" s="23">
        <v>2218</v>
      </c>
      <c r="B2218" s="85">
        <v>45708</v>
      </c>
      <c r="C2218" s="23" t="s">
        <v>2193</v>
      </c>
      <c r="D2218" s="23" t="s">
        <v>165</v>
      </c>
      <c r="G2218" s="23">
        <v>0.8</v>
      </c>
      <c r="I2218" s="218" t="s">
        <v>3287</v>
      </c>
    </row>
    <row r="2219" spans="1:9" x14ac:dyDescent="0.25">
      <c r="A2219" s="23">
        <v>2219</v>
      </c>
      <c r="B2219" s="85">
        <v>45708</v>
      </c>
      <c r="C2219" s="23" t="s">
        <v>2497</v>
      </c>
      <c r="D2219" s="23" t="s">
        <v>163</v>
      </c>
      <c r="G2219" s="23">
        <v>0.8</v>
      </c>
      <c r="I2219" s="218" t="s">
        <v>3288</v>
      </c>
    </row>
    <row r="2220" spans="1:9" x14ac:dyDescent="0.25">
      <c r="A2220" s="23">
        <v>2220</v>
      </c>
      <c r="B2220" s="85">
        <v>45708</v>
      </c>
      <c r="C2220" s="23" t="s">
        <v>2497</v>
      </c>
      <c r="D2220" s="23" t="s">
        <v>170</v>
      </c>
      <c r="G2220" s="23">
        <v>0.8</v>
      </c>
      <c r="I2220" s="218" t="s">
        <v>3289</v>
      </c>
    </row>
    <row r="2221" spans="1:9" x14ac:dyDescent="0.25">
      <c r="A2221" s="23">
        <v>2221</v>
      </c>
      <c r="B2221" s="85">
        <v>45708</v>
      </c>
      <c r="C2221" s="23" t="s">
        <v>2497</v>
      </c>
      <c r="D2221" s="23" t="s">
        <v>174</v>
      </c>
      <c r="G2221" s="23">
        <v>0.8</v>
      </c>
      <c r="I2221" s="218" t="s">
        <v>3291</v>
      </c>
    </row>
    <row r="2222" spans="1:9" x14ac:dyDescent="0.25">
      <c r="A2222" s="23">
        <v>2222</v>
      </c>
      <c r="B2222" s="85">
        <v>45708</v>
      </c>
      <c r="C2222" s="23" t="s">
        <v>2497</v>
      </c>
      <c r="D2222" s="23" t="s">
        <v>172</v>
      </c>
      <c r="G2222" s="23">
        <v>0.8</v>
      </c>
      <c r="I2222" s="218" t="s">
        <v>3292</v>
      </c>
    </row>
    <row r="2223" spans="1:9" x14ac:dyDescent="0.25">
      <c r="A2223" s="23">
        <v>2223</v>
      </c>
      <c r="B2223" s="85">
        <v>45708</v>
      </c>
      <c r="C2223" s="23" t="s">
        <v>2497</v>
      </c>
      <c r="D2223" s="23" t="s">
        <v>168</v>
      </c>
      <c r="G2223" s="23">
        <v>0.8</v>
      </c>
      <c r="I2223" s="218" t="s">
        <v>3293</v>
      </c>
    </row>
    <row r="2224" spans="1:9" x14ac:dyDescent="0.25">
      <c r="A2224" s="23">
        <v>2224</v>
      </c>
      <c r="B2224" s="85">
        <v>45708</v>
      </c>
      <c r="C2224" s="23" t="s">
        <v>1139</v>
      </c>
      <c r="D2224" s="23" t="s">
        <v>173</v>
      </c>
      <c r="G2224" s="23">
        <v>0.8</v>
      </c>
      <c r="I2224" s="218" t="s">
        <v>3290</v>
      </c>
    </row>
    <row r="2225" spans="1:9" x14ac:dyDescent="0.25">
      <c r="A2225" s="23">
        <v>2225</v>
      </c>
      <c r="B2225" s="85">
        <v>45708</v>
      </c>
      <c r="C2225" s="23" t="s">
        <v>146</v>
      </c>
      <c r="D2225" s="23" t="s">
        <v>302</v>
      </c>
      <c r="G2225" s="23" t="s">
        <v>9</v>
      </c>
      <c r="I2225" s="218" t="s">
        <v>3294</v>
      </c>
    </row>
    <row r="2226" spans="1:9" x14ac:dyDescent="0.25">
      <c r="A2226" s="23">
        <v>2226</v>
      </c>
      <c r="B2226" s="85">
        <v>45708</v>
      </c>
      <c r="C2226" s="23" t="s">
        <v>146</v>
      </c>
      <c r="D2226" s="23" t="s">
        <v>272</v>
      </c>
      <c r="G2226" s="23" t="s">
        <v>9</v>
      </c>
      <c r="I2226" s="218" t="s">
        <v>3295</v>
      </c>
    </row>
    <row r="2227" spans="1:9" x14ac:dyDescent="0.25">
      <c r="A2227" s="23">
        <v>2227</v>
      </c>
      <c r="B2227" s="85">
        <v>45708</v>
      </c>
      <c r="C2227" s="23" t="s">
        <v>826</v>
      </c>
      <c r="D2227" s="23" t="s">
        <v>150</v>
      </c>
      <c r="G2227" s="23">
        <v>3</v>
      </c>
      <c r="I2227" s="218" t="s">
        <v>3296</v>
      </c>
    </row>
    <row r="2228" spans="1:9" x14ac:dyDescent="0.25">
      <c r="A2228" s="23">
        <v>2228</v>
      </c>
      <c r="B2228" s="85">
        <v>45708</v>
      </c>
      <c r="C2228" s="23" t="s">
        <v>1612</v>
      </c>
      <c r="D2228" s="23" t="s">
        <v>173</v>
      </c>
      <c r="G2228" s="23">
        <v>0</v>
      </c>
      <c r="I2228" s="218" t="s">
        <v>3297</v>
      </c>
    </row>
    <row r="2229" spans="1:9" x14ac:dyDescent="0.25">
      <c r="A2229" s="23">
        <v>2229</v>
      </c>
      <c r="B2229" s="85">
        <v>45708</v>
      </c>
      <c r="C2229" s="23" t="s">
        <v>1612</v>
      </c>
      <c r="D2229" s="23" t="s">
        <v>202</v>
      </c>
      <c r="G2229" s="23">
        <v>0</v>
      </c>
      <c r="I2229" s="218" t="s">
        <v>3298</v>
      </c>
    </row>
    <row r="2230" spans="1:9" x14ac:dyDescent="0.25">
      <c r="A2230" s="23">
        <v>2230</v>
      </c>
      <c r="B2230" s="85">
        <v>45708</v>
      </c>
      <c r="C2230" s="23" t="s">
        <v>3299</v>
      </c>
      <c r="D2230" s="23" t="s">
        <v>178</v>
      </c>
      <c r="G2230" s="23">
        <v>0</v>
      </c>
      <c r="I2230" s="218" t="s">
        <v>3300</v>
      </c>
    </row>
    <row r="2231" spans="1:9" x14ac:dyDescent="0.25">
      <c r="A2231" s="23">
        <v>2231</v>
      </c>
      <c r="B2231" s="85">
        <v>45708</v>
      </c>
      <c r="C2231" s="23" t="s">
        <v>3299</v>
      </c>
      <c r="D2231" s="23" t="s">
        <v>177</v>
      </c>
      <c r="G2231" s="23">
        <v>0</v>
      </c>
      <c r="I2231" s="218" t="s">
        <v>3301</v>
      </c>
    </row>
    <row r="2232" spans="1:9" x14ac:dyDescent="0.25">
      <c r="A2232" s="23">
        <v>2232</v>
      </c>
      <c r="B2232" s="85">
        <v>45708</v>
      </c>
      <c r="C2232" s="23" t="s">
        <v>2071</v>
      </c>
      <c r="D2232" s="23" t="s">
        <v>161</v>
      </c>
      <c r="G2232" s="23">
        <v>0</v>
      </c>
      <c r="I2232" s="218" t="s">
        <v>3302</v>
      </c>
    </row>
    <row r="2233" spans="1:9" x14ac:dyDescent="0.25">
      <c r="A2233" s="23">
        <v>2233</v>
      </c>
      <c r="B2233" s="85">
        <v>45708</v>
      </c>
      <c r="C2233" s="23" t="s">
        <v>2071</v>
      </c>
      <c r="D2233" s="23" t="s">
        <v>162</v>
      </c>
      <c r="G2233" s="23">
        <v>0</v>
      </c>
      <c r="I2233" s="218" t="s">
        <v>3303</v>
      </c>
    </row>
    <row r="2234" spans="1:9" x14ac:dyDescent="0.25">
      <c r="A2234" s="23">
        <v>2234</v>
      </c>
      <c r="B2234" s="85">
        <v>45708</v>
      </c>
      <c r="C2234" s="23" t="s">
        <v>3304</v>
      </c>
      <c r="D2234" s="23" t="s">
        <v>252</v>
      </c>
      <c r="G2234" s="23">
        <v>0</v>
      </c>
      <c r="I2234" s="218" t="s">
        <v>3305</v>
      </c>
    </row>
    <row r="2235" spans="1:9" x14ac:dyDescent="0.25">
      <c r="A2235" s="23">
        <v>2235</v>
      </c>
      <c r="B2235" s="85">
        <v>45708</v>
      </c>
      <c r="C2235" s="23" t="s">
        <v>1781</v>
      </c>
      <c r="D2235" s="23" t="s">
        <v>273</v>
      </c>
      <c r="G2235" s="23">
        <v>0</v>
      </c>
      <c r="I2235" s="218" t="s">
        <v>3306</v>
      </c>
    </row>
    <row r="2236" spans="1:9" x14ac:dyDescent="0.25">
      <c r="A2236" s="23">
        <v>2236</v>
      </c>
      <c r="B2236" s="85">
        <v>45708</v>
      </c>
      <c r="C2236" s="23" t="s">
        <v>3307</v>
      </c>
      <c r="D2236" s="23" t="s">
        <v>163</v>
      </c>
      <c r="G2236" s="23">
        <v>0</v>
      </c>
      <c r="I2236" s="218" t="s">
        <v>3308</v>
      </c>
    </row>
    <row r="2237" spans="1:9" ht="29.25" x14ac:dyDescent="0.25">
      <c r="A2237" s="23">
        <v>2237</v>
      </c>
      <c r="B2237" s="85">
        <v>45708</v>
      </c>
      <c r="C2237" s="23" t="s">
        <v>2081</v>
      </c>
      <c r="D2237" s="23" t="s">
        <v>169</v>
      </c>
      <c r="G2237" s="23">
        <v>0</v>
      </c>
      <c r="H2237" s="235" t="s">
        <v>3310</v>
      </c>
      <c r="I2237" s="218" t="s">
        <v>3309</v>
      </c>
    </row>
    <row r="2238" spans="1:9" x14ac:dyDescent="0.25">
      <c r="A2238" s="23">
        <v>2238</v>
      </c>
      <c r="B2238" s="85">
        <v>45708</v>
      </c>
      <c r="C2238" s="23" t="s">
        <v>641</v>
      </c>
      <c r="D2238" s="23" t="s">
        <v>164</v>
      </c>
      <c r="G2238" s="23">
        <v>0</v>
      </c>
      <c r="I2238" s="218" t="s">
        <v>3311</v>
      </c>
    </row>
    <row r="2239" spans="1:9" x14ac:dyDescent="0.25">
      <c r="A2239" s="23">
        <v>2239</v>
      </c>
      <c r="B2239" s="85">
        <v>45708</v>
      </c>
      <c r="C2239" s="23" t="s">
        <v>526</v>
      </c>
      <c r="D2239" s="23" t="s">
        <v>160</v>
      </c>
      <c r="G2239" s="23">
        <v>0.56000000000000005</v>
      </c>
      <c r="I2239" s="218" t="s">
        <v>3312</v>
      </c>
    </row>
    <row r="2240" spans="1:9" x14ac:dyDescent="0.25">
      <c r="A2240" s="23">
        <v>2240</v>
      </c>
      <c r="B2240" s="85">
        <v>45708</v>
      </c>
      <c r="C2240" s="23" t="s">
        <v>528</v>
      </c>
      <c r="D2240" s="23" t="s">
        <v>166</v>
      </c>
      <c r="G2240" s="23">
        <v>0</v>
      </c>
      <c r="I2240" s="218" t="s">
        <v>3313</v>
      </c>
    </row>
    <row r="2241" spans="1:9" x14ac:dyDescent="0.25">
      <c r="A2241" s="23">
        <v>2241</v>
      </c>
      <c r="B2241" s="85">
        <v>45708</v>
      </c>
      <c r="C2241" s="23" t="s">
        <v>1001</v>
      </c>
      <c r="D2241" s="23" t="s">
        <v>165</v>
      </c>
      <c r="G2241" s="23">
        <v>0</v>
      </c>
      <c r="I2241" s="218" t="s">
        <v>3314</v>
      </c>
    </row>
    <row r="2242" spans="1:9" x14ac:dyDescent="0.25">
      <c r="A2242" s="23">
        <v>2242</v>
      </c>
      <c r="B2242" s="85">
        <v>45708</v>
      </c>
      <c r="C2242" s="23" t="s">
        <v>1624</v>
      </c>
      <c r="D2242" s="23" t="s">
        <v>168</v>
      </c>
      <c r="G2242" s="23">
        <v>0</v>
      </c>
      <c r="I2242" s="218" t="s">
        <v>3315</v>
      </c>
    </row>
    <row r="2243" spans="1:9" x14ac:dyDescent="0.25">
      <c r="A2243" s="23">
        <v>2243</v>
      </c>
      <c r="B2243" s="85">
        <v>45708</v>
      </c>
      <c r="C2243" s="23" t="s">
        <v>3316</v>
      </c>
      <c r="D2243" s="23" t="s">
        <v>170</v>
      </c>
      <c r="G2243" s="23">
        <v>0</v>
      </c>
      <c r="I2243" s="218" t="s">
        <v>3317</v>
      </c>
    </row>
    <row r="2244" spans="1:9" x14ac:dyDescent="0.25">
      <c r="A2244" s="23">
        <v>2244</v>
      </c>
      <c r="B2244" s="85">
        <v>45708</v>
      </c>
      <c r="C2244" s="23" t="s">
        <v>1884</v>
      </c>
      <c r="D2244" s="23" t="s">
        <v>169</v>
      </c>
      <c r="G2244" s="23">
        <v>0.87</v>
      </c>
      <c r="I2244" s="218" t="s">
        <v>3318</v>
      </c>
    </row>
    <row r="2245" spans="1:9" x14ac:dyDescent="0.25">
      <c r="A2245" s="23">
        <v>2245</v>
      </c>
      <c r="B2245" s="85">
        <v>45708</v>
      </c>
      <c r="C2245" s="23" t="s">
        <v>1884</v>
      </c>
      <c r="D2245" s="23" t="s">
        <v>159</v>
      </c>
      <c r="G2245" s="23">
        <v>0.87</v>
      </c>
      <c r="I2245" s="218" t="s">
        <v>3319</v>
      </c>
    </row>
    <row r="2246" spans="1:9" x14ac:dyDescent="0.25">
      <c r="A2246" s="23">
        <v>2246</v>
      </c>
      <c r="B2246" s="85">
        <v>45708</v>
      </c>
      <c r="C2246" s="23" t="s">
        <v>259</v>
      </c>
      <c r="D2246" s="23" t="s">
        <v>159</v>
      </c>
      <c r="G2246" s="23">
        <v>0</v>
      </c>
      <c r="I2246" s="218" t="s">
        <v>3319</v>
      </c>
    </row>
    <row r="2247" spans="1:9" x14ac:dyDescent="0.25">
      <c r="A2247" s="23">
        <v>2247</v>
      </c>
      <c r="B2247" s="85">
        <v>45708</v>
      </c>
      <c r="C2247" s="23" t="s">
        <v>2513</v>
      </c>
      <c r="D2247" s="23" t="s">
        <v>260</v>
      </c>
      <c r="G2247" s="23">
        <v>0.81333333333333335</v>
      </c>
      <c r="I2247" s="218" t="s">
        <v>3320</v>
      </c>
    </row>
    <row r="2248" spans="1:9" x14ac:dyDescent="0.25">
      <c r="A2248" s="23">
        <v>2248</v>
      </c>
      <c r="B2248" s="85">
        <v>45708</v>
      </c>
      <c r="C2248" s="23" t="s">
        <v>2513</v>
      </c>
      <c r="D2248" s="23" t="s">
        <v>263</v>
      </c>
      <c r="G2248" s="23">
        <v>0.81333333333333335</v>
      </c>
      <c r="I2248" s="218" t="s">
        <v>3321</v>
      </c>
    </row>
    <row r="2249" spans="1:9" x14ac:dyDescent="0.25">
      <c r="A2249" s="23">
        <v>2249</v>
      </c>
      <c r="B2249" s="85">
        <v>45708</v>
      </c>
      <c r="C2249" s="23" t="s">
        <v>1344</v>
      </c>
      <c r="D2249" s="23" t="s">
        <v>202</v>
      </c>
      <c r="G2249" s="23">
        <v>0.75</v>
      </c>
      <c r="I2249" s="218" t="s">
        <v>3322</v>
      </c>
    </row>
    <row r="2250" spans="1:9" x14ac:dyDescent="0.25">
      <c r="A2250" s="23">
        <v>2250</v>
      </c>
      <c r="B2250" s="85">
        <v>45708</v>
      </c>
      <c r="C2250" s="23" t="s">
        <v>1006</v>
      </c>
      <c r="D2250" s="23" t="s">
        <v>177</v>
      </c>
      <c r="G2250" s="23">
        <v>0.75</v>
      </c>
      <c r="I2250" s="218" t="s">
        <v>3323</v>
      </c>
    </row>
    <row r="2251" spans="1:9" x14ac:dyDescent="0.25">
      <c r="A2251" s="23">
        <v>2251</v>
      </c>
      <c r="B2251" s="85">
        <v>45708</v>
      </c>
      <c r="C2251" s="23" t="s">
        <v>1892</v>
      </c>
      <c r="D2251" s="23" t="s">
        <v>263</v>
      </c>
      <c r="G2251" s="23">
        <v>0</v>
      </c>
      <c r="I2251" s="218" t="s">
        <v>3324</v>
      </c>
    </row>
    <row r="2252" spans="1:9" x14ac:dyDescent="0.25">
      <c r="A2252" s="23">
        <v>2252</v>
      </c>
      <c r="B2252" s="85">
        <v>45708</v>
      </c>
      <c r="C2252" s="23" t="s">
        <v>182</v>
      </c>
      <c r="D2252" s="23" t="s">
        <v>178</v>
      </c>
      <c r="G2252" s="23">
        <v>0.75</v>
      </c>
      <c r="I2252" s="218" t="s">
        <v>3325</v>
      </c>
    </row>
    <row r="2253" spans="1:9" x14ac:dyDescent="0.25">
      <c r="A2253" s="23">
        <v>2253</v>
      </c>
      <c r="B2253" s="85">
        <v>45708</v>
      </c>
      <c r="C2253" s="23" t="s">
        <v>1344</v>
      </c>
      <c r="D2253" s="23" t="s">
        <v>159</v>
      </c>
      <c r="G2253" s="23">
        <v>0.91</v>
      </c>
      <c r="I2253" s="218" t="s">
        <v>3326</v>
      </c>
    </row>
    <row r="2254" spans="1:9" x14ac:dyDescent="0.25">
      <c r="A2254" s="23">
        <v>2254</v>
      </c>
      <c r="B2254" s="85">
        <v>45708</v>
      </c>
      <c r="C2254" s="23" t="s">
        <v>1346</v>
      </c>
      <c r="D2254" s="23" t="s">
        <v>169</v>
      </c>
      <c r="G2254" s="23">
        <v>0</v>
      </c>
      <c r="I2254" s="218" t="s">
        <v>3327</v>
      </c>
    </row>
    <row r="2255" spans="1:9" x14ac:dyDescent="0.25">
      <c r="A2255" s="23">
        <v>2255</v>
      </c>
      <c r="B2255" s="85">
        <v>45708</v>
      </c>
      <c r="C2255" s="23" t="s">
        <v>1634</v>
      </c>
      <c r="D2255" s="23" t="s">
        <v>260</v>
      </c>
      <c r="G2255" s="23">
        <v>0</v>
      </c>
      <c r="I2255" s="218" t="s">
        <v>3328</v>
      </c>
    </row>
    <row r="2256" spans="1:9" x14ac:dyDescent="0.25">
      <c r="A2256" s="23">
        <v>2256</v>
      </c>
      <c r="B2256" s="85">
        <v>45708</v>
      </c>
      <c r="C2256" s="23" t="s">
        <v>1634</v>
      </c>
      <c r="D2256" s="23" t="s">
        <v>265</v>
      </c>
      <c r="G2256" s="23">
        <v>0</v>
      </c>
      <c r="I2256" s="218" t="s">
        <v>3329</v>
      </c>
    </row>
    <row r="2257" spans="1:9" x14ac:dyDescent="0.25">
      <c r="A2257" s="23">
        <v>2257</v>
      </c>
      <c r="B2257" s="85">
        <v>45708</v>
      </c>
      <c r="C2257" s="23" t="s">
        <v>1634</v>
      </c>
      <c r="D2257" s="23" t="s">
        <v>261</v>
      </c>
      <c r="G2257" s="23">
        <v>0</v>
      </c>
      <c r="I2257" s="218" t="s">
        <v>3330</v>
      </c>
    </row>
    <row r="2258" spans="1:9" x14ac:dyDescent="0.25">
      <c r="A2258" s="23">
        <v>2258</v>
      </c>
      <c r="B2258" s="85">
        <v>45708</v>
      </c>
      <c r="C2258" s="23" t="s">
        <v>1634</v>
      </c>
      <c r="D2258" s="23" t="s">
        <v>262</v>
      </c>
      <c r="G2258" s="23">
        <v>0</v>
      </c>
      <c r="I2258" s="218" t="s">
        <v>3331</v>
      </c>
    </row>
    <row r="2259" spans="1:9" x14ac:dyDescent="0.25">
      <c r="A2259" s="23">
        <v>2259</v>
      </c>
      <c r="B2259" s="85">
        <v>45708</v>
      </c>
      <c r="C2259" s="23" t="s">
        <v>1184</v>
      </c>
      <c r="D2259" s="23" t="s">
        <v>161</v>
      </c>
      <c r="G2259" s="23">
        <v>0.8</v>
      </c>
      <c r="I2259" s="218" t="s">
        <v>3332</v>
      </c>
    </row>
    <row r="2260" spans="1:9" x14ac:dyDescent="0.25">
      <c r="A2260" s="23">
        <v>2260</v>
      </c>
      <c r="B2260" s="85">
        <v>45708</v>
      </c>
      <c r="C2260" s="23" t="s">
        <v>3333</v>
      </c>
      <c r="D2260" s="23" t="s">
        <v>172</v>
      </c>
      <c r="G2260" s="23">
        <v>0</v>
      </c>
      <c r="I2260" s="218" t="s">
        <v>3334</v>
      </c>
    </row>
    <row r="2261" spans="1:9" x14ac:dyDescent="0.25">
      <c r="A2261" s="23">
        <v>2261</v>
      </c>
      <c r="B2261" s="85">
        <v>45708</v>
      </c>
      <c r="C2261" s="23" t="s">
        <v>3335</v>
      </c>
      <c r="D2261" s="23" t="s">
        <v>262</v>
      </c>
      <c r="G2261" s="23">
        <v>0.7</v>
      </c>
      <c r="I2261" s="218" t="s">
        <v>3336</v>
      </c>
    </row>
    <row r="2262" spans="1:9" x14ac:dyDescent="0.25">
      <c r="A2262" s="23">
        <v>2262</v>
      </c>
      <c r="B2262" s="85">
        <v>45708</v>
      </c>
      <c r="C2262" s="23" t="s">
        <v>3335</v>
      </c>
      <c r="D2262" s="23" t="s">
        <v>261</v>
      </c>
      <c r="G2262" s="23">
        <v>0.7</v>
      </c>
      <c r="I2262" s="218" t="s">
        <v>3337</v>
      </c>
    </row>
    <row r="2263" spans="1:9" x14ac:dyDescent="0.25">
      <c r="A2263" s="23">
        <v>2263</v>
      </c>
      <c r="B2263" s="85">
        <v>45708</v>
      </c>
      <c r="C2263" s="23" t="s">
        <v>3335</v>
      </c>
      <c r="D2263" s="23" t="s">
        <v>265</v>
      </c>
      <c r="G2263" s="23">
        <v>0.7</v>
      </c>
      <c r="I2263" s="218" t="s">
        <v>3338</v>
      </c>
    </row>
    <row r="2264" spans="1:9" x14ac:dyDescent="0.25">
      <c r="A2264" s="23">
        <v>2264</v>
      </c>
      <c r="B2264" s="85">
        <v>45708</v>
      </c>
      <c r="C2264" s="23" t="s">
        <v>3335</v>
      </c>
      <c r="D2264" s="23" t="s">
        <v>264</v>
      </c>
      <c r="G2264" s="23">
        <v>0.7</v>
      </c>
      <c r="I2264" s="218" t="s">
        <v>3339</v>
      </c>
    </row>
    <row r="2265" spans="1:9" x14ac:dyDescent="0.25">
      <c r="A2265" s="23">
        <v>2265</v>
      </c>
      <c r="B2265" s="85">
        <v>45708</v>
      </c>
      <c r="C2265" s="23" t="s">
        <v>3335</v>
      </c>
      <c r="D2265" s="23" t="s">
        <v>260</v>
      </c>
      <c r="G2265" s="23">
        <v>0.7</v>
      </c>
      <c r="I2265" s="218" t="s">
        <v>3340</v>
      </c>
    </row>
    <row r="2266" spans="1:9" x14ac:dyDescent="0.25">
      <c r="A2266" s="23">
        <v>2266</v>
      </c>
      <c r="B2266" s="85">
        <v>45708</v>
      </c>
      <c r="C2266" s="23" t="s">
        <v>2377</v>
      </c>
      <c r="D2266" s="23" t="s">
        <v>174</v>
      </c>
      <c r="G2266" s="23">
        <v>0</v>
      </c>
      <c r="I2266" s="218" t="s">
        <v>3341</v>
      </c>
    </row>
    <row r="2267" spans="1:9" x14ac:dyDescent="0.25">
      <c r="A2267" s="23">
        <v>2267</v>
      </c>
      <c r="B2267" s="85">
        <v>45708</v>
      </c>
      <c r="C2267" s="23" t="s">
        <v>1192</v>
      </c>
      <c r="D2267" s="23" t="s">
        <v>202</v>
      </c>
      <c r="G2267" s="23">
        <v>0</v>
      </c>
      <c r="I2267" s="218" t="s">
        <v>3342</v>
      </c>
    </row>
    <row r="2268" spans="1:9" x14ac:dyDescent="0.25">
      <c r="A2268" s="23">
        <v>2268</v>
      </c>
      <c r="B2268" s="85">
        <v>45708</v>
      </c>
      <c r="C2268" s="23" t="s">
        <v>1904</v>
      </c>
      <c r="D2268" s="23" t="s">
        <v>263</v>
      </c>
      <c r="G2268" s="23">
        <v>0.7</v>
      </c>
      <c r="I2268" s="218" t="s">
        <v>3343</v>
      </c>
    </row>
    <row r="2269" spans="1:9" x14ac:dyDescent="0.25">
      <c r="A2269" s="23">
        <v>2269</v>
      </c>
      <c r="B2269" s="85">
        <v>45708</v>
      </c>
      <c r="C2269" s="23" t="s">
        <v>3344</v>
      </c>
      <c r="D2269" s="23" t="s">
        <v>268</v>
      </c>
      <c r="G2269" s="23">
        <v>0.7</v>
      </c>
      <c r="I2269" s="218" t="s">
        <v>3345</v>
      </c>
    </row>
    <row r="2270" spans="1:9" x14ac:dyDescent="0.25">
      <c r="A2270" s="23">
        <v>2270</v>
      </c>
      <c r="B2270" s="85">
        <v>45708</v>
      </c>
      <c r="C2270" s="23" t="s">
        <v>843</v>
      </c>
      <c r="D2270" s="23" t="s">
        <v>177</v>
      </c>
      <c r="G2270" s="23">
        <v>0</v>
      </c>
      <c r="I2270" s="218" t="s">
        <v>3346</v>
      </c>
    </row>
    <row r="2271" spans="1:9" x14ac:dyDescent="0.25">
      <c r="A2271" s="23">
        <v>2271</v>
      </c>
      <c r="B2271" s="85">
        <v>45708</v>
      </c>
      <c r="C2271" s="23" t="s">
        <v>3347</v>
      </c>
      <c r="D2271" s="23" t="s">
        <v>178</v>
      </c>
      <c r="G2271" s="23">
        <v>0</v>
      </c>
      <c r="I2271" s="218" t="s">
        <v>3348</v>
      </c>
    </row>
  </sheetData>
  <autoFilter ref="A1:I2083" xr:uid="{00000000-0009-0000-0000-00000E000000}"/>
  <mergeCells count="1">
    <mergeCell ref="H131:H132"/>
  </mergeCells>
  <phoneticPr fontId="19" type="noConversion"/>
  <hyperlinks>
    <hyperlink ref="I9" location="'31'!$G$55" display="$G$55 31" xr:uid="{15CFBADB-B323-40E0-AE1D-4E45B0345E70}"/>
    <hyperlink ref="I10" location="'31'!$G$47" display="$G$47 31" xr:uid="{36F9F273-197E-4453-B2CF-E6BC2AC4CDC5}"/>
    <hyperlink ref="I11" location="'31'!$G$44" display="$G$44 31" xr:uid="{5CD81B30-2DE6-4E0A-85DC-C01045C027B5}"/>
    <hyperlink ref="I12" location="'31'!$G$45" display="$G$45 31" xr:uid="{837B2182-53C2-4591-8023-1BB60A1115F7}"/>
    <hyperlink ref="I13" location="'31'!$G$15" display="$G$15 31" xr:uid="{56FDADFE-0EB7-4EFA-ACF6-C935A227D9B7}"/>
    <hyperlink ref="I16" location="'31'!$H$15" display="$H$15 31" xr:uid="{B754B43B-8F7C-48E5-859C-4EB20D263AC9}"/>
    <hyperlink ref="I17" location="'31'!$H$44" display="$H$44 31" xr:uid="{DDC98BC9-1581-416E-9FBC-298F4EA5F548}"/>
    <hyperlink ref="I18" location="'31'!$H$14" display="$H$14 31" xr:uid="{279CFC59-5DB2-4F0C-A2F8-FD387279F384}"/>
    <hyperlink ref="I19" location="'31'!$I$45" display="$I$45 31" xr:uid="{B869A8AB-D8F6-4199-BDD2-C3B385869AE4}"/>
    <hyperlink ref="I20" location="'31'!$I$60" display="$I$60 31" xr:uid="{7FEB3F79-9D12-4B65-BDFA-03A1E64812B7}"/>
    <hyperlink ref="I21" location="'31'!$I$62" display="$I$62 31" xr:uid="{BDE86D97-84B4-498C-BB06-078DD226F7D1}"/>
    <hyperlink ref="I22" location="'31'!$K$73" display="$K$73 31" xr:uid="{97E6B91F-E7C1-4060-8BEC-2B90F401C16B}"/>
    <hyperlink ref="I23" location="'31'!$I$65" display="$I$65 31" xr:uid="{3A235F43-821F-4641-B4DD-FBA376126178}"/>
    <hyperlink ref="I24" location="'31'!$I$67" display="$I$67 31" xr:uid="{5A74CBCE-E9B6-40BC-ABA7-05C855D16CA8}"/>
    <hyperlink ref="I25" location="'31'!$I$68" display="$I$68 31" xr:uid="{AAC6A360-3752-4F75-A0FC-594BBC24E201}"/>
    <hyperlink ref="I26" location="'31'!$I$72" display="$I$72 31" xr:uid="{7E58E6D9-9DC6-4E75-9654-F2919BE344B7}"/>
    <hyperlink ref="I27" r:id="rId1" location="'31'!$K$73" xr:uid="{5C84E728-427F-4B10-87AA-1E6D74CAEF4C}"/>
    <hyperlink ref="I28" location="'31'!$L$48" display="$L$48 31" xr:uid="{1A9C7ABE-4BBF-4854-9D27-9C105C633DB8}"/>
    <hyperlink ref="I29" location="'31'!$L$54" display="$L$54 31" xr:uid="{FF39827C-182F-4504-A538-64347D383D32}"/>
    <hyperlink ref="I30" location="'31'!$L$46" display="$L$46 31" xr:uid="{CD687A07-D42E-4A1A-9078-BA58DCDC6D71}"/>
    <hyperlink ref="I31" location="'31'!$L$52" display="$L$52 31" xr:uid="{0F9A3D4C-1A94-4409-A371-46DDE10A7A37}"/>
    <hyperlink ref="I32" location="'31'!$L$53" display="$L$53 31" xr:uid="{B5F9D1AF-5AA2-4A17-929A-23F73CBE3E5D}"/>
    <hyperlink ref="I33" location="'31'!$M$77" display="$M$77 31" xr:uid="{E159D34A-A7F3-44A1-8096-9207B1E13805}"/>
    <hyperlink ref="I34" location="'31'!$M$76" display="$M$76 31" xr:uid="{6B63B34F-3DA2-40AB-B8B7-C208208CBED9}"/>
    <hyperlink ref="I35" location="'31'!$M$57" display="$M$57 31" xr:uid="{FDAAD289-D4B1-4BD4-9900-BC590331588F}"/>
    <hyperlink ref="I36" location="'31'!$M$48" display="$M$48 31" xr:uid="{44F6DB64-A7A9-4AD8-BA75-A048E75C117E}"/>
    <hyperlink ref="I37" location="'31'!$N$50" display="$N$50 31" xr:uid="{3F08584F-63A2-48AE-980B-AA1CA12AFB4A}"/>
    <hyperlink ref="I38" location="'31'!$N$56" display="$N$56 31" xr:uid="{1537DA7B-4DAD-44EC-A7D6-E7517D29DB6B}"/>
    <hyperlink ref="I39" location="'31'!$N$43" display="$N$43 31" xr:uid="{C18311A5-82D6-4ECA-958E-375A9FBAC1DA}"/>
    <hyperlink ref="I40" location="'31'!$N$28" display="$N$28 31" xr:uid="{9DD9F284-657C-461D-A32F-E79D9927F6CB}"/>
    <hyperlink ref="I41" location="'31'!$N$55" display="$N$55 31" xr:uid="{09688526-89C9-4918-9FC4-A12D25CE9F82}"/>
    <hyperlink ref="I42" location="'31'!$N$47" display="$N$47 31" xr:uid="{A87F7EF0-CE42-4761-BBB6-699273C5AF12}"/>
    <hyperlink ref="I43" location="'31'!$N$44" display="$N$44 31" xr:uid="{8AFE5729-4A20-46E8-B21D-D911E92A9B64}"/>
    <hyperlink ref="I44" location="'31'!$N$45" display="$N$45 31" xr:uid="{1E9987CF-06BA-4BBA-83AD-0AA24B8C5ACA}"/>
    <hyperlink ref="I45" location="'31'!$N$69" display="$N$69 31" xr:uid="{1F6F7A85-3F68-403F-9BDE-0A6BAFED5A52}"/>
    <hyperlink ref="I46" location="'31'!$N$48" display="$N$48 31" xr:uid="{E448DF55-F2B0-4504-86FE-7D85088093A6}"/>
    <hyperlink ref="I47" location="'31'!$N$70" display="$N$70 31" xr:uid="{810B243C-14BF-4851-BC72-7FE86F15249A}"/>
    <hyperlink ref="I48" location="'31'!$N$73" display="$N$73 31" xr:uid="{00AC23FD-1804-4175-817C-C2471AF3EF8B}"/>
    <hyperlink ref="I49" location="'31'!$O$36" display="$O$36 31" xr:uid="{9C688BD0-1ECB-4783-874A-D9D8F2A3B277}"/>
    <hyperlink ref="I50" location="'31'!$O$38" display="$O$38 31" xr:uid="{E1089239-3535-48F7-BD0B-533215E3DA88}"/>
    <hyperlink ref="I51" location="'31'!$O$14" display="$O$14 31" xr:uid="{2D30E134-711B-4DC3-BF02-D59D34B06A80}"/>
    <hyperlink ref="I54" location="'31'!$O$48" display="$O$48 31" xr:uid="{34DB6085-A63F-425C-AE25-2AF7F5FFC309}"/>
    <hyperlink ref="I55" location="'31'!$O$54" display="$O$54 31" xr:uid="{827E7E79-87F6-4353-931B-7EC2EDBB4B22}"/>
    <hyperlink ref="I56" location="'31'!$O$46" display="$O$46 31" xr:uid="{E160D2F3-B8CC-400E-BE7B-32675A919AEA}"/>
    <hyperlink ref="I57" location="'31'!$O$52" display="$O$52 31" xr:uid="{5F53914B-81E3-43A2-8596-6956C6FF8F1B}"/>
    <hyperlink ref="I58" location="'31'!$P$57" display="$P$57 31" xr:uid="{32FADAB6-BB4E-4473-BFE8-D0DC10ADC947}"/>
    <hyperlink ref="I59" location="'31'!$P$48" display="$P$48 31" xr:uid="{C5DA0917-18B7-47BB-93BB-77962D85A1C1}"/>
    <hyperlink ref="I60" location="'31'!$P$54" display="$P$54 31" xr:uid="{904D9CA4-7880-43D1-8628-44CA045D842A}"/>
    <hyperlink ref="I61" location="'31'!$P$46" display="$P$46 31" xr:uid="{64716605-A34D-4473-986E-806F35800797}"/>
    <hyperlink ref="I62" location="'31'!$P$52" display="$P$52 31" xr:uid="{6C0396AD-44BD-4500-9CDB-A3C634E7EA75}"/>
    <hyperlink ref="I63" location="'31'!$Q$57" display="$Q$57 31" xr:uid="{F58844DE-593A-431D-82AA-DAC8BC06C4BA}"/>
    <hyperlink ref="I64" location="'31'!$Q$36" display="$Q$36 31" xr:uid="{C651A5F5-FB7F-46B6-8547-03316042A6C7}"/>
    <hyperlink ref="I65" location="'31'!$Q$69" display="$Q$69 31" xr:uid="{2B4B5E2F-1B41-46B9-9574-6DAB5B03A41D}"/>
    <hyperlink ref="I66" location="'31'!$Q$70" display="$Q$70 31" xr:uid="{BFA12EA8-652D-4BF7-AF66-5BEF5F2F51DD}"/>
    <hyperlink ref="I67" location="'31'!$Q$73" display="$Q$73 31" xr:uid="{1C7162E0-B7C4-4954-880C-880D93377AEB}"/>
    <hyperlink ref="I68" location="'31'!$Q$38" display="$Q$38 31" xr:uid="{BAC40C72-2F52-4D3D-AF3F-C2D57741C480}"/>
    <hyperlink ref="I69" location="'31'!$Q$51" display="$Q$51 31" xr:uid="{CB08ADE1-5EE0-4FF1-93D1-614B4065B02A}"/>
    <hyperlink ref="I70" location="'31'!$Q$53" display="$Q$53 31" xr:uid="{E8476556-E8A8-4FA8-B696-AF7C18A0F1EB}"/>
    <hyperlink ref="I71" location="'31'!$R$62" display="$R$62 31" xr:uid="{35B3453E-E2D4-4E0E-B1A9-673A9D37E8D2}"/>
    <hyperlink ref="I72" location="'31'!$R$61" display="$R$61 31" xr:uid="{055D82D6-EF00-4569-A621-666FF6E3D5DE}"/>
    <hyperlink ref="I73" location="'31'!$R$37" display="$R$37 31" xr:uid="{1329B686-9711-471A-9CB0-892F18790F75}"/>
    <hyperlink ref="I74" location="'31'!$R$39" display="$R$39 31" xr:uid="{942FFC46-388A-4328-96DE-2751E38D87BD}"/>
    <hyperlink ref="I75" location="'31'!$S$66" display="$S$66 31" xr:uid="{C9323024-6FF7-4532-93F1-96A933B023B4}"/>
    <hyperlink ref="I76" location="'31'!$S$42" display="$S$42 31" xr:uid="{59A9B303-E5DA-4F8A-8992-918AF3C49541}"/>
    <hyperlink ref="I77" location="'31'!$S$40" display="$S$40 31" xr:uid="{2AB92A9A-1957-4B62-9312-0BF6C51690DE}"/>
    <hyperlink ref="I78" location="'31'!$S$37" display="$S$37 31" xr:uid="{B650045F-9786-47CC-8821-8FEA30D8A726}"/>
    <hyperlink ref="I79" location="'31'!$T$37" display="$T$37 31" xr:uid="{656D9F31-E554-441F-9073-C2BE93D6BCED}"/>
    <hyperlink ref="I81" location="'31'!$U$37" display="$U$37 31" xr:uid="{60965089-C136-4BD6-A61F-5FE3AC892129}"/>
    <hyperlink ref="I82" location="'31'!$V$37" display="$V$37 31" xr:uid="{8A506BF5-B401-433C-9095-B65B686F8ED9}"/>
    <hyperlink ref="I84" location="'31'!$W$38" display="$W$38 31" xr:uid="{A333F9E7-7470-4881-9C01-9277ECF59F53}"/>
    <hyperlink ref="I83" location="'31'!$W$39" display="$W$39 31" xr:uid="{A6C3BC67-DA5E-45F8-9287-317521A73385}"/>
    <hyperlink ref="I85" location="'31'!$X$40" display="$X$40 31" xr:uid="{8B7F0DF5-6BED-43AE-9F2A-BFCBFD893824}"/>
    <hyperlink ref="I86" location="'31'!$X$42" display="$X$42 31" xr:uid="{EC0759DE-D959-4978-AA82-819F89C6E251}"/>
    <hyperlink ref="I87" location="'31'!$X$66" display="$X$66 31" xr:uid="{34E3707D-8304-4977-B27A-CD79CA17589F}"/>
    <hyperlink ref="I88" location="'31'!$X$69" display="$X$69 31" xr:uid="{26142686-EA4C-48C0-81D2-3CC66C6902B0}"/>
    <hyperlink ref="I89" location="'31'!$X$70" display="$X$70 31" xr:uid="{51ED269F-F9A6-46BC-9019-611A7ACF218C}"/>
    <hyperlink ref="I90" location="'31'!$X$73" display="$X$73 31" xr:uid="{6CB3F53C-3A9F-445E-B52F-B375620F11CE}"/>
    <hyperlink ref="I91" location="'31'!$X$36" display="$X$36 31" xr:uid="{6E85C59E-E89E-4460-A2B8-4325A21B6648}"/>
    <hyperlink ref="I92" location="'31'!$X$51" display="$X$51 31" xr:uid="{6B9E742C-45A4-4FC5-AE0F-0EBA3D23BFE1}"/>
    <hyperlink ref="I93" r:id="rId2" location="'31'!$X$51" xr:uid="{93DB85B4-EA94-4119-9B9A-55EF829FE66C}"/>
    <hyperlink ref="I94" location="'31'!$X$53" display="$X$53 31" xr:uid="{065B376F-8633-4E14-A3AB-B9BBCF2BD766}"/>
    <hyperlink ref="I95" location="'31'!$X$38" display="$X$38 31" xr:uid="{824F85F4-2E46-4245-BBFD-AA0ABFC574E5}"/>
    <hyperlink ref="I96" location="'31'!$Y$36" display="$Y$36 31" xr:uid="{0452D88C-2F3A-4DA5-A006-2307588E2B7F}"/>
    <hyperlink ref="I97" location="'31'!$Y$39" display="$Y$39 31" xr:uid="{840C3DEF-FF14-4846-B2BF-AE81DB5C9C79}"/>
    <hyperlink ref="I98" location="'31'!$Y$73" display="$Y$73 31" xr:uid="{084CFFAF-0AF8-4F96-B208-43AC2FED6EE3}"/>
    <hyperlink ref="I99" location="'31'!$Y$70" display="$Y$70 31" xr:uid="{6179C217-1A9D-460E-BB81-497A5374CF7B}"/>
    <hyperlink ref="I100" location="'31'!$Y$69" display="$Y$69 31" xr:uid="{4DEB3EDC-2274-4AE2-8C90-338A39EF3310}"/>
    <hyperlink ref="I101" location="'31'!$Y$40" display="$Y$40 31" xr:uid="{069B938A-719C-4088-A3FB-7AF3D49D62EB}"/>
    <hyperlink ref="I102" location="'31'!$Y$42" display="$Y$42 31" xr:uid="{1B64864F-7D4C-47DF-B063-A2E9A3F375F5}"/>
    <hyperlink ref="I104" r:id="rId3" location="'31'!$Y$69" xr:uid="{8138B3D8-BBF9-411B-96A6-362704B4EADA}"/>
    <hyperlink ref="I105" location="'31'!$Y$66" display="$Y$66 31" xr:uid="{E0B8B13B-42C4-44C7-A6D9-29FE92BD8709}"/>
    <hyperlink ref="I106" location="'31'!$Z$76" display="$Z$76 31" xr:uid="{B989A269-AA34-470A-A32E-44923B225155}"/>
    <hyperlink ref="I107" location="'31'!$Z$77" display="$Z$77 31" xr:uid="{A32AC747-9D00-440B-8392-DC180BF1CCB9}"/>
    <hyperlink ref="I108" location="'31'!$Z$66" display="$Z$66 31" xr:uid="{44759EEB-0169-4296-B4F3-F9F652700C8F}"/>
    <hyperlink ref="I109" location="'31'!$Z$69" display="$Z$69 31" xr:uid="{2F27FA7F-2907-46B9-B3A9-A5FEF0C8CCE4}"/>
    <hyperlink ref="I110" location="'31'!$AA$39" display="$AA$39 31" xr:uid="{FD93D05D-12EB-4F8D-A379-38E74C879895}"/>
    <hyperlink ref="I111" location="'31'!$AA$51" display="$AA$51 31" xr:uid="{7020C191-C902-4904-A713-2570BD4EAC87}"/>
    <hyperlink ref="I112" location="'31'!$AB$42" display="$AB$42 31" xr:uid="{EE12C6C5-38C7-423F-AEED-6949ED45F2B4}"/>
    <hyperlink ref="I113" location="'31'!$AB$40" display="$AB$40 31" xr:uid="{96C6E683-CA72-4D56-971B-C85FD7B709A9}"/>
    <hyperlink ref="I114" location="'31'!$AB$38" display="$AB$38 31" xr:uid="{EA702ACB-1A59-4737-AE7A-AC91B2B34667}"/>
    <hyperlink ref="I115" location="'31'!$AB$36" display="$AB$36 31" xr:uid="{B4FBA66A-E4F8-4560-B5CC-CC0BFA14ACF4}"/>
    <hyperlink ref="I116" location="'31'!$AB$53" display="$AB$53 31" xr:uid="{111E7304-9A1B-413A-8340-2F86DFC9457E}"/>
    <hyperlink ref="I117" location="'31'!$AC$43" display="$AC$43 31" xr:uid="{DE68B646-D46F-4DC3-99B7-1C23B4DBD312}"/>
    <hyperlink ref="I118" location="'31'!$AC$52" display="$AC$52 31" xr:uid="{A4314F56-DDBD-4355-B597-3DB15EEED20E}"/>
    <hyperlink ref="I119" location="'31'!$AC$57" display="$AC$57 31" xr:uid="{4145CF25-AE04-4620-AD21-EAA2BCE7D05A}"/>
    <hyperlink ref="I120" location="'31'!$AC$50" display="$AC$50 31" xr:uid="{106921BF-0637-4DB9-AE36-C80066274C47}"/>
    <hyperlink ref="I121" location="'31'!$AC$56" display="$AC$56 31" xr:uid="{BEA39D39-4D50-42D6-835A-1580B7D2F8BE}"/>
    <hyperlink ref="I6" location="'29'!$I$13" display="$I$13 29" xr:uid="{B7EC38D2-7A8C-4C7E-9648-602A2BE0F365}"/>
    <hyperlink ref="I4" r:id="rId4" location="'26'!$AC$21" xr:uid="{375FE8B2-9CC4-4777-97B0-097B8A0717DD}"/>
    <hyperlink ref="I7" location="'29'!$Z$24" display="$Z$24 29" xr:uid="{2D198863-6089-4BAA-84DE-847F017FA539}"/>
    <hyperlink ref="I5" location="'27'!$L$27" display="$L$27 27" xr:uid="{53AE4A8F-2255-486F-8107-DBE0D7E9A0AF}"/>
    <hyperlink ref="I8" r:id="rId5" location="'30'!$G$31" xr:uid="{17223A55-A862-4439-98D3-C9319B39A81D}"/>
    <hyperlink ref="I122" location="'1'!$F$55" display="$F$55 1" xr:uid="{A592E8DB-924B-4CE2-9B22-A837DBADC65B}"/>
    <hyperlink ref="I123" location="'1'!$F$61" display="$F$61 1" xr:uid="{220A05EC-C81A-4808-A399-F9A2E1CA5834}"/>
    <hyperlink ref="I124" location="'1'!$F$60" display="$F$60 1" xr:uid="{2D727D2C-8B3C-4914-86B9-81221FF0F2DE}"/>
    <hyperlink ref="I125" r:id="rId6" location="'1'!$F$60" xr:uid="{6FA18A5C-7B3D-4AD6-A6F3-5F3C73CC3065}"/>
    <hyperlink ref="I126" location="'1'!$F$62" display="$F$62 1" xr:uid="{F4BE1862-64ED-4E1C-BBBA-3F1CF6326E64}"/>
    <hyperlink ref="I127" location="'1'!$F$47" display="$F$47 1" xr:uid="{6ACBCEBE-B4AC-474C-9B4C-0899B6DA31EB}"/>
    <hyperlink ref="I128" location="'1'!$F$44" display="$F$44 1" xr:uid="{3EFBAE7A-2730-44EE-9952-3BB6E185BDE5}"/>
    <hyperlink ref="I129" location="'1'!$F$45" display="$F$45 1" xr:uid="{9CED47B8-3A9F-4F37-B164-CF6E70E52804}"/>
    <hyperlink ref="I130" location="'1'!$F$48" display="$F$48 1" xr:uid="{13C8AE1C-91B1-41C8-A431-6238488EF783}"/>
    <hyperlink ref="I131" location="'1'!$F$65" display="$F$65 1" xr:uid="{0E84DF4C-852E-48D8-BD7C-57BFFEB71921}"/>
    <hyperlink ref="I132" location="'1'!$F$68" display="$F$68 1" xr:uid="{71727103-A771-445B-8DA2-BED8A4B13ACA}"/>
    <hyperlink ref="I133" location="'1'!$G$54" display="$G$54 1" xr:uid="{7D9DD381-4DB8-47DB-8525-6B9EF65048D0}"/>
    <hyperlink ref="I134" location="'1'!$G$46" display="$G$46 1" xr:uid="{92D8B9F6-9B3B-4C8D-AF7E-8619C077854A}"/>
    <hyperlink ref="I135" location="'1'!$G$70" display="$G$70 1" xr:uid="{AC6A45F0-98B3-416A-AB76-20702702F99C}"/>
    <hyperlink ref="I136" location="'1'!$G$16" display="$G$16 1" xr:uid="{1B6484DD-EE3C-4D7D-B4EB-CEB976351985}"/>
    <hyperlink ref="I137" location="'1'!$H$73" display="$H$73 1" xr:uid="{E2519402-4398-4C44-BA26-4D6DAFFEE8E9}"/>
    <hyperlink ref="I138" location="'1'!$I$66" display="$I$66 1" xr:uid="{2208D245-AE0E-4C1A-94EA-21E690634BE9}"/>
    <hyperlink ref="I139" location="'1'!$I$69" display="$I$69 1" xr:uid="{1C021023-BC7E-4C34-BEEF-56006846BB72}"/>
    <hyperlink ref="I140" location="'1'!$I$73" display="$I$73 1" xr:uid="{9A272092-AAC2-40FE-8B95-2A7B9D496DD0}"/>
    <hyperlink ref="I141" location="'1'!$K$68" display="$K$68 1" xr:uid="{E4C55290-E34E-4189-8670-A96BBE2B107C}"/>
    <hyperlink ref="I142" location="'1'!$K$65" display="$K$65 1" xr:uid="{8346B535-4FF2-4774-A3B1-8CF211D352AD}"/>
    <hyperlink ref="I143" location="'1'!$I$70" display="$I$70 1" xr:uid="{ADFFC567-D9A5-47E6-AF78-A04AAC2AFDA5}"/>
    <hyperlink ref="I144" location="'1'!$L$62" display="$L$62 1" xr:uid="{8E750B34-7450-4D5E-AA4A-63C5705AF7E2}"/>
    <hyperlink ref="I145" location="'1'!$L$61" display="$L$61 1" xr:uid="{3F0B3782-6701-4120-9C4F-42326499037F}"/>
    <hyperlink ref="I146" location="'1'!$L$27" display="$L$27 1" xr:uid="{6AFD1E92-43DA-42F6-A5F6-62A18CACC25D}"/>
    <hyperlink ref="I147" location="'1'!$K$24" display="$K$24 1" xr:uid="{393BE4A6-3D8F-46B5-BF38-9CC53E80FE21}"/>
    <hyperlink ref="I148" r:id="rId7" location="'1'!$K$24" xr:uid="{ECBA28CB-13DC-4854-917F-CE5D5A8181BE}"/>
    <hyperlink ref="I149" location="'1'!$L$24" display="$L$24 1" xr:uid="{18376AB2-1F9F-4D62-B853-6104E0361ECD}"/>
    <hyperlink ref="I150" location="'1'!$N$52" display="$N$52 1" xr:uid="{52267302-CC05-404D-8CBB-83E05023EA74}"/>
    <hyperlink ref="I151" location="'1'!$N$77" display="$N$77 1" xr:uid="{AC80C0D2-FC15-4B82-A650-0E7D1A36EA62}"/>
    <hyperlink ref="I152" location="'1'!$N$76" display="$N$76 1" xr:uid="{C20078F7-D1C0-423C-802A-514FEA5E6338}"/>
    <hyperlink ref="I153" location="'1'!$N$57" display="$N$57 1" xr:uid="{72AFC6A9-E491-4F95-B307-61E62C2B05E1}"/>
    <hyperlink ref="I154" location="'1'!$O$53" display="$O$53 1" xr:uid="{7ECD721A-035D-450F-AA65-A6F9B829EBA9}"/>
    <hyperlink ref="I155" location="'1'!$O$50" display="$O$50 1" xr:uid="{9988E3DD-27AA-43BD-AE04-B830078AC876}"/>
    <hyperlink ref="I156" location="'1'!$O$56" display="$O$56 1" xr:uid="{03592F2E-A485-4001-9556-590A21D4C3C7}"/>
    <hyperlink ref="I157" location="'1'!$O$43" display="$O$43 1" xr:uid="{DD9C70AA-47DC-40E3-85B2-B74A65BF85AB}"/>
    <hyperlink ref="I158" location="'1'!$O$47" display="$O$47 1" xr:uid="{0A5B38AF-F857-4C86-8F34-C2EC3991F6AB}"/>
    <hyperlink ref="I159" location="'1'!$O$55" display="$O$55 1" xr:uid="{A6AE571B-B87D-46D5-9456-29F373D5ACB5}"/>
    <hyperlink ref="I160" location="'1'!$O$44" display="$O$44 1" xr:uid="{E66506F5-99B1-4793-8A95-3493EBAA6219}"/>
    <hyperlink ref="I161" location="'1'!$O$45" display="$O$45 1" xr:uid="{62A758C8-B1A0-4022-AAE0-0601A8E6DDA9}"/>
    <hyperlink ref="I162" location="'1'!$O$65" display="$O$65 1" xr:uid="{260CD24A-BD18-4297-BA58-4DA4BA0DA89E}"/>
    <hyperlink ref="I163" location="'1'!$O$66" display="$O$66 1" xr:uid="{3D2CEC5E-701C-4605-BD41-8DAFDCF018E5}"/>
    <hyperlink ref="I164" location="'1'!$O$68" display="$O$68 1" xr:uid="{16FA80C8-0FC7-4C05-AFB1-6FB4740C3E65}"/>
    <hyperlink ref="I165" location="'1'!$O$69" display="$O$69 1" xr:uid="{CCDA8181-78DD-43B3-8390-56014B96624C}"/>
    <hyperlink ref="I166" location="'1'!$O$70" display="$O$70 1" xr:uid="{3068BAA3-04C7-4D7A-A7E2-76BA2A038FB3}"/>
    <hyperlink ref="I167" location="'1'!$O$73" display="$O$73 1" xr:uid="{ED9F8F3F-7C50-4631-A8B0-597FF577B60E}"/>
    <hyperlink ref="I168" location="'1'!$P$48" display="$P$48 1" xr:uid="{2554C7F4-E631-407A-A7A3-6B3EC1D0EB6E}"/>
    <hyperlink ref="I169" location="'1'!$P$54" display="$P$54 1" xr:uid="{B3DAC9EF-1714-4B1F-9E31-521DC81A66E0}"/>
    <hyperlink ref="I170" location="'1'!$P$46" display="$P$46 1" xr:uid="{81BF74A7-4042-49DB-87AF-5F25E8EBBE44}"/>
    <hyperlink ref="I171" location="'1'!$P$51" display="$P$51 1" xr:uid="{B62CA2D8-EA2D-41A7-BA23-D5918ACA8E61}"/>
    <hyperlink ref="I172" location="'1'!$M$24" display="$M$24 1" xr:uid="{C6481962-05FA-4A2C-B0ED-912D6D79D1A0}"/>
    <hyperlink ref="I173" location="'1'!$N$27" display="$N$27 1" xr:uid="{1FBB6C7F-469A-4BA7-BF2B-727C005F63AD}"/>
    <hyperlink ref="I174" location="'1'!$P$36" display="$P$36 1" xr:uid="{2BD34FB6-C1E3-4A73-ABEE-1B116EC9B88D}"/>
    <hyperlink ref="I175" location="'1'!$P$38" display="$P$38 1" xr:uid="{FBE5BF42-214D-4C2F-AEFB-732695897370}"/>
    <hyperlink ref="I176" location="'1'!$P$39" display="$P$39 1" xr:uid="{51F0F7F5-10E3-4E28-B765-DC7E2D8EED95}"/>
    <hyperlink ref="I177" location="'1'!$Q$37" display="$Q$37 1" xr:uid="{12988BCC-BF70-44BD-A8A8-F585EA4E2B5C}"/>
    <hyperlink ref="I178" location="'1'!$R$60" display="$R$60 1" xr:uid="{0783F4BD-8E9B-4822-945E-D09468FDD23F}"/>
    <hyperlink ref="I179" location="'1'!$R$61" display="$R$61 1" xr:uid="{1BC541BC-2DDF-4E61-8534-07C634DA44CA}"/>
    <hyperlink ref="I180" location="'1'!$S$40" display="$S$40 1" xr:uid="{FE1685E8-3762-43CE-BEF7-9F8492ADD0F7}"/>
    <hyperlink ref="I181" location="'1'!$S$42" display="$S$42 1" xr:uid="{2F9DEE08-24FD-4C2B-8494-3528FEB11A0A}"/>
    <hyperlink ref="I182" location="'1'!$T$39" display="$T$39 1" xr:uid="{82A909E4-08CC-4E59-85AC-DCC18CB17AD6}"/>
    <hyperlink ref="I183" location="'1'!$T$37" display="$T$37 1" xr:uid="{FE4BA2C4-6030-489F-9E3D-0F440FF99582}"/>
    <hyperlink ref="I184" r:id="rId8" location="'1'!$T$39" xr:uid="{934212D2-A65C-47DB-8FFC-8464E1B9F6B2}"/>
    <hyperlink ref="I185" location="'1'!$U$37" display="$U$37 1" xr:uid="{38797C88-06E4-44A8-AA21-A6524901AA97}"/>
    <hyperlink ref="I186" location="'1'!$W$37" display="$W$37 1" xr:uid="{4D0261A7-FF9F-42A5-8C9E-FCB0D5504C74}"/>
    <hyperlink ref="I187" location="'1'!$W$66" display="$W$66 1" xr:uid="{D45CB893-0FBF-42FC-A1C2-780C3AEE2BD1}"/>
    <hyperlink ref="I188" location="'1'!$W$67" display="$W$67 1" xr:uid="{A6FCFC77-7E73-47EF-97E4-AF3FA7F744D8}"/>
    <hyperlink ref="I189" location="'1'!$W$68" display="$W$68 1" xr:uid="{95B264C8-34CF-4934-B0C6-E60B2B14D50A}"/>
    <hyperlink ref="I190" location="'1'!$W$69" display="$W$69 1" xr:uid="{DA8338AA-96F7-4BAE-94CD-C697A7B426E7}"/>
    <hyperlink ref="I191" location="'1'!$W$70" display="$W$70 1" xr:uid="{CDBA5944-D094-4E23-B889-B80719E6889D}"/>
    <hyperlink ref="I192" location="'1'!$W$73" display="$W$73 1" xr:uid="{6C5357A8-1374-40F6-B3DA-5F98F3A94773}"/>
    <hyperlink ref="I193" location="'1'!$X$42" display="$X$42 1" xr:uid="{2C9E2F72-D802-4482-ACAA-B4FDBFF45F87}"/>
    <hyperlink ref="I194" location="'1'!$X$67" display="$X$67 1" xr:uid="{BCF73957-7C78-4E26-BFD4-6A14C7F2ACA8}"/>
    <hyperlink ref="I195" location="'1'!$X$60" display="$X$60 1" xr:uid="{B0180232-9BB2-48F7-B0DC-8967E94048C1}"/>
    <hyperlink ref="I196" location="'1'!$X$62" display="$X$62 1" xr:uid="{ADD0248E-587D-4452-8E60-04CB21CDD061}"/>
    <hyperlink ref="I197" location="'1'!$X$40" display="$X$40 1" xr:uid="{6BD454BF-54A1-4016-89C7-40974017B73E}"/>
    <hyperlink ref="I198" r:id="rId9" location="'1'!$X$67" xr:uid="{FEDCB297-16D9-4B5A-8EF2-1A10BB2FBA69}"/>
    <hyperlink ref="I199" r:id="rId10" location="'1'!$X$40" xr:uid="{25FD649E-4376-4450-BEE3-E88729FBC16D}"/>
    <hyperlink ref="I200" r:id="rId11" location="'1'!$X$42" xr:uid="{AF5A28D2-877A-4512-8DEB-8C8E5614EC4C}"/>
    <hyperlink ref="I201" location="'1'!$Y$37" display="$Y$37 1" xr:uid="{485E3ADE-C56B-4534-87B1-A59D6A75C588}"/>
    <hyperlink ref="I202" location="'1'!$Y$65" display="$Y$65 1" xr:uid="{B5D40AF4-DD07-4AF3-8EE6-D3617EB2E22A}"/>
    <hyperlink ref="I203" location="'1'!$Z$65" display="$Z$65 1" xr:uid="{D777EB2B-8022-4F8D-B099-60ACE2573672}"/>
    <hyperlink ref="I204" location="'1'!$Z$39" display="$Z$39 1" xr:uid="{2A8F537C-BC55-4F7E-89F5-FFC61115A50E}"/>
    <hyperlink ref="I205" location="'1'!$AB$37" display="$AB$37 1" xr:uid="{2340B717-D826-411C-8841-8E65545FAF4D}"/>
    <hyperlink ref="I206" location="'1'!$AB$40" display="$AB$40 1" xr:uid="{004C1AC0-5D24-46F8-9673-594BD8C5BCE4}"/>
    <hyperlink ref="I207" location="'1'!$AB$38" display="$AB$38 1" xr:uid="{CDD04403-EE32-4B54-8C95-7D08C94BF1A7}"/>
    <hyperlink ref="I208" location="'1'!$AB$42" display="$AB$42 1" xr:uid="{38DAA7A9-6A29-4D5F-A6A6-500C8430CB9C}"/>
    <hyperlink ref="I209" location="'1'!$AC$36" display="$AC$36 1" xr:uid="{4BFDE69A-8374-4FE0-8FBA-10A9EDFB3D11}"/>
    <hyperlink ref="I210" location="'1'!$AC$50" display="$AC$50 1" xr:uid="{17735C65-DC6C-40F5-849C-BB3DE06A5C5C}"/>
    <hyperlink ref="I211" location="'1'!$AC$46" display="$AC$46 1" xr:uid="{66677159-76AA-4BAE-8739-905C41E05356}"/>
    <hyperlink ref="I212" location="'1'!$AC$51" display="$AC$51 1" xr:uid="{F111BE64-EE06-41A1-88C5-D0F2601C9B00}"/>
    <hyperlink ref="I213" location="'1'!$AC$43" display="$AC$43 1" xr:uid="{31C50FCF-D5A0-4FED-B5E1-819C16A151BC}"/>
    <hyperlink ref="I214" location="'1'!$AC$53" display="$AC$53 1" xr:uid="{8F8AABF0-1A93-47C6-91DB-E8B9C3230D13}"/>
    <hyperlink ref="I215" location="'2'!$F$62" display="$F$62 2" xr:uid="{401AF367-A42B-44E8-8FDA-3A5557503E42}"/>
    <hyperlink ref="I216" location="'2'!$F$61" display="$F$61 2" xr:uid="{5195F327-3004-4014-81D9-6CE5BEE030B7}"/>
    <hyperlink ref="I217" location="'2'!$F$52" display="$F$52 2" xr:uid="{B7ABE14E-305D-4FD3-A5D4-0F0167ADE1A6}"/>
    <hyperlink ref="I218" location="'2'!$F$57" display="$F$57 2" xr:uid="{C79C0BA1-2AC5-4D63-B3AF-EBDF0973D58B}"/>
    <hyperlink ref="I219" location="'2'!$G$56" display="$G$56 2" xr:uid="{F93E351D-A128-4F3F-949D-B769F4C3DD2F}"/>
    <hyperlink ref="I220" location="'2'!$G$55" display="$G$55 2" xr:uid="{CE615162-4543-441C-A512-DA06DB01F4BF}"/>
    <hyperlink ref="I221" location="'2'!$G$47" display="$G$47 2" xr:uid="{56ADD5AE-A0DB-4176-A894-BD2B8BD33373}"/>
    <hyperlink ref="I222" location="'2'!$G$44" display="$G$44 2" xr:uid="{4A782019-D4B1-4313-AF9A-F0D851B0FA2B}"/>
    <hyperlink ref="I223" location="'2'!$G$45" display="$G$45 2" xr:uid="{B9EF6922-BC5B-44AB-AF7C-B753B72A00A6}"/>
    <hyperlink ref="I224" location="'2'!$G$67" display="$G$67 2" xr:uid="{1A7D9C0F-A4CB-46C5-ABD0-9D9AB2DDA33C}"/>
    <hyperlink ref="I225" location="'2'!$G$48" display="$G$48 2" xr:uid="{352BCA87-12A2-48B8-B2D4-997D8F7A7FEB}"/>
    <hyperlink ref="I226" location="'2'!$G$24" display="$G$24 2" xr:uid="{DA98900B-74B1-4E4C-B71D-3D72F0821D41}"/>
    <hyperlink ref="I227" location="'2'!$H$54" display="$H$54 2" xr:uid="{2AD65C19-E0F6-4EA7-BEF1-8C2866006BFB}"/>
    <hyperlink ref="I228" location="'2'!$I$24" display="$I$24 2" xr:uid="{E64CA1D9-2CEE-414E-896E-CBF747EE69AF}"/>
    <hyperlink ref="I229" location="'2'!$I$68" display="$I$68 2" xr:uid="{9EC4C21D-DCE6-48F1-AC3D-8A6154304CE6}"/>
    <hyperlink ref="I230" location="'2'!$J$60" display="$J$60 2" xr:uid="{74E4FFE9-D876-44B2-A834-1CF7E667AD0E}"/>
    <hyperlink ref="I231" location="'2'!$K$46" display="$K$46 2" xr:uid="{5441E598-FC6F-4BA2-9AF0-7CA1EF0B1AFB}"/>
    <hyperlink ref="I232" location="'2'!$K$52" display="$K$52 2" xr:uid="{D3AB12A6-5AB4-4236-B24C-93B4C45CD21E}"/>
    <hyperlink ref="I233" location="'2'!$K$53" display="$K$53 2" xr:uid="{ED3E17A4-8F46-4AA4-B94D-2815F54CC35B}"/>
    <hyperlink ref="I234" location="'2'!$K$51" display="$K$51 2" xr:uid="{0412C83A-7C30-45A2-BA44-BA6BEC7DFBB3}"/>
    <hyperlink ref="I235" location="'2'!$K$57" display="$K$57 2" xr:uid="{CB0AE081-86EB-4C87-AB16-12A3818E24CA}"/>
    <hyperlink ref="I236" location="'2'!$K$13" display="$K$13 2" xr:uid="{C872BF4F-C4FE-45CA-B6F1-CF2535A4E54C}"/>
    <hyperlink ref="I237" location="'2'!$L$76" display="$L$76 2" xr:uid="{750C466D-21C0-4F34-BAEF-68BE3F58D028}"/>
    <hyperlink ref="I238" location="'2'!$L$61" display="$L$61 2" xr:uid="{436219B8-3721-4E58-929A-B108689CB891}"/>
    <hyperlink ref="I239" location="'2'!$L$56" display="$L$56 2" xr:uid="{6F391F72-7CF2-4CDA-8134-541D33554177}"/>
    <hyperlink ref="I240" location="'2'!$L$46" display="$L$46 2" xr:uid="{1163D931-C4E7-48E7-80EE-293127F36A13}"/>
    <hyperlink ref="I241" location="'2'!$M$43" display="$M$43 2" xr:uid="{0D908413-C457-4874-8F13-7D7820C00518}"/>
    <hyperlink ref="I242" location="'2'!$N$13" display="$N$13 2" xr:uid="{2E5EB31C-3D82-4FC2-AD0A-A01D8688F5DB}"/>
    <hyperlink ref="I243" location="'2'!$N$67" display="$N$67 2" xr:uid="{48949255-C8A5-4843-8D02-CA837023AF77}"/>
    <hyperlink ref="I244" location="'2'!$N$55" display="$N$55 2" xr:uid="{E0AFE455-A17B-4A3D-B74E-2708726ACA26}"/>
    <hyperlink ref="I245" location="'2'!$N$16" display="$N$16 2" xr:uid="{6EA14656-D9AD-4E2C-BD08-082B02A8040D}"/>
    <hyperlink ref="I246" location="'2'!$N$47" display="$N$47 2" xr:uid="{630C3EB5-0434-4C6A-89CE-E92FA738FE22}"/>
    <hyperlink ref="I247" location="'2'!$O$16" display="$O$16 2" xr:uid="{523E1CAA-C3CD-44B9-A372-466F4E762090}"/>
    <hyperlink ref="I248" location="'2'!$N$44" display="$N$44 2" xr:uid="{DADC7CC0-04F9-4296-98FE-DD37676FF165}"/>
    <hyperlink ref="I249" location="'2'!$N$51" display="$N$51 2" xr:uid="{316CD852-0778-4EC8-8AB1-8277E3FC3D08}"/>
    <hyperlink ref="I250" location="'2'!$O$51" display="$O$51 2" xr:uid="{63E7340A-D343-42D7-B573-3B4E03FF1ECD}"/>
    <hyperlink ref="I251" location="'2'!$O$45" display="$O$45 2" xr:uid="{B6C2D51E-398D-4F73-8690-4505D566E8F0}"/>
    <hyperlink ref="I252" location="'2'!$O$52" display="$O$52 2" xr:uid="{D77DB61C-991F-4B35-B2AA-C7021D76A66D}"/>
    <hyperlink ref="I253" location="'2'!$O$53" display="$O$53 2" xr:uid="{1844AE05-8098-41F1-97B5-77FDFBCD6451}"/>
    <hyperlink ref="I254" location="'2'!$O$57" display="$O$57 2" xr:uid="{E413065D-0460-4471-8639-69BE5CBA6C18}"/>
    <hyperlink ref="I256" location="'2'!$O$42" display="$O$42 2" xr:uid="{59034B99-F577-4682-9D9F-B14388C4726F}"/>
    <hyperlink ref="I257" location="'2'!$O$39" display="$O$39 2" xr:uid="{7668015A-0201-447D-8928-84A0912AF81D}"/>
    <hyperlink ref="I258" location="'2'!$O$48" display="$O$48 2" xr:uid="{EC3DBACD-C2B1-403D-9C3F-BBAF6AA5D45B}"/>
    <hyperlink ref="I259" r:id="rId12" location="'2'!$O$51" xr:uid="{DA513774-A496-4174-9D73-FF8782623481}"/>
    <hyperlink ref="I260" r:id="rId13" location="'2'!$O$52" xr:uid="{437134CE-DF97-426E-B3B7-23094582370A}"/>
    <hyperlink ref="I261" r:id="rId14" location="'2'!$O$53" xr:uid="{7C563D9F-2602-4135-BEEA-0AAA2EA122F8}"/>
    <hyperlink ref="I262" location="'2'!$O$54" display="$O$54 2" xr:uid="{7263C869-64AD-4317-A12B-3DA1723DFB8D}"/>
    <hyperlink ref="I263" r:id="rId15" location="'2'!$O$57" xr:uid="{C01619D4-196A-45B0-AF1C-D594C842E8EE}"/>
    <hyperlink ref="I264" location="'2'!$O$46" display="$O$46 2" xr:uid="{ABA570C6-B9F1-4DAB-9ED9-660561274630}"/>
    <hyperlink ref="I265" location="'2'!$P$13" display="$P$13 2" xr:uid="{D4A2A55F-AB29-4E7B-9E52-FE7CF86D126F}"/>
    <hyperlink ref="I266" location="'2'!$P$38" display="$P$38 2" xr:uid="{CC2633C4-8BCC-483E-A275-4B13E37C6646}"/>
    <hyperlink ref="I268" location="'2'!$P$42" display="$P$42 2" xr:uid="{C3FFCF6E-437A-4D25-BFAF-28772C75C975}"/>
    <hyperlink ref="I269" location="'2'!$P$39" display="$P$39 2" xr:uid="{91EB8F16-1C20-4947-929A-E6BA5B68F27A}"/>
    <hyperlink ref="I270" location="'2'!$P$36" display="$P$36 2" xr:uid="{6D9F6E6B-5042-4CBE-AF14-ED4D86B1ADB5}"/>
    <hyperlink ref="I272" location="'2'!$P$56" display="$P$56 2" xr:uid="{40391460-4C77-4217-9E72-156AE96B190B}"/>
    <hyperlink ref="I273" location="'2'!$R$60" display="$R$60 2" xr:uid="{022F754F-D42B-4570-A07C-316E47BD3328}"/>
    <hyperlink ref="I274" location="'2'!$R$62" display="$R$62 2" xr:uid="{1664C544-3C07-4920-BD57-C93B96854A97}"/>
    <hyperlink ref="I275" location="'2'!$R$77" display="$R$77 2" xr:uid="{C42A7385-AB7F-42C6-A131-28579C5809C6}"/>
    <hyperlink ref="I276" location="'2'!$S$56" display="$S$56 2" xr:uid="{7EE3B488-D772-4392-83D0-0DB16847184A}"/>
    <hyperlink ref="I277" location="'2'!$S$36" display="$S$36 2" xr:uid="{5A30FBDC-3489-458E-B37A-187F48DE244E}"/>
    <hyperlink ref="I278" location="'2'!$S$39" display="$S$39 2" xr:uid="{4ACA36EF-5830-442F-A2EC-79EB2115EB95}"/>
    <hyperlink ref="I279" location="'2'!$T$39" display="$T$39 2" xr:uid="{6925FA09-503F-4A06-996F-B119752E14B2}"/>
    <hyperlink ref="I280" location="'2'!$T$77" display="$T$77 2" xr:uid="{7E9E2DDE-EDCA-4CA3-BCCC-1DFC1EFD33E3}"/>
    <hyperlink ref="I281" location="'2'!$T$76" display="$T$76 2" xr:uid="{81E0382E-5DDC-44A5-83C5-B6607ADBE23F}"/>
    <hyperlink ref="I283" location="'2'!$T$42" display="$T$42 2" xr:uid="{A6B57A03-389D-4D14-AF0F-BD8046AEA7DE}"/>
    <hyperlink ref="I285" location="'2'!$U$68" display="$U$68 2" xr:uid="{2C20F7EE-12E5-4B19-8AF2-9611E9A6FF58}"/>
    <hyperlink ref="I286" location="'2'!$U$24" display="$U$24 2" xr:uid="{DCBED251-A045-4A3B-9951-28D3D2287C95}"/>
    <hyperlink ref="I287" location="'2'!$U$36" display="$U$36 2" xr:uid="{9DD6E10F-0FE5-4A7B-81FD-29E47CA2FE24}"/>
    <hyperlink ref="I288" location="'2'!$U$77" display="$U$77 2" xr:uid="{3711D361-20E3-4E8F-91F6-100F4D0326E7}"/>
    <hyperlink ref="I289" location="'2'!$U$76" display="$U$76 2" xr:uid="{E10D47F2-6D6D-48B2-BC29-FBD96167F7A4}"/>
    <hyperlink ref="I291" location="'2'!$U$57" display="$U$57 2" xr:uid="{FBE27EC4-6471-4BE8-9DF4-6B9A616AC49F}"/>
    <hyperlink ref="I292" location="'2'!$U$51" display="$U$51 2" xr:uid="{04F97E8C-802D-49E1-8166-3594DB575BDE}"/>
    <hyperlink ref="I293" location="'2'!$U$56" display="$U$56 2" xr:uid="{E1854718-E333-45E1-B1BD-A7FB444533C8}"/>
    <hyperlink ref="I294" location="'2'!$V$56" display="$V$56 2" xr:uid="{A51DE324-2B28-4AE5-B6FC-C16580CF2E11}"/>
    <hyperlink ref="I295" location="'2'!$V$57" display="$V$57 2" xr:uid="{D198671C-4CB9-4D7C-AE7C-00943F016E4B}"/>
    <hyperlink ref="I296" location="'2'!$V$51" display="$V$51 2" xr:uid="{11BD7C0C-0504-43FA-B872-9184239D3840}"/>
    <hyperlink ref="I297" location="'2'!$V$36" display="$V$36 2" xr:uid="{48E618C3-7100-40C1-9D5A-6B2FDDA3C29A}"/>
    <hyperlink ref="I298" location="'2'!$V$24" display="$V$24 2" xr:uid="{ADE2EA17-C2D1-48DE-BFFE-8A44DD0DA3F0}"/>
    <hyperlink ref="I299" location="'2'!$V$39" display="$V$39 2" xr:uid="{E535D7F1-2A54-41DB-8A7E-35875022CCC3}"/>
    <hyperlink ref="I300" location="'2'!$V$42" display="$V$42 2" xr:uid="{A7991F95-0EC5-4C92-9A0A-34D2D69194FD}"/>
    <hyperlink ref="I302" location="'2'!$V$43" display="$V$43 2" xr:uid="{20DF76FE-1C8A-430C-A295-9D94B4921AE5}"/>
    <hyperlink ref="I303" location="'2'!$V$67" display="$V$67 2" xr:uid="{01ED82B7-4E06-4565-BD8A-624A3A102C76}"/>
    <hyperlink ref="I305" location="'2'!$W$68" display="$W$68 2" xr:uid="{DE8E1344-0194-4BD3-B108-B9843D1B005F}"/>
    <hyperlink ref="I306" r:id="rId16" location="'2'!$W$68" xr:uid="{8A019717-FDE2-478F-8FEE-2165AE9B4501}"/>
    <hyperlink ref="I307" location="'2'!$X$62" display="$X$62 2" xr:uid="{32C2421E-5A7A-4501-A821-BD2EEDDA3B8D}"/>
    <hyperlink ref="I308" location="'2'!$X$61" display="$X$61 2" xr:uid="{FF63FCA6-DB7E-42BC-B99E-2F84033A6C64}"/>
    <hyperlink ref="I309" location="'2'!$Y$43" display="$Y$43 2" xr:uid="{B37E932A-A156-4BD3-B110-C02F4225ED9D}"/>
    <hyperlink ref="I304" location="'2'!$U$55" display="$U$55 2" xr:uid="{B5A913B0-9DC9-4350-BCCE-4A69BFA6B1AE}"/>
    <hyperlink ref="I310" location="'2'!$Y$55" display="$Y$55 2" xr:uid="{8E5CD8EB-09A3-48A6-8E8C-925008D11A31}"/>
    <hyperlink ref="I311" location="'2'!$Y$37" display="$Y$37 2" xr:uid="{DF4561AE-6A27-4EC4-AC3A-ED975FAA7D76}"/>
    <hyperlink ref="I312" location="'2'!$Y$38" display="$Y$38 2" xr:uid="{5D41F5EA-DB13-4C6D-9A53-BD601BD7881F}"/>
    <hyperlink ref="I313" location="'2'!$Y$40" display="$Y$40 2" xr:uid="{E59579C8-7A54-4C71-B97F-B62F97B13F46}"/>
    <hyperlink ref="I314" location="'2'!$Z$51" display="$Z$51 2" xr:uid="{666EC5E8-FAA3-4DA3-AE5D-FBD55B1B3367}"/>
    <hyperlink ref="I316" location="'2'!$AA$28" display="$AA$28 2" xr:uid="{3DF4695A-2B29-487C-BE5E-6DF6260467DA}"/>
    <hyperlink ref="I317" location="'2'!$AA$39" display="$AA$39 2" xr:uid="{0077AE2B-07C5-4CD1-86BE-10D9FD3B81FA}"/>
    <hyperlink ref="I318" location="'2'!$AA$42" display="$AA$42 2" xr:uid="{254396B1-D898-4874-B862-5374881276E3}"/>
    <hyperlink ref="I319" location="'2'!$AA$37" display="$AA$37 2" xr:uid="{8E005DFD-6FBC-4BD5-B2B9-0ABD9F1007AF}"/>
    <hyperlink ref="I320" location="'2'!$AB$40" display="$AB$40 2" xr:uid="{9CE74CB5-B964-4C16-B76C-D58544658D93}"/>
    <hyperlink ref="I321" location="'2'!$AB$38" display="$AB$38 2" xr:uid="{A1925BC0-EB1C-4B1D-AED3-A3C3F24A1449}"/>
    <hyperlink ref="I322" location="'2'!$AB$36" display="$AB$36 2" xr:uid="{A6B17384-27DB-4886-B1B3-1B94D1D42064}"/>
    <hyperlink ref="I323" location="'2'!$AB$55" display="$AB$55 2" xr:uid="{2DB1DAA9-CDA3-46E1-9E17-840CEBE81B80}"/>
    <hyperlink ref="I324" location="'2'!$AB$47" display="$AB$47 2" xr:uid="{F9C453C8-4E4C-4A19-87B6-58DF7EE5BFA2}"/>
    <hyperlink ref="I325" location="'2'!$AB$44" display="$AB$44 2" xr:uid="{BE9BDAEF-A121-4589-8314-E3F3E1F72AA4}"/>
    <hyperlink ref="I326" location="'2'!$AB$45" display="$AB$45 2" xr:uid="{86533205-D002-446E-92CC-60D5C1399CFD}"/>
    <hyperlink ref="I327" location="'2'!$AC$48" display="$AC$48 2" xr:uid="{10560EC7-50FF-49EA-8789-5459DFA36609}"/>
    <hyperlink ref="I328" location="'2'!$AC$54" display="$AC$54 2" xr:uid="{C7A68A64-4863-4064-BD6A-2B435A89A418}"/>
    <hyperlink ref="I329" location="'2'!$AC$46" display="$AC$46 2" xr:uid="{4765ED45-F2D5-40DC-8C07-A50CA4E053F7}"/>
    <hyperlink ref="I330" location="'2'!$AC$53" display="$AC$53 2" xr:uid="{2013C6BA-2E2E-464E-B85C-0757642CCAFE}"/>
    <hyperlink ref="I331" location="'3'!$F$52" display="$F$52 3" xr:uid="{DC824420-58A0-4D3D-9A5E-951CA0020A4B}"/>
    <hyperlink ref="I332" location="'3'!$F$57" display="$F$57 3" xr:uid="{86ED0E02-4114-47F9-916B-4DC1DBC6994A}"/>
    <hyperlink ref="I333" location="'3'!$F$61" display="$F$61 3" xr:uid="{D2CD6E31-26A9-4B6D-9398-CB7286A42F10}"/>
    <hyperlink ref="I334" location="'3'!$F$60" display="$F$60 3" xr:uid="{90B8D6AD-2B7E-4602-B952-2EE34EA19CCF}"/>
    <hyperlink ref="I335" location="'3'!$F$56" display="$F$56 3" xr:uid="{7894F432-5FF9-41E0-9FFA-A3E0A9277A9E}"/>
    <hyperlink ref="I336" location="'3'!$F$43" display="$F$43 3" xr:uid="{CD1013F9-3B7A-4FF2-B5C2-3E330D75CEE6}"/>
    <hyperlink ref="I337" location="'3'!$G$55" display="$G$55 3" xr:uid="{BD815DB3-E8EC-48E8-B73F-9D7D774D0E3A}"/>
    <hyperlink ref="I338" location="'3'!$G$45" display="$G$45 3" xr:uid="{DFE50B1F-E953-45B5-9F06-07F643916DB5}"/>
    <hyperlink ref="I339" location="'3'!$G$47" display="$G$47 3" xr:uid="{CDA0DE22-B957-4134-8750-D89CCF2E63A3}"/>
    <hyperlink ref="I340" location="'3'!$G$48" display="$G$48 3" xr:uid="{F6854636-382D-4EC4-8875-BF847A2D894B}"/>
    <hyperlink ref="I341" location="'3'!$G$14" display="$G$14 3" xr:uid="{203FF619-D095-4AAD-AAD4-6D553D2C7724}"/>
    <hyperlink ref="I343" location="'3'!$H$47" display="$H$47 3" xr:uid="{F9B4A04B-B936-4C92-AE8A-3148A3ADCD99}"/>
    <hyperlink ref="I344" location="'3'!$H$45" display="$H$45 3" xr:uid="{32C7F749-1C28-4646-87EA-C5C282592861}"/>
    <hyperlink ref="I345" location="'3'!$H$68" display="$H$68 3" xr:uid="{F97B18F8-507B-4B0F-9038-AE2D81E06D59}"/>
    <hyperlink ref="I346" location="'3'!$H$14" display="$H$14 3" xr:uid="{FB7AD0AE-B6FB-49FF-8CA7-DAF8D0FEC84F}"/>
    <hyperlink ref="I347" location="'3'!$H$15" display="$H$15 3" xr:uid="{99745CD2-8482-4BF2-A264-88C5C3C8D43C}"/>
    <hyperlink ref="I348" location="'3'!$I$15" display="$I$15 3" xr:uid="{CBF70140-A861-4F5E-8382-3607173260EC}"/>
    <hyperlink ref="I349" location="'3'!$I$48" display="$I$48 3" xr:uid="{FE355705-3787-40E7-84F1-EEE5EECF9CE0}"/>
    <hyperlink ref="I351" location="'3'!$J$15" display="$J$15 3" xr:uid="{2DC1AEB5-8C7D-4024-8FA2-C1DB9175286B}"/>
    <hyperlink ref="I352" location="'3'!$J$16" display="$J$16 3" xr:uid="{4054A972-B4D5-4C0B-9639-592CBCA62FF0}"/>
    <hyperlink ref="I353" location="'3'!$K$44" display="$K$44 3" xr:uid="{5730ECA2-A4F7-4923-BFD1-F8720BA69F52}"/>
    <hyperlink ref="I354" location="'3'!$L$60" display="$L$60 3" xr:uid="{9A72E2E4-15E1-43B7-A444-9A025B1D136B}"/>
    <hyperlink ref="I355" location="'3'!$L$62" display="$L$62 3" xr:uid="{3799EA4E-7600-40BB-8E92-FE91AFF3E9A4}"/>
    <hyperlink ref="I356" location="'3'!$L$54" display="$L$54 3" xr:uid="{0D7CCDE1-9285-4512-8C7F-621FDB0D4E1E}"/>
    <hyperlink ref="I357" location="'3'!$L$46" display="$L$46 3" xr:uid="{CA76542A-D063-4AD6-B293-13E892373C4C}"/>
    <hyperlink ref="I358" location="'3'!$L$53" display="$L$53 3" xr:uid="{42CCADD6-750B-4574-8718-DCED7BC1A93F}"/>
    <hyperlink ref="I359" location="'3'!$L$51" display="$L$51 3" xr:uid="{ECA8C9C5-BF40-4F55-8B92-AC930ED8635A}"/>
    <hyperlink ref="I360" location="'3'!$L$52" display="$L$52 3" xr:uid="{C1CD7912-269F-41BA-8D7A-0AEEDF9C8408}"/>
    <hyperlink ref="I361" location="'3'!$M$44" display="$M$44 3" xr:uid="{46BA9C38-36E0-4953-9EEF-BD51B42E2DF5}"/>
    <hyperlink ref="I362" location="'3'!$M$54" display="$M$54 3" xr:uid="{51482AA1-881F-410A-B3D6-7D65CAD9BB3F}"/>
    <hyperlink ref="I363" location="'3'!$M$56" display="$M$56 3" xr:uid="{9673234B-EC91-462A-9A2A-731FA44C1E59}"/>
    <hyperlink ref="I364" location="'3'!$N$55" display="$N$55 3" xr:uid="{C60527C1-3043-40FE-9C2C-89AF4F202F5B}"/>
    <hyperlink ref="I365" location="'3'!$N$43" display="$N$43 3" xr:uid="{9FE2493E-FAAE-4904-97D6-75C64F98B43A}"/>
    <hyperlink ref="I366" location="'3'!$N$66" display="$N$66 3" xr:uid="{8B29F7AE-A3D7-453F-BBBB-E3D9FCCE03E3}"/>
    <hyperlink ref="I367" location="'3'!$N$16" display="$N$16 3" xr:uid="{92532540-AFE1-4647-AD5A-D24DF342F7A4}"/>
    <hyperlink ref="I368" location="'3'!$N$46" display="$N$46 3" xr:uid="{2C8586F1-E080-4082-8B74-1F3D25310EC2}"/>
    <hyperlink ref="I369" location="'3'!$N$69" display="$N$69 3" xr:uid="{2997106C-C328-456B-BFD2-009FE5CE06D6}"/>
    <hyperlink ref="I370" location="'3'!$N$70" display="$N$70 3" xr:uid="{8FCF9CA6-63D5-46B5-8F55-08859196D905}"/>
    <hyperlink ref="I371" location="'3'!$N$73" display="$N$73 3" xr:uid="{8EED1E5A-D5C2-4307-B288-775C25CC9C2D}"/>
    <hyperlink ref="I372" location="'3'!$O$44" display="$O$44 3" xr:uid="{CE8BBEEA-0665-4C45-93BD-219BB32FBEB7}"/>
    <hyperlink ref="I373" location="'3'!$O$45" display="$O$45 3" xr:uid="{D5FBDC4B-B66D-4949-A29E-8E5B94AFF21B}"/>
    <hyperlink ref="I374" location="'3'!$O$46" display="$O$46 3" xr:uid="{FF84A4CF-BB08-437F-89A1-D7350EBCC9F5}"/>
    <hyperlink ref="I375" location="'3'!$O$47" display="$O$47 3" xr:uid="{BFD0F68F-3562-4CAD-8960-09C616A74F1C}"/>
    <hyperlink ref="I376" location="'3'!$O$48" display="$O$48 3" xr:uid="{02F7BC96-2046-4336-8F52-98D61C9CCB34}"/>
    <hyperlink ref="I377" location="'3'!$O$54" display="$O$54 3" xr:uid="{49EB32F3-66A8-4F90-AE3B-485E10209FD7}"/>
    <hyperlink ref="I378" location="'3'!$O$52" display="$O$52 3" xr:uid="{84894D19-E34E-4A0D-B4A7-73F2C246AD5D}"/>
    <hyperlink ref="I379" location="'3'!$O$53" display="$O$53 3" xr:uid="{D9287AF6-F480-4EFE-BC4C-718561C803E7}"/>
    <hyperlink ref="I380" location="'3'!$O$70" display="$O$70 3" xr:uid="{1137DFA1-7899-41C0-9AC5-D8C08DA55551}"/>
    <hyperlink ref="I381" location="'3'!$O$56" display="$O$56 3" xr:uid="{B21071A5-3320-4C2D-AD50-9349324E9EB7}"/>
    <hyperlink ref="I382" location="'3'!$O$57" display="$O$57 3" xr:uid="{8BEE56C6-BA7E-42FD-8F0C-8056043692E6}"/>
    <hyperlink ref="I383" location="'3'!$O$43" display="$O$43 3" xr:uid="{A05056D8-6B78-4333-A97E-3F65B6A156BA}"/>
    <hyperlink ref="I384" r:id="rId17" location="'3'!$O$52" xr:uid="{A3A3EF53-44A6-4D00-8391-CC29807365C4}"/>
    <hyperlink ref="I385" location="'3'!$O$73" display="$O$73 3" xr:uid="{4FD676DF-2F40-481E-89E9-915633BF52FD}"/>
    <hyperlink ref="I386" r:id="rId18" location="'3'!$O$57" xr:uid="{2ABDF603-6306-4549-B06D-DEF61A725727}"/>
    <hyperlink ref="I387" location="'3'!$O$69" display="$O$69 3" xr:uid="{5EE10318-B7D2-4675-8230-9B4469286A6C}"/>
    <hyperlink ref="I388" r:id="rId19" location="'3'!$O$43" xr:uid="{54A40AEF-5E7C-461D-B511-7E09EA18BBA3}"/>
    <hyperlink ref="I389" r:id="rId20" location="'3'!$O$56" xr:uid="{897E6496-F057-4F69-B249-6E74FE91DF40}"/>
    <hyperlink ref="I390" r:id="rId21" location="'3'!$O$53" xr:uid="{6CC50BDB-2760-4056-B96B-783B49DB59FF}"/>
    <hyperlink ref="I391" location="'3'!$P$36" display="$P$36 3" xr:uid="{24449E7D-C80A-4803-AF53-1A558AA3C0B2}"/>
    <hyperlink ref="I392" location="'3'!$P$39" display="$P$39 3" xr:uid="{2BC9FB19-EB9A-4F79-BBED-508F61BFC21B}"/>
    <hyperlink ref="I393" location="'3'!$P$66" display="$P$66 3" xr:uid="{42A63E88-CBAB-4AD0-A180-40472E0A511F}"/>
    <hyperlink ref="I394" location="'3'!$P$42" display="$P$42 3" xr:uid="{3BFBA469-A963-4FD9-BAD4-F2CD179B44D9}"/>
    <hyperlink ref="I395" location="'3'!$P$40" display="$P$40 3" xr:uid="{849FDE2F-1FD3-4A4C-8699-DBD3FDF8BDD6}"/>
    <hyperlink ref="I396" location="'3'!$P$37" display="$P$37 3" xr:uid="{2082B2E9-8EBB-49BC-A625-8A4609A655F4}"/>
    <hyperlink ref="I397" location="'3'!$P$38" display="$P$38 3" xr:uid="{5FE1C18C-4F14-48C9-80E0-485DEB5C87EB}"/>
    <hyperlink ref="I398" location="'3'!$Q$55" display="$Q$55 3" xr:uid="{3B5FAE17-1B77-4F64-B6DE-AE0A8790116A}"/>
    <hyperlink ref="I399" location="'3'!$R$55" display="$R$55 3" xr:uid="{22F19E57-3069-4AFF-A793-CC94C925063E}"/>
    <hyperlink ref="I400" location="'3'!$R$51" display="$R$51 3" xr:uid="{F350151B-E66F-44E5-B42D-C4F65E0D9A79}"/>
    <hyperlink ref="I401" location="'3'!$S$77" display="$S$77 3" xr:uid="{E9B564CE-657A-41A5-85C7-64E5FB88738A}"/>
    <hyperlink ref="I402" location="'3'!$S$76" display="$S$76 3" xr:uid="{80ACB27D-250A-4A03-A915-062420446EA4}"/>
    <hyperlink ref="I403" location="'3'!$T$51" display="$T$51 3" xr:uid="{3CDCB29B-1060-4166-A93F-60F4D94B1BFD}"/>
    <hyperlink ref="I404" location="'3'!$U$47" display="$U$47 3" xr:uid="{CE3BB28C-2450-4C47-B1BC-BE3B43B57DEA}"/>
    <hyperlink ref="I405" location="'3'!$V$66" display="$V$66 3" xr:uid="{2C8466C8-E369-4886-850D-3F49723B14D7}"/>
    <hyperlink ref="I406" location="'3'!$V$69" display="$V$69 3" xr:uid="{CA63A867-DC55-4CEE-9CE4-AD5F200A3A15}"/>
    <hyperlink ref="I407" location="'3'!$V$70" display="$V$70 3" xr:uid="{DD1D2AB2-31BB-427C-83DB-635F18D267A8}"/>
    <hyperlink ref="I408" location="'3'!$V$73" display="$V$73 3" xr:uid="{B4FE31F6-869E-40CE-A22C-912DE4109D15}"/>
    <hyperlink ref="I409" location="'3'!$V$47" display="$V$47 3" xr:uid="{77169161-1D45-425C-BE37-D07E8703FA0D}"/>
    <hyperlink ref="I410" r:id="rId22" location="'3'!$V$69" xr:uid="{861FAF12-A79D-4E1E-9C7B-DCFB1E5C3DB2}"/>
    <hyperlink ref="I411" r:id="rId23" location="'3'!$V$70" xr:uid="{1D8BB2EF-E2C2-4C4D-8984-A1D94BFA7D1C}"/>
    <hyperlink ref="I412" r:id="rId24" location="'3'!$V$73" xr:uid="{53CFDDDA-EF3C-4689-A8CA-C06E0F20C929}"/>
    <hyperlink ref="I413" r:id="rId25" location="'3'!$V$66" xr:uid="{FBA31919-403E-42CF-8FF8-F45A3328A694}"/>
    <hyperlink ref="I414" location="'3'!$V$67" display="$V$67 3" xr:uid="{AC67C673-0574-439C-BE70-3CD7711D28CB}"/>
    <hyperlink ref="I415" location="'3'!$W$62" display="$W$62 3" xr:uid="{C3153F51-AB08-4703-8981-83C112C94914}"/>
    <hyperlink ref="I416" location="'3'!$W$61" display="$W$61 3" xr:uid="{41C2D9EE-2BA3-4CCC-9EC9-1129B09A9EBB}"/>
    <hyperlink ref="I417" location="'3'!$W$44" display="$W$44 3" xr:uid="{0BBA0BF2-10C3-4D76-8C40-74B1542CE6C2}"/>
    <hyperlink ref="I418" location="'3'!$W$45" display="$W$45 3" xr:uid="{B26541D3-642D-456C-9160-B31E3F8A7A4B}"/>
    <hyperlink ref="I419" location="'3'!$W$36" display="$W$36 3" xr:uid="{EE407BA7-0DB2-40A5-98B8-CC2D8FECD6CB}"/>
    <hyperlink ref="I420" location="'3'!$X$48" display="$X$48 3" xr:uid="{66CEA8C2-F6D4-42AB-B1C3-E34851CA41EC}"/>
    <hyperlink ref="I421" location="'3'!$X$54" display="$X$54 3" xr:uid="{C21C5815-AF44-4E58-A8E7-2B33FB310A6C}"/>
    <hyperlink ref="I422" location="'3'!$X$44" display="$X$44 3" xr:uid="{D9A4C734-9DF3-4B94-B158-12B2E34BE759}"/>
    <hyperlink ref="I423" location="'3'!$Y$45" display="$Y$45 3" xr:uid="{12261503-12F4-4096-8DAF-4BE939371D99}"/>
    <hyperlink ref="I424" location="'3'!$Y$48" display="$Y$48 3" xr:uid="{4783162F-6147-47F3-8459-C03141B99865}"/>
    <hyperlink ref="I425" location="'3'!$Y$54" display="$Y$54 3" xr:uid="{312EB4BB-817B-4AEE-9876-4411F47973FA}"/>
    <hyperlink ref="I426" location="'3'!$Y$36" display="$Y$36 3" xr:uid="{A8E1BA42-0422-43A8-A64A-65E644D6BE61}"/>
    <hyperlink ref="I427" location="'3'!$Z$46" display="$Z$46 3" xr:uid="{7033FCEB-1961-4C8A-9ACF-9A6DBE5AD70B}"/>
    <hyperlink ref="I428" location="'3'!$AA$36" display="$AA$36 3" xr:uid="{E3DBB898-465C-4289-B9CD-D9BC38B551AC}"/>
    <hyperlink ref="I429" location="'3'!$AA$38" display="$AA$38 3" xr:uid="{4D4D19CF-119F-4578-9271-FC5CE874E0DD}"/>
    <hyperlink ref="I430" location="'3'!$AA$37" display="$AA$37 3" xr:uid="{896703A6-6B70-4FF3-B6E6-7828B855F051}"/>
    <hyperlink ref="I431" location="'3'!$AA$39" display="$AA$39 3" xr:uid="{D3282487-D084-498D-BA05-C66D93C0BE09}"/>
    <hyperlink ref="I432" location="'3'!$AB$42" display="$AB$42 3" xr:uid="{7A067FDE-1ADF-4B7B-BBDC-08958C643C49}"/>
    <hyperlink ref="I433" location="'3'!$AB$40" display="$AB$40 3" xr:uid="{5702B885-FC10-459F-A712-87939CB92B30}"/>
    <hyperlink ref="I434" location="'3'!$AB$53" display="$AB$53 3" xr:uid="{64CF4EF8-DA0F-4754-B360-21B2E5096B98}"/>
    <hyperlink ref="I435" location="'3'!$AB$52" display="$AB$52 3" xr:uid="{83D8A35F-3040-4B30-B021-CDC407E9AA09}"/>
    <hyperlink ref="I436" location="'3'!$AB$57" display="$AB$57 3" xr:uid="{747CA16D-6AAD-4AE8-BC8E-EFC391FD22C5}"/>
    <hyperlink ref="I437" location="'3'!$AC$56" display="$AC$56 3" xr:uid="{DA7B7545-A814-4BE2-BE47-68A97A1EF78C}"/>
    <hyperlink ref="I438" location="'3'!$AC$43" display="$AC$43 3" xr:uid="{E5D8015E-FAF8-436E-8A63-2EEA6DBC91FD}"/>
    <hyperlink ref="I439" location="'3'!$AC$55" display="$AC$55 3" xr:uid="{AF7FFE23-2BAA-4053-BB7B-3CE2CD3C464D}"/>
    <hyperlink ref="I440" location="'3'!$AC$47" display="$AC$47 3" xr:uid="{99B1D0E3-616F-4ADA-97C1-A09862D6865B}"/>
    <hyperlink ref="I441" location="'4'!$F$44" display="$F$44 4" xr:uid="{A005D0BC-141B-42BE-9602-6C5DB754145D}"/>
    <hyperlink ref="I442" location="'4'!$F$67" display="$F$67 4" xr:uid="{89B0F72A-6347-4763-98BA-DB4776C37E65}"/>
    <hyperlink ref="I443" location="'4'!$F$61" display="$F$61 4" xr:uid="{300E5E9B-C633-4A32-A339-538AEE908132}"/>
    <hyperlink ref="I444" location="'4'!$F$60" display="$F$60 4" xr:uid="{768C8F10-A40C-4928-85F3-DDAE237F4428}"/>
    <hyperlink ref="I445" location="'4'!$F$45" display="$F$45 4" xr:uid="{5D30B7E8-3E44-45FA-9A76-E72B3354B4F5}"/>
    <hyperlink ref="I446" location="'4'!$F$48" display="$F$48 4" xr:uid="{B693E99F-F9FE-434B-A83D-D29A2529C496}"/>
    <hyperlink ref="I447" location="'4'!$F$54" display="$F$54 4" xr:uid="{D8B25BBD-6FD1-4D99-82AB-3DA221221A7D}"/>
    <hyperlink ref="I448" location="'4'!$H$46" display="$H$46 4" xr:uid="{AA13F46C-4C13-4BDF-B9CA-3B3746620CB4}"/>
    <hyperlink ref="I449" location="'4'!$H$15" display="$H$15 4" xr:uid="{74B1512B-491C-42B7-8975-2D11DE12EFB0}"/>
    <hyperlink ref="I451" location="'4'!$K$15" display="$K$15 4" xr:uid="{0720B267-861A-4A64-B9BC-0D051613CECA}"/>
    <hyperlink ref="I452" location="'4'!$K$52" display="$K$52 4" xr:uid="{15CE551A-5B11-424A-925E-E7A66031785F}"/>
    <hyperlink ref="I453" location="'4'!$K$14" display="$K$14 4" xr:uid="{E2591F7E-3B7D-4069-96F0-C08809A5DABC}"/>
    <hyperlink ref="I454" location="'4'!$L$60" display="$L$60 4" xr:uid="{C483B4BA-2714-4CC5-A718-00B761AD74E4}"/>
    <hyperlink ref="I455" location="'4'!$L$62" display="$L$62 4" xr:uid="{BF0D7CDC-15B7-4891-9C36-8484D9E859B9}"/>
    <hyperlink ref="I456" location="'4'!$L$53" display="$L$53 4" xr:uid="{8C1C6BE3-134B-4B6E-9ED9-22884B4A10A5}"/>
    <hyperlink ref="I457" location="'4'!$L$57" display="$L$57 4" xr:uid="{22A66C3E-CCEF-4DFC-9C45-CB43F5C5E288}"/>
    <hyperlink ref="I458" location="'4'!$L$56" display="$L$56 4" xr:uid="{BD2441FB-324B-499D-A5AB-792C91ED24E1}"/>
    <hyperlink ref="I459" location="'4'!$L$43" display="$L$43 4" xr:uid="{DC52A281-AA9B-4B72-AA18-4ECF21C213D4}"/>
    <hyperlink ref="I460" location="'4'!$M$55" display="$M$55 4" xr:uid="{16CB92D5-3132-4D80-B558-CB6A8623765E}"/>
    <hyperlink ref="I461" location="'4'!$M$67" display="$M$67 4" xr:uid="{44130E53-8286-43A0-9632-3F5585DD96B3}"/>
    <hyperlink ref="I462" location="'4'!$M$53" display="$M$53 4" xr:uid="{E67589C4-AAC0-47F6-98FC-EE98E81D1F93}"/>
    <hyperlink ref="I463" location="'4'!$M$52" display="$M$52 4" xr:uid="{DEB26777-0CA3-48E4-8663-95FD044F4D88}"/>
    <hyperlink ref="I464" location="'4'!$N$57" display="$N$57 4" xr:uid="{E0714910-3AAE-457C-9B78-9D332B5E02DA}"/>
    <hyperlink ref="I465" location="'4'!$N$47" display="$N$47 4" xr:uid="{59CA9299-27E8-437E-85C0-A51A04F27BDD}"/>
    <hyperlink ref="I466" location="'4'!$N$76" display="$N$76 4" xr:uid="{CCAA814F-35D8-4D8C-95CD-826A1521D8AB}"/>
    <hyperlink ref="I467" location="'4'!$N$77" display="$N$77 4" xr:uid="{6D849198-D280-44A2-8217-8EDB1AB63EC4}"/>
    <hyperlink ref="I468" location="'4'!$N$24" display="$N$24 4" xr:uid="{FE857E91-4B63-4DDA-8057-6A5F678DCCFE}"/>
    <hyperlink ref="I469" location="'4'!$N$44" display="$N$44 4" xr:uid="{E7B98F45-0B1A-4161-9AD3-4F19689E78E8}"/>
    <hyperlink ref="I470" location="'4'!$N$45" display="$N$45 4" xr:uid="{8545371C-3DD5-4E49-88E0-38A73ECBBABA}"/>
    <hyperlink ref="I471" location="'4'!$O$54" display="$O$54 4" xr:uid="{755E8CEA-C8B6-4F7F-BCCD-947461DF9123}"/>
    <hyperlink ref="I472" location="'4'!$O$48" display="$O$48 4" xr:uid="{6D31D162-6C49-4CAD-B0B6-2DC11BB94521}"/>
    <hyperlink ref="I473" location="'4'!$O$39" display="$O$39 4" xr:uid="{9A004B31-FB1E-4594-963E-AD1CA7C00194}"/>
    <hyperlink ref="I474" location="'4'!$O$42" display="$O$42 4" xr:uid="{BE762EAD-6221-453C-B65D-E041D270D5E5}"/>
    <hyperlink ref="I475" location="'4'!$O$56" display="$O$56 4" xr:uid="{FB7D7A69-FE04-45C7-BCA1-F3A004D79100}"/>
    <hyperlink ref="I476" location="'4'!$O$43" display="$O$43 4" xr:uid="{40EC516E-EA79-4323-AA02-9676E490CA95}"/>
    <hyperlink ref="I477" location="'4'!$O$40" display="$O$40 4" xr:uid="{DDB3BABC-B0D1-48E1-87BD-600110016D43}"/>
    <hyperlink ref="I478" location="'4'!$O$37" display="$O$37 4" xr:uid="{13F05732-2378-4AD9-9BFE-191F1964101B}"/>
    <hyperlink ref="I479" location="'4'!$O$55" display="$O$55 4" xr:uid="{D8ECE2AB-82F3-4259-8C4B-34A5F6AF8D8F}"/>
    <hyperlink ref="I480" location="'4'!$O$46" display="$O$46 4" xr:uid="{8C172B68-7FC2-4B1D-8861-EBB36F01CB38}"/>
    <hyperlink ref="I481" location="'4'!$O$47" display="$O$47 4" xr:uid="{6BF81364-5EBF-40A8-853B-5595AC2591A1}"/>
    <hyperlink ref="I482" location="'4'!$O$44" display="$O$44 4" xr:uid="{8D0F1485-ADD3-4CBC-9D65-7DE789068A52}"/>
    <hyperlink ref="I483" location="'4'!$O$45" display="$O$45 4" xr:uid="{12D15CE1-EF63-41B0-8AD0-D5C3F70C0053}"/>
    <hyperlink ref="I484" location="'4'!$O$68" display="$O$68 4" xr:uid="{86B02A27-E567-4D10-A6BA-C49727D6F1A5}"/>
    <hyperlink ref="I485" location="'4'!$O$14" display="$O$14 4" xr:uid="{A9D83032-FD5C-42DA-8A35-BB9218EBCEE3}"/>
    <hyperlink ref="I486" location="'4'!$P$52" display="$P$52 4" xr:uid="{D064C598-20AB-4DB8-8BDF-AEC3229F0791}"/>
    <hyperlink ref="I487" location="'4'!$P$53" display="$P$53 4" xr:uid="{B5297495-660C-4F3D-9568-1B211172B715}"/>
    <hyperlink ref="I488" location="'4'!$P$57" display="$P$57 4" xr:uid="{B2310A92-753E-442A-BBAB-56127E4C84B5}"/>
    <hyperlink ref="I489" location="'4'!$P$56" display="$P$56 4" xr:uid="{B16AF178-0DB4-4D01-9E9B-0D9BF36E2AAD}"/>
    <hyperlink ref="I490" location="'4'!$P$43" display="$P$43 4" xr:uid="{5A7282DF-DF22-43FF-AEE5-EAF6E654C644}"/>
    <hyperlink ref="I491" location="'4'!$P$55" display="$P$55 4" xr:uid="{92CBFFA8-A411-4EE6-AD13-E327890E3D63}"/>
    <hyperlink ref="I492" location="'4'!$Q$48" display="$Q$48 4" xr:uid="{D3AD8437-7D67-493F-9918-3C682CF30F35}"/>
    <hyperlink ref="I494" location="'4'!$R$68" display="$R$68 4" xr:uid="{632C6584-BE1F-4F78-A863-FA599D847F76}"/>
    <hyperlink ref="I495" r:id="rId26" location="'4'!$R$68" xr:uid="{968091FF-3F00-4953-9CEE-F361973D4218}"/>
    <hyperlink ref="I496" location="'4'!$S$62" display="$S$62 4" xr:uid="{ECAC6DFA-8634-4D4A-8FFC-3EF92A2CFBB9}"/>
    <hyperlink ref="I497" location="'4'!$S$61" display="$S$61 4" xr:uid="{3BFD1764-F6C3-4B5A-9A6E-4F5CF37B7D59}"/>
    <hyperlink ref="I498" location="'4'!$S$65" display="$S$65 4" xr:uid="{96A882DE-58B3-444E-9EA4-017CE01185DB}"/>
    <hyperlink ref="I499" location="'4'!$S$68" display="$S$68 4" xr:uid="{40385245-D858-4230-B465-B57965BA2152}"/>
    <hyperlink ref="I500" location="'4'!$T$47" display="$T$47 4" xr:uid="{40525917-15B1-4214-8274-D3E665EE56A2}"/>
    <hyperlink ref="I501" location="'4'!$T$44" display="$T$44 4" xr:uid="{7F18828E-71DD-4057-B1A9-91513B27D24E}"/>
    <hyperlink ref="I502" location="'4'!$T$45" display="$T$45 4" xr:uid="{48B4ED52-0F6F-41ED-BD77-541E20EEB032}"/>
    <hyperlink ref="I503" location="'4'!$U$46" display="$U$46 4" xr:uid="{F3B478BF-A6B9-4DB4-8E59-2DF46CAD06E5}"/>
    <hyperlink ref="I493" location="'4'!$Q$54" display="$Q$54 4" xr:uid="{BED91700-C564-492C-B70B-54336559E1AC}"/>
    <hyperlink ref="I504" location="'4'!$U$48" display="$U$48 4" xr:uid="{EB65720F-8C9A-4B7F-9C63-6FE7612219B8}"/>
    <hyperlink ref="I505" location="'4'!$U$54" display="$U$54 4" xr:uid="{2DB3EF35-809E-4870-8DCC-2E0B6974E0EF}"/>
    <hyperlink ref="I506" r:id="rId27" location="'4'!$U$46" xr:uid="{8D64E3B0-AEB2-4A1B-8A4F-C370371D0322}"/>
    <hyperlink ref="I507" location="'4'!$U$21" display="$U$21 4" xr:uid="{3A578D4F-F250-426B-BFFA-D80FEBF460BB}"/>
    <hyperlink ref="I508" location="'4'!$V$36" display="$V$36 4" xr:uid="{675C530F-D35D-4E65-A7C1-8FFB7D3C8A3A}"/>
    <hyperlink ref="I509" location="'4'!$V$46" display="$V$46 4" xr:uid="{21536616-A410-4807-9DF4-30D61C69AEF3}"/>
    <hyperlink ref="I510" location="'4'!$V$51" display="$V$51 4" xr:uid="{167F3438-AE55-4FDA-89CC-C00D7C4FB32D}"/>
    <hyperlink ref="I511" location="'4'!$V$68" display="$V$68 4" xr:uid="{D11A02CE-FF69-4600-8727-CFA9A9C8D2CD}"/>
    <hyperlink ref="I512" location="'4'!$W$52" display="$W$52 4" xr:uid="{A24A39E9-9E22-473D-A866-C5F71C6AD5E6}"/>
    <hyperlink ref="I513" location="'4'!$W$46" display="$W$46 4" xr:uid="{E608BAF7-E1EB-4ADD-91E3-11E04AF7E47F}"/>
    <hyperlink ref="I514" location="'4'!$W$38" display="$W$38 4" xr:uid="{35899E34-99FC-4790-836A-4DC07E29A3A9}"/>
    <hyperlink ref="I516" location="'4'!$W$53" display="$W$53 4" xr:uid="{5B803494-A222-4049-B023-AA71DC60063D}"/>
    <hyperlink ref="I517" location="'4'!$W$65" display="$W$65 4" xr:uid="{E5272C59-3615-49CF-9A4A-E29CBD9855DB}"/>
    <hyperlink ref="I518" location="'4'!$W$56" display="$W$56 4" xr:uid="{73D0890C-8988-49DB-856C-DCCC728D77AB}"/>
    <hyperlink ref="I519" location="'4'!$X$43" display="$X$43 4" xr:uid="{153C1D2E-8EF2-40F5-AD4F-DB3BDFD648E3}"/>
    <hyperlink ref="I520" location="'4'!$X$55" display="$X$55 4" xr:uid="{E26C4AFE-0999-426C-992B-0822570F97AE}"/>
    <hyperlink ref="I521" location="'4'!$X$47" display="$X$47 4" xr:uid="{AB7D2C32-2E8C-4678-82D9-49CCF8A70E2D}"/>
    <hyperlink ref="I522" location="'4'!$X$57" display="$X$57 4" xr:uid="{B0B63BE6-724A-4393-B757-AFEDE8EB81BF}"/>
    <hyperlink ref="I523" location="'4'!$X$61" display="$X$61 4" xr:uid="{293BEA35-2AA2-45FE-BCA0-469F415F7239}"/>
    <hyperlink ref="I524" location="'4'!$X$60" display="$X$60 4" xr:uid="{31E44E83-BA63-4EE1-BC19-4DB355C0D48A}"/>
    <hyperlink ref="I525" location="'4'!$X$46" display="$X$46 4" xr:uid="{1376FC5E-4B0B-4823-96AB-4EF6F05F62C1}"/>
    <hyperlink ref="I526" location="'4'!$X$51" display="$X$51 4" xr:uid="{9945987D-96A2-44FD-B2A8-B6695050D0A7}"/>
    <hyperlink ref="I527" location="'4'!$Y$77" display="$Y$77 4" xr:uid="{FA329E42-A1F2-452F-8BBA-EADA120E8D70}"/>
    <hyperlink ref="I528" location="'4'!$Y$76" display="$Y$76 4" xr:uid="{9793A1E5-0F9D-4491-9BDF-5616D58BD493}"/>
    <hyperlink ref="I529" location="'4'!$Y$52" display="$Y$52 4" xr:uid="{01C8F13A-2B61-4181-B7E9-EAA0F19AC50B}"/>
    <hyperlink ref="I530" location="'4'!$Y$53" display="$Y$53 4" xr:uid="{90308F90-E84B-47C7-8E45-969C99347018}"/>
    <hyperlink ref="I531" location="'4'!$Y$57" display="$Y$57 4" xr:uid="{3EFB29E4-45A4-452B-96E8-6CBB2B6E1876}"/>
    <hyperlink ref="I532" location="'4'!$Y$51" display="$Y$51 4" xr:uid="{372675BA-8D1E-4FC1-B541-03E37099765A}"/>
    <hyperlink ref="I534" location="'4'!$Y$56" display="$Y$56 4" xr:uid="{4FC5A1C1-9D18-4908-BCAB-748327B240C3}"/>
    <hyperlink ref="I535" location="'4'!$Y$43" display="$Y$43 4" xr:uid="{D2ABD135-DCA8-41F0-9E78-B5FF89F109BF}"/>
    <hyperlink ref="I536" location="'4'!$Z$76" display="$Z$76 4" xr:uid="{4935D88A-9322-4C36-8DDD-F777A378069C}"/>
    <hyperlink ref="I537" location="'4'!$Z$77" display="$Z$77 4" xr:uid="{57986AE9-2DC9-40C7-84F8-87F610F6C3F0}"/>
    <hyperlink ref="I539" location="'4'!$Z$38" display="$Z$38 4" xr:uid="{1B51DD26-09E7-4DB3-A258-14A900677FC7}"/>
    <hyperlink ref="I540" location="'4'!$Z$36" display="$Z$36 4" xr:uid="{31042A6A-F46E-4808-B3E4-FAD91810A7CB}"/>
    <hyperlink ref="I541" location="'4'!$Z$44" display="$Z$44 4" xr:uid="{0F075AF5-4FEE-47AD-AA07-1C9DF6EB9715}"/>
    <hyperlink ref="I542" location="'4'!$Z$45" display="$Z$45 4" xr:uid="{DAB6BFED-419D-48AC-B093-04D41FA70691}"/>
    <hyperlink ref="I543" location="'4'!$Z$55" display="$Z$55 4" xr:uid="{76F25721-C662-4544-8D45-9D1050C17842}"/>
    <hyperlink ref="I544" location="'4'!$AA$51" display="$AA$51 4" xr:uid="{4B14C551-AE4E-4153-8C0A-238E14B43A4D}"/>
    <hyperlink ref="I545" location="'4'!$AA$54" display="$AA$54 4" xr:uid="{8A39CF9A-EB00-4385-8BE8-5821741B4D6C}"/>
    <hyperlink ref="I546" location="'4'!$AA$46" display="$AA$46 4" xr:uid="{D1A006BF-02A3-4D04-A4AB-B2F33562F28F}"/>
    <hyperlink ref="I547" location="'4'!$AB$52" display="$AB$52 4" xr:uid="{E426C22B-07E4-4DDF-B2F5-B475678CA9C3}"/>
    <hyperlink ref="I548" location="'4'!$AB$57" display="$AB$57 4" xr:uid="{273C86EA-455F-4E54-BA78-32677659827C}"/>
    <hyperlink ref="I549" location="'4'!$AB$56" display="$AB$56 4" xr:uid="{0EA2E8D4-26A1-4EEA-9D60-8089E10548E5}"/>
    <hyperlink ref="I550" location="'4'!$AB$43" display="$AB$43 4" xr:uid="{34AE2DD6-65D0-46AE-8F69-C5F34C13C2FA}"/>
    <hyperlink ref="I551" location="'4'!$AB$53" display="$AB$53 4" xr:uid="{75AE8C83-8A94-4BBC-B08D-2DAF1AACD69F}"/>
    <hyperlink ref="I552" location="'4'!$AC$55" display="$AC$55 4" xr:uid="{7F289060-610E-4B98-BE2A-6FD178F37B1A}"/>
    <hyperlink ref="I553" location="'4'!$AC$48" display="$AC$48 4" xr:uid="{044691AF-6F57-4E31-856E-2487830F069B}"/>
    <hyperlink ref="I554" location="'4'!$AC$37" display="$AC$37 4" xr:uid="{94CF6FBC-8AB7-49A9-BA2D-F419366A4DC4}"/>
    <hyperlink ref="I555" location="'4'!$AC$39" display="$AC$39 4" xr:uid="{6435C634-1A06-44E8-8378-AA51CFDCED12}"/>
    <hyperlink ref="I556" location="'5'!$F$42" display="$F$42 5" xr:uid="{6648852F-AA59-4F53-8A0C-0A481C3C7F73}"/>
    <hyperlink ref="I557" location="'5'!$F$68" display="$F$68 5" xr:uid="{DCC530DE-DB77-4D1C-BFE7-C81C10292AD1}"/>
    <hyperlink ref="I558" location="'5'!$F$60" display="$F$60 5" xr:uid="{90B82F2D-C839-45F2-8E86-1C1D871CB03F}"/>
    <hyperlink ref="I559" location="'5'!$F$62" display="$F$62 5" xr:uid="{C3AEC0E2-2BE1-4EBC-9CC3-7F3A469B44FD}"/>
    <hyperlink ref="I560" location="'5'!$F$40" display="$F$40 5" xr:uid="{8FE679E7-EC73-4C70-83FE-0E6B90BA9261}"/>
    <hyperlink ref="I561" location="'5'!$H$67" display="$H$67 5" xr:uid="{1FE62C40-DBC3-404B-9CC5-A52E7E898BA7}"/>
    <hyperlink ref="I562" location="'5'!$I$15" display="$I$15 5" xr:uid="{9985638D-352B-40A9-914F-E101AB3EAAD3}"/>
    <hyperlink ref="I563" location="'5'!$J$15" display="$J$15 5" xr:uid="{8DE033D0-2F7D-408B-BA6F-EF791EB4E1B0}"/>
    <hyperlink ref="I564" location="'5'!$J$13" display="$J$13 5" xr:uid="{2F06EF36-2C4C-4E47-B41E-6B5CF2B9AF3A}"/>
    <hyperlink ref="I565" location="'5'!$L$13" display="$L$13 5" xr:uid="{C94E0279-80CF-4FF9-A93C-71EE99B01AFE}"/>
    <hyperlink ref="I566" location="'5'!$L$62" display="$L$62 5" xr:uid="{E48D85AE-AEF8-4808-AFFB-014465DD372F}"/>
    <hyperlink ref="I567" location="'5'!$L$61" display="$L$61 5" xr:uid="{5877FDEB-7196-4AE4-95DE-7C8A97F004E4}"/>
    <hyperlink ref="I568" location="'5'!$L$44" display="$L$44 5" xr:uid="{3EBDCAC4-1448-42A3-B6A1-6E393D06B365}"/>
    <hyperlink ref="I569" location="'5'!$L$45" display="$L$45 5" xr:uid="{187AFEAD-4573-4DC1-8548-22AB365BE829}"/>
    <hyperlink ref="I570" location="'5'!$L$16" display="$L$16 5" xr:uid="{1D39ADE1-CA35-4C1C-86AD-314CC4D2B392}"/>
    <hyperlink ref="I571" location="'5'!$L$42" display="$L$42 5" xr:uid="{B324B958-FC5C-436B-977D-72DFB6B5BFAA}"/>
    <hyperlink ref="I572" location="'5'!$M$39" display="$M$39 5" xr:uid="{A384E2D4-A6E6-4679-8791-9392413EAC90}"/>
    <hyperlink ref="I573" location="'5'!$M$44" display="$M$44 5" xr:uid="{E73CD6DA-A6A6-4DB4-8871-0DD01A33BFA3}"/>
    <hyperlink ref="I574" location="'5'!$M$37" display="$M$37 5" xr:uid="{AE34548C-F067-4DE0-97C7-297ECD9267E1}"/>
    <hyperlink ref="I575" location="'5'!$M$45" display="$M$45 5" xr:uid="{3CFC1A9E-F2CF-434A-B424-1000FF8B5168}"/>
    <hyperlink ref="I576" location="'5'!$M$40" display="$M$40 5" xr:uid="{8786C64B-882C-4C58-A6C5-86244D852495}"/>
    <hyperlink ref="I577" location="'5'!$M$54" display="$M$54 5" xr:uid="{179A6518-2253-477C-8F99-E752B0AC65E1}"/>
    <hyperlink ref="I578" location="'5'!$M$67" display="$M$67 5" xr:uid="{9A3EA5F5-CEFE-4A57-B512-7DFFD25135D3}"/>
    <hyperlink ref="I580" location="'5'!$N$37" display="$N$37 5" xr:uid="{8FB2B4A5-D91A-480D-8C22-0C6C0BF9E224}"/>
    <hyperlink ref="I581" r:id="rId28" location="'5'!$N$37" xr:uid="{162E6869-6744-47F0-B7A5-8FD8FF54425B}"/>
    <hyperlink ref="I582" location="'5'!$N$52" display="$N$52 5" xr:uid="{332126B9-00C7-42C5-B387-EA47AABFFC03}"/>
    <hyperlink ref="I583" location="'5'!$O$46" display="$O$46 5" xr:uid="{2A4B0C70-7154-4731-9CAB-3B600636AD42}"/>
    <hyperlink ref="I584" location="'5'!$N$76" display="$N$76 5" xr:uid="{BA1DD43A-A7B6-4529-A120-3E1C3AA90353}"/>
    <hyperlink ref="I585" location="'5'!$N$77" display="$N$77 5" xr:uid="{31CF3936-CE8E-46A8-A101-20DD067001C5}"/>
    <hyperlink ref="I586" location="'5'!$O$53" display="$O$53 5" xr:uid="{D7104EA6-D78F-4899-921C-2189811506BB}"/>
    <hyperlink ref="I587" location="'5'!$P$46" display="$P$46 5" xr:uid="{C68EF8EE-C271-42CD-8A1B-A678962BC941}"/>
    <hyperlink ref="I588" location="'5'!$P$16" display="$P$16 5" xr:uid="{A0D63B21-8E53-4C4D-94A9-FF3BB8B22454}"/>
    <hyperlink ref="I590" location="'5'!$O$52" display="$O$52 5" xr:uid="{6EC22FAF-DBC1-46E1-93CA-885BDD6FFC32}"/>
    <hyperlink ref="I591" location="'5'!$P$47" display="$P$47 5" xr:uid="{8BC37DD8-9C82-4642-9166-3EAC34C9D958}"/>
    <hyperlink ref="I592" location="'5'!$P$55" display="$P$55 5" xr:uid="{FEAFC85A-6A29-4AEA-9DB4-65D3CF3859E9}"/>
    <hyperlink ref="I593" location="'5'!$P$44" display="$P$44 5" xr:uid="{DE44BB89-0DD8-456E-94D9-5514EA45A81E}"/>
    <hyperlink ref="I594" location="'5'!$P$45" display="$P$45 5" xr:uid="{651DED7C-6465-462B-92C9-9D1EC16DC322}"/>
    <hyperlink ref="I595" location="'5'!$P$68" display="$P$68 5" xr:uid="{A31CFCBF-51C5-4772-812D-FA49C0DD1E34}"/>
    <hyperlink ref="I596" location="'5'!$O$56" display="$O$56 5" xr:uid="{329F79D9-C1CE-4297-AC95-66E8E1F2B0E4}"/>
    <hyperlink ref="I597" location="'5'!$O$57" display="$O$57 5" xr:uid="{341DDF0C-AF0C-4AB2-9ED7-52F8CB554566}"/>
    <hyperlink ref="I598" location="'5'!$P$48" display="$P$48 5" xr:uid="{0CFD5CE9-414E-444F-AFDA-7A98FC1C24AE}"/>
    <hyperlink ref="I599" location="'5'!$P$54" display="$P$54 5" xr:uid="{2AD05C4B-838B-46C6-97D6-27D49E8617ED}"/>
    <hyperlink ref="I600" r:id="rId29" location="'5'!$P$46" xr:uid="{DBCA770E-1355-4138-9345-EBF88D840B15}"/>
    <hyperlink ref="I601" location="'5'!$Q$52" display="$Q$52 5" xr:uid="{E0A42F63-AAF2-4C3C-AD13-13848DCE3D5E}"/>
    <hyperlink ref="I602" location="'5'!$Q$53" display="$Q$53 5" xr:uid="{11AD4155-DACC-4B20-94AF-9DBEB3A17FB2}"/>
    <hyperlink ref="I603" location="'5'!$M$49" display="$M$49 5" xr:uid="{ABBFA2E6-6792-4936-A755-92A3C4F6887B}"/>
    <hyperlink ref="I604" location="'5'!$M$50" display="$M$50 5" xr:uid="{69579449-7270-481D-93EF-E7FB614E1FD3}"/>
    <hyperlink ref="I605" location="'5'!$M$51" display="$M$51 5" xr:uid="{044A383A-EB74-44DC-908E-0D1159D702F7}"/>
    <hyperlink ref="I606" location="'5'!$M$41" display="$M$41 5" xr:uid="{8C29E265-3CEC-4D77-86FD-DAC6F2F02C11}"/>
    <hyperlink ref="I607" location="'5'!$Q$43" display="$Q$43 5" xr:uid="{3F0D6913-500C-4E87-A33D-238327E99890}"/>
    <hyperlink ref="I608" location="'5'!$R$60" display="$R$60 5" xr:uid="{F2A88D1C-0A43-4039-999E-EA209C5864E6}"/>
    <hyperlink ref="I609" location="'5'!$R$61" display="$R$61 5" xr:uid="{D8652E88-991B-49D5-BB1E-68C73FB5672E}"/>
    <hyperlink ref="I610" location="'5'!$R$37" display="$R$37 5" xr:uid="{91A0062F-13F4-4DD2-982B-F7E680BE3170}"/>
    <hyperlink ref="I611" r:id="rId30" location="'5'!$R$37" xr:uid="{13D138CC-DF6C-4995-80ED-59CB7EDC6763}"/>
    <hyperlink ref="I612" r:id="rId31" location="'5'!$R$37" xr:uid="{63BFC1E0-8BBE-4F28-B670-1A30291F461F}"/>
    <hyperlink ref="I613" location="'5'!$S$57" display="$S$57 5" xr:uid="{AD917429-6FEF-4D65-8047-F970DE6C95F0}"/>
    <hyperlink ref="I614" r:id="rId32" location="'5'!$S$57" xr:uid="{7AB0C3CB-98ED-4AB3-9D58-EB447CE06378}"/>
    <hyperlink ref="I615" location="'5'!$S$36" display="$S$36 5" xr:uid="{2E4F36D6-56E7-411F-9823-45D6B0C17BEC}"/>
    <hyperlink ref="I616" location="'5'!$T$35" display="$T$35 5" xr:uid="{2BB21F13-3EF2-433A-89F5-B56A23100812}"/>
    <hyperlink ref="I617" location="'5'!$T$36" display="$T$36 5" xr:uid="{1BCCF50B-7F9F-429C-AC31-1D3A01BBB74A}"/>
    <hyperlink ref="I618" location="'5'!$T$38" display="$T$38 5" xr:uid="{500F1F82-774B-4EE6-AF9E-074DBAC99700}"/>
    <hyperlink ref="I619" location="'5'!$T$68" display="$T$68 5" xr:uid="{26165CA6-9BE0-45EA-9F6A-17741C7E98CD}"/>
    <hyperlink ref="I620" location="'5'!$U$56" display="$U$56 5" xr:uid="{44067C70-831A-4CA3-AF43-E6B6831549A6}"/>
    <hyperlink ref="I621" location="'5'!$U$65" display="$U$65 5" xr:uid="{DBBA4424-1A94-45F0-B2E6-A788AAE75F2B}"/>
    <hyperlink ref="I622" location="'5'!$U$51" display="$U$51 5" xr:uid="{ED52E40B-A3BE-4360-8C98-2B67DDE2B030}"/>
    <hyperlink ref="I624" location="'5'!$U$68" display="$U$68 5" xr:uid="{5E690928-088C-462E-BB97-F11577640CD0}"/>
    <hyperlink ref="I625" location="'5'!$V$38" display="$V$38 5" xr:uid="{866E884D-7659-4A4F-813A-38D8F964E663}"/>
    <hyperlink ref="I626" location="'5'!$V$56" display="$V$56 5" xr:uid="{6D633297-B52A-4DA7-AE43-8AFA8DEB38E8}"/>
    <hyperlink ref="I627" r:id="rId33" location="'5'!$V$38" xr:uid="{4EC10B06-4C58-43A5-9D80-DBE6317509E0}"/>
    <hyperlink ref="I629" location="'5'!$W$43" display="$W$43 5" xr:uid="{167C0E01-540D-47C8-BCF2-445A9922E7FD}"/>
    <hyperlink ref="I630" location="'5'!$W$55" display="$W$55 5" xr:uid="{B2C7A551-E8B7-43BD-B0CA-FADAD0BEE07C}"/>
    <hyperlink ref="I631" location="'5'!$X$47" display="$X$47 5" xr:uid="{B0C3C27C-FEE5-440D-9AE9-10998A2CF2BE}"/>
    <hyperlink ref="I632" location="'5'!$X$44" display="$X$44 5" xr:uid="{64F5A33A-148E-43F6-A41E-EF7C6BDFAB72}"/>
    <hyperlink ref="I633" location="'5'!$X$45" display="$X$45 5" xr:uid="{4C5BBF43-E167-4C2E-BF14-EE9279F939F4}"/>
    <hyperlink ref="I634" location="'5'!$X$48" display="$X$48 5" xr:uid="{C5C2D4B0-9350-4C40-A668-29574B6A1299}"/>
    <hyperlink ref="I635" location="'5'!$X$60" display="$X$60 5" xr:uid="{BC41E5B5-ABF1-4AFD-B997-79C395DFF393}"/>
    <hyperlink ref="I636" location="'5'!$X$62" display="$X$62 5" xr:uid="{A06CDCED-A775-4C9B-9C09-13E32FFE8B61}"/>
    <hyperlink ref="I637" location="'5'!$X$54" display="$X$54 5" xr:uid="{9480336B-DE70-4C7C-8CE9-0FE1E8316444}"/>
    <hyperlink ref="I638" location="'5'!$X$56" display="$X$56 5" xr:uid="{DDC27A1E-6019-4B4D-9923-74D70F7AC335}"/>
    <hyperlink ref="I639" location="'5'!$X$55" display="$X$55 5" xr:uid="{5598AD4B-BDF6-48DC-A2B7-1BBCF5361873}"/>
    <hyperlink ref="I640" location="'5'!$X$43" display="$X$43 5" xr:uid="{3FC85EC4-628E-46C2-88C6-45B97DB2B5D7}"/>
    <hyperlink ref="I641" location="'5'!$Y$77" display="$Y$77 5" xr:uid="{E53F82B3-387F-4329-81D1-2C7B0200F71F}"/>
    <hyperlink ref="I642" location="'5'!$Y$76" display="$Y$76 5" xr:uid="{674D3A2F-0124-4BE0-AE8C-5D6F493478BC}"/>
    <hyperlink ref="I643" location="'5'!$Y$47" display="$Y$47 5" xr:uid="{CDDF92A0-2B08-454F-A55E-D48CC5078907}"/>
    <hyperlink ref="I644" location="'5'!$Y$44" display="$Y$44 5" xr:uid="{BAD9E805-8C5E-48D4-B1A2-B6ACFE3A0976}"/>
    <hyperlink ref="I645" location="'5'!$Y$45" display="$Y$45 5" xr:uid="{C0ACE5B9-9939-4BEE-AEB6-D227C9136BF3}"/>
    <hyperlink ref="I646" location="'5'!$Y$48" display="$Y$48 5" xr:uid="{DF9367B9-5B7D-4120-AA96-F396197DD8AF}"/>
    <hyperlink ref="I647" location="'5'!$Y$54" display="$Y$54 5" xr:uid="{CAD1B506-733E-4A06-9877-FF3AA6C8F415}"/>
    <hyperlink ref="I648" location="'5'!$AA$54" display="$AA$54 5" xr:uid="{27980BEB-C80D-44EF-A4BF-8A47F2BCC306}"/>
    <hyperlink ref="I649" location="'5'!$AA$46" display="$AA$46 5" xr:uid="{FA108D8C-3D62-41F1-B1BB-EA4B54D1D3EC}"/>
    <hyperlink ref="I650" location="'5'!$AA$51" display="$AA$51 5" xr:uid="{CF2BFB19-F99B-4559-807F-96C5C6AAA995}"/>
    <hyperlink ref="I651" location="'5'!$AB$24" display="$AB$24 5" xr:uid="{CF1135E2-16BC-4653-8C21-D07976699370}"/>
    <hyperlink ref="I652" location="'6'!$F$62" display="$F$62 6" xr:uid="{D0820D7B-8251-422E-A6A4-BEC94C67F9AD}"/>
    <hyperlink ref="I653" location="'6'!$F$61" display="$F$61 6" xr:uid="{E3F32DB3-2BAB-49E7-A580-BA1B4F4BB168}"/>
    <hyperlink ref="I654" location="'6'!$F$14" display="$F$14 6" xr:uid="{C8BEF01C-75DB-4530-8FF3-105A24D3ECF8}"/>
    <hyperlink ref="I655" r:id="rId34" location="'6'!$F$14" xr:uid="{EF11AC11-362C-495F-8B3D-2333149C2632}"/>
    <hyperlink ref="I656" location="'6'!$F$38" display="$F$38 6" xr:uid="{EDD6E835-F698-4621-BDE1-CA0610C9F7EA}"/>
    <hyperlink ref="I657" location="'6'!$F$53" display="$F$53 6" xr:uid="{1CB44273-0172-4188-8B1A-D94D2B360765}"/>
    <hyperlink ref="I658" location="'6'!$F$52" display="$F$52 6" xr:uid="{0B75CDD5-C32F-4BC4-9AF8-544AABEDF2EF}"/>
    <hyperlink ref="I659" location="'6'!$F$57" display="$F$57 6" xr:uid="{AF75A33D-2F3B-4D65-BC51-9C2CA20D126B}"/>
    <hyperlink ref="I660" location="'6'!$F$69" display="$F$69 6" xr:uid="{24B98577-D7AF-4973-AB8C-58A360B02682}"/>
    <hyperlink ref="I662" location="'6'!$F$24" display="$F$24 6" xr:uid="{DB0FFDB4-ACBB-4E1F-A3C4-D658A6EF6F26}"/>
    <hyperlink ref="I663" r:id="rId35" location="'6'!$F$24" xr:uid="{FA5A0B09-B522-4305-B290-34C76328CAC3}"/>
    <hyperlink ref="I664" location="'6'!$G$44" display="$G$44 6" xr:uid="{B498D0B7-5308-4E8C-823C-DCEA2E7D03FB}"/>
    <hyperlink ref="I665" location="'6'!$G$56" display="$G$56 6" xr:uid="{F5D4B1F4-6B10-46C1-9E92-DAA2A501CCF5}"/>
    <hyperlink ref="I666" location="'6'!$G$48" display="$G$48 6" xr:uid="{C4203CC3-2BCF-438C-8236-825C4FE7429C}"/>
    <hyperlink ref="I667" location="'6'!$G$45" display="$G$45 6" xr:uid="{A71388E7-1C9A-44EE-98FC-A21BF68726A0}"/>
    <hyperlink ref="I668" location="'6'!$G$46" display="$G$46 6" xr:uid="{148B4166-9B19-4065-853B-DBFCA10555D2}"/>
    <hyperlink ref="I669" location="'6'!$G$49" display="$G$49 6" xr:uid="{FD77B6CA-93E6-4C48-AD5A-A583BEC77F83}"/>
    <hyperlink ref="I670" location="'6'!$G$40" display="$G$40 6" xr:uid="{F8B2839F-453A-4E31-822C-D5229D5A2D3E}"/>
    <hyperlink ref="I671" location="'6'!$G$38" display="$G$38 6" xr:uid="{72EEB514-BA7C-4F81-AC4B-2A954B8DCAC1}"/>
    <hyperlink ref="I672" location="'6'!$G$41" display="$G$41 6" xr:uid="{02B01EC8-6209-461A-8FC6-69C23B0D0F06}"/>
    <hyperlink ref="I673" location="'6'!$I$43" display="$I$43 6" xr:uid="{C1F93F1A-5708-49D8-A9EA-4F296B0995BC}"/>
    <hyperlink ref="I674" location="'6'!$I$61" display="$I$61 6" xr:uid="{311A1DCE-4D39-4FE3-AB4C-AC6399E11A7B}"/>
    <hyperlink ref="I675" location="'6'!$K$55" display="$K$55 6" xr:uid="{241BC77E-8F20-4756-A3B9-DFB5366CD8DD}"/>
    <hyperlink ref="I676" location="'6'!$K$62" display="$K$62 6" xr:uid="{3ED54613-F65D-4B27-B215-67AA96A82E3E}"/>
    <hyperlink ref="I677" location="'6'!$L$47" display="$L$47 6" xr:uid="{0E6F8944-7A85-45D4-8493-F9EAA1A835BA}"/>
    <hyperlink ref="I678" location="'6'!$L$43" display="$L$43 6" xr:uid="{B7285403-185F-43C3-8E5A-27497660F637}"/>
    <hyperlink ref="I679" location="'6'!$L$55" display="$L$55 6" xr:uid="{A9A684ED-BDB1-41C9-9001-E53A5461B0CE}"/>
    <hyperlink ref="I680" location="'6'!$L$41" display="$L$41 6" xr:uid="{31794246-ACA6-4CAA-85AD-EF269F011EAE}"/>
    <hyperlink ref="I681" location="'6'!$L$38" display="$L$38 6" xr:uid="{2169CE1E-EA26-4304-B086-0718703358BA}"/>
    <hyperlink ref="I682" location="'6'!$M$77" display="$M$77 6" xr:uid="{DF9F434A-AC60-41D0-BC54-0DFCB5055679}"/>
    <hyperlink ref="I683" location="'6'!$M$78" display="$M$78 6" xr:uid="{D1CAFFEA-43EF-4706-8BCC-474E7AE5365A}"/>
    <hyperlink ref="I684" location="'6'!$M$40" display="$M$40 6" xr:uid="{C696D384-B74D-4D43-B836-35860B6E84AE}"/>
    <hyperlink ref="I685" location="'6'!$M$55" display="$M$55 6" xr:uid="{F5CC4516-DDE3-4E24-88C3-6A401BCD72EB}"/>
    <hyperlink ref="I687" location="'6'!$M$47" display="$M$47 6" xr:uid="{118A058F-4AA4-4D06-B5AB-21624E93CC82}"/>
    <hyperlink ref="I688" location="'6'!$M$38" display="$M$38 6" xr:uid="{7ABC1141-4D4B-435B-978E-FF3704894AFA}"/>
    <hyperlink ref="I689" location="'6'!$N$14" display="$N$14 6" xr:uid="{BF481835-69EF-46CE-8C4C-724BE0F181B8}"/>
    <hyperlink ref="I690" location="'6'!$N$38" display="$N$38 6" xr:uid="{C8371390-1BDD-4091-B30F-802D79BF8E38}"/>
    <hyperlink ref="I691" location="'6'!$N$53" display="$N$53 6" xr:uid="{F59F0BAE-ADBB-4779-A7E8-A961C26FD32A}"/>
    <hyperlink ref="I692" location="'6'!$O$58" display="$O$58 6" xr:uid="{FD491461-8D13-4433-A68D-2BE3FD77B75E}"/>
    <hyperlink ref="I693" location="'6'!$O$57" display="$O$57 6" xr:uid="{D019D08D-B5D3-4ACA-A720-7E6A602C72DB}"/>
    <hyperlink ref="I694" location="'6'!$O$44" display="$O$44 6" xr:uid="{7602C92B-D611-4865-B610-32EEC1C0A03D}"/>
    <hyperlink ref="I695" location="'6'!$O$54" display="$O$54 6" xr:uid="{973E4BEA-FBF4-4AAA-89AE-75D4B7604D28}"/>
    <hyperlink ref="I696" location="'6'!$O$48" display="$O$48 6" xr:uid="{2A6D2712-743C-402F-9E43-BB975984E360}"/>
    <hyperlink ref="I697" location="'6'!$L$52" display="$L$52 6" xr:uid="{9C310538-684A-457D-BEFE-2B9AFBA58A90}"/>
    <hyperlink ref="I698" location="'6'!$O$45" display="$O$45 6" xr:uid="{88A68C1E-87A2-4BA1-9768-521F9466B759}"/>
    <hyperlink ref="I699" location="'6'!$O$53" display="$O$53 6" xr:uid="{FCD15A5E-5469-4839-84E3-F72498F5232B}"/>
    <hyperlink ref="I703" location="'6'!$O$69" display="$O$69 6" xr:uid="{2D2A004E-12A7-4D73-97C3-16E101122784}"/>
    <hyperlink ref="I704" location="'6'!$P$44" display="$P$44 6" xr:uid="{FBAB7E98-3DDF-4B9F-ABA5-16D973985ED4}"/>
    <hyperlink ref="I705" location="'6'!$O$56" display="$O$56 6" xr:uid="{9DFFFB39-110C-46FF-A3B6-F63BCFE62F8D}"/>
    <hyperlink ref="I706" location="'6'!$P$49" display="$P$49 6" xr:uid="{6A710BA9-9FB7-42F5-A1FB-8207ECBA8CBF}"/>
    <hyperlink ref="I707" location="'6'!$P$55" display="$P$55 6" xr:uid="{32B73A94-1C42-4B78-B981-3B04F5E05CB4}"/>
    <hyperlink ref="I708" location="'6'!$P$46" display="$P$46 6" xr:uid="{4DFDB562-738A-4395-BB86-E844272BD412}"/>
    <hyperlink ref="I709" location="'6'!$P$47" display="$P$47 6" xr:uid="{19CFE33C-331B-4A03-89DB-2ACF0995DE3A}"/>
    <hyperlink ref="I710" location="'6'!$P$53" display="$P$53 6" xr:uid="{CA591BC3-E63F-4E7F-A3B1-609D700ED472}"/>
    <hyperlink ref="I711" location="'6'!$P$54" display="$P$54 6" xr:uid="{BEB13BEE-0982-4F22-A015-5C85ED45A7C4}"/>
    <hyperlink ref="I712" location="'6'!$Q$57" display="$Q$57 6" xr:uid="{C38426FF-C549-4BE6-9B48-BAEA295F62A7}"/>
    <hyperlink ref="I713" location="'6'!$Q$58" display="$Q$58 6" xr:uid="{D41AF390-3183-43F3-BEB4-514F53429AE9}"/>
    <hyperlink ref="I714" location="'6'!$R$61" display="$R$61 6" xr:uid="{B1750C33-F22A-42A4-8143-0B3F3460F28E}"/>
    <hyperlink ref="I715" location="'6'!$R$63" display="$R$63 6" xr:uid="{8D11DDC1-2FA6-494A-A55C-09B44B0F2AD6}"/>
    <hyperlink ref="I716" location="'6'!$R$56" display="$R$56 6" xr:uid="{E1818706-F2ED-4AC8-B747-FE03EFE2413C}"/>
    <hyperlink ref="I717" location="'6'!$R$44" display="$R$44 6" xr:uid="{7CB36070-714B-484C-BD44-191D6D93CDFE}"/>
    <hyperlink ref="I718" location="'6'!$S$48" display="$S$48 6" xr:uid="{4AED7614-F1DA-474D-BEB5-015737E3729A}"/>
    <hyperlink ref="I719" location="'6'!$S$45" display="$S$45 6" xr:uid="{03D90C09-BB86-43D6-963E-1D0B5B413546}"/>
    <hyperlink ref="I720" location="'6'!$S$56" display="$S$56 6" xr:uid="{2D1016B4-41F7-4AAA-BCAC-E8AC6D971D90}"/>
    <hyperlink ref="I721" location="'6'!$T$48" display="$T$48 6" xr:uid="{BD4395BA-B7CE-40AC-A965-930C2AEFCE7F}"/>
    <hyperlink ref="I722" location="'6'!$T$45" display="$T$45 6" xr:uid="{00077D06-808D-4155-B77C-E865CE785A70}"/>
    <hyperlink ref="I723" location="'6'!$V$52" display="$V$52 6" xr:uid="{81257592-8E88-4B8F-BEC0-15501662EBEF}"/>
    <hyperlink ref="I725" location="'6'!$V$46" display="$V$46 6" xr:uid="{919336A5-B27B-4627-95B5-5D1394B68B55}"/>
    <hyperlink ref="I726" location="'6'!$W$49" display="$W$49 6" xr:uid="{EB3EC07F-65F5-4E73-AAF5-6F087BE47461}"/>
    <hyperlink ref="I727" location="'6'!$W$46" display="$W$46 6" xr:uid="{D76978C7-6656-4E09-AD94-5004F0667A9E}"/>
    <hyperlink ref="I728" location="'6'!$W$29" display="$W$29 6" xr:uid="{ABBF1E23-31C7-49AB-A1D6-86BC4EA3E18F}"/>
    <hyperlink ref="I729" location="'6'!$X$63" display="$X$63 6" xr:uid="{CDD0C90D-1383-4AA9-B73A-55BE06403126}"/>
    <hyperlink ref="I730" location="'6'!$X$62" display="$X$62 6" xr:uid="{4E2EBB48-5C1C-45FE-833E-11688264C258}"/>
    <hyperlink ref="I731" location="'6'!$X$67" display="$X$67 6" xr:uid="{9BBB489A-7E47-4043-AAF2-9690783B1847}"/>
    <hyperlink ref="I732" location="'6'!$Y$49" display="$Y$49 6" xr:uid="{B23B25D3-55C6-4533-BD6C-5FA4936A0C36}"/>
    <hyperlink ref="I733" location="'6'!$Y$52" display="$Y$52 6" xr:uid="{F4946787-BD4B-4F71-A1C3-E4279E2C84D1}"/>
    <hyperlink ref="I734" location="'6'!$Y$67" display="$Y$67 6" xr:uid="{297E7CB5-8C4C-45E4-84FD-C2F5E2F6AA12}"/>
    <hyperlink ref="I735" location="'6'!$Y$39" display="$Y$39 6" xr:uid="{FAA1D633-B973-481C-9019-2391BD6B18E8}"/>
    <hyperlink ref="I736" location="'6'!$Y$29" display="$Y$29 6" xr:uid="{8ED993C0-69D5-4417-B289-E2E673881C5F}"/>
    <hyperlink ref="I737" location="'6'!$Z$52" display="$Z$52 6" xr:uid="{67C37B9F-1C96-44F6-A82A-E42B93B21679}"/>
    <hyperlink ref="I738" location="'6'!$Z$55" display="$Z$55 6" xr:uid="{30056031-0445-442F-B913-C4F081C381ED}"/>
    <hyperlink ref="I739" location="'6'!$Z$29" display="$Z$29 6" xr:uid="{829CCE4C-37A0-4302-9863-0FC9472C9BAB}"/>
    <hyperlink ref="I740" location="'6'!$Z$39" display="$Z$39 6" xr:uid="{D9D1342F-3FCC-476E-9775-E10C5C75AD3B}"/>
    <hyperlink ref="I741" location="'6'!$AB$48" display="$AB$48 6" xr:uid="{F436C506-0800-4E65-B4BF-5C6BF6A897C8}"/>
    <hyperlink ref="I742" location="'6'!$AB$45" display="$AB$45 6" xr:uid="{BE8A3EBF-2380-499E-B236-BC3A764BE07E}"/>
    <hyperlink ref="I743" location="'6'!$AB$47" display="$AB$47 6" xr:uid="{0C043388-4E84-4969-AB58-AC7C78D716E9}"/>
    <hyperlink ref="I744" location="'6'!$AB$54" display="$AB$54 6" xr:uid="{CAAAB56F-B0FD-4C7B-BC0A-9D4F47577517}"/>
    <hyperlink ref="I745" location="'6'!$AB$53" display="$AB$53 6" xr:uid="{B26CA6A8-7085-441B-A16C-5985C0750976}"/>
    <hyperlink ref="I746" location="'6'!$AB$58" display="$AB$58 6" xr:uid="{6AAC865D-94B8-4481-AEB5-B9C34B8FD314}"/>
    <hyperlink ref="I747" location="'6'!$AB$57" display="$AB$57 6" xr:uid="{7DE6CEEA-54F8-4088-A71B-B3E99B46705E}"/>
    <hyperlink ref="I748" location="'6'!$AB$44" display="$AB$44 6" xr:uid="{D9577C6E-776D-4320-960A-8BCC9BAB3B90}"/>
    <hyperlink ref="I749" location="'6'!$AC$56" display="$AC$56 6" xr:uid="{B98ADD31-D1C3-4FFE-A2CA-7F280CA031D6}"/>
    <hyperlink ref="I750" location="'6'!$AC$74" display="$AC$74 6" xr:uid="{8537347F-0331-4B38-B735-6CF17F7F1856}"/>
    <hyperlink ref="I751" location="'6'!$AC$46" display="$AC$46 6" xr:uid="{A2482A27-EB31-49EE-B5C0-39FC2461D542}"/>
    <hyperlink ref="I752" location="'7'!$F$62" display="$F$62 7" xr:uid="{B9245AA2-ECE3-45E1-8C14-E5343196A75C}"/>
    <hyperlink ref="I753" location="'7'!$F$61" display="$F$61 7" xr:uid="{6D86116F-CC21-43A9-BF6E-FBA9B994B3CB}"/>
    <hyperlink ref="I754" location="'7'!$F$29" display="$F$29 7" xr:uid="{D9BB3717-855E-4C29-95FB-C420B52C444C}"/>
    <hyperlink ref="I755" location="'7'!$F$49" display="$F$49 7" xr:uid="{97412E9B-2048-4894-B000-8E99DD260E38}"/>
    <hyperlink ref="I756" location="'7'!$F$38" display="$F$38 7" xr:uid="{BC29387E-7B46-460B-B2BF-C4BD359DEBBD}"/>
    <hyperlink ref="I757" location="'7'!$F$40" display="$F$40 7" xr:uid="{FB054D0B-E489-402C-AE78-AEC35AAF5B3D}"/>
    <hyperlink ref="I758" location="'7'!$F$43" display="$F$43 7" xr:uid="{1BFCAF0B-1DF5-4DA3-8AA2-4A7865C9B37F}"/>
    <hyperlink ref="I759" location="'7'!$F$41" display="$F$41 7" xr:uid="{6374FCA3-9236-40DD-A2FD-F79214B4A264}"/>
    <hyperlink ref="I760" location="'7'!$F$47" display="$F$47 7" xr:uid="{BE7E108F-639F-445D-A5C4-657993EFCDB5}"/>
    <hyperlink ref="I761" location="'7'!$F$53" display="$F$53 7" xr:uid="{F8717E9F-9891-4507-A2FD-FAA72D384961}"/>
    <hyperlink ref="I762" location="'7'!$F$54" display="$F$54 7" xr:uid="{A2CB76F3-D148-4B3A-BADE-2F9DDF7BF2EF}"/>
    <hyperlink ref="I763" location="'7'!$F$57" display="$F$57 7" xr:uid="{34AC386C-D90B-4D84-AC16-5FA5CF74F461}"/>
    <hyperlink ref="I764" location="'7'!$F$58" display="$F$58 7" xr:uid="{00761E1E-F64B-4D27-B867-0D1C9F701863}"/>
    <hyperlink ref="I765" location="'7'!$F$44" display="$F$44 7" xr:uid="{21F16D90-6EE3-4E58-8F8A-93A5B58F6CD9}"/>
    <hyperlink ref="I766" location="'7'!$F$15" display="$F$15 7" xr:uid="{647078FA-AE3A-4428-B3B6-7A9B86662B81}"/>
    <hyperlink ref="I768" location="'7'!$G$54" display="$G$54 7" xr:uid="{4331B9BF-9895-4BAB-A094-86579DCA5A5E}"/>
    <hyperlink ref="I769" location="'7'!$G$53" display="$G$53 7" xr:uid="{28B46A0D-FD88-4580-9DFB-05EE1D9D5085}"/>
    <hyperlink ref="I770" location="'7'!$H$15" display="$H$15 7" xr:uid="{211FCCC1-A60E-49C7-8820-FEB21C6952C9}"/>
    <hyperlink ref="I771" location="'7'!$H$16" display="$H$16 7" xr:uid="{E97C0E89-0069-4226-95FE-C279A55EC807}"/>
    <hyperlink ref="I772" location="'7'!$H$58" display="$H$58 7" xr:uid="{45B7E44B-D0F9-4888-A7C8-29EA5B5D33E6}"/>
    <hyperlink ref="I773" location="'7'!$I$74" display="$I$74 7" xr:uid="{9A12349F-A393-43F8-B16E-290A7E890C27}"/>
    <hyperlink ref="I774" location="'7'!$I$67" display="$I$67 7" xr:uid="{A6FC1D6D-9EB8-4999-98CF-B129435B7188}"/>
    <hyperlink ref="I775" location="'7'!$I$57" display="$I$57 7" xr:uid="{8FADA931-6214-4E27-8840-1B3213732CBE}"/>
    <hyperlink ref="I776" location="'7'!$I$44" display="$I$44 7" xr:uid="{809A0889-AB18-4992-A2F7-696250F50F5C}"/>
    <hyperlink ref="I777" location="'7'!$K$46" display="$K$46 7" xr:uid="{00C17432-94BF-404B-864D-8422FB867941}"/>
    <hyperlink ref="I778" location="'7'!$L$48" display="$L$48 7" xr:uid="{26D66CBC-41B3-4CD6-BCED-5767FC9BD264}"/>
    <hyperlink ref="I779" location="'7'!$L$61" display="$L$61 7" xr:uid="{D9EB8092-6F7E-488F-A9D6-4B6C65DDA6D1}"/>
    <hyperlink ref="I780" location="'7'!$L$63" display="$L$63 7" xr:uid="{5A171CC9-2A55-4CEC-A816-F5253D2FD7B3}"/>
    <hyperlink ref="I781" location="'7'!$L$45" display="$L$45 7" xr:uid="{6524C52D-AF98-4508-A583-706294841AD1}"/>
    <hyperlink ref="I782" location="'7'!$L$43" display="$L$43 7" xr:uid="{A977C886-09B5-42E6-B087-B0C58969B49B}"/>
    <hyperlink ref="I783" location="'7'!$L$40" display="$L$40 7" xr:uid="{6135EE0F-F5DF-418F-8815-72D5FA4B6548}"/>
    <hyperlink ref="I784" location="'7'!$L$46" display="$L$46 7" xr:uid="{017B3C8E-98C4-4DC7-B8C9-195263D92F5E}"/>
    <hyperlink ref="I785" location="'7'!$L$41" display="$L$41 7" xr:uid="{091EF8E5-D55D-4A85-B7C4-9C74EC6F76B5}"/>
    <hyperlink ref="I788" location="'7'!$L$38" display="$L$38 7" xr:uid="{02CF4095-9B5E-4CB5-A5D5-AFDE14DECE7F}"/>
    <hyperlink ref="I789" location="'7'!$M$46" display="$M$46 7" xr:uid="{A6BE12A4-FA90-4FF1-ABCF-14BFF5ADC28F}"/>
    <hyperlink ref="I790" location="'7'!$M$49" display="$M$49 7" xr:uid="{7FC51129-3398-42C4-BD8C-0B34CE23E0E6}"/>
    <hyperlink ref="I791" r:id="rId36" location="'6'!$Z$52" xr:uid="{01D81C84-8B3F-4914-82B0-E8E8ED6FFD77}"/>
    <hyperlink ref="I792" location="'6'!$Y$77" display="$Y$77 6" xr:uid="{51594F70-FFDF-4D48-B67E-854B539F4915}"/>
    <hyperlink ref="I793" location="'6'!$Y$78" display="$Y$78 6" xr:uid="{68364D70-AC98-4611-B4DC-F9EA5B0E677C}"/>
    <hyperlink ref="I794" location="'7'!$M$77" display="$M$77 7" xr:uid="{72F1094E-2408-409C-A9F2-F1D4D1E5B687}"/>
    <hyperlink ref="I795" location="'7'!$M$78" display="$M$78 7" xr:uid="{FCB344D7-AEB1-4DD7-A8FA-93553A5BEF64}"/>
    <hyperlink ref="I796" location="'7'!$N$46" display="$N$46 7" xr:uid="{6523DFC2-C5E8-4CE7-AFE2-35FF5C2196F3}"/>
    <hyperlink ref="I797" location="'7'!$N$49" display="$N$49 7" xr:uid="{239A3C7B-57E8-4A5E-819D-AB8E947F722E}"/>
    <hyperlink ref="I798" location="'7'!$N$55" display="$N$55 7" xr:uid="{C63C0497-AFBA-4782-A0CF-4EBF3258792B}"/>
    <hyperlink ref="I799" location="'7'!$N$53" display="$N$53 7" xr:uid="{3CCCD18E-D65F-409C-8666-493250D9674E}"/>
    <hyperlink ref="I800" location="'7'!$N$54" display="$N$54 7" xr:uid="{6490642D-CF09-420F-B1A7-FA199FB5E7D1}"/>
    <hyperlink ref="I801" location="'7'!$O$58" display="$O$58 7" xr:uid="{871961D0-A5B5-43AC-8A02-E031742D8E25}"/>
    <hyperlink ref="I802" location="'7'!$O$57" display="$O$57 7" xr:uid="{79447B2C-B6A1-4106-9407-42C269237EDD}"/>
    <hyperlink ref="I803" location="'7'!$O$44" display="$O$44 7" xr:uid="{7492A640-2CD0-4FE9-9C00-AB09FA9E5296}"/>
    <hyperlink ref="I804" location="'7'!$O$56" display="$O$56 7" xr:uid="{920A622F-5EE4-460A-BC5A-162E7A249F77}"/>
    <hyperlink ref="I805" location="'7'!$O$16" display="$O$16 7" xr:uid="{2906CAA6-76DE-4ED6-A7D1-D07DDFE72246}"/>
    <hyperlink ref="I806" location="'7'!$O$55" display="$O$55 7" xr:uid="{E803639F-803E-46FB-B16E-D03E2F973E47}"/>
    <hyperlink ref="I807" location="'7'!$O$54" display="$O$54 7" xr:uid="{3F98616A-CEC7-47C9-8768-3771FA4C2109}"/>
    <hyperlink ref="I808" location="'7'!$O$53" display="$O$53 7" xr:uid="{A7500B03-5B85-48F7-B14C-12FF4F6B2998}"/>
    <hyperlink ref="I812" location="'7'!$P$48" display="$P$48 7" xr:uid="{18DACF47-BE6A-4271-8ED1-3BB24288AA0E}"/>
    <hyperlink ref="I813" location="'7'!$P$45" display="$P$45 7" xr:uid="{8837F5DD-6DE9-48DB-B899-AFC2945D2BAE}"/>
    <hyperlink ref="I814" location="'7'!$P$67" display="$P$67 7" xr:uid="{60CB0058-4B43-4555-B69C-63549707BDDF}"/>
    <hyperlink ref="I815" location="'7'!$P$49" display="$P$49 7" xr:uid="{50F1024D-64BF-462D-91EF-1A6F25AF2D62}"/>
    <hyperlink ref="I816" location="'7'!$Q$55" display="$Q$55 7" xr:uid="{4A2F7310-D239-4C7F-B948-421ED4DAA8FE}"/>
    <hyperlink ref="I817" location="'7'!$P$46" display="$P$46 7" xr:uid="{4A8B08A3-2566-4552-8F23-E8A056372A83}"/>
    <hyperlink ref="I818" location="'7'!$Q$56" display="$Q$56 7" xr:uid="{1D81FF8E-BAF1-4EF1-AC2E-CA48F26058DF}"/>
    <hyperlink ref="I819" location="'7'!$R$63" display="$R$63 7" xr:uid="{8008B801-9EEF-49D5-A7AA-1C8D3E61F2FB}"/>
    <hyperlink ref="I820" location="'7'!$R$62" display="$R$62 7" xr:uid="{83EEB86F-5119-4061-AC6E-C67C2F6C1D96}"/>
    <hyperlink ref="I821" location="'7'!$S$53" display="$S$53 7" xr:uid="{432D2AD9-EBE7-472D-98F2-68A674109D80}"/>
    <hyperlink ref="I822" location="'7'!$S$54" display="$S$54 7" xr:uid="{8D1AD296-A9A3-4003-AD4B-F6AF70D28AA0}"/>
    <hyperlink ref="I823" location="'7'!$T$58" display="$T$58 7" xr:uid="{145E0BC9-5265-47AD-BE50-C2BA0C7195BD}"/>
    <hyperlink ref="I824" location="'7'!$T$57" display="$T$57 7" xr:uid="{E72FF121-5CBD-4B86-AA39-6D0BADF2FA09}"/>
    <hyperlink ref="I825" location="'7'!$U$29" display="$U$29 7" xr:uid="{8266E520-C954-4028-B445-73448C1470FE}"/>
    <hyperlink ref="I826" location="'7'!$V$21" display="$V$21 7" xr:uid="{B8976D96-DC1D-4DB1-85BF-32A96A1708DE}"/>
    <hyperlink ref="I827" location="'7'!$W$29" display="$W$29 7" xr:uid="{E15072CE-0C3A-4495-960C-E13AA9DE6BAA}"/>
    <hyperlink ref="I828" location="'7'!$W$48" display="$W$48 7" xr:uid="{4C938CC7-AE8A-4EEC-9292-36A9FBDE031F}"/>
    <hyperlink ref="I829" location="'7'!$W$45" display="$W$45 7" xr:uid="{F5D3E3DF-FB9A-4E89-B6D6-B036B28D43F9}"/>
    <hyperlink ref="I830" location="'7'!$W$46" display="$W$46 7" xr:uid="{570AB77B-AD0A-4A9A-8661-F7697C933B98}"/>
    <hyperlink ref="I831" location="'7'!$W$49" display="$W$49 7" xr:uid="{6A607E34-BDF4-40F8-B532-B0D3175635F7}"/>
    <hyperlink ref="I832" r:id="rId37" location="'7'!$W$29" xr:uid="{A2F63883-AE28-443B-ADA3-F5C3E75058B2}"/>
    <hyperlink ref="I833" location="'7'!$X$62" display="$X$62 7" xr:uid="{B952E742-24D8-45AE-86D2-AA5DEA0F78E2}"/>
    <hyperlink ref="I834" location="'7'!$X$61" display="$X$61 7" xr:uid="{CEE2CA85-F5D4-471A-BD0B-E8170B66F672}"/>
    <hyperlink ref="I835" location="'7'!$X$55" display="$X$55 7" xr:uid="{391C51CC-1F5E-4217-B84D-97E34822B6EE}"/>
    <hyperlink ref="I836" location="'7'!$X$54" display="$X$54 7" xr:uid="{89F4C79B-2ACC-487A-8279-1E767060EC3E}"/>
    <hyperlink ref="I837" location="'7'!$X$53" display="$X$53 7" xr:uid="{3F5410B9-8866-46D6-BB34-C189E06D983F}"/>
    <hyperlink ref="I838" location="'7'!$X$58" display="$X$58 7" xr:uid="{D26328C9-4E51-4BA8-A8CA-EF352E68C618}"/>
    <hyperlink ref="I839" location="'7'!$X$57" display="$X$57 7" xr:uid="{5CC51674-F0E4-414A-928D-EBDC94A98BD0}"/>
    <hyperlink ref="I840" location="'7'!$X$44" display="$X$44 7" xr:uid="{4F16D50D-B0A9-49EB-93A6-A550806C73A6}"/>
    <hyperlink ref="I841" r:id="rId38" location="'7'!$X$57" xr:uid="{2F8B9896-0085-457A-9380-85C131919EC8}"/>
    <hyperlink ref="I842" location="'7'!$X$46" display="$X$46 7" xr:uid="{D635710C-B707-44D6-AA20-8DB6D4833210}"/>
    <hyperlink ref="I843" location="'7'!$Y$48" display="$Y$48 7" xr:uid="{490E8A13-393C-4396-B6C1-162170ED7FD8}"/>
    <hyperlink ref="I844" location="'7'!$Y$56" display="$Y$56 7" xr:uid="{1E4D2075-9C4D-4891-A8A3-09BFDD499D93}"/>
    <hyperlink ref="I845" location="'7'!$Y$47" display="$Y$47 7" xr:uid="{20322B41-B872-4A7E-AB45-652B05580682}"/>
    <hyperlink ref="I846" location="'7'!$Y$49" display="$Y$49 7" xr:uid="{93C237DA-DA35-4AFA-8CD2-936245CB6723}"/>
    <hyperlink ref="I847" location="'7'!$Y$55" display="$Y$55 7" xr:uid="{D3429FF7-D9B4-409F-9B4F-18A680A7CCED}"/>
    <hyperlink ref="I848" location="'7'!$Y$53" display="$Y$53 7" xr:uid="{65DDA8C7-A41D-4B4B-8470-072400BA4C75}"/>
    <hyperlink ref="I849" location="'7'!$Y$54" display="$Y$54 7" xr:uid="{111332D7-76BF-4C04-8CA9-3C64A96C1444}"/>
    <hyperlink ref="I850" location="'7'!$Y$39" display="$Y$39 7" xr:uid="{0818F1C6-891B-4E2F-816E-4676615C3DA6}"/>
    <hyperlink ref="I851" location="'7'!$Y$58" display="$Y$58 7" xr:uid="{53EB2844-5F0E-418A-BF8C-1A89B6FC8BC1}"/>
    <hyperlink ref="I852" location="'7'!$Y$52" display="$Y$52 7" xr:uid="{DBF5F02E-E16E-4EE0-9C6E-EB2C6A2E8D5E}"/>
    <hyperlink ref="I855" location="'7'!$Y$45" display="$Y$45 7" xr:uid="{D25ACE74-09F4-4F0F-B1AC-66727E326CFB}"/>
    <hyperlink ref="I856" location="'7'!$Z$57" display="$Z$57 7" xr:uid="{79E50378-C9D3-4089-8597-EA11B73A7CDA}"/>
    <hyperlink ref="I857" location="'7'!$Y$29" display="$Y$29 7" xr:uid="{CAD64030-1B99-42F7-ABE8-60AB3E6C94A7}"/>
    <hyperlink ref="I858" location="'7'!$Y$78" display="$Y$78 7" xr:uid="{5DF5E4B4-DFEC-4BFF-9A35-FCD1CAD7FE62}"/>
    <hyperlink ref="I859" location="'7'!$Y$77" display="$Y$77 7" xr:uid="{1B1AD06D-306D-4176-B2CC-2E1EED5A7AEC}"/>
    <hyperlink ref="I860" location="'7'!$Z$44" display="$Z$44 7" xr:uid="{63AE9C6A-F5D7-486C-9982-729773EB1F25}"/>
    <hyperlink ref="I861" location="'7'!$Z$56" display="$Z$56 7" xr:uid="{0F4F5617-012C-493E-82EB-2254E471079A}"/>
    <hyperlink ref="I862" r:id="rId39" location="'7'!$Z$44" xr:uid="{0FD18CA6-9508-42E8-AD24-645B49C9E5F5}"/>
    <hyperlink ref="I863" location="'7'!$Z$52" display="$Z$52 7" xr:uid="{0B44A692-5316-49AA-8340-B3608E503DB2}"/>
    <hyperlink ref="I864" r:id="rId40" location="'7'!$Z$56" xr:uid="{5226AA58-57CF-4D65-910E-9DA93FC04E95}"/>
    <hyperlink ref="I865" r:id="rId41" location="'7'!$Z$57" xr:uid="{DC0EF80F-95B6-4B98-9887-2DF4770046F2}"/>
    <hyperlink ref="I866" location="'7'!$Z$58" display="$Z$58 7" xr:uid="{BBB461E1-871E-477C-B980-2C0C267FFB16}"/>
    <hyperlink ref="I868" r:id="rId42" location="'7'!$Z$14" xr:uid="{1C10C403-05EE-471A-A379-3F7E77535DD9}"/>
    <hyperlink ref="I869" location="'7'!$AA$13" display="$AA$13 7" xr:uid="{6BDCA589-5E9D-410A-BB51-220CCA7B6C88}"/>
    <hyperlink ref="I870" location="'7'!$AA$52" display="$AA$52 7" xr:uid="{FBDE4F17-533B-433C-BA31-80463DD72B4C}"/>
    <hyperlink ref="I871" r:id="rId43" location="'7'!$AA$52" xr:uid="{EADB42FD-7357-41EB-83B1-515702ECEED2}"/>
    <hyperlink ref="I872" location="'7'!$AA$56" display="$AA$56 7" xr:uid="{EE616D92-4840-4790-85F9-187406685331}"/>
    <hyperlink ref="I873" location="'7'!$AB$69" display="$AB$69 7" xr:uid="{C45A5F9F-2866-47AC-81A0-903962EF0BEC}"/>
    <hyperlink ref="I874" location="'7'!$AB$52" display="$AB$52 7" xr:uid="{DD8FE22A-9170-4CAA-B4A4-607935E586D2}"/>
    <hyperlink ref="I875" location="'7'!$AB$39" display="$AB$39 7" xr:uid="{D0E12574-1CEE-43E8-B9BD-CB90E8793ABC}"/>
    <hyperlink ref="I876" location="'7'!$AC$69" display="$AC$69 7" xr:uid="{35C62ECC-5133-4391-9191-B4705B89E11D}"/>
    <hyperlink ref="I877" location="'7'!$AC$58" display="$AC$58 7" xr:uid="{E321EFB7-02CF-45B7-8289-C60CCA742F1F}"/>
    <hyperlink ref="I878" location="'7'!$AC$48" display="$AC$48 7" xr:uid="{D2FF1356-D97C-4F53-B001-3DA292C2A58D}"/>
    <hyperlink ref="I879" location="'7'!$AC$46" display="$AC$46 7" xr:uid="{EC5B63B6-4F88-4DE5-B8F3-00B6BD35CAB6}"/>
    <hyperlink ref="I880" location="'8'!$F$49" display="$F$49 8" xr:uid="{1F8A044D-A15B-4631-A912-4E4678E95D1E}"/>
    <hyperlink ref="I881" location="'8'!$F$61" display="$F$61 8" xr:uid="{8317A7F7-54C5-4A6F-AD0C-8F28502CC337}"/>
    <hyperlink ref="I882" location="'8'!$F$63" display="$F$63 8" xr:uid="{B4B66DCD-1C72-4C29-AF32-5C80CDDC5BDC}"/>
    <hyperlink ref="I883" location="'8'!$F$13" display="$F$13 8" xr:uid="{C46A6DFB-7DED-4521-A888-BAD033EFAF83}"/>
    <hyperlink ref="I884" r:id="rId44" location="'8'!$F$13" xr:uid="{FF50854D-8599-4C8F-AE46-E7662FD6DC21}"/>
    <hyperlink ref="I885" location="'8'!$F$55" display="$F$55 8" xr:uid="{985CC05D-E176-41EF-9FAB-78264BB27784}"/>
    <hyperlink ref="I886" location="'8'!$F$47" display="$F$47 8" xr:uid="{2E4EE0CB-FC05-4627-9942-98B776C2162A}"/>
    <hyperlink ref="I887" location="'8'!$F$54" display="$F$54 8" xr:uid="{A0C9C380-8431-472C-A16A-6A92B94A552F}"/>
    <hyperlink ref="I888" location="'8'!$F$53" display="$F$53 8" xr:uid="{0C5AF5DB-2689-4E2E-82FD-2AEFDC690001}"/>
    <hyperlink ref="I889" location="'8'!$F$57" display="$F$57 8" xr:uid="{9317998F-4D5C-4ED0-B178-EB23802371BD}"/>
    <hyperlink ref="I890" location="'8'!$F$56" display="$F$56 8" xr:uid="{AD58913D-C048-4F83-AB86-6F10B53E7118}"/>
    <hyperlink ref="I891" location="'8'!$F$44" display="$F$44 8" xr:uid="{6A5577ED-F353-4B56-988F-C5E698A7FDE5}"/>
    <hyperlink ref="I892" location="'8'!$F$38" display="$F$38 8" xr:uid="{F1AFFB72-AE60-459F-8FE1-8A698E53578C}"/>
    <hyperlink ref="I893" location="'8'!$F$40" display="$F$40 8" xr:uid="{DDA16CBF-C028-4A99-9493-E7AE26BFDC49}"/>
    <hyperlink ref="I894" location="'8'!$F$43" display="$F$43 8" xr:uid="{31E8F798-A72D-494D-AC88-05D18B534ABE}"/>
    <hyperlink ref="I895" location="'8'!$F$41" display="$F$41 8" xr:uid="{EC46BFB1-30D9-4F32-BAD8-3F1AE788DAF3}"/>
    <hyperlink ref="I896" location="'8'!$I$62" display="$I$62 8" xr:uid="{FAD04912-D328-435C-AE9F-9635524779F6}"/>
    <hyperlink ref="I897" location="'8'!$I$46" display="$I$46 8" xr:uid="{B8CB3BB9-5E4A-4727-BB73-6A5068F415E5}"/>
    <hyperlink ref="I898" location="'8'!$I$48" display="$I$48 8" xr:uid="{90F3C441-2478-44B3-9E9A-091F741A3094}"/>
    <hyperlink ref="I899" location="'8'!$I$49" display="$I$49 8" xr:uid="{0E96FBBC-FBCB-4CB7-A8DF-C1573C8B1F96}"/>
    <hyperlink ref="I900" location="'8'!$I$15" display="$I$15 8" xr:uid="{9A3FEED0-AF91-4858-96F7-E334074FA57E}"/>
    <hyperlink ref="I901" location="'8'!$J$69" display="$J$69 8" xr:uid="{DA079100-36A4-4CE5-8DA3-6AF78AB00DC9}"/>
    <hyperlink ref="I902" location="'8'!$J$48" display="$J$48 8" xr:uid="{8F12974B-6541-40DE-8581-A27F354E21A9}"/>
    <hyperlink ref="I903" location="'8'!$L$43" display="$L$43 8" xr:uid="{72A955F9-AD9D-49E3-B268-51BD87EE0C69}"/>
    <hyperlink ref="I904" location="'8'!$L$46" display="$L$46 8" xr:uid="{F2CED492-03FF-4000-B862-88CA5FA81BB3}"/>
    <hyperlink ref="I905" location="'8'!$L$41" display="$L$41 8" xr:uid="{2C9A2822-F142-4A84-A6AE-F8300874F135}"/>
    <hyperlink ref="I906" location="'8'!$L$49" display="$L$49 8" xr:uid="{E5289204-843E-491B-8A98-B7C59B93B44B}"/>
    <hyperlink ref="I907" location="'8'!$L$38" display="$L$38 8" xr:uid="{E4AE2EE2-DD26-48E4-BB97-E7325E714015}"/>
    <hyperlink ref="I908" location="'8'!$L$63" display="$L$63 8" xr:uid="{F3B08031-2A5B-4D3A-B86E-1FD98CDB83E2}"/>
    <hyperlink ref="I909" location="'8'!$M$40" display="$M$40 8" xr:uid="{64E11287-D265-40D4-B2C7-15A40FDB57D7}"/>
    <hyperlink ref="I910" location="'8'!$N$55" display="$N$55 8" xr:uid="{10A960F1-894A-4D16-8FD2-15EAF5FD5B95}"/>
    <hyperlink ref="I911" location="'8'!$N$53" display="$N$53 8" xr:uid="{9AEA1EBF-5ED3-489F-A640-483A8434002A}"/>
    <hyperlink ref="I912" location="'8'!$N$69" display="$N$69 8" xr:uid="{1209AA23-5095-4DE9-90B5-FB2F8E4227A5}"/>
    <hyperlink ref="I913" location="'8'!$N$54" display="$N$54 8" xr:uid="{E1CDEC3D-BA11-4589-A172-FEDF70FFC3D9}"/>
    <hyperlink ref="I914" location="'8'!$N$58" display="$N$58 8" xr:uid="{80E77C40-412A-4D72-8F57-25C02629525E}"/>
    <hyperlink ref="I915" location="'8'!$O$54" display="$O$54 8" xr:uid="{D20108A6-88F9-4555-B9B7-00F8CFAF5976}"/>
    <hyperlink ref="I916" location="'8'!$O$55" display="$O$55 8" xr:uid="{229AA20B-3AAE-4824-9F32-0141E6623605}"/>
    <hyperlink ref="I917" location="'8'!$O$15" display="$O$15 8" xr:uid="{B142F9E2-5FFE-4591-8DBE-097DCC77373C}"/>
    <hyperlink ref="I918" location="'8'!$O$53" display="$O$53 8" xr:uid="{A1A8A1F7-1C3C-42A4-BD31-4AFBCA056F15}"/>
    <hyperlink ref="I919" location="'8'!$P$52" display="$P$52 8" xr:uid="{ACE21353-9C07-4BA4-B5E5-1D2D71122BCC}"/>
    <hyperlink ref="I920" location="'8'!$P$61" display="$P$61 8" xr:uid="{F687FECD-0A97-4C81-9D13-3F2793486B13}"/>
    <hyperlink ref="I921" location="'8'!$P$63" display="$P$63 8" xr:uid="{3E3A5C0E-28E5-4DD0-8623-64FCE3BB04AD}"/>
    <hyperlink ref="I922" location="'8'!$O$58" display="$O$58 8" xr:uid="{6E490DE6-C1FE-401C-8573-323F22F77B78}"/>
    <hyperlink ref="I923" location="'8'!$P$57" display="$P$57 8" xr:uid="{50EB9D34-7939-43D5-871F-08E540CF6494}"/>
    <hyperlink ref="I924" location="'8'!$O$69" display="$O$69 8" xr:uid="{3CF68393-163E-4966-8A52-B20E0E65770D}"/>
    <hyperlink ref="I925" r:id="rId45" location="'8'!$P$61" xr:uid="{7E4088DE-7A96-40E1-9A2A-421D8F461A2A}"/>
    <hyperlink ref="I926" r:id="rId46" location="'8'!$P$63" xr:uid="{B57E5CB5-E70D-4564-8F7F-F40BFF39C105}"/>
    <hyperlink ref="I927" location="'8'!$P$56" display="$P$56 8" xr:uid="{F309A58F-10F7-40C5-BE2A-5232C9D17BBD}"/>
    <hyperlink ref="I928" location="'8'!$P$48" display="$P$48 8" xr:uid="{AC27F90C-2D3D-4552-8178-A3D8740C6540}"/>
    <hyperlink ref="I929" location="'8'!$P$46" display="$P$46 8" xr:uid="{4ADF28DC-23C7-413B-AF8B-5EFA7121D87E}"/>
    <hyperlink ref="I930" location="'8'!$P$55" display="$P$55 8" xr:uid="{5A78A532-8067-4B89-B91E-9158F7991662}"/>
    <hyperlink ref="I931" location="'8'!$P$44" display="$P$44 8" xr:uid="{F5BFB6F4-A62A-4CB9-8795-44BD9308A4C7}"/>
    <hyperlink ref="I932" location="'8'!$Q$57" display="$Q$57 8" xr:uid="{F23DA784-DF8D-4E93-A969-54463F1D4F4D}"/>
    <hyperlink ref="I933" location="'8'!$Q$44" display="$Q$44 8" xr:uid="{F5B85F9A-43BB-4088-8DF2-8018A8BA7ABA}"/>
    <hyperlink ref="I934" location="'8'!$R$62" display="$R$62 8" xr:uid="{9A189C9E-022D-4ED3-A41A-B0FB37A5D110}"/>
    <hyperlink ref="I935" location="'8'!$R$61" display="$R$61 8" xr:uid="{2DC7C142-4548-4470-827D-C8C322C5F2A1}"/>
    <hyperlink ref="I936" location="'8'!$R$56" display="$R$56 8" xr:uid="{A8F38176-25AD-406F-B5B3-A19593F90D85}"/>
    <hyperlink ref="I937" location="'8'!$R$48" display="$R$48 8" xr:uid="{84BBCEFE-B1EC-43E1-984A-3CF36C1C9A8A}"/>
    <hyperlink ref="I938" location="'8'!$R$53" display="$R$53 8" xr:uid="{24CA5F8E-7CBF-4DBA-B35C-2E7485000BB2}"/>
    <hyperlink ref="I939" location="'8'!$R$58" display="$R$58 8" xr:uid="{B8EFFC54-B709-423A-8C48-F6E649DB7C0A}"/>
    <hyperlink ref="I940" location="'8'!$R$54" display="$R$54 8" xr:uid="{21AF3A80-A4C5-41CD-AE63-6088FCB81222}"/>
    <hyperlink ref="I941" location="'8'!$T$70" display="$T$70 8" xr:uid="{C899A521-1CBE-4058-8605-441DA0584BE8}"/>
    <hyperlink ref="I942" location="'8'!$T$29" display="$T$29 8" xr:uid="{1CBE4BA0-27F3-42A2-8582-69C21422E5A6}"/>
    <hyperlink ref="I943" location="'8'!$U$77" display="$U$77 8" xr:uid="{8594A93D-53A1-4251-8541-B88EED6919B7}"/>
    <hyperlink ref="I944" location="'8'!$U$78" display="$U$78 8" xr:uid="{F9FA291A-E6AD-42AA-85E7-36CE938613A7}"/>
    <hyperlink ref="I945" location="'8'!$U$70" display="$U$70 8" xr:uid="{BC7CF155-63D8-41EB-8166-E49E92EAEE8E}"/>
    <hyperlink ref="I946" location="'8'!$U$29" display="$U$29 8" xr:uid="{4D4AC1D4-9A3B-48AB-A282-CD44C64FEBA7}"/>
    <hyperlink ref="I947" location="'8'!$U$46" display="$U$46 8" xr:uid="{83E2E193-CFF7-4483-9B07-EC76DE7FD186}"/>
    <hyperlink ref="I948" location="'8'!$U$55" display="$U$55 8" xr:uid="{B21395A7-E405-477A-9318-097C780856EE}"/>
    <hyperlink ref="I949" location="'8'!$V$57" display="$V$57 8" xr:uid="{12FA44FF-5B55-4411-8BB7-E96A1BF1DF28}"/>
    <hyperlink ref="I950" location="'8'!$V$54" display="$V$54 8" xr:uid="{D1784448-6CC9-4058-BF31-CC033F5C1DC2}"/>
    <hyperlink ref="I951" location="'8'!$W$56" display="$W$56 8" xr:uid="{203FAE14-5E5C-4035-9068-BD29F134BB0A}"/>
    <hyperlink ref="I952" location="'8'!$W$48" display="$W$48 8" xr:uid="{A8CB0BC5-62C1-4A3E-8F50-E32AB760ABCA}"/>
    <hyperlink ref="I953" location="'8'!$W$44" display="$W$44 8" xr:uid="{966FCECA-3347-44B5-BEC1-C8539DCFDE3C}"/>
    <hyperlink ref="I954" location="'8'!$W$45" display="$W$45 8" xr:uid="{4567018E-F60E-4DF6-9023-E445321A0490}"/>
    <hyperlink ref="I955" location="'8'!$X$61" display="$X$61 8" xr:uid="{BF737CF6-496C-4249-87E8-6407E9743EFB}"/>
    <hyperlink ref="I956" location="'8'!$X$62" display="$X$62 8" xr:uid="{374B5D27-E08E-406F-A90C-CA189CC2C28B}"/>
    <hyperlink ref="I957" location="'8'!$X$14" display="$X$14 8" xr:uid="{719537C1-298B-4EE5-B6ED-3C5D8307A21B}"/>
    <hyperlink ref="I958" location="'8'!$X$46" display="$X$46 8" xr:uid="{AA84992F-7EE2-4D53-8E44-26409B19F24A}"/>
    <hyperlink ref="I959" location="'8'!$Y$53" display="$Y$53 8" xr:uid="{9F26BBC6-30BD-42C9-A821-93704C6B8600}"/>
    <hyperlink ref="I960" location="'8'!$Y$62" display="$Y$62 8" xr:uid="{53295011-59B7-43E7-BC5B-5799298FB3DE}"/>
    <hyperlink ref="I961" location="'8'!$Y$63" display="$Y$63 8" xr:uid="{5F764524-B900-47FF-87A7-A8AC40305CBD}"/>
    <hyperlink ref="I962" location="'8'!$Z$57" display="$Z$57 8" xr:uid="{25607B61-4CD7-4508-B3D7-F0221FACACA5}"/>
    <hyperlink ref="I963" location="'8'!$Z$58" display="$Z$58 8" xr:uid="{98BF847D-7051-4EBB-9E92-4C3261CEAE83}"/>
    <hyperlink ref="I964" location="'8'!$Z$44" display="$Z$44 8" xr:uid="{9D9AE3E0-3D69-4A3D-8703-24693D3C605A}"/>
    <hyperlink ref="I965" location="'8'!$Z$56" display="$Z$56 8" xr:uid="{201A78A3-B962-4FE7-8252-D52CC6A8B0FB}"/>
    <hyperlink ref="I966" location="'8'!$Z$45" display="$Z$45 8" xr:uid="{8171B3D0-5EC7-4C4A-ABD1-C5B1D90DE75B}"/>
    <hyperlink ref="I967" location="'8'!$Z$48" display="$Z$48 8" xr:uid="{7F9F23DD-B5E9-4EC1-B7C3-828A63CE49DA}"/>
    <hyperlink ref="I968" location="'8'!$Z$46" display="$Z$46 8" xr:uid="{CE98DBA6-094E-4359-804C-8AADD170E1BC}"/>
    <hyperlink ref="I969" location="'8'!$Z$38" display="$Z$38 8" xr:uid="{5D8FE57E-0B88-4E1E-8846-4204979A3803}"/>
    <hyperlink ref="I970" location="'8'!$Z$40" display="$Z$40 8" xr:uid="{2F997593-E4E3-45C6-8B30-0257FD8C0D62}"/>
    <hyperlink ref="I971" location="'8'!$Z$43" display="$Z$43 8" xr:uid="{65AB0A80-47F4-4E4B-A455-265E6C7AC6DC}"/>
    <hyperlink ref="I972" location="'8'!$Z$41" display="$Z$41 8" xr:uid="{258126FB-5B0B-43F4-9F15-3BD40A6E2E72}"/>
    <hyperlink ref="I973" location="'8'!$AA$29" display="$AA$29 8" xr:uid="{DB928E57-398B-4D92-8B86-AED33B03A82F}"/>
    <hyperlink ref="I974" location="'8'!$AB$68" display="$AB$68 8" xr:uid="{D09884F2-D783-455C-A57F-A6013E001BDE}"/>
    <hyperlink ref="I975" location="'8'!$AC$29" display="$AC$29 8" xr:uid="{312BCE74-3F1A-436A-8321-558A847C110A}"/>
    <hyperlink ref="I976" location="'8'!$AC$21" display="$AC$21 8" xr:uid="{B8B7E2A4-3313-4B72-8EC5-F2E083826743}"/>
    <hyperlink ref="I977" location="'9'!$H$63" display="$H$63 9" xr:uid="{1892457F-DFBC-497A-8D5F-9A98336EA073}"/>
    <hyperlink ref="I978" location="'9'!$H$62" display="$H$62 9" xr:uid="{D1DF50AA-D98E-4B0E-AFF1-04D9373FBE9A}"/>
    <hyperlink ref="I979" location="'9'!$H$15" display="$H$15 9" xr:uid="{FE3B92A5-763A-41DC-AD87-14183AC2D1A7}"/>
    <hyperlink ref="I980" location="'9'!$G$61" display="$G$61 9" xr:uid="{90E46246-DADF-4FD8-A8BF-04A43E964DDC}"/>
    <hyperlink ref="I981" location="'9'!$H$67" display="$H$67 9" xr:uid="{B9BA21FC-F9BB-474B-89C8-C6DE60DBF02A}"/>
    <hyperlink ref="I982" location="'9'!$H$55" display="$H$55 9" xr:uid="{5B7ABB5B-74ED-4D37-9F17-3867CFC1BD1B}"/>
    <hyperlink ref="I983" location="'9'!$H$53" display="$H$53 9" xr:uid="{0A7B3C25-2F7E-4AF3-90F7-218F59E99780}"/>
    <hyperlink ref="I984" location="'9'!$I$14" display="$I$14 9" xr:uid="{363E16C2-B2A4-40A2-9105-68C3EC616C88}"/>
    <hyperlink ref="I985" location="'9'!$I$47" display="$I$47 9" xr:uid="{3A57BCDB-1D2E-4E19-BB47-6081ADB32407}"/>
    <hyperlink ref="I986" location="'9'!$K$43" display="$K$43 9" xr:uid="{FC8C03BC-7201-402B-8802-5E35E07AD6D9}"/>
    <hyperlink ref="I987" location="'9'!$K$53" display="$K$53 9" xr:uid="{29497EB6-D1D1-45E9-9A0F-7BCB88EBA742}"/>
    <hyperlink ref="I988" location="'9'!$K$41" display="$K$41 9" xr:uid="{ACCCE997-4CAD-4303-A241-85DCF1DE5E36}"/>
    <hyperlink ref="I989" location="'9'!$K$55" display="$K$55 9" xr:uid="{84B92203-EC19-483A-91F9-496AB1FBCA9A}"/>
    <hyperlink ref="I990" location="'9'!$K$40" display="$K$40 9" xr:uid="{1CE3E8D5-9F4F-4F3A-BE4D-934D0DDAD39A}"/>
    <hyperlink ref="I991" location="'9'!$K$47" display="$K$47 9" xr:uid="{6870F24A-4F06-4899-9D52-BFAF757A48EA}"/>
    <hyperlink ref="I992" location="'9'!$L$38" display="$L$38 9" xr:uid="{5ECEEA20-83B9-4207-B09D-981FDE6CBCD1}"/>
    <hyperlink ref="I993" location="'9'!$M$54" display="$M$54 9" xr:uid="{745C3CE4-8371-4879-8C13-45E70D74127D}"/>
    <hyperlink ref="I994" location="'9'!$M$62" display="$M$62 9" xr:uid="{4F4F4144-BBB6-480C-AE5D-EAC036BD85FB}"/>
    <hyperlink ref="I995" location="'9'!$M$53" display="$M$53 9" xr:uid="{DC0E580A-9DEC-47D7-B1BA-79609CF7C9F4}"/>
    <hyperlink ref="I996" location="'9'!$N$58" display="$N$58 9" xr:uid="{FF0D26BC-A9C4-4778-AEE0-AFF6FE58E273}"/>
    <hyperlink ref="I997" location="'9'!$N$21" display="$N$21 9" xr:uid="{2F8C9897-1396-48D0-980D-8D28CF756FA6}"/>
    <hyperlink ref="I998" location="'9'!$N$54" display="$N$54 9" xr:uid="{33F21AF8-7ECB-4CC9-A603-237004A011F4}"/>
    <hyperlink ref="I999" location="'9'!$O$53" display="$O$53 9" xr:uid="{586DEC97-F67D-42BD-8A49-D588AA9C220C}"/>
    <hyperlink ref="I1000" location="'9'!$O$58" display="$O$58 9" xr:uid="{38BF9BF5-DACE-4E9C-A6C1-84AECBA7940F}"/>
    <hyperlink ref="I1001" location="'9'!$O$67" display="$O$67 9" xr:uid="{CE9B12D1-2348-4520-AD7B-530696AE41CF}"/>
    <hyperlink ref="I1002" location="'9'!$O$57" display="$O$57 9" xr:uid="{5B606C7F-E8AA-4F0F-A584-238431353767}"/>
    <hyperlink ref="I1003" location="'9'!$O$44" display="$O$44 9" xr:uid="{A85FCFEA-E5E2-4173-88F2-A209835E458B}"/>
    <hyperlink ref="I1004" location="'9'!$P$56" display="$P$56 9" xr:uid="{CBBC9183-C06A-467B-96CD-D4F058BF0171}"/>
    <hyperlink ref="I1005" location="'9'!$P$15" display="$P$15 9" xr:uid="{C6286F78-7514-4CED-8741-1DBB30104745}"/>
    <hyperlink ref="I1007" location="'9'!$P$62" display="$P$62 9" xr:uid="{399F1933-61E0-47CE-8296-54F6F49AEFC2}"/>
    <hyperlink ref="I1008" location="'9'!$P$63" display="$P$63 9" xr:uid="{1580A16A-9400-4A50-BA19-2E01CCD0EF1E}"/>
    <hyperlink ref="I1009" location="'9'!$P$44" display="$P$44 9" xr:uid="{36EFF3C3-D89A-4017-93A3-000244EC879F}"/>
    <hyperlink ref="I1010" location="'9'!$P$57" display="$P$57 9" xr:uid="{6EE4C828-17C5-4959-B543-71A3D7773DBC}"/>
    <hyperlink ref="I1011" r:id="rId47" location="'9'!$P$62" xr:uid="{531E5C5D-78E4-4498-81D5-54A4D39467E9}"/>
    <hyperlink ref="I1012" r:id="rId48" location="'9'!$P$63" xr:uid="{65868FAE-A8D3-421B-A953-D7D5199FB9E9}"/>
    <hyperlink ref="I1013" location="'9'!$P$40" display="$P$40 9" xr:uid="{8858C73C-DB2D-4994-9014-DF5B91B2B264}"/>
    <hyperlink ref="I1014" location="'9'!$P$38" display="$P$38 9" xr:uid="{2F9FB86A-4BA9-41E8-9680-4EDA2759FD6B}"/>
    <hyperlink ref="I1015" location="'9'!$P$43" display="$P$43 9" xr:uid="{911FC7AF-26A2-4A1A-A5DE-D595677C4776}"/>
    <hyperlink ref="I1016" location="'9'!$Q$41" display="$Q$41 9" xr:uid="{8C01D2C3-9182-4026-832D-8BC3EE1F897C}"/>
    <hyperlink ref="I1017" location="'9'!$R$63" display="$R$63 9" xr:uid="{3A464F37-C74E-4A34-B6DF-45691372385F}"/>
    <hyperlink ref="I1018" location="'9'!$R$61" display="$R$61 9" xr:uid="{BE0A2F03-CD5A-4952-9052-F5940966EBCE}"/>
    <hyperlink ref="I1019" location="'9'!$R$46" display="$R$46 9" xr:uid="{AC9EFFA0-DC3F-4256-9788-A22AD6F6E6A2}"/>
    <hyperlink ref="I1020" location="'9'!$R$49" display="$R$49 9" xr:uid="{F5681063-776B-4DA9-AFD4-5807E3556B5D}"/>
    <hyperlink ref="I1021" location="'9'!$S$46" display="$S$46 9" xr:uid="{23315F3F-C028-4602-9E84-13FD53ED5ED4}"/>
    <hyperlink ref="I1022" location="'9'!$S$49" display="$S$49 9" xr:uid="{4E31DA81-28CB-40C8-B90D-886C56968D0D}"/>
    <hyperlink ref="I1023" location="'9'!$S$78" display="$S$78 9" xr:uid="{4F25E634-DE11-42CD-9AC3-356F7A9B2FAE}"/>
    <hyperlink ref="I1024" location="'9'!$S$77" display="$S$77 9" xr:uid="{C1030EAA-E2BB-4F9E-AE6E-88479BD7C246}"/>
    <hyperlink ref="I1025" location="'9'!$W$55" display="$W$55 9" xr:uid="{1CD22C59-5968-4AE3-ABA8-3393A356BE81}"/>
    <hyperlink ref="I1026" location="'9'!$W$47" display="$W$47 9" xr:uid="{9724B3CA-BD24-4CB2-9151-4B21E97C3880}"/>
    <hyperlink ref="I1027" location="'9'!$W$53" display="$W$53 9" xr:uid="{06C53138-3157-4FE8-B401-736359F7B12D}"/>
    <hyperlink ref="I1028" location="'9'!$X$56" display="$X$56 9" xr:uid="{73302F06-3198-4922-B91F-C64829474A92}"/>
    <hyperlink ref="I1029" location="'9'!$X$63" display="$X$63 9" xr:uid="{603532DF-E3E2-424A-9CF9-27BAEC66FED5}"/>
    <hyperlink ref="I1030" location="'9'!$X$62" display="$X$62 9" xr:uid="{364666E7-E2D4-4B95-8488-56C4B9ADA88E}"/>
    <hyperlink ref="I1031" location="'9'!$X$55" display="$X$55 9" xr:uid="{D1C1A00B-68EA-4B22-AF02-523C0148F566}"/>
    <hyperlink ref="I1032" location="'9'!$X$40" display="$X$40 9" xr:uid="{F856B867-104A-46DC-8B96-FC161C1D9DC9}"/>
    <hyperlink ref="I1033" location="'9'!$X$47" display="$X$47 9" xr:uid="{147E7D35-B8CE-4DBF-8F68-B9677FCFCDEA}"/>
    <hyperlink ref="I1034" location="'9'!$X$43" display="$X$43 9" xr:uid="{6DD2CCC6-FD54-41C2-94CA-E09353043A2F}"/>
    <hyperlink ref="I1035" location="'9'!$X$41" display="$X$41 9" xr:uid="{D9A9BEE6-F8D4-4AD2-87A2-BF10E78C4DFD}"/>
    <hyperlink ref="I1036" location="'9'!$X$53" display="$X$53 9" xr:uid="{A61DF196-580E-4CCD-B625-FE71CB5E6DE6}"/>
    <hyperlink ref="I1038" location="'9'!$X$38" display="$X$38 9" xr:uid="{2C48FF5E-CB13-467D-AED5-CDC1BD2A45D2}"/>
    <hyperlink ref="I1039" location="'9'!$Y$58" display="$Y$58 9" xr:uid="{14EDB936-2486-4B24-95DC-877B759F7BA2}"/>
    <hyperlink ref="I1040" location="'9'!$Y$57" display="$Y$57 9" xr:uid="{8B10AEEE-9A1E-4B7A-A7D5-D92BFA943A59}"/>
    <hyperlink ref="I1041" location="'9'!$Y$44" display="$Y$44 9" xr:uid="{6FB40513-168E-4D90-93A0-D067209CF3FB}"/>
    <hyperlink ref="I1042" location="'9'!$Y$56" display="$Y$56 9" xr:uid="{D1ED4606-8524-46FE-94D1-B0AE7C6DF121}"/>
    <hyperlink ref="I1043" location="'9'!$Y$38" display="$Y$38 9" xr:uid="{17959D0A-87F7-4BFC-A4D1-C08504624BE8}"/>
    <hyperlink ref="I1044" location="'9'!$Y$46" display="$Y$46 9" xr:uid="{29FD365F-A083-4892-A557-B090ABC42980}"/>
    <hyperlink ref="I1045" location="'9'!$Z$58" display="$Z$58 9" xr:uid="{FDB5D3EE-D990-4AA8-9D1F-9B1FD223F563}"/>
    <hyperlink ref="I1046" location="'9'!$Z$57" display="$Z$57 9" xr:uid="{4C5EA966-2F0A-4CDA-B7D5-A995270E1F25}"/>
    <hyperlink ref="I1047" location="'9'!$Z$44" display="$Z$44 9" xr:uid="{16E31DDF-2501-4745-9537-0F50B1B92DA4}"/>
    <hyperlink ref="I1048" location="'9'!$Z$56" display="$Z$56 9" xr:uid="{EF39D637-0DE4-4A53-B1DE-D74D63118B3B}"/>
    <hyperlink ref="I1049" location="'9'!$AA$46" display="$AA$46 9" xr:uid="{D99295E7-D24B-4541-A305-BCCAA11B3C9A}"/>
    <hyperlink ref="I1050" location="'9'!$AA$13" display="$AA$13 9" xr:uid="{471B3DD3-017C-450C-A0EC-8DA29FC24120}"/>
    <hyperlink ref="I1051" location="'9'!$AA$15" display="$AA$15 9" xr:uid="{CECB6FBB-A096-4C1E-B9A2-A9C07D094B49}"/>
    <hyperlink ref="I1052" location="'9'!$AA$16" display="$AA$16 9" xr:uid="{F94049F3-D314-4B2C-A53A-FC9CE4B6C7C2}"/>
    <hyperlink ref="I1053" location="'9'!$AA$21" display="$AA$21 9" xr:uid="{94C27F4C-4E2F-4F49-B855-D5EA1AAE3522}"/>
    <hyperlink ref="I1054" location="'9'!$AA$24" display="$AA$24 9" xr:uid="{AA1EBCD8-A3FA-4206-A575-A39D88A2B54F}"/>
    <hyperlink ref="I1055" location="'9'!$AA$40" display="$AA$40 9" xr:uid="{A084A99C-A1F2-47E8-8488-069D3D2B601F}"/>
    <hyperlink ref="I1056" location="'9'!$AA$41" display="$AA$41 9" xr:uid="{49F33142-D68C-4EBA-80D4-6B5BAC4C0B74}"/>
    <hyperlink ref="I1057" location="'9'!$AA$43" display="$AA$43 9" xr:uid="{BE566C88-13AC-41D2-A33F-ABF6A7E1A9EE}"/>
    <hyperlink ref="I1058" location="'9'!$AB$13" display="$AB$13 9" xr:uid="{87747376-D33D-4B80-AEF1-9436CB74D76B}"/>
    <hyperlink ref="I1059" location="'9'!$AB$15" display="$AB$15 9" xr:uid="{95F7D544-6A82-4A1A-B09B-83CFDCF5BC32}"/>
    <hyperlink ref="I1060" location="'9'!$AB$16" display="$AB$16 9" xr:uid="{5CDF5F99-7052-4611-8543-FEDD65578643}"/>
    <hyperlink ref="I1061" location="'10'!$F$62" display="$F$62 10" xr:uid="{8EE0419A-0FF1-4965-A9C1-D30274D49C6F}"/>
    <hyperlink ref="I1062" location="'10'!$F$61" display="$F$61 10" xr:uid="{BA5179E5-F16F-4C75-944B-37A300AED238}"/>
    <hyperlink ref="I1063" location="'10'!$F$67" display="$F$67 10" xr:uid="{38B7C920-8F6E-4098-8F6F-762C039E611D}"/>
    <hyperlink ref="I1064" location="'10'!$F$74" display="$F$74 10" xr:uid="{2AE51525-6F27-4B5C-A020-E9030F9E4913}"/>
    <hyperlink ref="I1065" location="'10'!$F$70" display="$F$70 10" xr:uid="{8124B2CB-9A51-4DBB-BE16-AAB1EBFDFCF8}"/>
    <hyperlink ref="I1066" location="'10'!$F$71" display="$F$71 10" xr:uid="{173C2913-1C6D-4274-8D36-68F7D51D473A}"/>
    <hyperlink ref="I1067" location="'9'!$AC$21" display="$AC$21 9" xr:uid="{F29CB679-FA8F-461A-9240-3F7CFD792E06}"/>
    <hyperlink ref="I1068" location="'10'!$G$63" display="$G$63 10" xr:uid="{9D0B9C21-0CAD-491A-8547-A4ECBEE5CF35}"/>
    <hyperlink ref="I1069" location="'10'!$H$49" display="$H$49 10" xr:uid="{F19E3034-59C7-41A6-81BB-1253B65A6B14}"/>
    <hyperlink ref="I1070" location="'10'!$H$40" display="$H$40 10" xr:uid="{8ACC6F2F-B5AD-4EEA-B1B5-2608E93F012D}"/>
    <hyperlink ref="I1071" location="'10'!$H$43" display="$H$43 10" xr:uid="{63EC822D-ACAF-4545-9570-3120556E1CEB}"/>
    <hyperlink ref="I1072" location="'10'!$H$41" display="$H$41 10" xr:uid="{76364AF5-F2A9-4323-9BA0-1B8C7D632C87}"/>
    <hyperlink ref="I1073" location="'10'!$H$13" display="$H$13 10" xr:uid="{3F985A53-7EF7-463D-95E5-ECB0EC132A77}"/>
    <hyperlink ref="I1074" location="'10'!$I$49" display="$I$49 10" xr:uid="{13290FD4-A014-4EC9-BD63-F22B8097BF38}"/>
    <hyperlink ref="I1075" location="'10'!$K$40" display="$K$40 10" xr:uid="{EAFDFF75-F88B-43E2-B69B-37B3779CA129}"/>
    <hyperlink ref="I1076" location="'10'!$K$27" display="$K$27 10" xr:uid="{13433EF4-CC4B-4007-89FD-1FA3BF919959}"/>
    <hyperlink ref="I1077" location="'10'!$K$28" display="$K$28 10" xr:uid="{CE298E81-9CA5-4836-99EB-D4121CABB541}"/>
    <hyperlink ref="I1078" location="'10'!$L$13" display="$L$13 10" xr:uid="{4474C01F-0D78-4C2C-9785-9600F0132171}"/>
    <hyperlink ref="I1079" location="'10'!$L$47" display="$L$47 10" xr:uid="{2DF28C9C-42F3-4189-8AE4-50FDBAB5CF60}"/>
    <hyperlink ref="I1080" location="'10'!$L$61" display="$L$61 10" xr:uid="{09EA7D1E-38D6-4EF1-B9D0-CAE5CAC92852}"/>
    <hyperlink ref="I1081" location="'10'!$L$53" display="$L$53 10" xr:uid="{35F320EF-1E0A-456A-88D8-C948CBA0B1B9}"/>
    <hyperlink ref="I1082" location="'10'!$L$57" display="$L$57 10" xr:uid="{3B8B2AED-0FEF-4A3D-ACB4-470EF79BC5C6}"/>
    <hyperlink ref="I1083" location="'10'!$M$40" display="$M$40 10" xr:uid="{D13B1470-E3F3-4B10-9E8C-9F0F8529C5AD}"/>
    <hyperlink ref="I1084" location="'10'!$M$77" display="$M$77 10" xr:uid="{2902D1D4-2459-4A12-BC6B-F12836F5C061}"/>
    <hyperlink ref="I1085" location="'10'!$M$78" display="$M$78 10" xr:uid="{2EB1E4A8-EB36-41B7-93E4-A5C7811EB15C}"/>
    <hyperlink ref="I1086" location="'10'!$M$47" display="$M$47 10" xr:uid="{2DB25C8F-5121-442A-BBAA-73710A9F57A0}"/>
    <hyperlink ref="I1087" location="'10'!$M$53" display="$M$53 10" xr:uid="{8CD1C7D9-6232-4FDF-AD27-F8899B1DF8A0}"/>
    <hyperlink ref="I1088" location="'10'!$M$57" display="$M$57 10" xr:uid="{5C7862BF-C057-4B7D-9216-67D89583F911}"/>
    <hyperlink ref="I1090" location="'10'!$M$41" display="$M$41 10" xr:uid="{F2F1EB7F-4B86-4077-A8B9-3A2F3B2FB29F}"/>
    <hyperlink ref="I1091" location="'10'!$M$43" display="$M$43 10" xr:uid="{4473F8D7-B413-4FB6-9315-8F48039FBA60}"/>
    <hyperlink ref="I1092" location="'10'!$M$58" display="$M$58 10" xr:uid="{D8B4622C-C1BA-4DC6-A123-0B64DB3F58BF}"/>
    <hyperlink ref="I1093" location="'10'!$M$70" display="$M$70 10" xr:uid="{17C41C3D-AB14-43F5-8214-D31FE3750277}"/>
    <hyperlink ref="I1094" location="'10'!$M$71" display="$M$71 10" xr:uid="{C3B6404E-55E5-4F42-95B8-A245E58C53AB}"/>
    <hyperlink ref="I1095" location="'10'!$M$74" display="$M$74 10" xr:uid="{069268F0-33F1-4331-AD3C-1B428060A429}"/>
    <hyperlink ref="I1096" location="'10'!$N$67" display="$N$67 10" xr:uid="{3EDC5711-664A-4748-9088-D52FF98A304F}"/>
    <hyperlink ref="I1097" location="'10'!$N$69" display="$N$69 10" xr:uid="{DF8442DA-ADAE-403B-8552-2FC6681A0C41}"/>
    <hyperlink ref="I1098" location="'10'!$M$28" display="$M$28 10" xr:uid="{7D162550-540C-4388-8603-AAFA08BA1608}"/>
    <hyperlink ref="I1099" location="'10'!$N$38" display="$N$38 10" xr:uid="{C9E1A952-73FF-4313-8AF6-E32182026FE9}"/>
    <hyperlink ref="I1100" r:id="rId49" location="'10'!$N$38" xr:uid="{3E6984F7-6E3B-462B-9EA1-5709278A324F}"/>
    <hyperlink ref="I1101" location="'10'!$N$40" display="$N$40 10" xr:uid="{1D9222E3-788E-49D8-9CF6-01BF69DC9B72}"/>
    <hyperlink ref="I1102" location="'10'!$N$58" display="$N$58 10" xr:uid="{85E1D438-4312-4330-8121-46976B4C0652}"/>
    <hyperlink ref="I1103" location="'10'!$N$43" display="$N$43 10" xr:uid="{09731B43-7348-4874-883B-5B0C4F9C488C}"/>
    <hyperlink ref="I1104" location="'10'!$N$24" display="$N$24 10" xr:uid="{282B0390-CEE9-4CD3-BEFB-D45003EAB03D}"/>
    <hyperlink ref="I1105" location="'10'!$O$14" display="$O$14 10" xr:uid="{C43DF1CD-CDA1-4646-9DA2-DD7126BFEB96}"/>
    <hyperlink ref="I1106" location="'10'!$O$41" display="$O$41 10" xr:uid="{DE018EAD-861F-454A-9EE4-19183BD953E8}"/>
    <hyperlink ref="I1107" location="'10'!$O$52" display="$O$52 10" xr:uid="{F419119E-DAC2-44E0-95FB-436F1A1540D6}"/>
    <hyperlink ref="I1108" location="'10'!$N$27" display="$N$27 10" xr:uid="{46D1F4E3-593C-4DF9-88E7-F69E21C8B246}"/>
    <hyperlink ref="I1109" location="'10'!$O$56" display="$O$56 10" xr:uid="{71306D06-8C96-451A-99C7-3FE05FB23B3F}"/>
    <hyperlink ref="I1112" location="'10'!$O$38" display="$O$38 10" xr:uid="{0AA47D5D-AD0B-4437-BEEE-3F82511F6A8F}"/>
    <hyperlink ref="I1113" r:id="rId50" location="'10'!$O$38" xr:uid="{BC38F31B-2500-40EF-A36B-1991D1C352E1}"/>
    <hyperlink ref="I1114" location="'10'!$O$40" display="$O$40 10" xr:uid="{EAB09D35-4D6E-4639-BD0C-6A65D21DA142}"/>
    <hyperlink ref="I1115" location="'10'!$O$43" display="$O$43 10" xr:uid="{09A04B3D-B4A2-4BDE-AE6D-132078085793}"/>
    <hyperlink ref="I1116" location="'10'!$P$68" display="$P$68 10" xr:uid="{E47CECAB-2245-48A1-8300-9ED89484C673}"/>
    <hyperlink ref="I1117" location="'10'!$P$41" display="$P$41 10" xr:uid="{EC93F2C2-A6B4-4DB6-AD85-9E26B8503995}"/>
    <hyperlink ref="I1118" location="'10'!$P$44" display="$P$44 10" xr:uid="{D6A3D32B-2350-4E57-967A-FEE82196973C}"/>
    <hyperlink ref="I1119" location="'10'!$P$46" display="$P$46 10" xr:uid="{6B61DAB4-125A-4710-A5E1-80B415A362CE}"/>
    <hyperlink ref="I1120" location="'10'!$P$49" display="$P$49 10" xr:uid="{251E28CE-35EC-4C91-B881-7EC0D13D320E}"/>
    <hyperlink ref="I1121" location="'10'!$Q$24" display="$Q$24 10" xr:uid="{A22675A1-8BCA-4391-A293-2DE819E0700F}"/>
    <hyperlink ref="I1122" location="'10'!$Q$40" display="$Q$40 10" xr:uid="{565AB17D-C661-4137-8E7E-0C9CE9BD4A78}"/>
    <hyperlink ref="I1123" location="'10'!$Q$13" display="$Q$13 10" xr:uid="{C90E2E6B-7BC1-4E8C-8372-99EED67FB1B9}"/>
    <hyperlink ref="I1124" r:id="rId51" location="'10'!$Q$13" xr:uid="{8845A900-4BBF-44EE-A739-016DDBB82EC9}"/>
    <hyperlink ref="I1125" location="'10'!$Q$49" display="$Q$49 10" xr:uid="{A4F95DE2-EC11-4455-AB88-CD0C58B90ECE}"/>
    <hyperlink ref="I1126" r:id="rId52" location="'10'!$Q$49" xr:uid="{405CB742-D7F0-4054-AE75-9551FD68770D}"/>
    <hyperlink ref="I1127" location="'10'!$Q$68" display="$Q$68 10" xr:uid="{3650E539-646C-4494-A561-450F23D8FDE1}"/>
    <hyperlink ref="I1128" location="'10'!$Q$67" display="$Q$67 10" xr:uid="{30AB2C67-8AEB-4ABD-94FE-5848771833BA}"/>
    <hyperlink ref="I1129" location="'10'!$Q$69" display="$Q$69 10" xr:uid="{0978C1D2-F24F-4DE0-9D67-91A95853A87D}"/>
    <hyperlink ref="I1130" location="'10'!$Q$70" display="$Q$70 10" xr:uid="{07EF384A-7CF6-4C8B-8ECE-6F5664D9C64E}"/>
    <hyperlink ref="I1131" location="'10'!$Q$71" display="$Q$71 10" xr:uid="{D384498A-D84C-4A5A-ADDE-C94E829A4C76}"/>
    <hyperlink ref="I1132" location="'10'!$Q$74" display="$Q$74 10" xr:uid="{046F134E-DE6C-47B9-B7CA-A13FAB2FF9E0}"/>
    <hyperlink ref="I1133" location="'10'!$R$43" display="$R$43 10" xr:uid="{6994C6CC-DBB4-4011-9C5A-E8EEA14CCADD}"/>
    <hyperlink ref="I1134" location="'10'!$R$41" display="$R$41 10" xr:uid="{C077D1FE-6CA0-42DD-8A79-A7DDC0AFDA37}"/>
    <hyperlink ref="I1135" location="'10'!$R$61" display="$R$61 10" xr:uid="{417D2299-DCA4-4C4F-BC8B-1EED2E43A9BE}"/>
    <hyperlink ref="I1136" location="'10'!$R$62" display="$R$62 10" xr:uid="{64EAF8F6-96EA-4C44-A6DE-463F3B074507}"/>
    <hyperlink ref="I1137" location="'10'!$R$47" display="$R$47 10" xr:uid="{F737C502-C0B7-405D-9561-110122998E1A}"/>
    <hyperlink ref="I1138" location="'10'!$R$55" display="$R$55 10" xr:uid="{7DE5CDFE-E59B-4612-B444-5CE41CF1A6EB}"/>
    <hyperlink ref="I1139" r:id="rId53" location="'10'!$R$61" xr:uid="{BA7E0942-543A-4C81-8709-26C3508C8BAA}"/>
    <hyperlink ref="I1140" location="'10'!$R$63" display="$R$63 10" xr:uid="{A04F9BCD-4F0F-45E8-B725-2D235595A8E5}"/>
    <hyperlink ref="I1141" r:id="rId54" location="'10'!$Q$24" xr:uid="{AB148E4C-1429-41C9-B908-9D22F3C72F01}"/>
    <hyperlink ref="I1142" location="'10'!$S$56" display="$S$56 10" xr:uid="{E07DB32C-8A4D-408F-A55A-9AA66A0D591E}"/>
    <hyperlink ref="I1143" location="'10'!$S$57" display="$S$57 10" xr:uid="{A8D4E4C8-C780-4DF2-8BC7-8A1851ECF84D}"/>
    <hyperlink ref="I1144" location="'10'!$S$61" display="$S$61 10" xr:uid="{44F72699-20E0-4483-8633-C1668E702C90}"/>
    <hyperlink ref="I1145" location="'10'!$S$63" display="$S$63 10" xr:uid="{3AD46F2F-B748-402B-A27D-3FC29A735667}"/>
    <hyperlink ref="I1146" location="'10'!$S$49" display="$S$49 10" xr:uid="{76A6E033-98B8-4DC8-8507-55DB091A6739}"/>
    <hyperlink ref="I1147" r:id="rId55" location="'10'!$S$49" xr:uid="{D3F0B333-0A3B-46A3-A83B-82FDAF68833D}"/>
    <hyperlink ref="I1148" location="'10'!$S$53" display="$S$53 10" xr:uid="{363A9943-16DE-40AD-8526-9E5F3DE1F05A}"/>
    <hyperlink ref="I1149" location="'10'!$S$54" display="$S$54 10" xr:uid="{F643451D-D431-4988-8FED-35114C4E530E}"/>
    <hyperlink ref="I1150" location="'10'!$S$58" display="$S$58 10" xr:uid="{59BF307F-107D-429C-8ABC-8198ADDA4442}"/>
    <hyperlink ref="I1151" r:id="rId56" location="'10'!$S$61" xr:uid="{AFBC3634-51F5-4819-8EFA-E990C9085D7F}"/>
    <hyperlink ref="I1152" r:id="rId57" location="'10'!$S$63" xr:uid="{DBF9EB28-97A7-40FB-86D2-3F1930AE58DA}"/>
    <hyperlink ref="I1153" location="'10'!$T$67" display="$T$67 10" xr:uid="{6AFECD7A-5110-456E-B6E5-12BEEA1A5BB0}"/>
    <hyperlink ref="I1154" location="'10'!$T$70" display="$T$70 10" xr:uid="{1AE2B2DB-997F-43E8-8C4B-F5D656386C22}"/>
    <hyperlink ref="I1155" location="'10'!$T$71" display="$T$71 10" xr:uid="{755F9E53-9067-4382-B62C-7893E1CA8981}"/>
    <hyperlink ref="I1156" location="'10'!$T$74" display="$T$74 10" xr:uid="{ADFE6698-1D68-48B3-828A-09046C0E041F}"/>
    <hyperlink ref="I1157" location="'10'!$T$39" display="$T$39 10" xr:uid="{1D8BC2D1-778F-44D3-A240-6C5DF9F73F3B}"/>
    <hyperlink ref="I1158" location="'10'!$T$52" display="$T$52 10" xr:uid="{2083EF3C-D6D9-4242-A6EB-280489EEDAF9}"/>
    <hyperlink ref="I1159" location="'10'!$T$46" display="$T$46 10" xr:uid="{1D970167-6148-4CDB-B011-114CA0A5F334}"/>
    <hyperlink ref="I1160" r:id="rId58" location="'10'!$T$46" xr:uid="{02AFDFC6-CE96-4610-ADC8-D34B58F36814}"/>
    <hyperlink ref="I1161" location="'10'!$S$44" display="$S$44 10" xr:uid="{6E6F6350-1EDB-4F88-8177-71F243A9C25A}"/>
    <hyperlink ref="I1162" location="'10'!$T$13" display="$T$13 10" xr:uid="{59B94A3A-CDDE-4FFD-ADEE-E8AFD6ED3920}"/>
    <hyperlink ref="I1163" r:id="rId59" location="'10'!$T$13" xr:uid="{9CA3C479-7B62-4F9F-B522-CE1C4137C941}"/>
    <hyperlink ref="I1164" location="'10'!$U$71" display="$U$71 10" xr:uid="{241F9C0A-662B-4BB0-90AC-9F4F238A8E50}"/>
    <hyperlink ref="I1165" location="'10'!$U$66" display="$U$66 10" xr:uid="{66893BB2-DD85-47B2-B0D0-425E08B96FE6}"/>
    <hyperlink ref="I1167" location="'10'!$U$39" display="$U$39 10" xr:uid="{45EE7B5B-4577-4ECF-8B13-2FF036ED565F}"/>
    <hyperlink ref="I1168" location="'10'!$U$52" display="$U$52 10" xr:uid="{18CDF1E7-EDF1-4734-8ECB-78A7D9F97DC1}"/>
    <hyperlink ref="I1169" location="'10'!$U$49" display="$U$49 10" xr:uid="{A92D279C-1E9D-4FE1-987C-D7A19C9CD87D}"/>
    <hyperlink ref="I1170" location="'10'!$U$47" display="$U$47 10" xr:uid="{A2816D74-901B-4EB8-8C7A-71DB8CF44178}"/>
    <hyperlink ref="I1171" location="'10'!$U$55" display="$U$55 10" xr:uid="{74734900-80FE-4B22-91EE-11BFC2EF58D8}"/>
    <hyperlink ref="I1172" location="'10'!$U$54" display="$U$54 10" xr:uid="{82438318-46C0-4F6B-B647-287EA853B4DC}"/>
    <hyperlink ref="I1173" location="'10'!$V$53" display="$V$53 10" xr:uid="{0AAEB7F1-68AB-477E-B831-8F49F1BB525A}"/>
    <hyperlink ref="I1174" location="'10'!$V$44" display="$V$44 10" xr:uid="{B30BCD0A-4C5E-46A6-BA69-ABD69F9FEE4E}"/>
    <hyperlink ref="I1175" location="'10'!$V$52" display="$V$52 10" xr:uid="{6C2FBC19-F1A5-4DC5-84CF-5FDC7BCFAC94}"/>
    <hyperlink ref="I1176" location="'10'!$V$71" display="$V$71 10" xr:uid="{014064F0-ABA4-4BFB-8060-736B851D389E}"/>
    <hyperlink ref="I1177" location="'10'!$V$69" display="$V$69 10" xr:uid="{1AD849F1-E3EB-4F12-A68D-88FFEA29FC01}"/>
    <hyperlink ref="I1178" location="'10'!$V$56" display="$V$56 10" xr:uid="{F1D8A73A-65DC-4815-A0F8-17B68E56107D}"/>
    <hyperlink ref="I1179" location="'10'!$V$46" display="$V$46 10" xr:uid="{D9262320-8641-4095-B496-3B083E0D849B}"/>
    <hyperlink ref="I1180" location="'10'!$V$68" display="$V$68 10" xr:uid="{6CFE74EF-A99D-4A4C-B224-DDC9008E1D14}"/>
    <hyperlink ref="I1181" location="'10'!$W$66" display="$W$66 10" xr:uid="{AD3CF130-3C66-4671-A108-D4407D6986D8}"/>
    <hyperlink ref="I1183" location="'10'!$V$49" display="$V$49 10" xr:uid="{C048095C-BC67-4750-8ED8-F3FF507AA015}"/>
    <hyperlink ref="I1184" location="'10'!$V$57" display="$V$57 10" xr:uid="{C341B9F8-A365-46E8-A33E-EA01D5A8AE25}"/>
    <hyperlink ref="I1185" location="'10'!$V$58" display="$V$58 10" xr:uid="{AFF807AF-00B2-4D2D-8E50-CFA942829CDE}"/>
    <hyperlink ref="I1186" location="'10'!$W$49" display="$W$49 10" xr:uid="{3BEFCAD1-E852-426C-928E-35E8BF3A7D52}"/>
    <hyperlink ref="I1187" r:id="rId60" location="'10'!$W$66" xr:uid="{3F2BC8A1-E060-4953-91D6-D6BE4947BD56}"/>
    <hyperlink ref="I1188" location="'10'!$X$62" display="$X$62 10" xr:uid="{65474549-3857-4C7E-9B1A-ED343232F1D0}"/>
    <hyperlink ref="I1189" location="'10'!$X$61" display="$X$61 10" xr:uid="{B11DABE9-B4F9-4A05-B98B-70460634186E}"/>
    <hyperlink ref="I1190" location="'10'!$X$71" display="$X$71 10" xr:uid="{A112E3FB-4BEC-4CAC-B73A-9F98B8D6AD30}"/>
    <hyperlink ref="I1191" location="'10'!$X$74" display="$X$74 10" xr:uid="{C4A03E88-F5F3-4508-9B56-6C643C6CA20E}"/>
    <hyperlink ref="I1192" location="'10'!$X$27" display="$X$27 10" xr:uid="{4F6E1BFE-107A-40A3-A789-BB6DC5F863A3}"/>
    <hyperlink ref="I1193" location="'10'!$X$40" display="$X$40 10" xr:uid="{38DE8E92-8C77-40DA-94C7-C790AE80FE2A}"/>
    <hyperlink ref="I1194" location="'10'!$X$43" display="$X$43 10" xr:uid="{4BE4A44F-B172-4CE3-AE85-AA1C7A1BD5D7}"/>
    <hyperlink ref="I1195" location="'10'!$Y$74" display="$Y$74 10" xr:uid="{370B213A-7BB2-412B-921C-F3C98A2E2178}"/>
    <hyperlink ref="I1196" location="'10'!$Y$66" display="$Y$66 10" xr:uid="{C36A4B03-3116-47B3-BD48-390CFCA01104}"/>
    <hyperlink ref="I1197" location="'10'!$Y$43" display="$Y$43 10" xr:uid="{3EC4811A-178C-4899-88A2-D2086865972A}"/>
    <hyperlink ref="I1198" location="'10'!$Z$41" display="$Z$41 10" xr:uid="{C6FD472A-7AAA-47FB-9E25-9FFA08F5337C}"/>
    <hyperlink ref="I1199" location="'10'!$Z$43" display="$Z$43 10" xr:uid="{81ADB292-6922-477D-AEC5-F2A9FA6E9C77}"/>
    <hyperlink ref="I1200" location="'10'!$Z$78" display="$Z$78 10" xr:uid="{EAC004A6-08B6-40F4-96C1-D295B8DC42CD}"/>
    <hyperlink ref="I1201" location="'10'!$Z$77" display="$Z$77 10" xr:uid="{7FC5D924-CC9E-4D22-A49B-B32933E6135E}"/>
    <hyperlink ref="I1202" location="'10'!$AB$13" display="$AB$13 10" xr:uid="{07E1EC8E-C0B1-4207-9901-450A3F753B88}"/>
    <hyperlink ref="I1203" location="'10'!$AB$47" display="$AB$47 10" xr:uid="{CDDBF61D-DD0A-4099-A14A-26D8718D5D83}"/>
    <hyperlink ref="I1204" location="'10'!$AB$53" display="$AB$53 10" xr:uid="{CBFF567E-B4C5-49DB-887C-0DD89A6D7E37}"/>
    <hyperlink ref="I1205" location="'10'!$AB$55" display="$AB$55 10" xr:uid="{F4FBF0FA-B34F-4B6C-A64B-6FAA149FC0F3}"/>
    <hyperlink ref="I1206" location="'10'!$AB$68" display="$AB$68 10" xr:uid="{14D2C879-F4DB-4E3A-819F-FA91013C4E21}"/>
    <hyperlink ref="I1208" location="'10'!$AB$54" display="$AB$54 10" xr:uid="{9AFA1331-F191-4397-A681-06FFDB8B1F64}"/>
    <hyperlink ref="I1211" location="'10'!$AB$24" display="$AB$24 10" xr:uid="{8830E438-8ACD-441C-9EBF-F992078EC33D}"/>
    <hyperlink ref="I1213" location="'10'!$AC$57" display="$AC$57 10" xr:uid="{FD3BE255-221E-41BA-8F15-6B9DA8EE1011}"/>
    <hyperlink ref="I1214" location="'10'!$AC$58" display="$AC$58 10" xr:uid="{1AA0B36F-079F-42D9-851C-CB600B6CB573}"/>
    <hyperlink ref="I1215" location="'10'!$AC$14" display="$AC$14 10" xr:uid="{40D11D15-A55E-4CB1-8707-50D32046FB59}"/>
    <hyperlink ref="I1217" location="'10'!$AC$38" display="$AC$38 10" xr:uid="{2892863B-2817-47DE-AEA2-C820E15E1031}"/>
    <hyperlink ref="I1219" location="'10'!$AC$40" display="$AC$40 10" xr:uid="{AA89ADB4-6595-4EEA-8E0F-F91ADE724E9A}"/>
    <hyperlink ref="I1220" location="'10'!$AC$43" display="$AC$43 10" xr:uid="{DF75D7B4-115A-459E-A4AA-9CB20CE8C386}"/>
    <hyperlink ref="I1221" location="'10'!$AC$44" display="$AC$44 10" xr:uid="{9AC5DD4D-2C24-445F-87C6-56FED13F988A}"/>
    <hyperlink ref="I1222" r:id="rId61" location="'10'!$AC$57" xr:uid="{1684C8F9-BA6F-4036-BFA5-9460E89E06AC}"/>
    <hyperlink ref="I1225" location="'10'!$AC$62" display="$AC$62 10" xr:uid="{EC8048F1-2F75-4D57-BBE3-01B9B687CF12}"/>
    <hyperlink ref="I1227" location="'11'!$G$43" display="$G$43 11" xr:uid="{3C57C4BA-7CAC-446B-ABB1-ADD631344136}"/>
    <hyperlink ref="I1228" location="'11'!$F$24" display="$F$24 11" xr:uid="{F802243B-4CE9-4FCB-9860-B49F908B85C8}"/>
    <hyperlink ref="I1229" location="'11'!$G$40" display="$G$40 11" xr:uid="{E84766D5-3BAD-4A52-A0C9-304BA86ED62B}"/>
    <hyperlink ref="I1230" location="'11'!$L$56" display="$L$56 11" xr:uid="{0A8DFBD0-A1A9-41ED-A92F-B2F77A4A96D4}"/>
    <hyperlink ref="I1231" location="'11'!$L$68" display="$L$68 11" xr:uid="{17CD2714-F478-424E-8F49-32B4649F9839}"/>
    <hyperlink ref="I1232" location="'11'!$L$40" display="$L$40 11" xr:uid="{4EF2B056-EE0D-4D75-9292-F33228C5115E}"/>
    <hyperlink ref="I1233" location="'11'!$L$43" display="$L$43 11" xr:uid="{1E2044A3-E5CF-4EE6-80A0-42DDA69409D5}"/>
    <hyperlink ref="I1235" location="'11'!$L$41" display="$L$41 11" xr:uid="{B5F3363B-2675-47D2-A982-F08D833C52B8}"/>
    <hyperlink ref="I1236" location="'11'!$L$71" display="$L$71 11" xr:uid="{F98B57C7-BFB2-4438-ABD6-36FDE9BE7506}"/>
    <hyperlink ref="I1237" location="'11'!$F$61" display="$F$61 11" xr:uid="{71C20904-9327-4CBD-BCEB-DDCC7649FF9F}"/>
    <hyperlink ref="I1238" location="'11'!$F$63" display="$F$63 11" xr:uid="{9B671CF8-183A-47F2-82B4-A39FCF1F993E}"/>
    <hyperlink ref="I1239" location="'11'!$M$63" display="$M$63 11" xr:uid="{9067BE3D-098C-435F-8F9A-6DCB8F0CE812}"/>
    <hyperlink ref="I1240" location="'11'!$M$77" display="$M$77 11" xr:uid="{9ABB63DC-66F9-43E2-8DDB-3C9EAFB80366}"/>
    <hyperlink ref="I1241" location="'11'!$M$78" display="$M$78 11" xr:uid="{9796F66D-1D08-4AB4-AFD7-9F2D0127F4EF}"/>
    <hyperlink ref="I1242" location="'11'!$M$46" display="$M$46 11" xr:uid="{30E01443-CDED-461F-8ECC-34252EF94354}"/>
    <hyperlink ref="I1243" location="'11'!$M$55" display="$M$55 11" xr:uid="{818E6DFB-7787-4E09-84F6-A03980740A66}"/>
    <hyperlink ref="I1244" location="'11'!$M$47" display="$M$47 11" xr:uid="{1ECF6587-BACD-4754-ABCC-6BE9149E9DDE}"/>
    <hyperlink ref="I1245" location="'11'!$N$38" display="$N$38 11" xr:uid="{8D3607FC-19C5-48E4-9844-9EFB98546220}"/>
    <hyperlink ref="I1246" location="'11'!$N$46" display="$N$46 11" xr:uid="{F8D52D82-2251-4A51-8670-23AEB5C36468}"/>
    <hyperlink ref="I1247" location="'11'!$N$55" display="$N$55 11" xr:uid="{84B1B2E4-716E-4930-AFB1-39A3C91410D0}"/>
    <hyperlink ref="I1248" location="'11'!$N$13" display="$N$13 11" xr:uid="{EB1215E4-0EB9-4B52-95B0-863047A39F55}"/>
    <hyperlink ref="I1249" location="'11'!$N$53" display="$N$53 11" xr:uid="{EEA4545C-19D1-4DA5-BEF3-15A852C090DF}"/>
    <hyperlink ref="I1250" location="'11'!$N$54" display="$N$54 11" xr:uid="{ECDA105D-D03E-460E-BAE2-DCDED98C8DC9}"/>
    <hyperlink ref="I1251" location="'11'!$N$71" display="$N$71 11" xr:uid="{9609D511-9F78-4772-B5B4-FACE46BCB0D4}"/>
    <hyperlink ref="I1252" location="'11'!$O$47" display="$O$47 11" xr:uid="{3862C343-7B2C-4F79-A5D7-C3D9CD40E292}"/>
    <hyperlink ref="I1253" location="'11'!$O$54" display="$O$54 11" xr:uid="{DB2020F4-98F4-44D8-86EA-27258DA3825A}"/>
    <hyperlink ref="I1254" location="'11'!$O$58" display="$O$58 11" xr:uid="{E4E5E868-30C4-496C-916E-D627A7D49D96}"/>
    <hyperlink ref="I1255" location="'11'!$O$24" display="$O$24 11" xr:uid="{A49FDD00-5197-48E5-82F0-20275B5FB52B}"/>
    <hyperlink ref="I1256" r:id="rId62" location="'11'!$O$24" xr:uid="{17A91DC6-E200-47D7-90AC-B66295798CFF}"/>
    <hyperlink ref="I1257" location="'11'!$O$57" display="$O$57 11" xr:uid="{3C21362B-A40C-41F2-B287-223E1FF3A93A}"/>
    <hyperlink ref="I1258" location="'11'!$O$44" display="$O$44 11" xr:uid="{C942F64F-5236-4FB6-A751-670BC9914B3E}"/>
    <hyperlink ref="I1259" location="'11'!$O$14" display="$O$14 11" xr:uid="{2BBBD9E2-FB8E-4522-ABF1-3B29825CD6D7}"/>
    <hyperlink ref="I1260" location="'11'!$O$53" display="$O$53 11" xr:uid="{E133B845-18B8-4BC2-9363-70D5611E58DB}"/>
    <hyperlink ref="I1261" location="'11'!$P$57" display="$P$57 11" xr:uid="{549DD6CB-F6E2-441D-A2ED-69A5BE647D80}"/>
    <hyperlink ref="I1262" location="'11'!$P$38" display="$P$38 11" xr:uid="{1D882194-E9C9-4A70-BCB7-3035197EF119}"/>
    <hyperlink ref="I1263" location="'11'!$P$44" display="$P$44 11" xr:uid="{9B3C8EB8-D941-4279-A0D6-CFB6068E2E26}"/>
    <hyperlink ref="I1264" location="'11'!$P$58" display="$P$58 11" xr:uid="{56AA2B46-5AFD-42B0-BEF9-FA559D6C4E2F}"/>
    <hyperlink ref="I1265" location="'11'!$P$40" display="$P$40 11" xr:uid="{FC80CD34-F698-4BE6-9289-B5FC6F1D098B}"/>
    <hyperlink ref="I1266" location="'11'!$P$43" display="$P$43 11" xr:uid="{2633F345-8897-4105-8476-F0A71FE8928D}"/>
    <hyperlink ref="I1267" location="'11'!$Q$43" display="$Q$43 11" xr:uid="{C1C2D790-985C-437D-8F44-209D00455622}"/>
    <hyperlink ref="I1268" location="'11'!$Q$40" display="$Q$40 11" xr:uid="{370E4B34-E12A-47AE-A8C8-CD77FA723FC6}"/>
    <hyperlink ref="I1270" r:id="rId63" location="'11'!$Q$43" xr:uid="{02BFE9BE-2529-4982-908B-A3DC13F3C840}"/>
    <hyperlink ref="I1271" location="'11'!$R$43" display="$R$43 11" xr:uid="{80EE6C62-D8C3-4212-B74D-A1F186F0A4C3}"/>
    <hyperlink ref="I1272" location="'11'!$P$69" display="$P$69 11" xr:uid="{63BD6F10-A588-4406-A816-515F9943D03E}"/>
    <hyperlink ref="I1273" r:id="rId64" location="'11'!$P$69" xr:uid="{DE9E38ED-28BD-49BD-A4C4-F03C8C60F514}"/>
    <hyperlink ref="I1274" location="'11'!$R$69" display="$R$69 11" xr:uid="{7E299FD9-42B0-4708-8C55-7887D75B5A7A}"/>
    <hyperlink ref="I1275" location="'11'!$R$62" display="$R$62 11" xr:uid="{A98B8017-0395-4C13-8EF1-E49D6F5EFDD1}"/>
    <hyperlink ref="I1276" location="'11'!$R$61" display="$R$61 11" xr:uid="{7B703EA1-7E07-4410-BCDF-384628C92E70}"/>
    <hyperlink ref="I1277" location="'11'!$R$41" display="$R$41 11" xr:uid="{66597A1A-4FD0-4958-84FE-BD9E0ED2C15E}"/>
    <hyperlink ref="I1278" location="'11'!$S$56" display="$S$56 11" xr:uid="{EDE26BB7-A07A-47AD-82FD-11C6665C8768}"/>
    <hyperlink ref="I1279" location="'11'!$S$41" display="$S$41 11" xr:uid="{E7B8C45B-3D9A-4FA0-BE77-A87FEF16F5C6}"/>
    <hyperlink ref="I1281" location="'11'!$T$43" display="$T$43 11" xr:uid="{E36E383E-F881-48EB-8768-1FF99B618B08}"/>
    <hyperlink ref="I1282" location="'11'!$T$38" display="$T$38 11" xr:uid="{58FEFF93-8243-40DB-BC8E-0BD4E76D49EE}"/>
    <hyperlink ref="I1283" location="'11'!$T$46" display="$T$46 11" xr:uid="{A64BB243-035F-4874-8B75-16122C1F0671}"/>
    <hyperlink ref="I1284" location="'11'!$U$46" display="$U$46 11" xr:uid="{B1F81FE0-11CF-4A11-8946-E8239864DD06}"/>
    <hyperlink ref="I1285" location="'11'!$U$38" display="$U$38 11" xr:uid="{AE636349-AE43-4F1A-A9FE-D66B9FAD74A3}"/>
    <hyperlink ref="I1286" location="'11'!$U$43" display="$U$43 11" xr:uid="{AFFE48B3-04FC-484F-B4A4-354EB5DFBDE0}"/>
    <hyperlink ref="I1287" location="'11'!$U$40" display="$U$40 11" xr:uid="{B520BDCF-35CB-4162-BC02-93025645C88E}"/>
    <hyperlink ref="I1288" location="'11'!$V$43" display="$V$43 11" xr:uid="{702C3CC9-61E8-4A82-B380-59E416C4A418}"/>
    <hyperlink ref="I1289" location="'11'!$V$69" display="$V$69 11" xr:uid="{B0D3CDFF-3DB4-4A28-8E3C-64C8E6E547A2}"/>
    <hyperlink ref="I1290" location="'11'!$W$43" display="$W$43 11" xr:uid="{FD586134-3E19-404F-9418-76DF958E3439}"/>
    <hyperlink ref="I1291" location="'11'!$W$40" display="$W$40 11" xr:uid="{62944498-8A4C-48B6-A21D-7F974A313694}"/>
    <hyperlink ref="I1292" location="'11'!$W$66" display="$W$66 11" xr:uid="{8D988B2D-F736-487D-AF39-8F6B977E422E}"/>
    <hyperlink ref="I1293" location="'11'!$W$71" display="$W$71 11" xr:uid="{26850E7C-E908-45C5-B0E4-4B4AAEA1C06B}"/>
    <hyperlink ref="I1294" location="'11'!$X$66" display="$X$66 11" xr:uid="{3396AF8B-0E37-4DB1-B998-7E910CBE6BB7}"/>
    <hyperlink ref="I1295" location="'11'!$X$61" display="$X$61 11" xr:uid="{6CBAB3D0-3476-4266-B233-B6E764C5F6DC}"/>
    <hyperlink ref="I1296" location="'11'!$X$63" display="$X$63 11" xr:uid="{5A547AB8-4B3D-4124-88D8-009499C70CD0}"/>
    <hyperlink ref="I1297" location="'11'!$X$43" display="$X$43 11" xr:uid="{80795442-7B3D-4B8C-BCF4-7D4A80E8A77F}"/>
    <hyperlink ref="I1298" location="'11'!$X$38" display="$X$38 11" xr:uid="{C0C06632-830C-4E4A-A2E4-0CECD63C8BE2}"/>
    <hyperlink ref="I1299" location="'11'!$X$49" display="$X$49 11" xr:uid="{03112D50-A09D-4802-83F0-9D5FBD8BA566}"/>
    <hyperlink ref="I1300" location="'11'!$Y$55" display="$Y$55 11" xr:uid="{082E0A79-00CF-4C90-A3B4-90FD04EA8339}"/>
    <hyperlink ref="I1301" location="'11'!$Y$71" display="$Y$71 11" xr:uid="{C3E5E451-0778-4E96-9B6B-AE982E300159}"/>
    <hyperlink ref="I1302" location="'11'!$Y$70" display="$Y$70 11" xr:uid="{2DA6C526-4B9A-4DAF-AE9C-D4E273F896FD}"/>
    <hyperlink ref="I1303" r:id="rId65" location="'11'!$Y$70" xr:uid="{BE70C50A-6A76-4229-8CB8-CAB1690AD330}"/>
    <hyperlink ref="I1304" location="'11'!$Y$78" display="$Y$78 11" xr:uid="{B3A8014B-B33D-4D8C-85FF-7C4B98EC71C0}"/>
    <hyperlink ref="I1305" location="'11'!$Y$77" display="$Y$77 11" xr:uid="{96B586E8-DE76-4D92-9D51-39F8C87E4755}"/>
    <hyperlink ref="I1306" location="'11'!$Y$49" display="$Y$49 11" xr:uid="{E121D78F-049A-4744-B7CA-BE8435806006}"/>
    <hyperlink ref="I1307" location="'11'!$Y$47" display="$Y$47 11" xr:uid="{569FED3A-8FBC-4955-98FB-D5C4885EA43A}"/>
    <hyperlink ref="I1308" location="'11'!$Z$53" display="$Z$53 11" xr:uid="{90B3A4A2-D907-4FF5-B41C-BC646722DA81}"/>
    <hyperlink ref="I1309" location="'11'!$Z$54" display="$Z$54 11" xr:uid="{93E56FD1-4AA5-4FCF-892F-54F0A3B25ED9}"/>
    <hyperlink ref="I1310" location="'11'!$Z$58" display="$Z$58 11" xr:uid="{500F4CB1-A401-4CFB-AC2B-BDEEDEA9FC0F}"/>
    <hyperlink ref="I1311" location="'11'!$Z$57" display="$Z$57 11" xr:uid="{C260DD1C-AF4F-490F-86C6-9EDA8D0B3729}"/>
    <hyperlink ref="I1312" location="'11'!$Z$44" display="$Z$44 11" xr:uid="{F7BD2991-4ACD-4BAD-BB3A-A18EA0E5ED27}"/>
    <hyperlink ref="I1313" location="'11'!$Z$16" display="$Z$16 11" xr:uid="{D048D729-7715-442C-B934-420FC89E1B40}"/>
    <hyperlink ref="I1314" location="'11'!$AA$55" display="$AA$55 11" xr:uid="{168F7EDF-5E01-4120-A9EE-2F54EA95F45C}"/>
    <hyperlink ref="I1315" location="'11'!$AA$47" display="$AA$47 11" xr:uid="{C6C72A94-64FF-4A79-B3F7-A12D94890A2A}"/>
    <hyperlink ref="I1316" location="'11'!$AA$54" display="$AA$54 11" xr:uid="{DEEBCFB5-C57F-4C6E-8649-250F3BCB9ED6}"/>
    <hyperlink ref="I1317" location="'11'!$AA$53" display="$AA$53 11" xr:uid="{211D4FDD-B76D-4995-BDE8-34815407318A}"/>
    <hyperlink ref="I1318" location="'11'!$AB$58" display="$AB$58 11" xr:uid="{5095CECE-4026-45DE-B850-CC3CCB9BCC5E}"/>
    <hyperlink ref="I1319" location="'11'!$AB$57" display="$AB$57 11" xr:uid="{8F483002-70EA-472A-85B3-6959C8981FC1}"/>
    <hyperlink ref="I1320" location="'11'!$AB$44" display="$AB$44 11" xr:uid="{0AF698A3-0970-47ED-A3E0-4B849422042B}"/>
    <hyperlink ref="I1321" location="'11'!$AB$43" display="$AB$43 11" xr:uid="{5AC4CED4-7F1E-48E4-B953-B3894FF04827}"/>
    <hyperlink ref="I1322" location="'11'!$AC$69" display="$AC$69 11" xr:uid="{F10F686D-7023-4421-B70C-C9A4A79FBF99}"/>
    <hyperlink ref="I1323" location="'11'!$AC$41" display="$AC$41 11" xr:uid="{C79920A5-B2EC-4175-9470-325E7A05F661}"/>
    <hyperlink ref="I1324" location="'11'!$AC$40" display="$AC$40 11" xr:uid="{B7F0C059-F998-4E35-BBC6-B92D12ED9C56}"/>
    <hyperlink ref="I1325" location="'12'!$F$63" display="$F$63 12" xr:uid="{88E34B83-D742-40F0-975D-8A8545623DD9}"/>
    <hyperlink ref="I1326" location="'12'!$F$62" display="$F$62 12" xr:uid="{C2281F5C-ABD4-4E29-8AFD-C266EA66DA6F}"/>
    <hyperlink ref="I1327" location="'12'!$F$67" display="$F$67 12" xr:uid="{6323E56E-C6FC-4650-8D10-98FE9C1E88CA}"/>
    <hyperlink ref="I1328" location="'12'!$G$56" display="$G$56 12" xr:uid="{419B02DA-F6AA-4110-8215-0A0C90F5F0D5}"/>
    <hyperlink ref="I1329" location="'12'!$G$55" display="$G$55 12" xr:uid="{08C56E67-8493-469A-B2E7-AF48B65E6747}"/>
    <hyperlink ref="I1330" location="'12'!$G$46" display="$G$46 12" xr:uid="{239CEA4F-CE54-4B04-AEEA-DD16C7C2350C}"/>
    <hyperlink ref="I1331" location="'12'!$G$47" display="$G$47 12" xr:uid="{E9CAAF0E-B9C2-4511-9D00-48D574BAE298}"/>
    <hyperlink ref="I1332" location="'12'!$G$49" display="$G$49 12" xr:uid="{ABD411D8-4C05-4DBC-9541-502FFD365364}"/>
    <hyperlink ref="I1333" location="'12'!$G$14" display="$G$14 12" xr:uid="{DFE78BE1-04EB-4ED9-9622-26BD0B3BC133}"/>
    <hyperlink ref="I1337" location="'12'!$H$49" display="$H$49 12" xr:uid="{E6A1181C-4786-4259-93CE-444E97854693}"/>
    <hyperlink ref="I1338" location="'12'!$H$61" display="$H$61 12" xr:uid="{8DA5B0C9-218A-4D77-B4B1-6A985A72B7DB}"/>
    <hyperlink ref="I1339" location="'12'!$I$55" display="$I$55 12" xr:uid="{1556E0E8-F2D1-41E1-B55A-68AB8B4C16D4}"/>
    <hyperlink ref="I1340" location="'12'!$L$62" display="$L$62 12" xr:uid="{F3A91D02-3360-4418-B498-958E02FBD229}"/>
    <hyperlink ref="I1341" location="'12'!$L$54" display="$L$54 12" xr:uid="{E883D283-AF5F-408B-9D81-2CC469BE6B3A}"/>
    <hyperlink ref="I1342" location="'12'!$L$40" display="$L$40 12" xr:uid="{56056203-811B-49F3-9978-CA0DAADF5432}"/>
    <hyperlink ref="I1343" location="'12'!$L$41" display="$L$41 12" xr:uid="{C287CD52-D96C-4C4C-B73E-6788F4D24A76}"/>
    <hyperlink ref="I1344" location="'12'!$M$43" display="$M$43 12" xr:uid="{7F8DF5C5-FA7F-4165-BA45-4B7568CB835F}"/>
    <hyperlink ref="I1345" location="'12'!$M$77" display="$M$77 12" xr:uid="{E3CF7622-CC9D-4A80-A64D-237C0F39F41B}"/>
    <hyperlink ref="I1346" location="'12'!$M$78" display="$M$78 12" xr:uid="{7D6CF755-3C3E-4BDF-BCF3-A55BEDF9BA35}"/>
    <hyperlink ref="I1347" location="'12'!$M$38" display="$M$38 12" xr:uid="{C5428576-CE75-439A-BA8E-21812775641F}"/>
    <hyperlink ref="I1348" r:id="rId66" location="'12'!$M$38" xr:uid="{573B7D9A-77BD-4F54-B0F8-50822A0D9773}"/>
    <hyperlink ref="I1349" location="'12'!$M$53" display="$M$53 12" xr:uid="{4803EE50-42F0-45E6-A7D8-6DECF0664146}"/>
    <hyperlink ref="I1350" location="'12'!$M$45" display="$M$45 12" xr:uid="{F6CCA819-A352-476A-A77F-FC401B1175E4}"/>
    <hyperlink ref="I1351" location="'12'!$M$48" display="$M$48 12" xr:uid="{E8429A0E-DACA-4510-8BD9-AB103A885743}"/>
    <hyperlink ref="I1352" location="'12'!$N$14" display="$N$14 12" xr:uid="{D066A62B-0A2E-47AA-8EDA-2ECB60DAC0A2}"/>
    <hyperlink ref="I1353" location="'12'!$N$54" display="$N$54 12" xr:uid="{CE98A7A3-7212-4107-9187-59FCFEEC9855}"/>
    <hyperlink ref="I1354" location="'12'!$N$53" display="$N$53 12" xr:uid="{AA39D5ED-E452-4B6D-AA4C-DB66B3C2296B}"/>
    <hyperlink ref="I1355" location="'12'!$N$38" display="$N$38 12" xr:uid="{63F51191-0229-4B51-A5D7-66FF44004C5B}"/>
    <hyperlink ref="I1356" location="'12'!$N$40" display="$N$40 12" xr:uid="{22AB2828-C9FB-46F5-AE22-AE99E8D1AF41}"/>
    <hyperlink ref="I1357" location="'12'!$N$41" display="$N$41 12" xr:uid="{7C46DB7C-58BF-4B4A-8B29-47FB381E2874}"/>
    <hyperlink ref="I1358" location="'12'!$O$40" display="$O$40 12" xr:uid="{F8D9AAEF-9E07-4749-91C3-3F8EACEC5110}"/>
    <hyperlink ref="I1359" location="'12'!$O$41" display="$O$41 12" xr:uid="{CD7B0070-A3BF-4719-B217-CC75FFE6028E}"/>
    <hyperlink ref="I1360" location="'12'!$O$38" display="$O$38 12" xr:uid="{1A1320E3-24C9-474C-868A-9057A63A2DBE}"/>
    <hyperlink ref="I1361" location="'12'!$O$44" display="$O$44 12" xr:uid="{AA3FB2B4-D869-412F-9BD6-10E8DA9BE1B0}"/>
    <hyperlink ref="I1362" location="'12'!$O$57" display="$O$57 12" xr:uid="{9BAEE2FE-F9CD-478B-8A23-4DDD333D401B}"/>
    <hyperlink ref="I1363" location="'12'!$O$56" display="$O$56 12" xr:uid="{3899A631-B7DA-407A-97A5-5EE1067F2289}"/>
    <hyperlink ref="I1364" location="'12'!$O$67" display="$O$67 12" xr:uid="{D1ABF3CA-7A55-4D95-B9DF-CF6470A25D32}"/>
    <hyperlink ref="I1365" location="'12'!$O$66" display="$O$66 12" xr:uid="{CE89DD6B-7212-44CD-A4BF-AF8BDDE140DF}"/>
    <hyperlink ref="I1366" location="'12'!$O$68" display="$O$68 12" xr:uid="{29DDB8B7-4B43-454F-A047-2F0A31A117D3}"/>
    <hyperlink ref="I1367" location="'12'!$O$71" display="$O$71 12" xr:uid="{5EF15814-697E-4132-B2D9-EBC83BFFE544}"/>
    <hyperlink ref="I1368" location="'12'!$M$69" display="$M$69 12" xr:uid="{61F484F8-90D6-45DA-A539-11974BEE7DCC}"/>
    <hyperlink ref="I1369" location="'12'!$O$69" display="$O$69 12" xr:uid="{ED9DCBE5-6230-4F1C-A9B1-F82BDD03B386}"/>
    <hyperlink ref="I1370" location="'12'!$P$46" display="$P$46 12" xr:uid="{21FAA470-00C5-47C9-913F-7791580DA8AD}"/>
    <hyperlink ref="I1371" location="'12'!$P$55" display="$P$55 12" xr:uid="{B6085525-3229-4C6D-A342-659AC370F5F2}"/>
    <hyperlink ref="I1372" location="'12'!$P$49" display="$P$49 12" xr:uid="{50FAD311-0F42-4EC1-8796-A029763BFD20}"/>
    <hyperlink ref="I1373" location="'12'!$P$47" display="$P$47 12" xr:uid="{D5D0FD99-2AA6-432C-8AF5-FC629B92B66B}"/>
    <hyperlink ref="I1374" location="'12'!$P$66" display="$P$66 12" xr:uid="{AC98B5DD-C1D4-40D1-B6C6-DD17DF7A9A9D}"/>
    <hyperlink ref="I1375" location="'12'!$P$54" display="$P$54 12" xr:uid="{98E447E6-54ED-4BB9-90EF-B099E2150306}"/>
    <hyperlink ref="I1376" location="'12'!$P$53" display="$P$53 12" xr:uid="{F03E5F9B-731F-4B29-8C6A-8591AC6C15A2}"/>
    <hyperlink ref="I1377" location="'12'!$O$58" display="$O$58 12" xr:uid="{BA55CB0D-A5A7-439C-9685-CE0A93F1E6BB}"/>
    <hyperlink ref="I1378" location="'12'!$P$52" display="$P$52 12" xr:uid="{B24EB420-21AB-4C43-97C0-587BA424CE68}"/>
    <hyperlink ref="I1379" location="'12'!$Q$68" display="$Q$68 12" xr:uid="{E56E7E70-4384-424B-8224-6A40A58F7AC6}"/>
    <hyperlink ref="I1380" location="'12'!$Q$39" display="$Q$39 12" xr:uid="{AEE0CA66-3ABC-4EA1-8B90-8169B5E765D9}"/>
    <hyperlink ref="I1381" location="'12'!$Q$71" display="$Q$71 12" xr:uid="{5CBA73B5-D195-4EDE-8331-710F0AF48C6A}"/>
    <hyperlink ref="I1382" location="'12'!$Q$69" display="$Q$69 12" xr:uid="{471EFF31-D375-4852-AC4A-5D061A0DB33F}"/>
    <hyperlink ref="I1383" location="'12'!$R$16" display="$R$16 12" xr:uid="{E4D72A61-D5FE-4818-B9CA-D4DE8CD15DFC}"/>
    <hyperlink ref="I1384" r:id="rId67" location="'12'!$R$16" xr:uid="{22E83709-066B-4F48-86DF-5471D4147F7E}"/>
    <hyperlink ref="I1385" location="'12'!$R$61" display="$R$61 12" xr:uid="{AFF91CAE-5345-4354-AA9C-FC734154194C}"/>
    <hyperlink ref="I1386" location="'12'!$R$63" display="$R$63 12" xr:uid="{10EBE03F-EF01-4482-8A16-0F0E5CCF6EFE}"/>
    <hyperlink ref="I1387" location="'12'!$S$52" display="$S$52 12" xr:uid="{DE2E0A4F-D7CB-42A4-8E88-13A211E33390}"/>
    <hyperlink ref="I1388" location="'12'!$S$39" display="$S$39 12" xr:uid="{A34B6A90-B8D9-4E2D-8641-DECF0174036A}"/>
    <hyperlink ref="I1389" location="'12'!$S$58" display="$S$58 12" xr:uid="{2806EE15-242D-487E-B341-F33BDE6AE9DF}"/>
    <hyperlink ref="I1390" location="'12'!$S$57" display="$S$57 12" xr:uid="{653223C1-3591-44AA-A81B-397B0E9AAAD8}"/>
    <hyperlink ref="I1391" location="'12'!$S$44" display="$S$44 12" xr:uid="{F3293C19-558D-48B8-8A21-7E4974778455}"/>
    <hyperlink ref="I1392" location="'12'!$S$56" display="$S$56 12" xr:uid="{392D2AA8-AA6A-49BA-8109-FC40C6F4C957}"/>
    <hyperlink ref="I1393" location="'12'!$S$46" display="$S$46 12" xr:uid="{1AD872B2-C0A4-4649-B356-2C228E6DC790}"/>
    <hyperlink ref="I1394" location="'12'!$S$49" display="$S$49 12" xr:uid="{C320C335-B180-4C13-B207-FF24B98475F9}"/>
    <hyperlink ref="I1395" location="'12'!$T$58" display="$T$58 12" xr:uid="{211C2B9E-0BCC-4F00-81F6-0341AE8592A8}"/>
    <hyperlink ref="I1396" location="'12'!$T$55" display="$T$55 12" xr:uid="{A700AC08-A046-4C1E-8B8D-25E492DBB14D}"/>
    <hyperlink ref="I1397" location="'12'!$T$57" display="$T$57 12" xr:uid="{708D3C51-3EB0-49B3-92BB-69A48F13AA93}"/>
    <hyperlink ref="I1398" location="'12'!$T$24" display="$T$24 12" xr:uid="{F960B12E-4483-4201-8F79-ABEACC9EE7F6}"/>
    <hyperlink ref="I1399" location="'12'!$T$27" display="$T$27 12" xr:uid="{7A0164BD-CA02-4985-9029-256B239B9306}"/>
    <hyperlink ref="I1400" location="'12'!$T$28" display="$T$28 12" xr:uid="{4FA1A071-26F2-4B2C-8996-775E87626B04}"/>
    <hyperlink ref="I1401" location="'12'!$U$44" display="$U$44 12" xr:uid="{CF0DC5C0-11DB-465E-BDCE-32B2956ECC7F}"/>
    <hyperlink ref="I1402" location="'12'!$U$56" display="$U$56 12" xr:uid="{B1574315-B444-48E9-8C15-4C655AA78F2A}"/>
    <hyperlink ref="I1403" location="'12'!$U$46" display="$U$46 12" xr:uid="{1042AE24-BCD3-4D3A-B3AA-80FD5B8DC5C5}"/>
    <hyperlink ref="I1404" location="'12'!$U$47" display="$U$47 12" xr:uid="{3F9E6352-432F-4142-BC3E-711B75D6DC65}"/>
    <hyperlink ref="I1405" location="'12'!$U$28" display="$U$28 12" xr:uid="{6B1409A1-F2A2-48D0-9A63-2DFB08DEBEF4}"/>
    <hyperlink ref="I1407" r:id="rId68" location="'12'!$U$28" xr:uid="{79EA1BF2-7B7D-4C3B-BB47-059D395C1C02}"/>
    <hyperlink ref="I1408" location="'12'!$V$47" display="$V$47 12" xr:uid="{3C768479-4C0D-4612-A685-30FC46DD5043}"/>
    <hyperlink ref="I1409" location="'12'!$U$49" display="$U$49 12" xr:uid="{8C8162A6-838E-4F8E-9182-B78FE2A900E5}"/>
    <hyperlink ref="I1410" location="'12'!$U$55" display="$U$55 12" xr:uid="{67A39022-C18C-4A4B-99AD-C5DECC210DD0}"/>
    <hyperlink ref="I1411" location="'12'!$V$52" display="$V$52 12" xr:uid="{74D92CEC-0B4B-46BC-9BAA-87F869553DFD}"/>
    <hyperlink ref="I1412" location="'12'!$V$39" display="$V$39 12" xr:uid="{3F52125A-1C43-4393-ABA4-147166B80B9F}"/>
    <hyperlink ref="I1413" location="'12'!$W$24" display="$W$24 12" xr:uid="{7C5650BE-9C5B-497A-AF93-326B0B57B3D3}"/>
    <hyperlink ref="I1414" location="'12'!$W$53" display="$W$53 12" xr:uid="{0FB9CB15-1362-4130-B343-29775CF0D672}"/>
    <hyperlink ref="I1415" location="'12'!$W$54" display="$W$54 12" xr:uid="{229A1E89-740E-432D-B6C0-C1DBD028DE40}"/>
    <hyperlink ref="I1416" location="'12'!$X$63" display="$X$63 12" xr:uid="{DF0492F1-CBA8-4CC0-9C98-23BA1CD68F92}"/>
    <hyperlink ref="I1417" location="'12'!$X$62" display="$X$62 12" xr:uid="{A841C8CA-F9C5-4DCC-8DC8-064CFC984A90}"/>
    <hyperlink ref="I1418" location="'12'!$X$52" display="$X$52 12" xr:uid="{CED4FD6A-31B7-4E8A-9190-376EECC55AA1}"/>
    <hyperlink ref="I1419" location="'12'!$X$58" display="$X$58 12" xr:uid="{06C95EF5-CDEF-400B-B77B-D69BAE73C5B1}"/>
    <hyperlink ref="I1420" location="'12'!$X$57" display="$X$57 12" xr:uid="{75C872D2-08BD-4C03-86B6-5A5259536081}"/>
    <hyperlink ref="I1421" location="'12'!$X$44" display="$X$44 12" xr:uid="{D559F70B-F11E-4160-93FD-5E72CE13AB4B}"/>
    <hyperlink ref="I1422" location="'12'!$Y$54" display="$Y$54 12" xr:uid="{A2F394C7-8422-48B2-BEA9-099A5FE35478}"/>
    <hyperlink ref="I1423" location="'12'!$Y$53" display="$Y$53 12" xr:uid="{77F4BC1E-7770-41C3-83B7-0A596AB20807}"/>
    <hyperlink ref="I1424" location="'12'!$Y$52" display="$Y$52 12" xr:uid="{0AE7526C-49A0-49A9-A35F-169B1E03D469}"/>
    <hyperlink ref="I1425" location="'12'!$Y$78" display="$Y$78 12" xr:uid="{86DC8483-7351-4FD3-967C-317BCFF08E1F}"/>
    <hyperlink ref="I1426" location="'12'!$Y$77" display="$Y$77 12" xr:uid="{469FF9B2-4871-42E0-8A29-06654E60C15C}"/>
    <hyperlink ref="I1427" location="'12'!$Y$58" display="$Y$58 12" xr:uid="{A3931B6A-0D03-4060-AADF-452BCFA58DFD}"/>
    <hyperlink ref="I1428" location="'12'!$Y$39" display="$Y$39 12" xr:uid="{3212C071-7514-422B-B13B-F1F998CBA017}"/>
    <hyperlink ref="I1429" location="'12'!$Y$56" display="$Y$56 12" xr:uid="{972778B3-0FB1-46F0-BCC4-54D31EA3393A}"/>
    <hyperlink ref="I1430" location="'12'!$Y$46" display="$Y$46 12" xr:uid="{BA471153-6093-4C85-ABFD-10B699B967CB}"/>
    <hyperlink ref="I1431" location="'12'!$Y$49" display="$Y$49 12" xr:uid="{47DB36E0-5562-4241-A3A8-EE9B3CF9E389}"/>
    <hyperlink ref="I1432" location="'12'!$Z$47" display="$Z$47 12" xr:uid="{6077EEA6-5F31-4D28-8DF3-71BA3B51A0B1}"/>
    <hyperlink ref="I1433" location="'12'!$Z$55" display="$Z$55 12" xr:uid="{E85EF68A-B044-4077-8303-42228019B83B}"/>
    <hyperlink ref="I1434" location="'12'!$Y$27" display="$Y$27 12" xr:uid="{0A83FD08-0D9F-4611-88CB-20F0DBD8438D}"/>
    <hyperlink ref="I1435" location="'12'!$Z$54" display="$Z$54 12" xr:uid="{7644A959-D599-4CCD-9CF7-31AC48749066}"/>
    <hyperlink ref="I1436" location="'12'!$Z$53" display="$Z$53 12" xr:uid="{83D5B998-04D8-4D18-8950-418E5BF6E884}"/>
    <hyperlink ref="I1437" location="'12'!$Z$52" display="$Z$52 12" xr:uid="{525B163A-CD31-4648-BFB1-BAE99F567978}"/>
    <hyperlink ref="I1438" location="'12'!$Z$58" display="$Z$58 12" xr:uid="{3A961507-1FF6-45FC-81E1-116D7670AFAF}"/>
    <hyperlink ref="I1439" location="'12'!$AA$38" display="$AA$38 12" xr:uid="{146B2F02-073B-4934-8F31-3A558B79C0AD}"/>
    <hyperlink ref="I1440" location="'12'!$AA$40" display="$AA$40 12" xr:uid="{21656644-C53B-4919-85C3-7BFF3B525CCE}"/>
    <hyperlink ref="I1441" location="'12'!$AA$66" display="$AA$66 12" xr:uid="{C9EA238A-6D05-4666-B91F-7971C9A45726}"/>
    <hyperlink ref="I1442" location="'12'!$AA$71" display="$AA$71 12" xr:uid="{8A2ECA9A-BB1F-4E51-9685-8A2D88636C06}"/>
    <hyperlink ref="I1443" location="'12'!$AA$43" display="$AA$43 12" xr:uid="{2C10CCE5-CA7C-4808-BB35-6BF9CC1156BA}"/>
    <hyperlink ref="I1444" location="'12'!$AB$66" display="$AB$66 12" xr:uid="{21DD5307-E3C2-401F-8D31-015BD8E757AD}"/>
    <hyperlink ref="I1445" location="'12'!$AB$41" display="$AB$41 12" xr:uid="{53656037-E112-4320-8D4E-763704EA82B8}"/>
    <hyperlink ref="I1446" location="'12'!$AB$55" display="$AB$55 12" xr:uid="{DCE0F2AC-1F73-4F71-AB3B-1EC07B9C8634}"/>
    <hyperlink ref="I1447" location="'12'!$AB$56" display="$AB$56 12" xr:uid="{8E7FC548-A6D3-4D36-806B-9BA924D40CF0}"/>
    <hyperlink ref="I1448" location="'12'!$AB$57" display="$AB$57 12" xr:uid="{BFBDC1C5-A824-48D8-B29A-D99D38E42428}"/>
    <hyperlink ref="I1449" location="'12'!$AB$16" display="$AB$16 12" xr:uid="{78F0D53A-2296-4936-9216-01C706367EB7}"/>
    <hyperlink ref="I1450" location="'12'!$AC$57" display="$AC$57 12" xr:uid="{490708BB-F26B-4E06-9611-81FD0A3A5418}"/>
    <hyperlink ref="I1451" location="'12'!$AC$55" display="$AC$55 12" xr:uid="{8B1948A2-4519-48A4-A474-401E7B6083E6}"/>
    <hyperlink ref="I1452" location="'12'!$AC$56" display="$AC$56 12" xr:uid="{3FE650BB-BB99-43E6-920B-305DE312BE09}"/>
    <hyperlink ref="I1453" location="'12'!$AC$71" display="$AC$71 12" xr:uid="{9DD10274-3188-4E61-93A5-CCE825FDC1F3}"/>
    <hyperlink ref="I1454" location="'12'!$AC$70" display="$AC$70 12" xr:uid="{F5A5DA82-7609-4824-BC2E-189DF9401101}"/>
    <hyperlink ref="I1455" location="'13'!$F$62" display="$F$62 13" xr:uid="{06C9FED1-BCF1-4D58-9DAB-3B15193FD22B}"/>
    <hyperlink ref="I1456" location="'13'!$F$61" display="$F$61 13" xr:uid="{ADF7EB1C-8EB8-49E7-B4B8-FBC60B88246F}"/>
    <hyperlink ref="I1457" location="'13'!$F$69" display="$F$69 13" xr:uid="{9058525E-7826-4263-9995-A51216862466}"/>
    <hyperlink ref="I1458" location="'13'!$G$55" display="$G$55 13" xr:uid="{88694815-CE45-47DA-BF4F-31BD5863932A}"/>
    <hyperlink ref="I1459" location="'13'!$G$49" display="$G$49 13" xr:uid="{C3487FB9-5456-49F4-9923-625F0C79B9B7}"/>
    <hyperlink ref="I1460" location="'13'!$G$15" display="$G$15 13" xr:uid="{84414C0A-2385-482C-A7D9-2B38732D6F6C}"/>
    <hyperlink ref="I1461" location="'13'!$G$40" display="$G$40 13" xr:uid="{49C0202E-2216-4D53-83E9-F390931E5A59}"/>
    <hyperlink ref="I1462" location="'13'!$G$46" display="$G$46 13" xr:uid="{6B7BE403-B4E6-49E0-86C5-11E4C4EA102C}"/>
    <hyperlink ref="I1464" location="'13'!$G$41" display="$G$41 13" xr:uid="{6F1E47EB-9062-4576-9326-EF28F5402DE0}"/>
    <hyperlink ref="I1467" location="'13'!$H$40" display="$H$40 13" xr:uid="{384A4ABD-2163-4B85-A4CA-16C2E3DEA2EE}"/>
    <hyperlink ref="I1468" location="'13'!$H$41" display="$H$41 13" xr:uid="{89A01522-798B-41AB-9367-872A2A873F9A}"/>
    <hyperlink ref="I1469" location="'13'!$H$63" display="$H$63 13" xr:uid="{57D2FC7B-C9B3-4325-BE80-C3EE69B106CD}"/>
    <hyperlink ref="I1470" location="'13'!$K$61" display="$K$61 13" xr:uid="{3B82F335-DC28-4C2C-BFCE-DBDB248E2529}"/>
    <hyperlink ref="I1471" location="'13'!$K$47" display="$K$47 13" xr:uid="{98E0EE66-D0A5-4043-AF9A-9A3A37103ED8}"/>
    <hyperlink ref="I1472" location="'13'!$K$40" display="$K$40 13" xr:uid="{CD8BF9CA-64C1-4087-9C41-7EC1DA031B15}"/>
    <hyperlink ref="I1474" location="'13'!$L$41" display="$L$41 13" xr:uid="{D262AC6C-9299-4F18-A693-550BE7D19B20}"/>
    <hyperlink ref="I1475" location="'13'!$L$43" display="$L$43 13" xr:uid="{B5E2E30C-3D67-4333-A8D5-9E684F411D16}"/>
    <hyperlink ref="I1476" location="'13'!$M$54" display="$M$54 13" xr:uid="{2F1740D2-8BCA-4CE6-96D3-153F144FBD60}"/>
    <hyperlink ref="I1477" location="'13'!$M$58" display="$M$58 13" xr:uid="{C4A2BEC0-ED2C-4228-A08F-77B128BB9DBC}"/>
    <hyperlink ref="I1478" location="'13'!$M$77" display="$M$77 13" xr:uid="{A44F9369-76B3-4C5A-B3BB-1EBEAC77155C}"/>
    <hyperlink ref="I1479" location="'13'!$M$78" display="$M$78 13" xr:uid="{688CC14F-371B-47EC-9289-289A2F50D245}"/>
    <hyperlink ref="I1480" location="'13'!$M$53" display="$M$53 13" xr:uid="{99B877D1-ADFF-44CA-A799-2F838516A44E}"/>
    <hyperlink ref="I1481" location="'13'!$M$38" display="$M$38 13" xr:uid="{2349EEEB-F781-4FA7-A695-FE7D1B52F692}"/>
    <hyperlink ref="I1483" location="'13'!$M$70" display="$M$70 13" xr:uid="{B0652D09-1CBA-4216-B8E7-D2ED17807FA8}"/>
    <hyperlink ref="I1484" location="'13'!$N$53" display="$N$53 13" xr:uid="{98331BBC-3809-4F00-AF4A-A7BB1B16E158}"/>
    <hyperlink ref="I1485" location="'13'!$N$16" display="$N$16 13" xr:uid="{E35461C8-99F8-41A4-A3A6-F88FF0E930C1}"/>
    <hyperlink ref="I1486" location="'13'!$N$58" display="$N$58 13" xr:uid="{79CB367A-F86D-4640-A31F-B1E6D7CD1C46}"/>
    <hyperlink ref="I1487" location="'13'!$N$40" display="$N$40 13" xr:uid="{24B5CBAD-F1D2-4A21-8A16-1A846E970F3C}"/>
    <hyperlink ref="I1488" location="'13'!$O$57" display="$O$57 13" xr:uid="{CE4DEE34-CC4B-4A47-A42C-B06E40DB7FB2}"/>
    <hyperlink ref="I1489" location="'13'!$O$44" display="$O$44 13" xr:uid="{C011966B-21A5-45D2-9BF5-BA999E931C0B}"/>
    <hyperlink ref="I1490" location="'13'!$O$40" display="$O$40 13" xr:uid="{739AB497-FC1A-4680-A483-EF2A1ED8CD74}"/>
    <hyperlink ref="I1491" location="'13'!$O$15" display="$O$15 13" xr:uid="{09F02571-ECFB-4457-82F4-E89FE4821A4E}"/>
    <hyperlink ref="I1492" location="'13'!$O$56" display="$O$56 13" xr:uid="{F11ABBA0-A711-495E-8392-7F317588D46E}"/>
    <hyperlink ref="I1496" location="'13'!$O$69" display="$O$69 13" xr:uid="{F9BFC376-4BF9-4C91-AA14-898A92BF238E}"/>
    <hyperlink ref="I1497" location="'13'!$P$40" display="$P$40 13" xr:uid="{92F0358C-BBD7-45B3-8742-4C901C34C11C}"/>
    <hyperlink ref="I1498" r:id="rId69" location="'13'!$P$40" xr:uid="{48D35781-BAC9-4BEC-94BB-D6DEF4A736DB}"/>
    <hyperlink ref="I1499" location="'13'!$P$49" display="$P$49 13" xr:uid="{9DCB4B0D-3651-4C7A-851B-B76C916041F9}"/>
    <hyperlink ref="I1500" location="'13'!$P$47" display="$P$47 13" xr:uid="{0C76028F-D58B-4192-836D-D62F89F1902E}"/>
    <hyperlink ref="I1501" location="'13'!$P$46" display="$P$46 13" xr:uid="{3F082152-2CF7-407F-9677-DB24DD162FF2}"/>
    <hyperlink ref="I1502" location="'13'!$P$55" display="$P$55 13" xr:uid="{7E2BCEFD-4166-40D2-8ACC-C8EC9B09F2C4}"/>
    <hyperlink ref="I1503" location="'13'!$P$24" display="$P$24 13" xr:uid="{3D9B2E30-58CA-47E9-BDA8-A6947B1A9435}"/>
    <hyperlink ref="I1504" r:id="rId70" location="'13'!$P$24" xr:uid="{394D5D6A-8E42-47A4-AD0B-CD8496175EE5}"/>
    <hyperlink ref="I1505" location="'13'!$P$53" display="$P$53 13" xr:uid="{10F9A662-B9FD-46DD-9836-FEC541D513AA}"/>
    <hyperlink ref="I1506" location="'13'!$P$54" display="$P$54 13" xr:uid="{D525076D-2BE2-4EA4-979E-D6915BB7247E}"/>
    <hyperlink ref="I1507" location="'13'!$P$52" display="$P$52 13" xr:uid="{999A86B6-DBDA-4F36-880D-CC1EA570FC2A}"/>
    <hyperlink ref="I1508" location="'13'!$P$58" display="$P$58 13" xr:uid="{33EEFFFC-65E1-414C-A1EC-4CA65999B3BF}"/>
    <hyperlink ref="I1509" location="'13'!$P$57" display="$P$57 13" xr:uid="{81C23DBF-221A-4275-8561-8AA4B550315F}"/>
    <hyperlink ref="I1510" location="'13'!$Q$44" display="$Q$44 13" xr:uid="{8B7364E8-C8CB-428C-B699-0BBA1630601F}"/>
    <hyperlink ref="I1511" location="'13'!$Q$46" display="$Q$46 13" xr:uid="{1605865C-84A8-4E7A-949D-662FAD821A50}"/>
    <hyperlink ref="I1512" location="'13'!$Q$49" display="$Q$49 13" xr:uid="{62403F2A-E0CD-4D54-A8DA-733A694DB195}"/>
    <hyperlink ref="I1513" location="'13'!$Q$24" display="$Q$24 13" xr:uid="{9748A199-8B6D-4492-8D53-76FD350B96B9}"/>
    <hyperlink ref="I1514" r:id="rId71" location="'13'!$Q$24" xr:uid="{1FB70366-1666-4992-877C-C62C5F0C18D7}"/>
    <hyperlink ref="I1515" location="'13'!$Q$55" display="$Q$55 13" xr:uid="{F1FEECDE-749A-40DE-B279-9416DF5640AF}"/>
    <hyperlink ref="I1516" location="'13'!$Q$47" display="$Q$47 13" xr:uid="{8DD08B8C-03DC-4902-ACB5-2D8078E24D75}"/>
    <hyperlink ref="I1517" location="'13'!$Q$54" display="$Q$54 13" xr:uid="{2F149B4B-5551-4446-8940-A0F3BB4EE259}"/>
    <hyperlink ref="I1518" location="'13'!$R$56" display="$R$56 13" xr:uid="{1DAE8E63-6738-4972-A2F0-83C841B46BB3}"/>
    <hyperlink ref="I1519" location="'13'!$R$63" display="$R$63 13" xr:uid="{3AB936A5-522A-45E0-A5D5-B453E69BA2FE}"/>
    <hyperlink ref="I1520" location="'13'!$R$62" display="$R$62 13" xr:uid="{83FCF1F9-123E-4122-A3EE-C687D39BA0D4}"/>
    <hyperlink ref="I1521" location="'13'!$R$53" display="$R$53 13" xr:uid="{F4F2F7AE-C7AC-4645-B3AE-F1157DBA7403}"/>
    <hyperlink ref="I1522" location="'13'!$R$46" display="$R$46 13" xr:uid="{715132D6-9DCB-4043-A269-4B4BA3ABDF85}"/>
    <hyperlink ref="I1523" location="'13'!$S$66" display="$S$66 13" xr:uid="{0E6DBA45-C37C-4C3B-8ACB-DBD0E09A2A50}"/>
    <hyperlink ref="I1524" location="'13'!$S$56" display="$S$56 13" xr:uid="{4B39A671-E0A2-4CC4-B3AE-E9A194C171AC}"/>
    <hyperlink ref="I1525" location="'13'!$S$49" display="$S$49 13" xr:uid="{F01EE997-5265-4D16-9C2C-D197BA0F3E5C}"/>
    <hyperlink ref="I1527" location="'13'!$T$55" display="$T$55 13" xr:uid="{7B4F1618-E0BA-44E2-86EB-C7933C661B05}"/>
    <hyperlink ref="I1528" location="'13'!$T$47" display="$T$47 13" xr:uid="{0B7DA01D-1373-4FD4-AC7D-2B8DDCA2A8E3}"/>
    <hyperlink ref="I1529" location="'13'!$T$53" display="$T$53 13" xr:uid="{267ECB4C-8705-4570-A54A-376C7473C162}"/>
    <hyperlink ref="I1530" location="'13'!$U$52" display="$U$52 13" xr:uid="{CD73F65E-DE67-4858-9115-1048663C907E}"/>
    <hyperlink ref="I1531" location="'13'!$U$54" display="$U$54 13" xr:uid="{2A0773EB-D80D-4DFB-AF6D-8D9D4D7D5D84}"/>
    <hyperlink ref="I1532" location="'13'!$V$46" display="$V$46 13" xr:uid="{418D7A30-078F-4AF3-9F5D-A382A6F7A496}"/>
    <hyperlink ref="I1533" location="'13'!$V$49" display="$V$49 13" xr:uid="{D1D836E7-86D4-4E45-BE55-8E0287FCAF89}"/>
    <hyperlink ref="I1534" location="'13'!$V$55" display="$V$55 13" xr:uid="{F75D45EF-3D4F-44F1-9639-27795C5B69D6}"/>
    <hyperlink ref="I1535" location="'13'!$V$56" display="$V$56 13" xr:uid="{CB13B0B8-CC13-453C-A427-FF99D478496B}"/>
    <hyperlink ref="I1536" location="'13'!$W$47" display="$W$47 13" xr:uid="{FD740E0A-1711-44CD-BF92-18769D93B0CF}"/>
    <hyperlink ref="I1537" location="'13'!$W$54" display="$W$54 13" xr:uid="{998758E0-B08F-426C-8396-0601A2270A3F}"/>
    <hyperlink ref="I1538" location="'13'!$X$53" display="$X$53 13" xr:uid="{0B8796B9-03DF-4457-B059-B8E531F22E04}"/>
    <hyperlink ref="I1539" location="'13'!$X$58" display="$X$58 13" xr:uid="{5858EBA6-6231-42C9-A163-7EA51FE885A2}"/>
    <hyperlink ref="I1540" location="'13'!$X$57" display="$X$57 13" xr:uid="{522B679B-775E-431A-BA92-D64895210FBA}"/>
    <hyperlink ref="I1541" location="'13'!$X$62" display="$X$62 13" xr:uid="{9EEEFC79-6C2C-4A65-ACC7-082A2BB88206}"/>
    <hyperlink ref="I1542" location="'13'!$X$61" display="$X$61 13" xr:uid="{FF9CB84C-50B7-4DC1-A651-07384463B7A9}"/>
    <hyperlink ref="I1543" location="'13'!$X$44" display="$X$44 13" xr:uid="{0F9A9BDF-8DA3-4489-A575-A0070CD053D7}"/>
    <hyperlink ref="I1544" location="'13'!$X$46" display="$X$46 13" xr:uid="{BA992267-0903-4504-847E-83321271ED23}"/>
    <hyperlink ref="I1545" location="'13'!$Y$49" display="$Y$49 13" xr:uid="{46AD8BB3-0E95-48B6-8B3A-2843A05EF507}"/>
    <hyperlink ref="I1546" location="'13'!$Y$55" display="$Y$55 13" xr:uid="{7B83554F-E74F-4BFE-A514-FC5FCA6DCD0B}"/>
    <hyperlink ref="I1547" location="'13'!$Y$47" display="$Y$47 13" xr:uid="{2666A9FA-EC83-44CD-834E-C5023503022A}"/>
    <hyperlink ref="I1548" location="'13'!$Y$53" display="$Y$53 13" xr:uid="{23D60B7A-8AE1-4CD0-A75F-9C194610DEBB}"/>
    <hyperlink ref="I1549" location="'13'!$Y$54" display="$Y$54 13" xr:uid="{49AF5E0B-1F39-40CD-8D61-6A9F3A3D6165}"/>
    <hyperlink ref="I1550" location="'13'!$Z$56" display="$Z$56 13" xr:uid="{BB28E4B3-2114-4D74-AE4C-1328BB671A2B}"/>
    <hyperlink ref="I1551" location="'13'!$Z$66" display="$Z$66 13" xr:uid="{A555D97F-5B71-43F4-8815-B24A63BC62DB}"/>
    <hyperlink ref="I1552" location="'13'!$Z$46" display="$Z$46 13" xr:uid="{7D5B1204-22A7-4062-9989-631DDCE4EF21}"/>
    <hyperlink ref="I1553" location="'13'!$Z$49" display="$Z$49 13" xr:uid="{6657BAE4-9AF3-429B-AD28-75F5F52C3E55}"/>
    <hyperlink ref="I1554" location="'13'!$Z$55" display="$Z$55 13" xr:uid="{38281881-B411-4793-9EBE-BFAB5CD41B4A}"/>
    <hyperlink ref="I1556" location="'13'!$AA$43" display="$AA$43 13" xr:uid="{36D8FDBE-351D-42AE-94EE-C57714EDCA3E}"/>
    <hyperlink ref="I1557" location="'13'!$AA$24" display="$AA$24 13" xr:uid="{94374C20-9228-49AD-9277-389E62B0C847}"/>
    <hyperlink ref="I1558" location="'13'!$AA$28" display="$AA$28 13" xr:uid="{EE06CBB8-B1B6-4075-A5D3-3D466708F302}"/>
    <hyperlink ref="I1559" r:id="rId72" location="'13'!$AA$24" xr:uid="{134B6EA8-289E-45BE-BFBC-354D39D7583C}"/>
    <hyperlink ref="I1560" r:id="rId73" location="'13'!$AA$28" xr:uid="{C2F26200-C3FC-4F1F-915B-F1E28590C0E5}"/>
    <hyperlink ref="I1561" location="'13'!$AA$58" display="$AA$58 13" xr:uid="{F5E3530A-D140-4C3E-B437-F6ED1F19094B}"/>
    <hyperlink ref="I1562" location="'13'!$AB$57" display="$AB$57 13" xr:uid="{2D716952-D7AD-403C-AC0E-2312B1C4628B}"/>
    <hyperlink ref="I1563" location="'13'!$AB$47" display="$AB$47 13" xr:uid="{DE3E6377-004B-449D-961C-3C16EA247274}"/>
    <hyperlink ref="I1564" location="'13'!$AB$53" display="$AB$53 13" xr:uid="{799C323C-4CA4-43E8-B7AB-211E5FC56D18}"/>
    <hyperlink ref="I1565" location="'13'!$AB$54" display="$AB$54 13" xr:uid="{E86EF1DE-58B6-412E-8839-D873DCCB23D6}"/>
    <hyperlink ref="I1566" location="'13'!$AB$14" display="$AB$14 13" xr:uid="{30825E49-262B-4F30-883F-B2933AE0670C}"/>
    <hyperlink ref="I1567" location="'13'!$AB$44" display="$AB$44 13" xr:uid="{2B21ACA8-D1EF-48E9-A0FD-F057E72156B7}"/>
    <hyperlink ref="I1568" location="'13'!$AB$56" display="$AB$56 13" xr:uid="{31E914D4-6B69-4D61-A224-68537806F210}"/>
    <hyperlink ref="I1569" location="'13'!$AB$46" display="$AB$46 13" xr:uid="{BE16A808-E4A5-4F95-A11F-B2E6B31BF3B8}"/>
    <hyperlink ref="I1570" location="'13'!$AB$49" display="$AB$49 13" xr:uid="{F7364EFB-EB70-47A0-BDCB-68BA2D0A05F7}"/>
    <hyperlink ref="I1571" location="'13'!$AB$58" display="$AB$58 13" xr:uid="{3B358AFD-E7E0-47A8-8AC2-CC104A219827}"/>
    <hyperlink ref="I1572" location="'13'!$AC$57" display="$AC$57 13" xr:uid="{5D65DF8C-860D-49DD-9061-B48AB4A1FCEC}"/>
    <hyperlink ref="I1573" location="'13'!$AC$48" display="$AC$48 13" xr:uid="{2A3F988C-6DB4-4E47-9C23-1DE3BF6DE1BC}"/>
    <hyperlink ref="I1574" location="'13'!$AC$43" display="$AC$43 13" xr:uid="{5D115E0A-78C1-4823-9917-27D7EEDAC2ED}"/>
    <hyperlink ref="I1575" location="'13'!$AC$44" display="$AC$44 13" xr:uid="{1D5D6B49-411C-4B9A-9E85-22CF1F0E98B0}"/>
    <hyperlink ref="I1576" location="'13'!$AC$41" display="$AC$41 13" xr:uid="{D1B276D7-C646-4E73-8C06-B49C4D378C90}"/>
    <hyperlink ref="I1577" location="'13'!$AC$46" display="$AC$46 13" xr:uid="{F7DA4E8F-E122-4B2D-8A2F-BB06AEE9817F}"/>
    <hyperlink ref="I1578" location="'13'!$AC$68" display="$AC$68 13" xr:uid="{F3E39AA2-5E50-4443-8170-85128B1616EA}"/>
    <hyperlink ref="I1580" location="'14'!$F$56" display="$F$56 14" xr:uid="{2732CAE4-5E08-4182-A4AA-6BB81D5D2594}"/>
    <hyperlink ref="I1581" location="'14'!$F$61" display="$F$61 14" xr:uid="{7E04325F-873C-407A-BDF3-DE23BE3002CE}"/>
    <hyperlink ref="I1582" location="'14'!$F$63" display="$F$63 14" xr:uid="{1647A182-F317-432A-A633-F5250CA51A31}"/>
    <hyperlink ref="I1583" location="'14'!$F$40" display="$F$40 14" xr:uid="{76BE0F3E-2070-4476-A258-B0D09A04CDF5}"/>
    <hyperlink ref="I1584" location="'14'!$F$24" display="$F$24 14" xr:uid="{D5721E79-0FC2-40C9-BF65-16ACA7EA54E4}"/>
    <hyperlink ref="I1585" location="'14'!$F$55" display="$F$55 14" xr:uid="{83F2AF3D-5788-475E-8C8F-02E6B225B522}"/>
    <hyperlink ref="I1586" location="'14'!$F$47" display="$F$47 14" xr:uid="{DAC65974-571F-476E-B319-180EB1E2DFE3}"/>
    <hyperlink ref="I1589" location="'13'!$Y$78" display="$Y$78 13" xr:uid="{BA490766-3064-4469-A59C-908ABB3D0542}"/>
    <hyperlink ref="I1590" location="'13'!$Y$77" display="$Y$77 13" xr:uid="{8227E2F8-A60A-47F8-BFF1-AB2470717898}"/>
    <hyperlink ref="I1591" location="'14'!$G$43" display="$G$43 14" xr:uid="{45A1C50D-47B6-4FE1-B4C2-2344BCE170AD}"/>
    <hyperlink ref="I1592" location="'14'!$H$67" display="$H$67 14" xr:uid="{9BFB41E3-097F-40E9-8B35-FE9B3087EABE}"/>
    <hyperlink ref="I1593" location="'14'!$L$63" display="$L$63 14" xr:uid="{82F71FF3-AA1C-4770-BFA0-93DC9A522C00}"/>
    <hyperlink ref="I1594" location="'14'!$L$62" display="$L$62 14" xr:uid="{F3C6944D-9838-4E6C-B07E-20A7C78BF6CA}"/>
    <hyperlink ref="I1595" location="'14'!$L$67" display="$L$67 14" xr:uid="{9480AD8D-8883-4670-AE74-2417BF03EEA0}"/>
    <hyperlink ref="I1596" location="'14'!$L$43" display="$L$43 14" xr:uid="{06FBAD9D-0F77-4094-801F-6E68314918DE}"/>
    <hyperlink ref="I1597" location="'14'!$M$41" display="$M$41 14" xr:uid="{28990F31-4CC2-463F-A8FD-C4C1FAE9AF0C}"/>
    <hyperlink ref="I1598" r:id="rId74" location="'14'!$M$41" xr:uid="{11E1BDA4-B507-465F-A885-95ED803AE6EB}"/>
    <hyperlink ref="I1599" location="'14'!$M$43" display="$M$43 14" xr:uid="{9BAD2838-A76E-480F-901C-317A8FC1F295}"/>
    <hyperlink ref="I1600" location="'14'!$M$54" display="$M$54 14" xr:uid="{0C5582E4-8C15-4F4A-821F-3DB06A635322}"/>
    <hyperlink ref="I1602" location="'14'!$N$40" display="$N$40 14" xr:uid="{D4DC5B43-ABC5-4ABE-A82B-EC94B88791D3}"/>
    <hyperlink ref="I1603" location="'14'!$N$77" display="$N$77 14" xr:uid="{D62B7D6B-7F69-4B67-B775-1A722D61EA5D}"/>
    <hyperlink ref="I1604" location="'14'!$N$78" display="$N$78 14" xr:uid="{8452EBBB-B84B-4B64-9352-81B1EEABBF0F}"/>
    <hyperlink ref="I1605" r:id="rId75" location="'14'!$N$40" xr:uid="{B80DF5FB-6F7F-4438-9391-EF52D3F3C003}"/>
    <hyperlink ref="I1606" location="'14'!$N$53" display="$N$53 14" xr:uid="{595FD9A9-A248-44B1-9E7F-D3DB9F3A2F2C}"/>
    <hyperlink ref="I1607" location="'14'!$N$58" display="$N$58 14" xr:uid="{4114327F-543C-4335-B15B-59D9AD8668FC}"/>
    <hyperlink ref="I1608" location="'14'!$O$57" display="$O$57 14" xr:uid="{183AC85A-F8BB-40B9-B4F8-5AD437FFD7C7}"/>
    <hyperlink ref="I1609" location="'14'!$O$44" display="$O$44 14" xr:uid="{BB8C9DF6-2CE0-45F0-B039-B75F31E436CC}"/>
    <hyperlink ref="I1610" location="'14'!$O$56" display="$O$56 14" xr:uid="{4D895DFC-AF8D-4FD4-B755-28F34868AC68}"/>
    <hyperlink ref="I1611" location="'14'!$O$48" display="$O$48 14" xr:uid="{2AE2EC71-9D5D-4E48-BCF6-848B433EC0E3}"/>
    <hyperlink ref="I1612" location="'14'!$O$46" display="$O$46 14" xr:uid="{30619075-634D-40B8-B368-9E7053DC7B08}"/>
    <hyperlink ref="I1613" location="'14'!$O$68" display="$O$68 14" xr:uid="{B4AD5A93-55F5-4920-8FF8-7738C66E49E5}"/>
    <hyperlink ref="I1614" location="'14'!$O$53" display="$O$53 14" xr:uid="{FD308B06-2D78-4616-AFF5-31DFD28CFC80}"/>
    <hyperlink ref="I1615" location="'14'!$O$58" display="$O$58 14" xr:uid="{AE2C1548-8C54-4294-BEC5-94C6B07FC6F2}"/>
    <hyperlink ref="I1618" location="'14'!$O$14" display="$O$14 14" xr:uid="{9BA6A1B2-5D49-429E-8ADB-088435D8CA37}"/>
    <hyperlink ref="I1619" r:id="rId76" location="'14'!$O$14" xr:uid="{C0B19077-1DBD-4477-AA17-60EE701E5189}"/>
    <hyperlink ref="I1620" location="'14'!$P$49" display="$P$49 14" xr:uid="{EBD7D5A9-7A2E-4214-905A-613B30379489}"/>
    <hyperlink ref="I1621" r:id="rId77" location="'14'!$P$49" xr:uid="{5BA82977-BB38-4107-AD3A-BA01D50D108A}"/>
    <hyperlink ref="I1622" location="'14'!$P$55" display="$P$55 14" xr:uid="{35BE8E21-1CB5-47AA-8FEE-1EE985FFBCEF}"/>
    <hyperlink ref="I1623" location="'14'!$P$47" display="$P$47 14" xr:uid="{079AE2F9-C5FD-4B69-9A28-50A28FAB0CD7}"/>
    <hyperlink ref="I1624" location="'14'!$P$54" display="$P$54 14" xr:uid="{33B2E1D2-BC82-4C7C-A1F3-D47136FE75EC}"/>
    <hyperlink ref="I1625" location="'14'!$P$53" display="$P$53 14" xr:uid="{B92818DF-5521-4E6A-9447-6308FDA8C672}"/>
    <hyperlink ref="I1626" location="'14'!$P$58" display="$P$58 14" xr:uid="{7FAEFB3B-DDD7-4CD0-A042-5461C2E87E00}"/>
    <hyperlink ref="I1627" location="'14'!$P$57" display="$P$57 14" xr:uid="{B418B68D-597E-4FC7-821C-0CD668D316E3}"/>
    <hyperlink ref="I1628" location="'14'!$Q$24" display="$Q$24 14" xr:uid="{C0148D7C-E3BB-4AB8-AF80-CA03A0F374BD}"/>
    <hyperlink ref="I1629" r:id="rId78" location="'14'!$Q$24" xr:uid="{2849B121-1AFA-4669-8AB4-3C1BA8CE5512}"/>
    <hyperlink ref="I1630" location="'14'!$Q$56" display="$Q$56 14" xr:uid="{C4615930-D165-4942-BB57-268F6B870F49}"/>
    <hyperlink ref="I1631" location="'14'!$Q$48" display="$Q$48 14" xr:uid="{645054BF-814F-4E9A-A667-5BBE89B0C5F4}"/>
    <hyperlink ref="I1632" location="'14'!$Q$46" display="$Q$46 14" xr:uid="{53C4A864-72FF-4403-A253-A359171E72DF}"/>
    <hyperlink ref="I1633" location="'14'!$Q$44" display="$Q$44 14" xr:uid="{5E60C9D2-4E72-4C9D-92D8-0ED718A59E6A}"/>
    <hyperlink ref="I1634" location="'14'!$R$52" display="$R$52 14" xr:uid="{B42A088E-21D8-47EE-97EF-30947BB33E59}"/>
    <hyperlink ref="I1635" location="'14'!$R$46" display="$R$46 14" xr:uid="{7EEAFDC7-AE4C-4D4D-B887-6247ECD0D3EE}"/>
    <hyperlink ref="I1636" location="'14'!$R$48" display="$R$48 14" xr:uid="{16288311-6DBC-4C19-A2B5-1D3F8DFCC23C}"/>
    <hyperlink ref="I1637" location="'14'!$R$56" display="$R$56 14" xr:uid="{F4C995BD-DCB2-42B1-8632-574AA55EF4E9}"/>
    <hyperlink ref="I1638" location="'14'!$R$49" display="$R$49 14" xr:uid="{4AD0E12B-D63F-4BEE-A3D1-557219DFD01B}"/>
    <hyperlink ref="I1639" location="'14'!$R$55" display="$R$55 14" xr:uid="{59E205CC-C62D-40E7-BBAD-31EA4F462518}"/>
    <hyperlink ref="I1640" location="'14'!$R$47" display="$R$47 14" xr:uid="{93837DD3-E1E2-4E0B-A729-D44D4429B8B4}"/>
    <hyperlink ref="I1641" location="'14'!$R$62" display="$R$62 14" xr:uid="{427C7070-BE56-498E-B344-C01FE9CEA490}"/>
    <hyperlink ref="I1642" location="'14'!$R$61" display="$R$61 14" xr:uid="{20009A83-775F-464C-AA6C-8EBDE8A3F367}"/>
    <hyperlink ref="I1643" location="'14'!$R$66" display="$R$66 14" xr:uid="{6C03C27B-60BB-4753-955D-8F61917212A4}"/>
    <hyperlink ref="I1644" location="'14'!$R$24" display="$R$24 14" xr:uid="{4B33D761-51F4-4A6C-AE31-CB011FD9E66C}"/>
    <hyperlink ref="I1645" r:id="rId79" location="'14'!$R$24" xr:uid="{39EDD7B7-D61B-4A4B-AC84-4188AB0D5848}"/>
    <hyperlink ref="I1646" location="'14'!$R$54" display="$R$54 14" xr:uid="{603EE6DD-18D2-4D3C-878E-EC7D2E5C05AF}"/>
    <hyperlink ref="I1647" location="'14'!$R$32" display="$R$32 14" xr:uid="{D8A82AAE-13EB-4F78-9AA2-0B7BB7D4BC86}"/>
    <hyperlink ref="I1648" r:id="rId80" location="'14'!$R$32" xr:uid="{9852E9EF-13F9-45E5-8892-1A6C31947C15}"/>
    <hyperlink ref="I1649" location="'14'!$R$53" display="$R$53 14" xr:uid="{C7179FA1-7AD1-433C-AB53-EAC3B54D3D03}"/>
    <hyperlink ref="I1650" location="'14'!$S$24" display="$S$24 14" xr:uid="{056E8B1C-DFF7-4B97-BE8C-7973C584B1CA}"/>
    <hyperlink ref="I1651" r:id="rId81" location="'14'!$S$24" xr:uid="{96402B90-EE91-4036-AA49-F988A68AAF2A}"/>
    <hyperlink ref="I1652" location="'14'!$S$44" display="$S$44 14" xr:uid="{91B01D10-A70B-4DCF-BB06-20248D6CB87E}"/>
    <hyperlink ref="I1653" location="'14'!$S$57" display="$S$57 14" xr:uid="{28972C37-685F-4D20-9C14-D3FB3E6C513C}"/>
    <hyperlink ref="I1654" location="'14'!$S$56" display="$S$56 14" xr:uid="{37C90EED-3FC3-4F46-B166-2228EB0709BB}"/>
    <hyperlink ref="I1655" location="'14'!$S$48" display="$S$48 14" xr:uid="{A1BCC528-8B08-4380-97CF-370FB9F5AF24}"/>
    <hyperlink ref="I1656" location="'14'!$S$49" display="$S$49 14" xr:uid="{D8DD4470-41D4-4C5C-8943-03DDE09D48C9}"/>
    <hyperlink ref="I1657" location="'14'!$S$55" display="$S$55 14" xr:uid="{EE929080-8C5C-4E5E-832E-E845F7B48AE6}"/>
    <hyperlink ref="I1658" location="'14'!$S$52" display="$S$52 14" xr:uid="{4939F51F-9539-4957-BDC2-FFDC46A47F01}"/>
    <hyperlink ref="I1659" location="'14'!$S$58" display="$S$58 14" xr:uid="{27E085E3-57D9-45F9-910D-8D84CE43AB59}"/>
    <hyperlink ref="I1660" location="'14'!$T$47" display="$T$47 14" xr:uid="{A65D5C08-0E86-4F7E-9964-B6D9D253855F}"/>
    <hyperlink ref="I1661" location="'14'!$U$54" display="$U$54 14" xr:uid="{F7065AA5-E51C-4754-8DE5-3E16A1435F73}"/>
    <hyperlink ref="I1662" location="'14'!$U$46" display="$U$46 14" xr:uid="{FAECCB83-12BF-4A2D-B740-EEC54B124929}"/>
    <hyperlink ref="I1663" location="'14'!$U$49" display="$U$49 14" xr:uid="{ED421810-6A0B-477A-9E4A-C9AF07D412F8}"/>
    <hyperlink ref="I1664" location="'14'!$U$55" display="$U$55 14" xr:uid="{1ACAFF6B-2AF9-43D0-81B6-260EF45C07CC}"/>
    <hyperlink ref="I1665" location="'14'!$U$47" display="$U$47 14" xr:uid="{82FB894F-51DC-4A08-B75B-A2B18C433AA8}"/>
    <hyperlink ref="I1666" location="'14'!$U$53" display="$U$53 14" xr:uid="{E9F1F625-4462-4D2C-BF33-7E7CBEBD0DFC}"/>
    <hyperlink ref="I1667" location="'14'!$V$53" display="$V$53 14" xr:uid="{1ABD29F8-FBF5-477A-8315-495B3CEDFF14}"/>
    <hyperlink ref="I1668" location="'14'!$V$54" display="$V$54 14" xr:uid="{69A6F0D2-D9C9-45D0-A9DD-B8E3CB5A4BA9}"/>
    <hyperlink ref="I1669" location="'14'!$V$40" display="$V$40 14" xr:uid="{9FAAA7A7-9570-400D-BCC2-876D85571844}"/>
    <hyperlink ref="I1670" location="'14'!$W$43" display="$W$43 14" xr:uid="{C13F535A-0505-42C9-881B-55AE7BE32A5B}"/>
    <hyperlink ref="I1671" location="'14'!$W$41" display="$W$41 14" xr:uid="{3A98054D-47F6-4780-9C8C-A77DDD5D846F}"/>
    <hyperlink ref="I1672" location="'14'!$W$66" display="$W$66 14" xr:uid="{A5DC75DE-4FE3-498E-BA7A-0551D6E5C08C}"/>
    <hyperlink ref="I1673" location="'14'!$W$29" display="$W$29 14" xr:uid="{A341BEC6-2B66-4D65-9B68-8BCB12057CEB}"/>
    <hyperlink ref="I1674" location="'14'!$X$61" display="$X$61 14" xr:uid="{1FAEB921-5493-4DF4-A254-19929B2901E4}"/>
    <hyperlink ref="I1675" location="'14'!$X$63" display="$X$63 14" xr:uid="{52F6A373-32ED-4994-8907-3AF6670876EB}"/>
    <hyperlink ref="I1676" location="'14'!$Y$78" display="$Y$78 14" xr:uid="{9AF2B1E1-1842-42BE-B37A-08CD240A0DA1}"/>
    <hyperlink ref="I1677" location="'14'!$Y$77" display="$Y$77 14" xr:uid="{10DF61C4-F131-4CE4-8DE5-35CF9F0CE858}"/>
    <hyperlink ref="I1678" location="'14'!$Y$58" display="$Y$58 14" xr:uid="{DCD3D3D0-E099-48F4-A5F1-1DC66D02520D}"/>
    <hyperlink ref="I1679" location="'14'!$Y$52" display="$Y$52 14" xr:uid="{2EF29E60-D0AC-4D93-B276-ED5070E69EC8}"/>
    <hyperlink ref="I1680" location="'14'!$Y$57" display="$Y$57 14" xr:uid="{F11A27AF-FBE4-4396-8D90-7603E2FECD96}"/>
    <hyperlink ref="I1685" location="'14'!$AA$48" display="$AA$48 14" xr:uid="{55EE4889-00C3-4521-B97E-2347004EB9F5}"/>
    <hyperlink ref="I1686" location="'14'!$AA$56" display="$AA$56 14" xr:uid="{7994AEF4-8451-4CDB-8E26-BCD26A01748B}"/>
    <hyperlink ref="I1687" location="'14'!$AA$44" display="$AA$44 14" xr:uid="{F4AB11BE-F857-449B-8F03-C50CDE6B4FA8}"/>
    <hyperlink ref="I1688" location="'14'!$AA$46" display="$AA$46 14" xr:uid="{3C4987C1-BD38-4FB0-97D9-B06D1369C321}"/>
    <hyperlink ref="I1689" location="'14'!$AA$16" display="$AA$16 14" xr:uid="{22A1424D-A5D0-4D1E-8576-2494B7AFFC95}"/>
    <hyperlink ref="I1694" location="'14'!$AB$46" display="$AB$46 14" xr:uid="{A2C40D05-F239-4348-963A-CFF6FA8CD3D6}"/>
    <hyperlink ref="I1695" location="'14'!$AB$29" display="$AB$29 14" xr:uid="{9343F9A1-CF0E-4423-AB83-A8AF9FF5B9E3}"/>
    <hyperlink ref="I1684" location="'14'!$AB$29" display="$AB$29 14" xr:uid="{D7E6D92A-1188-40DA-A5F7-23AC2D7FF3FB}"/>
    <hyperlink ref="I1691" location="'14'!$AB$29" display="$AB$29 14" xr:uid="{885B25C0-6613-4FEA-BEC9-21F03AFAC09C}"/>
    <hyperlink ref="I1696" location="'14'!$AC$13" display="$AC$13 14" xr:uid="{EF0171D7-04D2-4380-90D4-420A77FED090}"/>
    <hyperlink ref="I1697" location="'14'!$AC$49" display="$AC$49 14" xr:uid="{DB283B83-4626-4F90-A5A5-7AC3F2AAC19B}"/>
    <hyperlink ref="I1698" location="'14'!$AC$69" display="$AC$69 14" xr:uid="{501015D9-CED7-4BAA-8FA2-E538E19414DF}"/>
    <hyperlink ref="I1699" location="'15'!$F$27" display="$F$27 15" xr:uid="{361EA094-EE13-470E-B576-042946AA481D}"/>
    <hyperlink ref="I1700" location="'15'!$G$21" display="$G$21 15" xr:uid="{717340ED-096D-4961-B3E7-C59381080F49}"/>
    <hyperlink ref="I1701" location="'15'!$G$63" display="$G$63 15" xr:uid="{23874403-C755-42BE-945F-E076EEF9E3F5}"/>
    <hyperlink ref="I1702" location="'15'!$G$62" display="$G$62 15" xr:uid="{1DF7B989-64DD-482E-8ACD-FDD278285A0B}"/>
    <hyperlink ref="I1703" location="'15'!$I$69" display="$I$69 15" xr:uid="{085EA48F-DC08-4D72-B270-10463C11A92F}"/>
    <hyperlink ref="I1704" location="'15'!$J$62" display="$J$62 15" xr:uid="{3D2A5C25-BB86-4CDE-AC60-0A87AADED476}"/>
    <hyperlink ref="I1705" location="'15'!$J$61" display="$J$61 15" xr:uid="{D54C881F-BCF2-442E-A152-575123117538}"/>
    <hyperlink ref="I1706" location="'15'!$L$16" display="$L$16 15" xr:uid="{F66B2B54-9E15-4527-83A4-ABF4CE4EEC1A}"/>
    <hyperlink ref="I1707" location="'15'!$L$14" display="$L$14 15" xr:uid="{A2B9F6D9-0777-42E5-928C-CB2D0916AC2C}"/>
    <hyperlink ref="I1708" location="'15'!$M$77" display="$M$77 15" xr:uid="{C1300D8A-6BCC-4D58-9490-FA322E908842}"/>
    <hyperlink ref="I1709" location="'15'!$M$78" display="$M$78 15" xr:uid="{BB39254B-9161-4299-B934-4D32D1EA1473}"/>
    <hyperlink ref="I1710" location="'15'!$N$49" display="$N$49 15" xr:uid="{76E4105A-EEEF-462C-81A1-20CBADB214E6}"/>
    <hyperlink ref="I1711" r:id="rId82" location="'15'!$N$49" xr:uid="{F1499A19-8549-4491-84A3-E27B6C14CAAF}"/>
    <hyperlink ref="I1712" location="'15'!$O$55" display="$O$55 15" xr:uid="{891E2B9A-E57D-4F4F-9556-A221BA169804}"/>
    <hyperlink ref="I1713" location="'15'!$O$53" display="$O$53 15" xr:uid="{3853AE86-DA03-4C83-9584-94D7C89C2C56}"/>
    <hyperlink ref="I1714" location="'15'!$O$54" display="$O$54 15" xr:uid="{E10DBE18-2A26-4078-BDAF-58B744B6B49A}"/>
    <hyperlink ref="I1715" location="'15'!$O$21" display="$O$21 15" xr:uid="{F022A5A8-EC3D-4011-8028-C5DE323F9741}"/>
    <hyperlink ref="I1717" location="'15'!$O$49" display="$O$49 15" xr:uid="{8D8C95D4-1010-4DB2-A8F3-9E5F58DEDD33}"/>
    <hyperlink ref="I1718" location="'15'!$O$69" display="$O$69 15" xr:uid="{C9E87EB1-D587-47A1-8950-D3E5575598FE}"/>
    <hyperlink ref="I1720" location="'15'!$P$53" display="$P$53 15" xr:uid="{33DD5C50-5463-48A3-8890-87FADA161B9C}"/>
    <hyperlink ref="I1721" location="'15'!$P$52" display="$P$52 15" xr:uid="{E4B191D0-2D0C-4444-A396-AB07F86500A6}"/>
    <hyperlink ref="I1722" location="'15'!$P$58" display="$P$58 15" xr:uid="{B5FF0952-F26B-4F41-94DD-D0DF3C7C22F0}"/>
    <hyperlink ref="I1723" location="'15'!$P$57" display="$P$57 15" xr:uid="{E393D88A-DAF3-43F0-8344-E796D48C0C4B}"/>
    <hyperlink ref="I1724" location="'15'!$P$27" display="$P$27 15" xr:uid="{2AFFB15F-3B4B-4D2A-ACCE-2F6335B22FAA}"/>
    <hyperlink ref="I1725" location="'15'!$O$47" display="$O$47 15" xr:uid="{8DC140DC-87B6-4E69-9EBD-3AFB2F780F07}"/>
    <hyperlink ref="I1727" location="'15'!$P$74" display="$P$74 15" xr:uid="{8C5E046A-38C3-4A9C-80F5-7A2A80269B47}"/>
    <hyperlink ref="I1728" location="'15'!$Q$44" display="$Q$44 15" xr:uid="{A0D2D0CF-B948-4FEC-B4AF-8688D432D354}"/>
    <hyperlink ref="I1729" location="'15'!$R$54" display="$R$54 15" xr:uid="{9076E169-D930-4B2D-9941-B9349E888DAC}"/>
    <hyperlink ref="I1730" location="'15'!$T$54" display="$T$54 15" xr:uid="{1CB1FDAE-0F2A-4953-A289-D09D1739B823}"/>
    <hyperlink ref="I1731" location="'15'!$T$56" display="$T$56 15" xr:uid="{223237CE-D199-46BD-8FCD-C26D3D66ECE8}"/>
    <hyperlink ref="I1732" location="'15'!$T$45" display="$T$45 15" xr:uid="{5698D231-5A9B-4E7A-B3D5-C51BB0D3DEF9}"/>
    <hyperlink ref="I1733" r:id="rId83" location="'15'!$T$45" xr:uid="{B7D11C35-CE5A-47BD-AAF4-B0C9F8935BF9}"/>
    <hyperlink ref="I1734" location="'15'!$U$14" display="$U$14 15" xr:uid="{CD3DEADA-8294-4BFE-838D-2071FD3B246D}"/>
    <hyperlink ref="I1735" location="'15'!$U$53" display="$U$53 15" xr:uid="{FE4AB000-612A-40D5-B795-D76BECB04AFE}"/>
    <hyperlink ref="I1736" location="'15'!$U$54" display="$U$54 15" xr:uid="{5DA0A314-2404-412E-96D7-213B2949ED6E}"/>
    <hyperlink ref="I1737" location="'15'!$U$52" display="$U$52 15" xr:uid="{C7C424A6-709C-4FF2-BA03-D67ACF043DF3}"/>
    <hyperlink ref="I1738" location="'15'!$U$58" display="$U$58 15" xr:uid="{DD3AA360-9096-4AD5-BFCA-2064CD5C7303}"/>
    <hyperlink ref="I1739" location="'15'!$U$66" display="$U$66 15" xr:uid="{B131830C-A1F6-4B0B-9C01-5BD52D1C8103}"/>
    <hyperlink ref="I1740" location="'15'!$U$44" display="$U$44 15" xr:uid="{38499231-B5B5-46B8-821E-2C412DFB6086}"/>
    <hyperlink ref="I1741" location="'15'!$U$57" display="$U$57 15" xr:uid="{ECCF806A-000E-4305-BE23-9C8473D9AFEE}"/>
    <hyperlink ref="I1742" location="'15'!$U$45" display="$U$45 15" xr:uid="{FA7A6B95-0646-40A5-8A3D-9855340E7667}"/>
    <hyperlink ref="I1743" location="'15'!$U$56" display="$U$56 15" xr:uid="{763168F8-E89A-4B89-84F8-869AE74B7B71}"/>
    <hyperlink ref="I1744" location="'15'!$V$13" display="$V$13 15" xr:uid="{4616B148-E1F0-40A3-B05C-739BE6B837CC}"/>
    <hyperlink ref="I1745" location="'15'!$W$29" display="$W$29 15" xr:uid="{D958AF60-F02F-4F35-A1E1-3D4B5F362E40}"/>
    <hyperlink ref="I1746" location="'15'!$R$61" display="$R$61 15" xr:uid="{C13F3588-C99F-40B5-867B-DA8C8B5A2C10}"/>
    <hyperlink ref="I1747" location="'15'!$R$63" display="$R$63 15" xr:uid="{792B3D67-682F-44A6-B99F-4371AF3494FF}"/>
    <hyperlink ref="I1748" location="'15'!$X$63" display="$X$63 15" xr:uid="{78D6E208-C899-4193-AC15-6D55709805C6}"/>
    <hyperlink ref="I1749" location="'15'!$X$62" display="$X$62 15" xr:uid="{B3384D06-2CC6-4A4D-8500-32741C20B3CA}"/>
    <hyperlink ref="I1750" location="'15'!$Y$78" display="$Y$78 15" xr:uid="{EC3CE518-7FB1-42D2-8B0A-01CB833797C2}"/>
    <hyperlink ref="I1751" location="'15'!$Y$77" display="$Y$77 15" xr:uid="{C24DA277-3A76-42F6-8BAD-215420A16F34}"/>
    <hyperlink ref="I1752" location="'15'!$AB$15" display="$AB$15 15" xr:uid="{BDB70FA4-2B2F-44DE-9B7C-F3C95FF388A9}"/>
    <hyperlink ref="I1753" location="'15'!$AC$68" display="$AC$68 15" xr:uid="{151B8AC1-E908-4CC5-A42E-585756BD80AC}"/>
    <hyperlink ref="I1754" location="'16'!$F$27" display="$F$27 16" xr:uid="{475F3229-6994-43AF-A087-22A4CC3B094D}"/>
    <hyperlink ref="I1755" location="'16'!$G$14" display="$G$14 16" xr:uid="{BE68A09E-E753-4952-BBE6-99A6AD02569C}"/>
    <hyperlink ref="I1756" location="'16'!$G$47" display="$G$47 16" xr:uid="{9F6ED16C-4A9B-49A2-92BD-31C9C3036686}"/>
    <hyperlink ref="I1757" location="'16'!$G$48" display="$G$48 16" xr:uid="{179DDFED-6B85-4FDC-86EF-0332DF4569EE}"/>
    <hyperlink ref="I1758" location="'16'!$G$46" display="$G$46 16" xr:uid="{C31E591F-E942-4B44-9371-4DF7610B4430}"/>
    <hyperlink ref="I1759" location="'16'!$G$49" display="$G$49 16" xr:uid="{D3255FE8-7047-4F80-AEF3-AE2387451A09}"/>
    <hyperlink ref="I1760" location="'16'!$G$55" display="$G$55 16" xr:uid="{3D94FD8A-137E-4574-8AF4-6BD3D3AB08E5}"/>
    <hyperlink ref="I1766" location="'16'!$G$21" display="$G$21 16" xr:uid="{CEB32CDB-2AA8-4BEA-AE36-A6D08C079D5C}"/>
    <hyperlink ref="I1767" location="'16'!$H$67" display="$H$67 16" xr:uid="{9D09BEF0-084E-420F-993C-01100622FCF4}"/>
    <hyperlink ref="I1768" location="'16'!$L$66" display="$L$66 16" xr:uid="{F52E688D-77D1-45C5-BF5E-36E4F5C075FE}"/>
    <hyperlink ref="I1769" location="'16'!$L$69" display="$L$69 16" xr:uid="{75C8CAF2-9F5F-4D7E-868D-BF1B8D5BE310}"/>
    <hyperlink ref="I1770" location="'16'!$L$70" display="$L$70 16" xr:uid="{33F185DA-4CD2-426C-A9F8-86B3916A436D}"/>
    <hyperlink ref="I1771" location="'16'!$L$71" display="$L$71 16" xr:uid="{DB42AFDF-1293-4EB8-975B-63E234DD3519}"/>
    <hyperlink ref="I1772" location="'16'!$L$74" display="$L$74 16" xr:uid="{55505903-49C6-4582-B0DF-BFA9E51AB65E}"/>
    <hyperlink ref="I1773" location="'16'!$M$53" display="$M$53 16" xr:uid="{66DCA51D-DCCC-43E6-925D-72BD15E969A1}"/>
    <hyperlink ref="I1775" location="'16'!$M$67" display="$M$67 16" xr:uid="{44D49FFA-81EF-45FE-8908-9AEBC9D04E38}"/>
    <hyperlink ref="I1776" location="'16'!$M$69" display="$M$69 16" xr:uid="{C5A7BEF9-9989-4077-A6BF-6BA6C2893E5A}"/>
    <hyperlink ref="I1777" location="'16'!$M$70" display="$M$70 16" xr:uid="{D137E13A-81ED-4728-A9E5-14B722E5A487}"/>
    <hyperlink ref="I1778" location="'16'!$M$71" display="$M$71 16" xr:uid="{AA29105C-B113-453F-ABD8-1184F009D40A}"/>
    <hyperlink ref="I1779" location="'16'!$N$68" display="$N$68 16" xr:uid="{4AE741F0-351D-40F3-9FFF-37745C8ED62F}"/>
    <hyperlink ref="I1780" location="'16'!$N$54" display="$N$54 16" xr:uid="{178123CC-743E-4FCD-A477-F178F644C624}"/>
    <hyperlink ref="I1781" location="'16'!$N$15" display="$N$15 16" xr:uid="{831EBF1C-E9E5-477E-BB7D-F13437827659}"/>
    <hyperlink ref="I1782" location="'16'!$N$52" display="$N$52 16" xr:uid="{B46C0A4B-BEEE-49B5-9A27-17341E2741FD}"/>
    <hyperlink ref="I1783" location="'16'!$N$13" display="$N$13 16" xr:uid="{889C660B-FCFC-47EC-B231-B45E9A2631DC}"/>
    <hyperlink ref="I1784" location="'16'!$O$77" display="$O$77 16" xr:uid="{8E4F94E2-FFC6-46F2-8953-50E0ABD097AB}"/>
    <hyperlink ref="I1785" location="'16'!$O$78" display="$O$78 16" xr:uid="{886DB543-9546-4762-AA80-DC63BD0F67B2}"/>
    <hyperlink ref="I1786" location="'16'!$O$58" display="$O$58 16" xr:uid="{1C3E1F6F-6E41-4F61-BB7E-D63CD1786C04}"/>
    <hyperlink ref="I1787" location="'16'!$O$57" display="$O$57 16" xr:uid="{014731FC-0AF2-419C-8D61-23722A2B1517}"/>
    <hyperlink ref="I1788" location="'16'!$P$62" display="$P$62 16" xr:uid="{B4793745-2734-4538-99A5-2D76ADE7560F}"/>
    <hyperlink ref="I1789" location="'16'!$P$61" display="$P$61 16" xr:uid="{A1C36C9A-97C9-42F5-A7AC-364E266FC3DD}"/>
    <hyperlink ref="I1790" location="'16'!$P$74" display="$P$74 16" xr:uid="{D0B99BBE-515D-4CC1-8F79-D791213BC7F0}"/>
    <hyperlink ref="I1791" location="'16'!$P$44" display="$P$44 16" xr:uid="{6B0ED295-D519-4229-8524-4A9D9B6E3F93}"/>
    <hyperlink ref="I1792" location="'16'!$Q$14" display="$Q$14 16" xr:uid="{D12B70F8-006B-4807-9F9E-859C59F54AD1}"/>
    <hyperlink ref="I1793" location="'16'!$Q$56" display="$Q$56 16" xr:uid="{9BB50C49-7231-42B0-B9B3-A556F0383E98}"/>
    <hyperlink ref="I1794" location="'16'!$Q$48" display="$Q$48 16" xr:uid="{5BCC699A-AE94-44A0-927A-3108EEBEE645}"/>
    <hyperlink ref="I1795" location="'16'!$Q$45" display="$Q$45 16" xr:uid="{77F42395-B942-4ACE-9155-3CD7B4D815A5}"/>
    <hyperlink ref="I1796" location="'16'!$Q$46" display="$Q$46 16" xr:uid="{0478FCC0-D4DA-4662-8D75-48EA8F40DDC2}"/>
    <hyperlink ref="I1797" location="'16'!$Q$54" display="$Q$54 16" xr:uid="{114897E5-3E19-42EE-905E-A248E6797FF6}"/>
    <hyperlink ref="I1798" location="'16'!$Q$52" display="$Q$52 16" xr:uid="{D14C3B9C-0038-4A49-BF07-6711B509FBD9}"/>
    <hyperlink ref="I1799" location="'16'!$Q$53" display="$Q$53 16" xr:uid="{56401EDB-22B4-4274-B450-31C6178652D8}"/>
    <hyperlink ref="I1800" location="'16'!$Q$57" display="$Q$57 16" xr:uid="{B5134DAB-B788-4EB7-B89F-6F33CFA4ACD4}"/>
    <hyperlink ref="I1801" location="'16'!$Q$58" display="$Q$58 16" xr:uid="{E4EAA9D5-4604-4469-B569-24B5B8348298}"/>
    <hyperlink ref="I1802" location="'16'!$R$13" display="$R$13 16" xr:uid="{A084ADC0-EF8F-4899-98DD-C887A0949A45}"/>
    <hyperlink ref="I1803" location="'16'!$R$44" display="$R$44 16" xr:uid="{2C517AAD-CD78-479C-A0C2-3822F5D46AAA}"/>
    <hyperlink ref="I1804" location="'16'!$R$56" display="$R$56 16" xr:uid="{BA53C805-722F-4A3E-A2DF-DABD04A6374E}"/>
    <hyperlink ref="I1805" location="'16'!$R$45" display="$R$45 16" xr:uid="{AAE5C99A-D1DB-47AD-99AE-5F9E5629D49D}"/>
    <hyperlink ref="I1806" location="'16'!$R$48" display="$R$48 16" xr:uid="{7DA3CC51-43FE-4874-B369-FB478717CFB3}"/>
    <hyperlink ref="I1807" location="'16'!$R$46" display="$R$46 16" xr:uid="{D527EA95-AA55-41FB-A49A-EE96C731E83D}"/>
    <hyperlink ref="I1808" location="'16'!$U$69" display="$U$69 16" xr:uid="{25DEDC54-A8EC-46FB-AA33-D825F977BE43}"/>
    <hyperlink ref="I1809" location="'16'!$W$14" display="$W$14 16" xr:uid="{370F977C-D787-4D0B-8F6F-3D53E6931C13}"/>
    <hyperlink ref="I1810" location="'16'!$W$21" display="$W$21 16" xr:uid="{7F91FEAE-8993-42E0-9145-93408D28B7EB}"/>
    <hyperlink ref="I1811" location="'16'!$W$29" display="$W$29 16" xr:uid="{5C267FD0-C5B8-467C-AFA7-A21BC5370733}"/>
    <hyperlink ref="I1812" location="'16'!$W$27" display="$W$27 16" xr:uid="{8176FCDE-9B4E-4468-9823-AF6DA136A457}"/>
    <hyperlink ref="I1813" location="'16'!$X$13" display="$X$13 16" xr:uid="{43001714-C0A7-4E7C-8C9F-A971C03D74DA}"/>
    <hyperlink ref="I1814" location="'16'!$X$49" display="$X$49 16" xr:uid="{B0D3D0B6-B5B5-4CBA-8385-B81C3A07720E}"/>
    <hyperlink ref="I1815" location="'16'!$X$55" display="$X$55 16" xr:uid="{2E8A653C-EF54-42F3-834F-50F59B7BD1B9}"/>
    <hyperlink ref="I1816" location="'16'!$X$47" display="$X$47 16" xr:uid="{497F46DF-F312-47DD-B976-A359433961DE}"/>
    <hyperlink ref="I1817" location="'16'!$X$14" display="$X$14 16" xr:uid="{257EFCEE-6D8E-4A52-908F-BEDC4FC08E48}"/>
    <hyperlink ref="I1818" location="'16'!$Y$54" display="$Y$54 16" xr:uid="{292CECE0-43E6-4698-941F-9F2CA9716C3A}"/>
    <hyperlink ref="I1819" location="'16'!$Y$53" display="$Y$53 16" xr:uid="{75AEE1CC-BA58-4D7D-9D3E-71BB28CCF8D6}"/>
    <hyperlink ref="I1820" location="'16'!$Y$69" display="$Y$69 16" xr:uid="{5046BA1A-876B-43F5-AFC8-E67BBB948C8B}"/>
    <hyperlink ref="I1821" location="'16'!$Y$57" display="$Y$57 16" xr:uid="{BD97CCFD-4535-404A-BD08-7C7D21B33174}"/>
    <hyperlink ref="I1822" location="'16'!$Y$14" display="$Y$14 16" xr:uid="{27AF3259-7A20-4CE3-BF47-1CDAB510CAFD}"/>
    <hyperlink ref="I1823" location="'16'!$Y$44" display="$Y$44 16" xr:uid="{7ABFFEE3-956A-47D5-AAFC-444E947B2113}"/>
    <hyperlink ref="I1824" location="'16'!$Z$49" display="$Z$49 16" xr:uid="{5419FBC1-D830-4777-BCB5-5E435FEF537F}"/>
    <hyperlink ref="I1825" location="'16'!$Z$55" display="$Z$55 16" xr:uid="{13DC7D19-2C4A-41D3-BF3E-49E387BF1EA2}"/>
    <hyperlink ref="I1826" location="'16'!$Z$78" display="$Z$78 16" xr:uid="{C1BE9624-9CC2-4659-9A0B-622521AF1BAE}"/>
    <hyperlink ref="I1827" location="'16'!$Z$77" display="$Z$77 16" xr:uid="{2D72AC11-1031-4F1C-A287-5075C237FE87}"/>
    <hyperlink ref="I1828" location="'16'!$Z$47" display="$Z$47 16" xr:uid="{D73138F8-106D-4B1D-AB9A-7A63ABE4FC0C}"/>
    <hyperlink ref="I1829" location="'16'!$AA$54" display="$AA$54 16" xr:uid="{AF60E1AB-4E35-4577-BE7F-479CF23B926A}"/>
    <hyperlink ref="I1830" location="'16'!$AB$53" display="$AB$53 16" xr:uid="{9F06C1C4-CDD8-42AB-9241-4782366F3A3B}"/>
    <hyperlink ref="I1831" location="'16'!$AB$57" display="$AB$57 16" xr:uid="{FB5C02D6-CC69-41A7-967A-CA661571E81C}"/>
    <hyperlink ref="I1832" location="'16'!$AB$44" display="$AB$44 16" xr:uid="{4EA2479E-A349-4580-B406-9DA8394651CF}"/>
    <hyperlink ref="I1833" location="'16'!$AC$24" display="$AC$24 16" xr:uid="{670542BC-FE23-4B0E-81A1-BF16BA39A948}"/>
    <hyperlink ref="I1834" location="'16'!$AC$48" display="$AC$48 16" xr:uid="{30C074EA-7BDA-4659-986B-422F3EE2FA65}"/>
    <hyperlink ref="I1835" location="'16'!$AC$56" display="$AC$56 16" xr:uid="{05E1768C-0F6F-46E2-88FB-C099484F0220}"/>
    <hyperlink ref="I1836" location="'16'!$AC$56" display="$AC$56 16" xr:uid="{814BA960-DCB0-4C6F-8BA2-49CA2C8FA23C}"/>
    <hyperlink ref="I1838" location="'16'!$AC$69" display="$AC$69 16" xr:uid="{C80C88D2-B2CC-499E-964B-99FB453C5791}"/>
    <hyperlink ref="I1839" location="'17'!$I$13" display="$I$13 17" xr:uid="{1CFC6ADB-1E5D-4733-B31C-E8F9BEA74A40}"/>
    <hyperlink ref="I1840" location="'17'!$F$45" display="$F$45 17" xr:uid="{03FFA977-680C-4E0A-B2F1-6795FEACA662}"/>
    <hyperlink ref="I1841" location="'17'!$F$16" display="$F$16 17" xr:uid="{8ABDE319-0B41-4036-9E90-B68A9E034FB2}"/>
    <hyperlink ref="I1843" location="'16'!$AA$61" display="$AA$61 16" xr:uid="{CB07F171-FDAA-47E0-8F3D-9F25B15E06FF}"/>
    <hyperlink ref="I1844" location="'16'!$AA$63" display="$AA$63 16" xr:uid="{171629EB-1F5A-4AF9-A632-82A73E95616B}"/>
    <hyperlink ref="I1845" location="'17'!$G$61" display="$G$61 17" xr:uid="{50481E95-6445-49DF-A073-0385C9F9808C}"/>
    <hyperlink ref="I1846" location="'17'!$G$63" display="$G$63 17" xr:uid="{DD09C81F-8E26-4BA8-8077-101669E2F987}"/>
    <hyperlink ref="I1847" location="'17'!$G$27" display="$G$27 17" xr:uid="{DEF0C264-5FAD-4DF9-9379-F095D38E27F9}"/>
    <hyperlink ref="I1848" location="'17'!$H$28" display="$H$28 17" xr:uid="{4D73AA96-1C5D-4C6F-999E-587A1867F2A2}"/>
    <hyperlink ref="I1849" location="'17'!$J$68" display="$J$68 17" xr:uid="{98BD522C-CA28-441D-8C8E-EB9963F51BD4}"/>
    <hyperlink ref="I1850" location="'17'!$J$14" display="$J$14 17" xr:uid="{62D432B8-9FBA-4F8B-B9C5-B2D15CFA3A76}"/>
    <hyperlink ref="I1852" location="'17'!$L$28" display="$L$28 17" xr:uid="{A7E0B263-FABC-492E-91E4-3C56F13F2BB2}"/>
    <hyperlink ref="I1853" location="'17'!$L$69" display="$L$69 17" xr:uid="{A92DB94E-A489-439C-B360-FD105423FB3E}"/>
    <hyperlink ref="I1854" location="'17'!$M$46" display="$M$46 17" xr:uid="{6D900D0A-41F8-40CD-A29A-45ABC88A981A}"/>
    <hyperlink ref="I1855" location="'17'!$M$49" display="$M$49 17" xr:uid="{F037FEB9-A58D-494F-A3A8-DDBCD34C876C}"/>
    <hyperlink ref="I1858" location="'17'!$N$77" display="$N$77 17" xr:uid="{60F9E7E4-7E7E-4FCF-A83B-A982B3997417}"/>
    <hyperlink ref="I1859" location="'17'!$N$78" display="$N$78 17" xr:uid="{31FE3A18-37AB-45AC-9529-0CA056EC0277}"/>
    <hyperlink ref="I1860" location="'17'!$N$55" display="$N$55 17" xr:uid="{1B4FB2FF-75FF-4293-B77E-BFEF95268E2D}"/>
    <hyperlink ref="I1861" location="'17'!$O$24" display="$O$24 17" xr:uid="{A2799CD3-A6D4-47C0-8B4E-80AF8AD15F80}"/>
    <hyperlink ref="I1862" location="'17'!$O$47" display="$O$47 17" xr:uid="{5FE814D0-B923-4BA5-832A-E50DB022B370}"/>
    <hyperlink ref="I1864" location="'17'!$O$54" display="$O$54 17" xr:uid="{4024054F-C2DA-46B2-B8FA-00C1E2CB763B}"/>
    <hyperlink ref="I1865" location="'17'!$O$53" display="$O$53 17" xr:uid="{066B98FC-A4C2-45B7-9F5A-3583458C218A}"/>
    <hyperlink ref="I1866" location="'17'!$O$52" display="$O$52 17" xr:uid="{4B0367C3-BB5D-48BB-881A-C0631E8B3845}"/>
    <hyperlink ref="I1867" location="'17'!$O$27" display="$O$27 17" xr:uid="{5A56F8E6-2DAD-4275-B4A7-B78D4DAB5FE0}"/>
    <hyperlink ref="I1868" location="'17'!$O$58" display="$O$58 17" xr:uid="{661A0C78-4486-46D7-8EC0-F20AC7CFC7D5}"/>
    <hyperlink ref="I1869" location="'17'!$O$55" display="$O$55 17" xr:uid="{A78A9D11-DB8C-41D6-8030-49895D34480D}"/>
    <hyperlink ref="I1871" location="'17'!$O$68" display="$O$68 17" xr:uid="{7C0006A7-E822-4C96-B2DC-CEEFAF46B426}"/>
    <hyperlink ref="I1872" location="'17'!$O$14" display="$O$14 17" xr:uid="{D44D7114-0CCE-4880-9865-274354EE9FA3}"/>
    <hyperlink ref="I1875" location="'17'!$P$16" display="$P$16 17" xr:uid="{3814344A-942C-42F1-9AB3-C4A08F0ABF53}"/>
    <hyperlink ref="I1876" location="'17'!$P$52" display="$P$52 17" xr:uid="{0BBF4F06-9E91-41DD-A0DC-C4A38FE67E86}"/>
    <hyperlink ref="I1877" location="'17'!$P$67" display="$P$67 17" xr:uid="{E6B9D173-0E47-4CC2-8544-73640FF5FA65}"/>
    <hyperlink ref="I1878" location="'17'!$P$68" display="$P$68 17" xr:uid="{10B9531B-08A1-457A-8383-78D8CA191460}"/>
    <hyperlink ref="I1879" location="'17'!$P$69" display="$P$69 17" xr:uid="{6FD424BD-1CBB-41C2-AE07-58B1F84D9ED5}"/>
    <hyperlink ref="I1880" location="'17'!$P$70" display="$P$70 17" xr:uid="{0A35C68B-6020-4733-A659-E8D43FEE43BF}"/>
    <hyperlink ref="I1881" location="'17'!$P$71" display="$P$71 17" xr:uid="{A534A216-B15D-4C61-85DC-C674D24C10CF}"/>
    <hyperlink ref="I1882" location="'17'!$P$74" display="$P$74 17" xr:uid="{0CEFE6E1-58BA-4B3C-AD12-0538914245E1}"/>
    <hyperlink ref="I1883" location="'17'!$P$58" display="$P$58 17" xr:uid="{D2A8E6B9-3766-4259-8C39-E0BB9C3D7BC9}"/>
    <hyperlink ref="I1884" location="'17'!$Q$57" display="$Q$57 17" xr:uid="{D5D9EC33-4DAB-4267-B8D8-B60F6CDC39F6}"/>
    <hyperlink ref="I1885" location="'17'!$R$44" display="$R$44 17" xr:uid="{679AEDCD-7B05-490F-884B-3786410427C9}"/>
    <hyperlink ref="I1886" location="'17'!$R$61" display="$R$61 17" xr:uid="{C316C95C-20E5-4FB0-B9A9-BC501392099C}"/>
    <hyperlink ref="I1887" location="'17'!$R$62" display="$R$62 17" xr:uid="{500A2194-E38A-41E7-9AFA-D1FC4349229E}"/>
    <hyperlink ref="I1888" location="'17'!$R$14" display="$R$14 17" xr:uid="{BAD14826-A073-4F4E-BD5B-1AFFADA11B6C}"/>
    <hyperlink ref="I1889" location="'17'!$R$56" display="$R$56 17" xr:uid="{0F7FBAA9-E3B7-4D1F-8CBE-05F38F3EB9EC}"/>
    <hyperlink ref="I1890" location="'17'!$R$16" display="$R$16 17" xr:uid="{3EF7B487-C701-400C-9B11-2EC102C14A3A}"/>
    <hyperlink ref="I1891" location="'17'!$S$57" display="$S$57 17" xr:uid="{0BCA3C96-DFC5-437A-89F0-7D535E98080D}"/>
    <hyperlink ref="I1892" location="'17'!$S$48" display="$S$48 17" xr:uid="{F5466E75-EC65-4A27-9F84-0BC0009E70AF}"/>
    <hyperlink ref="I1893" location="'17'!$S$45" display="$S$45 17" xr:uid="{597E8134-0B1A-4AC0-9B3B-852CFC86414A}"/>
    <hyperlink ref="I1894" location="'17'!$S$46" display="$S$46 17" xr:uid="{8647B4B1-03B9-4682-BE87-6A3691993C69}"/>
    <hyperlink ref="I1895" location="'17'!$T$49" display="$T$49 17" xr:uid="{437A61C1-8654-4D61-96AB-503F63961EC1}"/>
    <hyperlink ref="I1896" location="'17'!$T$44" display="$T$44 17" xr:uid="{6AA1F662-348A-4487-A506-53185FE62793}"/>
    <hyperlink ref="I1897" location="'17'!$T$56" display="$T$56 17" xr:uid="{D51E4B9C-1098-4C2D-84EF-30C8F522ECEC}"/>
    <hyperlink ref="I1898" location="'17'!$T$16" display="$T$16 17" xr:uid="{F8DCBAC1-7D6E-41FB-BFC3-8AFCC87880A6}"/>
    <hyperlink ref="I1899" location="'17'!$U$45" display="$U$45 17" xr:uid="{8574C572-80C6-4CA4-A9FB-15B3BA2DEDC7}"/>
    <hyperlink ref="I1900" location="'17'!$U$48" display="$U$48 17" xr:uid="{EB1B8B1C-CD8A-4ECC-880B-9069279DD064}"/>
    <hyperlink ref="I1901" location="'17'!$U$46" display="$U$46 17" xr:uid="{8C784417-FCF9-4E65-8B97-1F20221C1AFB}"/>
    <hyperlink ref="I1902" location="'17'!$U$49" display="$U$49 17" xr:uid="{03403528-E05B-4AD8-A1F6-09C6333906FE}"/>
    <hyperlink ref="I1903" location="'17'!$W$74" display="$W$74 17" xr:uid="{27288151-E481-4E4E-8257-AC46B2E610F2}"/>
    <hyperlink ref="I1904" location="'17'!$W$71" display="$W$71 17" xr:uid="{EFDAF25D-50BE-4405-B2DE-539259128842}"/>
    <hyperlink ref="I1905" location="'17'!$W$70" display="$W$70 17" xr:uid="{95CCB718-EF2F-443F-9743-61267FFE4076}"/>
    <hyperlink ref="I1906" location="'17'!$W$69" display="$W$69 17" xr:uid="{4B50C7C4-479E-401D-BE14-EE11DA8F2D50}"/>
    <hyperlink ref="I1907" location="'17'!$W$67" display="$W$67 17" xr:uid="{05465206-334E-45FD-9B9C-3ADF7E760A74}"/>
    <hyperlink ref="I1908" location="'17'!$X$62" display="$X$62 17" xr:uid="{0B22A2E3-4EB4-4666-93E6-3C4526D9638F}"/>
    <hyperlink ref="I1909" location="'17'!$X$63" display="$X$63 17" xr:uid="{1BB92B03-DBFC-47EC-B730-85A68A30803F}"/>
    <hyperlink ref="I1910" location="'17'!$X$68" display="$X$68 17" xr:uid="{DE58406F-29B7-4167-B1CD-4144D3FAD3D9}"/>
    <hyperlink ref="I1911" location="'17'!$Y$66" display="$Y$66 17" xr:uid="{AB987C4E-70C8-4996-957E-06548C165CA9}"/>
    <hyperlink ref="I1912" location="'17'!$Y$63" display="$Y$63 17" xr:uid="{8D2A70A1-38C9-46A7-9943-E7F3BFA562ED}"/>
    <hyperlink ref="I1913" location="'17'!$AA$14" display="$AA$14 17" xr:uid="{B362E32E-CD1C-466B-BE5E-ABEAAFD87FC7}"/>
    <hyperlink ref="I1914" location="'17'!$AA$63" display="$AA$63 17" xr:uid="{69AD65DB-6847-4151-A5D1-2B4D20159524}"/>
    <hyperlink ref="I1915" location="'17'!$AA$55" display="$AA$55 17" xr:uid="{5D8C4A86-29E9-4217-8A13-1DF9023CC2E8}"/>
    <hyperlink ref="I1916" location="'17'!$AA$78" display="$AA$78 17" xr:uid="{2E1F487A-1617-4C6E-8C30-9AF526A72E18}"/>
    <hyperlink ref="I1917" location="'17'!$AA$77" display="$AA$77 17" xr:uid="{C154B597-D049-4526-8682-141155980815}"/>
    <hyperlink ref="I1919" location="'17'!$AB$47" display="$AB$47 17" xr:uid="{61905A0F-389F-4700-A261-0AC445E3A3E9}"/>
    <hyperlink ref="I1920" location="'17'!$AB$53" display="$AB$53 17" xr:uid="{9F4C8191-2B1F-4219-B2EB-DB1013192D57}"/>
    <hyperlink ref="I1921" location="'17'!$AB$54" display="$AB$54 17" xr:uid="{84535630-EDA5-4B90-95DA-0C44CF95FB89}"/>
    <hyperlink ref="I1922" location="'17'!$AB$13" display="$AB$13 17" xr:uid="{AC338B20-7E25-4323-841E-AE3E359692C9}"/>
    <hyperlink ref="I1924" location="'17'!$AC$54" display="$AC$54 17" xr:uid="{612B61E2-04F8-4F9F-A250-A97E6096DA88}"/>
    <hyperlink ref="I1925" location="'17'!$AC$66" display="$AC$66 17" xr:uid="{D1E4CBF4-0B6E-4F49-B9B0-46869B647949}"/>
    <hyperlink ref="I1926" location="'17'!$AC$53" display="$AC$53 17" xr:uid="{9A010A0C-1371-4D96-B35C-B24B84956341}"/>
    <hyperlink ref="I1927" location="'18'!$F$24" display="$F$24 18" xr:uid="{B04766FD-8C7A-4C10-9C66-A7A726FEF327}"/>
    <hyperlink ref="I1928" location="'18'!$F$14" display="$F$14 18" xr:uid="{CF4339F2-E2AD-4F1C-AFE5-11475D6AD30A}"/>
    <hyperlink ref="I1929" location="'18'!$F$16" display="$F$16 18" xr:uid="{5F30BE05-B434-4AB7-A151-DC767DAE916B}"/>
    <hyperlink ref="I1930" location="'18'!$G$61" display="$G$61 18" xr:uid="{4EBE1F39-316A-4B45-A33B-949D84C9BDDB}"/>
    <hyperlink ref="I1931" location="'18'!$G$63" display="$G$63 18" xr:uid="{2E373C7E-A618-49F4-B455-EC812D6B1C12}"/>
    <hyperlink ref="I1932" location="'18'!$H$27" display="$H$27 18" xr:uid="{AB94AE73-C160-4B05-BD0F-F654CDAB2E1F}"/>
    <hyperlink ref="I1933" location="'18'!$I$52" display="$I$52 18" xr:uid="{175D9FB1-FFEF-4B4F-9C5F-C8C4651E85E1}"/>
    <hyperlink ref="I1934" location="'18'!$J$52" display="$J$52 18" xr:uid="{989AFFA8-AC91-49DC-8CD4-5AE302609E62}"/>
    <hyperlink ref="I1935" location="'18'!$I$28" display="$I$28 18" xr:uid="{3261EA5F-4E23-469F-9CE2-E7C609CF2278}"/>
    <hyperlink ref="I1936" location="'18'!$J$58" display="$J$58 18" xr:uid="{CAA0C796-8E61-498F-B2DB-E4621F1275E6}"/>
    <hyperlink ref="I1937" location="'18'!$J$57" display="$J$57 18" xr:uid="{D0AD786A-27CC-4569-8D95-E3BF1D386B57}"/>
    <hyperlink ref="I1938" location="'18'!$L$44" display="$L$44 18" xr:uid="{F91F8176-2B50-424E-95E3-AD5DD5AD0D50}"/>
    <hyperlink ref="I1939" location="'18'!$L$61" display="$L$61 18" xr:uid="{AC9F32D3-4EAA-4743-BA71-0D4B453B82F2}"/>
    <hyperlink ref="I1940" location="'18'!$L$62" display="$L$62 18" xr:uid="{A9016313-700C-4133-A68D-3BA3F0BC449E}"/>
    <hyperlink ref="I1941" location="'18'!$L$57" display="$L$57 18" xr:uid="{8CC21D2F-E45A-4215-8268-0AFB2028062A}"/>
    <hyperlink ref="I1942" location="'18'!$L$58" display="$L$58 18" xr:uid="{CF6E3DEF-4CDE-4069-902D-670A4FAF6116}"/>
    <hyperlink ref="I1943" location="'18'!$L$28" display="$L$28 18" xr:uid="{19D83C2B-9E5D-41EF-9F81-283FD3256670}"/>
    <hyperlink ref="I1945" r:id="rId84" location="'18'!$L$57" xr:uid="{3801D500-3683-4F4B-BC25-34CCC7D46890}"/>
    <hyperlink ref="I1946" location="'18'!$M$44" display="$M$44 18" xr:uid="{1EBBF59C-BAC5-4F72-9865-245C255D8845}"/>
    <hyperlink ref="I1947" location="'18'!$M$56" display="$M$56 18" xr:uid="{1D8EFA76-0F80-4305-8DB1-BA7D1D7A7B0D}"/>
    <hyperlink ref="I1948" location="'18'!$M$57" display="$M$57 18" xr:uid="{0A114D00-D542-421F-ABE5-C3217281BC4D}"/>
    <hyperlink ref="I1950" location="'18'!$N$77" display="$N$77 18" xr:uid="{93453D45-B985-48A6-B325-7914FAA9C49F}"/>
    <hyperlink ref="I1951" location="'18'!$N$78" display="$N$78 18" xr:uid="{BE22BA73-A621-400C-9A59-B3EC193C1809}"/>
    <hyperlink ref="I1952" location="'18'!$N$56" display="$N$56 18" xr:uid="{DE236533-3ABC-4515-BA80-FB49CE07F861}"/>
    <hyperlink ref="I1953" location="'18'!$N$48" display="$N$48 18" xr:uid="{C69F8648-9271-4C43-9D6C-B3CFBA1A2380}"/>
    <hyperlink ref="I1954" location="'18'!$N$45" display="$N$45 18" xr:uid="{FE144D33-8D2E-4ADD-B8E1-F8B18D691B2A}"/>
    <hyperlink ref="I1955" location="'18'!$N$46" display="$N$46 18" xr:uid="{575F0216-6CD1-4CAC-918B-5E7D7DE39EBE}"/>
    <hyperlink ref="I1956" location="'18'!$N$49" display="$N$49 18" xr:uid="{8F752468-334D-436C-A43B-FBEF01E7B102}"/>
    <hyperlink ref="I1957" location="'18'!$O$55" display="$O$55 18" xr:uid="{FACA7D06-13E8-4BAD-B66B-E615971A02A6}"/>
    <hyperlink ref="I1958" location="'18'!$O$47" display="$O$47 18" xr:uid="{357A4A43-1180-4802-82FF-D26F8A5B33A7}"/>
    <hyperlink ref="I1959" location="'18'!$O$53" display="$O$53 18" xr:uid="{7569B53B-380A-4803-80DD-922F189CD164}"/>
    <hyperlink ref="I1960" location="'18'!$O$54" display="$O$54 18" xr:uid="{14E5BF59-F77D-4B4C-80DC-5F36C8B6DACD}"/>
    <hyperlink ref="I1961" location="'18'!$O$24" display="$O$24 18" xr:uid="{95A3F8F8-8112-40A9-8068-6281F1F8CDCA}"/>
    <hyperlink ref="I1962" location="'18'!$O$48" display="$O$48 18" xr:uid="{1A8BBAE0-4E4B-4716-97C6-D66A55FAAB3A}"/>
    <hyperlink ref="I1963" location="'18'!$O$45" display="$O$45 18" xr:uid="{AF271E81-A4AC-4FF1-98EF-E6598C11ED78}"/>
    <hyperlink ref="I1964" location="'18'!$O$46" display="$O$46 18" xr:uid="{E7D1D1EE-22A1-4754-9651-170BE484E667}"/>
    <hyperlink ref="I1965" location="'18'!$O$52" display="$O$52 18" xr:uid="{0F1F94B4-C949-4BDD-8A94-0A2359902415}"/>
    <hyperlink ref="I1966" location="'18'!$O$58" display="$O$58 18" xr:uid="{860A39D5-75AE-4DC1-A2BF-7648F9C91E66}"/>
    <hyperlink ref="I1967" location="'18'!$O$57" display="$O$57 18" xr:uid="{7A1F55F6-D6DB-4777-9A55-92C2422457FB}"/>
    <hyperlink ref="I1968" location="'18'!$O$49" display="$O$49 18" xr:uid="{3C48C9E3-C308-49F3-A00D-A0E5FC8793D8}"/>
    <hyperlink ref="I1970" location="'18'!$O$27" display="$O$27 18" xr:uid="{0D50E99C-9B83-42EC-A167-55D7196B7FC2}"/>
    <hyperlink ref="I1976" location="'18'!$O$13" display="$O$13 18" xr:uid="{62E2FF07-E506-4D9F-8ADD-6E2F872899BF}"/>
    <hyperlink ref="I1977" location="'18'!$P$57" display="$P$57 18" xr:uid="{1509F310-5AB0-494E-849B-22C19D97CEA0}"/>
    <hyperlink ref="I1978" location="'18'!$P$66" display="$P$66 18" xr:uid="{9DD62263-02D5-42BC-9F8A-5158E983FD70}"/>
    <hyperlink ref="I1979" location="'18'!$Q$44" display="$Q$44 18" xr:uid="{830586F1-75D8-4B53-AD3A-8DAF8D6D9B52}"/>
    <hyperlink ref="I1980" location="'18'!$Q$16" display="$Q$16 18" xr:uid="{0059D631-5B27-4697-9F46-3FDE0FA20B0B}"/>
    <hyperlink ref="I1981" location="'18'!$Q$66" display="$Q$66 18" xr:uid="{168690F9-A80C-4D51-B606-5F7A0CE0A39B}"/>
    <hyperlink ref="I1982" location="'18'!$Q$56" display="$Q$56 18" xr:uid="{9EF99464-D3CB-4FF7-BA98-13F0322F41D5}"/>
    <hyperlink ref="I1983" location="'18'!$R$48" display="$R$48 18" xr:uid="{87A72164-2B4D-40C2-9407-147520F7D6BF}"/>
    <hyperlink ref="I1984" location="'18'!$R$14" display="$R$14 18" xr:uid="{1FF7E029-93DA-470A-9E36-417C1C38FC8B}"/>
    <hyperlink ref="I1985" location="'18'!$R$44" display="$R$44 18" xr:uid="{D2327973-01F4-4B27-9A96-6F5AA3383877}"/>
    <hyperlink ref="I1986" location="'18'!$R$56" display="$R$56 18" xr:uid="{3D0B77E4-5A70-4D8F-9259-E9D7C7693693}"/>
    <hyperlink ref="I1987" location="'18'!$R$62" display="$R$62 18" xr:uid="{12DC81C5-0EBA-419B-9F67-9F886F041CAB}"/>
    <hyperlink ref="I1988" location="'18'!$R$63" display="$R$63 18" xr:uid="{2C0DE4CF-C20B-4629-9832-55BF3EDA0D92}"/>
    <hyperlink ref="I1989" location="'18'!$S$45" display="$S$45 18" xr:uid="{41C8652C-683E-4A28-B0D7-1DF6B2929792}"/>
    <hyperlink ref="I1990" location="'18'!$T$46" display="$T$46 18" xr:uid="{FA277F8A-9CA6-42D4-94BE-D34FDF728D6C}"/>
    <hyperlink ref="I1991" location="'18'!$T$48" display="$T$48 18" xr:uid="{2C6DA547-6444-4545-B1DF-C96200674C22}"/>
    <hyperlink ref="I1992" location="'18'!$T$49" display="$T$49 18" xr:uid="{291CB6AE-2EA6-4C34-B160-3960DDC6E7E4}"/>
    <hyperlink ref="I1993" location="'18'!$T$14" display="$T$14 18" xr:uid="{18C2DFF8-DF8F-4706-A30C-5793FC92045B}"/>
    <hyperlink ref="I1995" location="'18'!$T$55" display="$T$55 18" xr:uid="{55F14AB3-4DA3-449B-BC53-B782D983B964}"/>
    <hyperlink ref="I1996" location="'18'!$U$13" display="$U$13 18" xr:uid="{8ADB55CB-3BF6-48D2-8783-1B4EE1123057}"/>
    <hyperlink ref="I1997" location="'18'!$U$47" display="$U$47 18" xr:uid="{AF840047-40D1-4307-9E23-7517FEE1A636}"/>
    <hyperlink ref="I1998" location="'18'!$U$66" display="$U$66 18" xr:uid="{8ED035AB-CD65-4649-9462-58A48C3793C3}"/>
    <hyperlink ref="I1999" location="'18'!$V$45" display="$V$45 18" xr:uid="{7A0E9C07-6D94-422A-BCD7-B720D0DABB37}"/>
    <hyperlink ref="I2000" location="'18'!$V$46" display="$V$46 18" xr:uid="{5314431C-2758-4DD5-BD95-A0BA9047F353}"/>
    <hyperlink ref="I2001" location="'18'!$V$66" display="$V$66 18" xr:uid="{BF6213D9-B904-4008-A29D-3CCB74E787FC}"/>
    <hyperlink ref="I2002" location="'18'!$V$13" display="$V$13 18" xr:uid="{117509E5-32B9-4CD8-897D-5540C4A6C789}"/>
    <hyperlink ref="I2003" location="'18'!$V$53" display="$V$53 18" xr:uid="{E493800B-70BD-4E8C-84A1-0449E957D58A}"/>
    <hyperlink ref="I2004" location="'18'!$V$54" display="$V$54 18" xr:uid="{5F6225E2-82D0-4259-9B7F-13AFA285BB94}"/>
    <hyperlink ref="I2005" location="'18'!$W$55" display="$W$55 18" xr:uid="{1CF939B7-4D3D-4E03-A730-9D5A99B80F87}"/>
    <hyperlink ref="I2006" location="'18'!$W$47" display="$W$47 18" xr:uid="{AA1FA12C-AA08-4CC5-A695-8907172A5856}"/>
    <hyperlink ref="I2007" location="'18'!$W$54" display="$W$54 18" xr:uid="{F451D321-CA33-4589-9561-10DA2E5BC883}"/>
    <hyperlink ref="I2008" location="'18'!$W$53" display="$W$53 18" xr:uid="{0DDE5CB5-51EE-4E1E-8413-E1EF783DB927}"/>
    <hyperlink ref="I2009" location="'18'!$Y$66" display="$Y$66 18" xr:uid="{FAADDCBD-9A29-408E-81E5-41E6F8ADD26B}"/>
    <hyperlink ref="I2010" location="'18'!$Y$78" display="$Y$78 18" xr:uid="{7E8187BE-7BFD-4D6B-ADDA-98F2766572E8}"/>
    <hyperlink ref="I2011" location="'18'!$Y$77" display="$Y$77 18" xr:uid="{82A3ACD7-BC23-4A70-89A2-D9435BBF47B2}"/>
    <hyperlink ref="I2012" location="'18'!$W$29" display="$W$29 18" xr:uid="{6D91C3F8-2DFF-49C6-8FCE-11E1C6104496}"/>
    <hyperlink ref="I2014" location="'18'!$Z$29" display="$Z$29 18" xr:uid="{726B6B71-05EE-489B-8D5E-D4CD457F4C6A}"/>
    <hyperlink ref="I2015" location="'18'!$AB$24" display="$AB$24 18" xr:uid="{68EA7803-D5DE-47CC-9909-ED9DF900D931}"/>
    <hyperlink ref="I2016" r:id="rId85" location="'18'!$AB$24" xr:uid="{EAC5DDB0-FBAC-4D05-8D10-4F1DE22BBB39}"/>
    <hyperlink ref="I2017" location="'18'!$AC$69" display="$AC$69 18" xr:uid="{90746EFD-91A9-4202-AE51-4113E143D936}"/>
    <hyperlink ref="I2018" location="'18'!$AC$14" display="$AC$14 18" xr:uid="{D74E9587-AE68-4179-AB66-60EDFC36AA78}"/>
    <hyperlink ref="I2019" location="'18'!$AC$29" display="$AC$29 18" xr:uid="{3CE9D5A2-2030-4AF8-8BD8-423E417939C0}"/>
    <hyperlink ref="I2020" location="'18'!$X$63" display="$X$63 18" xr:uid="{646FCB8A-6E6E-4A72-B6CB-6F02CF67BFEB}"/>
    <hyperlink ref="I2021" location="'18'!$X$61" display="$X$61 18" xr:uid="{45A74BA7-2ACD-4C64-8EAE-32C3879ECCEE}"/>
    <hyperlink ref="I2022" location="'19'!$F$62" display="$F$62 19" xr:uid="{BC82E6BA-0F09-4651-AC68-1859CC58DD22}"/>
    <hyperlink ref="I2023" location="'19'!$F$61" display="$F$61 19" xr:uid="{17BBD68E-9DE6-42C3-98DC-A3290329F243}"/>
    <hyperlink ref="I2024" location="'19'!$F$16" display="$F$16 19" xr:uid="{BFCCE539-0BEA-4CCB-8041-47C41783A602}"/>
    <hyperlink ref="I2025" location="'19'!$F$27" display="$F$27 19" xr:uid="{B3DB4B7E-C8C4-4FDF-BAE0-599C2C260A9D}"/>
    <hyperlink ref="I2026" location="'19'!$F$66" display="$F$66 19" xr:uid="{D48FA619-E9CC-49E5-B973-37BD61787FA8}"/>
    <hyperlink ref="I2027" location="'19'!$L$62" display="$L$62 19" xr:uid="{0DC6D671-34FB-4705-AC97-A7B5AC061487}"/>
    <hyperlink ref="I2028" location="'19'!$L$63" display="$L$63 19" xr:uid="{858B0117-6ED6-408F-96D0-1B556FAE22F4}"/>
    <hyperlink ref="I2029" location="'19'!$L$14" display="$L$14 19" xr:uid="{2B6A302E-A71C-4CAF-8D24-2DAF321231DD}"/>
    <hyperlink ref="I2030" location="'19'!$L$52" display="$L$52 19" xr:uid="{7DB5BCBC-B254-45CE-BAAF-FB66216479BF}"/>
    <hyperlink ref="I2031" location="'19'!$L$24" display="$L$24 19" xr:uid="{C63FC1AB-1CD9-49AD-A43B-BF7F2CD0ED13}"/>
    <hyperlink ref="I2032" location="'19'!$M$57" display="$M$57 19" xr:uid="{BA2A6187-C90D-4621-8249-CFBFE4A2FF1A}"/>
    <hyperlink ref="I2033" location="'19'!$M$14" display="$M$14 19" xr:uid="{213C0D82-9021-4076-AF06-4FE54936962D}"/>
    <hyperlink ref="I2034" location="'19'!$M$69" display="$M$69 19" xr:uid="{A4A3620D-FE81-4A41-974A-3DBCAA4E248C}"/>
    <hyperlink ref="I2035" location="'19'!$M$77" display="$M$77 19" xr:uid="{82A13B73-0BAD-454E-93F6-175CF423299E}"/>
    <hyperlink ref="I2036" location="'19'!$M$78" display="$M$78 19" xr:uid="{53BC9D5C-ADB5-4128-B7E5-B17E4CD02010}"/>
    <hyperlink ref="I2037" location="'19'!$M$45" display="$M$45 19" xr:uid="{EEE96C26-5AD0-49A0-B0B4-FE0440732F7A}"/>
    <hyperlink ref="I2038" location="'19'!$M$56" display="$M$56 19" xr:uid="{0E834A24-DDAB-4DDB-A363-89E48276D725}"/>
    <hyperlink ref="I2039" location="'19'!$M$52" display="$M$52 19" xr:uid="{70639301-E03A-4DAF-B99C-B5490CCD094D}"/>
    <hyperlink ref="I2040" location="'19'!$M$44" display="$M$44 19" xr:uid="{DD32AB68-7530-4228-8613-A47AFEECF5EE}"/>
    <hyperlink ref="I2043" location="'19'!$N$56" display="$N$56 19" xr:uid="{65B5EC5D-63E0-402B-B05A-0C6FBA48227F}"/>
    <hyperlink ref="I2044" location="'19'!$N$45" display="$N$45 19" xr:uid="{2572B6A7-AA67-4C30-B0BB-FC231B2B0973}"/>
    <hyperlink ref="I2045" location="'19'!$N$24" display="$N$24 19" xr:uid="{52D12599-8BCE-49AF-958B-EDD0430D32FB}"/>
    <hyperlink ref="I2046" location="'19'!$O$46" display="$O$46 19" xr:uid="{84B8D739-7D48-42EE-868C-E6D4CB15A4DC}"/>
    <hyperlink ref="I2047" location="'19'!$O$55" display="$O$55 19" xr:uid="{9B6DD43F-9096-4553-AFD4-3E57A4D0B11C}"/>
    <hyperlink ref="I2048" location="'19'!$O$49" display="$O$49 19" xr:uid="{E1FEC55B-5FDC-4D24-9238-EFE6B7F75E99}"/>
    <hyperlink ref="I2049" location="'19'!$O$47" display="$O$47 19" xr:uid="{D59929BA-FABB-4FC3-8691-4DDB39B0590B}"/>
    <hyperlink ref="I2050" location="'19'!$O$53" display="$O$53 19" xr:uid="{F7E663E8-BECE-41EF-B64B-EDDE5CEE0E3C}"/>
    <hyperlink ref="I2051" location="'19'!$O$52" display="$O$52 19" xr:uid="{1FB205DC-49F9-492B-A0C1-9F6497965509}"/>
    <hyperlink ref="I2052" location="'19'!$O$58" display="$O$58 19" xr:uid="{642C820C-D2B8-41B6-8AEC-8F6FF4E834F1}"/>
    <hyperlink ref="I2053" location="'19'!$O$16" display="$O$16 19" xr:uid="{3B60AC8E-FC6E-4C85-AC52-1A0FC70B6A25}"/>
    <hyperlink ref="I2056" location="'19'!$O$27" display="$O$27 19" xr:uid="{A7B73CC4-6E89-40C2-B340-5470954CFD2A}"/>
    <hyperlink ref="I2057" location="'19'!$O$66" display="$O$66 19" xr:uid="{B74C98A3-69A8-4273-8503-44CF84215F9F}"/>
    <hyperlink ref="I2060" location="'19'!$P$52" display="$P$52 19" xr:uid="{FC47A112-A081-4F88-BA71-37CB69237F37}"/>
    <hyperlink ref="I2061" location="'19'!$P$58" display="$P$58 19" xr:uid="{C424B6AC-5CBE-4424-90C6-83F20BDDE01D}"/>
    <hyperlink ref="I2062" location="'19'!$P$66" display="$P$66 19" xr:uid="{8328954B-B19F-473D-9BFE-30BBE6960CC4}"/>
    <hyperlink ref="I2063" location="'19'!$P$53" display="$P$53 19" xr:uid="{3F8623E4-B9D3-420D-BEFB-F3B68477B924}"/>
    <hyperlink ref="I2064" location="'19'!$S$21" display="$S$21 19" xr:uid="{238F9F43-246C-439F-8BC4-DDFA74A0215F}"/>
    <hyperlink ref="I2065" r:id="rId86" location="'19'!$S$21" xr:uid="{F4EB29EF-854E-4322-8A07-22303CE27D75}"/>
    <hyperlink ref="I2066" location="'19'!$S$57" display="$S$57 19" xr:uid="{FD98E165-6ED0-4DEE-B317-950061548E4F}"/>
    <hyperlink ref="I2067" location="'19'!$S$14" display="$S$14 19" xr:uid="{625F9776-CD9B-43C8-B7AA-2378B8431688}"/>
    <hyperlink ref="I2068" location="'19'!$T$21" display="$T$21 19" xr:uid="{42BFEE83-F6A8-4138-8976-FA49D213E6C4}"/>
    <hyperlink ref="I2069" r:id="rId87" location="'19'!$T$21" xr:uid="{FC24FF5F-8E09-4F62-B10B-E15990DD3547}"/>
    <hyperlink ref="I2070" location="'19'!$T$44" display="$T$44 19" xr:uid="{F692CE6B-CE9F-472A-B3B5-B56D7E452C21}"/>
    <hyperlink ref="I2071" location="'19'!$T$16" display="$T$16 19" xr:uid="{CC8ACF00-5C6A-4DC3-8629-A7EB14AEF0D6}"/>
    <hyperlink ref="I2072" r:id="rId88" location="'19'!$T$16" xr:uid="{E2AAC99B-CEC8-441D-8F6C-1731347A94AB}"/>
    <hyperlink ref="I2073" location="'19'!$T$14" display="$T$14 19" xr:uid="{5BF75E87-1376-4529-8670-A10F333288A1}"/>
    <hyperlink ref="I2074" location="'19'!$U$57" display="$U$57 19" xr:uid="{8AABFCC8-2D30-46A8-85AB-B5ECB60494D8}"/>
    <hyperlink ref="I2075" location="'19'!$V$56" display="$V$56 19" xr:uid="{916FDA06-7C7B-414C-931C-AA9B236987A6}"/>
    <hyperlink ref="I2076" location="'19'!$V$45" display="$V$45 19" xr:uid="{9B49220E-2102-4638-99AB-5B374BA9C8F3}"/>
    <hyperlink ref="I2077" location="'19'!$V$46" display="$V$46 19" xr:uid="{988773DA-301A-4F15-8D85-25C5EF38B90A}"/>
    <hyperlink ref="I2078" location="'19'!$V$44" display="$V$44 19" xr:uid="{7E103422-6E43-4104-AB7A-1B17B66FC3FB}"/>
    <hyperlink ref="I2079" location="'19'!$W$56" display="$W$56 19" xr:uid="{85C08B19-D553-4405-BA90-37F4D9AA7B0C}"/>
    <hyperlink ref="I2080" location="'19'!$W$66" display="$W$66 19" xr:uid="{D26646CE-760D-4890-B0B3-6AC7611EEA59}"/>
    <hyperlink ref="I2081" location="'19'!$W$68" display="$W$68 19" xr:uid="{0716D088-FB49-4D26-9B4B-9AE0E541AA44}"/>
    <hyperlink ref="I2082" location="'19'!$W$45" display="$W$45 19" xr:uid="{C4B058AE-9132-4FEB-93E2-1CE75673E596}"/>
    <hyperlink ref="I2083" location="'19'!$W$46" display="$W$46 19" xr:uid="{CDE90C0D-EC43-4061-8C0B-5FABC03050F0}"/>
    <hyperlink ref="I2084" location="'19'!$R$63" display="$R$63 19" xr:uid="{8FB4E5D9-E053-4A90-A71C-DBFD9927ABE2}"/>
    <hyperlink ref="I2085" location="'19'!$R$61" display="$R$61 19" xr:uid="{8D4158E5-A626-4607-8401-D87633574F06}"/>
    <hyperlink ref="I2086" location="'19'!$X$61" display="$X$61 19" xr:uid="{9099E8A2-F17C-425B-908E-24852E7E581A}"/>
    <hyperlink ref="I2087" location="'19'!$X$62" display="$X$62 19" xr:uid="{981C994A-BD6C-44AB-8DC8-271836F9B6CD}"/>
    <hyperlink ref="I2088" location="'19'!$X$69" display="$X$69 19" xr:uid="{21B6DC12-9A6E-4E2F-AB23-089468095D34}"/>
    <hyperlink ref="I2089" location="'19'!$Y$49" display="$Y$49 19" xr:uid="{EBF962C8-FABB-457C-A76F-B06FF6E175FE}"/>
    <hyperlink ref="I2090" location="'19'!$Y$55" display="$Y$55 19" xr:uid="{5BFE36CC-F0EA-471F-9946-6E61FE833B05}"/>
    <hyperlink ref="I2091" location="'19'!$Y$68" display="$Y$68 19" xr:uid="{EBCDF78A-424F-407B-9D59-C3655F23EDBF}"/>
    <hyperlink ref="I2092" location="'19'!$Y$54" display="$Y$54 19" xr:uid="{6B1F4CE8-876C-4254-AEF9-FADC733912C8}"/>
    <hyperlink ref="I2093" location="'19'!$Y$53" display="$Y$53 19" xr:uid="{A5B1B6C8-6234-457A-B83B-D10072BA043B}"/>
    <hyperlink ref="I2094" location="'19'!$Y$69" display="$Y$69 19" xr:uid="{B90EAFA8-DC18-40CD-9739-FA3B1FE6F513}"/>
    <hyperlink ref="I2096" location="'19'!$Y$66" display="$Y$66 19" xr:uid="{51F48CFF-3421-45CA-85CB-4B30B02392B7}"/>
    <hyperlink ref="I2097" location="'19'!$Y$67" display="$Y$67 19" xr:uid="{6B30E1BE-1591-4781-B0B7-C3BCE8498CDE}"/>
    <hyperlink ref="I2100" location="'19'!$Y$70" display="$Y$70 19" xr:uid="{A7CA7568-EFA5-4BD6-9774-19BF523FEE85}"/>
    <hyperlink ref="I2101" location="'19'!$Y$71" display="$Y$71 19" xr:uid="{28B0FA7B-CFD9-423A-9535-56F9FABB0D58}"/>
    <hyperlink ref="I2102" location="'19'!$Y$74" display="$Y$74 19" xr:uid="{5BDFC32F-9BD9-448C-B4A8-73D91BF60C6F}"/>
    <hyperlink ref="I2103" location="'19'!$Z$55" display="$Z$55 19" xr:uid="{A8BEAA8C-E918-43E6-A046-649D312BCE03}"/>
    <hyperlink ref="I2104" location="'19'!$Z$54" display="$Z$54 19" xr:uid="{943230A6-1687-428B-91D6-29BE0DBEC4BF}"/>
    <hyperlink ref="I2105" location="'19'!$Z$67" display="$Z$67 19" xr:uid="{C555C8C9-6589-4185-8DDE-186DE1C412A7}"/>
    <hyperlink ref="I2106" location="'19'!$Z$69" display="$Z$69 19" xr:uid="{5EAB9B5E-698F-4016-8206-8E0CB464E07E}"/>
    <hyperlink ref="I2107" location="'19'!$Z$70" display="$Z$70 19" xr:uid="{17CF6A57-A5C6-4438-A57C-541B03B7BF52}"/>
    <hyperlink ref="I2108" location="'19'!$Z$71" display="$Z$71 19" xr:uid="{932D74A0-08BA-481D-A5F5-89F57D1AEB97}"/>
    <hyperlink ref="I2109" location="'19'!$Z$74" display="$Z$74 19" xr:uid="{1FB82C99-397D-44A3-8DBD-DC4BAFBEDD73}"/>
    <hyperlink ref="I2110" location="'19'!$Z$68" display="$Z$68 19" xr:uid="{0FD17669-81C5-4B73-8CB4-9A73F284B753}"/>
    <hyperlink ref="I2111" location="'19'!$Z$53" display="$Z$53 19" xr:uid="{794098D6-D772-43C0-8E2E-EBF7CC871D87}"/>
    <hyperlink ref="I2112" location="'19'!$AA$56" display="$AA$56 19" xr:uid="{0BD83307-AA7E-4A00-9D09-1C5D60633ACE}"/>
    <hyperlink ref="I2113" location="'19'!$AA$52" display="$AA$52 19" xr:uid="{BC494DD3-AA97-40D7-869A-381110ECFB67}"/>
    <hyperlink ref="I2114" location="'19'!$AA$58" display="$AA$58 19" xr:uid="{2923DBC9-266C-4091-B4E4-67320F667C3B}"/>
    <hyperlink ref="I2115" location="'19'!$AA$44" display="$AA$44 19" xr:uid="{A03AB3B5-ADE4-4A25-B6D0-8ABD80EA6062}"/>
    <hyperlink ref="I2116" location="'19'!$AA$13" display="$AA$13 19" xr:uid="{22E82D67-86B5-4FA4-BC7A-E99946AFCF22}"/>
    <hyperlink ref="I2117" r:id="rId89" location="'19'!$Y$66" xr:uid="{65C4E311-22E3-4081-9F51-D9AE2610F6AF}"/>
    <hyperlink ref="I2118" location="'19'!$AB$52" display="$AB$52 19" xr:uid="{C7D5B6CF-D390-45CC-83E4-D2CA3AF1EF9C}"/>
    <hyperlink ref="I2119" location="'19'!$AB$58" display="$AB$58 19" xr:uid="{B31D7ACE-7A72-4C30-A0CA-88B41F0AF83E}"/>
    <hyperlink ref="I2120" location="'19'!$Y$78" display="$Y$78 19" xr:uid="{0CB5F99B-E54C-4E94-92D5-F0FB91BE3BBF}"/>
    <hyperlink ref="I2121" location="'19'!$Y$77" display="$Y$77 19" xr:uid="{3C8E618D-9819-4C85-818C-61C7A6F939BF}"/>
    <hyperlink ref="I2122" location="'19'!$AB$44" display="$AB$44 19" xr:uid="{F75FDC22-9EC1-4B02-83B0-6ABBD9AC7858}"/>
    <hyperlink ref="I2123" location="'19'!$AB$56" display="$AB$56 19" xr:uid="{EBA6A9A0-C291-4B38-B95E-37D7E0CECA87}"/>
    <hyperlink ref="I2124" location="'19'!$AC$24" display="$AC$24 19" xr:uid="{CC73F32F-B024-4D2D-A283-78AF6C2FCF06}"/>
    <hyperlink ref="I2125" location="'20'!$F$62" display="$F$62 20" xr:uid="{7EA243FF-1D0C-4207-955A-4B2E9F954151}"/>
    <hyperlink ref="I2126" location="'20'!$F$63" display="$F$63 20" xr:uid="{597C1D81-2622-4482-8305-47C70ED07A86}"/>
    <hyperlink ref="I2127" location="'20'!$G$27" display="$G$27 20" xr:uid="{C64EB6C2-90EF-41A5-B318-895BC73F0CF2}"/>
    <hyperlink ref="I2128" location="'20'!$I$28" display="$I$28 20" xr:uid="{D762D6CA-95C0-44AF-BD55-0C2C70279B2E}"/>
    <hyperlink ref="I2129" location="'20'!$J$69" display="$J$69 20" xr:uid="{D9D06630-6565-4660-891B-78C0C165593C}"/>
    <hyperlink ref="I2130" location="'20'!$J$14" display="$J$14 20" xr:uid="{3A7AFF47-9FCE-40A6-AC7E-F832C9B37711}"/>
    <hyperlink ref="I2131" location="'20'!$K$45" display="$K$45 20" xr:uid="{C27F1948-6B4C-412F-9149-FE21BDC557F6}"/>
    <hyperlink ref="I2132" location="'20'!$K$28" display="$K$28 20" xr:uid="{32C164EA-ACDC-406A-AD12-5E9E6151483E}"/>
    <hyperlink ref="I2134" location="'20'!$K$14" display="$K$14 20" xr:uid="{73524957-9D55-4B05-879C-6A4D1784E43C}"/>
    <hyperlink ref="I2135" location="'20'!$M$46" display="$M$46 20" xr:uid="{75041A46-B968-43DD-B21F-2E716877ABFF}"/>
    <hyperlink ref="I2136" location="'20'!$M$77" display="$M$77 20" xr:uid="{250ABE7B-7F6F-4A32-93EB-2C2DBB51B24B}"/>
    <hyperlink ref="I2137" location="'20'!$M$78" display="$M$78 20" xr:uid="{75B3880C-ABB5-45EF-B3BC-87639006F2B9}"/>
    <hyperlink ref="I2138" location="'20'!$M$49" display="$M$49 20" xr:uid="{0C66B4D7-78D4-4058-92DF-53042A68F314}"/>
    <hyperlink ref="I2139" location="'20'!$M$14" display="$M$14 20" xr:uid="{F4D745CF-9657-460E-8A33-9A83593A1799}"/>
    <hyperlink ref="I2140" location="'20'!$M$55" display="$M$55 20" xr:uid="{F08D3911-04BC-4246-8589-76AF85385C3B}"/>
    <hyperlink ref="I2141" location="'20'!$M$47" display="$M$47 20" xr:uid="{5B4CF3E6-47B3-4B64-9E29-6B2B51D326B9}"/>
    <hyperlink ref="I2143" location="'20'!$M$27" display="$M$27 20" xr:uid="{6BFAE417-39A7-4068-8A0A-81959C8D41FD}"/>
    <hyperlink ref="I2147" location="'20'!$N$66" display="$N$66 20" xr:uid="{A7CBE88C-BCA5-4286-9BB5-13870392F546}"/>
    <hyperlink ref="I2148" location="'20'!$N$24" display="$N$24 20" xr:uid="{1E8E469F-8D81-40F8-8CAC-4CEBEFBAA261}"/>
    <hyperlink ref="I2149" location="'20'!$O$53" display="$O$53 20" xr:uid="{C15BD18F-063C-4CA7-BDB9-B4B10511ED24}"/>
    <hyperlink ref="I2150" location="'20'!$O$54" display="$O$54 20" xr:uid="{D75116D8-1DBF-492F-B749-3B21EC5DB441}"/>
    <hyperlink ref="I2151" location="'20'!$O$52" display="$O$52 20" xr:uid="{F2DF4578-0F0B-45F6-96C2-AC8516F6C280}"/>
    <hyperlink ref="I2152" location="'20'!$O$21" display="$O$21 20" xr:uid="{B2325473-41AC-4EDF-9A57-58FF0F237B26}"/>
    <hyperlink ref="I2153" r:id="rId90" location="'20'!$O$21" xr:uid="{83F2BD86-FD8C-4585-B202-9ABF6FEA4BC8}"/>
    <hyperlink ref="I2154" location="'20'!$O$58" display="$O$58 20" xr:uid="{ADA1583B-4E11-4CDF-A079-019BE81B4FF2}"/>
    <hyperlink ref="I2155" location="'20'!$O$44" display="$O$44 20" xr:uid="{451F890F-C27C-4F8A-AC98-74FDB7F61F74}"/>
    <hyperlink ref="I2156" location="'20'!$O$13" display="$O$13 20" xr:uid="{A10BFD31-316F-4ED5-B627-DE0F9C24542D}"/>
    <hyperlink ref="I2157" location="'20'!$O$45" display="$O$45 20" xr:uid="{4956101D-B2FA-4A95-8560-E2C8DE49146E}"/>
    <hyperlink ref="I2158" location="'20'!$O$46" display="$O$46 20" xr:uid="{5029688F-9BA7-4977-B0FE-6ABA64A4BE27}"/>
    <hyperlink ref="I2159" location="'20'!$O$49" display="$O$49 20" xr:uid="{F355091C-DC0D-45B5-9CDB-D3E2E41E0947}"/>
    <hyperlink ref="I2160" location="'20'!$O$55" display="$O$55 20" xr:uid="{7E54E9E9-B20F-495D-BC62-710C47E2EAD6}"/>
    <hyperlink ref="I2161" location="'20'!$O$24" display="$O$24 20" xr:uid="{48E46A38-96A7-4B18-9A72-3C7284C82038}"/>
    <hyperlink ref="I2162" r:id="rId91" location="'20'!$O$24" xr:uid="{1A669A3E-7605-4684-A90C-45D5F346A199}"/>
    <hyperlink ref="I2163" location="'20'!$O$56" display="$O$56 20" xr:uid="{67269029-584A-4C06-A3CA-7009F8F2D963}"/>
    <hyperlink ref="I2168" location="'20'!$P$66" display="$P$66 20" xr:uid="{1E3FC20B-E5A4-4952-9ED4-3948435C3957}"/>
    <hyperlink ref="I2169" location="'20'!$P$67" display="$P$67 20" xr:uid="{E2A87E11-9C3B-4982-ADB2-1DC8B388CC4E}"/>
    <hyperlink ref="I2170" location="'20'!$P$68" display="$P$68 20" xr:uid="{BB1682D2-FBE6-4913-8EA4-B6B4D3A415FB}"/>
    <hyperlink ref="I2171" location="'20'!$P$70" display="$P$70 20" xr:uid="{9EE97931-47C6-4A1C-8A1A-38A229D786FD}"/>
    <hyperlink ref="I2172" location="'20'!$P$71" display="$P$71 20" xr:uid="{33E6DF4B-8821-47B1-9952-2E6A20315BC7}"/>
    <hyperlink ref="I2173" location="'20'!$P$74" display="$P$74 20" xr:uid="{7E41C5D7-FA45-49C3-81DE-BE79788DDFAD}"/>
    <hyperlink ref="I2174" location="'20'!$P$44" display="$P$44 20" xr:uid="{4F70A53E-57EA-4D86-A083-AE016B97CEBE}"/>
    <hyperlink ref="I2175" location="'20'!$P$47" display="$P$47 20" xr:uid="{EDADD0A0-53B3-4142-B1CB-4558B9E7F095}"/>
    <hyperlink ref="I2176" location="'20'!$P$54" display="$P$54 20" xr:uid="{535ADE41-860E-43C2-9C07-0C84B86884DB}"/>
    <hyperlink ref="I2177" location="'20'!$P$53" display="$P$53 20" xr:uid="{6F9FC492-C82E-4F8B-A488-9BDAB8D8CECA}"/>
    <hyperlink ref="I2178" location="'20'!$Q$67" display="$Q$67 20" xr:uid="{195FC154-D58B-4C79-877E-9C613CA8BB71}"/>
    <hyperlink ref="I2179" location="'20'!$Q$69" display="$Q$69 20" xr:uid="{FE3CC96F-4BC5-4744-AE5A-EABBB70137F2}"/>
    <hyperlink ref="I2180" location="'20'!$Q$70" display="$Q$70 20" xr:uid="{063D3BC4-53D8-4AB1-91B2-854F062B55E8}"/>
    <hyperlink ref="I2181" location="'20'!$Q$71" display="$Q$71 20" xr:uid="{CA5EBD28-7EBB-4398-BB23-72AAD4EFA88C}"/>
    <hyperlink ref="I2182" location="'20'!$Q$74" display="$Q$74 20" xr:uid="{AE895E16-E924-4804-A56F-8885F7BEC776}"/>
    <hyperlink ref="I2183" location="'20'!$Q$52" display="$Q$52 20" xr:uid="{07D19DF1-EBC6-497E-9872-2E5F2F203710}"/>
    <hyperlink ref="I2184" location="'20'!$Q$58" display="$Q$58 20" xr:uid="{6007DFC8-811C-4E5D-95C0-CD940FE3B52E}"/>
    <hyperlink ref="I2188" location="'20'!$R$24" display="$R$24 20" xr:uid="{74B6BB6F-65F3-4E09-A79D-9CCBF43DDA70}"/>
    <hyperlink ref="I2189" location="'20'!$R$56" display="$R$56 20" xr:uid="{7569AF63-BDC3-4A31-8F4E-5845CA9CDE2A}"/>
    <hyperlink ref="I2190" location="'20'!$R$45" display="$R$45 20" xr:uid="{970492E1-45BC-4F72-A71D-C65B618E0865}"/>
    <hyperlink ref="I2191" location="'20'!$R$46" display="$R$46 20" xr:uid="{C5168248-A3A5-4408-88E6-1268CB92A05A}"/>
    <hyperlink ref="I2192" location="'20'!$R$49" display="$R$49 20" xr:uid="{9DDABE7F-4506-44C5-9F3F-F9AC0BF92697}"/>
    <hyperlink ref="I2193" location="'20'!$L$63" display="$L$63 20" xr:uid="{D01ECFA3-B1BB-4A8C-9A1E-96775E74354A}"/>
    <hyperlink ref="I2194" location="'20'!$L$61" display="$L$61 20" xr:uid="{CFF4729E-DE59-406E-AD23-DD018AD1FF14}"/>
    <hyperlink ref="I2195" location="'20'!$R$61" display="$R$61 20" xr:uid="{F34A21B8-B2B9-4070-9A96-9BCCCABE6453}"/>
    <hyperlink ref="I2196" location="'20'!$R$62" display="$R$62 20" xr:uid="{EB8FE410-FAEC-4DF1-BCAD-B44A4ABD20FA}"/>
    <hyperlink ref="I2197" location="'20'!$R$55" display="$R$55 20" xr:uid="{F920E986-6CC0-4A99-BEC2-80BA47F61CAA}"/>
    <hyperlink ref="I2198" location="'20'!$R$14" display="$R$14 20" xr:uid="{67840427-C706-49D6-8EC5-BE79353E3BC3}"/>
    <hyperlink ref="I2199" r:id="rId92" location="'20'!$R$14" xr:uid="{D09A6883-82E9-48C6-9FCE-BDC4020E0935}"/>
    <hyperlink ref="I2200" location="'20'!$R$47" display="$R$47 20" xr:uid="{85BCD333-B309-412F-9EF6-68C20E50F83E}"/>
    <hyperlink ref="I2201" location="'20'!$R$74" display="$R$74 20" xr:uid="{88957DC4-C514-446B-8AEB-C032B26A3984}"/>
    <hyperlink ref="I2202" location="'20'!$R$57" display="$R$57 20" xr:uid="{A76F7F33-C6A6-4CC0-80B1-B8FECB929D2D}"/>
    <hyperlink ref="I2203" location="'20'!$S$14" display="$S$14 20" xr:uid="{C4952122-BB34-41F7-944C-161F5AE59F65}"/>
    <hyperlink ref="I2204" r:id="rId93" location="'20'!$S$14" xr:uid="{B41AE849-EDB4-4901-B913-2BBD374E9573}"/>
    <hyperlink ref="I2205" location="'20'!$T$48" display="$T$48 20" xr:uid="{48D1B445-E816-4C43-A6A8-9BFE9FB41B8E}"/>
    <hyperlink ref="I2206" location="'20'!$T$45" display="$T$45 20" xr:uid="{D8440C01-2C8D-4AC4-853B-04BE09DE7DA6}"/>
    <hyperlink ref="I2207" location="'20'!$T$56" display="$T$56 20" xr:uid="{F1CC7CF8-6DC0-49F9-914C-88BC8826D5A3}"/>
    <hyperlink ref="I2208" location="'20'!$T$44" display="$T$44 20" xr:uid="{FE26D096-A4DC-4A3D-A8E3-86FDEF7EB4EF}"/>
    <hyperlink ref="I2209" location="'20'!$T$53" display="$T$53 20" xr:uid="{8E911DF6-0706-41E7-8CF4-DD17A2B5E82A}"/>
    <hyperlink ref="I2210" location="'20'!$T$54" display="$T$54 20" xr:uid="{37449CFC-BD3A-4210-B998-B2D40D3AD099}"/>
    <hyperlink ref="I2213" location="'20'!$T$32" display="$T$32 20" xr:uid="{2EBEBCA5-FC4E-4D6D-9122-A13ECC27199B}"/>
    <hyperlink ref="I2214" r:id="rId94" location="'20'!$T$32" xr:uid="{AE10877F-56AD-4919-A4F7-F8C0F13BE76C}"/>
    <hyperlink ref="I2215" location="'20'!$U$40" display="$U$40 20" xr:uid="{27FA7AF9-221E-41B1-9BE6-644B391F45B1}"/>
    <hyperlink ref="I2216" location="'20'!$U$43" display="$U$43 20" xr:uid="{5D37FC29-13A5-4517-9915-81C9B511BECC}"/>
    <hyperlink ref="I2217" location="'20'!$U$46" display="$U$46 20" xr:uid="{FEC73EF0-F46C-4D45-BC69-56DD0298414C}"/>
    <hyperlink ref="I2218" location="'20'!$U$49" display="$U$49 20" xr:uid="{8B2C4091-7C6F-46E1-94CD-19F068735AD2}"/>
    <hyperlink ref="I2219" location="'20'!$U$45" display="$U$45 20" xr:uid="{AB380DA9-8DF7-47BE-B596-7C10C3138D98}"/>
    <hyperlink ref="I2220" location="'20'!$U$47" display="$U$47 20" xr:uid="{63AA83F0-D1DB-4FB2-B33D-4644414E3F3F}"/>
    <hyperlink ref="I2221" location="'20'!$U$53" display="$U$53 20" xr:uid="{24ABC339-3DF2-48A9-9D8F-40359D598E4B}"/>
    <hyperlink ref="I2222" location="'20'!$U$54" display="$U$54 20" xr:uid="{9F5E424C-2A35-4280-90D4-6030B8AC7C9A}"/>
    <hyperlink ref="I2223" location="'20'!$U$55" display="$U$55 20" xr:uid="{6BBE4E4C-2A2C-4662-839C-0B6AB596BAF6}"/>
    <hyperlink ref="I2224" location="'20'!$U$48" display="$U$48 20" xr:uid="{AD0DAC22-0B7D-40EB-8599-C88AFF057851}"/>
    <hyperlink ref="I2225" location="'20'!$U$39" display="$U$39 20" xr:uid="{138ACD5D-40CE-4FED-BF35-22A402F61F60}"/>
    <hyperlink ref="I2226" location="'20'!$U$41" display="$U$41 20" xr:uid="{41E7641E-41CB-4672-8E9C-893CA5AD38BE}"/>
    <hyperlink ref="I2227" location="'20'!$V$32" display="$V$32 20" xr:uid="{5A383D9F-550D-4F00-A8A5-D5AE930F9B45}"/>
    <hyperlink ref="I2228" location="'20'!$V$48" display="$V$48 20" xr:uid="{868AF52B-843F-4D07-8FD8-8B44523268D1}"/>
    <hyperlink ref="I2229" location="'20'!$V$52" display="$V$52 20" xr:uid="{446F20EF-AF2E-41D9-BA58-9FE8813CCF9B}"/>
    <hyperlink ref="I2230" location="'20'!$V$57" display="$V$57 20" xr:uid="{E7F67513-B376-4F03-AD15-B2A8E306A493}"/>
    <hyperlink ref="I2231" location="'20'!$V$58" display="$V$58 20" xr:uid="{5BAB9A0F-E107-4D10-99F1-C06972CBBF2F}"/>
    <hyperlink ref="I2232" location="'20'!$V$44" display="$V$44 20" xr:uid="{6807A69B-393B-40FE-A8A5-1E8755F94753}"/>
    <hyperlink ref="I2233" location="'20'!$V$56" display="$V$56 20" xr:uid="{8E147420-352E-4181-9C38-509E4733D871}"/>
    <hyperlink ref="I2234" location="'20'!$W$40" display="$W$40 20" xr:uid="{05821DDC-DC48-467C-888F-F3C7C3614091}"/>
    <hyperlink ref="I2235" location="'20'!$W$43" display="$W$43 20" xr:uid="{0E45CF32-891C-4D03-9589-45A4AECA8A81}"/>
    <hyperlink ref="I2236" location="'20'!$W$45" display="$W$45 20" xr:uid="{EC7B20C8-B8F2-4769-82DA-7E735D4117F3}"/>
    <hyperlink ref="I2237" location="'20'!$W$77" display="$W$77 20" xr:uid="{9052BB6A-EF49-44C7-96D5-00F1A47A456A}"/>
    <hyperlink ref="I2238" location="'20'!$X$46" display="$X$46 20" xr:uid="{75A7C9FB-6858-4265-931D-52CDB5615F7E}"/>
    <hyperlink ref="I2239" location="'20'!$X$62" display="$X$62 20" xr:uid="{24C05C3B-604D-441E-84A8-8F2C615D037D}"/>
    <hyperlink ref="I2240" location="'20'!$X$63" display="$X$63 20" xr:uid="{4DE1D98A-02AE-4C9C-823B-864A7C3C7E03}"/>
    <hyperlink ref="I2241" location="'20'!$X$49" display="$X$49 20" xr:uid="{334E9238-2680-41B5-A784-DC90D5ADB07E}"/>
    <hyperlink ref="I2242" location="'20'!$X$55" display="$X$55 20" xr:uid="{E2C5A542-46B3-464D-B046-04D02939C25F}"/>
    <hyperlink ref="I2243" location="'20'!$X$47" display="$X$47 20" xr:uid="{024D23AE-D8CC-474B-9C75-450359F6BE5B}"/>
    <hyperlink ref="I2244" location="'20'!$X$77" display="$X$77 20" xr:uid="{39BE772A-8A5E-4223-A79A-3C89EAC21F58}"/>
    <hyperlink ref="I2245" location="'20'!$X$78" display="$X$78 20" xr:uid="{2F4BB21E-58EA-44BB-B606-38A4E6CA6BF9}"/>
    <hyperlink ref="I2247" location="'20'!$X$67" display="$X$67 20" xr:uid="{80837413-3275-4828-8801-69E5E4B92C20}"/>
    <hyperlink ref="I2248" location="'20'!$X$68" display="$X$68 20" xr:uid="{69BEE5B1-7793-4E17-AF62-296E6C9CFEF4}"/>
    <hyperlink ref="I2249" location="'20'!$Y$52" display="$Y$52 20" xr:uid="{96FE6293-612F-46BD-9248-D858B47CBF45}"/>
    <hyperlink ref="I2250" location="'20'!$Y$58" display="$Y$58 20" xr:uid="{E651EF39-2E8B-4569-89CA-24A2383E3DB0}"/>
    <hyperlink ref="I2251" location="'20'!$Y$68" display="$Y$68 20" xr:uid="{738CFFD2-FBBF-41D1-AA69-C081B641941A}"/>
    <hyperlink ref="I2252" location="'20'!$Y$57" display="$Y$57 20" xr:uid="{7E228771-ECE4-4A50-A31E-0CED50FD0970}"/>
    <hyperlink ref="I2253" location="'20'!$Y$78" display="$Y$78 20" xr:uid="{5DD7C209-5292-40A3-801D-6E5F950AC6E2}"/>
    <hyperlink ref="I2254" location="'20'!$Y$77" display="$Y$77 20" xr:uid="{DA789847-B1C8-43E8-A5E5-B923E73FB06E}"/>
    <hyperlink ref="I2255" location="'20'!$Y$67" display="$Y$67 20" xr:uid="{9D9648E8-43EF-4B17-9026-417DB4E3FD56}"/>
    <hyperlink ref="I2256" location="'20'!$Y$70" display="$Y$70 20" xr:uid="{5D07F291-92D0-48EE-BD35-BA9C537BD536}"/>
    <hyperlink ref="I2257" location="'20'!$Y$71" display="$Y$71 20" xr:uid="{643F43BB-E9A4-4860-A6E6-2DE05DFFC7B8}"/>
    <hyperlink ref="I2258" location="'20'!$Y$74" display="$Y$74 20" xr:uid="{D9C482D8-F1C8-45F0-8D5C-F4990194B899}"/>
    <hyperlink ref="I2259" location="'20'!$Y$44" display="$Y$44 20" xr:uid="{F34C90FA-253C-47FD-A132-00A203B98F96}"/>
    <hyperlink ref="I2260" location="'20'!$Y$54" display="$Y$54 20" xr:uid="{75386603-8AD2-45D9-B102-C3CD02EBB7DB}"/>
    <hyperlink ref="I2261" location="'20'!$Z$74" display="$Z$74 20" xr:uid="{254A9384-6119-43D1-9C04-452436C7BCFD}"/>
    <hyperlink ref="I2262" location="'20'!$Z$71" display="$Z$71 20" xr:uid="{AB688688-B56D-49BC-9C43-5CC92CCABE74}"/>
    <hyperlink ref="I2263" location="'20'!$Z$70" display="$Z$70 20" xr:uid="{9E6F7D44-2874-47FD-ACE8-36EE6163BFBE}"/>
    <hyperlink ref="I2264" location="'20'!$Z$69" display="$Z$69 20" xr:uid="{C00AF0F0-5D35-4E9E-B199-9A53A99C6C3F}"/>
    <hyperlink ref="I2265" location="'20'!$Z$67" display="$Z$67 20" xr:uid="{AD869E74-D2C0-4A7D-B42A-AC92EB1AE11F}"/>
    <hyperlink ref="I2266" location="'20'!$Z$53" display="$Z$53 20" xr:uid="{7568D419-3BDF-417F-A6CB-F0ACA66663BA}"/>
    <hyperlink ref="I2267" location="'20'!$Z$52" display="$Z$52 20" xr:uid="{3D606FE0-9BAB-467D-8481-23BD65C6AEE7}"/>
    <hyperlink ref="I2268" location="'20'!$Z$68" display="$Z$68 20" xr:uid="{AA9A5E69-8052-4332-8CC2-71A7ADB605D7}"/>
    <hyperlink ref="I2269" location="'20'!$Z$66" display="$Z$66 20" xr:uid="{A04ED1A1-B667-4B42-A7DE-BF64E1D0DBCB}"/>
    <hyperlink ref="I2270" location="'20'!$Z$58" display="$Z$58 20" xr:uid="{78F78401-47FA-4FDC-98F0-70F91370EBC4}"/>
    <hyperlink ref="I2271" location="'20'!$Z$57" display="$Z$57 20" xr:uid="{B4F64013-F45F-4E31-B713-7BE65125889A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E50"/>
  <sheetViews>
    <sheetView workbookViewId="0">
      <selection activeCell="E26" sqref="E26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8.28515625" bestFit="1" customWidth="1"/>
    <col min="4" max="4" width="11.140625" bestFit="1" customWidth="1"/>
    <col min="5" max="5" width="11.42578125" bestFit="1" customWidth="1"/>
  </cols>
  <sheetData>
    <row r="1" spans="1:5" x14ac:dyDescent="0.25">
      <c r="A1" s="91" t="s">
        <v>134</v>
      </c>
      <c r="B1" s="170" t="s">
        <v>297</v>
      </c>
      <c r="C1" s="170" t="s">
        <v>298</v>
      </c>
      <c r="D1" s="170" t="s">
        <v>299</v>
      </c>
      <c r="E1" s="170" t="s">
        <v>300</v>
      </c>
    </row>
    <row r="2" spans="1:5" x14ac:dyDescent="0.25">
      <c r="A2" s="37" t="s">
        <v>157</v>
      </c>
      <c r="B2" s="101">
        <f>SUMIFS('GEN SWITCHING LOGS'!$F:$F,'GEN SWITCHING LOGS'!$A:$A,$A2,'GEN SWITCHING LOGS'!$G:$G,"")</f>
        <v>17.427777777782467</v>
      </c>
      <c r="C2" s="101">
        <f>SUMIFS('GEN SWITCHING LOGS'!$F:$F,'GEN SWITCHING LOGS'!$A:$A,$A2,'GEN SWITCHING LOGS'!$G:$G,"CMS")</f>
        <v>2.9784722222248092</v>
      </c>
    </row>
    <row r="3" spans="1:5" x14ac:dyDescent="0.25">
      <c r="A3" s="37" t="s">
        <v>194</v>
      </c>
      <c r="B3" s="101">
        <f>SUMIFS('GEN SWITCHING LOGS'!$F:$F,'GEN SWITCHING LOGS'!$A:$A,$A3,'GEN SWITCHING LOGS'!$G:$G,"")</f>
        <v>11.683333333341579</v>
      </c>
      <c r="C3" s="101">
        <f>SUMIFS('GEN SWITCHING LOGS'!$F:$F,'GEN SWITCHING LOGS'!$A:$A,$A3,'GEN SWITCHING LOGS'!$G:$G,"CMS")</f>
        <v>1.7361111111094942</v>
      </c>
    </row>
    <row r="4" spans="1:5" x14ac:dyDescent="0.25">
      <c r="A4" s="37" t="s">
        <v>158</v>
      </c>
      <c r="B4" s="101">
        <f>SUMIFS('GEN SWITCHING LOGS'!$F:$F,'GEN SWITCHING LOGS'!$A:$A,$A4,'GEN SWITCHING LOGS'!$G:$G,"")</f>
        <v>14.511805555550382</v>
      </c>
      <c r="C4" s="101">
        <f>SUMIFS('GEN SWITCHING LOGS'!$F:$F,'GEN SWITCHING LOGS'!$A:$A,$A4,'GEN SWITCHING LOGS'!$G:$G,"CMS")</f>
        <v>0</v>
      </c>
    </row>
    <row r="5" spans="1:5" x14ac:dyDescent="0.25">
      <c r="A5" s="37" t="s">
        <v>186</v>
      </c>
      <c r="B5" s="101">
        <f>SUMIFS('GEN SWITCHING LOGS'!$F:$F,'GEN SWITCHING LOGS'!$A:$A,$A5,'GEN SWITCHING LOGS'!$G:$G,"")</f>
        <v>16.144444444442343</v>
      </c>
      <c r="C5" s="101">
        <f>SUMIFS('GEN SWITCHING LOGS'!$F:$F,'GEN SWITCHING LOGS'!$A:$A,$A5,'GEN SWITCHING LOGS'!$G:$G,"CMS")</f>
        <v>0</v>
      </c>
    </row>
    <row r="6" spans="1:5" x14ac:dyDescent="0.25">
      <c r="A6" s="37" t="s">
        <v>142</v>
      </c>
      <c r="B6" s="101">
        <f>SUMIFS('GEN SWITCHING LOGS'!$F:$F,'GEN SWITCHING LOGS'!$A:$A,$A6,'GEN SWITCHING LOGS'!$G:$G,"")</f>
        <v>0</v>
      </c>
      <c r="C6" s="101">
        <f>SUMIFS('GEN SWITCHING LOGS'!$F:$F,'GEN SWITCHING LOGS'!$A:$A,$A6,'GEN SWITCHING LOGS'!$G:$G,"CMS")</f>
        <v>0</v>
      </c>
    </row>
    <row r="7" spans="1:5" x14ac:dyDescent="0.25">
      <c r="A7" s="37" t="s">
        <v>301</v>
      </c>
      <c r="B7" s="101">
        <f>SUMIFS('GEN SWITCHING LOGS'!$F:$F,'GEN SWITCHING LOGS'!$A:$A,$A7,'GEN SWITCHING LOGS'!$G:$G,"")</f>
        <v>0</v>
      </c>
      <c r="C7" s="101">
        <f>SUMIFS('GEN SWITCHING LOGS'!$F:$F,'GEN SWITCHING LOGS'!$A:$A,$A7,'GEN SWITCHING LOGS'!$G:$G,"CMS")</f>
        <v>0</v>
      </c>
    </row>
    <row r="8" spans="1:5" x14ac:dyDescent="0.25">
      <c r="A8" s="37" t="s">
        <v>151</v>
      </c>
      <c r="B8" s="101">
        <f>SUMIFS('GEN SWITCHING LOGS'!$F:$F,'GEN SWITCHING LOGS'!$A:$A,$A8,'GEN SWITCHING LOGS'!$G:$G,"")</f>
        <v>14.715972222220444</v>
      </c>
      <c r="C8" s="101">
        <f>SUMIFS('GEN SWITCHING LOGS'!$F:$F,'GEN SWITCHING LOGS'!$A:$A,$A8,'GEN SWITCHING LOGS'!$G:$G,"CMS")</f>
        <v>3.0763888888905058</v>
      </c>
    </row>
    <row r="9" spans="1:5" x14ac:dyDescent="0.25">
      <c r="A9" s="37" t="s">
        <v>175</v>
      </c>
      <c r="B9" s="101">
        <f>SUMIFS('GEN SWITCHING LOGS'!$F:$F,'GEN SWITCHING LOGS'!$A:$A,$A9,'GEN SWITCHING LOGS'!$G:$G,"")</f>
        <v>17.047222222223354</v>
      </c>
      <c r="C9" s="101">
        <f>SUMIFS('GEN SWITCHING LOGS'!$F:$F,'GEN SWITCHING LOGS'!$A:$A,$A9,'GEN SWITCHING LOGS'!$G:$G,"CMS")</f>
        <v>3.2291666666569654</v>
      </c>
    </row>
    <row r="10" spans="1:5" x14ac:dyDescent="0.25">
      <c r="A10" s="37" t="s">
        <v>154</v>
      </c>
      <c r="B10" s="101">
        <f>SUMIFS('GEN SWITCHING LOGS'!$F:$F,'GEN SWITCHING LOGS'!$A:$A,$A10,'GEN SWITCHING LOGS'!$G:$G,"")</f>
        <v>20.779861111121136</v>
      </c>
      <c r="C10" s="101">
        <f>SUMIFS('GEN SWITCHING LOGS'!$F:$F,'GEN SWITCHING LOGS'!$A:$A,$A10,'GEN SWITCHING LOGS'!$G:$G,"CMS")</f>
        <v>0.42708333333575865</v>
      </c>
    </row>
    <row r="11" spans="1:5" x14ac:dyDescent="0.25">
      <c r="A11" s="37" t="s">
        <v>153</v>
      </c>
      <c r="B11" s="101">
        <f>SUMIFS('GEN SWITCHING LOGS'!$F:$F,'GEN SWITCHING LOGS'!$A:$A,$A11,'GEN SWITCHING LOGS'!$G:$G,"")</f>
        <v>16.92013888888323</v>
      </c>
      <c r="C11" s="101">
        <f>SUMIFS('GEN SWITCHING LOGS'!$F:$F,'GEN SWITCHING LOGS'!$A:$A,$A11,'GEN SWITCHING LOGS'!$G:$G,"CMS")</f>
        <v>2.5340277777795563</v>
      </c>
    </row>
    <row r="12" spans="1:5" x14ac:dyDescent="0.25">
      <c r="A12" s="37" t="s">
        <v>150</v>
      </c>
      <c r="B12" s="101">
        <f>SUMIFS('GEN SWITCHING LOGS'!$F:$F,'GEN SWITCHING LOGS'!$A:$A,$A12,'GEN SWITCHING LOGS'!$G:$G,"")</f>
        <v>6.1041666666715173</v>
      </c>
      <c r="C12" s="101">
        <f>SUMIFS('GEN SWITCHING LOGS'!$F:$F,'GEN SWITCHING LOGS'!$A:$A,$A12,'GEN SWITCHING LOGS'!$G:$G,"CMS")</f>
        <v>8.2638888889050577E-2</v>
      </c>
    </row>
    <row r="13" spans="1:5" x14ac:dyDescent="0.25">
      <c r="A13" s="37" t="s">
        <v>149</v>
      </c>
      <c r="B13" s="101">
        <f>SUMIFS('GEN SWITCHING LOGS'!$F:$F,'GEN SWITCHING LOGS'!$A:$A,$A13,'GEN SWITCHING LOGS'!$G:$G,"")</f>
        <v>0</v>
      </c>
      <c r="C13" s="101">
        <f>SUMIFS('GEN SWITCHING LOGS'!$F:$F,'GEN SWITCHING LOGS'!$A:$A,$A13,'GEN SWITCHING LOGS'!$G:$G,"CMS")</f>
        <v>0</v>
      </c>
    </row>
    <row r="14" spans="1:5" x14ac:dyDescent="0.25">
      <c r="A14" s="37" t="s">
        <v>148</v>
      </c>
      <c r="B14" s="101">
        <f>SUMIFS('GEN SWITCHING LOGS'!$F:$F,'GEN SWITCHING LOGS'!$A:$A,$A14,'GEN SWITCHING LOGS'!$G:$G,"")</f>
        <v>0</v>
      </c>
      <c r="C14" s="101">
        <f>SUMIFS('GEN SWITCHING LOGS'!$F:$F,'GEN SWITCHING LOGS'!$A:$A,$A14,'GEN SWITCHING LOGS'!$G:$G,"CMS")</f>
        <v>0</v>
      </c>
    </row>
    <row r="15" spans="1:5" x14ac:dyDescent="0.25">
      <c r="A15" s="37" t="s">
        <v>251</v>
      </c>
      <c r="B15" s="101">
        <f>SUMIFS('GEN SWITCHING LOGS'!$F:$F,'GEN SWITCHING LOGS'!$A:$A,$A15,'GEN SWITCHING LOGS'!$G:$G,"")</f>
        <v>1.9006944444336114</v>
      </c>
      <c r="C15" s="101">
        <f>SUMIFS('GEN SWITCHING LOGS'!$F:$F,'GEN SWITCHING LOGS'!$A:$A,$A15,'GEN SWITCHING LOGS'!$G:$G,"CMS")</f>
        <v>0</v>
      </c>
    </row>
    <row r="16" spans="1:5" x14ac:dyDescent="0.25">
      <c r="A16" s="102" t="s">
        <v>144</v>
      </c>
      <c r="B16" s="101">
        <f>SUMIFS('GEN SWITCHING LOGS'!$F:$F,'GEN SWITCHING LOGS'!$A:$A,$A16,'GEN SWITCHING LOGS'!$G:$G,"")</f>
        <v>6.9000000000087311</v>
      </c>
      <c r="C16" s="101">
        <f>SUMIFS('GEN SWITCHING LOGS'!$F:$F,'GEN SWITCHING LOGS'!$A:$A,$A16,'GEN SWITCHING LOGS'!$G:$G,"CMS")</f>
        <v>0.71666666665987577</v>
      </c>
    </row>
    <row r="17" spans="1:3" x14ac:dyDescent="0.25">
      <c r="A17" s="102" t="s">
        <v>302</v>
      </c>
      <c r="B17" s="101">
        <f>SUMIFS('GEN SWITCHING LOGS'!$F:$F,'GEN SWITCHING LOGS'!$A:$A,$A17,'GEN SWITCHING LOGS'!$G:$G,"")</f>
        <v>4.2791666666744277</v>
      </c>
      <c r="C17" s="101">
        <f>SUMIFS('GEN SWITCHING LOGS'!$F:$F,'GEN SWITCHING LOGS'!$A:$A,$A17,'GEN SWITCHING LOGS'!$G:$G,"CMS")</f>
        <v>0</v>
      </c>
    </row>
    <row r="18" spans="1:3" x14ac:dyDescent="0.25">
      <c r="A18" s="102" t="s">
        <v>252</v>
      </c>
      <c r="B18" s="101">
        <f>SUMIFS('GEN SWITCHING LOGS'!$F:$F,'GEN SWITCHING LOGS'!$A:$A,$A18,'GEN SWITCHING LOGS'!$G:$G,"")</f>
        <v>8.1236111111065838</v>
      </c>
      <c r="C18" s="101">
        <f>SUMIFS('GEN SWITCHING LOGS'!$F:$F,'GEN SWITCHING LOGS'!$A:$A,$A18,'GEN SWITCHING LOGS'!$G:$G,"CMS")</f>
        <v>0</v>
      </c>
    </row>
    <row r="19" spans="1:3" x14ac:dyDescent="0.25">
      <c r="A19" s="102" t="s">
        <v>272</v>
      </c>
      <c r="B19" s="101">
        <f>SUMIFS('GEN SWITCHING LOGS'!$F:$F,'GEN SWITCHING LOGS'!$A:$A,$A19,'GEN SWITCHING LOGS'!$G:$G,"")</f>
        <v>8.3340277777897427</v>
      </c>
      <c r="C19" s="101">
        <f>SUMIFS('GEN SWITCHING LOGS'!$F:$F,'GEN SWITCHING LOGS'!$A:$A,$A19,'GEN SWITCHING LOGS'!$G:$G,"CMS")</f>
        <v>0</v>
      </c>
    </row>
    <row r="20" spans="1:3" x14ac:dyDescent="0.25">
      <c r="A20" s="102" t="s">
        <v>145</v>
      </c>
      <c r="B20" s="101">
        <f>SUMIFS('GEN SWITCHING LOGS'!$F:$F,'GEN SWITCHING LOGS'!$A:$A,$A20,'GEN SWITCHING LOGS'!$G:$G,"")</f>
        <v>0</v>
      </c>
      <c r="C20" s="101">
        <f>SUMIFS('GEN SWITCHING LOGS'!$F:$F,'GEN SWITCHING LOGS'!$A:$A,$A20,'GEN SWITCHING LOGS'!$G:$G,"CMS")</f>
        <v>0</v>
      </c>
    </row>
    <row r="21" spans="1:3" x14ac:dyDescent="0.25">
      <c r="A21" s="102" t="s">
        <v>273</v>
      </c>
      <c r="B21" s="101">
        <f>SUMIFS('GEN SWITCHING LOGS'!$F:$F,'GEN SWITCHING LOGS'!$A:$A,$A21,'GEN SWITCHING LOGS'!$G:$G,"")</f>
        <v>8.2354166666773381</v>
      </c>
      <c r="C21" s="101">
        <f>SUMIFS('GEN SWITCHING LOGS'!$F:$F,'GEN SWITCHING LOGS'!$A:$A,$A21,'GEN SWITCHING LOGS'!$G:$G,"CMS")</f>
        <v>0</v>
      </c>
    </row>
    <row r="22" spans="1:3" x14ac:dyDescent="0.25">
      <c r="A22" s="37" t="s">
        <v>161</v>
      </c>
      <c r="B22" s="101">
        <f>SUMIFS('GEN SWITCHING LOGS'!$F:$F,'GEN SWITCHING LOGS'!$A:$A,$A22,'GEN SWITCHING LOGS'!$G:$G,"")</f>
        <v>6.3923611110949423</v>
      </c>
      <c r="C22" s="101">
        <f>SUMIFS('GEN SWITCHING LOGS'!$F:$F,'GEN SWITCHING LOGS'!$A:$A,$A22,'GEN SWITCHING LOGS'!$G:$G,"CMS")</f>
        <v>0</v>
      </c>
    </row>
    <row r="23" spans="1:3" x14ac:dyDescent="0.25">
      <c r="A23" s="37" t="s">
        <v>163</v>
      </c>
      <c r="B23" s="101">
        <f>SUMIFS('GEN SWITCHING LOGS'!$F:$F,'GEN SWITCHING LOGS'!$A:$A,$A23,'GEN SWITCHING LOGS'!$G:$G,"")</f>
        <v>9.2972222222451819</v>
      </c>
      <c r="C23" s="101">
        <f>SUMIFS('GEN SWITCHING LOGS'!$F:$F,'GEN SWITCHING LOGS'!$A:$A,$A23,'GEN SWITCHING LOGS'!$G:$G,"CMS")</f>
        <v>3.3256944444437977</v>
      </c>
    </row>
    <row r="24" spans="1:3" x14ac:dyDescent="0.25">
      <c r="A24" s="37" t="s">
        <v>164</v>
      </c>
      <c r="B24" s="101">
        <f>SUMIFS('GEN SWITCHING LOGS'!$F:$F,'GEN SWITCHING LOGS'!$A:$A,$A24,'GEN SWITCHING LOGS'!$G:$G,"")</f>
        <v>6.7159722222495475</v>
      </c>
      <c r="C24" s="101">
        <f>SUMIFS('GEN SWITCHING LOGS'!$F:$F,'GEN SWITCHING LOGS'!$A:$A,$A24,'GEN SWITCHING LOGS'!$G:$G,"CMS")</f>
        <v>0</v>
      </c>
    </row>
    <row r="25" spans="1:3" x14ac:dyDescent="0.25">
      <c r="A25" s="37" t="s">
        <v>170</v>
      </c>
      <c r="B25" s="101">
        <f>SUMIFS('GEN SWITCHING LOGS'!$F:$F,'GEN SWITCHING LOGS'!$A:$A,$A25,'GEN SWITCHING LOGS'!$G:$G,"")</f>
        <v>5.9986111111356877</v>
      </c>
      <c r="C25" s="101">
        <f>SUMIFS('GEN SWITCHING LOGS'!$F:$F,'GEN SWITCHING LOGS'!$A:$A,$A25,'GEN SWITCHING LOGS'!$G:$G,"CMS")</f>
        <v>0</v>
      </c>
    </row>
    <row r="26" spans="1:3" x14ac:dyDescent="0.25">
      <c r="A26" s="37" t="s">
        <v>173</v>
      </c>
      <c r="B26" s="101">
        <f>SUMIFS('GEN SWITCHING LOGS'!$F:$F,'GEN SWITCHING LOGS'!$A:$A,$A26,'GEN SWITCHING LOGS'!$G:$G,"")</f>
        <v>5.117361111122591</v>
      </c>
      <c r="C26" s="101">
        <f>SUMIFS('GEN SWITCHING LOGS'!$F:$F,'GEN SWITCHING LOGS'!$A:$A,$A26,'GEN SWITCHING LOGS'!$G:$G,"CMS")</f>
        <v>0</v>
      </c>
    </row>
    <row r="27" spans="1:3" x14ac:dyDescent="0.25">
      <c r="A27" s="37" t="s">
        <v>165</v>
      </c>
      <c r="B27" s="101">
        <f>SUMIFS('GEN SWITCHING LOGS'!$F:$F,'GEN SWITCHING LOGS'!$A:$A,$A27,'GEN SWITCHING LOGS'!$G:$G,"")</f>
        <v>5.4437499999839929</v>
      </c>
      <c r="C27" s="101">
        <f>SUMIFS('GEN SWITCHING LOGS'!$F:$F,'GEN SWITCHING LOGS'!$A:$A,$A27,'GEN SWITCHING LOGS'!$G:$G,"CMS")</f>
        <v>0.8777777777868323</v>
      </c>
    </row>
    <row r="28" spans="1:3" x14ac:dyDescent="0.25">
      <c r="A28" s="37" t="s">
        <v>184</v>
      </c>
      <c r="B28" s="101">
        <f>SUMIFS('GEN SWITCHING LOGS'!$F:$F,'GEN SWITCHING LOGS'!$A:$A,$A28,'GEN SWITCHING LOGS'!$G:$G,"")</f>
        <v>0</v>
      </c>
      <c r="C28" s="101">
        <f>SUMIFS('GEN SWITCHING LOGS'!$F:$F,'GEN SWITCHING LOGS'!$A:$A,$A28,'GEN SWITCHING LOGS'!$G:$G,"CMS")</f>
        <v>0</v>
      </c>
    </row>
    <row r="29" spans="1:3" x14ac:dyDescent="0.25">
      <c r="A29" s="37" t="s">
        <v>176</v>
      </c>
      <c r="B29" s="101">
        <f>SUMIFS('GEN SWITCHING LOGS'!$F:$F,'GEN SWITCHING LOGS'!$A:$A,$A29,'GEN SWITCHING LOGS'!$G:$G,"")</f>
        <v>1.2125000000014552</v>
      </c>
      <c r="C29" s="101">
        <f>SUMIFS('GEN SWITCHING LOGS'!$F:$F,'GEN SWITCHING LOGS'!$A:$A,$A29,'GEN SWITCHING LOGS'!$G:$G,"CMS")</f>
        <v>0</v>
      </c>
    </row>
    <row r="30" spans="1:3" x14ac:dyDescent="0.25">
      <c r="A30" s="23" t="s">
        <v>202</v>
      </c>
      <c r="B30" s="101">
        <f>SUMIFS('GEN SWITCHING LOGS'!$F:$F,'GEN SWITCHING LOGS'!$A:$A,$A30,'GEN SWITCHING LOGS'!$G:$G,"")</f>
        <v>4.6930555555445608</v>
      </c>
      <c r="C30" s="101">
        <f>SUMIFS('GEN SWITCHING LOGS'!$F:$F,'GEN SWITCHING LOGS'!$A:$A,$A30,'GEN SWITCHING LOGS'!$G:$G,"CMS")</f>
        <v>1.4541666666627862</v>
      </c>
    </row>
    <row r="31" spans="1:3" x14ac:dyDescent="0.25">
      <c r="A31" s="37" t="s">
        <v>174</v>
      </c>
      <c r="B31" s="101">
        <f>SUMIFS('GEN SWITCHING LOGS'!$F:$F,'GEN SWITCHING LOGS'!$A:$A,$A31,'GEN SWITCHING LOGS'!$G:$G,"")</f>
        <v>7.7500000000436557</v>
      </c>
      <c r="C31" s="101">
        <f>SUMIFS('GEN SWITCHING LOGS'!$F:$F,'GEN SWITCHING LOGS'!$A:$A,$A31,'GEN SWITCHING LOGS'!$G:$G,"CMS")</f>
        <v>0</v>
      </c>
    </row>
    <row r="32" spans="1:3" x14ac:dyDescent="0.25">
      <c r="A32" s="37" t="s">
        <v>172</v>
      </c>
      <c r="B32" s="101">
        <f>SUMIFS('GEN SWITCHING LOGS'!$F:$F,'GEN SWITCHING LOGS'!$A:$A,$A32,'GEN SWITCHING LOGS'!$G:$G,"")</f>
        <v>6.657638888915244</v>
      </c>
      <c r="C32" s="101">
        <f>SUMIFS('GEN SWITCHING LOGS'!$F:$F,'GEN SWITCHING LOGS'!$A:$A,$A32,'GEN SWITCHING LOGS'!$G:$G,"CMS")</f>
        <v>0</v>
      </c>
    </row>
    <row r="33" spans="1:3" x14ac:dyDescent="0.25">
      <c r="A33" s="37" t="s">
        <v>168</v>
      </c>
      <c r="B33" s="101">
        <f>SUMIFS('GEN SWITCHING LOGS'!$F:$F,'GEN SWITCHING LOGS'!$A:$A,$A33,'GEN SWITCHING LOGS'!$G:$G,"")</f>
        <v>6.5645833333474002</v>
      </c>
      <c r="C33" s="101">
        <f>SUMIFS('GEN SWITCHING LOGS'!$F:$F,'GEN SWITCHING LOGS'!$A:$A,$A33,'GEN SWITCHING LOGS'!$G:$G,"CMS")</f>
        <v>0</v>
      </c>
    </row>
    <row r="34" spans="1:3" x14ac:dyDescent="0.25">
      <c r="A34" s="37" t="s">
        <v>162</v>
      </c>
      <c r="B34" s="101">
        <f>SUMIFS('GEN SWITCHING LOGS'!$F:$F,'GEN SWITCHING LOGS'!$A:$A,$A34,'GEN SWITCHING LOGS'!$G:$G,"")</f>
        <v>6.163888888877409</v>
      </c>
      <c r="C34" s="101">
        <f>SUMIFS('GEN SWITCHING LOGS'!$F:$F,'GEN SWITCHING LOGS'!$A:$A,$A34,'GEN SWITCHING LOGS'!$G:$G,"CMS")</f>
        <v>3.4722222189884633E-3</v>
      </c>
    </row>
    <row r="35" spans="1:3" x14ac:dyDescent="0.25">
      <c r="A35" s="37" t="s">
        <v>178</v>
      </c>
      <c r="B35" s="101">
        <f>SUMIFS('GEN SWITCHING LOGS'!$F:$F,'GEN SWITCHING LOGS'!$A:$A,$A35,'GEN SWITCHING LOGS'!$G:$G,"")</f>
        <v>7.9041666666453239</v>
      </c>
      <c r="C35" s="101">
        <f>SUMIFS('GEN SWITCHING LOGS'!$F:$F,'GEN SWITCHING LOGS'!$A:$A,$A35,'GEN SWITCHING LOGS'!$G:$G,"CMS")</f>
        <v>0</v>
      </c>
    </row>
    <row r="36" spans="1:3" x14ac:dyDescent="0.25">
      <c r="A36" s="37" t="s">
        <v>177</v>
      </c>
      <c r="B36" s="101">
        <f>SUMIFS('GEN SWITCHING LOGS'!$F:$F,'GEN SWITCHING LOGS'!$A:$A,$A36,'GEN SWITCHING LOGS'!$G:$G,"")</f>
        <v>7.2861111110978527</v>
      </c>
      <c r="C36" s="101">
        <f>SUMIFS('GEN SWITCHING LOGS'!$F:$F,'GEN SWITCHING LOGS'!$A:$A,$A36,'GEN SWITCHING LOGS'!$G:$G,"CMS")</f>
        <v>0</v>
      </c>
    </row>
    <row r="37" spans="1:3" x14ac:dyDescent="0.25">
      <c r="A37" s="37" t="s">
        <v>155</v>
      </c>
      <c r="B37" s="101">
        <f>SUMIFS('GEN SWITCHING LOGS'!$F:$F,'GEN SWITCHING LOGS'!$A:$A,$A37,'GEN SWITCHING LOGS'!$G:$G,"")</f>
        <v>12.964583333377959</v>
      </c>
      <c r="C37" s="101">
        <f>SUMIFS('GEN SWITCHING LOGS'!$F:$F,'GEN SWITCHING LOGS'!$A:$A,$A37,'GEN SWITCHING LOGS'!$G:$G,"CMS")</f>
        <v>0</v>
      </c>
    </row>
    <row r="38" spans="1:3" x14ac:dyDescent="0.25">
      <c r="A38" s="37" t="s">
        <v>303</v>
      </c>
      <c r="B38" s="101">
        <f>SUMIFS('GEN SWITCHING LOGS'!$F:$F,'GEN SWITCHING LOGS'!$A:$A,$A38,'GEN SWITCHING LOGS'!$G:$G,"")</f>
        <v>0</v>
      </c>
      <c r="C38" s="101">
        <f>SUMIFS('GEN SWITCHING LOGS'!$F:$F,'GEN SWITCHING LOGS'!$A:$A,$A38,'GEN SWITCHING LOGS'!$G:$G,"CMS")</f>
        <v>0</v>
      </c>
    </row>
    <row r="39" spans="1:3" x14ac:dyDescent="0.25">
      <c r="A39" s="37" t="s">
        <v>166</v>
      </c>
      <c r="B39" s="101">
        <f>SUMIFS('GEN SWITCHING LOGS'!$F:$F,'GEN SWITCHING LOGS'!$A:$A,$A39,'GEN SWITCHING LOGS'!$G:$G,"")</f>
        <v>14.39166666669189</v>
      </c>
      <c r="C39" s="101">
        <f>SUMIFS('GEN SWITCHING LOGS'!$F:$F,'GEN SWITCHING LOGS'!$A:$A,$A39,'GEN SWITCHING LOGS'!$G:$G,"CMS")</f>
        <v>0</v>
      </c>
    </row>
    <row r="40" spans="1:3" x14ac:dyDescent="0.25">
      <c r="A40" s="37" t="s">
        <v>268</v>
      </c>
      <c r="B40" s="101">
        <f>SUMIFS('GEN SWITCHING LOGS'!$F:$F,'GEN SWITCHING LOGS'!$A:$A,$A40,'GEN SWITCHING LOGS'!$G:$G,"")</f>
        <v>4.0916666666598758</v>
      </c>
      <c r="C40" s="101">
        <f>SUMIFS('GEN SWITCHING LOGS'!$F:$F,'GEN SWITCHING LOGS'!$A:$A,$A40,'GEN SWITCHING LOGS'!$G:$G,"CMS")</f>
        <v>0.52569444444816327</v>
      </c>
    </row>
    <row r="41" spans="1:3" x14ac:dyDescent="0.25">
      <c r="A41" s="37" t="s">
        <v>260</v>
      </c>
      <c r="B41" s="101">
        <f>SUMIFS('GEN SWITCHING LOGS'!$F:$F,'GEN SWITCHING LOGS'!$A:$A,$A41,'GEN SWITCHING LOGS'!$G:$G,"")</f>
        <v>16.926388888896327</v>
      </c>
      <c r="C41" s="101">
        <f>SUMIFS('GEN SWITCHING LOGS'!$F:$F,'GEN SWITCHING LOGS'!$A:$A,$A41,'GEN SWITCHING LOGS'!$G:$G,"CMS")</f>
        <v>0</v>
      </c>
    </row>
    <row r="42" spans="1:3" x14ac:dyDescent="0.25">
      <c r="A42" s="37" t="s">
        <v>263</v>
      </c>
      <c r="B42" s="101">
        <f>SUMIFS('GEN SWITCHING LOGS'!$F:$F,'GEN SWITCHING LOGS'!$A:$A,$A42,'GEN SWITCHING LOGS'!$G:$G,"")</f>
        <v>11.8104166666526</v>
      </c>
      <c r="C42" s="101">
        <f>SUMIFS('GEN SWITCHING LOGS'!$F:$F,'GEN SWITCHING LOGS'!$A:$A,$A42,'GEN SWITCHING LOGS'!$G:$G,"CMS")</f>
        <v>1.6006944444452529</v>
      </c>
    </row>
    <row r="43" spans="1:3" x14ac:dyDescent="0.25">
      <c r="A43" s="37" t="s">
        <v>264</v>
      </c>
      <c r="B43" s="101">
        <f>SUMIFS('GEN SWITCHING LOGS'!$F:$F,'GEN SWITCHING LOGS'!$A:$A,$A43,'GEN SWITCHING LOGS'!$G:$G,"")</f>
        <v>10.06111111111386</v>
      </c>
      <c r="C43" s="101">
        <f>SUMIFS('GEN SWITCHING LOGS'!$F:$F,'GEN SWITCHING LOGS'!$A:$A,$A43,'GEN SWITCHING LOGS'!$G:$G,"CMS")</f>
        <v>0.87986111111240461</v>
      </c>
    </row>
    <row r="44" spans="1:3" x14ac:dyDescent="0.25">
      <c r="A44" s="37" t="s">
        <v>265</v>
      </c>
      <c r="B44" s="101">
        <f>SUMIFS('GEN SWITCHING LOGS'!$F:$F,'GEN SWITCHING LOGS'!$A:$A,$A44,'GEN SWITCHING LOGS'!$G:$G,"")</f>
        <v>10.710416666654055</v>
      </c>
      <c r="C44" s="101">
        <f>SUMIFS('GEN SWITCHING LOGS'!$F:$F,'GEN SWITCHING LOGS'!$A:$A,$A44,'GEN SWITCHING LOGS'!$G:$G,"CMS")</f>
        <v>0</v>
      </c>
    </row>
    <row r="45" spans="1:3" x14ac:dyDescent="0.25">
      <c r="A45" s="37" t="s">
        <v>261</v>
      </c>
      <c r="B45" s="101">
        <f>SUMIFS('GEN SWITCHING LOGS'!$F:$F,'GEN SWITCHING LOGS'!$A:$A,$A45,'GEN SWITCHING LOGS'!$G:$G,"")</f>
        <v>19.549305555548926</v>
      </c>
      <c r="C45" s="101">
        <f>SUMIFS('GEN SWITCHING LOGS'!$F:$F,'GEN SWITCHING LOGS'!$A:$A,$A45,'GEN SWITCHING LOGS'!$G:$G,"CMS")</f>
        <v>7.4305555557657499E-2</v>
      </c>
    </row>
    <row r="46" spans="1:3" x14ac:dyDescent="0.25">
      <c r="A46" s="37" t="s">
        <v>304</v>
      </c>
      <c r="B46" s="101">
        <f>SUMIFS('GEN SWITCHING LOGS'!$F:$F,'GEN SWITCHING LOGS'!$A:$A,$A46,'GEN SWITCHING LOGS'!$G:$G,"")</f>
        <v>0</v>
      </c>
      <c r="C46" s="101">
        <f>SUMIFS('GEN SWITCHING LOGS'!$F:$F,'GEN SWITCHING LOGS'!$A:$A,$A46,'GEN SWITCHING LOGS'!$G:$G,"CMS")</f>
        <v>0</v>
      </c>
    </row>
    <row r="47" spans="1:3" x14ac:dyDescent="0.25">
      <c r="A47" s="37" t="s">
        <v>305</v>
      </c>
      <c r="B47" s="101">
        <f>SUMIFS('GEN SWITCHING LOGS'!$F:$F,'GEN SWITCHING LOGS'!$A:$A,$A47,'GEN SWITCHING LOGS'!$G:$G,"")</f>
        <v>0</v>
      </c>
      <c r="C47" s="101">
        <f>SUMIFS('GEN SWITCHING LOGS'!$F:$F,'GEN SWITCHING LOGS'!$A:$A,$A47,'GEN SWITCHING LOGS'!$G:$G,"CMS")</f>
        <v>0</v>
      </c>
    </row>
    <row r="48" spans="1:3" x14ac:dyDescent="0.25">
      <c r="A48" s="37" t="s">
        <v>262</v>
      </c>
      <c r="B48" s="101">
        <f>SUMIFS('GEN SWITCHING LOGS'!$F:$F,'GEN SWITCHING LOGS'!$A:$A,$A48,'GEN SWITCHING LOGS'!$G:$G,"")</f>
        <v>19.379166666651145</v>
      </c>
      <c r="C48" s="101">
        <f>SUMIFS('GEN SWITCHING LOGS'!$F:$F,'GEN SWITCHING LOGS'!$A:$A,$A48,'GEN SWITCHING LOGS'!$G:$G,"CMS")</f>
        <v>0</v>
      </c>
    </row>
    <row r="49" spans="1:3" x14ac:dyDescent="0.25">
      <c r="A49" s="37" t="s">
        <v>169</v>
      </c>
      <c r="B49" s="101">
        <f>SUMIFS('GEN SWITCHING LOGS'!$F:$F,'GEN SWITCHING LOGS'!$A:$A,$A49,'GEN SWITCHING LOGS'!$G:$G,"")</f>
        <v>10.105555555528554</v>
      </c>
      <c r="C49" s="101">
        <f>SUMIFS('GEN SWITCHING LOGS'!$F:$F,'GEN SWITCHING LOGS'!$A:$A,$A49,'GEN SWITCHING LOGS'!$G:$G,"CMS")</f>
        <v>0</v>
      </c>
    </row>
    <row r="50" spans="1:3" x14ac:dyDescent="0.25">
      <c r="A50" s="37" t="s">
        <v>159</v>
      </c>
      <c r="B50" s="101">
        <f>SUMIFS('GEN SWITCHING LOGS'!$F:$F,'GEN SWITCHING LOGS'!$A:$A,$A50,'GEN SWITCHING LOGS'!$G:$G,"")</f>
        <v>10.624999999956344</v>
      </c>
      <c r="C50" s="101">
        <f>SUMIFS('GEN SWITCHING LOGS'!$F:$F,'GEN SWITCHING LOGS'!$A:$A,$A50,'GEN SWITCHING LOGS'!$G:$G,"CMS")</f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F434"/>
  <sheetViews>
    <sheetView zoomScaleNormal="100" workbookViewId="0">
      <pane xSplit="3" ySplit="15" topLeftCell="D420" activePane="bottomRight" state="frozen"/>
      <selection pane="topRight" activeCell="D1" sqref="D1"/>
      <selection pane="bottomLeft" activeCell="A16" sqref="A16"/>
      <selection pane="bottomRight" activeCell="M447" sqref="M447"/>
    </sheetView>
  </sheetViews>
  <sheetFormatPr defaultColWidth="8.85546875" defaultRowHeight="14.25" x14ac:dyDescent="0.2"/>
  <cols>
    <col min="1" max="1" width="11.42578125" style="23" bestFit="1" customWidth="1"/>
    <col min="2" max="2" width="9.28515625" style="23" customWidth="1"/>
    <col min="3" max="3" width="5.42578125" style="23" hidden="1" customWidth="1"/>
    <col min="4" max="4" width="11.5703125" style="114" bestFit="1" customWidth="1"/>
    <col min="5" max="5" width="10.42578125" style="118" bestFit="1" customWidth="1"/>
    <col min="6" max="6" width="10.42578125" style="114" customWidth="1"/>
    <col min="7" max="7" width="9" style="118" customWidth="1"/>
    <col min="8" max="8" width="11.5703125" style="114" customWidth="1"/>
    <col min="9" max="9" width="11.5703125" style="118" bestFit="1" customWidth="1"/>
    <col min="10" max="10" width="12.7109375" style="118" bestFit="1" customWidth="1"/>
    <col min="11" max="11" width="9" style="118" bestFit="1" customWidth="1"/>
    <col min="12" max="12" width="10.42578125" style="114" customWidth="1"/>
    <col min="13" max="13" width="9" style="118" customWidth="1"/>
    <col min="14" max="14" width="11.85546875" style="118" customWidth="1"/>
    <col min="15" max="15" width="9" style="118" customWidth="1"/>
    <col min="16" max="16" width="10.42578125" style="118" bestFit="1" customWidth="1"/>
    <col min="17" max="18" width="11.5703125" style="118" bestFit="1" customWidth="1"/>
    <col min="19" max="19" width="9" style="118" bestFit="1" customWidth="1"/>
    <col min="20" max="20" width="12.85546875" style="118" bestFit="1" customWidth="1"/>
    <col min="21" max="21" width="9" style="118" bestFit="1" customWidth="1"/>
    <col min="22" max="22" width="11.5703125" style="118" bestFit="1" customWidth="1"/>
    <col min="23" max="23" width="8.85546875" style="118"/>
    <col min="24" max="24" width="12.7109375" style="118" bestFit="1" customWidth="1"/>
    <col min="25" max="25" width="9" style="118" bestFit="1" customWidth="1"/>
    <col min="26" max="26" width="11.7109375" style="118" bestFit="1" customWidth="1"/>
    <col min="27" max="27" width="12.28515625" style="118" customWidth="1"/>
    <col min="28" max="28" width="11.7109375" style="360" bestFit="1" customWidth="1"/>
    <col min="29" max="29" width="8.85546875" style="115"/>
    <col min="30" max="30" width="11.7109375" style="360" bestFit="1" customWidth="1"/>
    <col min="31" max="31" width="8.85546875" style="115"/>
    <col min="32" max="32" width="7.140625" style="23" bestFit="1" customWidth="1"/>
    <col min="33" max="16384" width="8.85546875" style="23"/>
  </cols>
  <sheetData>
    <row r="1" spans="1:31" ht="16.5" thickBot="1" x14ac:dyDescent="0.25">
      <c r="A1" s="433" t="s">
        <v>89</v>
      </c>
      <c r="B1" s="433" t="s">
        <v>70</v>
      </c>
      <c r="C1" s="109"/>
      <c r="D1" s="464" t="s">
        <v>306</v>
      </c>
      <c r="E1" s="466"/>
      <c r="F1" s="464" t="s">
        <v>307</v>
      </c>
      <c r="G1" s="466"/>
      <c r="H1" s="464" t="s">
        <v>27</v>
      </c>
      <c r="I1" s="464"/>
      <c r="J1" s="464"/>
      <c r="K1" s="465"/>
      <c r="L1" s="462" t="s">
        <v>308</v>
      </c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  <c r="AE1" s="467"/>
    </row>
    <row r="2" spans="1:31" ht="14.65" customHeight="1" thickBot="1" x14ac:dyDescent="0.25">
      <c r="A2" s="433"/>
      <c r="B2" s="433"/>
      <c r="C2" s="110" t="s">
        <v>309</v>
      </c>
      <c r="D2" s="462"/>
      <c r="E2" s="467"/>
      <c r="F2" s="462"/>
      <c r="G2" s="467"/>
      <c r="H2" s="462" t="s">
        <v>310</v>
      </c>
      <c r="I2" s="462"/>
      <c r="J2" s="462" t="s">
        <v>28</v>
      </c>
      <c r="K2" s="463"/>
      <c r="L2" s="462" t="s">
        <v>311</v>
      </c>
      <c r="M2" s="462"/>
      <c r="N2" s="462" t="s">
        <v>92</v>
      </c>
      <c r="O2" s="462"/>
      <c r="P2" s="462" t="s">
        <v>312</v>
      </c>
      <c r="Q2" s="462"/>
      <c r="R2" s="462" t="s">
        <v>313</v>
      </c>
      <c r="S2" s="462"/>
      <c r="T2" s="462" t="s">
        <v>95</v>
      </c>
      <c r="U2" s="462"/>
      <c r="V2" s="462" t="s">
        <v>314</v>
      </c>
      <c r="W2" s="462"/>
      <c r="X2" s="462" t="s">
        <v>96</v>
      </c>
      <c r="Y2" s="462"/>
      <c r="Z2" s="462" t="s">
        <v>315</v>
      </c>
      <c r="AA2" s="463"/>
      <c r="AB2" s="462" t="s">
        <v>390</v>
      </c>
      <c r="AC2" s="462"/>
      <c r="AD2" s="462" t="s">
        <v>1162</v>
      </c>
      <c r="AE2" s="463"/>
    </row>
    <row r="3" spans="1:31" ht="15" customHeight="1" thickBot="1" x14ac:dyDescent="0.25">
      <c r="A3" s="433"/>
      <c r="B3" s="433"/>
      <c r="C3" s="110" t="s">
        <v>316</v>
      </c>
      <c r="D3" s="99" t="s">
        <v>317</v>
      </c>
      <c r="E3" s="116" t="s">
        <v>318</v>
      </c>
      <c r="F3" s="99" t="s">
        <v>317</v>
      </c>
      <c r="G3" s="116" t="s">
        <v>318</v>
      </c>
      <c r="H3" s="99" t="s">
        <v>317</v>
      </c>
      <c r="I3" s="99" t="s">
        <v>318</v>
      </c>
      <c r="J3" s="99" t="s">
        <v>317</v>
      </c>
      <c r="K3" s="116" t="s">
        <v>318</v>
      </c>
      <c r="L3" s="99" t="s">
        <v>317</v>
      </c>
      <c r="M3" s="99" t="s">
        <v>318</v>
      </c>
      <c r="N3" s="99" t="s">
        <v>317</v>
      </c>
      <c r="O3" s="99" t="s">
        <v>318</v>
      </c>
      <c r="P3" s="99" t="s">
        <v>317</v>
      </c>
      <c r="Q3" s="99" t="s">
        <v>318</v>
      </c>
      <c r="R3" s="99" t="s">
        <v>317</v>
      </c>
      <c r="S3" s="99" t="s">
        <v>318</v>
      </c>
      <c r="T3" s="99" t="s">
        <v>317</v>
      </c>
      <c r="U3" s="99" t="s">
        <v>318</v>
      </c>
      <c r="V3" s="99" t="s">
        <v>317</v>
      </c>
      <c r="W3" s="99" t="s">
        <v>318</v>
      </c>
      <c r="X3" s="99" t="s">
        <v>317</v>
      </c>
      <c r="Y3" s="99" t="s">
        <v>318</v>
      </c>
      <c r="Z3" s="99" t="s">
        <v>317</v>
      </c>
      <c r="AA3" s="116" t="s">
        <v>318</v>
      </c>
      <c r="AB3" s="359" t="s">
        <v>317</v>
      </c>
      <c r="AC3" s="116" t="s">
        <v>318</v>
      </c>
      <c r="AD3" s="99" t="s">
        <v>317</v>
      </c>
      <c r="AE3" s="99" t="s">
        <v>318</v>
      </c>
    </row>
    <row r="4" spans="1:31" ht="15" hidden="1" customHeight="1" x14ac:dyDescent="0.2">
      <c r="A4" s="103">
        <v>45566</v>
      </c>
      <c r="B4" s="103" t="s">
        <v>319</v>
      </c>
      <c r="C4" s="111"/>
      <c r="D4" s="112"/>
      <c r="E4" s="117"/>
      <c r="F4" s="112"/>
      <c r="G4" s="117"/>
      <c r="H4" s="112"/>
      <c r="I4" s="104"/>
      <c r="J4" s="104"/>
      <c r="K4" s="117"/>
      <c r="L4" s="112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17"/>
      <c r="AB4" s="104"/>
      <c r="AC4" s="113"/>
      <c r="AD4" s="104"/>
      <c r="AE4" s="113"/>
    </row>
    <row r="5" spans="1:31" ht="15" hidden="1" customHeight="1" x14ac:dyDescent="0.2">
      <c r="A5" s="103">
        <v>45566</v>
      </c>
      <c r="B5" s="103" t="s">
        <v>147</v>
      </c>
      <c r="C5" s="111"/>
      <c r="D5" s="112"/>
      <c r="E5" s="117"/>
      <c r="F5" s="112"/>
      <c r="G5" s="117"/>
      <c r="H5" s="112"/>
      <c r="I5" s="104"/>
      <c r="J5" s="104"/>
      <c r="K5" s="117"/>
      <c r="L5" s="112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17"/>
      <c r="AB5" s="104"/>
      <c r="AC5" s="113"/>
      <c r="AD5" s="104"/>
      <c r="AE5" s="113"/>
    </row>
    <row r="6" spans="1:31" ht="14.25" hidden="1" customHeight="1" x14ac:dyDescent="0.2">
      <c r="A6" s="105"/>
      <c r="G6" s="105"/>
    </row>
    <row r="7" spans="1:31" ht="15" hidden="1" customHeight="1" x14ac:dyDescent="0.2">
      <c r="A7" s="103">
        <f>A4+1</f>
        <v>45567</v>
      </c>
      <c r="B7" s="103" t="s">
        <v>319</v>
      </c>
      <c r="C7" s="111"/>
      <c r="D7" s="112"/>
      <c r="E7" s="117"/>
      <c r="F7" s="112"/>
      <c r="G7" s="117"/>
      <c r="H7" s="112"/>
      <c r="I7" s="104"/>
      <c r="J7" s="104"/>
      <c r="K7" s="117"/>
      <c r="L7" s="112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17"/>
      <c r="AB7" s="104"/>
      <c r="AC7" s="113"/>
      <c r="AD7" s="104"/>
      <c r="AE7" s="113"/>
    </row>
    <row r="8" spans="1:31" ht="15" hidden="1" customHeight="1" x14ac:dyDescent="0.2">
      <c r="A8" s="103">
        <f>A5+1</f>
        <v>45567</v>
      </c>
      <c r="B8" s="103" t="s">
        <v>147</v>
      </c>
      <c r="C8" s="111"/>
      <c r="D8" s="112"/>
      <c r="E8" s="117"/>
      <c r="F8" s="112"/>
      <c r="G8" s="117"/>
      <c r="H8" s="112"/>
      <c r="I8" s="104"/>
      <c r="J8" s="104"/>
      <c r="K8" s="117"/>
      <c r="L8" s="112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17"/>
      <c r="AB8" s="104"/>
      <c r="AC8" s="113"/>
      <c r="AD8" s="104"/>
      <c r="AE8" s="113"/>
    </row>
    <row r="9" spans="1:31" ht="14.25" hidden="1" customHeight="1" x14ac:dyDescent="0.2">
      <c r="G9" s="105"/>
    </row>
    <row r="10" spans="1:31" ht="15" hidden="1" customHeight="1" x14ac:dyDescent="0.2">
      <c r="A10" s="103">
        <f>A7+1</f>
        <v>45568</v>
      </c>
      <c r="B10" s="103" t="s">
        <v>319</v>
      </c>
      <c r="C10" s="111"/>
      <c r="D10" s="112"/>
      <c r="E10" s="117"/>
      <c r="F10" s="112"/>
      <c r="G10" s="117"/>
      <c r="H10" s="112"/>
      <c r="I10" s="104"/>
      <c r="J10" s="104"/>
      <c r="K10" s="117"/>
      <c r="L10" s="112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17"/>
      <c r="AB10" s="104"/>
      <c r="AC10" s="113"/>
      <c r="AD10" s="104"/>
      <c r="AE10" s="113"/>
    </row>
    <row r="11" spans="1:31" ht="15" hidden="1" customHeight="1" x14ac:dyDescent="0.2">
      <c r="A11" s="103">
        <f>A8+1</f>
        <v>45568</v>
      </c>
      <c r="B11" s="103" t="s">
        <v>147</v>
      </c>
      <c r="C11" s="111"/>
      <c r="D11" s="112"/>
      <c r="E11" s="117"/>
      <c r="F11" s="112"/>
      <c r="G11" s="117"/>
      <c r="H11" s="112"/>
      <c r="I11" s="104"/>
      <c r="J11" s="104"/>
      <c r="K11" s="117"/>
      <c r="L11" s="112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17"/>
      <c r="AB11" s="104"/>
      <c r="AC11" s="113"/>
      <c r="AD11" s="104"/>
      <c r="AE11" s="113"/>
    </row>
    <row r="12" spans="1:31" ht="14.25" hidden="1" customHeight="1" x14ac:dyDescent="0.2">
      <c r="G12" s="105"/>
    </row>
    <row r="13" spans="1:31" ht="15" hidden="1" customHeight="1" x14ac:dyDescent="0.2">
      <c r="A13" s="103">
        <f>A10+1</f>
        <v>45569</v>
      </c>
      <c r="B13" s="103" t="s">
        <v>319</v>
      </c>
      <c r="C13" s="111"/>
      <c r="D13" s="112"/>
      <c r="E13" s="117"/>
      <c r="F13" s="112"/>
      <c r="G13" s="117"/>
      <c r="H13" s="112"/>
      <c r="I13" s="104"/>
      <c r="J13" s="104"/>
      <c r="K13" s="117"/>
      <c r="L13" s="112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17"/>
      <c r="AB13" s="104"/>
      <c r="AC13" s="113"/>
      <c r="AD13" s="104"/>
      <c r="AE13" s="113"/>
    </row>
    <row r="14" spans="1:31" ht="15" hidden="1" customHeight="1" x14ac:dyDescent="0.2">
      <c r="A14" s="103">
        <f>A11+1</f>
        <v>45569</v>
      </c>
      <c r="B14" s="103" t="s">
        <v>147</v>
      </c>
      <c r="C14" s="111"/>
      <c r="D14" s="112"/>
      <c r="E14" s="117"/>
      <c r="F14" s="112"/>
      <c r="G14" s="117"/>
      <c r="H14" s="112"/>
      <c r="I14" s="104"/>
      <c r="J14" s="104"/>
      <c r="K14" s="117"/>
      <c r="L14" s="112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17"/>
      <c r="AB14" s="104"/>
      <c r="AC14" s="113"/>
      <c r="AD14" s="104"/>
      <c r="AE14" s="113"/>
    </row>
    <row r="15" spans="1:31" ht="14.25" hidden="1" customHeight="1" x14ac:dyDescent="0.2">
      <c r="G15" s="105"/>
    </row>
    <row r="16" spans="1:31" ht="15" x14ac:dyDescent="0.2">
      <c r="A16" s="174">
        <v>45292</v>
      </c>
      <c r="B16" s="174" t="s">
        <v>319</v>
      </c>
      <c r="C16" s="176"/>
      <c r="D16" s="177">
        <v>7860.89</v>
      </c>
      <c r="E16" s="178">
        <v>49.65</v>
      </c>
      <c r="F16" s="177">
        <v>1087.69</v>
      </c>
      <c r="G16" s="179">
        <v>6.18</v>
      </c>
      <c r="H16" s="177">
        <v>68569.179999999993</v>
      </c>
      <c r="I16" s="178">
        <v>849.34</v>
      </c>
      <c r="J16" s="178">
        <v>31088.45</v>
      </c>
      <c r="K16" s="178">
        <v>90.39</v>
      </c>
      <c r="L16" s="202">
        <v>1672.56</v>
      </c>
      <c r="M16" s="180">
        <v>14.34</v>
      </c>
      <c r="N16" s="180">
        <v>29046.5</v>
      </c>
      <c r="O16" s="180">
        <v>25.1</v>
      </c>
      <c r="P16" s="180">
        <v>30.31</v>
      </c>
      <c r="Q16" s="180">
        <v>87.38</v>
      </c>
      <c r="R16" s="180">
        <v>6873.69</v>
      </c>
      <c r="S16" s="180">
        <v>9.0399999999999991</v>
      </c>
      <c r="T16" s="180">
        <v>30968</v>
      </c>
      <c r="U16" s="180">
        <v>69</v>
      </c>
      <c r="V16" s="180">
        <v>21778</v>
      </c>
      <c r="W16" s="180">
        <v>38.700000000000003</v>
      </c>
      <c r="X16" s="180">
        <v>2260.46</v>
      </c>
      <c r="Y16" s="180">
        <v>0</v>
      </c>
      <c r="Z16" s="180"/>
      <c r="AA16" s="358"/>
      <c r="AB16" s="180"/>
      <c r="AC16" s="203"/>
      <c r="AD16" s="180"/>
      <c r="AE16" s="203"/>
    </row>
    <row r="17" spans="1:32" ht="15" x14ac:dyDescent="0.2">
      <c r="A17" s="174" t="s">
        <v>320</v>
      </c>
      <c r="B17" s="174" t="s">
        <v>319</v>
      </c>
      <c r="C17" s="176"/>
      <c r="D17" s="177"/>
      <c r="E17" s="178"/>
      <c r="F17" s="177"/>
      <c r="G17" s="179"/>
      <c r="H17" s="177"/>
      <c r="I17" s="178"/>
      <c r="J17" s="178"/>
      <c r="K17" s="178"/>
      <c r="L17" s="202">
        <v>1943.35</v>
      </c>
      <c r="M17" s="180">
        <v>14.34</v>
      </c>
      <c r="N17" s="180">
        <v>29305.9</v>
      </c>
      <c r="O17" s="180">
        <v>25.5</v>
      </c>
      <c r="P17" s="180">
        <v>36.200000000000003</v>
      </c>
      <c r="Q17" s="180">
        <v>160.47999999999999</v>
      </c>
      <c r="R17" s="180">
        <v>7071.19</v>
      </c>
      <c r="S17" s="180">
        <v>9.0399999999999991</v>
      </c>
      <c r="T17" s="180">
        <v>31295</v>
      </c>
      <c r="U17" s="180">
        <v>69</v>
      </c>
      <c r="V17" s="180">
        <v>21778</v>
      </c>
      <c r="W17" s="180">
        <v>38.700000000000003</v>
      </c>
      <c r="X17" s="180">
        <v>2343.34</v>
      </c>
      <c r="Y17" s="180">
        <v>0</v>
      </c>
      <c r="Z17" s="180"/>
      <c r="AA17" s="358"/>
      <c r="AB17" s="180"/>
      <c r="AC17" s="203"/>
      <c r="AD17" s="180"/>
      <c r="AE17" s="203"/>
    </row>
    <row r="18" spans="1:32" ht="15" x14ac:dyDescent="0.2">
      <c r="A18" s="174" t="s">
        <v>321</v>
      </c>
      <c r="B18" s="174" t="s">
        <v>319</v>
      </c>
      <c r="C18" s="176"/>
      <c r="D18" s="177">
        <v>219.84</v>
      </c>
      <c r="E18" s="178">
        <v>49.65</v>
      </c>
      <c r="F18" s="177">
        <v>1102.8</v>
      </c>
      <c r="G18" s="179">
        <v>6.2</v>
      </c>
      <c r="H18" s="177"/>
      <c r="I18" s="178"/>
      <c r="J18" s="178"/>
      <c r="K18" s="178"/>
      <c r="L18" s="202"/>
      <c r="M18" s="180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358"/>
      <c r="AB18" s="180"/>
      <c r="AC18" s="203"/>
      <c r="AD18" s="180"/>
      <c r="AE18" s="203"/>
    </row>
    <row r="19" spans="1:32" ht="15" x14ac:dyDescent="0.25">
      <c r="A19" s="103">
        <f>A13+1</f>
        <v>45570</v>
      </c>
      <c r="B19" s="103" t="s">
        <v>319</v>
      </c>
      <c r="C19" s="111" t="str">
        <f>A19 &amp; " " &amp;B19</f>
        <v>45570 0000H</v>
      </c>
      <c r="D19" s="112"/>
      <c r="E19" s="117"/>
      <c r="F19" s="112"/>
      <c r="G19" s="117"/>
      <c r="H19" s="112"/>
      <c r="I19" s="104"/>
      <c r="J19" s="104"/>
      <c r="K19" s="117"/>
      <c r="L19" s="112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17"/>
      <c r="AB19" s="104"/>
      <c r="AC19" s="113"/>
      <c r="AD19" s="104"/>
      <c r="AE19" s="113"/>
      <c r="AF19"/>
    </row>
    <row r="20" spans="1:32" ht="15" x14ac:dyDescent="0.25">
      <c r="A20" s="103">
        <f>A14+1</f>
        <v>45570</v>
      </c>
      <c r="B20" s="103" t="s">
        <v>147</v>
      </c>
      <c r="C20" s="111" t="str">
        <f>A20 &amp; " " &amp;B20</f>
        <v>45570 1200H</v>
      </c>
      <c r="D20" s="112">
        <v>305.39999999999998</v>
      </c>
      <c r="E20" s="117">
        <v>49.65</v>
      </c>
      <c r="F20" s="112"/>
      <c r="G20" s="117"/>
      <c r="H20" s="112"/>
      <c r="I20" s="104"/>
      <c r="J20" s="104">
        <v>32714.82</v>
      </c>
      <c r="K20" s="117">
        <v>99.31</v>
      </c>
      <c r="L20" s="112">
        <v>4732.96</v>
      </c>
      <c r="M20" s="104">
        <v>15.77</v>
      </c>
      <c r="N20" s="104">
        <v>32084.400000000001</v>
      </c>
      <c r="O20" s="104">
        <v>28.4</v>
      </c>
      <c r="P20" s="104">
        <v>473.34</v>
      </c>
      <c r="Q20" s="104">
        <v>573.37</v>
      </c>
      <c r="R20" s="104"/>
      <c r="S20" s="104"/>
      <c r="T20" s="104">
        <v>34864</v>
      </c>
      <c r="U20" s="104">
        <v>69</v>
      </c>
      <c r="V20" s="104"/>
      <c r="W20" s="104"/>
      <c r="X20" s="104">
        <v>5528</v>
      </c>
      <c r="Y20" s="104">
        <v>0</v>
      </c>
      <c r="Z20" s="104"/>
      <c r="AA20" s="117"/>
      <c r="AB20" s="104"/>
      <c r="AC20" s="113"/>
      <c r="AD20" s="104"/>
      <c r="AE20" s="113"/>
      <c r="AF20"/>
    </row>
    <row r="21" spans="1:32" ht="6.95" customHeight="1" x14ac:dyDescent="0.2">
      <c r="G21" s="105"/>
    </row>
    <row r="22" spans="1:32" ht="15" x14ac:dyDescent="0.25">
      <c r="A22" s="103">
        <f>A19+1</f>
        <v>45571</v>
      </c>
      <c r="B22" s="103" t="s">
        <v>319</v>
      </c>
      <c r="C22" s="111" t="str">
        <f>A22 &amp; " " &amp;B22</f>
        <v>45571 0000H</v>
      </c>
      <c r="D22" s="112">
        <v>310.86</v>
      </c>
      <c r="E22" s="117">
        <v>49.65</v>
      </c>
      <c r="F22" s="254"/>
      <c r="G22" s="255"/>
      <c r="H22" s="254">
        <v>72764.59</v>
      </c>
      <c r="I22" s="239">
        <v>882.91700000000003</v>
      </c>
      <c r="J22" s="239">
        <v>32718.63</v>
      </c>
      <c r="K22" s="255">
        <v>99.31</v>
      </c>
      <c r="L22" s="254">
        <v>4738.42</v>
      </c>
      <c r="M22" s="239">
        <v>15.77</v>
      </c>
      <c r="N22" s="239">
        <v>32091</v>
      </c>
      <c r="O22" s="239">
        <v>28.4</v>
      </c>
      <c r="P22" s="239">
        <v>478.27</v>
      </c>
      <c r="Q22" s="239">
        <v>573.37</v>
      </c>
      <c r="R22" s="239"/>
      <c r="S22" s="239"/>
      <c r="T22" s="239">
        <v>34871</v>
      </c>
      <c r="U22" s="239">
        <v>69</v>
      </c>
      <c r="V22" s="239"/>
      <c r="W22" s="239"/>
      <c r="X22" s="239">
        <v>5534.05</v>
      </c>
      <c r="Y22" s="239">
        <v>0</v>
      </c>
      <c r="Z22" s="239"/>
      <c r="AA22" s="255"/>
      <c r="AB22" s="239"/>
      <c r="AC22" s="256"/>
      <c r="AD22" s="239"/>
      <c r="AE22" s="256"/>
      <c r="AF22">
        <v>42000</v>
      </c>
    </row>
    <row r="23" spans="1:32" ht="15" x14ac:dyDescent="0.25">
      <c r="A23" s="103">
        <f>A20+1</f>
        <v>45571</v>
      </c>
      <c r="B23" s="103" t="s">
        <v>147</v>
      </c>
      <c r="C23" s="111" t="str">
        <f>A23 &amp; " " &amp;B23</f>
        <v>45571 1200H</v>
      </c>
      <c r="D23" s="112">
        <v>314.33999999999997</v>
      </c>
      <c r="E23" s="117">
        <v>49.65</v>
      </c>
      <c r="F23" s="254"/>
      <c r="G23" s="255"/>
      <c r="H23" s="254">
        <v>72764.59</v>
      </c>
      <c r="I23" s="239">
        <v>882.82</v>
      </c>
      <c r="J23" s="239">
        <v>32722.48</v>
      </c>
      <c r="K23" s="255">
        <v>99.31</v>
      </c>
      <c r="L23" s="254">
        <v>4744.01</v>
      </c>
      <c r="M23" s="239">
        <v>15.97</v>
      </c>
      <c r="N23" s="239">
        <v>32097.5</v>
      </c>
      <c r="O23" s="239">
        <v>28.4</v>
      </c>
      <c r="P23" s="239">
        <v>478.31</v>
      </c>
      <c r="Q23" s="239">
        <v>575.5</v>
      </c>
      <c r="R23" s="239"/>
      <c r="S23" s="239"/>
      <c r="T23" s="239">
        <v>34875</v>
      </c>
      <c r="U23" s="239">
        <v>69</v>
      </c>
      <c r="V23" s="239"/>
      <c r="W23" s="239"/>
      <c r="X23" s="239">
        <v>5540.44</v>
      </c>
      <c r="Y23" s="239">
        <v>0</v>
      </c>
      <c r="Z23" s="239"/>
      <c r="AA23" s="255"/>
      <c r="AB23" s="239"/>
      <c r="AC23" s="256"/>
      <c r="AD23" s="239"/>
      <c r="AE23" s="256"/>
      <c r="AF23">
        <v>48000</v>
      </c>
    </row>
    <row r="24" spans="1:32" ht="6.95" customHeight="1" x14ac:dyDescent="0.2">
      <c r="F24" s="257"/>
      <c r="G24" s="258"/>
      <c r="H24" s="257"/>
      <c r="I24" s="259"/>
      <c r="J24" s="259"/>
      <c r="K24" s="259"/>
      <c r="L24" s="257"/>
      <c r="M24" s="259"/>
      <c r="N24" s="259"/>
      <c r="O24" s="259"/>
      <c r="P24" s="259"/>
      <c r="Q24" s="259"/>
      <c r="R24" s="259"/>
      <c r="S24" s="259"/>
      <c r="T24" s="259"/>
      <c r="U24" s="259"/>
      <c r="V24" s="259"/>
      <c r="W24" s="259"/>
      <c r="X24" s="259"/>
      <c r="Y24" s="259"/>
      <c r="Z24" s="259"/>
      <c r="AA24" s="259"/>
      <c r="AB24" s="361"/>
      <c r="AC24" s="260"/>
      <c r="AD24" s="361"/>
      <c r="AE24" s="260"/>
    </row>
    <row r="25" spans="1:32" ht="15" x14ac:dyDescent="0.25">
      <c r="A25" s="103">
        <f>A22+1</f>
        <v>45572</v>
      </c>
      <c r="B25" s="103" t="s">
        <v>319</v>
      </c>
      <c r="C25" s="111" t="str">
        <f>A25 &amp; " " &amp;B25</f>
        <v>45572 0000H</v>
      </c>
      <c r="D25" s="112">
        <v>318.82</v>
      </c>
      <c r="E25" s="117">
        <v>49.65</v>
      </c>
      <c r="F25" s="254"/>
      <c r="G25" s="255"/>
      <c r="H25" s="254">
        <v>72769.63</v>
      </c>
      <c r="I25" s="239">
        <v>882.85</v>
      </c>
      <c r="J25" s="239">
        <v>32726.3</v>
      </c>
      <c r="K25" s="255">
        <v>99.31</v>
      </c>
      <c r="L25" s="254">
        <v>4749.72</v>
      </c>
      <c r="M25" s="239">
        <v>15.77</v>
      </c>
      <c r="N25" s="239">
        <v>32104.5</v>
      </c>
      <c r="O25" s="239">
        <v>28.4</v>
      </c>
      <c r="P25" s="239">
        <v>478.32</v>
      </c>
      <c r="Q25" s="239">
        <v>577</v>
      </c>
      <c r="R25" s="239"/>
      <c r="S25" s="239"/>
      <c r="T25" s="239">
        <v>34883</v>
      </c>
      <c r="U25" s="239">
        <v>69</v>
      </c>
      <c r="V25" s="239"/>
      <c r="W25" s="239"/>
      <c r="X25" s="239">
        <v>5546.36</v>
      </c>
      <c r="Y25" s="239"/>
      <c r="Z25" s="239"/>
      <c r="AA25" s="255"/>
      <c r="AB25" s="239"/>
      <c r="AC25" s="256"/>
      <c r="AD25" s="239"/>
      <c r="AE25" s="256"/>
      <c r="AF25" s="107">
        <v>21000</v>
      </c>
    </row>
    <row r="26" spans="1:32" ht="15" x14ac:dyDescent="0.25">
      <c r="A26" s="103">
        <f>A23+1</f>
        <v>45572</v>
      </c>
      <c r="B26" s="103" t="s">
        <v>147</v>
      </c>
      <c r="C26" s="111" t="str">
        <f>A26 &amp; " " &amp;B26</f>
        <v>45572 1200H</v>
      </c>
      <c r="D26" s="112">
        <v>322.64999999999998</v>
      </c>
      <c r="E26" s="117">
        <v>49.65</v>
      </c>
      <c r="F26" s="254"/>
      <c r="G26" s="255"/>
      <c r="H26" s="254">
        <v>72779.56</v>
      </c>
      <c r="I26" s="239">
        <v>882.25</v>
      </c>
      <c r="J26" s="239">
        <v>32728.84</v>
      </c>
      <c r="K26" s="255">
        <v>99.33</v>
      </c>
      <c r="L26" s="254">
        <v>4755.25</v>
      </c>
      <c r="M26" s="239">
        <v>15.77</v>
      </c>
      <c r="N26" s="239">
        <v>32109.200000000001</v>
      </c>
      <c r="O26" s="239">
        <v>28.4</v>
      </c>
      <c r="P26" s="239">
        <v>478.48</v>
      </c>
      <c r="Q26" s="239">
        <v>577</v>
      </c>
      <c r="R26" s="239"/>
      <c r="S26" s="239"/>
      <c r="T26" s="239">
        <v>34889.019999999997</v>
      </c>
      <c r="U26" s="239">
        <v>69</v>
      </c>
      <c r="V26" s="239"/>
      <c r="W26" s="239"/>
      <c r="X26" s="239">
        <v>5552.76</v>
      </c>
      <c r="Y26" s="239">
        <v>0</v>
      </c>
      <c r="Z26" s="239"/>
      <c r="AA26" s="255"/>
      <c r="AB26" s="239"/>
      <c r="AC26" s="256"/>
      <c r="AD26" s="239"/>
      <c r="AE26" s="256"/>
      <c r="AF26">
        <v>8400</v>
      </c>
    </row>
    <row r="27" spans="1:32" ht="6.95" customHeight="1" x14ac:dyDescent="0.2">
      <c r="F27" s="257"/>
      <c r="G27" s="258"/>
      <c r="H27" s="257"/>
      <c r="I27" s="259"/>
      <c r="J27" s="259"/>
      <c r="K27" s="259"/>
      <c r="L27" s="257"/>
      <c r="M27" s="259"/>
      <c r="N27" s="259"/>
      <c r="O27" s="259"/>
      <c r="P27" s="259"/>
      <c r="Q27" s="259"/>
      <c r="R27" s="259"/>
      <c r="S27" s="259"/>
      <c r="T27" s="259"/>
      <c r="U27" s="259"/>
      <c r="V27" s="259"/>
      <c r="W27" s="259"/>
      <c r="X27" s="259"/>
      <c r="Y27" s="259"/>
      <c r="Z27" s="259"/>
      <c r="AA27" s="259"/>
      <c r="AB27" s="361"/>
      <c r="AC27" s="260"/>
      <c r="AD27" s="361"/>
      <c r="AE27" s="260"/>
    </row>
    <row r="28" spans="1:32" ht="15" x14ac:dyDescent="0.25">
      <c r="A28" s="103">
        <f>A25+1</f>
        <v>45573</v>
      </c>
      <c r="B28" s="103" t="s">
        <v>319</v>
      </c>
      <c r="C28" s="111" t="str">
        <f>A28 &amp; " " &amp;B28</f>
        <v>45573 0000H</v>
      </c>
      <c r="D28" s="112">
        <v>327.91</v>
      </c>
      <c r="E28" s="117">
        <v>49.65</v>
      </c>
      <c r="F28" s="254"/>
      <c r="G28" s="255"/>
      <c r="H28" s="254">
        <v>72789.97</v>
      </c>
      <c r="I28" s="239">
        <v>882.25</v>
      </c>
      <c r="J28" s="239">
        <v>32732.04</v>
      </c>
      <c r="K28" s="255">
        <v>99.33</v>
      </c>
      <c r="L28" s="254">
        <v>4760.96</v>
      </c>
      <c r="M28" s="239">
        <v>15.77</v>
      </c>
      <c r="N28" s="239">
        <v>32116</v>
      </c>
      <c r="O28" s="239">
        <v>28.4</v>
      </c>
      <c r="P28" s="239">
        <v>478.48</v>
      </c>
      <c r="Q28" s="239">
        <v>579.63</v>
      </c>
      <c r="R28" s="239"/>
      <c r="S28" s="239"/>
      <c r="T28" s="239">
        <v>34897</v>
      </c>
      <c r="U28" s="239">
        <v>69</v>
      </c>
      <c r="V28" s="239"/>
      <c r="W28" s="239"/>
      <c r="X28" s="239">
        <v>5559.15</v>
      </c>
      <c r="Y28" s="239">
        <v>0</v>
      </c>
      <c r="Z28" s="239"/>
      <c r="AA28" s="255"/>
      <c r="AB28" s="239"/>
      <c r="AC28" s="256"/>
      <c r="AD28" s="239"/>
      <c r="AE28" s="256"/>
      <c r="AF28">
        <v>1400</v>
      </c>
    </row>
    <row r="29" spans="1:32" ht="15" x14ac:dyDescent="0.25">
      <c r="A29" s="103">
        <f>A26+1</f>
        <v>45573</v>
      </c>
      <c r="B29" s="103" t="s">
        <v>147</v>
      </c>
      <c r="C29" s="111" t="str">
        <f>A29 &amp; " " &amp;B29</f>
        <v>45573 1200H</v>
      </c>
      <c r="D29" s="112">
        <v>331.62</v>
      </c>
      <c r="E29" s="117">
        <v>49.65</v>
      </c>
      <c r="F29" s="254"/>
      <c r="G29" s="255"/>
      <c r="H29" s="254">
        <v>72799.56</v>
      </c>
      <c r="I29" s="239">
        <v>882.25</v>
      </c>
      <c r="J29" s="239">
        <v>32734.080000000002</v>
      </c>
      <c r="K29" s="255">
        <v>99.35</v>
      </c>
      <c r="L29" s="254">
        <v>4766.41</v>
      </c>
      <c r="M29" s="239">
        <v>15.77</v>
      </c>
      <c r="N29" s="239">
        <v>32120.9</v>
      </c>
      <c r="O29" s="239">
        <v>28.4</v>
      </c>
      <c r="P29" s="239">
        <v>478.87</v>
      </c>
      <c r="Q29" s="239">
        <v>581.52</v>
      </c>
      <c r="R29" s="239"/>
      <c r="S29" s="239"/>
      <c r="T29" s="239">
        <v>3490</v>
      </c>
      <c r="U29" s="239">
        <v>69</v>
      </c>
      <c r="V29" s="239"/>
      <c r="W29" s="239"/>
      <c r="X29" s="239">
        <v>5564.07</v>
      </c>
      <c r="Y29" s="239">
        <v>0</v>
      </c>
      <c r="Z29" s="239"/>
      <c r="AA29" s="255"/>
      <c r="AB29" s="239"/>
      <c r="AC29" s="256"/>
      <c r="AD29" s="239"/>
      <c r="AE29" s="256"/>
      <c r="AF29" s="107">
        <v>30000</v>
      </c>
    </row>
    <row r="30" spans="1:32" ht="6.95" customHeight="1" x14ac:dyDescent="0.2">
      <c r="F30" s="257"/>
      <c r="G30" s="258"/>
      <c r="H30" s="257"/>
      <c r="I30" s="259"/>
      <c r="J30" s="259"/>
      <c r="K30" s="259"/>
      <c r="L30" s="257"/>
      <c r="M30" s="259"/>
      <c r="N30" s="259"/>
      <c r="O30" s="259"/>
      <c r="P30" s="259"/>
      <c r="Q30" s="259"/>
      <c r="R30" s="259"/>
      <c r="S30" s="259"/>
      <c r="T30" s="259"/>
      <c r="U30" s="259"/>
      <c r="V30" s="259"/>
      <c r="W30" s="259"/>
      <c r="X30" s="259"/>
      <c r="Y30" s="259"/>
      <c r="Z30" s="259"/>
      <c r="AA30" s="259"/>
      <c r="AB30" s="361"/>
      <c r="AC30" s="260"/>
      <c r="AD30" s="361"/>
      <c r="AE30" s="260"/>
    </row>
    <row r="31" spans="1:32" ht="15" x14ac:dyDescent="0.2">
      <c r="A31" s="103">
        <f>A28+1</f>
        <v>45574</v>
      </c>
      <c r="B31" s="103" t="s">
        <v>319</v>
      </c>
      <c r="C31" s="111" t="str">
        <f>A31 &amp; " " &amp;B31</f>
        <v>45574 0000H</v>
      </c>
      <c r="D31" s="112">
        <v>337.11</v>
      </c>
      <c r="E31" s="117">
        <v>49.65</v>
      </c>
      <c r="F31" s="254">
        <v>1102.8</v>
      </c>
      <c r="G31" s="255">
        <v>6.2</v>
      </c>
      <c r="H31" s="254">
        <v>72810.02</v>
      </c>
      <c r="I31" s="239">
        <v>882.25</v>
      </c>
      <c r="J31" s="239">
        <v>32737.86</v>
      </c>
      <c r="K31" s="255">
        <v>99.35</v>
      </c>
      <c r="L31" s="254">
        <v>4772.13</v>
      </c>
      <c r="M31" s="239">
        <v>15.77</v>
      </c>
      <c r="N31" s="239">
        <v>32127.7</v>
      </c>
      <c r="O31" s="239">
        <v>28.4</v>
      </c>
      <c r="P31" s="239">
        <v>478.88</v>
      </c>
      <c r="Q31" s="239">
        <v>581.84</v>
      </c>
      <c r="R31" s="239">
        <v>9358.1200000000008</v>
      </c>
      <c r="S31" s="239">
        <v>9.0399999999999991</v>
      </c>
      <c r="T31" s="239">
        <v>34910</v>
      </c>
      <c r="U31" s="239">
        <v>69</v>
      </c>
      <c r="V31" s="239"/>
      <c r="W31" s="239"/>
      <c r="X31" s="239">
        <v>5570.35</v>
      </c>
      <c r="Y31" s="239"/>
      <c r="Z31" s="239"/>
      <c r="AA31" s="255"/>
      <c r="AB31" s="239"/>
      <c r="AC31" s="256"/>
      <c r="AD31" s="239"/>
      <c r="AE31" s="256"/>
    </row>
    <row r="32" spans="1:32" ht="15" x14ac:dyDescent="0.2">
      <c r="A32" s="103">
        <f>A29+1</f>
        <v>45574</v>
      </c>
      <c r="B32" s="103" t="s">
        <v>147</v>
      </c>
      <c r="C32" s="111" t="str">
        <f>A32 &amp; " " &amp;B32</f>
        <v>45574 1200H</v>
      </c>
      <c r="D32" s="112">
        <v>340.75</v>
      </c>
      <c r="E32" s="117">
        <v>49.65</v>
      </c>
      <c r="F32" s="254">
        <v>1102.8</v>
      </c>
      <c r="G32" s="255">
        <v>6.2</v>
      </c>
      <c r="H32" s="254">
        <v>72819.86</v>
      </c>
      <c r="I32" s="239">
        <v>882.25</v>
      </c>
      <c r="J32" s="239">
        <v>32739.18</v>
      </c>
      <c r="K32" s="255">
        <v>99.41</v>
      </c>
      <c r="L32" s="254">
        <v>4777.8100000000004</v>
      </c>
      <c r="M32" s="239">
        <v>15.77</v>
      </c>
      <c r="N32" s="239">
        <v>32132.5</v>
      </c>
      <c r="O32" s="239">
        <v>28.4</v>
      </c>
      <c r="P32" s="239">
        <v>479.27</v>
      </c>
      <c r="Q32" s="239">
        <v>582.49</v>
      </c>
      <c r="R32" s="239">
        <v>9361.48</v>
      </c>
      <c r="S32" s="239">
        <v>9.0399999999999991</v>
      </c>
      <c r="T32" s="239">
        <v>34916</v>
      </c>
      <c r="U32" s="239">
        <v>69</v>
      </c>
      <c r="V32" s="239"/>
      <c r="W32" s="239"/>
      <c r="X32" s="239">
        <v>5576.68</v>
      </c>
      <c r="Y32" s="239">
        <v>0</v>
      </c>
      <c r="Z32" s="239"/>
      <c r="AA32" s="255"/>
      <c r="AB32" s="239"/>
      <c r="AC32" s="256"/>
      <c r="AD32" s="239"/>
      <c r="AE32" s="256"/>
    </row>
    <row r="33" spans="1:31" ht="6.95" customHeight="1" x14ac:dyDescent="0.2">
      <c r="F33" s="257"/>
      <c r="G33" s="258"/>
      <c r="H33" s="257"/>
      <c r="I33" s="259"/>
      <c r="J33" s="259"/>
      <c r="K33" s="259"/>
      <c r="L33" s="257"/>
      <c r="M33" s="259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259"/>
      <c r="Z33" s="259"/>
      <c r="AA33" s="259"/>
      <c r="AB33" s="361"/>
      <c r="AC33" s="260"/>
      <c r="AD33" s="361"/>
      <c r="AE33" s="260"/>
    </row>
    <row r="34" spans="1:31" ht="15" x14ac:dyDescent="0.2">
      <c r="A34" s="103">
        <f>A31+1</f>
        <v>45575</v>
      </c>
      <c r="B34" s="103" t="s">
        <v>319</v>
      </c>
      <c r="C34" s="111" t="str">
        <f>A34 &amp; " " &amp;B34</f>
        <v>45575 0000H</v>
      </c>
      <c r="D34" s="112">
        <v>346.55</v>
      </c>
      <c r="E34" s="117">
        <v>49.65</v>
      </c>
      <c r="F34" s="254">
        <v>1102.8</v>
      </c>
      <c r="G34" s="255">
        <v>6.2</v>
      </c>
      <c r="H34" s="254">
        <v>72830.429999999993</v>
      </c>
      <c r="I34" s="239">
        <v>882.25</v>
      </c>
      <c r="J34" s="239">
        <v>32743.040000000001</v>
      </c>
      <c r="K34" s="255">
        <v>99.41</v>
      </c>
      <c r="L34" s="254">
        <v>4783.63</v>
      </c>
      <c r="M34" s="239">
        <v>15.77</v>
      </c>
      <c r="N34" s="239">
        <v>32139.5</v>
      </c>
      <c r="O34" s="239">
        <v>28.4</v>
      </c>
      <c r="P34" s="239">
        <v>479.35</v>
      </c>
      <c r="Q34" s="239">
        <v>583.48</v>
      </c>
      <c r="R34" s="239">
        <v>9365.77</v>
      </c>
      <c r="S34" s="239">
        <v>9.0399999999999991</v>
      </c>
      <c r="T34" s="239">
        <v>34924</v>
      </c>
      <c r="U34" s="239">
        <v>69</v>
      </c>
      <c r="V34" s="239"/>
      <c r="W34" s="239"/>
      <c r="X34" s="239">
        <v>5583.19</v>
      </c>
      <c r="Y34" s="239">
        <v>0</v>
      </c>
      <c r="Z34" s="239"/>
      <c r="AA34" s="255"/>
      <c r="AB34" s="239"/>
      <c r="AC34" s="256"/>
      <c r="AD34" s="239"/>
      <c r="AE34" s="256"/>
    </row>
    <row r="35" spans="1:31" ht="15" x14ac:dyDescent="0.2">
      <c r="A35" s="103">
        <f>A32+1</f>
        <v>45575</v>
      </c>
      <c r="B35" s="103" t="s">
        <v>147</v>
      </c>
      <c r="C35" s="111" t="str">
        <f>A35 &amp; " " &amp;B35</f>
        <v>45575 1200H</v>
      </c>
      <c r="D35" s="112">
        <v>349.85</v>
      </c>
      <c r="E35" s="117">
        <v>49.65</v>
      </c>
      <c r="F35" s="254">
        <v>1102.8</v>
      </c>
      <c r="G35" s="255">
        <v>6.2</v>
      </c>
      <c r="H35" s="254">
        <v>72840.59</v>
      </c>
      <c r="I35" s="239">
        <v>882.25</v>
      </c>
      <c r="J35" s="239">
        <v>32745.57</v>
      </c>
      <c r="K35" s="255">
        <v>99.42</v>
      </c>
      <c r="L35" s="254">
        <v>4789.34</v>
      </c>
      <c r="M35" s="239">
        <v>15.77</v>
      </c>
      <c r="N35" s="239">
        <v>32144.1</v>
      </c>
      <c r="O35" s="239">
        <v>28.4</v>
      </c>
      <c r="P35" s="239">
        <v>479.96</v>
      </c>
      <c r="Q35" s="239">
        <v>584.32000000000005</v>
      </c>
      <c r="R35" s="239">
        <v>9369.2999999999993</v>
      </c>
      <c r="S35" s="239">
        <v>9.0399999999999991</v>
      </c>
      <c r="T35" s="239">
        <v>34930</v>
      </c>
      <c r="U35" s="239">
        <v>69</v>
      </c>
      <c r="V35" s="239"/>
      <c r="W35" s="239"/>
      <c r="X35" s="239">
        <v>5588.47</v>
      </c>
      <c r="Y35" s="239"/>
      <c r="Z35" s="239"/>
      <c r="AA35" s="255"/>
      <c r="AB35" s="239"/>
      <c r="AC35" s="256"/>
      <c r="AD35" s="239"/>
      <c r="AE35" s="256"/>
    </row>
    <row r="36" spans="1:31" ht="6.95" customHeight="1" x14ac:dyDescent="0.2">
      <c r="F36" s="257"/>
      <c r="G36" s="258"/>
      <c r="H36" s="257"/>
      <c r="I36" s="259"/>
      <c r="J36" s="259"/>
      <c r="K36" s="259"/>
      <c r="L36" s="257"/>
      <c r="M36" s="259"/>
      <c r="N36" s="259"/>
      <c r="O36" s="259"/>
      <c r="P36" s="259"/>
      <c r="Q36" s="259"/>
      <c r="R36" s="259"/>
      <c r="S36" s="259"/>
      <c r="T36" s="259"/>
      <c r="U36" s="259"/>
      <c r="V36" s="259"/>
      <c r="W36" s="259"/>
      <c r="X36" s="259"/>
      <c r="Y36" s="259"/>
      <c r="Z36" s="259"/>
      <c r="AA36" s="259"/>
      <c r="AB36" s="361"/>
      <c r="AC36" s="260"/>
      <c r="AD36" s="361"/>
      <c r="AE36" s="260"/>
    </row>
    <row r="37" spans="1:31" ht="15" x14ac:dyDescent="0.2">
      <c r="A37" s="103">
        <f>A34+1</f>
        <v>45576</v>
      </c>
      <c r="B37" s="103" t="s">
        <v>319</v>
      </c>
      <c r="C37" s="111" t="str">
        <f>A37 &amp; " " &amp;B37</f>
        <v>45576 0000H</v>
      </c>
      <c r="D37" s="112">
        <v>355.78</v>
      </c>
      <c r="E37" s="117">
        <v>49.65</v>
      </c>
      <c r="F37" s="254">
        <v>1102.8</v>
      </c>
      <c r="G37" s="255">
        <v>6.2</v>
      </c>
      <c r="H37" s="254">
        <v>72851.22</v>
      </c>
      <c r="I37" s="239">
        <v>882.25</v>
      </c>
      <c r="J37" s="239">
        <v>32749.39</v>
      </c>
      <c r="K37" s="255">
        <v>99.42</v>
      </c>
      <c r="L37" s="254">
        <v>4795.17</v>
      </c>
      <c r="M37" s="239">
        <v>15.77</v>
      </c>
      <c r="N37" s="239">
        <v>32150.1</v>
      </c>
      <c r="O37" s="239">
        <v>28.4</v>
      </c>
      <c r="P37" s="239">
        <v>480.19</v>
      </c>
      <c r="Q37" s="239">
        <v>585.20000000000005</v>
      </c>
      <c r="R37" s="239">
        <v>9373.67</v>
      </c>
      <c r="S37" s="239">
        <v>9.0399999999999991</v>
      </c>
      <c r="T37" s="239">
        <v>34938</v>
      </c>
      <c r="U37" s="239">
        <v>69</v>
      </c>
      <c r="V37" s="239"/>
      <c r="W37" s="239"/>
      <c r="X37" s="239">
        <v>5593.94</v>
      </c>
      <c r="Y37" s="239">
        <v>0</v>
      </c>
      <c r="Z37" s="239"/>
      <c r="AA37" s="255"/>
      <c r="AB37" s="239"/>
      <c r="AC37" s="256"/>
      <c r="AD37" s="239"/>
      <c r="AE37" s="256"/>
    </row>
    <row r="38" spans="1:31" ht="15" x14ac:dyDescent="0.2">
      <c r="A38" s="103">
        <f>A35+1</f>
        <v>45576</v>
      </c>
      <c r="B38" s="103" t="s">
        <v>147</v>
      </c>
      <c r="C38" s="111" t="str">
        <f>A38 &amp; " " &amp;B38</f>
        <v>45576 1200H</v>
      </c>
      <c r="D38" s="112">
        <v>359.63</v>
      </c>
      <c r="E38" s="117">
        <v>49.65</v>
      </c>
      <c r="F38" s="254">
        <v>1102.8</v>
      </c>
      <c r="G38" s="255">
        <v>6.2</v>
      </c>
      <c r="H38" s="254">
        <v>72861.460000000006</v>
      </c>
      <c r="I38" s="239">
        <v>882.25</v>
      </c>
      <c r="J38" s="239">
        <v>32749.72</v>
      </c>
      <c r="K38" s="255">
        <v>99.4</v>
      </c>
      <c r="L38" s="254">
        <v>4800.8999999999996</v>
      </c>
      <c r="M38" s="239">
        <v>15.77</v>
      </c>
      <c r="N38" s="239">
        <v>32155.3</v>
      </c>
      <c r="O38" s="239">
        <v>28.4</v>
      </c>
      <c r="P38" s="239">
        <v>480.79</v>
      </c>
      <c r="Q38" s="239">
        <v>585.72</v>
      </c>
      <c r="R38" s="239">
        <v>9377.3700000000008</v>
      </c>
      <c r="S38" s="239">
        <v>9.0399999999999991</v>
      </c>
      <c r="T38" s="239">
        <v>34944</v>
      </c>
      <c r="U38" s="239">
        <v>69</v>
      </c>
      <c r="V38" s="239"/>
      <c r="W38" s="239"/>
      <c r="X38" s="239">
        <v>5600.3</v>
      </c>
      <c r="Y38" s="239">
        <v>0</v>
      </c>
      <c r="Z38" s="239"/>
      <c r="AA38" s="255"/>
      <c r="AB38" s="239"/>
      <c r="AC38" s="256"/>
      <c r="AD38" s="239"/>
      <c r="AE38" s="256"/>
    </row>
    <row r="39" spans="1:31" ht="6.95" customHeight="1" x14ac:dyDescent="0.2">
      <c r="F39" s="257"/>
      <c r="G39" s="258"/>
      <c r="H39" s="257"/>
      <c r="I39" s="259"/>
      <c r="J39" s="259"/>
      <c r="K39" s="259"/>
      <c r="L39" s="257"/>
      <c r="M39" s="259"/>
      <c r="N39" s="259"/>
      <c r="O39" s="259"/>
      <c r="P39" s="259"/>
      <c r="Q39" s="259"/>
      <c r="R39" s="259"/>
      <c r="S39" s="259"/>
      <c r="T39" s="259"/>
      <c r="U39" s="259"/>
      <c r="V39" s="259"/>
      <c r="W39" s="259"/>
      <c r="X39" s="259"/>
      <c r="Y39" s="259"/>
      <c r="Z39" s="259"/>
      <c r="AA39" s="259"/>
      <c r="AB39" s="361"/>
      <c r="AC39" s="260"/>
      <c r="AD39" s="361"/>
      <c r="AE39" s="260"/>
    </row>
    <row r="40" spans="1:31" ht="15" x14ac:dyDescent="0.2">
      <c r="A40" s="103">
        <f>A37+1</f>
        <v>45577</v>
      </c>
      <c r="B40" s="103" t="s">
        <v>319</v>
      </c>
      <c r="C40" s="111" t="str">
        <f>A40 &amp; " " &amp;B40</f>
        <v>45577 0000H</v>
      </c>
      <c r="D40" s="112">
        <v>365.81</v>
      </c>
      <c r="E40" s="117">
        <v>49.65</v>
      </c>
      <c r="F40" s="254">
        <v>1102.8</v>
      </c>
      <c r="G40" s="255">
        <v>6.2</v>
      </c>
      <c r="H40" s="254">
        <v>72875.56</v>
      </c>
      <c r="I40" s="239">
        <v>882.25</v>
      </c>
      <c r="J40" s="239">
        <v>32749.72</v>
      </c>
      <c r="K40" s="255">
        <v>99.47</v>
      </c>
      <c r="L40" s="254">
        <v>4806.82</v>
      </c>
      <c r="M40" s="239">
        <v>15.77</v>
      </c>
      <c r="N40" s="239">
        <v>32161.599999999999</v>
      </c>
      <c r="O40" s="239">
        <v>28.4</v>
      </c>
      <c r="P40" s="239">
        <v>481.82</v>
      </c>
      <c r="Q40" s="239">
        <v>586.30999999999995</v>
      </c>
      <c r="R40" s="239">
        <v>9381.91</v>
      </c>
      <c r="S40" s="239">
        <v>9.0399999999999991</v>
      </c>
      <c r="T40" s="239">
        <v>34952</v>
      </c>
      <c r="U40" s="239">
        <v>69</v>
      </c>
      <c r="V40" s="239"/>
      <c r="W40" s="239"/>
      <c r="X40" s="239">
        <v>5607.79</v>
      </c>
      <c r="Y40" s="239">
        <v>0</v>
      </c>
      <c r="Z40" s="239"/>
      <c r="AA40" s="255"/>
      <c r="AB40" s="239"/>
      <c r="AC40" s="256"/>
      <c r="AD40" s="239"/>
      <c r="AE40" s="256"/>
    </row>
    <row r="41" spans="1:31" ht="15" x14ac:dyDescent="0.2">
      <c r="A41" s="103">
        <f>A38+1</f>
        <v>45577</v>
      </c>
      <c r="B41" s="103" t="s">
        <v>147</v>
      </c>
      <c r="C41" s="111" t="str">
        <f>A41 &amp; " " &amp;B41</f>
        <v>45577 1200H</v>
      </c>
      <c r="D41" s="112">
        <v>369.42</v>
      </c>
      <c r="E41" s="117">
        <v>49.65</v>
      </c>
      <c r="F41" s="254">
        <v>1102.8</v>
      </c>
      <c r="G41" s="255">
        <v>6.2</v>
      </c>
      <c r="H41" s="254">
        <v>72882.92</v>
      </c>
      <c r="I41" s="239">
        <v>882.38</v>
      </c>
      <c r="J41" s="239">
        <v>32749.72</v>
      </c>
      <c r="K41" s="255">
        <v>99.47</v>
      </c>
      <c r="L41" s="254">
        <v>4812.6899999999996</v>
      </c>
      <c r="M41" s="239">
        <v>15.77</v>
      </c>
      <c r="N41" s="239">
        <v>32167.1</v>
      </c>
      <c r="O41" s="239">
        <v>28.4</v>
      </c>
      <c r="P41" s="239">
        <v>481.93</v>
      </c>
      <c r="Q41" s="239">
        <v>587.12</v>
      </c>
      <c r="R41" s="239">
        <v>9385.86</v>
      </c>
      <c r="S41" s="239">
        <v>9.0399999999999991</v>
      </c>
      <c r="T41" s="239">
        <v>34958</v>
      </c>
      <c r="U41" s="239">
        <v>69</v>
      </c>
      <c r="V41" s="239"/>
      <c r="W41" s="239"/>
      <c r="X41" s="239">
        <v>5613.74</v>
      </c>
      <c r="Y41" s="239">
        <v>0</v>
      </c>
      <c r="Z41" s="239"/>
      <c r="AA41" s="255"/>
      <c r="AB41" s="239"/>
      <c r="AC41" s="256"/>
      <c r="AD41" s="239"/>
      <c r="AE41" s="256"/>
    </row>
    <row r="42" spans="1:31" ht="6.95" customHeight="1" x14ac:dyDescent="0.2">
      <c r="F42" s="257"/>
      <c r="G42" s="258"/>
      <c r="H42" s="257"/>
      <c r="I42" s="259"/>
      <c r="J42" s="259"/>
      <c r="K42" s="259"/>
      <c r="L42" s="257"/>
      <c r="M42" s="259"/>
      <c r="N42" s="259"/>
      <c r="O42" s="259"/>
      <c r="P42" s="259"/>
      <c r="Q42" s="259"/>
      <c r="R42" s="259"/>
      <c r="S42" s="259"/>
      <c r="T42" s="259"/>
      <c r="U42" s="259"/>
      <c r="V42" s="259"/>
      <c r="W42" s="259"/>
      <c r="X42" s="259"/>
      <c r="Y42" s="259"/>
      <c r="Z42" s="259"/>
      <c r="AA42" s="259"/>
      <c r="AB42" s="361"/>
      <c r="AC42" s="260"/>
      <c r="AD42" s="361"/>
      <c r="AE42" s="260"/>
    </row>
    <row r="43" spans="1:31" ht="15" x14ac:dyDescent="0.2">
      <c r="A43" s="103">
        <f>A40+1</f>
        <v>45578</v>
      </c>
      <c r="B43" s="103" t="s">
        <v>319</v>
      </c>
      <c r="C43" s="111" t="str">
        <f>A43 &amp; " " &amp;B43</f>
        <v>45578 0000H</v>
      </c>
      <c r="D43" s="112">
        <v>374.3</v>
      </c>
      <c r="E43" s="117">
        <v>49.65</v>
      </c>
      <c r="F43" s="254">
        <v>1102.8</v>
      </c>
      <c r="G43" s="255">
        <v>6.2</v>
      </c>
      <c r="H43" s="254">
        <v>72891.149999999994</v>
      </c>
      <c r="I43" s="239">
        <v>882.47</v>
      </c>
      <c r="J43" s="239">
        <v>32749.72</v>
      </c>
      <c r="K43" s="255">
        <v>99.55</v>
      </c>
      <c r="L43" s="254">
        <v>4818.59</v>
      </c>
      <c r="M43" s="239">
        <v>15.77</v>
      </c>
      <c r="N43" s="239">
        <v>32174.1</v>
      </c>
      <c r="O43" s="239">
        <v>28.4</v>
      </c>
      <c r="P43" s="239">
        <v>483.77</v>
      </c>
      <c r="Q43" s="239">
        <v>587.29</v>
      </c>
      <c r="R43" s="239">
        <v>9390.4699999999993</v>
      </c>
      <c r="S43" s="239">
        <v>9.0399999999999991</v>
      </c>
      <c r="T43" s="239">
        <v>34964</v>
      </c>
      <c r="U43" s="239">
        <v>69</v>
      </c>
      <c r="V43" s="239"/>
      <c r="W43" s="239"/>
      <c r="X43" s="239">
        <v>5621.54</v>
      </c>
      <c r="Y43" s="239">
        <v>0</v>
      </c>
      <c r="Z43" s="239"/>
      <c r="AA43" s="255"/>
      <c r="AB43" s="239"/>
      <c r="AC43" s="256"/>
      <c r="AD43" s="239"/>
      <c r="AE43" s="256"/>
    </row>
    <row r="44" spans="1:31" ht="15" x14ac:dyDescent="0.2">
      <c r="A44" s="103">
        <f>A41+1</f>
        <v>45578</v>
      </c>
      <c r="B44" s="103" t="s">
        <v>147</v>
      </c>
      <c r="C44" s="111" t="str">
        <f>A44 &amp; " " &amp;B44</f>
        <v>45578 1200H</v>
      </c>
      <c r="D44" s="112">
        <v>377.86</v>
      </c>
      <c r="E44" s="117">
        <v>49.65</v>
      </c>
      <c r="F44" s="254">
        <v>1102.8</v>
      </c>
      <c r="G44" s="255">
        <v>6.2</v>
      </c>
      <c r="H44" s="254">
        <v>72889.039999999994</v>
      </c>
      <c r="I44" s="239">
        <v>882.54</v>
      </c>
      <c r="J44" s="239">
        <v>32749.72</v>
      </c>
      <c r="K44" s="255">
        <v>99.55</v>
      </c>
      <c r="L44" s="254">
        <v>4824.32</v>
      </c>
      <c r="M44" s="239">
        <v>15.77</v>
      </c>
      <c r="N44" s="239">
        <v>32179.200000000001</v>
      </c>
      <c r="O44" s="239">
        <v>28.4</v>
      </c>
      <c r="P44" s="239">
        <v>484.07</v>
      </c>
      <c r="Q44" s="239">
        <v>588.04999999999995</v>
      </c>
      <c r="R44" s="239">
        <v>9393.94</v>
      </c>
      <c r="S44" s="239">
        <v>9.0399999999999991</v>
      </c>
      <c r="T44" s="239">
        <v>34970</v>
      </c>
      <c r="U44" s="239">
        <v>69</v>
      </c>
      <c r="V44" s="239"/>
      <c r="W44" s="239"/>
      <c r="X44" s="239">
        <v>5628.31</v>
      </c>
      <c r="Y44" s="239">
        <v>0</v>
      </c>
      <c r="Z44" s="239"/>
      <c r="AA44" s="255"/>
      <c r="AB44" s="239"/>
      <c r="AC44" s="256"/>
      <c r="AD44" s="239"/>
      <c r="AE44" s="256"/>
    </row>
    <row r="45" spans="1:31" ht="6.95" customHeight="1" x14ac:dyDescent="0.2">
      <c r="F45" s="257"/>
      <c r="G45" s="258"/>
      <c r="H45" s="257"/>
      <c r="I45" s="259"/>
      <c r="J45" s="259"/>
      <c r="K45" s="259"/>
      <c r="L45" s="257"/>
      <c r="M45" s="259"/>
      <c r="N45" s="259"/>
      <c r="O45" s="259"/>
      <c r="P45" s="259"/>
      <c r="Q45" s="259"/>
      <c r="R45" s="259"/>
      <c r="S45" s="259"/>
      <c r="T45" s="259"/>
      <c r="U45" s="259"/>
      <c r="V45" s="259"/>
      <c r="W45" s="259"/>
      <c r="X45" s="259"/>
      <c r="Y45" s="259"/>
      <c r="Z45" s="259"/>
      <c r="AA45" s="259"/>
      <c r="AB45" s="361"/>
      <c r="AC45" s="260"/>
      <c r="AD45" s="361"/>
      <c r="AE45" s="260"/>
    </row>
    <row r="46" spans="1:31" ht="15" x14ac:dyDescent="0.2">
      <c r="A46" s="103">
        <f>A43+1</f>
        <v>45579</v>
      </c>
      <c r="B46" s="103" t="s">
        <v>319</v>
      </c>
      <c r="C46" s="111" t="str">
        <f>A46 &amp; " " &amp;B46</f>
        <v>45579 0000H</v>
      </c>
      <c r="D46" s="112">
        <v>382.59</v>
      </c>
      <c r="E46" s="117">
        <v>49.65</v>
      </c>
      <c r="F46" s="254">
        <v>1102.8</v>
      </c>
      <c r="G46" s="255">
        <v>6.2</v>
      </c>
      <c r="H46" s="254">
        <v>72906.899999999994</v>
      </c>
      <c r="I46" s="239">
        <v>882.62</v>
      </c>
      <c r="J46" s="239">
        <v>32752.32</v>
      </c>
      <c r="K46" s="255">
        <v>99.69</v>
      </c>
      <c r="L46" s="254">
        <v>4830.1899999999996</v>
      </c>
      <c r="M46" s="239">
        <v>15.77</v>
      </c>
      <c r="N46" s="239">
        <v>32186.2</v>
      </c>
      <c r="O46" s="239">
        <v>28.4</v>
      </c>
      <c r="P46" s="239">
        <v>485.23</v>
      </c>
      <c r="Q46" s="239">
        <v>588.48</v>
      </c>
      <c r="R46" s="239">
        <v>9398.7199999999993</v>
      </c>
      <c r="S46" s="239">
        <v>9.0399999999999991</v>
      </c>
      <c r="T46" s="239">
        <v>34977</v>
      </c>
      <c r="U46" s="239">
        <v>69</v>
      </c>
      <c r="V46" s="239"/>
      <c r="W46" s="239"/>
      <c r="X46" s="239">
        <v>5635.8</v>
      </c>
      <c r="Y46" s="239">
        <v>0</v>
      </c>
      <c r="Z46" s="239"/>
      <c r="AA46" s="255"/>
      <c r="AB46" s="239"/>
      <c r="AC46" s="256"/>
      <c r="AD46" s="239"/>
      <c r="AE46" s="256"/>
    </row>
    <row r="47" spans="1:31" ht="15" x14ac:dyDescent="0.2">
      <c r="A47" s="103">
        <f>A44+1</f>
        <v>45579</v>
      </c>
      <c r="B47" s="103" t="s">
        <v>147</v>
      </c>
      <c r="C47" s="111" t="str">
        <f>A47 &amp; " " &amp;B47</f>
        <v>45579 1200H</v>
      </c>
      <c r="D47" s="112">
        <v>386.16</v>
      </c>
      <c r="E47" s="117">
        <v>49.65</v>
      </c>
      <c r="F47" s="254">
        <v>1102.8</v>
      </c>
      <c r="G47" s="255">
        <v>6.2</v>
      </c>
      <c r="H47" s="254">
        <v>72917.179999999993</v>
      </c>
      <c r="I47" s="239">
        <v>882.62</v>
      </c>
      <c r="J47" s="239">
        <v>32754.720000000001</v>
      </c>
      <c r="K47" s="255">
        <v>99.72</v>
      </c>
      <c r="L47" s="254">
        <v>4835.88</v>
      </c>
      <c r="M47" s="239">
        <v>15.77</v>
      </c>
      <c r="N47" s="239">
        <v>32190</v>
      </c>
      <c r="O47" s="239">
        <v>28.4</v>
      </c>
      <c r="P47" s="239">
        <v>486.33</v>
      </c>
      <c r="Q47" s="239">
        <v>589.20000000000005</v>
      </c>
      <c r="R47" s="239">
        <v>9402.56</v>
      </c>
      <c r="S47" s="239">
        <v>9.0399999999999991</v>
      </c>
      <c r="T47" s="239">
        <v>34984</v>
      </c>
      <c r="U47" s="239">
        <v>69</v>
      </c>
      <c r="V47" s="239">
        <v>176.84</v>
      </c>
      <c r="W47" s="239">
        <v>0.14000000000000001</v>
      </c>
      <c r="X47" s="239">
        <v>5642.35</v>
      </c>
      <c r="Y47" s="239">
        <v>0</v>
      </c>
      <c r="Z47" s="239"/>
      <c r="AA47" s="255"/>
      <c r="AB47" s="239"/>
      <c r="AC47" s="256"/>
      <c r="AD47" s="239"/>
      <c r="AE47" s="256"/>
    </row>
    <row r="48" spans="1:31" ht="6.95" customHeight="1" x14ac:dyDescent="0.2">
      <c r="F48" s="257"/>
      <c r="G48" s="258"/>
      <c r="H48" s="257"/>
      <c r="I48" s="259"/>
      <c r="J48" s="259"/>
      <c r="K48" s="259"/>
      <c r="L48" s="257"/>
      <c r="M48" s="259"/>
      <c r="N48" s="259"/>
      <c r="O48" s="259"/>
      <c r="P48" s="259"/>
      <c r="Q48" s="259"/>
      <c r="R48" s="259"/>
      <c r="S48" s="259"/>
      <c r="T48" s="259"/>
      <c r="U48" s="259"/>
      <c r="V48" s="259"/>
      <c r="W48" s="259"/>
      <c r="X48" s="259"/>
      <c r="Y48" s="259"/>
      <c r="Z48" s="259"/>
      <c r="AA48" s="259"/>
      <c r="AB48" s="361"/>
      <c r="AC48" s="260"/>
      <c r="AD48" s="361"/>
      <c r="AE48" s="260"/>
    </row>
    <row r="49" spans="1:31" ht="15" x14ac:dyDescent="0.2">
      <c r="A49" s="103">
        <f>A46+1</f>
        <v>45580</v>
      </c>
      <c r="B49" s="103" t="s">
        <v>319</v>
      </c>
      <c r="C49" s="111" t="str">
        <f>A49 &amp; " " &amp;B49</f>
        <v>45580 0000H</v>
      </c>
      <c r="D49" s="112">
        <v>391.41</v>
      </c>
      <c r="E49" s="117">
        <v>49.65</v>
      </c>
      <c r="F49" s="254">
        <v>1102.8</v>
      </c>
      <c r="G49" s="255">
        <v>6.2</v>
      </c>
      <c r="H49" s="254">
        <v>72927.47</v>
      </c>
      <c r="I49" s="239">
        <v>882.62</v>
      </c>
      <c r="J49" s="239">
        <v>32758.6</v>
      </c>
      <c r="K49" s="255">
        <v>99.72</v>
      </c>
      <c r="L49" s="254">
        <v>4841.7</v>
      </c>
      <c r="M49" s="239">
        <v>15.77</v>
      </c>
      <c r="N49" s="239">
        <v>32195.8</v>
      </c>
      <c r="O49" s="239">
        <v>28.4</v>
      </c>
      <c r="P49" s="239">
        <v>487.72</v>
      </c>
      <c r="Q49" s="239">
        <v>589.55999999999995</v>
      </c>
      <c r="R49" s="239">
        <v>9407.1299999999992</v>
      </c>
      <c r="S49" s="239">
        <v>9.0399999999999991</v>
      </c>
      <c r="T49" s="239">
        <v>34999</v>
      </c>
      <c r="U49" s="239">
        <v>69</v>
      </c>
      <c r="V49" s="239">
        <v>180.09</v>
      </c>
      <c r="W49" s="239">
        <v>0.14000000000000001</v>
      </c>
      <c r="X49" s="239">
        <v>5650.35</v>
      </c>
      <c r="Y49" s="239">
        <v>0</v>
      </c>
      <c r="Z49" s="239"/>
      <c r="AA49" s="255"/>
      <c r="AB49" s="239"/>
      <c r="AC49" s="256"/>
      <c r="AD49" s="239"/>
      <c r="AE49" s="256"/>
    </row>
    <row r="50" spans="1:31" ht="15" x14ac:dyDescent="0.2">
      <c r="A50" s="103">
        <f>A47+1</f>
        <v>45580</v>
      </c>
      <c r="B50" s="103" t="s">
        <v>147</v>
      </c>
      <c r="C50" s="111" t="str">
        <f>A50 &amp; " " &amp;B50</f>
        <v>45580 1200H</v>
      </c>
      <c r="D50" s="112">
        <v>395</v>
      </c>
      <c r="E50" s="117">
        <v>49.65</v>
      </c>
      <c r="F50" s="254">
        <v>1102.8</v>
      </c>
      <c r="G50" s="255">
        <v>6.2</v>
      </c>
      <c r="H50" s="254">
        <v>72937.850000000006</v>
      </c>
      <c r="I50" s="239">
        <v>882.62</v>
      </c>
      <c r="J50" s="239">
        <v>32761.22</v>
      </c>
      <c r="K50" s="255">
        <v>99.75</v>
      </c>
      <c r="L50" s="254">
        <v>4847.4799999999996</v>
      </c>
      <c r="M50" s="239">
        <v>15.77</v>
      </c>
      <c r="N50" s="239">
        <v>32200.400000000001</v>
      </c>
      <c r="O50" s="239">
        <v>28.4</v>
      </c>
      <c r="P50" s="239">
        <v>488.43</v>
      </c>
      <c r="Q50" s="239">
        <v>590.20000000000005</v>
      </c>
      <c r="R50" s="239">
        <v>9410.7900000000009</v>
      </c>
      <c r="S50" s="239">
        <v>9.0399999999999991</v>
      </c>
      <c r="T50" s="239">
        <v>34997</v>
      </c>
      <c r="U50" s="239">
        <v>69</v>
      </c>
      <c r="V50" s="239">
        <v>180.09</v>
      </c>
      <c r="W50" s="239">
        <v>0.14000000000000001</v>
      </c>
      <c r="X50" s="239">
        <v>5656.77</v>
      </c>
      <c r="Y50" s="239">
        <v>0</v>
      </c>
      <c r="Z50" s="239"/>
      <c r="AA50" s="255"/>
      <c r="AB50" s="239"/>
      <c r="AC50" s="256"/>
      <c r="AD50" s="239"/>
      <c r="AE50" s="256"/>
    </row>
    <row r="51" spans="1:31" ht="6.95" customHeight="1" x14ac:dyDescent="0.2">
      <c r="F51" s="257"/>
      <c r="G51" s="258"/>
      <c r="H51" s="257"/>
      <c r="I51" s="259"/>
      <c r="J51" s="259"/>
      <c r="K51" s="259"/>
      <c r="L51" s="257"/>
      <c r="M51" s="259"/>
      <c r="N51" s="259"/>
      <c r="O51" s="259"/>
      <c r="P51" s="259"/>
      <c r="Q51" s="259"/>
      <c r="R51" s="259"/>
      <c r="S51" s="259"/>
      <c r="T51" s="259"/>
      <c r="U51" s="259"/>
      <c r="V51" s="259"/>
      <c r="W51" s="259"/>
      <c r="X51" s="259"/>
      <c r="Y51" s="259"/>
      <c r="Z51" s="259"/>
      <c r="AA51" s="259"/>
      <c r="AB51" s="361"/>
      <c r="AC51" s="260"/>
      <c r="AD51" s="361"/>
      <c r="AE51" s="260"/>
    </row>
    <row r="52" spans="1:31" ht="15" x14ac:dyDescent="0.2">
      <c r="A52" s="103">
        <f>A49+1</f>
        <v>45581</v>
      </c>
      <c r="B52" s="103" t="s">
        <v>319</v>
      </c>
      <c r="C52" s="111" t="str">
        <f>A52 &amp; " " &amp;B52</f>
        <v>45581 0000H</v>
      </c>
      <c r="D52" s="112">
        <v>399.54</v>
      </c>
      <c r="E52" s="117">
        <v>49.65</v>
      </c>
      <c r="F52" s="254">
        <v>1102.8</v>
      </c>
      <c r="G52" s="255">
        <v>6.2</v>
      </c>
      <c r="H52" s="254">
        <v>72948.22</v>
      </c>
      <c r="I52" s="239">
        <v>882.62</v>
      </c>
      <c r="J52" s="239">
        <v>32765.08</v>
      </c>
      <c r="K52" s="255">
        <v>99.75</v>
      </c>
      <c r="L52" s="254">
        <v>4853.2700000000004</v>
      </c>
      <c r="M52" s="239">
        <v>15.77</v>
      </c>
      <c r="N52" s="239">
        <v>32208.2</v>
      </c>
      <c r="O52" s="239">
        <v>28.4</v>
      </c>
      <c r="P52" s="239">
        <v>490.35</v>
      </c>
      <c r="Q52" s="239">
        <v>590.47</v>
      </c>
      <c r="R52" s="239">
        <v>9415.25</v>
      </c>
      <c r="S52" s="239">
        <v>9.0399999999999991</v>
      </c>
      <c r="T52" s="239">
        <v>35005</v>
      </c>
      <c r="U52" s="239">
        <v>69</v>
      </c>
      <c r="V52" s="239">
        <v>180.09</v>
      </c>
      <c r="W52" s="239">
        <v>0.14000000000000001</v>
      </c>
      <c r="X52" s="239">
        <v>5664.11</v>
      </c>
      <c r="Y52" s="239">
        <v>0</v>
      </c>
      <c r="Z52" s="239"/>
      <c r="AA52" s="255"/>
      <c r="AB52" s="239"/>
      <c r="AC52" s="256"/>
      <c r="AD52" s="239"/>
      <c r="AE52" s="256"/>
    </row>
    <row r="53" spans="1:31" ht="15" x14ac:dyDescent="0.2">
      <c r="A53" s="103">
        <f>A50+1</f>
        <v>45581</v>
      </c>
      <c r="B53" s="103" t="s">
        <v>147</v>
      </c>
      <c r="C53" s="111" t="str">
        <f>A53 &amp; " " &amp;B53</f>
        <v>45581 1200H</v>
      </c>
      <c r="D53" s="112">
        <v>403.12</v>
      </c>
      <c r="E53" s="117">
        <v>49.65</v>
      </c>
      <c r="F53" s="254">
        <v>1102.8</v>
      </c>
      <c r="G53" s="255">
        <v>6.2</v>
      </c>
      <c r="H53" s="254">
        <v>72958.679999999993</v>
      </c>
      <c r="I53" s="239">
        <v>882.62</v>
      </c>
      <c r="J53" s="239"/>
      <c r="K53" s="255"/>
      <c r="L53" s="254">
        <v>4859.01</v>
      </c>
      <c r="M53" s="239">
        <v>15.77</v>
      </c>
      <c r="N53" s="239">
        <v>32213.200000000001</v>
      </c>
      <c r="O53" s="239">
        <v>28.4</v>
      </c>
      <c r="P53" s="239">
        <v>490.8</v>
      </c>
      <c r="Q53" s="239">
        <v>591.29</v>
      </c>
      <c r="R53" s="239">
        <v>9418.7800000000007</v>
      </c>
      <c r="S53" s="239">
        <v>9.0399999999999991</v>
      </c>
      <c r="T53" s="239">
        <v>35011</v>
      </c>
      <c r="U53" s="239">
        <v>69</v>
      </c>
      <c r="V53" s="239">
        <v>180.09</v>
      </c>
      <c r="W53" s="239">
        <v>0.14000000000000001</v>
      </c>
      <c r="X53" s="239">
        <v>5670.39</v>
      </c>
      <c r="Y53" s="239"/>
      <c r="Z53" s="239"/>
      <c r="AA53" s="255"/>
      <c r="AB53" s="239"/>
      <c r="AC53" s="256"/>
      <c r="AD53" s="239"/>
      <c r="AE53" s="256"/>
    </row>
    <row r="54" spans="1:31" ht="6.95" customHeight="1" x14ac:dyDescent="0.2">
      <c r="F54" s="257"/>
      <c r="G54" s="258"/>
      <c r="H54" s="257"/>
      <c r="I54" s="259"/>
      <c r="J54" s="259"/>
      <c r="K54" s="259"/>
      <c r="L54" s="257"/>
      <c r="M54" s="259"/>
      <c r="N54" s="259"/>
      <c r="O54" s="259"/>
      <c r="P54" s="259"/>
      <c r="Q54" s="259"/>
      <c r="R54" s="259"/>
      <c r="S54" s="259"/>
      <c r="T54" s="259"/>
      <c r="U54" s="259"/>
      <c r="V54" s="259"/>
      <c r="W54" s="259"/>
      <c r="X54" s="259"/>
      <c r="Y54" s="259"/>
      <c r="Z54" s="259"/>
      <c r="AA54" s="259"/>
      <c r="AB54" s="361"/>
      <c r="AC54" s="260"/>
      <c r="AD54" s="361"/>
      <c r="AE54" s="260"/>
    </row>
    <row r="55" spans="1:31" ht="15" x14ac:dyDescent="0.2">
      <c r="A55" s="103">
        <f>A52+1</f>
        <v>45582</v>
      </c>
      <c r="B55" s="103" t="s">
        <v>319</v>
      </c>
      <c r="C55" s="111" t="str">
        <f>A55 &amp; " " &amp;B55</f>
        <v>45582 0000H</v>
      </c>
      <c r="D55" s="112">
        <v>404.58</v>
      </c>
      <c r="E55" s="117">
        <v>49.65</v>
      </c>
      <c r="F55" s="254">
        <v>1102.8</v>
      </c>
      <c r="G55" s="255">
        <v>6.2</v>
      </c>
      <c r="H55" s="254">
        <v>72967.11</v>
      </c>
      <c r="I55" s="239">
        <v>882.7</v>
      </c>
      <c r="J55" s="239">
        <v>32771.25</v>
      </c>
      <c r="K55" s="255">
        <v>99.79</v>
      </c>
      <c r="L55" s="254">
        <v>4864.8</v>
      </c>
      <c r="M55" s="239">
        <v>15.77</v>
      </c>
      <c r="N55" s="239">
        <v>32221.1</v>
      </c>
      <c r="O55" s="239">
        <v>28.4</v>
      </c>
      <c r="P55" s="239">
        <v>492.17</v>
      </c>
      <c r="Q55" s="239">
        <v>591.71</v>
      </c>
      <c r="R55" s="239">
        <v>9422.84</v>
      </c>
      <c r="S55" s="239">
        <v>9.0399999999999991</v>
      </c>
      <c r="T55" s="239">
        <v>35018</v>
      </c>
      <c r="U55" s="239">
        <v>69</v>
      </c>
      <c r="V55" s="239">
        <v>180.09</v>
      </c>
      <c r="W55" s="239">
        <v>0.14000000000000001</v>
      </c>
      <c r="X55" s="239">
        <v>5677.56</v>
      </c>
      <c r="Y55" s="239">
        <v>0</v>
      </c>
      <c r="Z55" s="239"/>
      <c r="AA55" s="255"/>
      <c r="AB55" s="239"/>
      <c r="AC55" s="256"/>
      <c r="AD55" s="239"/>
      <c r="AE55" s="256"/>
    </row>
    <row r="56" spans="1:31" ht="15" x14ac:dyDescent="0.2">
      <c r="A56" s="103">
        <f>A53+1</f>
        <v>45582</v>
      </c>
      <c r="B56" s="103" t="s">
        <v>147</v>
      </c>
      <c r="C56" s="111" t="str">
        <f>A56 &amp; " " &amp;B56</f>
        <v>45582 1200H</v>
      </c>
      <c r="D56" s="112">
        <v>411.52</v>
      </c>
      <c r="E56" s="117">
        <v>49.65</v>
      </c>
      <c r="F56" s="254">
        <v>1102.8</v>
      </c>
      <c r="G56" s="255">
        <v>6.2</v>
      </c>
      <c r="H56" s="254">
        <v>72974.429999999993</v>
      </c>
      <c r="I56" s="239">
        <v>882.8</v>
      </c>
      <c r="J56" s="239">
        <v>32773.440000000002</v>
      </c>
      <c r="K56" s="255">
        <v>99.82</v>
      </c>
      <c r="L56" s="254">
        <v>4870.6099999999997</v>
      </c>
      <c r="M56" s="239">
        <v>15.77</v>
      </c>
      <c r="N56" s="239">
        <v>32224.9</v>
      </c>
      <c r="O56" s="239">
        <v>28.4</v>
      </c>
      <c r="P56" s="239">
        <v>493.37</v>
      </c>
      <c r="Q56" s="239">
        <v>592.27</v>
      </c>
      <c r="R56" s="239">
        <v>9426.4500000000007</v>
      </c>
      <c r="S56" s="239">
        <v>9.0399999999999991</v>
      </c>
      <c r="T56" s="239">
        <v>35024</v>
      </c>
      <c r="U56" s="239">
        <v>69</v>
      </c>
      <c r="V56" s="239">
        <v>181.43</v>
      </c>
      <c r="W56" s="239">
        <v>0.14000000000000001</v>
      </c>
      <c r="X56" s="239">
        <v>5683.81</v>
      </c>
      <c r="Y56" s="239">
        <v>0</v>
      </c>
      <c r="Z56" s="239"/>
      <c r="AA56" s="255"/>
      <c r="AB56" s="239"/>
      <c r="AC56" s="256"/>
      <c r="AD56" s="239"/>
      <c r="AE56" s="256"/>
    </row>
    <row r="57" spans="1:31" ht="6.95" customHeight="1" x14ac:dyDescent="0.2">
      <c r="F57" s="257"/>
      <c r="G57" s="258"/>
      <c r="H57" s="257"/>
      <c r="I57" s="259"/>
      <c r="J57" s="259"/>
      <c r="K57" s="259"/>
      <c r="L57" s="257"/>
      <c r="M57" s="259"/>
      <c r="N57" s="259"/>
      <c r="O57" s="259"/>
      <c r="P57" s="259"/>
      <c r="Q57" s="259"/>
      <c r="R57" s="259"/>
      <c r="S57" s="259"/>
      <c r="T57" s="259"/>
      <c r="U57" s="259"/>
      <c r="V57" s="259"/>
      <c r="W57" s="259"/>
      <c r="X57" s="259"/>
      <c r="Y57" s="259"/>
      <c r="Z57" s="259"/>
      <c r="AA57" s="259"/>
      <c r="AB57" s="361"/>
      <c r="AC57" s="260"/>
      <c r="AD57" s="361"/>
      <c r="AE57" s="260"/>
    </row>
    <row r="58" spans="1:31" ht="15" x14ac:dyDescent="0.2">
      <c r="A58" s="103">
        <f>A55+1</f>
        <v>45583</v>
      </c>
      <c r="B58" s="103" t="s">
        <v>319</v>
      </c>
      <c r="C58" s="111" t="str">
        <f>A58 &amp; " " &amp;B58</f>
        <v>45583 0000H</v>
      </c>
      <c r="D58" s="112">
        <v>416.09</v>
      </c>
      <c r="E58" s="117">
        <v>49.65</v>
      </c>
      <c r="F58" s="254">
        <v>1102.8</v>
      </c>
      <c r="G58" s="255">
        <v>6.2</v>
      </c>
      <c r="H58" s="254">
        <v>72984.600000000006</v>
      </c>
      <c r="I58" s="239">
        <v>882.8</v>
      </c>
      <c r="J58" s="239">
        <v>32775.440000000002</v>
      </c>
      <c r="K58" s="255">
        <v>99.85</v>
      </c>
      <c r="L58" s="254">
        <v>4876.38</v>
      </c>
      <c r="M58" s="239">
        <v>15.77</v>
      </c>
      <c r="N58" s="239">
        <v>32230.7</v>
      </c>
      <c r="O58" s="239">
        <v>28.4</v>
      </c>
      <c r="P58" s="239">
        <v>495.92</v>
      </c>
      <c r="Q58" s="239">
        <v>592.35</v>
      </c>
      <c r="R58" s="239">
        <v>9430.7199999999993</v>
      </c>
      <c r="S58" s="239">
        <v>9.0399999999999991</v>
      </c>
      <c r="T58" s="239">
        <v>35032</v>
      </c>
      <c r="U58" s="239">
        <v>69</v>
      </c>
      <c r="V58" s="239">
        <v>184.34</v>
      </c>
      <c r="W58" s="239">
        <v>0.14000000000000001</v>
      </c>
      <c r="X58" s="239">
        <v>5691.1</v>
      </c>
      <c r="Y58" s="239">
        <v>0</v>
      </c>
      <c r="Z58" s="239"/>
      <c r="AA58" s="255"/>
      <c r="AB58" s="239"/>
      <c r="AC58" s="256"/>
      <c r="AD58" s="239"/>
      <c r="AE58" s="256"/>
    </row>
    <row r="59" spans="1:31" ht="15" x14ac:dyDescent="0.2">
      <c r="A59" s="103">
        <f>A56+1</f>
        <v>45583</v>
      </c>
      <c r="B59" s="103" t="s">
        <v>147</v>
      </c>
      <c r="C59" s="111" t="str">
        <f>A59 &amp; " " &amp;B59</f>
        <v>45583 1200H</v>
      </c>
      <c r="D59" s="112">
        <v>419.71</v>
      </c>
      <c r="E59" s="117">
        <v>49.65</v>
      </c>
      <c r="F59" s="254">
        <v>1102.8</v>
      </c>
      <c r="G59" s="255">
        <v>6.2</v>
      </c>
      <c r="H59" s="254">
        <v>72989.259999999995</v>
      </c>
      <c r="I59" s="239">
        <v>883.07</v>
      </c>
      <c r="J59" s="239">
        <v>32777.31</v>
      </c>
      <c r="K59" s="255">
        <v>99.89</v>
      </c>
      <c r="L59" s="254">
        <v>4882.2</v>
      </c>
      <c r="M59" s="239">
        <v>15.77</v>
      </c>
      <c r="N59" s="239">
        <v>32232.5</v>
      </c>
      <c r="O59" s="239">
        <v>28.4</v>
      </c>
      <c r="P59" s="239">
        <v>497.11</v>
      </c>
      <c r="Q59" s="239">
        <v>592.41</v>
      </c>
      <c r="R59" s="239">
        <v>9434.31</v>
      </c>
      <c r="S59" s="239">
        <v>9.0399999999999991</v>
      </c>
      <c r="T59" s="239">
        <v>35038</v>
      </c>
      <c r="U59" s="239">
        <v>69</v>
      </c>
      <c r="V59" s="239">
        <v>185.96</v>
      </c>
      <c r="W59" s="239">
        <v>0.14000000000000001</v>
      </c>
      <c r="X59" s="239">
        <v>5697.37</v>
      </c>
      <c r="Y59" s="239">
        <v>0</v>
      </c>
      <c r="Z59" s="239"/>
      <c r="AA59" s="255"/>
      <c r="AB59" s="239"/>
      <c r="AC59" s="256"/>
      <c r="AD59" s="239"/>
      <c r="AE59" s="256"/>
    </row>
    <row r="60" spans="1:31" ht="6.95" customHeight="1" x14ac:dyDescent="0.2">
      <c r="F60" s="257"/>
      <c r="G60" s="258"/>
      <c r="H60" s="257"/>
      <c r="I60" s="259"/>
      <c r="J60" s="259"/>
      <c r="K60" s="259"/>
      <c r="L60" s="257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59"/>
      <c r="X60" s="259"/>
      <c r="Y60" s="259"/>
      <c r="Z60" s="259"/>
      <c r="AA60" s="259"/>
      <c r="AB60" s="361"/>
      <c r="AC60" s="260"/>
      <c r="AD60" s="361"/>
      <c r="AE60" s="260"/>
    </row>
    <row r="61" spans="1:31" ht="15" x14ac:dyDescent="0.2">
      <c r="A61" s="103">
        <f>A58+1</f>
        <v>45584</v>
      </c>
      <c r="B61" s="103" t="s">
        <v>319</v>
      </c>
      <c r="C61" s="111" t="str">
        <f>A61 &amp; " " &amp;B61</f>
        <v>45584 0000H</v>
      </c>
      <c r="D61" s="112">
        <v>424.35</v>
      </c>
      <c r="E61" s="117">
        <v>49.65</v>
      </c>
      <c r="F61" s="254">
        <v>1102.8</v>
      </c>
      <c r="G61" s="255">
        <v>6.2</v>
      </c>
      <c r="H61" s="254">
        <v>72999.7</v>
      </c>
      <c r="I61" s="239">
        <v>883.07</v>
      </c>
      <c r="J61" s="239">
        <v>32781.01</v>
      </c>
      <c r="K61" s="255">
        <v>99.89</v>
      </c>
      <c r="L61" s="254">
        <v>4887.95</v>
      </c>
      <c r="M61" s="239">
        <v>15.77</v>
      </c>
      <c r="N61" s="239">
        <v>32236.400000000001</v>
      </c>
      <c r="O61" s="239">
        <v>28.4</v>
      </c>
      <c r="P61" s="239">
        <v>498.88</v>
      </c>
      <c r="Q61" s="239">
        <v>592.46</v>
      </c>
      <c r="R61" s="239">
        <v>9438.59</v>
      </c>
      <c r="S61" s="239">
        <v>9.0399999999999991</v>
      </c>
      <c r="T61" s="239">
        <v>35046</v>
      </c>
      <c r="U61" s="239">
        <v>69</v>
      </c>
      <c r="V61" s="239">
        <v>189.96</v>
      </c>
      <c r="W61" s="239">
        <v>0.14000000000000001</v>
      </c>
      <c r="X61" s="239">
        <v>5704.5</v>
      </c>
      <c r="Y61" s="239">
        <v>0</v>
      </c>
      <c r="Z61" s="239"/>
      <c r="AA61" s="255"/>
      <c r="AB61" s="239"/>
      <c r="AC61" s="256"/>
      <c r="AD61" s="239"/>
      <c r="AE61" s="256"/>
    </row>
    <row r="62" spans="1:31" ht="15" x14ac:dyDescent="0.2">
      <c r="A62" s="103">
        <f>A59+1</f>
        <v>45584</v>
      </c>
      <c r="B62" s="103" t="s">
        <v>147</v>
      </c>
      <c r="C62" s="111" t="str">
        <f>A62 &amp; " " &amp;B62</f>
        <v>45584 1200H</v>
      </c>
      <c r="D62" s="112">
        <v>427.75</v>
      </c>
      <c r="E62" s="117">
        <v>49.65</v>
      </c>
      <c r="F62" s="254">
        <v>1102.8</v>
      </c>
      <c r="G62" s="255">
        <v>6.2</v>
      </c>
      <c r="H62" s="254">
        <v>73010.179999999993</v>
      </c>
      <c r="I62" s="239">
        <v>883.07</v>
      </c>
      <c r="J62" s="239">
        <v>32782.300000000003</v>
      </c>
      <c r="K62" s="255">
        <v>99.97</v>
      </c>
      <c r="L62" s="254">
        <v>4893.5600000000004</v>
      </c>
      <c r="M62" s="239">
        <v>15.77</v>
      </c>
      <c r="N62" s="239">
        <v>32240.3</v>
      </c>
      <c r="O62" s="239">
        <v>28.4</v>
      </c>
      <c r="P62" s="239">
        <v>499.3</v>
      </c>
      <c r="Q62" s="239">
        <v>593.30999999999995</v>
      </c>
      <c r="R62" s="239">
        <v>9442.31</v>
      </c>
      <c r="S62" s="239">
        <v>9.0399999999999991</v>
      </c>
      <c r="T62" s="239">
        <v>35052</v>
      </c>
      <c r="U62" s="239">
        <v>69</v>
      </c>
      <c r="V62" s="239">
        <v>190.47</v>
      </c>
      <c r="W62" s="239">
        <v>0.14000000000000001</v>
      </c>
      <c r="X62" s="239">
        <v>5710.23</v>
      </c>
      <c r="Y62" s="239">
        <v>0</v>
      </c>
      <c r="Z62" s="239"/>
      <c r="AA62" s="255"/>
      <c r="AB62" s="239"/>
      <c r="AC62" s="256"/>
      <c r="AD62" s="239"/>
      <c r="AE62" s="256"/>
    </row>
    <row r="63" spans="1:31" ht="6.95" customHeight="1" x14ac:dyDescent="0.2">
      <c r="F63" s="257"/>
      <c r="G63" s="258"/>
      <c r="H63" s="257"/>
      <c r="I63" s="259"/>
      <c r="J63" s="259"/>
      <c r="K63" s="259"/>
      <c r="L63" s="257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361"/>
      <c r="AC63" s="260"/>
      <c r="AD63" s="361"/>
      <c r="AE63" s="260"/>
    </row>
    <row r="64" spans="1:31" ht="15" x14ac:dyDescent="0.2">
      <c r="A64" s="103">
        <f>A61+1</f>
        <v>45585</v>
      </c>
      <c r="B64" s="103" t="s">
        <v>319</v>
      </c>
      <c r="C64" s="111" t="str">
        <f>A64 &amp; " " &amp;B64</f>
        <v>45585 0000H</v>
      </c>
      <c r="D64" s="112">
        <v>432.56</v>
      </c>
      <c r="E64" s="117">
        <v>49.65</v>
      </c>
      <c r="F64" s="254">
        <v>1102.8</v>
      </c>
      <c r="G64" s="255">
        <v>6.2</v>
      </c>
      <c r="H64" s="254">
        <v>73020.679999999993</v>
      </c>
      <c r="I64" s="239">
        <v>883.07</v>
      </c>
      <c r="J64" s="239">
        <v>32785.46</v>
      </c>
      <c r="K64" s="255">
        <v>99.99</v>
      </c>
      <c r="L64" s="254">
        <v>4899.3599999999997</v>
      </c>
      <c r="M64" s="239">
        <v>15.77</v>
      </c>
      <c r="N64" s="239">
        <v>32244.1</v>
      </c>
      <c r="O64" s="239">
        <v>28.4</v>
      </c>
      <c r="P64" s="239">
        <v>501.05</v>
      </c>
      <c r="Q64" s="239">
        <v>593.58000000000004</v>
      </c>
      <c r="R64" s="239">
        <v>9446.85</v>
      </c>
      <c r="S64" s="239">
        <v>9.0399999999999991</v>
      </c>
      <c r="T64" s="239">
        <v>35059</v>
      </c>
      <c r="U64" s="239">
        <v>69</v>
      </c>
      <c r="V64" s="239">
        <v>191.61</v>
      </c>
      <c r="W64" s="239">
        <v>0.14000000000000001</v>
      </c>
      <c r="X64" s="239">
        <v>5717</v>
      </c>
      <c r="Y64" s="239">
        <v>0</v>
      </c>
      <c r="Z64" s="239"/>
      <c r="AA64" s="255"/>
      <c r="AB64" s="239"/>
      <c r="AC64" s="256"/>
      <c r="AD64" s="239"/>
      <c r="AE64" s="256"/>
    </row>
    <row r="65" spans="1:31" ht="15" x14ac:dyDescent="0.2">
      <c r="A65" s="103">
        <f>A62+1</f>
        <v>45585</v>
      </c>
      <c r="B65" s="103" t="s">
        <v>147</v>
      </c>
      <c r="C65" s="111" t="str">
        <f>A65 &amp; " " &amp;B65</f>
        <v>45585 1200H</v>
      </c>
      <c r="D65" s="112">
        <v>435.7</v>
      </c>
      <c r="E65" s="117">
        <v>49.65</v>
      </c>
      <c r="F65" s="254">
        <v>1102.8</v>
      </c>
      <c r="G65" s="255">
        <v>6.2</v>
      </c>
      <c r="H65" s="254">
        <v>73029.919999999998</v>
      </c>
      <c r="I65" s="239">
        <v>883.08</v>
      </c>
      <c r="J65" s="239">
        <v>32786.379999999997</v>
      </c>
      <c r="K65" s="255">
        <v>100.04</v>
      </c>
      <c r="L65" s="254">
        <v>4904.84</v>
      </c>
      <c r="M65" s="239">
        <v>15.77</v>
      </c>
      <c r="N65" s="239">
        <v>32247.7</v>
      </c>
      <c r="O65" s="239">
        <v>28.4</v>
      </c>
      <c r="P65" s="239">
        <v>501.07</v>
      </c>
      <c r="Q65" s="239">
        <v>594.71</v>
      </c>
      <c r="R65" s="239">
        <v>9450.4599999999991</v>
      </c>
      <c r="S65" s="239">
        <v>9.0399999999999991</v>
      </c>
      <c r="T65" s="239">
        <v>35065</v>
      </c>
      <c r="U65" s="239">
        <v>69</v>
      </c>
      <c r="V65" s="239">
        <v>192.24</v>
      </c>
      <c r="W65" s="239">
        <v>0.14000000000000001</v>
      </c>
      <c r="X65" s="239">
        <v>5723.03</v>
      </c>
      <c r="Y65" s="239">
        <v>0</v>
      </c>
      <c r="Z65" s="239"/>
      <c r="AA65" s="255"/>
      <c r="AB65" s="239"/>
      <c r="AC65" s="256"/>
      <c r="AD65" s="239"/>
      <c r="AE65" s="256"/>
    </row>
    <row r="66" spans="1:31" ht="6.95" customHeight="1" x14ac:dyDescent="0.2">
      <c r="F66" s="257"/>
      <c r="G66" s="258"/>
      <c r="H66" s="257"/>
      <c r="I66" s="259"/>
      <c r="J66" s="259"/>
      <c r="K66" s="259"/>
      <c r="L66" s="257"/>
      <c r="M66" s="259"/>
      <c r="N66" s="259"/>
      <c r="O66" s="259"/>
      <c r="P66" s="259"/>
      <c r="Q66" s="259"/>
      <c r="R66" s="259"/>
      <c r="S66" s="259"/>
      <c r="T66" s="259"/>
      <c r="U66" s="259"/>
      <c r="V66" s="259"/>
      <c r="W66" s="259"/>
      <c r="X66" s="259"/>
      <c r="Y66" s="259"/>
      <c r="Z66" s="259"/>
      <c r="AA66" s="259"/>
      <c r="AB66" s="361"/>
      <c r="AC66" s="260"/>
      <c r="AD66" s="361"/>
      <c r="AE66" s="260"/>
    </row>
    <row r="67" spans="1:31" ht="15" x14ac:dyDescent="0.2">
      <c r="A67" s="103">
        <f>A64+1</f>
        <v>45586</v>
      </c>
      <c r="B67" s="103" t="s">
        <v>319</v>
      </c>
      <c r="C67" s="111" t="str">
        <f>A67 &amp; " " &amp;B67</f>
        <v>45586 0000H</v>
      </c>
      <c r="D67" s="112">
        <v>440.26</v>
      </c>
      <c r="E67" s="117">
        <v>49.65</v>
      </c>
      <c r="F67" s="254">
        <v>1102.8</v>
      </c>
      <c r="G67" s="255">
        <v>6.2</v>
      </c>
      <c r="H67" s="254">
        <v>73039.94</v>
      </c>
      <c r="I67" s="239">
        <v>883.03</v>
      </c>
      <c r="J67" s="239">
        <v>32790.01</v>
      </c>
      <c r="K67" s="255">
        <v>100.04</v>
      </c>
      <c r="L67" s="254">
        <v>4910.62</v>
      </c>
      <c r="M67" s="239">
        <v>15.77</v>
      </c>
      <c r="N67" s="239">
        <v>32251.200000000001</v>
      </c>
      <c r="O67" s="239">
        <v>28.4</v>
      </c>
      <c r="P67" s="239">
        <v>501.32</v>
      </c>
      <c r="Q67" s="239">
        <v>595.63</v>
      </c>
      <c r="R67" s="239">
        <v>9455.0400000000009</v>
      </c>
      <c r="S67" s="239">
        <v>9.0399999999999991</v>
      </c>
      <c r="T67" s="239">
        <v>35071</v>
      </c>
      <c r="U67" s="239">
        <v>69</v>
      </c>
      <c r="V67" s="239">
        <v>194.15</v>
      </c>
      <c r="W67" s="239">
        <v>0.14000000000000001</v>
      </c>
      <c r="X67" s="239">
        <v>5728.81</v>
      </c>
      <c r="Y67" s="239">
        <v>0</v>
      </c>
      <c r="Z67" s="239"/>
      <c r="AA67" s="255"/>
      <c r="AB67" s="239"/>
      <c r="AC67" s="256"/>
      <c r="AD67" s="239"/>
      <c r="AE67" s="256"/>
    </row>
    <row r="68" spans="1:31" ht="15" x14ac:dyDescent="0.2">
      <c r="A68" s="103">
        <f>A65+1</f>
        <v>45586</v>
      </c>
      <c r="B68" s="103" t="s">
        <v>147</v>
      </c>
      <c r="C68" s="111" t="str">
        <f>A68 &amp; " " &amp;B68</f>
        <v>45586 1200H</v>
      </c>
      <c r="D68" s="112">
        <v>443.75</v>
      </c>
      <c r="E68" s="117">
        <v>49.65</v>
      </c>
      <c r="F68" s="254">
        <v>1102.8</v>
      </c>
      <c r="G68" s="255">
        <v>6.2</v>
      </c>
      <c r="H68" s="254">
        <v>73049.77</v>
      </c>
      <c r="I68" s="239">
        <v>883.08</v>
      </c>
      <c r="J68" s="239">
        <v>32791.269999999997</v>
      </c>
      <c r="K68" s="255">
        <v>100.1</v>
      </c>
      <c r="L68" s="254">
        <v>4916.29</v>
      </c>
      <c r="M68" s="239">
        <v>15.77</v>
      </c>
      <c r="N68" s="239">
        <v>32254.799999999999</v>
      </c>
      <c r="O68" s="239">
        <v>28.4</v>
      </c>
      <c r="P68" s="239">
        <v>501.57</v>
      </c>
      <c r="Q68" s="239">
        <v>596</v>
      </c>
      <c r="R68" s="239">
        <v>9458</v>
      </c>
      <c r="S68" s="239">
        <v>9.0399999999999991</v>
      </c>
      <c r="T68" s="239">
        <v>35077</v>
      </c>
      <c r="U68" s="239">
        <v>69</v>
      </c>
      <c r="V68" s="239">
        <v>195.44</v>
      </c>
      <c r="W68" s="239">
        <v>0.14000000000000001</v>
      </c>
      <c r="X68" s="239">
        <v>5733.93</v>
      </c>
      <c r="Y68" s="239">
        <v>0</v>
      </c>
      <c r="Z68" s="239"/>
      <c r="AA68" s="255"/>
      <c r="AB68" s="239"/>
      <c r="AC68" s="256"/>
      <c r="AD68" s="239"/>
      <c r="AE68" s="256"/>
    </row>
    <row r="69" spans="1:31" ht="6.95" customHeight="1" x14ac:dyDescent="0.2">
      <c r="F69" s="257"/>
      <c r="G69" s="258"/>
      <c r="H69" s="257"/>
      <c r="I69" s="259"/>
      <c r="J69" s="259"/>
      <c r="K69" s="259"/>
      <c r="L69" s="257"/>
      <c r="M69" s="259"/>
      <c r="N69" s="259"/>
      <c r="O69" s="259"/>
      <c r="P69" s="259"/>
      <c r="Q69" s="259"/>
      <c r="R69" s="259"/>
      <c r="S69" s="259"/>
      <c r="T69" s="259"/>
      <c r="U69" s="259"/>
      <c r="V69" s="259"/>
      <c r="W69" s="259"/>
      <c r="X69" s="259"/>
      <c r="Y69" s="259"/>
      <c r="Z69" s="259"/>
      <c r="AA69" s="259"/>
      <c r="AB69" s="361"/>
      <c r="AC69" s="260"/>
      <c r="AD69" s="361"/>
      <c r="AE69" s="260"/>
    </row>
    <row r="70" spans="1:31" ht="15" x14ac:dyDescent="0.2">
      <c r="A70" s="103">
        <f>A67+1</f>
        <v>45587</v>
      </c>
      <c r="B70" s="103" t="s">
        <v>319</v>
      </c>
      <c r="C70" s="111" t="str">
        <f>A70 &amp; " " &amp;B70</f>
        <v>45587 0000H</v>
      </c>
      <c r="D70" s="112">
        <v>448.39</v>
      </c>
      <c r="E70" s="117">
        <v>49.65</v>
      </c>
      <c r="F70" s="254">
        <v>1102.8</v>
      </c>
      <c r="G70" s="255">
        <v>6.2</v>
      </c>
      <c r="H70" s="254">
        <v>73056.13</v>
      </c>
      <c r="I70" s="239">
        <v>883.35</v>
      </c>
      <c r="J70" s="239">
        <v>32794.99</v>
      </c>
      <c r="K70" s="255">
        <v>100.1</v>
      </c>
      <c r="L70" s="254">
        <v>4922.13</v>
      </c>
      <c r="M70" s="239">
        <v>15.77</v>
      </c>
      <c r="N70" s="239">
        <v>32258.6</v>
      </c>
      <c r="O70" s="239">
        <v>28.4</v>
      </c>
      <c r="P70" s="239">
        <v>502.52</v>
      </c>
      <c r="Q70" s="239">
        <v>596.87</v>
      </c>
      <c r="R70" s="239">
        <v>9462.89</v>
      </c>
      <c r="S70" s="239">
        <v>9.0399999999999991</v>
      </c>
      <c r="T70" s="239">
        <v>35083</v>
      </c>
      <c r="U70" s="239">
        <v>69</v>
      </c>
      <c r="V70" s="239">
        <v>198.44</v>
      </c>
      <c r="W70" s="239">
        <v>0.14000000000000001</v>
      </c>
      <c r="X70" s="239">
        <v>5740.26</v>
      </c>
      <c r="Y70" s="239">
        <v>0</v>
      </c>
      <c r="Z70" s="239"/>
      <c r="AA70" s="255"/>
      <c r="AB70" s="239"/>
      <c r="AC70" s="256"/>
      <c r="AD70" s="239"/>
      <c r="AE70" s="256"/>
    </row>
    <row r="71" spans="1:31" ht="15" x14ac:dyDescent="0.2">
      <c r="A71" s="103">
        <f>A68+1</f>
        <v>45587</v>
      </c>
      <c r="B71" s="103" t="s">
        <v>147</v>
      </c>
      <c r="C71" s="111" t="str">
        <f>A71 &amp; " " &amp;B71</f>
        <v>45587 1200H</v>
      </c>
      <c r="D71" s="112">
        <v>451.91</v>
      </c>
      <c r="E71" s="117">
        <v>49.65</v>
      </c>
      <c r="F71" s="254">
        <v>1102.8</v>
      </c>
      <c r="G71" s="255">
        <v>6.2</v>
      </c>
      <c r="H71" s="254">
        <v>73064.92</v>
      </c>
      <c r="I71" s="239">
        <v>883.39</v>
      </c>
      <c r="J71" s="239">
        <v>32796.32</v>
      </c>
      <c r="K71" s="255">
        <v>100.13</v>
      </c>
      <c r="L71" s="254">
        <v>4927.6400000000003</v>
      </c>
      <c r="M71" s="239">
        <v>15.77</v>
      </c>
      <c r="N71" s="239">
        <v>32262.3</v>
      </c>
      <c r="O71" s="239">
        <v>28.4</v>
      </c>
      <c r="P71" s="239">
        <v>502.9</v>
      </c>
      <c r="Q71" s="239">
        <v>597.69000000000005</v>
      </c>
      <c r="R71" s="239">
        <v>9466.3799999999992</v>
      </c>
      <c r="S71" s="239">
        <v>9.0399999999999991</v>
      </c>
      <c r="T71" s="239">
        <v>35087</v>
      </c>
      <c r="U71" s="239">
        <v>69</v>
      </c>
      <c r="V71" s="239">
        <v>200.51</v>
      </c>
      <c r="W71" s="239">
        <v>0.14000000000000001</v>
      </c>
      <c r="X71" s="239">
        <v>5745.1</v>
      </c>
      <c r="Y71" s="239">
        <v>0</v>
      </c>
      <c r="Z71" s="239"/>
      <c r="AA71" s="255"/>
      <c r="AB71" s="239"/>
      <c r="AC71" s="256"/>
      <c r="AD71" s="239"/>
      <c r="AE71" s="256"/>
    </row>
    <row r="72" spans="1:31" ht="6.95" customHeight="1" x14ac:dyDescent="0.2">
      <c r="F72" s="257"/>
      <c r="G72" s="258"/>
      <c r="H72" s="257"/>
      <c r="I72" s="259"/>
      <c r="J72" s="259"/>
      <c r="K72" s="259"/>
      <c r="L72" s="257"/>
      <c r="M72" s="259"/>
      <c r="N72" s="259"/>
      <c r="O72" s="259"/>
      <c r="P72" s="259"/>
      <c r="Q72" s="259"/>
      <c r="R72" s="259"/>
      <c r="S72" s="259"/>
      <c r="T72" s="259"/>
      <c r="U72" s="259"/>
      <c r="V72" s="259"/>
      <c r="W72" s="259"/>
      <c r="X72" s="259"/>
      <c r="Y72" s="259"/>
      <c r="Z72" s="259"/>
      <c r="AA72" s="259"/>
      <c r="AB72" s="361"/>
      <c r="AC72" s="260"/>
      <c r="AD72" s="361"/>
      <c r="AE72" s="260"/>
    </row>
    <row r="73" spans="1:31" ht="15" x14ac:dyDescent="0.2">
      <c r="A73" s="103">
        <f>A70+1</f>
        <v>45588</v>
      </c>
      <c r="B73" s="103" t="s">
        <v>319</v>
      </c>
      <c r="C73" s="111" t="str">
        <f>A73 &amp; " " &amp;B73</f>
        <v>45588 0000H</v>
      </c>
      <c r="D73" s="112">
        <v>456.36</v>
      </c>
      <c r="E73" s="117">
        <v>49.65</v>
      </c>
      <c r="F73" s="254">
        <v>1102.8</v>
      </c>
      <c r="G73" s="255">
        <v>6.2</v>
      </c>
      <c r="H73" s="254">
        <v>73075.16</v>
      </c>
      <c r="I73" s="239">
        <v>883.29</v>
      </c>
      <c r="J73" s="239">
        <v>32800.01</v>
      </c>
      <c r="K73" s="255">
        <v>100.13</v>
      </c>
      <c r="L73" s="254">
        <v>4933.47</v>
      </c>
      <c r="M73" s="239">
        <v>15.77</v>
      </c>
      <c r="N73" s="239">
        <v>32266.1</v>
      </c>
      <c r="O73" s="239">
        <v>28.4</v>
      </c>
      <c r="P73" s="239">
        <v>503.82</v>
      </c>
      <c r="Q73" s="239">
        <v>598.08000000000004</v>
      </c>
      <c r="R73" s="239">
        <v>9470.56</v>
      </c>
      <c r="S73" s="239">
        <v>9.0399999999999991</v>
      </c>
      <c r="T73" s="239">
        <v>35093</v>
      </c>
      <c r="U73" s="239">
        <v>69</v>
      </c>
      <c r="V73" s="239">
        <v>202.84</v>
      </c>
      <c r="W73" s="239">
        <v>0.14000000000000001</v>
      </c>
      <c r="X73" s="239">
        <v>5751.24</v>
      </c>
      <c r="Y73" s="239">
        <v>0</v>
      </c>
      <c r="Z73" s="239"/>
      <c r="AA73" s="255"/>
      <c r="AB73" s="239"/>
      <c r="AC73" s="256"/>
      <c r="AD73" s="239"/>
      <c r="AE73" s="256"/>
    </row>
    <row r="74" spans="1:31" ht="15" x14ac:dyDescent="0.2">
      <c r="A74" s="103">
        <f>A71+1</f>
        <v>45588</v>
      </c>
      <c r="B74" s="103" t="s">
        <v>147</v>
      </c>
      <c r="C74" s="111" t="str">
        <f>A74 &amp; " " &amp;B74</f>
        <v>45588 1200H</v>
      </c>
      <c r="D74" s="112">
        <v>460.25</v>
      </c>
      <c r="E74" s="117">
        <v>49.65</v>
      </c>
      <c r="F74" s="254">
        <v>1102.8</v>
      </c>
      <c r="G74" s="255">
        <v>6.2</v>
      </c>
      <c r="H74" s="254">
        <v>73085.23</v>
      </c>
      <c r="I74" s="239">
        <v>883.29</v>
      </c>
      <c r="J74" s="239">
        <v>32801.08</v>
      </c>
      <c r="K74" s="255">
        <v>100.19</v>
      </c>
      <c r="L74" s="254">
        <v>4939.07</v>
      </c>
      <c r="M74" s="239">
        <v>15.77</v>
      </c>
      <c r="N74" s="239">
        <v>32269.5</v>
      </c>
      <c r="O74" s="239">
        <v>28.4</v>
      </c>
      <c r="P74" s="239">
        <v>504.06</v>
      </c>
      <c r="Q74" s="239">
        <v>599</v>
      </c>
      <c r="R74" s="239">
        <v>9474.0400000000009</v>
      </c>
      <c r="S74" s="239">
        <v>9.0399999999999991</v>
      </c>
      <c r="T74" s="239">
        <v>35099</v>
      </c>
      <c r="U74" s="239">
        <v>69</v>
      </c>
      <c r="V74" s="239">
        <v>204.01</v>
      </c>
      <c r="W74" s="239">
        <v>0.14000000000000001</v>
      </c>
      <c r="X74" s="261">
        <v>5756.71</v>
      </c>
      <c r="Y74" s="239">
        <v>0</v>
      </c>
      <c r="Z74" s="239"/>
      <c r="AA74" s="255"/>
      <c r="AB74" s="239"/>
      <c r="AC74" s="256"/>
      <c r="AD74" s="239"/>
      <c r="AE74" s="256"/>
    </row>
    <row r="75" spans="1:31" ht="6.95" customHeight="1" x14ac:dyDescent="0.2">
      <c r="F75" s="257"/>
      <c r="G75" s="258"/>
      <c r="H75" s="257"/>
      <c r="I75" s="259"/>
      <c r="J75" s="259"/>
      <c r="K75" s="259"/>
      <c r="L75" s="257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361"/>
      <c r="AC75" s="260"/>
      <c r="AD75" s="361"/>
      <c r="AE75" s="260"/>
    </row>
    <row r="76" spans="1:31" ht="15" x14ac:dyDescent="0.2">
      <c r="A76" s="103">
        <f>A73+1</f>
        <v>45589</v>
      </c>
      <c r="B76" s="103" t="s">
        <v>319</v>
      </c>
      <c r="C76" s="111" t="str">
        <f>A76 &amp; " " &amp;B76</f>
        <v>45589 0000H</v>
      </c>
      <c r="D76" s="112">
        <v>464.1</v>
      </c>
      <c r="E76" s="117">
        <v>49.65</v>
      </c>
      <c r="F76" s="254">
        <v>1102.8</v>
      </c>
      <c r="G76" s="255">
        <v>6.2</v>
      </c>
      <c r="H76" s="254">
        <v>73091.509999999995</v>
      </c>
      <c r="I76" s="239">
        <v>883.5</v>
      </c>
      <c r="J76" s="239">
        <v>32804.44</v>
      </c>
      <c r="K76" s="255">
        <v>100.19</v>
      </c>
      <c r="L76" s="254">
        <v>4944.72</v>
      </c>
      <c r="M76" s="239">
        <v>15.77</v>
      </c>
      <c r="N76" s="239">
        <v>32273.200000000001</v>
      </c>
      <c r="O76" s="239">
        <v>28.4</v>
      </c>
      <c r="P76" s="239">
        <v>504.11</v>
      </c>
      <c r="Q76" s="239">
        <v>599.99</v>
      </c>
      <c r="R76" s="239">
        <v>9478.1200000000008</v>
      </c>
      <c r="S76" s="239">
        <v>9.0399999999999991</v>
      </c>
      <c r="T76" s="239">
        <v>35104</v>
      </c>
      <c r="U76" s="239">
        <v>69</v>
      </c>
      <c r="V76" s="239">
        <v>204.25</v>
      </c>
      <c r="W76" s="239">
        <v>0.14000000000000001</v>
      </c>
      <c r="X76" s="239">
        <v>5760.84</v>
      </c>
      <c r="Y76" s="239">
        <v>0</v>
      </c>
      <c r="Z76" s="239"/>
      <c r="AA76" s="255"/>
      <c r="AB76" s="239"/>
      <c r="AC76" s="256"/>
      <c r="AD76" s="239"/>
      <c r="AE76" s="256"/>
    </row>
    <row r="77" spans="1:31" ht="15" x14ac:dyDescent="0.2">
      <c r="A77" s="103">
        <f>A74+1</f>
        <v>45589</v>
      </c>
      <c r="B77" s="103" t="s">
        <v>147</v>
      </c>
      <c r="C77" s="111" t="str">
        <f>A77 &amp; " " &amp;B77</f>
        <v>45589 1200H</v>
      </c>
      <c r="D77" s="112">
        <v>467.84</v>
      </c>
      <c r="E77" s="117">
        <v>49.65</v>
      </c>
      <c r="F77" s="254">
        <v>1102.8</v>
      </c>
      <c r="G77" s="255">
        <v>6.2</v>
      </c>
      <c r="H77" s="254">
        <v>73091.899999999994</v>
      </c>
      <c r="I77" s="239">
        <v>883.97</v>
      </c>
      <c r="J77" s="239">
        <v>32805</v>
      </c>
      <c r="K77" s="255">
        <v>100.25</v>
      </c>
      <c r="L77" s="254">
        <v>4950.37</v>
      </c>
      <c r="M77" s="239">
        <v>15.77</v>
      </c>
      <c r="N77" s="239">
        <v>32275.8</v>
      </c>
      <c r="O77" s="239">
        <v>29.4</v>
      </c>
      <c r="P77" s="239">
        <v>504.23</v>
      </c>
      <c r="Q77" s="239">
        <v>600.84</v>
      </c>
      <c r="R77" s="239">
        <v>9481.66</v>
      </c>
      <c r="S77" s="239">
        <v>9.0399999999999991</v>
      </c>
      <c r="T77" s="239">
        <v>35109</v>
      </c>
      <c r="U77" s="239">
        <v>69</v>
      </c>
      <c r="V77" s="239">
        <v>204.41</v>
      </c>
      <c r="W77" s="239">
        <v>0.15</v>
      </c>
      <c r="X77" s="239">
        <v>5764.25</v>
      </c>
      <c r="Y77" s="239">
        <v>0</v>
      </c>
      <c r="Z77" s="239"/>
      <c r="AA77" s="255"/>
      <c r="AB77" s="239"/>
      <c r="AC77" s="256"/>
      <c r="AD77" s="239"/>
      <c r="AE77" s="256"/>
    </row>
    <row r="78" spans="1:31" ht="6.95" customHeight="1" x14ac:dyDescent="0.2">
      <c r="F78" s="257"/>
      <c r="G78" s="258"/>
      <c r="H78" s="257"/>
      <c r="I78" s="259"/>
      <c r="J78" s="259"/>
      <c r="K78" s="259"/>
      <c r="L78" s="257"/>
      <c r="M78" s="259"/>
      <c r="N78" s="259"/>
      <c r="O78" s="259"/>
      <c r="P78" s="259"/>
      <c r="Q78" s="259"/>
      <c r="R78" s="259"/>
      <c r="S78" s="259"/>
      <c r="T78" s="259"/>
      <c r="U78" s="259"/>
      <c r="V78" s="259"/>
      <c r="W78" s="259"/>
      <c r="X78" s="259"/>
      <c r="Y78" s="259"/>
      <c r="Z78" s="259"/>
      <c r="AA78" s="259"/>
      <c r="AB78" s="361"/>
      <c r="AC78" s="260"/>
      <c r="AD78" s="361"/>
      <c r="AE78" s="260"/>
    </row>
    <row r="79" spans="1:31" ht="15" x14ac:dyDescent="0.2">
      <c r="A79" s="103">
        <f>A76+1</f>
        <v>45590</v>
      </c>
      <c r="B79" s="103" t="s">
        <v>319</v>
      </c>
      <c r="C79" s="111" t="str">
        <f>A79 &amp; " " &amp;B79</f>
        <v>45590 0000H</v>
      </c>
      <c r="D79" s="112">
        <v>472.07</v>
      </c>
      <c r="E79" s="117">
        <v>49.65</v>
      </c>
      <c r="F79" s="254">
        <v>1102.8</v>
      </c>
      <c r="G79" s="255">
        <v>6.2</v>
      </c>
      <c r="H79" s="254">
        <v>73101.740000000005</v>
      </c>
      <c r="I79" s="239">
        <v>883.97</v>
      </c>
      <c r="J79" s="239">
        <v>32808.15</v>
      </c>
      <c r="K79" s="255">
        <v>100.28</v>
      </c>
      <c r="L79" s="254">
        <v>4955.9399999999996</v>
      </c>
      <c r="M79" s="239">
        <v>15.77</v>
      </c>
      <c r="N79" s="239">
        <v>32279.4</v>
      </c>
      <c r="O79" s="239">
        <v>28.4</v>
      </c>
      <c r="P79" s="239">
        <v>504.27</v>
      </c>
      <c r="Q79" s="239">
        <v>601.99</v>
      </c>
      <c r="R79" s="239">
        <v>9485.7999999999993</v>
      </c>
      <c r="S79" s="239">
        <v>9.0399999999999991</v>
      </c>
      <c r="T79" s="239">
        <v>35115</v>
      </c>
      <c r="U79" s="239">
        <v>69</v>
      </c>
      <c r="V79" s="239">
        <v>204.41</v>
      </c>
      <c r="W79" s="239">
        <v>0.15</v>
      </c>
      <c r="X79" s="239">
        <v>5768.48</v>
      </c>
      <c r="Y79" s="239">
        <v>0</v>
      </c>
      <c r="Z79" s="239">
        <v>54150</v>
      </c>
      <c r="AA79" s="255">
        <v>78</v>
      </c>
      <c r="AB79" s="239"/>
      <c r="AC79" s="256"/>
      <c r="AD79" s="239"/>
      <c r="AE79" s="256"/>
    </row>
    <row r="80" spans="1:31" ht="15" x14ac:dyDescent="0.2">
      <c r="A80" s="103">
        <f>A77+1</f>
        <v>45590</v>
      </c>
      <c r="B80" s="103" t="s">
        <v>147</v>
      </c>
      <c r="C80" s="111" t="str">
        <f>A80 &amp; " " &amp;B80</f>
        <v>45590 1200H</v>
      </c>
      <c r="D80" s="112">
        <v>475.53</v>
      </c>
      <c r="E80" s="117">
        <v>49.65</v>
      </c>
      <c r="F80" s="254">
        <v>1102.8</v>
      </c>
      <c r="G80" s="255">
        <v>6.2</v>
      </c>
      <c r="H80" s="254">
        <v>73111.7</v>
      </c>
      <c r="I80" s="239">
        <v>883.97</v>
      </c>
      <c r="J80" s="239">
        <v>32809.199999999997</v>
      </c>
      <c r="K80" s="255">
        <v>100.31</v>
      </c>
      <c r="L80" s="254">
        <v>4961.59</v>
      </c>
      <c r="M80" s="239">
        <v>15.77</v>
      </c>
      <c r="N80" s="239">
        <v>32281.3</v>
      </c>
      <c r="O80" s="239">
        <v>28.5</v>
      </c>
      <c r="P80" s="239">
        <v>504.3</v>
      </c>
      <c r="Q80" s="239">
        <v>603.05999999999995</v>
      </c>
      <c r="R80" s="239">
        <v>9489.31</v>
      </c>
      <c r="S80" s="239">
        <v>9.0399999999999991</v>
      </c>
      <c r="T80" s="239">
        <v>35120</v>
      </c>
      <c r="U80" s="239">
        <v>69</v>
      </c>
      <c r="V80" s="239">
        <v>204.73</v>
      </c>
      <c r="W80" s="239">
        <v>0.15</v>
      </c>
      <c r="X80" s="239">
        <v>5773.06</v>
      </c>
      <c r="Y80" s="239">
        <v>0</v>
      </c>
      <c r="Z80" s="239">
        <v>54150</v>
      </c>
      <c r="AA80" s="255">
        <v>78</v>
      </c>
      <c r="AB80" s="239"/>
      <c r="AC80" s="256"/>
      <c r="AD80" s="239"/>
      <c r="AE80" s="256"/>
    </row>
    <row r="81" spans="1:31" ht="6.95" customHeight="1" x14ac:dyDescent="0.2">
      <c r="F81" s="257"/>
      <c r="G81" s="258"/>
      <c r="H81" s="257"/>
      <c r="I81" s="259"/>
      <c r="J81" s="259"/>
      <c r="K81" s="259"/>
      <c r="L81" s="257"/>
      <c r="M81" s="259"/>
      <c r="N81" s="259"/>
      <c r="O81" s="259"/>
      <c r="P81" s="259"/>
      <c r="Q81" s="259"/>
      <c r="R81" s="259"/>
      <c r="S81" s="259"/>
      <c r="T81" s="259"/>
      <c r="U81" s="259"/>
      <c r="V81" s="259"/>
      <c r="W81" s="259"/>
      <c r="X81" s="259"/>
      <c r="Y81" s="259"/>
      <c r="Z81" s="259"/>
      <c r="AA81" s="259"/>
      <c r="AB81" s="361"/>
      <c r="AC81" s="260"/>
      <c r="AD81" s="361"/>
      <c r="AE81" s="260"/>
    </row>
    <row r="82" spans="1:31" ht="15" x14ac:dyDescent="0.2">
      <c r="A82" s="103">
        <f>A79+1</f>
        <v>45591</v>
      </c>
      <c r="B82" s="103" t="s">
        <v>319</v>
      </c>
      <c r="C82" s="111" t="str">
        <f>A82 &amp; " " &amp;B82</f>
        <v>45591 0000H</v>
      </c>
      <c r="D82" s="112">
        <v>480.04</v>
      </c>
      <c r="E82" s="117">
        <v>49.65</v>
      </c>
      <c r="F82" s="254">
        <v>1102.8</v>
      </c>
      <c r="G82" s="255">
        <v>6.2</v>
      </c>
      <c r="H82" s="254">
        <v>73121.66</v>
      </c>
      <c r="I82" s="239">
        <v>883.97</v>
      </c>
      <c r="J82" s="239">
        <v>32809.75</v>
      </c>
      <c r="K82" s="255">
        <v>100.44</v>
      </c>
      <c r="L82" s="254">
        <v>4967.33</v>
      </c>
      <c r="M82" s="239">
        <v>15.77</v>
      </c>
      <c r="N82" s="239">
        <v>32285</v>
      </c>
      <c r="O82" s="239">
        <v>28.5</v>
      </c>
      <c r="P82" s="239">
        <v>504.75</v>
      </c>
      <c r="Q82" s="239">
        <v>603.66999999999996</v>
      </c>
      <c r="R82" s="239">
        <v>9493.25</v>
      </c>
      <c r="S82" s="239">
        <v>9.0399999999999991</v>
      </c>
      <c r="T82" s="239">
        <v>35126</v>
      </c>
      <c r="U82" s="239">
        <v>69</v>
      </c>
      <c r="V82" s="239">
        <v>204.73</v>
      </c>
      <c r="W82" s="239">
        <v>0.15</v>
      </c>
      <c r="X82" s="239">
        <v>5776.45</v>
      </c>
      <c r="Y82" s="239">
        <v>0</v>
      </c>
      <c r="Z82" s="239">
        <v>54150</v>
      </c>
      <c r="AA82" s="255">
        <v>78</v>
      </c>
      <c r="AB82" s="239"/>
      <c r="AC82" s="256"/>
      <c r="AD82" s="239"/>
      <c r="AE82" s="256"/>
    </row>
    <row r="83" spans="1:31" ht="15" x14ac:dyDescent="0.2">
      <c r="A83" s="103">
        <f>A80+1</f>
        <v>45591</v>
      </c>
      <c r="B83" s="103" t="s">
        <v>147</v>
      </c>
      <c r="C83" s="111" t="str">
        <f>A83 &amp; " " &amp;B83</f>
        <v>45591 1200H</v>
      </c>
      <c r="D83" s="112">
        <v>483.38</v>
      </c>
      <c r="E83" s="117">
        <v>49.66</v>
      </c>
      <c r="F83" s="254">
        <v>1102.8</v>
      </c>
      <c r="G83" s="255">
        <v>6.2</v>
      </c>
      <c r="H83" s="254">
        <v>73129</v>
      </c>
      <c r="I83" s="239">
        <v>884.03</v>
      </c>
      <c r="J83" s="239">
        <v>32809.75</v>
      </c>
      <c r="K83" s="255">
        <v>100.44</v>
      </c>
      <c r="L83" s="254">
        <v>4971.5200000000004</v>
      </c>
      <c r="M83" s="239">
        <v>15.77</v>
      </c>
      <c r="N83" s="239">
        <v>32287.8</v>
      </c>
      <c r="O83" s="239">
        <v>28.5</v>
      </c>
      <c r="P83" s="239">
        <v>504.79</v>
      </c>
      <c r="Q83" s="239">
        <v>604.4</v>
      </c>
      <c r="R83" s="239">
        <v>9495.91</v>
      </c>
      <c r="S83" s="239">
        <v>9.0399999999999991</v>
      </c>
      <c r="T83" s="239">
        <v>35131</v>
      </c>
      <c r="U83" s="239">
        <v>69</v>
      </c>
      <c r="V83" s="239">
        <v>205.96</v>
      </c>
      <c r="W83" s="239">
        <v>0.15</v>
      </c>
      <c r="X83" s="239">
        <v>5781.43</v>
      </c>
      <c r="Y83" s="239">
        <v>0</v>
      </c>
      <c r="Z83" s="239">
        <v>54150</v>
      </c>
      <c r="AA83" s="255">
        <v>78</v>
      </c>
      <c r="AB83" s="239"/>
      <c r="AC83" s="256"/>
      <c r="AD83" s="239"/>
      <c r="AE83" s="256"/>
    </row>
    <row r="84" spans="1:31" ht="6.95" customHeight="1" x14ac:dyDescent="0.2">
      <c r="F84" s="257"/>
      <c r="G84" s="258"/>
      <c r="H84" s="257"/>
      <c r="I84" s="259"/>
      <c r="J84" s="259"/>
      <c r="K84" s="259"/>
      <c r="L84" s="257"/>
      <c r="M84" s="259"/>
      <c r="N84" s="259"/>
      <c r="O84" s="259"/>
      <c r="P84" s="259"/>
      <c r="Q84" s="259"/>
      <c r="R84" s="259"/>
      <c r="S84" s="259"/>
      <c r="T84" s="259"/>
      <c r="U84" s="259"/>
      <c r="V84" s="259"/>
      <c r="W84" s="259"/>
      <c r="X84" s="259"/>
      <c r="Y84" s="259"/>
      <c r="Z84" s="259"/>
      <c r="AA84" s="259"/>
      <c r="AB84" s="361"/>
      <c r="AC84" s="260"/>
      <c r="AD84" s="361"/>
      <c r="AE84" s="260"/>
    </row>
    <row r="85" spans="1:31" ht="15" x14ac:dyDescent="0.2">
      <c r="A85" s="103">
        <f>A82+1</f>
        <v>45592</v>
      </c>
      <c r="B85" s="103" t="s">
        <v>319</v>
      </c>
      <c r="C85" s="111" t="str">
        <f>A85 &amp; " " &amp;B85</f>
        <v>45592 0000H</v>
      </c>
      <c r="D85" s="112">
        <v>487.23</v>
      </c>
      <c r="E85" s="117">
        <v>49.66</v>
      </c>
      <c r="F85" s="254">
        <v>1102.8</v>
      </c>
      <c r="G85" s="255">
        <v>6.2</v>
      </c>
      <c r="H85" s="254">
        <v>73139.22</v>
      </c>
      <c r="I85" s="239">
        <v>884.03</v>
      </c>
      <c r="J85" s="239">
        <v>32809.75</v>
      </c>
      <c r="K85" s="255">
        <v>100.44</v>
      </c>
      <c r="L85" s="254">
        <v>4976.8999999999996</v>
      </c>
      <c r="M85" s="239">
        <v>15.77</v>
      </c>
      <c r="N85" s="239">
        <v>32293.5</v>
      </c>
      <c r="O85" s="239">
        <v>28.5</v>
      </c>
      <c r="P85" s="239">
        <v>504.87</v>
      </c>
      <c r="Q85" s="239">
        <v>605.47</v>
      </c>
      <c r="R85" s="239">
        <v>9499.92</v>
      </c>
      <c r="S85" s="239">
        <v>9.0399999999999991</v>
      </c>
      <c r="T85" s="239">
        <v>35136</v>
      </c>
      <c r="U85" s="239">
        <v>69</v>
      </c>
      <c r="V85" s="239">
        <v>205.96</v>
      </c>
      <c r="W85" s="239">
        <v>0.15</v>
      </c>
      <c r="X85" s="239">
        <v>5785.37</v>
      </c>
      <c r="Y85" s="239">
        <v>0</v>
      </c>
      <c r="Z85" s="239">
        <v>54150</v>
      </c>
      <c r="AA85" s="255">
        <v>78</v>
      </c>
      <c r="AB85" s="239"/>
      <c r="AC85" s="256"/>
      <c r="AD85" s="239"/>
      <c r="AE85" s="256"/>
    </row>
    <row r="86" spans="1:31" ht="15" x14ac:dyDescent="0.2">
      <c r="A86" s="103">
        <f>A83+1</f>
        <v>45592</v>
      </c>
      <c r="B86" s="103" t="s">
        <v>147</v>
      </c>
      <c r="C86" s="111" t="str">
        <f>A86 &amp; " " &amp;B86</f>
        <v>45592 1200H</v>
      </c>
      <c r="D86" s="112">
        <v>490.59</v>
      </c>
      <c r="E86" s="117">
        <v>49.66</v>
      </c>
      <c r="F86" s="254">
        <v>1102.8</v>
      </c>
      <c r="G86" s="255">
        <v>6.2</v>
      </c>
      <c r="H86" s="254">
        <v>73149</v>
      </c>
      <c r="I86" s="239">
        <v>884.00300000000004</v>
      </c>
      <c r="J86" s="239">
        <v>32809.75</v>
      </c>
      <c r="K86" s="255">
        <v>100.57</v>
      </c>
      <c r="L86" s="254">
        <v>4982.0600000000004</v>
      </c>
      <c r="M86" s="239">
        <v>15.77</v>
      </c>
      <c r="N86" s="239">
        <v>32295.7</v>
      </c>
      <c r="O86" s="239">
        <v>28.6</v>
      </c>
      <c r="P86" s="239">
        <v>505.09</v>
      </c>
      <c r="Q86" s="239">
        <v>606.36</v>
      </c>
      <c r="R86" s="239">
        <v>9502.75</v>
      </c>
      <c r="S86" s="239">
        <v>9.0399999999999991</v>
      </c>
      <c r="T86" s="239">
        <v>35140</v>
      </c>
      <c r="U86" s="239">
        <v>69</v>
      </c>
      <c r="V86" s="239">
        <v>205.96</v>
      </c>
      <c r="W86" s="239">
        <v>0.15</v>
      </c>
      <c r="X86" s="239">
        <v>5789.43</v>
      </c>
      <c r="Y86" s="239">
        <v>0</v>
      </c>
      <c r="Z86" s="239">
        <v>54150</v>
      </c>
      <c r="AA86" s="255">
        <v>78</v>
      </c>
      <c r="AB86" s="239"/>
      <c r="AC86" s="256"/>
      <c r="AD86" s="239"/>
      <c r="AE86" s="256"/>
    </row>
    <row r="87" spans="1:31" ht="6.95" customHeight="1" x14ac:dyDescent="0.2">
      <c r="F87" s="257"/>
      <c r="G87" s="258"/>
      <c r="H87" s="257"/>
      <c r="I87" s="259"/>
      <c r="J87" s="259"/>
      <c r="K87" s="259"/>
      <c r="L87" s="257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361"/>
      <c r="AC87" s="260"/>
      <c r="AD87" s="361"/>
      <c r="AE87" s="260"/>
    </row>
    <row r="88" spans="1:31" ht="15" x14ac:dyDescent="0.2">
      <c r="A88" s="103">
        <f>A85+1</f>
        <v>45593</v>
      </c>
      <c r="B88" s="103" t="s">
        <v>319</v>
      </c>
      <c r="C88" s="111" t="str">
        <f>A88 &amp; " " &amp;B88</f>
        <v>45593 0000H</v>
      </c>
      <c r="D88" s="112">
        <v>495.33</v>
      </c>
      <c r="E88" s="117">
        <v>49.66</v>
      </c>
      <c r="F88" s="254">
        <v>1102.8</v>
      </c>
      <c r="G88" s="255">
        <v>6.2</v>
      </c>
      <c r="H88" s="254">
        <v>73157.759999999995</v>
      </c>
      <c r="I88" s="239">
        <v>884.11</v>
      </c>
      <c r="J88" s="239">
        <v>32809.949999999997</v>
      </c>
      <c r="K88" s="255">
        <v>100.65</v>
      </c>
      <c r="L88" s="254">
        <v>4987.41</v>
      </c>
      <c r="M88" s="239">
        <v>15.77</v>
      </c>
      <c r="N88" s="239">
        <v>32302.5</v>
      </c>
      <c r="O88" s="239">
        <v>28.6</v>
      </c>
      <c r="P88" s="239">
        <v>505.48</v>
      </c>
      <c r="Q88" s="239">
        <v>607.02</v>
      </c>
      <c r="R88" s="239">
        <v>9506.91</v>
      </c>
      <c r="S88" s="239">
        <v>9.0399999999999991</v>
      </c>
      <c r="T88" s="239">
        <v>35147</v>
      </c>
      <c r="U88" s="239">
        <v>69</v>
      </c>
      <c r="V88" s="239">
        <v>205.96</v>
      </c>
      <c r="W88" s="239">
        <v>0.15</v>
      </c>
      <c r="X88" s="239">
        <v>5796.29</v>
      </c>
      <c r="Y88" s="239">
        <v>0</v>
      </c>
      <c r="Z88" s="239">
        <v>54150</v>
      </c>
      <c r="AA88" s="255">
        <v>78</v>
      </c>
      <c r="AB88" s="239"/>
      <c r="AC88" s="256"/>
      <c r="AD88" s="239"/>
      <c r="AE88" s="256"/>
    </row>
    <row r="89" spans="1:31" ht="15" x14ac:dyDescent="0.2">
      <c r="A89" s="103">
        <f>A86+1</f>
        <v>45593</v>
      </c>
      <c r="B89" s="103" t="s">
        <v>147</v>
      </c>
      <c r="C89" s="111" t="str">
        <f>A89 &amp; " " &amp;B89</f>
        <v>45593 1200H</v>
      </c>
      <c r="D89" s="112">
        <v>498.89</v>
      </c>
      <c r="E89" s="117">
        <v>49.66</v>
      </c>
      <c r="F89" s="254">
        <v>1102.8</v>
      </c>
      <c r="G89" s="255">
        <v>6.2</v>
      </c>
      <c r="H89" s="254">
        <v>73160.42</v>
      </c>
      <c r="I89" s="239">
        <v>884.43</v>
      </c>
      <c r="J89" s="239">
        <v>32812.83</v>
      </c>
      <c r="K89" s="255">
        <v>100.67</v>
      </c>
      <c r="L89" s="254">
        <v>4992.8</v>
      </c>
      <c r="M89" s="239">
        <v>15.77</v>
      </c>
      <c r="N89" s="239">
        <v>32307.5</v>
      </c>
      <c r="O89" s="239">
        <v>28.6</v>
      </c>
      <c r="P89" s="239">
        <v>506.38</v>
      </c>
      <c r="Q89" s="239">
        <v>607.67999999999995</v>
      </c>
      <c r="R89" s="239">
        <v>9510.4500000000007</v>
      </c>
      <c r="S89" s="239">
        <v>9.0399999999999991</v>
      </c>
      <c r="T89" s="239">
        <v>35153</v>
      </c>
      <c r="U89" s="239">
        <v>69</v>
      </c>
      <c r="V89" s="239">
        <v>205.96</v>
      </c>
      <c r="W89" s="239">
        <v>0.15</v>
      </c>
      <c r="X89" s="239">
        <v>5802.17</v>
      </c>
      <c r="Y89" s="239"/>
      <c r="Z89" s="239">
        <v>54150</v>
      </c>
      <c r="AA89" s="255">
        <v>78</v>
      </c>
      <c r="AB89" s="239"/>
      <c r="AC89" s="256"/>
      <c r="AD89" s="239"/>
      <c r="AE89" s="256"/>
    </row>
    <row r="90" spans="1:31" ht="6.95" customHeight="1" x14ac:dyDescent="0.2">
      <c r="F90" s="257"/>
      <c r="G90" s="258"/>
      <c r="H90" s="257"/>
      <c r="I90" s="259"/>
      <c r="J90" s="259"/>
      <c r="K90" s="259"/>
      <c r="L90" s="257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361"/>
      <c r="AC90" s="260"/>
      <c r="AD90" s="361"/>
      <c r="AE90" s="260"/>
    </row>
    <row r="91" spans="1:31" ht="15" x14ac:dyDescent="0.2">
      <c r="A91" s="103">
        <f>A88+1</f>
        <v>45594</v>
      </c>
      <c r="B91" s="103" t="s">
        <v>319</v>
      </c>
      <c r="C91" s="111" t="str">
        <f>A91 &amp; " " &amp;B91</f>
        <v>45594 0000H</v>
      </c>
      <c r="D91" s="112">
        <v>503.46</v>
      </c>
      <c r="E91" s="117">
        <v>49.66</v>
      </c>
      <c r="F91" s="254">
        <v>1102.8</v>
      </c>
      <c r="G91" s="255">
        <v>6.2</v>
      </c>
      <c r="H91" s="254">
        <v>73168.95</v>
      </c>
      <c r="I91" s="239">
        <v>884.51</v>
      </c>
      <c r="J91" s="239">
        <v>32816.35</v>
      </c>
      <c r="K91" s="255">
        <v>100.67</v>
      </c>
      <c r="L91" s="254">
        <v>4998.3500000000004</v>
      </c>
      <c r="M91" s="239">
        <v>15.77</v>
      </c>
      <c r="N91" s="239">
        <v>32315.1</v>
      </c>
      <c r="O91" s="239">
        <v>28.6</v>
      </c>
      <c r="P91" s="239">
        <v>507.91</v>
      </c>
      <c r="Q91" s="239">
        <v>608.16999999999996</v>
      </c>
      <c r="R91" s="239">
        <v>9514.85</v>
      </c>
      <c r="S91" s="239">
        <v>9.0399999999999991</v>
      </c>
      <c r="T91" s="239">
        <v>35160</v>
      </c>
      <c r="U91" s="239">
        <v>69</v>
      </c>
      <c r="V91" s="239">
        <v>205.96</v>
      </c>
      <c r="W91" s="239">
        <v>0.15</v>
      </c>
      <c r="X91" s="239">
        <v>5809.3</v>
      </c>
      <c r="Y91" s="239">
        <v>0</v>
      </c>
      <c r="Z91" s="239">
        <v>54150</v>
      </c>
      <c r="AA91" s="255">
        <v>78</v>
      </c>
      <c r="AB91" s="239"/>
      <c r="AC91" s="256"/>
      <c r="AD91" s="239"/>
      <c r="AE91" s="256"/>
    </row>
    <row r="92" spans="1:31" ht="15" x14ac:dyDescent="0.2">
      <c r="A92" s="103">
        <f>A89+1</f>
        <v>45594</v>
      </c>
      <c r="B92" s="103" t="s">
        <v>147</v>
      </c>
      <c r="C92" s="111" t="str">
        <f>A92 &amp; " " &amp;B92</f>
        <v>45594 1200H</v>
      </c>
      <c r="D92" s="112">
        <v>506.95</v>
      </c>
      <c r="E92" s="117">
        <v>49.66</v>
      </c>
      <c r="F92" s="254">
        <v>1102.8</v>
      </c>
      <c r="G92" s="255">
        <v>6.2</v>
      </c>
      <c r="H92" s="254">
        <v>73175.3</v>
      </c>
      <c r="I92" s="239">
        <v>884.65</v>
      </c>
      <c r="J92" s="239">
        <v>32818.43</v>
      </c>
      <c r="K92" s="255">
        <v>100.7</v>
      </c>
      <c r="L92" s="254">
        <v>5003.87</v>
      </c>
      <c r="M92" s="239">
        <v>15.77</v>
      </c>
      <c r="N92" s="239">
        <v>32319.599999999999</v>
      </c>
      <c r="O92" s="239">
        <v>28.6</v>
      </c>
      <c r="P92" s="239">
        <v>508.25</v>
      </c>
      <c r="Q92" s="239">
        <v>608.86</v>
      </c>
      <c r="R92" s="239">
        <v>9518.35</v>
      </c>
      <c r="S92" s="239">
        <v>9.0399999999999991</v>
      </c>
      <c r="T92" s="239">
        <v>35167</v>
      </c>
      <c r="U92" s="239">
        <v>69</v>
      </c>
      <c r="V92" s="239">
        <v>205.96</v>
      </c>
      <c r="W92" s="239">
        <v>0.15</v>
      </c>
      <c r="X92" s="239">
        <v>5815.29</v>
      </c>
      <c r="Y92" s="239">
        <v>0</v>
      </c>
      <c r="Z92" s="239">
        <v>54150</v>
      </c>
      <c r="AA92" s="255">
        <v>78</v>
      </c>
      <c r="AB92" s="239"/>
      <c r="AC92" s="256"/>
      <c r="AD92" s="239"/>
      <c r="AE92" s="256"/>
    </row>
    <row r="93" spans="1:31" ht="6.95" customHeight="1" x14ac:dyDescent="0.2">
      <c r="F93" s="257"/>
      <c r="G93" s="258"/>
      <c r="H93" s="257"/>
      <c r="I93" s="259"/>
      <c r="J93" s="259"/>
      <c r="K93" s="259"/>
      <c r="L93" s="257"/>
      <c r="M93" s="259"/>
      <c r="N93" s="259"/>
      <c r="O93" s="259"/>
      <c r="P93" s="259"/>
      <c r="Q93" s="259"/>
      <c r="R93" s="259"/>
      <c r="S93" s="259"/>
      <c r="T93" s="259"/>
      <c r="U93" s="259"/>
      <c r="V93" s="259"/>
      <c r="W93" s="259"/>
      <c r="X93" s="259"/>
      <c r="Y93" s="259"/>
      <c r="Z93" s="259"/>
      <c r="AA93" s="259"/>
      <c r="AB93" s="361"/>
      <c r="AC93" s="260"/>
      <c r="AD93" s="361"/>
      <c r="AE93" s="260"/>
    </row>
    <row r="94" spans="1:31" ht="15" x14ac:dyDescent="0.2">
      <c r="A94" s="103">
        <f>A91+1</f>
        <v>45595</v>
      </c>
      <c r="B94" s="103" t="s">
        <v>319</v>
      </c>
      <c r="C94" s="111" t="str">
        <f>A94 &amp; " " &amp;B94</f>
        <v>45595 0000H</v>
      </c>
      <c r="D94" s="112">
        <v>511.52</v>
      </c>
      <c r="E94" s="117">
        <v>49.66</v>
      </c>
      <c r="F94" s="254">
        <v>1102.8</v>
      </c>
      <c r="G94" s="255">
        <v>6.2</v>
      </c>
      <c r="H94" s="254">
        <v>73185.8</v>
      </c>
      <c r="I94" s="239">
        <v>884.68</v>
      </c>
      <c r="J94" s="239">
        <v>32821.949999999997</v>
      </c>
      <c r="K94" s="255">
        <v>100.71</v>
      </c>
      <c r="L94" s="254">
        <v>5009.45</v>
      </c>
      <c r="M94" s="239">
        <v>15.77</v>
      </c>
      <c r="N94" s="239">
        <v>32327.1</v>
      </c>
      <c r="O94" s="239">
        <v>28.6</v>
      </c>
      <c r="P94" s="239">
        <v>509.85</v>
      </c>
      <c r="Q94" s="239">
        <v>609.21</v>
      </c>
      <c r="R94" s="239">
        <v>9522.77</v>
      </c>
      <c r="S94" s="239">
        <v>9.0399999999999991</v>
      </c>
      <c r="T94" s="239">
        <v>35174</v>
      </c>
      <c r="U94" s="239">
        <v>69</v>
      </c>
      <c r="V94" s="239">
        <v>205.96</v>
      </c>
      <c r="W94" s="239">
        <v>0.15</v>
      </c>
      <c r="X94" s="239">
        <v>5822.7</v>
      </c>
      <c r="Y94" s="239">
        <v>0</v>
      </c>
      <c r="Z94" s="239">
        <v>54150</v>
      </c>
      <c r="AA94" s="255">
        <v>78</v>
      </c>
      <c r="AB94" s="239"/>
      <c r="AC94" s="256"/>
      <c r="AD94" s="239"/>
      <c r="AE94" s="256"/>
    </row>
    <row r="95" spans="1:31" ht="15" x14ac:dyDescent="0.2">
      <c r="A95" s="103">
        <f>A92+1</f>
        <v>45595</v>
      </c>
      <c r="B95" s="103" t="s">
        <v>147</v>
      </c>
      <c r="C95" s="111" t="str">
        <f>A95 &amp; " " &amp;B95</f>
        <v>45595 1200H</v>
      </c>
      <c r="D95" s="112">
        <v>515.05999999999995</v>
      </c>
      <c r="E95" s="117">
        <v>49.66</v>
      </c>
      <c r="F95" s="254">
        <v>1102.8</v>
      </c>
      <c r="G95" s="255">
        <v>6.2</v>
      </c>
      <c r="H95" s="254">
        <v>73195.97</v>
      </c>
      <c r="I95" s="239">
        <v>884.68</v>
      </c>
      <c r="J95" s="239">
        <v>32823.22</v>
      </c>
      <c r="K95" s="255">
        <v>100.76</v>
      </c>
      <c r="L95" s="254">
        <v>5014.99</v>
      </c>
      <c r="M95" s="239">
        <v>15.77</v>
      </c>
      <c r="N95" s="239">
        <v>32332.6</v>
      </c>
      <c r="O95" s="239">
        <v>28.6</v>
      </c>
      <c r="P95" s="239">
        <v>510.62</v>
      </c>
      <c r="Q95" s="239">
        <v>609.96</v>
      </c>
      <c r="R95" s="239">
        <v>9526.44</v>
      </c>
      <c r="S95" s="239">
        <v>9.0399999999999991</v>
      </c>
      <c r="T95" s="239">
        <v>35181</v>
      </c>
      <c r="U95" s="239">
        <v>69</v>
      </c>
      <c r="V95" s="239">
        <v>205.96</v>
      </c>
      <c r="W95" s="239">
        <v>0.15</v>
      </c>
      <c r="X95" s="239">
        <v>5828.89</v>
      </c>
      <c r="Y95" s="239">
        <v>0</v>
      </c>
      <c r="Z95" s="239">
        <v>54150</v>
      </c>
      <c r="AA95" s="255">
        <v>78</v>
      </c>
      <c r="AB95" s="239"/>
      <c r="AC95" s="256"/>
      <c r="AD95" s="239"/>
      <c r="AE95" s="256"/>
    </row>
    <row r="96" spans="1:31" ht="6.95" customHeight="1" x14ac:dyDescent="0.2">
      <c r="F96" s="257"/>
      <c r="G96" s="258"/>
      <c r="H96" s="257"/>
      <c r="I96" s="259"/>
      <c r="J96" s="259"/>
      <c r="K96" s="259"/>
      <c r="L96" s="257"/>
      <c r="M96" s="259"/>
      <c r="N96" s="259"/>
      <c r="O96" s="259"/>
      <c r="P96" s="259"/>
      <c r="Q96" s="259"/>
      <c r="R96" s="259"/>
      <c r="S96" s="259"/>
      <c r="T96" s="259"/>
      <c r="U96" s="259"/>
      <c r="V96" s="259"/>
      <c r="W96" s="259"/>
      <c r="X96" s="259"/>
      <c r="Y96" s="259"/>
      <c r="Z96" s="259"/>
      <c r="AA96" s="259"/>
      <c r="AB96" s="361"/>
      <c r="AC96" s="260"/>
      <c r="AD96" s="361"/>
      <c r="AE96" s="260"/>
    </row>
    <row r="97" spans="1:31" ht="15" x14ac:dyDescent="0.2">
      <c r="A97" s="103">
        <f>A94+1</f>
        <v>45596</v>
      </c>
      <c r="B97" s="103" t="s">
        <v>319</v>
      </c>
      <c r="C97" s="111" t="str">
        <f>A97 &amp; " " &amp;B97</f>
        <v>45596 0000H</v>
      </c>
      <c r="D97" s="112">
        <v>519.67999999999995</v>
      </c>
      <c r="E97" s="117">
        <v>49.66</v>
      </c>
      <c r="F97" s="254">
        <v>1102.8</v>
      </c>
      <c r="G97" s="255">
        <v>6.2</v>
      </c>
      <c r="H97" s="254">
        <v>73206.240000000005</v>
      </c>
      <c r="I97" s="239">
        <v>884.69</v>
      </c>
      <c r="J97" s="239">
        <v>32826.83</v>
      </c>
      <c r="K97" s="255">
        <v>100.76</v>
      </c>
      <c r="L97" s="254">
        <v>5020.78</v>
      </c>
      <c r="M97" s="239">
        <v>15.77</v>
      </c>
      <c r="N97" s="239">
        <v>32340</v>
      </c>
      <c r="O97" s="239">
        <v>28.6</v>
      </c>
      <c r="P97" s="239">
        <v>512.61</v>
      </c>
      <c r="Q97" s="239">
        <v>610.27</v>
      </c>
      <c r="R97" s="239">
        <v>9530.9699999999993</v>
      </c>
      <c r="S97" s="239">
        <v>9.0399999999999991</v>
      </c>
      <c r="T97" s="239">
        <v>35189</v>
      </c>
      <c r="U97" s="239">
        <v>69</v>
      </c>
      <c r="V97" s="239">
        <v>205.96</v>
      </c>
      <c r="W97" s="239">
        <v>0.15</v>
      </c>
      <c r="X97" s="239">
        <v>5835.65</v>
      </c>
      <c r="Y97" s="239">
        <v>0</v>
      </c>
      <c r="Z97" s="239">
        <v>54150</v>
      </c>
      <c r="AA97" s="255">
        <v>78</v>
      </c>
      <c r="AB97" s="239"/>
      <c r="AC97" s="256"/>
      <c r="AD97" s="239"/>
      <c r="AE97" s="256"/>
    </row>
    <row r="98" spans="1:31" ht="15" x14ac:dyDescent="0.2">
      <c r="A98" s="103">
        <f>A95+1</f>
        <v>45596</v>
      </c>
      <c r="B98" s="103" t="s">
        <v>147</v>
      </c>
      <c r="C98" s="111" t="str">
        <f>A98 &amp; " " &amp;B98</f>
        <v>45596 1200H</v>
      </c>
      <c r="D98" s="112">
        <v>523.33000000000004</v>
      </c>
      <c r="E98" s="117">
        <v>49.66</v>
      </c>
      <c r="F98" s="254">
        <v>1102.8</v>
      </c>
      <c r="G98" s="255">
        <v>6.2</v>
      </c>
      <c r="H98" s="254">
        <v>73211.210000000006</v>
      </c>
      <c r="I98" s="239">
        <v>884.9</v>
      </c>
      <c r="J98" s="239">
        <v>32830.480000000003</v>
      </c>
      <c r="K98" s="255">
        <v>100.76</v>
      </c>
      <c r="L98" s="254">
        <v>5026.53</v>
      </c>
      <c r="M98" s="239">
        <v>15.77</v>
      </c>
      <c r="N98" s="239">
        <v>32345.1</v>
      </c>
      <c r="O98" s="239">
        <v>28.6</v>
      </c>
      <c r="P98" s="239">
        <v>513.34</v>
      </c>
      <c r="Q98" s="239">
        <v>611.03</v>
      </c>
      <c r="R98" s="239">
        <v>9534.66</v>
      </c>
      <c r="S98" s="239">
        <v>9.0399999999999991</v>
      </c>
      <c r="T98" s="239">
        <v>35195</v>
      </c>
      <c r="U98" s="239">
        <v>69</v>
      </c>
      <c r="V98" s="239">
        <v>205.96</v>
      </c>
      <c r="W98" s="239">
        <v>0.15</v>
      </c>
      <c r="X98" s="239">
        <v>5840.71</v>
      </c>
      <c r="Y98" s="239">
        <v>0</v>
      </c>
      <c r="Z98" s="239">
        <v>54150</v>
      </c>
      <c r="AA98" s="255">
        <v>78</v>
      </c>
      <c r="AB98" s="239"/>
      <c r="AC98" s="256"/>
      <c r="AD98" s="239"/>
      <c r="AE98" s="256"/>
    </row>
    <row r="99" spans="1:31" ht="6.95" customHeight="1" x14ac:dyDescent="0.2">
      <c r="F99" s="257"/>
      <c r="G99" s="258"/>
      <c r="H99" s="257"/>
      <c r="I99" s="259"/>
      <c r="J99" s="259"/>
      <c r="K99" s="259"/>
      <c r="L99" s="257"/>
      <c r="M99" s="259"/>
      <c r="N99" s="259"/>
      <c r="O99" s="259"/>
      <c r="P99" s="259"/>
      <c r="Q99" s="259"/>
      <c r="R99" s="259"/>
      <c r="S99" s="259"/>
      <c r="T99" s="259"/>
      <c r="U99" s="259"/>
      <c r="V99" s="259"/>
      <c r="W99" s="259"/>
      <c r="X99" s="259"/>
      <c r="Y99" s="259"/>
      <c r="Z99" s="259"/>
      <c r="AA99" s="259"/>
      <c r="AB99" s="361"/>
      <c r="AC99" s="260"/>
      <c r="AD99" s="361"/>
      <c r="AE99" s="260"/>
    </row>
    <row r="100" spans="1:31" ht="15" x14ac:dyDescent="0.2">
      <c r="A100" s="103">
        <f>A97+1</f>
        <v>45597</v>
      </c>
      <c r="B100" s="103" t="s">
        <v>319</v>
      </c>
      <c r="C100" s="111" t="str">
        <f>A100 &amp; " " &amp;B100</f>
        <v>45597 0000H</v>
      </c>
      <c r="D100" s="112">
        <v>527.79</v>
      </c>
      <c r="E100" s="117">
        <v>49.66</v>
      </c>
      <c r="F100" s="254">
        <v>1102.8</v>
      </c>
      <c r="G100" s="255">
        <v>6.2</v>
      </c>
      <c r="H100" s="254">
        <v>73221.649999999994</v>
      </c>
      <c r="I100" s="239">
        <v>884.9</v>
      </c>
      <c r="J100" s="239">
        <v>32834</v>
      </c>
      <c r="K100" s="255">
        <v>100.76</v>
      </c>
      <c r="L100" s="254">
        <v>5032.3</v>
      </c>
      <c r="M100" s="239">
        <v>15.77</v>
      </c>
      <c r="N100" s="239">
        <v>32352.5</v>
      </c>
      <c r="O100" s="239">
        <v>28.6</v>
      </c>
      <c r="P100" s="239">
        <v>514.29</v>
      </c>
      <c r="Q100" s="239">
        <v>611.29</v>
      </c>
      <c r="R100" s="239">
        <v>9539.08</v>
      </c>
      <c r="S100" s="239">
        <v>9.0399999999999991</v>
      </c>
      <c r="T100" s="239">
        <v>35202</v>
      </c>
      <c r="U100" s="239">
        <v>69</v>
      </c>
      <c r="V100" s="239">
        <v>205.96</v>
      </c>
      <c r="W100" s="239">
        <v>0.15</v>
      </c>
      <c r="X100" s="239">
        <v>5847.89</v>
      </c>
      <c r="Y100" s="239">
        <v>0</v>
      </c>
      <c r="Z100" s="239">
        <v>54150</v>
      </c>
      <c r="AA100" s="255">
        <v>78</v>
      </c>
      <c r="AB100" s="239"/>
      <c r="AC100" s="256"/>
      <c r="AD100" s="239"/>
      <c r="AE100" s="256"/>
    </row>
    <row r="101" spans="1:31" ht="15" x14ac:dyDescent="0.2">
      <c r="A101" s="103">
        <f>A98+1</f>
        <v>45597</v>
      </c>
      <c r="B101" s="103" t="s">
        <v>147</v>
      </c>
      <c r="C101" s="111" t="str">
        <f>A101 &amp; " " &amp;B101</f>
        <v>45597 1200H</v>
      </c>
      <c r="D101" s="112">
        <v>531.29999999999995</v>
      </c>
      <c r="E101" s="117">
        <v>49.66</v>
      </c>
      <c r="F101" s="254">
        <v>1102.8</v>
      </c>
      <c r="G101" s="255">
        <v>6.2</v>
      </c>
      <c r="H101" s="254">
        <v>73231.78</v>
      </c>
      <c r="I101" s="239">
        <v>884.9</v>
      </c>
      <c r="J101" s="239">
        <v>32835.870000000003</v>
      </c>
      <c r="K101" s="255">
        <v>100.8</v>
      </c>
      <c r="L101" s="254">
        <v>5037.87</v>
      </c>
      <c r="M101" s="239">
        <v>15.77</v>
      </c>
      <c r="N101" s="239">
        <v>32356.7</v>
      </c>
      <c r="O101" s="239">
        <v>28.6</v>
      </c>
      <c r="P101" s="239">
        <v>514.37</v>
      </c>
      <c r="Q101" s="239">
        <v>612.52</v>
      </c>
      <c r="R101" s="239">
        <v>9542.57</v>
      </c>
      <c r="S101" s="239">
        <v>9.0399999999999991</v>
      </c>
      <c r="T101" s="239">
        <v>35208</v>
      </c>
      <c r="U101" s="239">
        <v>69</v>
      </c>
      <c r="V101" s="239">
        <v>205.96</v>
      </c>
      <c r="W101" s="239">
        <v>0.15</v>
      </c>
      <c r="X101" s="239">
        <v>5853.86</v>
      </c>
      <c r="Y101" s="239">
        <v>0</v>
      </c>
      <c r="Z101" s="239">
        <v>54150</v>
      </c>
      <c r="AA101" s="255">
        <v>78</v>
      </c>
      <c r="AB101" s="239"/>
      <c r="AC101" s="256"/>
      <c r="AD101" s="239"/>
      <c r="AE101" s="256"/>
    </row>
    <row r="102" spans="1:31" ht="6.95" customHeight="1" x14ac:dyDescent="0.2">
      <c r="F102" s="257"/>
      <c r="G102" s="258"/>
      <c r="H102" s="257"/>
      <c r="I102" s="259"/>
      <c r="J102" s="259"/>
      <c r="K102" s="259"/>
      <c r="L102" s="257"/>
      <c r="M102" s="259"/>
      <c r="N102" s="259"/>
      <c r="O102" s="259"/>
      <c r="P102" s="259"/>
      <c r="Q102" s="259"/>
      <c r="R102" s="259"/>
      <c r="S102" s="259"/>
      <c r="T102" s="259"/>
      <c r="U102" s="259"/>
      <c r="V102" s="259"/>
      <c r="W102" s="259"/>
      <c r="X102" s="259"/>
      <c r="Y102" s="259"/>
      <c r="Z102" s="259"/>
      <c r="AA102" s="259"/>
      <c r="AB102" s="361"/>
      <c r="AC102" s="260"/>
      <c r="AD102" s="361"/>
      <c r="AE102" s="260"/>
    </row>
    <row r="103" spans="1:31" ht="15" x14ac:dyDescent="0.2">
      <c r="A103" s="103">
        <f>A100+1</f>
        <v>45598</v>
      </c>
      <c r="B103" s="103" t="s">
        <v>319</v>
      </c>
      <c r="C103" s="111" t="str">
        <f>A103 &amp; " " &amp;B103</f>
        <v>45598 0000H</v>
      </c>
      <c r="D103" s="112">
        <v>535.55999999999995</v>
      </c>
      <c r="E103" s="117">
        <v>49.66</v>
      </c>
      <c r="F103" s="254">
        <v>1102.8</v>
      </c>
      <c r="G103" s="255">
        <v>6.2</v>
      </c>
      <c r="H103" s="254">
        <v>73241.179999999993</v>
      </c>
      <c r="I103" s="239">
        <v>884.9</v>
      </c>
      <c r="J103" s="239">
        <v>32838.93</v>
      </c>
      <c r="K103" s="255">
        <v>100.81</v>
      </c>
      <c r="L103" s="254">
        <v>5043.4399999999996</v>
      </c>
      <c r="M103" s="239">
        <v>15.77</v>
      </c>
      <c r="N103" s="239">
        <v>32361.8</v>
      </c>
      <c r="O103" s="239">
        <v>28.6</v>
      </c>
      <c r="P103" s="239">
        <v>514.42999999999995</v>
      </c>
      <c r="Q103" s="239">
        <v>613.71</v>
      </c>
      <c r="R103" s="239">
        <v>9546.3799999999992</v>
      </c>
      <c r="S103" s="239">
        <v>9.0399999999999991</v>
      </c>
      <c r="T103" s="239">
        <v>35214</v>
      </c>
      <c r="U103" s="239">
        <v>69</v>
      </c>
      <c r="V103" s="239">
        <v>205.96</v>
      </c>
      <c r="W103" s="239">
        <v>0.15</v>
      </c>
      <c r="X103" s="239">
        <v>5860.34</v>
      </c>
      <c r="Y103" s="239">
        <v>0</v>
      </c>
      <c r="Z103" s="239">
        <v>54150</v>
      </c>
      <c r="AA103" s="255">
        <v>78</v>
      </c>
      <c r="AB103" s="239"/>
      <c r="AC103" s="256"/>
      <c r="AD103" s="239"/>
      <c r="AE103" s="256"/>
    </row>
    <row r="104" spans="1:31" ht="15" x14ac:dyDescent="0.2">
      <c r="A104" s="103">
        <f>A101+1</f>
        <v>45598</v>
      </c>
      <c r="B104" s="103" t="s">
        <v>147</v>
      </c>
      <c r="C104" s="111" t="str">
        <f>A104 &amp; " " &amp;B104</f>
        <v>45598 1200H</v>
      </c>
      <c r="D104" s="112">
        <v>539.03</v>
      </c>
      <c r="E104" s="117">
        <v>49.66</v>
      </c>
      <c r="F104" s="254">
        <v>1102.8</v>
      </c>
      <c r="G104" s="255">
        <v>6.2</v>
      </c>
      <c r="H104" s="254">
        <v>73247.289999999994</v>
      </c>
      <c r="I104" s="239">
        <v>885.08</v>
      </c>
      <c r="J104" s="239">
        <v>32838.93</v>
      </c>
      <c r="K104" s="255">
        <v>100.81</v>
      </c>
      <c r="L104" s="254">
        <v>5049</v>
      </c>
      <c r="M104" s="239">
        <v>15.97</v>
      </c>
      <c r="N104" s="239">
        <v>32366.1</v>
      </c>
      <c r="O104" s="239">
        <v>28.6</v>
      </c>
      <c r="P104" s="239">
        <v>514.54999999999995</v>
      </c>
      <c r="Q104" s="239">
        <v>614.58000000000004</v>
      </c>
      <c r="R104" s="239">
        <v>9549.2800000000007</v>
      </c>
      <c r="S104" s="239">
        <v>9.0399999999999991</v>
      </c>
      <c r="T104" s="239">
        <v>35220</v>
      </c>
      <c r="U104" s="239">
        <v>69</v>
      </c>
      <c r="V104" s="239">
        <v>205.96</v>
      </c>
      <c r="W104" s="239">
        <v>0.15</v>
      </c>
      <c r="X104" s="239">
        <v>5865.72</v>
      </c>
      <c r="Y104" s="239">
        <v>0</v>
      </c>
      <c r="Z104" s="239">
        <v>54150</v>
      </c>
      <c r="AA104" s="255">
        <v>78</v>
      </c>
      <c r="AB104" s="239"/>
      <c r="AC104" s="256"/>
      <c r="AD104" s="239"/>
      <c r="AE104" s="256"/>
    </row>
    <row r="105" spans="1:31" ht="6.95" customHeight="1" x14ac:dyDescent="0.2">
      <c r="F105" s="257"/>
      <c r="G105" s="258"/>
      <c r="H105" s="257"/>
      <c r="I105" s="259"/>
      <c r="J105" s="259"/>
      <c r="K105" s="259"/>
      <c r="L105" s="257"/>
      <c r="M105" s="259"/>
      <c r="N105" s="259"/>
      <c r="O105" s="259"/>
      <c r="P105" s="259"/>
      <c r="Q105" s="259"/>
      <c r="R105" s="259"/>
      <c r="S105" s="259"/>
      <c r="T105" s="259"/>
      <c r="U105" s="259"/>
      <c r="V105" s="259"/>
      <c r="W105" s="259"/>
      <c r="X105" s="259"/>
      <c r="Y105" s="259"/>
      <c r="Z105" s="259"/>
      <c r="AA105" s="259"/>
      <c r="AB105" s="361"/>
      <c r="AC105" s="260"/>
      <c r="AD105" s="361"/>
      <c r="AE105" s="260"/>
    </row>
    <row r="106" spans="1:31" ht="15" x14ac:dyDescent="0.2">
      <c r="A106" s="103">
        <f>A103+1</f>
        <v>45599</v>
      </c>
      <c r="B106" s="103" t="s">
        <v>319</v>
      </c>
      <c r="C106" s="111" t="str">
        <f>A106 &amp; " " &amp;B106</f>
        <v>45599 0000H</v>
      </c>
      <c r="D106" s="112">
        <v>543.85</v>
      </c>
      <c r="E106" s="117">
        <v>49.66</v>
      </c>
      <c r="F106" s="254">
        <v>1102.8</v>
      </c>
      <c r="G106" s="255">
        <v>6.2</v>
      </c>
      <c r="H106" s="254">
        <v>73255.42</v>
      </c>
      <c r="I106" s="239">
        <v>885.14</v>
      </c>
      <c r="J106" s="239">
        <v>32838.93</v>
      </c>
      <c r="K106" s="255">
        <v>100.88</v>
      </c>
      <c r="L106" s="254">
        <v>5054.8500000000004</v>
      </c>
      <c r="M106" s="239">
        <v>15.77</v>
      </c>
      <c r="N106" s="239">
        <v>32374.1</v>
      </c>
      <c r="O106" s="239">
        <v>28.6</v>
      </c>
      <c r="P106" s="239">
        <v>515.01</v>
      </c>
      <c r="Q106" s="239">
        <v>614.96</v>
      </c>
      <c r="R106" s="239">
        <v>9554.09</v>
      </c>
      <c r="S106" s="239">
        <v>9.0399999999999991</v>
      </c>
      <c r="T106" s="239">
        <v>35227.69</v>
      </c>
      <c r="U106" s="239">
        <v>69</v>
      </c>
      <c r="V106" s="239">
        <v>205.96</v>
      </c>
      <c r="W106" s="239">
        <v>0.15</v>
      </c>
      <c r="X106" s="239">
        <v>5872.06</v>
      </c>
      <c r="Y106" s="239">
        <v>0</v>
      </c>
      <c r="Z106" s="239">
        <v>54150</v>
      </c>
      <c r="AA106" s="255">
        <v>78</v>
      </c>
      <c r="AB106" s="239"/>
      <c r="AC106" s="256"/>
      <c r="AD106" s="239"/>
      <c r="AE106" s="256"/>
    </row>
    <row r="107" spans="1:31" ht="15" x14ac:dyDescent="0.2">
      <c r="A107" s="103">
        <f>A104+1</f>
        <v>45599</v>
      </c>
      <c r="B107" s="103" t="s">
        <v>147</v>
      </c>
      <c r="C107" s="111" t="str">
        <f>A107 &amp; " " &amp;B107</f>
        <v>45599 1200H</v>
      </c>
      <c r="D107" s="112">
        <v>546.95000000000005</v>
      </c>
      <c r="E107" s="117">
        <v>49.66</v>
      </c>
      <c r="F107" s="254">
        <v>1102.8</v>
      </c>
      <c r="G107" s="255">
        <v>6.2</v>
      </c>
      <c r="H107" s="254">
        <v>73257.100000000006</v>
      </c>
      <c r="I107" s="239">
        <v>885.43</v>
      </c>
      <c r="J107" s="239">
        <v>32838.93</v>
      </c>
      <c r="K107" s="255">
        <v>100.99</v>
      </c>
      <c r="L107" s="254">
        <v>5060.3900000000003</v>
      </c>
      <c r="M107" s="239">
        <v>15.77</v>
      </c>
      <c r="N107" s="239">
        <v>32379</v>
      </c>
      <c r="O107" s="239">
        <v>28.6</v>
      </c>
      <c r="P107" s="239">
        <v>515.04</v>
      </c>
      <c r="Q107" s="239">
        <v>615.89</v>
      </c>
      <c r="R107" s="239">
        <v>9557.66</v>
      </c>
      <c r="S107" s="239">
        <v>9.0399999999999991</v>
      </c>
      <c r="T107" s="239">
        <v>35233</v>
      </c>
      <c r="U107" s="239">
        <v>69</v>
      </c>
      <c r="V107" s="239">
        <v>205.96</v>
      </c>
      <c r="W107" s="239">
        <v>0.15</v>
      </c>
      <c r="X107" s="239">
        <v>5869.2</v>
      </c>
      <c r="Y107" s="239">
        <v>0</v>
      </c>
      <c r="Z107" s="239">
        <v>54150</v>
      </c>
      <c r="AA107" s="255">
        <v>78</v>
      </c>
      <c r="AB107" s="239"/>
      <c r="AC107" s="256"/>
      <c r="AD107" s="239"/>
      <c r="AE107" s="256"/>
    </row>
    <row r="108" spans="1:31" ht="6.95" customHeight="1" x14ac:dyDescent="0.2">
      <c r="F108" s="257"/>
      <c r="G108" s="258"/>
      <c r="H108" s="257"/>
      <c r="I108" s="259"/>
      <c r="J108" s="259"/>
      <c r="K108" s="259"/>
      <c r="L108" s="257"/>
      <c r="M108" s="259"/>
      <c r="N108" s="259"/>
      <c r="O108" s="259"/>
      <c r="P108" s="259"/>
      <c r="Q108" s="259"/>
      <c r="R108" s="259"/>
      <c r="S108" s="259"/>
      <c r="T108" s="259"/>
      <c r="U108" s="259"/>
      <c r="V108" s="259"/>
      <c r="W108" s="259"/>
      <c r="X108" s="259"/>
      <c r="Y108" s="259"/>
      <c r="Z108" s="259"/>
      <c r="AA108" s="259"/>
      <c r="AB108" s="361"/>
      <c r="AC108" s="260"/>
      <c r="AD108" s="361"/>
      <c r="AE108" s="260"/>
    </row>
    <row r="109" spans="1:31" ht="15" x14ac:dyDescent="0.2">
      <c r="A109" s="103">
        <f>A106+1</f>
        <v>45600</v>
      </c>
      <c r="B109" s="103" t="s">
        <v>319</v>
      </c>
      <c r="C109" s="111" t="str">
        <f>A109 &amp; " " &amp;B109</f>
        <v>45600 0000H</v>
      </c>
      <c r="D109" s="112">
        <v>551.36</v>
      </c>
      <c r="E109" s="117">
        <v>49.66</v>
      </c>
      <c r="F109" s="254">
        <v>1102.8</v>
      </c>
      <c r="G109" s="255">
        <v>6.2</v>
      </c>
      <c r="H109" s="254">
        <v>73268.149999999994</v>
      </c>
      <c r="I109" s="239">
        <v>885.43</v>
      </c>
      <c r="J109" s="239">
        <v>32841.58</v>
      </c>
      <c r="K109" s="255">
        <v>101.03</v>
      </c>
      <c r="L109" s="254">
        <v>5066.2</v>
      </c>
      <c r="M109" s="239">
        <v>15.77</v>
      </c>
      <c r="N109" s="239">
        <v>32386.400000000001</v>
      </c>
      <c r="O109" s="239">
        <v>28.6</v>
      </c>
      <c r="P109" s="239">
        <v>515.13</v>
      </c>
      <c r="Q109" s="239">
        <v>616.74</v>
      </c>
      <c r="R109" s="239">
        <v>9562.2999999999993</v>
      </c>
      <c r="S109" s="239">
        <v>9.0399999999999991</v>
      </c>
      <c r="T109" s="239">
        <v>35240</v>
      </c>
      <c r="U109" s="239">
        <v>69</v>
      </c>
      <c r="V109" s="239">
        <v>205.96</v>
      </c>
      <c r="W109" s="239">
        <v>0.15</v>
      </c>
      <c r="X109" s="239">
        <v>5884.76</v>
      </c>
      <c r="Y109" s="239">
        <v>0</v>
      </c>
      <c r="Z109" s="239">
        <v>54150</v>
      </c>
      <c r="AA109" s="255">
        <v>78</v>
      </c>
      <c r="AB109" s="239"/>
      <c r="AC109" s="256"/>
      <c r="AD109" s="239"/>
      <c r="AE109" s="256"/>
    </row>
    <row r="110" spans="1:31" ht="15" x14ac:dyDescent="0.2">
      <c r="A110" s="103">
        <f>A107+1</f>
        <v>45600</v>
      </c>
      <c r="B110" s="103" t="s">
        <v>147</v>
      </c>
      <c r="C110" s="111" t="str">
        <f>A110 &amp; " " &amp;B110</f>
        <v>45600 1200H</v>
      </c>
      <c r="D110" s="112">
        <v>554.77800000000002</v>
      </c>
      <c r="E110" s="117">
        <v>49.96</v>
      </c>
      <c r="F110" s="254">
        <v>1102.8</v>
      </c>
      <c r="G110" s="255">
        <v>6.2</v>
      </c>
      <c r="H110" s="254">
        <v>73278.399999999994</v>
      </c>
      <c r="I110" s="239">
        <v>885.43</v>
      </c>
      <c r="J110" s="239">
        <v>32842.730000000003</v>
      </c>
      <c r="K110" s="255">
        <v>101.07</v>
      </c>
      <c r="L110" s="254">
        <v>5071.8100000000004</v>
      </c>
      <c r="M110" s="239">
        <v>15.77</v>
      </c>
      <c r="N110" s="239">
        <v>32391.4</v>
      </c>
      <c r="O110" s="239">
        <v>28.6</v>
      </c>
      <c r="P110" s="239">
        <v>515.53</v>
      </c>
      <c r="Q110" s="239">
        <v>617.39</v>
      </c>
      <c r="R110" s="239">
        <v>9556.9699999999993</v>
      </c>
      <c r="S110" s="239">
        <v>9.0399999999999991</v>
      </c>
      <c r="T110" s="239">
        <v>35246</v>
      </c>
      <c r="U110" s="239">
        <v>69</v>
      </c>
      <c r="V110" s="239">
        <v>205.96</v>
      </c>
      <c r="W110" s="239">
        <v>0.15</v>
      </c>
      <c r="X110" s="239">
        <v>5890.65</v>
      </c>
      <c r="Y110" s="239">
        <v>0</v>
      </c>
      <c r="Z110" s="239">
        <v>54150</v>
      </c>
      <c r="AA110" s="255">
        <v>78</v>
      </c>
      <c r="AB110" s="239"/>
      <c r="AC110" s="256"/>
      <c r="AD110" s="239"/>
      <c r="AE110" s="256"/>
    </row>
    <row r="111" spans="1:31" ht="6.95" customHeight="1" x14ac:dyDescent="0.2">
      <c r="F111" s="257"/>
      <c r="G111" s="258"/>
      <c r="H111" s="257"/>
      <c r="I111" s="259"/>
      <c r="J111" s="259"/>
      <c r="K111" s="259"/>
      <c r="L111" s="257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A111" s="259"/>
      <c r="AB111" s="361"/>
      <c r="AC111" s="260"/>
      <c r="AD111" s="361"/>
      <c r="AE111" s="260"/>
    </row>
    <row r="112" spans="1:31" ht="15" x14ac:dyDescent="0.2">
      <c r="A112" s="103">
        <f>A109+1</f>
        <v>45601</v>
      </c>
      <c r="B112" s="103" t="s">
        <v>319</v>
      </c>
      <c r="C112" s="111" t="str">
        <f>A112 &amp; " " &amp;B112</f>
        <v>45601 0000H</v>
      </c>
      <c r="D112" s="112">
        <v>559.37</v>
      </c>
      <c r="E112" s="117">
        <v>49.66</v>
      </c>
      <c r="F112" s="254">
        <v>1102.8</v>
      </c>
      <c r="G112" s="255">
        <v>6.2</v>
      </c>
      <c r="H112" s="254">
        <v>73288.679999999993</v>
      </c>
      <c r="I112" s="239">
        <v>885.43</v>
      </c>
      <c r="J112" s="239">
        <v>32846.120000000003</v>
      </c>
      <c r="K112" s="255">
        <v>101.08</v>
      </c>
      <c r="L112" s="254">
        <v>5077.58</v>
      </c>
      <c r="M112" s="239">
        <v>15.77</v>
      </c>
      <c r="N112" s="239">
        <v>32398.9</v>
      </c>
      <c r="O112" s="239">
        <v>28.6</v>
      </c>
      <c r="P112" s="239">
        <v>515.77</v>
      </c>
      <c r="Q112" s="239">
        <v>618.17999999999995</v>
      </c>
      <c r="R112" s="239">
        <v>9570.19</v>
      </c>
      <c r="S112" s="239">
        <v>9.0399999999999991</v>
      </c>
      <c r="T112" s="239">
        <v>35254</v>
      </c>
      <c r="U112" s="239">
        <v>69</v>
      </c>
      <c r="V112" s="239">
        <v>205.96</v>
      </c>
      <c r="W112" s="239">
        <v>0.15</v>
      </c>
      <c r="X112" s="239">
        <v>5897.64</v>
      </c>
      <c r="Y112" s="239">
        <v>0</v>
      </c>
      <c r="Z112" s="239">
        <v>54150</v>
      </c>
      <c r="AA112" s="255">
        <v>78</v>
      </c>
      <c r="AB112" s="239"/>
      <c r="AC112" s="256"/>
      <c r="AD112" s="239"/>
      <c r="AE112" s="256"/>
    </row>
    <row r="113" spans="1:31" ht="15" x14ac:dyDescent="0.2">
      <c r="A113" s="103">
        <f>A110+1</f>
        <v>45601</v>
      </c>
      <c r="B113" s="103" t="s">
        <v>147</v>
      </c>
      <c r="C113" s="111" t="str">
        <f>A113 &amp; " " &amp;B113</f>
        <v>45601 1200H</v>
      </c>
      <c r="D113" s="112">
        <v>562.91999999999996</v>
      </c>
      <c r="E113" s="117">
        <v>49.66</v>
      </c>
      <c r="F113" s="254">
        <v>1102.8</v>
      </c>
      <c r="G113" s="255">
        <v>6.2</v>
      </c>
      <c r="H113" s="254">
        <v>73298.929999999993</v>
      </c>
      <c r="I113" s="239">
        <v>885.43</v>
      </c>
      <c r="J113" s="239">
        <v>32847.39</v>
      </c>
      <c r="K113" s="255">
        <v>101.13</v>
      </c>
      <c r="L113" s="254">
        <v>5083.03</v>
      </c>
      <c r="M113" s="239">
        <v>15.77</v>
      </c>
      <c r="N113" s="239">
        <v>32403</v>
      </c>
      <c r="O113" s="239">
        <v>28.6</v>
      </c>
      <c r="P113" s="239">
        <v>515.97</v>
      </c>
      <c r="Q113" s="239">
        <v>618.91999999999996</v>
      </c>
      <c r="R113" s="239">
        <v>9573.81</v>
      </c>
      <c r="S113" s="239">
        <v>9.0399999999999991</v>
      </c>
      <c r="T113" s="239">
        <v>35260</v>
      </c>
      <c r="U113" s="239">
        <v>69</v>
      </c>
      <c r="V113" s="239">
        <v>205.96</v>
      </c>
      <c r="W113" s="239">
        <v>0.15</v>
      </c>
      <c r="X113" s="239">
        <v>5903.78</v>
      </c>
      <c r="Y113" s="239">
        <v>0</v>
      </c>
      <c r="Z113" s="239">
        <v>54150</v>
      </c>
      <c r="AA113" s="255">
        <v>78</v>
      </c>
      <c r="AB113" s="239"/>
      <c r="AC113" s="256"/>
      <c r="AD113" s="239"/>
      <c r="AE113" s="256"/>
    </row>
    <row r="114" spans="1:31" ht="6.95" customHeight="1" x14ac:dyDescent="0.2">
      <c r="F114" s="257"/>
      <c r="G114" s="258"/>
      <c r="H114" s="257"/>
      <c r="I114" s="259"/>
      <c r="J114" s="259"/>
      <c r="K114" s="259"/>
      <c r="L114" s="257"/>
      <c r="M114" s="259"/>
      <c r="N114" s="259"/>
      <c r="O114" s="259"/>
      <c r="P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  <c r="AA114" s="259"/>
      <c r="AB114" s="361"/>
      <c r="AC114" s="260"/>
      <c r="AD114" s="361"/>
      <c r="AE114" s="260"/>
    </row>
    <row r="115" spans="1:31" ht="15" x14ac:dyDescent="0.2">
      <c r="A115" s="103">
        <f>A112+1</f>
        <v>45602</v>
      </c>
      <c r="B115" s="103" t="s">
        <v>319</v>
      </c>
      <c r="C115" s="111" t="str">
        <f>A115 &amp; " " &amp;B115</f>
        <v>45602 0000H</v>
      </c>
      <c r="D115" s="112">
        <v>567.36</v>
      </c>
      <c r="E115" s="117">
        <v>49.66</v>
      </c>
      <c r="F115" s="254">
        <v>1102.8</v>
      </c>
      <c r="G115" s="255">
        <v>6.2</v>
      </c>
      <c r="H115" s="254">
        <v>73308.63</v>
      </c>
      <c r="I115" s="239">
        <v>885.43</v>
      </c>
      <c r="J115" s="239">
        <v>32850.92</v>
      </c>
      <c r="K115" s="255">
        <v>101.14</v>
      </c>
      <c r="L115" s="254">
        <v>5088.8500000000004</v>
      </c>
      <c r="M115" s="239">
        <v>15.77</v>
      </c>
      <c r="N115" s="239">
        <v>32411</v>
      </c>
      <c r="O115" s="239">
        <v>28.6</v>
      </c>
      <c r="P115" s="239">
        <v>516.04999999999995</v>
      </c>
      <c r="Q115" s="239">
        <v>619.91</v>
      </c>
      <c r="R115" s="239">
        <v>9578.15</v>
      </c>
      <c r="S115" s="239">
        <v>9.0399999999999991</v>
      </c>
      <c r="T115" s="239">
        <v>35267</v>
      </c>
      <c r="U115" s="239">
        <v>69</v>
      </c>
      <c r="V115" s="239">
        <v>205.96</v>
      </c>
      <c r="W115" s="239">
        <v>0.15</v>
      </c>
      <c r="X115" s="239">
        <v>5911.13</v>
      </c>
      <c r="Y115" s="239">
        <v>0</v>
      </c>
      <c r="Z115" s="239">
        <v>54150</v>
      </c>
      <c r="AA115" s="255">
        <v>78</v>
      </c>
      <c r="AB115" s="239"/>
      <c r="AC115" s="256"/>
      <c r="AD115" s="239"/>
      <c r="AE115" s="256"/>
    </row>
    <row r="116" spans="1:31" ht="15" x14ac:dyDescent="0.2">
      <c r="A116" s="103">
        <f>A113+1</f>
        <v>45602</v>
      </c>
      <c r="B116" s="103" t="s">
        <v>147</v>
      </c>
      <c r="C116" s="111" t="str">
        <f>A116 &amp; " " &amp;B116</f>
        <v>45602 1200H</v>
      </c>
      <c r="D116" s="112">
        <v>570.86</v>
      </c>
      <c r="E116" s="117">
        <v>49.66</v>
      </c>
      <c r="F116" s="254">
        <v>1102.8</v>
      </c>
      <c r="G116" s="255">
        <v>6.2</v>
      </c>
      <c r="H116" s="254">
        <v>73318.009999999995</v>
      </c>
      <c r="I116" s="239">
        <v>885.43</v>
      </c>
      <c r="J116" s="239">
        <v>32852.26</v>
      </c>
      <c r="K116" s="255">
        <v>101.18</v>
      </c>
      <c r="L116" s="254">
        <v>5094.5</v>
      </c>
      <c r="M116" s="239">
        <v>15.77</v>
      </c>
      <c r="N116" s="239">
        <v>32416.1</v>
      </c>
      <c r="O116" s="239">
        <v>28.6</v>
      </c>
      <c r="P116" s="239">
        <v>516.58000000000004</v>
      </c>
      <c r="Q116" s="239">
        <v>620.54999999999995</v>
      </c>
      <c r="R116" s="239">
        <v>9581.7199999999993</v>
      </c>
      <c r="S116" s="239">
        <v>9.0399999999999991</v>
      </c>
      <c r="T116" s="239">
        <v>35273</v>
      </c>
      <c r="U116" s="239">
        <v>69</v>
      </c>
      <c r="V116" s="239">
        <v>205.96</v>
      </c>
      <c r="W116" s="239">
        <v>0.15</v>
      </c>
      <c r="X116" s="239">
        <v>5917.12</v>
      </c>
      <c r="Y116" s="239">
        <v>0</v>
      </c>
      <c r="Z116" s="239">
        <v>54150</v>
      </c>
      <c r="AA116" s="255">
        <v>78</v>
      </c>
      <c r="AB116" s="239"/>
      <c r="AC116" s="256"/>
      <c r="AD116" s="239"/>
      <c r="AE116" s="256"/>
    </row>
    <row r="117" spans="1:31" ht="6.95" customHeight="1" x14ac:dyDescent="0.2">
      <c r="F117" s="257"/>
      <c r="G117" s="258"/>
      <c r="H117" s="257"/>
      <c r="I117" s="259"/>
      <c r="J117" s="259"/>
      <c r="K117" s="259"/>
      <c r="L117" s="257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361"/>
      <c r="AC117" s="260"/>
      <c r="AD117" s="361"/>
      <c r="AE117" s="260"/>
    </row>
    <row r="118" spans="1:31" ht="15" x14ac:dyDescent="0.2">
      <c r="A118" s="103">
        <f>A115+1</f>
        <v>45603</v>
      </c>
      <c r="B118" s="103" t="s">
        <v>319</v>
      </c>
      <c r="C118" s="111" t="str">
        <f>A118 &amp; " " &amp;B118</f>
        <v>45603 0000H</v>
      </c>
      <c r="D118" s="112">
        <v>575.76</v>
      </c>
      <c r="E118" s="117">
        <v>49.66</v>
      </c>
      <c r="F118" s="254">
        <v>1102.8</v>
      </c>
      <c r="G118" s="255">
        <v>6.2</v>
      </c>
      <c r="H118" s="254">
        <v>73326.33</v>
      </c>
      <c r="I118" s="239">
        <v>885.45</v>
      </c>
      <c r="J118" s="239">
        <v>32856</v>
      </c>
      <c r="K118" s="255">
        <v>101.18</v>
      </c>
      <c r="L118" s="254">
        <v>5100.22</v>
      </c>
      <c r="M118" s="239">
        <v>15.77</v>
      </c>
      <c r="N118" s="239">
        <v>32423.5</v>
      </c>
      <c r="O118" s="239">
        <v>28.6</v>
      </c>
      <c r="P118" s="239">
        <v>518.33000000000004</v>
      </c>
      <c r="Q118" s="239">
        <v>621</v>
      </c>
      <c r="R118" s="239">
        <v>9586.19</v>
      </c>
      <c r="S118" s="239">
        <v>9.0399999999999991</v>
      </c>
      <c r="T118" s="239">
        <v>35281</v>
      </c>
      <c r="U118" s="239">
        <v>69</v>
      </c>
      <c r="V118" s="239">
        <v>205.96</v>
      </c>
      <c r="W118" s="239">
        <v>0.15</v>
      </c>
      <c r="X118" s="239">
        <v>5924</v>
      </c>
      <c r="Y118" s="239">
        <v>0</v>
      </c>
      <c r="Z118" s="239">
        <v>54150</v>
      </c>
      <c r="AA118" s="255">
        <v>78</v>
      </c>
      <c r="AB118" s="239"/>
      <c r="AC118" s="256"/>
      <c r="AD118" s="239"/>
      <c r="AE118" s="256"/>
    </row>
    <row r="119" spans="1:31" ht="15" x14ac:dyDescent="0.2">
      <c r="A119" s="103">
        <f>A116+1</f>
        <v>45603</v>
      </c>
      <c r="B119" s="103" t="s">
        <v>147</v>
      </c>
      <c r="C119" s="111" t="str">
        <f>A119 &amp; " " &amp;B119</f>
        <v>45603 1200H</v>
      </c>
      <c r="D119" s="112">
        <v>579.57000000000005</v>
      </c>
      <c r="E119" s="117">
        <v>49.66</v>
      </c>
      <c r="F119" s="254">
        <v>1102.8</v>
      </c>
      <c r="G119" s="255">
        <v>6.2</v>
      </c>
      <c r="H119" s="254">
        <v>73328.84</v>
      </c>
      <c r="I119" s="239">
        <v>885.8</v>
      </c>
      <c r="J119" s="239">
        <v>32859.72</v>
      </c>
      <c r="K119" s="255">
        <v>101.18</v>
      </c>
      <c r="L119" s="254">
        <v>5105.88</v>
      </c>
      <c r="M119" s="239">
        <v>15.77</v>
      </c>
      <c r="N119" s="239">
        <v>32428</v>
      </c>
      <c r="O119" s="239">
        <v>28.6</v>
      </c>
      <c r="P119" s="239">
        <v>528.85</v>
      </c>
      <c r="Q119" s="239">
        <v>621</v>
      </c>
      <c r="R119" s="239">
        <v>9589.8799999999992</v>
      </c>
      <c r="S119" s="239">
        <v>9.0399999999999991</v>
      </c>
      <c r="T119" s="239">
        <v>35287</v>
      </c>
      <c r="U119" s="239">
        <v>69</v>
      </c>
      <c r="V119" s="239">
        <v>205.92</v>
      </c>
      <c r="W119" s="239">
        <v>0.15</v>
      </c>
      <c r="X119" s="239">
        <v>5930.15</v>
      </c>
      <c r="Y119" s="239">
        <v>0</v>
      </c>
      <c r="Z119" s="239">
        <v>54150</v>
      </c>
      <c r="AA119" s="255">
        <v>78</v>
      </c>
      <c r="AB119" s="239"/>
      <c r="AC119" s="256"/>
      <c r="AD119" s="239"/>
      <c r="AE119" s="256"/>
    </row>
    <row r="120" spans="1:31" ht="6.95" customHeight="1" x14ac:dyDescent="0.2">
      <c r="F120" s="257"/>
      <c r="G120" s="258"/>
      <c r="H120" s="257"/>
      <c r="I120" s="259"/>
      <c r="J120" s="259"/>
      <c r="K120" s="259"/>
      <c r="L120" s="257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  <c r="AA120" s="259"/>
      <c r="AB120" s="361"/>
      <c r="AC120" s="260"/>
      <c r="AD120" s="361"/>
      <c r="AE120" s="260"/>
    </row>
    <row r="121" spans="1:31" ht="15" x14ac:dyDescent="0.2">
      <c r="A121" s="103">
        <f>A118+1</f>
        <v>45604</v>
      </c>
      <c r="B121" s="103" t="s">
        <v>319</v>
      </c>
      <c r="C121" s="111" t="str">
        <f>A121 &amp; " " &amp;B121</f>
        <v>45604 0000H</v>
      </c>
      <c r="D121" s="112">
        <v>585.6</v>
      </c>
      <c r="E121" s="117">
        <v>49.66</v>
      </c>
      <c r="F121" s="254">
        <v>1102.8</v>
      </c>
      <c r="G121" s="255">
        <v>6.2</v>
      </c>
      <c r="H121" s="254">
        <v>73337.740000000005</v>
      </c>
      <c r="I121" s="239">
        <v>885.85</v>
      </c>
      <c r="J121" s="239">
        <v>32863.480000000003</v>
      </c>
      <c r="K121" s="255">
        <v>101.18</v>
      </c>
      <c r="L121" s="254">
        <v>5111.7</v>
      </c>
      <c r="M121" s="239">
        <v>15.77</v>
      </c>
      <c r="N121" s="239">
        <v>32431.599999999999</v>
      </c>
      <c r="O121" s="239">
        <v>28.6</v>
      </c>
      <c r="P121" s="239">
        <v>519.69000000000005</v>
      </c>
      <c r="Q121" s="239">
        <v>621.89</v>
      </c>
      <c r="R121" s="239">
        <v>9594.33</v>
      </c>
      <c r="S121" s="239">
        <v>9.0399999999999991</v>
      </c>
      <c r="T121" s="239">
        <v>35295</v>
      </c>
      <c r="U121" s="239">
        <v>69</v>
      </c>
      <c r="V121" s="239">
        <v>209</v>
      </c>
      <c r="W121" s="239">
        <v>0.15</v>
      </c>
      <c r="X121" s="239">
        <v>5936.98</v>
      </c>
      <c r="Y121" s="239">
        <v>0</v>
      </c>
      <c r="Z121" s="239">
        <v>54150</v>
      </c>
      <c r="AA121" s="255">
        <v>78</v>
      </c>
      <c r="AB121" s="239"/>
      <c r="AC121" s="256"/>
      <c r="AD121" s="239"/>
      <c r="AE121" s="256"/>
    </row>
    <row r="122" spans="1:31" ht="15" x14ac:dyDescent="0.2">
      <c r="A122" s="103">
        <f>A119+1</f>
        <v>45604</v>
      </c>
      <c r="B122" s="103" t="s">
        <v>147</v>
      </c>
      <c r="C122" s="111" t="str">
        <f>A122 &amp; " " &amp;B122</f>
        <v>45604 1200H</v>
      </c>
      <c r="D122" s="112">
        <v>585.6</v>
      </c>
      <c r="E122" s="117">
        <v>49.66</v>
      </c>
      <c r="F122" s="254">
        <v>1102.8</v>
      </c>
      <c r="G122" s="255">
        <v>6.2</v>
      </c>
      <c r="H122" s="254">
        <v>73346.58</v>
      </c>
      <c r="I122" s="239">
        <v>885.92</v>
      </c>
      <c r="J122" s="239">
        <v>32856.019999999997</v>
      </c>
      <c r="K122" s="255">
        <v>101.23</v>
      </c>
      <c r="L122" s="254">
        <v>5117.38</v>
      </c>
      <c r="M122" s="239">
        <v>15.77</v>
      </c>
      <c r="N122" s="239">
        <v>32435.5</v>
      </c>
      <c r="O122" s="239">
        <v>28.6</v>
      </c>
      <c r="P122" s="239">
        <v>520.41999999999996</v>
      </c>
      <c r="Q122" s="239">
        <v>622.51</v>
      </c>
      <c r="R122" s="239">
        <v>9598.14</v>
      </c>
      <c r="S122" s="239">
        <v>9.0399999999999991</v>
      </c>
      <c r="T122" s="239">
        <v>35300</v>
      </c>
      <c r="U122" s="239">
        <v>69</v>
      </c>
      <c r="V122" s="239">
        <v>210.42</v>
      </c>
      <c r="W122" s="239">
        <v>0.15</v>
      </c>
      <c r="X122" s="239">
        <v>5943.06</v>
      </c>
      <c r="Y122" s="239" t="s">
        <v>1</v>
      </c>
      <c r="Z122" s="239">
        <v>54150</v>
      </c>
      <c r="AA122" s="255">
        <v>78</v>
      </c>
      <c r="AB122" s="239"/>
      <c r="AC122" s="256"/>
      <c r="AD122" s="239"/>
      <c r="AE122" s="256"/>
    </row>
    <row r="123" spans="1:31" ht="6.95" customHeight="1" x14ac:dyDescent="0.2">
      <c r="F123" s="257"/>
      <c r="G123" s="258"/>
      <c r="H123" s="257"/>
      <c r="I123" s="259"/>
      <c r="J123" s="259"/>
      <c r="K123" s="259"/>
      <c r="L123" s="257"/>
      <c r="M123" s="259"/>
      <c r="N123" s="259"/>
      <c r="O123" s="259"/>
      <c r="P123" s="259"/>
      <c r="Q123" s="259"/>
      <c r="R123" s="259"/>
      <c r="S123" s="259"/>
      <c r="T123" s="259"/>
      <c r="U123" s="259"/>
      <c r="V123" s="259"/>
      <c r="W123" s="259"/>
      <c r="X123" s="259"/>
      <c r="Y123" s="259"/>
      <c r="Z123" s="259"/>
      <c r="AA123" s="259"/>
      <c r="AB123" s="361"/>
      <c r="AC123" s="260"/>
      <c r="AD123" s="361"/>
      <c r="AE123" s="260"/>
    </row>
    <row r="124" spans="1:31" ht="15" x14ac:dyDescent="0.2">
      <c r="A124" s="103">
        <f>A121+1</f>
        <v>45605</v>
      </c>
      <c r="B124" s="103" t="s">
        <v>319</v>
      </c>
      <c r="C124" s="111" t="str">
        <f>A124 &amp; " " &amp;B124</f>
        <v>45605 0000H</v>
      </c>
      <c r="D124" s="112">
        <v>595.33000000000004</v>
      </c>
      <c r="E124" s="117">
        <v>49.66</v>
      </c>
      <c r="F124" s="254">
        <v>1102.8</v>
      </c>
      <c r="G124" s="255">
        <v>6.2</v>
      </c>
      <c r="H124" s="254">
        <v>73356.66</v>
      </c>
      <c r="I124" s="239">
        <v>885.92</v>
      </c>
      <c r="J124" s="239">
        <v>32867.519999999997</v>
      </c>
      <c r="K124" s="255">
        <v>101.25</v>
      </c>
      <c r="L124" s="254">
        <v>5123.18</v>
      </c>
      <c r="M124" s="239">
        <v>15.77</v>
      </c>
      <c r="N124" s="239">
        <v>32439.200000000001</v>
      </c>
      <c r="O124" s="239">
        <v>28.6</v>
      </c>
      <c r="P124" s="239">
        <v>522.39</v>
      </c>
      <c r="Q124" s="239">
        <v>622.98</v>
      </c>
      <c r="R124" s="239">
        <v>9602.66</v>
      </c>
      <c r="S124" s="239">
        <v>9.0399999999999991</v>
      </c>
      <c r="T124" s="239">
        <v>35308</v>
      </c>
      <c r="U124" s="239">
        <v>69</v>
      </c>
      <c r="V124" s="239">
        <v>214.87</v>
      </c>
      <c r="W124" s="239">
        <v>0.15</v>
      </c>
      <c r="X124" s="239">
        <v>5950.26</v>
      </c>
      <c r="Y124" s="239">
        <v>0</v>
      </c>
      <c r="Z124" s="239">
        <v>54150</v>
      </c>
      <c r="AA124" s="255">
        <v>78</v>
      </c>
      <c r="AB124" s="239"/>
      <c r="AC124" s="256"/>
      <c r="AD124" s="239"/>
      <c r="AE124" s="256"/>
    </row>
    <row r="125" spans="1:31" ht="15" x14ac:dyDescent="0.2">
      <c r="A125" s="103">
        <f>A122+1</f>
        <v>45605</v>
      </c>
      <c r="B125" s="103" t="s">
        <v>147</v>
      </c>
      <c r="C125" s="111" t="str">
        <f>A125 &amp; " " &amp;B125</f>
        <v>45605 1200H</v>
      </c>
      <c r="D125" s="112">
        <v>598.92999999999995</v>
      </c>
      <c r="E125" s="117">
        <v>49.66</v>
      </c>
      <c r="F125" s="254">
        <v>1102.8</v>
      </c>
      <c r="G125" s="255">
        <v>6.2</v>
      </c>
      <c r="H125" s="254">
        <v>73366.95</v>
      </c>
      <c r="I125" s="239">
        <v>885.92</v>
      </c>
      <c r="J125" s="239">
        <v>32869.99</v>
      </c>
      <c r="K125" s="255">
        <v>101.28</v>
      </c>
      <c r="L125" s="254">
        <v>5128.8</v>
      </c>
      <c r="M125" s="239">
        <v>15.77</v>
      </c>
      <c r="N125" s="239">
        <v>32443</v>
      </c>
      <c r="O125" s="239">
        <v>28.6</v>
      </c>
      <c r="P125" s="239">
        <v>522.66</v>
      </c>
      <c r="Q125" s="239">
        <v>623.67999999999995</v>
      </c>
      <c r="R125" s="239">
        <v>9606.58</v>
      </c>
      <c r="S125" s="239">
        <v>9.0399999999999991</v>
      </c>
      <c r="T125" s="239">
        <v>35314</v>
      </c>
      <c r="U125" s="239">
        <v>69</v>
      </c>
      <c r="V125" s="239">
        <v>215.99</v>
      </c>
      <c r="W125" s="239">
        <v>0.15</v>
      </c>
      <c r="X125" s="239">
        <v>5955.94</v>
      </c>
      <c r="Y125" s="239">
        <v>0</v>
      </c>
      <c r="Z125" s="239">
        <v>54150</v>
      </c>
      <c r="AA125" s="255">
        <v>78</v>
      </c>
      <c r="AB125" s="239"/>
      <c r="AC125" s="256"/>
      <c r="AD125" s="239"/>
      <c r="AE125" s="256"/>
    </row>
    <row r="126" spans="1:31" ht="6.95" customHeight="1" x14ac:dyDescent="0.2">
      <c r="F126" s="257"/>
      <c r="G126" s="258"/>
      <c r="H126" s="257"/>
      <c r="I126" s="259"/>
      <c r="J126" s="259"/>
      <c r="K126" s="259"/>
      <c r="L126" s="257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  <c r="X126" s="259"/>
      <c r="Y126" s="259"/>
      <c r="Z126" s="259"/>
      <c r="AA126" s="259"/>
      <c r="AB126" s="361"/>
      <c r="AC126" s="260"/>
      <c r="AD126" s="361"/>
      <c r="AE126" s="260"/>
    </row>
    <row r="127" spans="1:31" ht="15" x14ac:dyDescent="0.2">
      <c r="A127" s="103">
        <f>A124+1</f>
        <v>45606</v>
      </c>
      <c r="B127" s="103" t="s">
        <v>319</v>
      </c>
      <c r="C127" s="111" t="str">
        <f>A127 &amp; " " &amp;B127</f>
        <v>45606 0000H</v>
      </c>
      <c r="D127" s="112">
        <v>603.84</v>
      </c>
      <c r="E127" s="117">
        <v>49.66</v>
      </c>
      <c r="F127" s="254">
        <v>1102.8</v>
      </c>
      <c r="G127" s="255">
        <v>6.2</v>
      </c>
      <c r="H127" s="254">
        <v>73377.100000000006</v>
      </c>
      <c r="I127" s="239">
        <v>885.92</v>
      </c>
      <c r="J127" s="239">
        <v>32873.75</v>
      </c>
      <c r="K127" s="255">
        <v>101.28</v>
      </c>
      <c r="L127" s="254">
        <v>5134.58</v>
      </c>
      <c r="M127" s="239">
        <v>15.77</v>
      </c>
      <c r="N127" s="239">
        <v>32446.6</v>
      </c>
      <c r="O127" s="239">
        <v>28.6</v>
      </c>
      <c r="P127" s="239">
        <v>524.61</v>
      </c>
      <c r="Q127" s="239">
        <v>623.98</v>
      </c>
      <c r="R127" s="239">
        <v>9611.19</v>
      </c>
      <c r="S127" s="239">
        <v>9.0399999999999991</v>
      </c>
      <c r="T127" s="239">
        <v>35322</v>
      </c>
      <c r="U127" s="239">
        <v>69</v>
      </c>
      <c r="V127" s="239">
        <v>219.68</v>
      </c>
      <c r="W127" s="239">
        <v>0.15</v>
      </c>
      <c r="X127" s="239">
        <v>5963.05</v>
      </c>
      <c r="Y127" s="239">
        <v>0</v>
      </c>
      <c r="Z127" s="239">
        <v>54150</v>
      </c>
      <c r="AA127" s="255">
        <v>78</v>
      </c>
      <c r="AB127" s="239"/>
      <c r="AC127" s="256"/>
      <c r="AD127" s="239"/>
      <c r="AE127" s="256"/>
    </row>
    <row r="128" spans="1:31" ht="15" x14ac:dyDescent="0.2">
      <c r="A128" s="103">
        <f>A125+1</f>
        <v>45606</v>
      </c>
      <c r="B128" s="103" t="s">
        <v>147</v>
      </c>
      <c r="C128" s="111" t="str">
        <f>A128 &amp; " " &amp;B128</f>
        <v>45606 1200H</v>
      </c>
      <c r="D128" s="112">
        <v>607.29</v>
      </c>
      <c r="E128" s="117">
        <v>49.66</v>
      </c>
      <c r="F128" s="254">
        <v>1102.8</v>
      </c>
      <c r="G128" s="255">
        <v>6.2</v>
      </c>
      <c r="H128" s="254">
        <v>73387.38</v>
      </c>
      <c r="I128" s="239">
        <v>885.92</v>
      </c>
      <c r="J128" s="239">
        <v>32875.620000000003</v>
      </c>
      <c r="K128" s="255">
        <v>101.32</v>
      </c>
      <c r="L128" s="254">
        <v>5140.2</v>
      </c>
      <c r="M128" s="239">
        <v>15.77</v>
      </c>
      <c r="N128" s="239">
        <v>32450.3</v>
      </c>
      <c r="O128" s="239">
        <v>28.6</v>
      </c>
      <c r="P128" s="239">
        <v>524.67999999999995</v>
      </c>
      <c r="Q128" s="239">
        <v>624.99</v>
      </c>
      <c r="R128" s="239">
        <v>9614.9699999999993</v>
      </c>
      <c r="S128" s="239">
        <v>9.0399999999999991</v>
      </c>
      <c r="T128" s="239">
        <v>35327</v>
      </c>
      <c r="U128" s="239">
        <v>69</v>
      </c>
      <c r="V128" s="239">
        <v>221.21</v>
      </c>
      <c r="W128" s="239">
        <v>0.15</v>
      </c>
      <c r="X128" s="239">
        <v>5969.37</v>
      </c>
      <c r="Y128" s="239">
        <v>0</v>
      </c>
      <c r="Z128" s="239">
        <v>54150</v>
      </c>
      <c r="AA128" s="255">
        <v>78</v>
      </c>
      <c r="AB128" s="239"/>
      <c r="AC128" s="256"/>
      <c r="AD128" s="239"/>
      <c r="AE128" s="256"/>
    </row>
    <row r="129" spans="1:31" ht="6.95" customHeight="1" x14ac:dyDescent="0.2">
      <c r="F129" s="257"/>
      <c r="G129" s="258"/>
      <c r="H129" s="257"/>
      <c r="I129" s="259"/>
      <c r="J129" s="259"/>
      <c r="K129" s="259"/>
      <c r="L129" s="257"/>
      <c r="M129" s="259"/>
      <c r="N129" s="259"/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361"/>
      <c r="AC129" s="260"/>
      <c r="AD129" s="361"/>
      <c r="AE129" s="260"/>
    </row>
    <row r="130" spans="1:31" ht="15" x14ac:dyDescent="0.2">
      <c r="A130" s="103">
        <f>A127+1</f>
        <v>45607</v>
      </c>
      <c r="B130" s="103" t="s">
        <v>319</v>
      </c>
      <c r="C130" s="111" t="str">
        <f>A130 &amp; " " &amp;B130</f>
        <v>45607 0000H</v>
      </c>
      <c r="D130" s="112">
        <v>612.02</v>
      </c>
      <c r="E130" s="117">
        <v>49.66</v>
      </c>
      <c r="F130" s="254">
        <v>1102.8</v>
      </c>
      <c r="G130" s="255">
        <v>6.2</v>
      </c>
      <c r="H130" s="254">
        <v>73397.429999999993</v>
      </c>
      <c r="I130" s="239">
        <v>885.92</v>
      </c>
      <c r="J130" s="239">
        <v>32879.42</v>
      </c>
      <c r="K130" s="255">
        <v>101.32</v>
      </c>
      <c r="L130" s="254">
        <v>5145.97</v>
      </c>
      <c r="M130" s="239">
        <v>15.77</v>
      </c>
      <c r="N130" s="239">
        <v>32454</v>
      </c>
      <c r="O130" s="239">
        <v>28.6</v>
      </c>
      <c r="P130" s="239">
        <v>525.16999999999996</v>
      </c>
      <c r="Q130" s="239">
        <v>625.41</v>
      </c>
      <c r="R130" s="239">
        <v>9619.67</v>
      </c>
      <c r="S130" s="239">
        <v>9.0399999999999991</v>
      </c>
      <c r="T130" s="239">
        <v>35335</v>
      </c>
      <c r="U130" s="239">
        <v>69</v>
      </c>
      <c r="V130" s="239">
        <v>224.59</v>
      </c>
      <c r="W130" s="239">
        <v>0.15</v>
      </c>
      <c r="X130" s="239">
        <v>5976.65</v>
      </c>
      <c r="Y130" s="239">
        <v>0</v>
      </c>
      <c r="Z130" s="239">
        <v>54150</v>
      </c>
      <c r="AA130" s="255">
        <v>78</v>
      </c>
      <c r="AB130" s="239"/>
      <c r="AC130" s="256"/>
      <c r="AD130" s="239"/>
      <c r="AE130" s="256"/>
    </row>
    <row r="131" spans="1:31" ht="15" x14ac:dyDescent="0.2">
      <c r="A131" s="103">
        <f>A128+1</f>
        <v>45607</v>
      </c>
      <c r="B131" s="103" t="s">
        <v>147</v>
      </c>
      <c r="C131" s="111" t="str">
        <f>A131 &amp; " " &amp;B131</f>
        <v>45607 1200H</v>
      </c>
      <c r="D131" s="112">
        <v>615.51</v>
      </c>
      <c r="E131" s="117">
        <v>49.66</v>
      </c>
      <c r="F131" s="254">
        <v>1102.8</v>
      </c>
      <c r="G131" s="255">
        <v>6.2</v>
      </c>
      <c r="H131" s="254">
        <v>73406.7</v>
      </c>
      <c r="I131" s="239">
        <v>881.95</v>
      </c>
      <c r="J131" s="239">
        <v>32881.800000000003</v>
      </c>
      <c r="K131" s="255">
        <v>101.35</v>
      </c>
      <c r="L131" s="254">
        <v>5151.6099999999997</v>
      </c>
      <c r="M131" s="239">
        <v>15.77</v>
      </c>
      <c r="N131" s="239">
        <v>32457.9</v>
      </c>
      <c r="O131" s="239">
        <v>28.6</v>
      </c>
      <c r="P131" s="239">
        <v>526.01</v>
      </c>
      <c r="Q131" s="239">
        <v>626.29</v>
      </c>
      <c r="R131" s="239">
        <v>9623.3700000000008</v>
      </c>
      <c r="S131" s="239">
        <v>9.0399999999999991</v>
      </c>
      <c r="T131" s="239">
        <v>35341</v>
      </c>
      <c r="U131" s="239">
        <v>69</v>
      </c>
      <c r="V131" s="239">
        <v>225.62</v>
      </c>
      <c r="W131" s="239">
        <v>0.15</v>
      </c>
      <c r="X131" s="239">
        <v>5982.83</v>
      </c>
      <c r="Y131" s="239">
        <v>0</v>
      </c>
      <c r="Z131" s="239">
        <v>54150</v>
      </c>
      <c r="AA131" s="255">
        <v>78</v>
      </c>
      <c r="AB131" s="239"/>
      <c r="AC131" s="256"/>
      <c r="AD131" s="239"/>
      <c r="AE131" s="256"/>
    </row>
    <row r="132" spans="1:31" ht="6.95" customHeight="1" x14ac:dyDescent="0.2">
      <c r="F132" s="257"/>
      <c r="G132" s="258"/>
      <c r="H132" s="257"/>
      <c r="I132" s="259"/>
      <c r="J132" s="259"/>
      <c r="K132" s="259"/>
      <c r="L132" s="257"/>
      <c r="M132" s="259"/>
      <c r="N132" s="259"/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361"/>
      <c r="AC132" s="260"/>
      <c r="AD132" s="361"/>
      <c r="AE132" s="260"/>
    </row>
    <row r="133" spans="1:31" ht="15" x14ac:dyDescent="0.2">
      <c r="A133" s="103">
        <f>A130+1</f>
        <v>45608</v>
      </c>
      <c r="B133" s="103" t="s">
        <v>319</v>
      </c>
      <c r="C133" s="111" t="str">
        <f>A133 &amp; " " &amp;B133</f>
        <v>45608 0000H</v>
      </c>
      <c r="D133" s="112">
        <v>620.73</v>
      </c>
      <c r="E133" s="117">
        <v>49.66</v>
      </c>
      <c r="F133" s="254">
        <v>1102.8</v>
      </c>
      <c r="G133" s="255">
        <v>6.2</v>
      </c>
      <c r="H133" s="254">
        <v>73416.899999999994</v>
      </c>
      <c r="I133" s="239">
        <v>885.94</v>
      </c>
      <c r="J133" s="239">
        <v>32885</v>
      </c>
      <c r="K133" s="255">
        <v>101.35</v>
      </c>
      <c r="L133" s="254">
        <v>5157.41</v>
      </c>
      <c r="M133" s="239">
        <v>15.77</v>
      </c>
      <c r="N133" s="239">
        <v>32461.4</v>
      </c>
      <c r="O133" s="239">
        <v>28.6</v>
      </c>
      <c r="P133" s="239">
        <v>527.45000000000005</v>
      </c>
      <c r="Q133" s="239">
        <v>626.63</v>
      </c>
      <c r="R133" s="239">
        <v>9627.58</v>
      </c>
      <c r="S133" s="239">
        <v>9.0399999999999991</v>
      </c>
      <c r="T133" s="239">
        <v>35350</v>
      </c>
      <c r="U133" s="239">
        <v>69</v>
      </c>
      <c r="V133" s="239">
        <v>227.93</v>
      </c>
      <c r="W133" s="239">
        <v>0.15</v>
      </c>
      <c r="X133" s="239">
        <v>5990</v>
      </c>
      <c r="Y133" s="239">
        <v>0</v>
      </c>
      <c r="Z133" s="239">
        <v>54150</v>
      </c>
      <c r="AA133" s="255">
        <v>78</v>
      </c>
      <c r="AB133" s="239"/>
      <c r="AC133" s="256"/>
      <c r="AD133" s="239"/>
      <c r="AE133" s="256"/>
    </row>
    <row r="134" spans="1:31" ht="15" x14ac:dyDescent="0.2">
      <c r="A134" s="103">
        <f>A131+1</f>
        <v>45608</v>
      </c>
      <c r="B134" s="103" t="s">
        <v>147</v>
      </c>
      <c r="C134" s="111" t="str">
        <f>A134 &amp; " " &amp;B134</f>
        <v>45608 1200H</v>
      </c>
      <c r="D134" s="112">
        <v>624.46</v>
      </c>
      <c r="E134" s="117">
        <v>49.66</v>
      </c>
      <c r="F134" s="254">
        <v>1102.8</v>
      </c>
      <c r="G134" s="255">
        <v>6.2</v>
      </c>
      <c r="H134" s="254">
        <v>73426.83</v>
      </c>
      <c r="I134" s="239">
        <v>885.94</v>
      </c>
      <c r="J134" s="239">
        <v>32887.26</v>
      </c>
      <c r="K134" s="255">
        <v>101.39</v>
      </c>
      <c r="L134" s="254">
        <v>5162.9799999999996</v>
      </c>
      <c r="M134" s="239">
        <v>15.77</v>
      </c>
      <c r="N134" s="239">
        <v>32465</v>
      </c>
      <c r="O134" s="239">
        <v>28.6</v>
      </c>
      <c r="P134" s="239">
        <v>528</v>
      </c>
      <c r="Q134" s="239">
        <v>627.54</v>
      </c>
      <c r="R134" s="239">
        <v>9631.9</v>
      </c>
      <c r="S134" s="239">
        <v>9.0399999999999991</v>
      </c>
      <c r="T134" s="239">
        <v>35356</v>
      </c>
      <c r="U134" s="239">
        <v>69</v>
      </c>
      <c r="V134" s="239">
        <v>227.4</v>
      </c>
      <c r="W134" s="239">
        <v>0.15</v>
      </c>
      <c r="X134" s="239">
        <v>5996.3</v>
      </c>
      <c r="Y134" s="239" t="s">
        <v>1</v>
      </c>
      <c r="Z134" s="239">
        <v>54150</v>
      </c>
      <c r="AA134" s="255">
        <v>78</v>
      </c>
      <c r="AB134" s="239"/>
      <c r="AC134" s="256"/>
      <c r="AD134" s="239"/>
      <c r="AE134" s="256"/>
    </row>
    <row r="135" spans="1:31" ht="6.95" customHeight="1" x14ac:dyDescent="0.2">
      <c r="F135" s="257"/>
      <c r="G135" s="258"/>
      <c r="H135" s="257"/>
      <c r="I135" s="259"/>
      <c r="J135" s="259"/>
      <c r="K135" s="259"/>
      <c r="L135" s="257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  <c r="X135" s="259"/>
      <c r="Y135" s="259"/>
      <c r="Z135" s="259"/>
      <c r="AA135" s="259"/>
      <c r="AB135" s="361"/>
      <c r="AC135" s="260"/>
      <c r="AD135" s="361"/>
      <c r="AE135" s="260"/>
    </row>
    <row r="136" spans="1:31" ht="15" x14ac:dyDescent="0.2">
      <c r="A136" s="103">
        <f>A133+1</f>
        <v>45609</v>
      </c>
      <c r="B136" s="103" t="s">
        <v>319</v>
      </c>
      <c r="C136" s="111" t="str">
        <f>A136 &amp; " " &amp;B136</f>
        <v>45609 0000H</v>
      </c>
      <c r="D136" s="112">
        <v>629.17999999999995</v>
      </c>
      <c r="E136" s="117">
        <v>49.66</v>
      </c>
      <c r="F136" s="254">
        <v>1102.8</v>
      </c>
      <c r="G136" s="255">
        <v>6.2</v>
      </c>
      <c r="H136" s="254">
        <v>73434.600000000006</v>
      </c>
      <c r="I136" s="239">
        <v>886.02</v>
      </c>
      <c r="J136" s="239">
        <v>32891.07</v>
      </c>
      <c r="K136" s="255">
        <v>101.39</v>
      </c>
      <c r="L136" s="254">
        <v>5168.75</v>
      </c>
      <c r="M136" s="239">
        <v>15.77</v>
      </c>
      <c r="N136" s="239">
        <v>32468.7</v>
      </c>
      <c r="O136" s="239">
        <v>28.6</v>
      </c>
      <c r="P136" s="239">
        <v>530.54999999999995</v>
      </c>
      <c r="Q136" s="239">
        <v>627.63</v>
      </c>
      <c r="R136" s="239">
        <v>9635.5300000000007</v>
      </c>
      <c r="S136" s="239">
        <v>9.0399999999999991</v>
      </c>
      <c r="T136" s="239">
        <v>35365</v>
      </c>
      <c r="U136" s="239">
        <v>69</v>
      </c>
      <c r="V136" s="239">
        <v>230.01</v>
      </c>
      <c r="W136" s="239">
        <v>0.15</v>
      </c>
      <c r="X136" s="239">
        <v>6003.95</v>
      </c>
      <c r="Y136" s="239">
        <v>0</v>
      </c>
      <c r="Z136" s="239">
        <v>54150</v>
      </c>
      <c r="AA136" s="255">
        <v>78</v>
      </c>
      <c r="AB136" s="239"/>
      <c r="AC136" s="256"/>
      <c r="AD136" s="239"/>
      <c r="AE136" s="256"/>
    </row>
    <row r="137" spans="1:31" ht="15" x14ac:dyDescent="0.2">
      <c r="A137" s="103">
        <f>A134+1</f>
        <v>45609</v>
      </c>
      <c r="B137" s="103" t="s">
        <v>147</v>
      </c>
      <c r="C137" s="111" t="str">
        <f>A137 &amp; " " &amp;B137</f>
        <v>45609 1200H</v>
      </c>
      <c r="D137" s="112">
        <v>632.83000000000004</v>
      </c>
      <c r="E137" s="117">
        <v>49.66</v>
      </c>
      <c r="F137" s="254">
        <v>1102.8</v>
      </c>
      <c r="G137" s="255">
        <v>6.2</v>
      </c>
      <c r="H137" s="254">
        <v>73438.070000000007</v>
      </c>
      <c r="I137" s="239">
        <v>886.36</v>
      </c>
      <c r="J137" s="239">
        <v>32894.85</v>
      </c>
      <c r="K137" s="255">
        <v>101.39</v>
      </c>
      <c r="L137" s="254">
        <v>5174.54</v>
      </c>
      <c r="M137" s="239">
        <v>15.77</v>
      </c>
      <c r="N137" s="239">
        <v>32473.4</v>
      </c>
      <c r="O137" s="239">
        <v>28.6</v>
      </c>
      <c r="P137" s="239">
        <v>531.4</v>
      </c>
      <c r="Q137" s="239">
        <v>628.03</v>
      </c>
      <c r="R137" s="239">
        <v>9639.1</v>
      </c>
      <c r="S137" s="239">
        <v>9.0399999999999991</v>
      </c>
      <c r="T137" s="239">
        <v>35371</v>
      </c>
      <c r="U137" s="239">
        <v>69</v>
      </c>
      <c r="V137" s="239">
        <v>230.01</v>
      </c>
      <c r="W137" s="239">
        <v>0.15</v>
      </c>
      <c r="X137" s="239">
        <v>6009</v>
      </c>
      <c r="Y137" s="239" t="s">
        <v>1</v>
      </c>
      <c r="Z137" s="239">
        <v>54150</v>
      </c>
      <c r="AA137" s="255">
        <v>78</v>
      </c>
      <c r="AB137" s="239"/>
      <c r="AC137" s="256"/>
      <c r="AD137" s="239"/>
      <c r="AE137" s="256"/>
    </row>
    <row r="138" spans="1:31" ht="6.95" customHeight="1" x14ac:dyDescent="0.2">
      <c r="F138" s="257"/>
      <c r="G138" s="258"/>
      <c r="H138" s="257"/>
      <c r="I138" s="259"/>
      <c r="J138" s="259"/>
      <c r="K138" s="259"/>
      <c r="L138" s="257"/>
      <c r="M138" s="259"/>
      <c r="N138" s="259"/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361"/>
      <c r="AC138" s="260"/>
      <c r="AD138" s="361"/>
      <c r="AE138" s="260"/>
    </row>
    <row r="139" spans="1:31" ht="15" x14ac:dyDescent="0.2">
      <c r="A139" s="103">
        <f>A136+1</f>
        <v>45610</v>
      </c>
      <c r="B139" s="103" t="s">
        <v>319</v>
      </c>
      <c r="C139" s="111" t="str">
        <f>A139 &amp; " " &amp;B139</f>
        <v>45610 0000H</v>
      </c>
      <c r="D139" s="112">
        <v>637.48</v>
      </c>
      <c r="E139" s="117">
        <v>49.66</v>
      </c>
      <c r="F139" s="254">
        <v>1102.8</v>
      </c>
      <c r="G139" s="255">
        <v>6.2</v>
      </c>
      <c r="H139" s="254">
        <v>73442.22</v>
      </c>
      <c r="I139" s="239">
        <v>886.32</v>
      </c>
      <c r="J139" s="239">
        <v>32898.57</v>
      </c>
      <c r="K139" s="255">
        <v>101.39</v>
      </c>
      <c r="L139" s="254">
        <v>5180.32</v>
      </c>
      <c r="M139" s="239">
        <v>15.77</v>
      </c>
      <c r="N139" s="239">
        <v>32481.200000000001</v>
      </c>
      <c r="O139" s="239">
        <v>28.6</v>
      </c>
      <c r="P139" s="239">
        <v>534.19000000000005</v>
      </c>
      <c r="Q139" s="239">
        <v>628.32000000000005</v>
      </c>
      <c r="R139" s="239">
        <v>9643.59</v>
      </c>
      <c r="S139" s="239">
        <v>9.0399999999999991</v>
      </c>
      <c r="T139" s="239">
        <v>35380</v>
      </c>
      <c r="U139" s="239">
        <v>69</v>
      </c>
      <c r="V139" s="239">
        <v>230.01</v>
      </c>
      <c r="W139" s="239">
        <v>0.15</v>
      </c>
      <c r="X139" s="239">
        <v>6017.27</v>
      </c>
      <c r="Y139" s="239" t="s">
        <v>1</v>
      </c>
      <c r="Z139" s="239">
        <v>54150</v>
      </c>
      <c r="AA139" s="255">
        <v>78</v>
      </c>
      <c r="AB139" s="239"/>
      <c r="AC139" s="256"/>
      <c r="AD139" s="239"/>
      <c r="AE139" s="256"/>
    </row>
    <row r="140" spans="1:31" ht="15" x14ac:dyDescent="0.2">
      <c r="A140" s="103">
        <f>A137+1</f>
        <v>45610</v>
      </c>
      <c r="B140" s="103" t="s">
        <v>147</v>
      </c>
      <c r="C140" s="111" t="str">
        <f>A140 &amp; " " &amp;B140</f>
        <v>45610 1200H</v>
      </c>
      <c r="D140" s="112">
        <v>641.29</v>
      </c>
      <c r="E140" s="117">
        <v>49.66</v>
      </c>
      <c r="F140" s="254">
        <v>1102.8</v>
      </c>
      <c r="G140" s="255">
        <v>6.2</v>
      </c>
      <c r="H140" s="254">
        <v>73458.039999999994</v>
      </c>
      <c r="I140" s="239">
        <v>886.36</v>
      </c>
      <c r="J140" s="239">
        <v>32899.18</v>
      </c>
      <c r="K140" s="255">
        <v>101.47</v>
      </c>
      <c r="L140" s="254">
        <v>5186.04</v>
      </c>
      <c r="M140" s="239">
        <v>15.77</v>
      </c>
      <c r="N140" s="239">
        <v>32486.799999999999</v>
      </c>
      <c r="O140" s="239">
        <v>28.6</v>
      </c>
      <c r="P140" s="239">
        <v>535.52</v>
      </c>
      <c r="Q140" s="239">
        <v>628.97</v>
      </c>
      <c r="R140" s="239">
        <v>9647.23</v>
      </c>
      <c r="S140" s="239">
        <v>9.0399999999999991</v>
      </c>
      <c r="T140" s="239">
        <v>35386</v>
      </c>
      <c r="U140" s="239">
        <v>69</v>
      </c>
      <c r="V140" s="239">
        <v>230.13</v>
      </c>
      <c r="W140" s="239">
        <v>0.15</v>
      </c>
      <c r="X140" s="239">
        <v>6023.74</v>
      </c>
      <c r="Y140" s="239" t="s">
        <v>1</v>
      </c>
      <c r="Z140" s="239">
        <v>54150</v>
      </c>
      <c r="AA140" s="255">
        <v>78</v>
      </c>
      <c r="AB140" s="239"/>
      <c r="AC140" s="256"/>
      <c r="AD140" s="239"/>
      <c r="AE140" s="256"/>
    </row>
    <row r="141" spans="1:31" ht="6.95" customHeight="1" x14ac:dyDescent="0.2">
      <c r="F141" s="257"/>
      <c r="G141" s="258"/>
      <c r="H141" s="257"/>
      <c r="I141" s="259"/>
      <c r="J141" s="259"/>
      <c r="K141" s="259"/>
      <c r="L141" s="257"/>
      <c r="M141" s="259"/>
      <c r="N141" s="259"/>
      <c r="O141" s="259"/>
      <c r="P141" s="259"/>
      <c r="Q141" s="259"/>
      <c r="R141" s="259"/>
      <c r="S141" s="259"/>
      <c r="T141" s="259"/>
      <c r="U141" s="259"/>
      <c r="V141" s="259"/>
      <c r="W141" s="259"/>
      <c r="X141" s="259"/>
      <c r="Y141" s="259"/>
      <c r="Z141" s="259"/>
      <c r="AA141" s="259"/>
      <c r="AB141" s="361"/>
      <c r="AC141" s="260"/>
      <c r="AD141" s="361"/>
      <c r="AE141" s="260"/>
    </row>
    <row r="142" spans="1:31" ht="15" x14ac:dyDescent="0.2">
      <c r="A142" s="103">
        <f>A139+1</f>
        <v>45611</v>
      </c>
      <c r="B142" s="103" t="s">
        <v>319</v>
      </c>
      <c r="C142" s="111" t="str">
        <f>A142 &amp; " " &amp;B142</f>
        <v>45611 0000H</v>
      </c>
      <c r="D142" s="112">
        <v>645.79999999999995</v>
      </c>
      <c r="E142" s="117">
        <v>49.66</v>
      </c>
      <c r="F142" s="254">
        <v>1102.8</v>
      </c>
      <c r="G142" s="255">
        <v>6.2</v>
      </c>
      <c r="H142" s="254">
        <v>73468.210000000006</v>
      </c>
      <c r="I142" s="239">
        <v>886.32</v>
      </c>
      <c r="J142" s="239">
        <v>32902.769999999997</v>
      </c>
      <c r="K142" s="255">
        <v>101.47</v>
      </c>
      <c r="L142" s="254">
        <v>5191.54</v>
      </c>
      <c r="M142" s="239">
        <v>15.77</v>
      </c>
      <c r="N142" s="239">
        <v>32493</v>
      </c>
      <c r="O142" s="239">
        <v>28.6</v>
      </c>
      <c r="P142" s="239">
        <v>538.67999999999995</v>
      </c>
      <c r="Q142" s="239">
        <v>629.15</v>
      </c>
      <c r="R142" s="239">
        <v>9651.8799999999992</v>
      </c>
      <c r="S142" s="239">
        <v>9.0399999999999991</v>
      </c>
      <c r="T142" s="239">
        <v>35395</v>
      </c>
      <c r="U142" s="239">
        <v>69</v>
      </c>
      <c r="V142" s="239">
        <v>232.25</v>
      </c>
      <c r="W142" s="239">
        <v>0.15</v>
      </c>
      <c r="X142" s="239">
        <v>6031.29</v>
      </c>
      <c r="Y142" s="239">
        <v>0</v>
      </c>
      <c r="Z142" s="239">
        <v>54150</v>
      </c>
      <c r="AA142" s="255">
        <v>78</v>
      </c>
      <c r="AB142" s="239"/>
      <c r="AC142" s="256"/>
      <c r="AD142" s="239"/>
      <c r="AE142" s="256"/>
    </row>
    <row r="143" spans="1:31" ht="15" x14ac:dyDescent="0.2">
      <c r="A143" s="103">
        <f>A140+1</f>
        <v>45611</v>
      </c>
      <c r="B143" s="103" t="s">
        <v>147</v>
      </c>
      <c r="C143" s="111" t="str">
        <f>A143 &amp; " " &amp;B143</f>
        <v>45611 1200H</v>
      </c>
      <c r="D143" s="112">
        <v>649.6</v>
      </c>
      <c r="E143" s="117">
        <v>49.66</v>
      </c>
      <c r="F143" s="254">
        <v>1102.8</v>
      </c>
      <c r="G143" s="255">
        <v>6.2</v>
      </c>
      <c r="H143" s="254">
        <v>73478.460000000006</v>
      </c>
      <c r="I143" s="239">
        <v>886.33</v>
      </c>
      <c r="J143" s="239">
        <v>32904.74</v>
      </c>
      <c r="K143" s="255">
        <v>101.51</v>
      </c>
      <c r="L143" s="254">
        <v>5197.3500000000004</v>
      </c>
      <c r="M143" s="239">
        <v>15.77</v>
      </c>
      <c r="N143" s="239">
        <v>32498.799999999999</v>
      </c>
      <c r="O143" s="239">
        <v>28.6</v>
      </c>
      <c r="P143" s="239">
        <v>539.58000000000004</v>
      </c>
      <c r="Q143" s="239">
        <v>629.87</v>
      </c>
      <c r="R143" s="239">
        <v>9655.49</v>
      </c>
      <c r="S143" s="239">
        <v>9.0399999999999991</v>
      </c>
      <c r="T143" s="239">
        <v>35401</v>
      </c>
      <c r="U143" s="239">
        <v>69</v>
      </c>
      <c r="V143" s="239">
        <v>232.25</v>
      </c>
      <c r="W143" s="239">
        <v>0.15</v>
      </c>
      <c r="X143" s="239">
        <v>6037.63</v>
      </c>
      <c r="Y143" s="239">
        <v>0</v>
      </c>
      <c r="Z143" s="239">
        <v>54150</v>
      </c>
      <c r="AA143" s="255">
        <v>78</v>
      </c>
      <c r="AB143" s="239"/>
      <c r="AC143" s="256"/>
      <c r="AD143" s="239"/>
      <c r="AE143" s="256"/>
    </row>
    <row r="144" spans="1:31" ht="6.95" customHeight="1" x14ac:dyDescent="0.2">
      <c r="F144" s="257"/>
      <c r="G144" s="258"/>
      <c r="H144" s="257"/>
      <c r="I144" s="259"/>
      <c r="J144" s="259"/>
      <c r="K144" s="259"/>
      <c r="L144" s="257"/>
      <c r="M144" s="259"/>
      <c r="N144" s="259"/>
      <c r="O144" s="259"/>
      <c r="P144" s="259"/>
      <c r="Q144" s="259"/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361"/>
      <c r="AC144" s="260"/>
      <c r="AD144" s="361"/>
      <c r="AE144" s="260"/>
    </row>
    <row r="145" spans="1:31" ht="15" x14ac:dyDescent="0.2">
      <c r="A145" s="103">
        <f>A142+1</f>
        <v>45612</v>
      </c>
      <c r="B145" s="103" t="s">
        <v>319</v>
      </c>
      <c r="C145" s="111" t="str">
        <f>A145 &amp; " " &amp;B145</f>
        <v>45612 0000H</v>
      </c>
      <c r="D145" s="112">
        <v>654.78</v>
      </c>
      <c r="E145" s="117">
        <v>49.66</v>
      </c>
      <c r="F145" s="254">
        <v>1102.8</v>
      </c>
      <c r="G145" s="255">
        <v>6.2</v>
      </c>
      <c r="H145" s="254">
        <v>73486.929999999993</v>
      </c>
      <c r="I145" s="239">
        <v>886.39</v>
      </c>
      <c r="J145" s="239">
        <v>32907.71</v>
      </c>
      <c r="K145" s="255">
        <v>101.54</v>
      </c>
      <c r="L145" s="254">
        <v>5203.1400000000003</v>
      </c>
      <c r="M145" s="239">
        <v>15.77</v>
      </c>
      <c r="N145" s="239">
        <v>32506.1</v>
      </c>
      <c r="O145" s="239">
        <v>28.6</v>
      </c>
      <c r="P145" s="239">
        <v>542.19000000000005</v>
      </c>
      <c r="Q145" s="239">
        <v>630.01</v>
      </c>
      <c r="R145" s="239">
        <v>9660.11</v>
      </c>
      <c r="S145" s="239">
        <v>9.0399999999999991</v>
      </c>
      <c r="T145" s="239">
        <v>35410</v>
      </c>
      <c r="U145" s="239">
        <v>69</v>
      </c>
      <c r="V145" s="239">
        <v>232.25</v>
      </c>
      <c r="W145" s="239">
        <v>0.15</v>
      </c>
      <c r="X145" s="239">
        <v>6045.2</v>
      </c>
      <c r="Y145" s="239">
        <v>0</v>
      </c>
      <c r="Z145" s="239">
        <v>54150</v>
      </c>
      <c r="AA145" s="255">
        <v>78</v>
      </c>
      <c r="AB145" s="239"/>
      <c r="AC145" s="256"/>
      <c r="AD145" s="239"/>
      <c r="AE145" s="256"/>
    </row>
    <row r="146" spans="1:31" ht="15" x14ac:dyDescent="0.2">
      <c r="A146" s="103">
        <f>A143+1</f>
        <v>45612</v>
      </c>
      <c r="B146" s="103" t="s">
        <v>147</v>
      </c>
      <c r="C146" s="111" t="str">
        <f>A146 &amp; " " &amp;B146</f>
        <v>45612 1200H</v>
      </c>
      <c r="D146" s="112">
        <v>658.31</v>
      </c>
      <c r="E146" s="117">
        <v>49.66</v>
      </c>
      <c r="F146" s="254">
        <v>1102.8</v>
      </c>
      <c r="G146" s="255">
        <v>6.2</v>
      </c>
      <c r="H146" s="254">
        <v>73490.350000000006</v>
      </c>
      <c r="I146" s="239">
        <v>886.72</v>
      </c>
      <c r="J146" s="239">
        <v>32910.93</v>
      </c>
      <c r="K146" s="255">
        <v>101.56</v>
      </c>
      <c r="L146" s="254">
        <v>5208.9399999999996</v>
      </c>
      <c r="M146" s="239">
        <v>15.77</v>
      </c>
      <c r="N146" s="239">
        <v>32511.7</v>
      </c>
      <c r="O146" s="239">
        <v>28.6</v>
      </c>
      <c r="P146" s="239">
        <v>542.25</v>
      </c>
      <c r="Q146" s="239">
        <v>630.01</v>
      </c>
      <c r="R146" s="239">
        <v>9663.82</v>
      </c>
      <c r="S146" s="239">
        <v>9.0399999999999991</v>
      </c>
      <c r="T146" s="239">
        <v>35416</v>
      </c>
      <c r="U146" s="239">
        <v>69</v>
      </c>
      <c r="V146" s="239">
        <v>232.25</v>
      </c>
      <c r="W146" s="239">
        <v>0.15</v>
      </c>
      <c r="X146" s="239">
        <v>6051.57</v>
      </c>
      <c r="Y146" s="239">
        <v>0</v>
      </c>
      <c r="Z146" s="239">
        <v>54150</v>
      </c>
      <c r="AA146" s="255">
        <v>78</v>
      </c>
      <c r="AB146" s="239"/>
      <c r="AC146" s="256"/>
      <c r="AD146" s="239"/>
      <c r="AE146" s="256"/>
    </row>
    <row r="147" spans="1:31" ht="6.95" customHeight="1" x14ac:dyDescent="0.2">
      <c r="F147" s="257"/>
      <c r="G147" s="258"/>
      <c r="H147" s="257"/>
      <c r="I147" s="259"/>
      <c r="J147" s="259"/>
      <c r="K147" s="259"/>
      <c r="L147" s="257"/>
      <c r="M147" s="259"/>
      <c r="N147" s="259"/>
      <c r="O147" s="259"/>
      <c r="P147" s="259"/>
      <c r="Q147" s="259"/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361"/>
      <c r="AC147" s="260"/>
      <c r="AD147" s="361"/>
      <c r="AE147" s="260"/>
    </row>
    <row r="148" spans="1:31" ht="15" x14ac:dyDescent="0.2">
      <c r="A148" s="103">
        <f>A145+1</f>
        <v>45613</v>
      </c>
      <c r="B148" s="103" t="s">
        <v>319</v>
      </c>
      <c r="C148" s="111" t="str">
        <f>A148 &amp; " " &amp;B148</f>
        <v>45613 0000H</v>
      </c>
      <c r="D148" s="112">
        <v>663.31</v>
      </c>
      <c r="E148" s="117">
        <v>49.66</v>
      </c>
      <c r="F148" s="254">
        <v>1102.8</v>
      </c>
      <c r="G148" s="255">
        <v>6.2</v>
      </c>
      <c r="H148" s="254">
        <v>73499.44</v>
      </c>
      <c r="I148" s="239">
        <v>886.77</v>
      </c>
      <c r="J148" s="239">
        <v>32914.65</v>
      </c>
      <c r="K148" s="255">
        <v>101.556</v>
      </c>
      <c r="L148" s="254">
        <v>5214.6899999999996</v>
      </c>
      <c r="M148" s="239">
        <v>15.77</v>
      </c>
      <c r="N148" s="239">
        <v>32519.8</v>
      </c>
      <c r="O148" s="239">
        <v>28.6</v>
      </c>
      <c r="P148" s="239">
        <v>543.61</v>
      </c>
      <c r="Q148" s="239">
        <v>631.07000000000005</v>
      </c>
      <c r="R148" s="239">
        <v>9668.9599999999991</v>
      </c>
      <c r="S148" s="239">
        <v>9.0399999999999991</v>
      </c>
      <c r="T148" s="239">
        <v>35422</v>
      </c>
      <c r="U148" s="239">
        <v>69</v>
      </c>
      <c r="V148" s="239">
        <v>232.25</v>
      </c>
      <c r="W148" s="239">
        <v>0.15</v>
      </c>
      <c r="X148" s="239">
        <v>6059.13</v>
      </c>
      <c r="Y148" s="239">
        <v>0</v>
      </c>
      <c r="Z148" s="239">
        <v>54150</v>
      </c>
      <c r="AA148" s="255">
        <v>78</v>
      </c>
      <c r="AB148" s="239"/>
      <c r="AC148" s="256"/>
      <c r="AD148" s="239"/>
      <c r="AE148" s="256"/>
    </row>
    <row r="149" spans="1:31" ht="15" x14ac:dyDescent="0.2">
      <c r="A149" s="103">
        <f>A146+1</f>
        <v>45613</v>
      </c>
      <c r="B149" s="103" t="s">
        <v>147</v>
      </c>
      <c r="C149" s="111" t="str">
        <f>A149 &amp; " " &amp;B149</f>
        <v>45613 1200H</v>
      </c>
      <c r="D149" s="112">
        <v>666.7</v>
      </c>
      <c r="E149" s="117">
        <v>49.66</v>
      </c>
      <c r="F149" s="254">
        <v>1102.8</v>
      </c>
      <c r="G149" s="255">
        <v>6.2</v>
      </c>
      <c r="H149" s="254">
        <v>73503.350000000006</v>
      </c>
      <c r="I149" s="239">
        <v>887.01</v>
      </c>
      <c r="J149" s="239">
        <v>32918.400000000001</v>
      </c>
      <c r="K149" s="255">
        <v>101.56</v>
      </c>
      <c r="L149" s="254">
        <v>5220.47</v>
      </c>
      <c r="M149" s="239">
        <v>15.77</v>
      </c>
      <c r="N149" s="239">
        <v>32525.1</v>
      </c>
      <c r="O149" s="255">
        <v>28.6</v>
      </c>
      <c r="P149" s="239">
        <v>543.63</v>
      </c>
      <c r="Q149" s="239">
        <v>632.21</v>
      </c>
      <c r="R149" s="239">
        <v>9672.26</v>
      </c>
      <c r="S149" s="239">
        <v>9.0399999999999991</v>
      </c>
      <c r="T149" s="239">
        <v>35430</v>
      </c>
      <c r="U149" s="239">
        <v>69</v>
      </c>
      <c r="V149" s="239">
        <v>232.25</v>
      </c>
      <c r="W149" s="239">
        <v>0.15</v>
      </c>
      <c r="X149" s="239">
        <v>6065.31</v>
      </c>
      <c r="Y149" s="239">
        <v>0</v>
      </c>
      <c r="Z149" s="239">
        <v>54150</v>
      </c>
      <c r="AA149" s="255">
        <v>78</v>
      </c>
      <c r="AB149" s="239"/>
      <c r="AC149" s="256"/>
      <c r="AD149" s="239"/>
      <c r="AE149" s="256"/>
    </row>
    <row r="150" spans="1:31" ht="6.95" customHeight="1" x14ac:dyDescent="0.2">
      <c r="F150" s="257"/>
      <c r="G150" s="258"/>
      <c r="H150" s="257"/>
      <c r="I150" s="259"/>
      <c r="J150" s="259"/>
      <c r="K150" s="259"/>
      <c r="L150" s="257"/>
      <c r="M150" s="259"/>
      <c r="N150" s="259"/>
      <c r="O150" s="259"/>
      <c r="P150" s="259"/>
      <c r="Q150" s="259"/>
      <c r="R150" s="259"/>
      <c r="S150" s="259"/>
      <c r="T150" s="259"/>
      <c r="U150" s="259"/>
      <c r="V150" s="259"/>
      <c r="W150" s="259"/>
      <c r="X150" s="259"/>
      <c r="Y150" s="259"/>
      <c r="Z150" s="259"/>
      <c r="AA150" s="259"/>
      <c r="AB150" s="361"/>
      <c r="AC150" s="260"/>
      <c r="AD150" s="361"/>
      <c r="AE150" s="260"/>
    </row>
    <row r="151" spans="1:31" ht="15" x14ac:dyDescent="0.2">
      <c r="A151" s="103">
        <f>A148+1</f>
        <v>45614</v>
      </c>
      <c r="B151" s="103" t="s">
        <v>319</v>
      </c>
      <c r="C151" s="111" t="str">
        <f>A151 &amp; " " &amp;B151</f>
        <v>45614 0000H</v>
      </c>
      <c r="D151" s="112">
        <v>671.56</v>
      </c>
      <c r="E151" s="117">
        <v>49.66</v>
      </c>
      <c r="F151" s="254">
        <v>1102.8</v>
      </c>
      <c r="G151" s="255">
        <v>6.2</v>
      </c>
      <c r="H151" s="254">
        <v>73512.3</v>
      </c>
      <c r="I151" s="239">
        <v>887.07</v>
      </c>
      <c r="J151" s="239">
        <v>32922.080000000002</v>
      </c>
      <c r="K151" s="255">
        <v>101.56</v>
      </c>
      <c r="L151" s="254">
        <v>5226.25</v>
      </c>
      <c r="M151" s="239">
        <v>15.77</v>
      </c>
      <c r="N151" s="239">
        <v>32532.6</v>
      </c>
      <c r="O151" s="239">
        <v>28.6</v>
      </c>
      <c r="P151" s="239">
        <v>543.91999999999996</v>
      </c>
      <c r="Q151" s="239">
        <v>632.88</v>
      </c>
      <c r="R151" s="239">
        <v>9676.85</v>
      </c>
      <c r="S151" s="239">
        <v>9.0399999999999991</v>
      </c>
      <c r="T151" s="239">
        <v>35437</v>
      </c>
      <c r="U151" s="239">
        <v>69</v>
      </c>
      <c r="V151" s="239">
        <v>232.25</v>
      </c>
      <c r="W151" s="239">
        <v>0.15</v>
      </c>
      <c r="X151" s="239">
        <v>6072.78</v>
      </c>
      <c r="Y151" s="239">
        <v>0</v>
      </c>
      <c r="Z151" s="239">
        <v>54150</v>
      </c>
      <c r="AA151" s="255">
        <v>78</v>
      </c>
      <c r="AB151" s="239"/>
      <c r="AC151" s="256"/>
      <c r="AD151" s="239"/>
      <c r="AE151" s="256"/>
    </row>
    <row r="152" spans="1:31" ht="15" x14ac:dyDescent="0.2">
      <c r="A152" s="103">
        <f>A149+1</f>
        <v>45614</v>
      </c>
      <c r="B152" s="103" t="s">
        <v>147</v>
      </c>
      <c r="C152" s="111" t="str">
        <f>A152 &amp; " " &amp;B152</f>
        <v>45614 1200H</v>
      </c>
      <c r="D152" s="112">
        <v>674.96</v>
      </c>
      <c r="E152" s="117">
        <v>49.66</v>
      </c>
      <c r="F152" s="254">
        <v>1102.8</v>
      </c>
      <c r="G152" s="255">
        <v>6.2</v>
      </c>
      <c r="H152" s="254">
        <v>73515.490000000005</v>
      </c>
      <c r="I152" s="239">
        <v>887.37</v>
      </c>
      <c r="J152" s="239">
        <v>32925.919999999998</v>
      </c>
      <c r="K152" s="255">
        <v>101.56</v>
      </c>
      <c r="L152" s="254">
        <v>5231.95</v>
      </c>
      <c r="M152" s="239">
        <v>15.77</v>
      </c>
      <c r="N152" s="239">
        <v>32537.7</v>
      </c>
      <c r="O152" s="239">
        <v>28.6</v>
      </c>
      <c r="P152" s="239">
        <v>544.83000000000004</v>
      </c>
      <c r="Q152" s="239">
        <v>633.54</v>
      </c>
      <c r="R152" s="239">
        <v>9680.5499999999993</v>
      </c>
      <c r="S152" s="239">
        <v>9.0399999999999991</v>
      </c>
      <c r="T152" s="239">
        <v>35444</v>
      </c>
      <c r="U152" s="239">
        <v>69</v>
      </c>
      <c r="V152" s="239">
        <v>232.25</v>
      </c>
      <c r="W152" s="239">
        <v>0.15</v>
      </c>
      <c r="X152" s="239">
        <v>6078.89</v>
      </c>
      <c r="Y152" s="239">
        <v>0</v>
      </c>
      <c r="Z152" s="239">
        <v>54150</v>
      </c>
      <c r="AA152" s="255">
        <v>78</v>
      </c>
      <c r="AB152" s="239"/>
      <c r="AC152" s="256"/>
      <c r="AD152" s="239"/>
      <c r="AE152" s="256"/>
    </row>
    <row r="153" spans="1:31" ht="6.95" customHeight="1" x14ac:dyDescent="0.2">
      <c r="F153" s="257"/>
      <c r="G153" s="258"/>
      <c r="H153" s="257"/>
      <c r="I153" s="259"/>
      <c r="J153" s="259"/>
      <c r="K153" s="259"/>
      <c r="L153" s="257"/>
      <c r="M153" s="259"/>
      <c r="N153" s="259"/>
      <c r="O153" s="259"/>
      <c r="P153" s="259"/>
      <c r="Q153" s="259"/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361"/>
      <c r="AC153" s="260"/>
      <c r="AD153" s="361"/>
      <c r="AE153" s="260"/>
    </row>
    <row r="154" spans="1:31" ht="15" x14ac:dyDescent="0.2">
      <c r="A154" s="103">
        <f>A151+1</f>
        <v>45615</v>
      </c>
      <c r="B154" s="103" t="s">
        <v>319</v>
      </c>
      <c r="C154" s="111" t="str">
        <f>A154 &amp; " " &amp;B154</f>
        <v>45615 0000H</v>
      </c>
      <c r="D154" s="112">
        <v>680.06</v>
      </c>
      <c r="E154" s="117">
        <v>49.66</v>
      </c>
      <c r="F154" s="254">
        <v>1102.8</v>
      </c>
      <c r="G154" s="255">
        <v>6.2</v>
      </c>
      <c r="H154" s="254">
        <v>73525.240000000005</v>
      </c>
      <c r="I154" s="239">
        <v>887.37</v>
      </c>
      <c r="J154" s="239">
        <v>32929.26</v>
      </c>
      <c r="K154" s="255">
        <v>101.57</v>
      </c>
      <c r="L154" s="254">
        <v>5237.01</v>
      </c>
      <c r="M154" s="239">
        <v>15.77</v>
      </c>
      <c r="N154" s="239">
        <v>32544.799999999999</v>
      </c>
      <c r="O154" s="239">
        <v>28.6</v>
      </c>
      <c r="P154" s="239">
        <v>546.67999999999995</v>
      </c>
      <c r="Q154" s="239">
        <v>633.69000000000005</v>
      </c>
      <c r="R154" s="239">
        <v>9684.77</v>
      </c>
      <c r="S154" s="239">
        <v>9.0399999999999991</v>
      </c>
      <c r="T154" s="239">
        <v>35452</v>
      </c>
      <c r="U154" s="239">
        <v>69</v>
      </c>
      <c r="V154" s="239">
        <v>232.25</v>
      </c>
      <c r="W154" s="239">
        <v>0.15</v>
      </c>
      <c r="X154" s="239">
        <v>6085.3</v>
      </c>
      <c r="Y154" s="239">
        <v>0</v>
      </c>
      <c r="Z154" s="239">
        <v>54150</v>
      </c>
      <c r="AA154" s="255">
        <v>78</v>
      </c>
      <c r="AB154" s="239"/>
      <c r="AC154" s="256"/>
      <c r="AD154" s="239"/>
      <c r="AE154" s="256"/>
    </row>
    <row r="155" spans="1:31" ht="15" x14ac:dyDescent="0.2">
      <c r="A155" s="103">
        <f>A152+1</f>
        <v>45615</v>
      </c>
      <c r="B155" s="103" t="s">
        <v>147</v>
      </c>
      <c r="C155" s="111" t="str">
        <f>A155 &amp; " " &amp;B155</f>
        <v>45615 1200H</v>
      </c>
      <c r="D155" s="112">
        <v>684.53</v>
      </c>
      <c r="E155" s="117">
        <v>49.66</v>
      </c>
      <c r="F155" s="254">
        <v>1102.8</v>
      </c>
      <c r="G155" s="255">
        <v>6.2</v>
      </c>
      <c r="H155" s="254">
        <v>73533.740000000005</v>
      </c>
      <c r="I155" s="239">
        <v>887.4</v>
      </c>
      <c r="J155" s="239">
        <v>32929.57</v>
      </c>
      <c r="K155" s="255">
        <v>101.61</v>
      </c>
      <c r="L155" s="254">
        <v>5239.58</v>
      </c>
      <c r="M155" s="239">
        <v>15.77</v>
      </c>
      <c r="N155" s="239">
        <v>32545.4</v>
      </c>
      <c r="O155" s="239">
        <v>28.7</v>
      </c>
      <c r="P155" s="239">
        <v>546.89</v>
      </c>
      <c r="Q155" s="239">
        <v>633.94000000000005</v>
      </c>
      <c r="R155" s="239">
        <v>9687.58</v>
      </c>
      <c r="S155" s="239">
        <v>9.0399999999999991</v>
      </c>
      <c r="T155" s="239">
        <v>35459</v>
      </c>
      <c r="U155" s="239">
        <v>69</v>
      </c>
      <c r="V155" s="239">
        <v>232.25</v>
      </c>
      <c r="W155" s="239">
        <v>0.15</v>
      </c>
      <c r="X155" s="239">
        <v>6091.9</v>
      </c>
      <c r="Y155" s="239"/>
      <c r="Z155" s="239">
        <v>54150</v>
      </c>
      <c r="AA155" s="255">
        <v>78</v>
      </c>
      <c r="AB155" s="239"/>
      <c r="AC155" s="256"/>
      <c r="AD155" s="239"/>
      <c r="AE155" s="256"/>
    </row>
    <row r="156" spans="1:31" ht="6.95" customHeight="1" x14ac:dyDescent="0.2">
      <c r="F156" s="257"/>
      <c r="G156" s="258"/>
      <c r="H156" s="257"/>
      <c r="I156" s="259"/>
      <c r="J156" s="259"/>
      <c r="K156" s="259"/>
      <c r="L156" s="257"/>
      <c r="M156" s="259"/>
      <c r="N156" s="259"/>
      <c r="O156" s="259"/>
      <c r="P156" s="259"/>
      <c r="Q156" s="259"/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361"/>
      <c r="AC156" s="260"/>
      <c r="AD156" s="361"/>
      <c r="AE156" s="260"/>
    </row>
    <row r="157" spans="1:31" ht="15" x14ac:dyDescent="0.2">
      <c r="A157" s="103">
        <f>A154+1</f>
        <v>45616</v>
      </c>
      <c r="B157" s="103" t="s">
        <v>319</v>
      </c>
      <c r="C157" s="111" t="str">
        <f>A157 &amp; " " &amp;B157</f>
        <v>45616 0000H</v>
      </c>
      <c r="D157" s="112">
        <v>689.11</v>
      </c>
      <c r="E157" s="117">
        <v>49.66</v>
      </c>
      <c r="F157" s="254">
        <v>1102.8</v>
      </c>
      <c r="G157" s="255">
        <v>6.2</v>
      </c>
      <c r="H157" s="254">
        <v>73543.53</v>
      </c>
      <c r="I157" s="239">
        <v>887.4</v>
      </c>
      <c r="J157" s="239">
        <v>32933.33</v>
      </c>
      <c r="K157" s="255">
        <v>101.61</v>
      </c>
      <c r="L157" s="254">
        <v>5245.22</v>
      </c>
      <c r="M157" s="239">
        <v>15.77</v>
      </c>
      <c r="N157" s="239">
        <v>32552.7</v>
      </c>
      <c r="O157" s="239">
        <v>28.7</v>
      </c>
      <c r="P157" s="239">
        <v>547.63</v>
      </c>
      <c r="Q157" s="239">
        <v>634.22</v>
      </c>
      <c r="R157" s="239">
        <v>9692.02</v>
      </c>
      <c r="S157" s="239">
        <v>9.0399999999999991</v>
      </c>
      <c r="T157" s="239">
        <v>35466</v>
      </c>
      <c r="U157" s="239">
        <v>69</v>
      </c>
      <c r="V157" s="239">
        <v>234.51</v>
      </c>
      <c r="W157" s="239">
        <v>0.15</v>
      </c>
      <c r="X157" s="239">
        <v>6098.7</v>
      </c>
      <c r="Y157" s="239">
        <v>0</v>
      </c>
      <c r="Z157" s="239">
        <v>54150</v>
      </c>
      <c r="AA157" s="255">
        <v>78</v>
      </c>
      <c r="AB157" s="239"/>
      <c r="AC157" s="256"/>
      <c r="AD157" s="239"/>
      <c r="AE157" s="256"/>
    </row>
    <row r="158" spans="1:31" ht="15" x14ac:dyDescent="0.2">
      <c r="A158" s="103">
        <f>A155+1</f>
        <v>45616</v>
      </c>
      <c r="B158" s="103" t="s">
        <v>147</v>
      </c>
      <c r="C158" s="111" t="str">
        <f>A158 &amp; " " &amp;B158</f>
        <v>45616 1200H</v>
      </c>
      <c r="D158" s="112">
        <v>693.16</v>
      </c>
      <c r="E158" s="117">
        <v>49.66</v>
      </c>
      <c r="F158" s="254">
        <v>1102.8</v>
      </c>
      <c r="G158" s="255">
        <v>6.2</v>
      </c>
      <c r="H158" s="254">
        <v>73553.210000000006</v>
      </c>
      <c r="I158" s="239">
        <v>887.4</v>
      </c>
      <c r="J158" s="239">
        <v>32935.800000000003</v>
      </c>
      <c r="K158" s="255">
        <v>101.64</v>
      </c>
      <c r="L158" s="254">
        <v>5250.78</v>
      </c>
      <c r="M158" s="239">
        <v>15.77</v>
      </c>
      <c r="N158" s="239">
        <v>32557.7</v>
      </c>
      <c r="O158" s="239">
        <v>28.7</v>
      </c>
      <c r="P158" s="239">
        <v>548.84</v>
      </c>
      <c r="Q158" s="239">
        <v>634.66999999999996</v>
      </c>
      <c r="R158" s="239">
        <v>9695.73</v>
      </c>
      <c r="S158" s="239">
        <v>9.0399999999999991</v>
      </c>
      <c r="T158" s="239">
        <v>35472</v>
      </c>
      <c r="U158" s="239">
        <v>69</v>
      </c>
      <c r="V158" s="239">
        <v>234.51</v>
      </c>
      <c r="W158" s="239">
        <v>0.15</v>
      </c>
      <c r="X158" s="239">
        <v>6104.74</v>
      </c>
      <c r="Y158" s="239"/>
      <c r="Z158" s="239">
        <v>54151</v>
      </c>
      <c r="AA158" s="255">
        <v>78</v>
      </c>
      <c r="AB158" s="239"/>
      <c r="AC158" s="256"/>
      <c r="AD158" s="239"/>
      <c r="AE158" s="256"/>
    </row>
    <row r="159" spans="1:31" ht="6.95" customHeight="1" x14ac:dyDescent="0.2">
      <c r="F159" s="257"/>
      <c r="G159" s="258"/>
      <c r="H159" s="257"/>
      <c r="I159" s="259"/>
      <c r="J159" s="259"/>
      <c r="K159" s="259"/>
      <c r="L159" s="257"/>
      <c r="M159" s="259"/>
      <c r="N159" s="259"/>
      <c r="O159" s="259"/>
      <c r="P159" s="259"/>
      <c r="Q159" s="259"/>
      <c r="R159" s="259"/>
      <c r="S159" s="259"/>
      <c r="T159" s="259"/>
      <c r="U159" s="259"/>
      <c r="V159" s="259"/>
      <c r="W159" s="259"/>
      <c r="X159" s="259"/>
      <c r="Y159" s="259"/>
      <c r="Z159" s="259"/>
      <c r="AA159" s="259"/>
      <c r="AB159" s="361"/>
      <c r="AC159" s="260"/>
      <c r="AD159" s="361"/>
      <c r="AE159" s="260"/>
    </row>
    <row r="160" spans="1:31" ht="15" x14ac:dyDescent="0.2">
      <c r="A160" s="103">
        <f>A157+1</f>
        <v>45617</v>
      </c>
      <c r="B160" s="103" t="s">
        <v>319</v>
      </c>
      <c r="C160" s="111" t="str">
        <f>A160 &amp; " " &amp;B160</f>
        <v>45617 0000H</v>
      </c>
      <c r="D160" s="112">
        <v>698.14</v>
      </c>
      <c r="E160" s="117">
        <v>49.66</v>
      </c>
      <c r="F160" s="254">
        <v>1102.8</v>
      </c>
      <c r="G160" s="255">
        <v>6.2</v>
      </c>
      <c r="H160" s="254">
        <v>73559.3</v>
      </c>
      <c r="I160" s="239">
        <v>887.2</v>
      </c>
      <c r="J160" s="239">
        <v>32939.519999999997</v>
      </c>
      <c r="K160" s="255">
        <v>101.64</v>
      </c>
      <c r="L160" s="254">
        <v>5256.58</v>
      </c>
      <c r="M160" s="239">
        <v>15.77</v>
      </c>
      <c r="N160" s="239">
        <v>32565.3</v>
      </c>
      <c r="O160" s="239">
        <v>28.7</v>
      </c>
      <c r="P160" s="239">
        <v>551.21</v>
      </c>
      <c r="Q160" s="239">
        <v>634.84</v>
      </c>
      <c r="R160" s="239">
        <v>9700.23</v>
      </c>
      <c r="S160" s="239">
        <v>9.0399999999999991</v>
      </c>
      <c r="T160" s="239">
        <v>35479</v>
      </c>
      <c r="U160" s="239">
        <v>69</v>
      </c>
      <c r="V160" s="239">
        <v>234.51</v>
      </c>
      <c r="W160" s="239">
        <v>0.15</v>
      </c>
      <c r="X160" s="239">
        <v>6111.34</v>
      </c>
      <c r="Y160" s="239">
        <v>0</v>
      </c>
      <c r="Z160" s="239">
        <v>54151</v>
      </c>
      <c r="AA160" s="255">
        <v>78</v>
      </c>
      <c r="AB160" s="239"/>
      <c r="AC160" s="256"/>
      <c r="AD160" s="239"/>
      <c r="AE160" s="256"/>
    </row>
    <row r="161" spans="1:31" ht="15" x14ac:dyDescent="0.2">
      <c r="A161" s="103">
        <f>A158+1</f>
        <v>45617</v>
      </c>
      <c r="B161" s="103" t="s">
        <v>147</v>
      </c>
      <c r="C161" s="111" t="str">
        <f>A161 &amp; " " &amp;B161</f>
        <v>45617 1200H</v>
      </c>
      <c r="D161" s="112">
        <v>701.89</v>
      </c>
      <c r="E161" s="117">
        <v>49.66</v>
      </c>
      <c r="F161" s="254">
        <v>1102.8</v>
      </c>
      <c r="G161" s="255">
        <v>6.2</v>
      </c>
      <c r="H161" s="254">
        <v>73565.509999999995</v>
      </c>
      <c r="I161" s="239">
        <v>887.68</v>
      </c>
      <c r="J161" s="239">
        <v>32941.22</v>
      </c>
      <c r="K161" s="255">
        <v>101.69</v>
      </c>
      <c r="L161" s="254">
        <v>5262.38</v>
      </c>
      <c r="M161" s="239">
        <v>15.77</v>
      </c>
      <c r="N161" s="239">
        <v>32571.599999999999</v>
      </c>
      <c r="O161" s="239">
        <v>28.7</v>
      </c>
      <c r="P161" s="239">
        <v>552.04999999999995</v>
      </c>
      <c r="Q161" s="239">
        <v>635.44000000000005</v>
      </c>
      <c r="R161" s="239">
        <v>9703.8799999999992</v>
      </c>
      <c r="S161" s="239">
        <v>9.0399999999999991</v>
      </c>
      <c r="T161" s="239">
        <v>35486</v>
      </c>
      <c r="U161" s="239">
        <v>69</v>
      </c>
      <c r="V161" s="239">
        <v>234.51</v>
      </c>
      <c r="W161" s="239">
        <v>0.15</v>
      </c>
      <c r="X161" s="239">
        <v>6116.9</v>
      </c>
      <c r="Y161" s="239">
        <v>0</v>
      </c>
      <c r="Z161" s="239">
        <v>54151</v>
      </c>
      <c r="AA161" s="255">
        <v>79</v>
      </c>
      <c r="AB161" s="239"/>
      <c r="AC161" s="256"/>
      <c r="AD161" s="239"/>
      <c r="AE161" s="256"/>
    </row>
    <row r="162" spans="1:31" ht="6.95" customHeight="1" x14ac:dyDescent="0.2">
      <c r="F162" s="257"/>
      <c r="G162" s="258"/>
      <c r="H162" s="257"/>
      <c r="I162" s="259"/>
      <c r="J162" s="259"/>
      <c r="K162" s="259"/>
      <c r="L162" s="257"/>
      <c r="M162" s="259"/>
      <c r="N162" s="259"/>
      <c r="O162" s="259"/>
      <c r="P162" s="259"/>
      <c r="Q162" s="259"/>
      <c r="R162" s="259"/>
      <c r="S162" s="259"/>
      <c r="T162" s="259"/>
      <c r="U162" s="259"/>
      <c r="V162" s="259"/>
      <c r="W162" s="259"/>
      <c r="X162" s="259"/>
      <c r="Y162" s="259"/>
      <c r="Z162" s="259"/>
      <c r="AA162" s="259"/>
      <c r="AB162" s="361"/>
      <c r="AC162" s="260"/>
      <c r="AD162" s="361"/>
      <c r="AE162" s="260"/>
    </row>
    <row r="163" spans="1:31" ht="15" x14ac:dyDescent="0.2">
      <c r="A163" s="103">
        <f>A160+1</f>
        <v>45618</v>
      </c>
      <c r="B163" s="103" t="s">
        <v>319</v>
      </c>
      <c r="C163" s="111" t="str">
        <f>A163 &amp; " " &amp;B163</f>
        <v>45618 0000H</v>
      </c>
      <c r="D163" s="112">
        <v>707.39</v>
      </c>
      <c r="E163" s="117">
        <v>49.66</v>
      </c>
      <c r="F163" s="254">
        <v>1102.8</v>
      </c>
      <c r="G163" s="255">
        <v>6.2</v>
      </c>
      <c r="H163" s="254">
        <v>73575.94</v>
      </c>
      <c r="I163" s="239">
        <v>887.68</v>
      </c>
      <c r="J163" s="239">
        <v>32944.93</v>
      </c>
      <c r="K163" s="255">
        <v>101.69</v>
      </c>
      <c r="L163" s="254">
        <v>5268.18</v>
      </c>
      <c r="M163" s="239">
        <v>15.77</v>
      </c>
      <c r="N163" s="239">
        <v>32578.3</v>
      </c>
      <c r="O163" s="239">
        <v>28.7</v>
      </c>
      <c r="P163" s="239">
        <v>554.02</v>
      </c>
      <c r="Q163" s="239">
        <v>635.67999999999995</v>
      </c>
      <c r="R163" s="239">
        <v>9708.5499999999993</v>
      </c>
      <c r="S163" s="239">
        <v>9.0399999999999991</v>
      </c>
      <c r="T163" s="239">
        <v>35494</v>
      </c>
      <c r="U163" s="239">
        <v>69</v>
      </c>
      <c r="V163" s="239">
        <v>234.51</v>
      </c>
      <c r="W163" s="239">
        <v>0.15</v>
      </c>
      <c r="X163" s="239">
        <v>6123.62</v>
      </c>
      <c r="Y163" s="239">
        <v>0</v>
      </c>
      <c r="Z163" s="239">
        <v>54151</v>
      </c>
      <c r="AA163" s="255">
        <v>79</v>
      </c>
      <c r="AB163" s="239"/>
      <c r="AC163" s="256"/>
      <c r="AD163" s="239"/>
      <c r="AE163" s="256"/>
    </row>
    <row r="164" spans="1:31" ht="15" x14ac:dyDescent="0.2">
      <c r="A164" s="103">
        <f>A161+1</f>
        <v>45618</v>
      </c>
      <c r="B164" s="103" t="s">
        <v>147</v>
      </c>
      <c r="C164" s="111" t="str">
        <f>A164 &amp; " " &amp;B164</f>
        <v>45618 1200H</v>
      </c>
      <c r="D164" s="112">
        <v>709.6</v>
      </c>
      <c r="E164" s="117">
        <v>49.66</v>
      </c>
      <c r="F164" s="254">
        <v>1102.8</v>
      </c>
      <c r="G164" s="255">
        <v>6.2</v>
      </c>
      <c r="H164" s="254">
        <v>73586.080000000002</v>
      </c>
      <c r="I164" s="239">
        <v>887.68</v>
      </c>
      <c r="J164" s="239">
        <v>32946.94</v>
      </c>
      <c r="K164" s="255">
        <v>101.73</v>
      </c>
      <c r="L164" s="254">
        <v>5273.94</v>
      </c>
      <c r="M164" s="239">
        <v>15.77</v>
      </c>
      <c r="N164" s="239">
        <v>32584</v>
      </c>
      <c r="O164" s="239">
        <v>28.7</v>
      </c>
      <c r="P164" s="239">
        <v>555.19000000000005</v>
      </c>
      <c r="Q164" s="239">
        <v>636.42999999999995</v>
      </c>
      <c r="R164" s="239">
        <v>9712.27</v>
      </c>
      <c r="S164" s="239">
        <v>9.0399999999999991</v>
      </c>
      <c r="T164" s="239">
        <v>35500</v>
      </c>
      <c r="U164" s="239">
        <v>69</v>
      </c>
      <c r="V164" s="239">
        <v>234.51</v>
      </c>
      <c r="W164" s="239">
        <v>0.15</v>
      </c>
      <c r="X164" s="239">
        <v>6129.32</v>
      </c>
      <c r="Y164" s="239">
        <v>0</v>
      </c>
      <c r="Z164" s="239">
        <v>54152</v>
      </c>
      <c r="AA164" s="255">
        <v>79</v>
      </c>
      <c r="AB164" s="239"/>
      <c r="AC164" s="256"/>
      <c r="AD164" s="239"/>
      <c r="AE164" s="256"/>
    </row>
    <row r="165" spans="1:31" ht="6.95" customHeight="1" x14ac:dyDescent="0.2">
      <c r="F165" s="257"/>
      <c r="G165" s="258"/>
      <c r="H165" s="257"/>
      <c r="I165" s="259"/>
      <c r="J165" s="259"/>
      <c r="K165" s="259"/>
      <c r="L165" s="257"/>
      <c r="M165" s="259"/>
      <c r="N165" s="259"/>
      <c r="O165" s="259"/>
      <c r="P165" s="259"/>
      <c r="Q165" s="259"/>
      <c r="R165" s="259"/>
      <c r="S165" s="259"/>
      <c r="T165" s="259"/>
      <c r="U165" s="259"/>
      <c r="V165" s="259"/>
      <c r="W165" s="259"/>
      <c r="X165" s="259"/>
      <c r="Y165" s="259"/>
      <c r="Z165" s="259"/>
      <c r="AA165" s="259"/>
      <c r="AB165" s="361"/>
      <c r="AC165" s="260"/>
      <c r="AD165" s="361"/>
      <c r="AE165" s="260"/>
    </row>
    <row r="166" spans="1:31" ht="15" x14ac:dyDescent="0.2">
      <c r="A166" s="103">
        <f>A163+1</f>
        <v>45619</v>
      </c>
      <c r="B166" s="103" t="s">
        <v>319</v>
      </c>
      <c r="C166" s="111" t="str">
        <f>A166 &amp; " " &amp;B166</f>
        <v>45619 0000H</v>
      </c>
      <c r="D166" s="112">
        <v>716.23</v>
      </c>
      <c r="E166" s="117">
        <v>49.66</v>
      </c>
      <c r="F166" s="254">
        <v>1102.8</v>
      </c>
      <c r="G166" s="255">
        <v>6.2</v>
      </c>
      <c r="H166" s="254">
        <v>73596.100000000006</v>
      </c>
      <c r="I166" s="239">
        <v>887.68</v>
      </c>
      <c r="J166" s="239">
        <v>32950.519999999997</v>
      </c>
      <c r="K166" s="255">
        <v>101.73</v>
      </c>
      <c r="L166" s="254">
        <v>5279.79</v>
      </c>
      <c r="M166" s="239">
        <v>15.77</v>
      </c>
      <c r="N166" s="239">
        <v>32591.7</v>
      </c>
      <c r="O166" s="239">
        <v>28.7</v>
      </c>
      <c r="P166" s="239">
        <v>557.78</v>
      </c>
      <c r="Q166" s="239">
        <v>636.29</v>
      </c>
      <c r="R166" s="239">
        <v>9717.02</v>
      </c>
      <c r="S166" s="239">
        <v>9.0399999999999991</v>
      </c>
      <c r="T166" s="239">
        <v>35508</v>
      </c>
      <c r="U166" s="239">
        <v>69</v>
      </c>
      <c r="V166" s="239">
        <v>234.51</v>
      </c>
      <c r="W166" s="239">
        <v>0.15</v>
      </c>
      <c r="X166" s="239">
        <v>6136.4</v>
      </c>
      <c r="Y166" s="239">
        <v>0</v>
      </c>
      <c r="Z166" s="239">
        <v>54152</v>
      </c>
      <c r="AA166" s="255">
        <v>79</v>
      </c>
      <c r="AB166" s="239"/>
      <c r="AC166" s="256"/>
      <c r="AD166" s="239"/>
      <c r="AE166" s="256"/>
    </row>
    <row r="167" spans="1:31" ht="15" x14ac:dyDescent="0.2">
      <c r="A167" s="103">
        <f>A164+1</f>
        <v>45619</v>
      </c>
      <c r="B167" s="103" t="s">
        <v>147</v>
      </c>
      <c r="C167" s="111" t="str">
        <f>A167 &amp; " " &amp;B167</f>
        <v>45619 1200H</v>
      </c>
      <c r="D167" s="112">
        <v>720.17</v>
      </c>
      <c r="E167" s="117">
        <v>49.66</v>
      </c>
      <c r="F167" s="254">
        <v>1102.8</v>
      </c>
      <c r="G167" s="255">
        <v>6.2</v>
      </c>
      <c r="H167" s="254">
        <v>73606.350000000006</v>
      </c>
      <c r="I167" s="239">
        <v>887.68</v>
      </c>
      <c r="J167" s="239">
        <v>32950.519999999997</v>
      </c>
      <c r="K167" s="255">
        <v>101.79</v>
      </c>
      <c r="L167" s="254">
        <v>5285.47</v>
      </c>
      <c r="M167" s="239">
        <v>15.77</v>
      </c>
      <c r="N167" s="239">
        <v>32599.4</v>
      </c>
      <c r="O167" s="239">
        <v>28.7</v>
      </c>
      <c r="P167" s="239">
        <v>558.61</v>
      </c>
      <c r="Q167" s="239">
        <v>637.05999999999995</v>
      </c>
      <c r="R167" s="239">
        <v>9721.02</v>
      </c>
      <c r="S167" s="239">
        <v>9.0399999999999991</v>
      </c>
      <c r="T167" s="239">
        <v>35515</v>
      </c>
      <c r="U167" s="239">
        <v>69</v>
      </c>
      <c r="V167" s="239">
        <v>234.51</v>
      </c>
      <c r="W167" s="239">
        <v>0.15</v>
      </c>
      <c r="X167" s="239">
        <v>6141.44</v>
      </c>
      <c r="Y167" s="239">
        <v>0</v>
      </c>
      <c r="Z167" s="239">
        <v>54152</v>
      </c>
      <c r="AA167" s="255">
        <v>79</v>
      </c>
      <c r="AB167" s="239"/>
      <c r="AC167" s="256"/>
      <c r="AD167" s="239"/>
      <c r="AE167" s="256"/>
    </row>
    <row r="168" spans="1:31" ht="6.95" customHeight="1" x14ac:dyDescent="0.2">
      <c r="F168" s="257"/>
      <c r="G168" s="258"/>
      <c r="H168" s="257"/>
      <c r="I168" s="259"/>
      <c r="J168" s="259"/>
      <c r="K168" s="259"/>
      <c r="L168" s="257"/>
      <c r="M168" s="259"/>
      <c r="N168" s="259"/>
      <c r="O168" s="259"/>
      <c r="P168" s="259"/>
      <c r="Q168" s="259"/>
      <c r="R168" s="259"/>
      <c r="S168" s="259"/>
      <c r="T168" s="259"/>
      <c r="U168" s="259"/>
      <c r="V168" s="259"/>
      <c r="W168" s="259"/>
      <c r="X168" s="259"/>
      <c r="Y168" s="259"/>
      <c r="Z168" s="259"/>
      <c r="AA168" s="259"/>
      <c r="AB168" s="361"/>
      <c r="AC168" s="260"/>
      <c r="AD168" s="361"/>
      <c r="AE168" s="260"/>
    </row>
    <row r="169" spans="1:31" ht="15" x14ac:dyDescent="0.2">
      <c r="A169" s="103">
        <f>A166+1</f>
        <v>45620</v>
      </c>
      <c r="B169" s="103" t="s">
        <v>319</v>
      </c>
      <c r="C169" s="111" t="str">
        <f>A169 &amp; " " &amp;B169</f>
        <v>45620 0000H</v>
      </c>
      <c r="D169" s="112">
        <v>725.19</v>
      </c>
      <c r="E169" s="117">
        <v>49.66</v>
      </c>
      <c r="F169" s="254">
        <v>1102.8</v>
      </c>
      <c r="G169" s="255">
        <v>6.2</v>
      </c>
      <c r="H169" s="254">
        <v>73616.41</v>
      </c>
      <c r="I169" s="239">
        <v>887.68</v>
      </c>
      <c r="J169" s="239">
        <v>32950.519999999997</v>
      </c>
      <c r="K169" s="255">
        <v>101.79</v>
      </c>
      <c r="L169" s="254">
        <v>5291.33</v>
      </c>
      <c r="M169" s="239">
        <v>15.77</v>
      </c>
      <c r="N169" s="239">
        <v>32606.799999999999</v>
      </c>
      <c r="O169" s="239">
        <v>28.7</v>
      </c>
      <c r="P169" s="239">
        <v>560.70000000000005</v>
      </c>
      <c r="Q169" s="239">
        <v>637.16</v>
      </c>
      <c r="R169" s="239">
        <v>9726.2199999999993</v>
      </c>
      <c r="S169" s="239">
        <v>9.0399999999999991</v>
      </c>
      <c r="T169" s="239">
        <v>35521</v>
      </c>
      <c r="U169" s="239">
        <v>69</v>
      </c>
      <c r="V169" s="239">
        <v>234.51</v>
      </c>
      <c r="W169" s="239">
        <v>0.15</v>
      </c>
      <c r="X169" s="239">
        <v>6148.08</v>
      </c>
      <c r="Y169" s="239">
        <v>0</v>
      </c>
      <c r="Z169" s="239">
        <v>54152</v>
      </c>
      <c r="AA169" s="255">
        <v>79</v>
      </c>
      <c r="AB169" s="239"/>
      <c r="AC169" s="256"/>
      <c r="AD169" s="239"/>
      <c r="AE169" s="256"/>
    </row>
    <row r="170" spans="1:31" ht="15" x14ac:dyDescent="0.2">
      <c r="A170" s="103">
        <f>A167+1</f>
        <v>45620</v>
      </c>
      <c r="B170" s="103" t="s">
        <v>147</v>
      </c>
      <c r="C170" s="111" t="str">
        <f>A170 &amp; " " &amp;B170</f>
        <v>45620 1200H</v>
      </c>
      <c r="D170" s="112">
        <v>729.28</v>
      </c>
      <c r="E170" s="117">
        <v>49.66</v>
      </c>
      <c r="F170" s="254">
        <v>1102.8</v>
      </c>
      <c r="G170" s="255">
        <v>6.2</v>
      </c>
      <c r="H170" s="254">
        <v>73626.539999999994</v>
      </c>
      <c r="I170" s="239">
        <v>887.68</v>
      </c>
      <c r="J170" s="239">
        <v>32950.519999999997</v>
      </c>
      <c r="K170" s="255">
        <v>101.84</v>
      </c>
      <c r="L170" s="254">
        <v>5297.03</v>
      </c>
      <c r="M170" s="239">
        <v>15.77</v>
      </c>
      <c r="N170" s="239">
        <v>32610.799999999999</v>
      </c>
      <c r="O170" s="239">
        <v>28.7</v>
      </c>
      <c r="P170" s="239">
        <v>561.49</v>
      </c>
      <c r="Q170" s="239">
        <v>637.67999999999995</v>
      </c>
      <c r="R170" s="239">
        <v>9730.9</v>
      </c>
      <c r="S170" s="239">
        <v>9.0399999999999991</v>
      </c>
      <c r="T170" s="239">
        <v>35527</v>
      </c>
      <c r="U170" s="239">
        <v>69</v>
      </c>
      <c r="V170" s="239">
        <v>234.51</v>
      </c>
      <c r="W170" s="239">
        <v>0.15</v>
      </c>
      <c r="X170" s="239">
        <v>6153.12</v>
      </c>
      <c r="Y170" s="239">
        <v>0</v>
      </c>
      <c r="Z170" s="239">
        <v>54152</v>
      </c>
      <c r="AA170" s="255">
        <v>79</v>
      </c>
      <c r="AB170" s="239"/>
      <c r="AC170" s="256"/>
      <c r="AD170" s="239"/>
      <c r="AE170" s="256"/>
    </row>
    <row r="171" spans="1:31" ht="6.95" customHeight="1" x14ac:dyDescent="0.2">
      <c r="F171" s="257"/>
      <c r="G171" s="258"/>
      <c r="H171" s="257"/>
      <c r="I171" s="259"/>
      <c r="J171" s="259"/>
      <c r="K171" s="259"/>
      <c r="L171" s="257"/>
      <c r="M171" s="259"/>
      <c r="N171" s="259"/>
      <c r="O171" s="259"/>
      <c r="P171" s="259"/>
      <c r="Q171" s="259"/>
      <c r="R171" s="259"/>
      <c r="S171" s="259"/>
      <c r="T171" s="259"/>
      <c r="U171" s="259"/>
      <c r="V171" s="259"/>
      <c r="W171" s="259"/>
      <c r="X171" s="259"/>
      <c r="Y171" s="259"/>
      <c r="Z171" s="259"/>
      <c r="AA171" s="259"/>
      <c r="AB171" s="361"/>
      <c r="AC171" s="260"/>
      <c r="AD171" s="361"/>
      <c r="AE171" s="260"/>
    </row>
    <row r="172" spans="1:31" ht="15" x14ac:dyDescent="0.2">
      <c r="A172" s="103">
        <f>A169+1</f>
        <v>45621</v>
      </c>
      <c r="B172" s="103" t="s">
        <v>319</v>
      </c>
      <c r="C172" s="111" t="str">
        <f>A172 &amp; " " &amp;B172</f>
        <v>45621 0000H</v>
      </c>
      <c r="D172" s="112">
        <v>734.34</v>
      </c>
      <c r="E172" s="117">
        <v>49.66</v>
      </c>
      <c r="F172" s="254">
        <v>1102.8</v>
      </c>
      <c r="G172" s="255">
        <v>6.2</v>
      </c>
      <c r="H172" s="254">
        <v>73636.490000000005</v>
      </c>
      <c r="I172" s="239">
        <v>887.68</v>
      </c>
      <c r="J172" s="239">
        <v>32950.519999999997</v>
      </c>
      <c r="K172" s="255">
        <v>101.9</v>
      </c>
      <c r="L172" s="254">
        <v>5302.78</v>
      </c>
      <c r="M172" s="239">
        <v>15.77</v>
      </c>
      <c r="N172" s="239">
        <v>32618.1</v>
      </c>
      <c r="O172" s="239">
        <v>28.7</v>
      </c>
      <c r="P172" s="239">
        <v>562.96</v>
      </c>
      <c r="Q172" s="239">
        <v>637.87</v>
      </c>
      <c r="R172" s="239">
        <v>9736.59</v>
      </c>
      <c r="S172" s="239">
        <v>9.0399999999999991</v>
      </c>
      <c r="T172" s="239">
        <v>35534</v>
      </c>
      <c r="U172" s="239">
        <v>69</v>
      </c>
      <c r="V172" s="239">
        <v>234.51</v>
      </c>
      <c r="W172" s="239">
        <v>0.15</v>
      </c>
      <c r="X172" s="239">
        <v>6159.99</v>
      </c>
      <c r="Y172" s="239">
        <v>0</v>
      </c>
      <c r="Z172" s="239">
        <v>54153.4</v>
      </c>
      <c r="AA172" s="255">
        <v>78</v>
      </c>
      <c r="AB172" s="239"/>
      <c r="AC172" s="256"/>
      <c r="AD172" s="239"/>
      <c r="AE172" s="256"/>
    </row>
    <row r="173" spans="1:31" ht="15" x14ac:dyDescent="0.2">
      <c r="A173" s="103">
        <f>A170+1</f>
        <v>45621</v>
      </c>
      <c r="B173" s="103" t="s">
        <v>147</v>
      </c>
      <c r="C173" s="111" t="str">
        <f>A173 &amp; " " &amp;B173</f>
        <v>45621 1200H</v>
      </c>
      <c r="D173" s="112">
        <v>738.51</v>
      </c>
      <c r="E173" s="117">
        <v>49.66</v>
      </c>
      <c r="F173" s="254">
        <v>1102.8</v>
      </c>
      <c r="G173" s="255">
        <v>6.2</v>
      </c>
      <c r="H173" s="254">
        <v>73646.7</v>
      </c>
      <c r="I173" s="239">
        <v>887.68</v>
      </c>
      <c r="J173" s="239">
        <v>32950.519999999997</v>
      </c>
      <c r="K173" s="255">
        <v>101.9</v>
      </c>
      <c r="L173" s="254">
        <v>5308.49</v>
      </c>
      <c r="M173" s="239">
        <v>15.77</v>
      </c>
      <c r="N173" s="239">
        <v>32625.3</v>
      </c>
      <c r="O173" s="239">
        <v>28.7</v>
      </c>
      <c r="P173" s="239">
        <v>564</v>
      </c>
      <c r="Q173" s="239">
        <v>638.63</v>
      </c>
      <c r="R173" s="239">
        <v>9741.16</v>
      </c>
      <c r="S173" s="239">
        <v>9.0399999999999991</v>
      </c>
      <c r="T173" s="239">
        <v>35539</v>
      </c>
      <c r="U173" s="239">
        <v>69</v>
      </c>
      <c r="V173" s="239">
        <v>234.51</v>
      </c>
      <c r="W173" s="239">
        <v>0.15</v>
      </c>
      <c r="X173" s="239">
        <v>6165.94</v>
      </c>
      <c r="Y173" s="239">
        <v>0</v>
      </c>
      <c r="Z173" s="239">
        <v>54153</v>
      </c>
      <c r="AA173" s="255">
        <v>78</v>
      </c>
      <c r="AB173" s="239"/>
      <c r="AC173" s="256"/>
      <c r="AD173" s="239"/>
      <c r="AE173" s="256"/>
    </row>
    <row r="174" spans="1:31" ht="6.95" customHeight="1" x14ac:dyDescent="0.2">
      <c r="F174" s="257"/>
      <c r="G174" s="258"/>
      <c r="H174" s="257"/>
      <c r="I174" s="259"/>
      <c r="J174" s="259"/>
      <c r="K174" s="259"/>
      <c r="L174" s="257"/>
      <c r="M174" s="259"/>
      <c r="N174" s="259"/>
      <c r="O174" s="259"/>
      <c r="P174" s="259"/>
      <c r="Q174" s="259"/>
      <c r="R174" s="259"/>
      <c r="S174" s="259"/>
      <c r="T174" s="259"/>
      <c r="U174" s="259"/>
      <c r="V174" s="259"/>
      <c r="W174" s="259"/>
      <c r="X174" s="259"/>
      <c r="Y174" s="259"/>
      <c r="Z174" s="259"/>
      <c r="AA174" s="259"/>
      <c r="AB174" s="361"/>
      <c r="AC174" s="260"/>
      <c r="AD174" s="361"/>
      <c r="AE174" s="260"/>
    </row>
    <row r="175" spans="1:31" ht="15" x14ac:dyDescent="0.2">
      <c r="A175" s="103">
        <f>A172+1</f>
        <v>45622</v>
      </c>
      <c r="B175" s="103" t="s">
        <v>319</v>
      </c>
      <c r="C175" s="111" t="str">
        <f>A175 &amp; " " &amp;B175</f>
        <v>45622 0000H</v>
      </c>
      <c r="D175" s="112">
        <v>744.35</v>
      </c>
      <c r="E175" s="117">
        <v>49.66</v>
      </c>
      <c r="F175" s="254">
        <v>1102.8</v>
      </c>
      <c r="G175" s="255">
        <v>6.2</v>
      </c>
      <c r="H175" s="254">
        <v>73656.850000000006</v>
      </c>
      <c r="I175" s="239">
        <v>887.68</v>
      </c>
      <c r="J175" s="239">
        <v>32950.519999999997</v>
      </c>
      <c r="K175" s="255">
        <v>101.9</v>
      </c>
      <c r="L175" s="254">
        <v>5314.22</v>
      </c>
      <c r="M175" s="239">
        <v>15.77</v>
      </c>
      <c r="N175" s="239">
        <v>32632.9</v>
      </c>
      <c r="O175" s="239">
        <v>28.7</v>
      </c>
      <c r="P175" s="239">
        <v>566.59</v>
      </c>
      <c r="Q175" s="239">
        <v>638.67999999999995</v>
      </c>
      <c r="R175" s="239">
        <v>9746.65</v>
      </c>
      <c r="S175" s="239">
        <v>9.0399999999999991</v>
      </c>
      <c r="T175" s="239">
        <v>35547</v>
      </c>
      <c r="U175" s="239">
        <v>69</v>
      </c>
      <c r="V175" s="239">
        <v>234.51</v>
      </c>
      <c r="W175" s="239">
        <v>0.15</v>
      </c>
      <c r="X175" s="239">
        <v>6173.04</v>
      </c>
      <c r="Y175" s="239">
        <v>0</v>
      </c>
      <c r="Z175" s="239">
        <v>54153</v>
      </c>
      <c r="AA175" s="255">
        <v>78</v>
      </c>
      <c r="AB175" s="239"/>
      <c r="AC175" s="256"/>
      <c r="AD175" s="239"/>
      <c r="AE175" s="256"/>
    </row>
    <row r="176" spans="1:31" ht="15" x14ac:dyDescent="0.2">
      <c r="A176" s="103">
        <f>A173+1</f>
        <v>45622</v>
      </c>
      <c r="B176" s="103" t="s">
        <v>147</v>
      </c>
      <c r="C176" s="111" t="str">
        <f>A176 &amp; " " &amp;B176</f>
        <v>45622 1200H</v>
      </c>
      <c r="D176" s="112">
        <v>748.6</v>
      </c>
      <c r="E176" s="117">
        <v>49.66</v>
      </c>
      <c r="F176" s="254">
        <v>1102.8</v>
      </c>
      <c r="G176" s="255">
        <v>6.2</v>
      </c>
      <c r="H176" s="254">
        <v>73666.77</v>
      </c>
      <c r="I176" s="239">
        <v>887.69</v>
      </c>
      <c r="J176" s="239">
        <v>32950.519999999997</v>
      </c>
      <c r="K176" s="255">
        <v>101.9</v>
      </c>
      <c r="L176" s="254">
        <v>5319.94</v>
      </c>
      <c r="M176" s="239">
        <v>15.77</v>
      </c>
      <c r="N176" s="239">
        <v>32640.3</v>
      </c>
      <c r="O176" s="239">
        <v>28.7</v>
      </c>
      <c r="P176" s="239">
        <v>567.44000000000005</v>
      </c>
      <c r="Q176" s="239">
        <v>639.55999999999995</v>
      </c>
      <c r="R176" s="239">
        <v>9751.06</v>
      </c>
      <c r="S176" s="239">
        <v>9.0399999999999991</v>
      </c>
      <c r="T176" s="239">
        <v>35553</v>
      </c>
      <c r="U176" s="239">
        <v>69</v>
      </c>
      <c r="V176" s="239">
        <v>234.51</v>
      </c>
      <c r="W176" s="239">
        <v>0.15</v>
      </c>
      <c r="X176" s="239">
        <v>6179.15</v>
      </c>
      <c r="Y176" s="239">
        <v>0</v>
      </c>
      <c r="Z176" s="239">
        <v>54153</v>
      </c>
      <c r="AA176" s="255">
        <v>78</v>
      </c>
      <c r="AB176" s="239"/>
      <c r="AC176" s="256"/>
      <c r="AD176" s="239"/>
      <c r="AE176" s="256"/>
    </row>
    <row r="177" spans="1:31" ht="6.95" customHeight="1" x14ac:dyDescent="0.2">
      <c r="F177" s="257"/>
      <c r="G177" s="258"/>
      <c r="H177" s="257"/>
      <c r="I177" s="259"/>
      <c r="J177" s="259"/>
      <c r="K177" s="259"/>
      <c r="L177" s="257"/>
      <c r="M177" s="259"/>
      <c r="N177" s="259"/>
      <c r="O177" s="259"/>
      <c r="P177" s="259"/>
      <c r="Q177" s="259"/>
      <c r="R177" s="259"/>
      <c r="S177" s="259"/>
      <c r="T177" s="259"/>
      <c r="U177" s="259"/>
      <c r="V177" s="259"/>
      <c r="W177" s="259"/>
      <c r="X177" s="259"/>
      <c r="Y177" s="259">
        <v>0</v>
      </c>
      <c r="Z177" s="259"/>
      <c r="AA177" s="259"/>
      <c r="AB177" s="361"/>
      <c r="AC177" s="260"/>
      <c r="AD177" s="361"/>
      <c r="AE177" s="260"/>
    </row>
    <row r="178" spans="1:31" ht="15" x14ac:dyDescent="0.2">
      <c r="A178" s="103">
        <f>A175+1</f>
        <v>45623</v>
      </c>
      <c r="B178" s="103" t="s">
        <v>319</v>
      </c>
      <c r="C178" s="111" t="str">
        <f>A178 &amp; " " &amp;B178</f>
        <v>45623 0000H</v>
      </c>
      <c r="D178" s="112">
        <v>754.46</v>
      </c>
      <c r="E178" s="117">
        <v>49.66</v>
      </c>
      <c r="F178" s="254">
        <v>1102.8</v>
      </c>
      <c r="G178" s="255">
        <v>6.2</v>
      </c>
      <c r="H178" s="254">
        <v>73676.960000000006</v>
      </c>
      <c r="I178" s="239">
        <v>887.69</v>
      </c>
      <c r="J178" s="239">
        <v>32950.519999999997</v>
      </c>
      <c r="K178" s="255">
        <v>101.9</v>
      </c>
      <c r="L178" s="254">
        <v>5325.75</v>
      </c>
      <c r="M178" s="239">
        <v>15.77</v>
      </c>
      <c r="N178" s="239">
        <v>32647.9</v>
      </c>
      <c r="O178" s="239">
        <v>28.7</v>
      </c>
      <c r="P178" s="239">
        <v>570.77</v>
      </c>
      <c r="Q178" s="239">
        <v>639.6</v>
      </c>
      <c r="R178" s="239">
        <v>9756.49</v>
      </c>
      <c r="S178" s="239">
        <v>9.0399999999999991</v>
      </c>
      <c r="T178" s="239">
        <v>35561</v>
      </c>
      <c r="U178" s="239">
        <v>69</v>
      </c>
      <c r="V178" s="239">
        <v>234.51</v>
      </c>
      <c r="W178" s="239">
        <v>0.15</v>
      </c>
      <c r="X178" s="239">
        <v>6186.32</v>
      </c>
      <c r="Y178" s="239">
        <v>0</v>
      </c>
      <c r="Z178" s="239">
        <v>54153</v>
      </c>
      <c r="AA178" s="255">
        <v>78</v>
      </c>
      <c r="AB178" s="239"/>
      <c r="AC178" s="256"/>
      <c r="AD178" s="239"/>
      <c r="AE178" s="256"/>
    </row>
    <row r="179" spans="1:31" ht="15" x14ac:dyDescent="0.2">
      <c r="A179" s="103">
        <f>A176+1</f>
        <v>45623</v>
      </c>
      <c r="B179" s="103" t="s">
        <v>147</v>
      </c>
      <c r="C179" s="111" t="str">
        <f>A179 &amp; " " &amp;B179</f>
        <v>45623 1200H</v>
      </c>
      <c r="D179" s="112">
        <v>758.53</v>
      </c>
      <c r="E179" s="117">
        <v>49.66</v>
      </c>
      <c r="F179" s="254">
        <v>1102.8</v>
      </c>
      <c r="G179" s="255">
        <v>6.2</v>
      </c>
      <c r="H179" s="254">
        <v>73687.11</v>
      </c>
      <c r="I179" s="239">
        <v>887.69</v>
      </c>
      <c r="J179" s="239">
        <v>32950.519999999997</v>
      </c>
      <c r="K179" s="255">
        <v>101.9</v>
      </c>
      <c r="L179" s="254">
        <v>5331.54</v>
      </c>
      <c r="M179" s="239">
        <v>15.77</v>
      </c>
      <c r="N179" s="239">
        <v>32655.5</v>
      </c>
      <c r="O179" s="239">
        <v>28.7</v>
      </c>
      <c r="P179" s="239">
        <v>572.1</v>
      </c>
      <c r="Q179" s="239">
        <v>640.12</v>
      </c>
      <c r="R179" s="239">
        <v>9760.8700000000008</v>
      </c>
      <c r="S179" s="239">
        <v>9.0399999999999991</v>
      </c>
      <c r="T179" s="239">
        <v>35567</v>
      </c>
      <c r="U179" s="239">
        <v>69</v>
      </c>
      <c r="V179" s="239">
        <v>234.51</v>
      </c>
      <c r="W179" s="239">
        <v>0.15</v>
      </c>
      <c r="X179" s="239">
        <v>6192.3</v>
      </c>
      <c r="Y179" s="239">
        <v>0</v>
      </c>
      <c r="Z179" s="239">
        <v>54153</v>
      </c>
      <c r="AA179" s="255">
        <v>78</v>
      </c>
      <c r="AB179" s="239"/>
      <c r="AC179" s="256"/>
      <c r="AD179" s="239"/>
      <c r="AE179" s="256"/>
    </row>
    <row r="180" spans="1:31" ht="6.95" customHeight="1" x14ac:dyDescent="0.2">
      <c r="F180" s="257"/>
      <c r="G180" s="258"/>
      <c r="H180" s="257"/>
      <c r="I180" s="259"/>
      <c r="J180" s="259"/>
      <c r="K180" s="259"/>
      <c r="L180" s="257"/>
      <c r="M180" s="259"/>
      <c r="N180" s="259"/>
      <c r="O180" s="259"/>
      <c r="P180" s="259"/>
      <c r="Q180" s="259"/>
      <c r="R180" s="259"/>
      <c r="S180" s="259"/>
      <c r="T180" s="259"/>
      <c r="U180" s="259"/>
      <c r="V180" s="259"/>
      <c r="W180" s="259"/>
      <c r="X180" s="259"/>
      <c r="Y180" s="259"/>
      <c r="Z180" s="259"/>
      <c r="AA180" s="259"/>
      <c r="AB180" s="361"/>
      <c r="AC180" s="260"/>
      <c r="AD180" s="361"/>
      <c r="AE180" s="260"/>
    </row>
    <row r="181" spans="1:31" ht="15" x14ac:dyDescent="0.2">
      <c r="A181" s="103">
        <f>A178+1</f>
        <v>45624</v>
      </c>
      <c r="B181" s="103" t="s">
        <v>319</v>
      </c>
      <c r="C181" s="111" t="str">
        <f>A181 &amp; " " &amp;B181</f>
        <v>45624 0000H</v>
      </c>
      <c r="D181" s="112">
        <v>764.59</v>
      </c>
      <c r="E181" s="117">
        <v>49.66</v>
      </c>
      <c r="F181" s="254">
        <v>1102.8</v>
      </c>
      <c r="G181" s="255">
        <v>6.2</v>
      </c>
      <c r="H181" s="254">
        <v>73697.36</v>
      </c>
      <c r="I181" s="239">
        <v>887.69</v>
      </c>
      <c r="J181" s="239">
        <v>32950.519999999997</v>
      </c>
      <c r="K181" s="255">
        <v>101.9</v>
      </c>
      <c r="L181" s="254">
        <v>5337.28</v>
      </c>
      <c r="M181" s="239">
        <v>15.77</v>
      </c>
      <c r="N181" s="239">
        <v>32663.3</v>
      </c>
      <c r="O181" s="239">
        <v>28.7</v>
      </c>
      <c r="P181" s="239">
        <v>574.73</v>
      </c>
      <c r="Q181" s="239">
        <v>640.20000000000005</v>
      </c>
      <c r="R181" s="239">
        <v>9766.39</v>
      </c>
      <c r="S181" s="239">
        <v>9.0399999999999991</v>
      </c>
      <c r="T181" s="239">
        <v>35574</v>
      </c>
      <c r="U181" s="239">
        <v>69</v>
      </c>
      <c r="V181" s="239">
        <v>234.51</v>
      </c>
      <c r="W181" s="239">
        <v>0.15</v>
      </c>
      <c r="X181" s="239">
        <v>6199.71</v>
      </c>
      <c r="Y181" s="239">
        <v>0</v>
      </c>
      <c r="Z181" s="239">
        <v>54153</v>
      </c>
      <c r="AA181" s="255">
        <v>78</v>
      </c>
      <c r="AB181" s="239"/>
      <c r="AC181" s="256"/>
      <c r="AD181" s="239"/>
      <c r="AE181" s="256"/>
    </row>
    <row r="182" spans="1:31" ht="15" x14ac:dyDescent="0.2">
      <c r="A182" s="103">
        <f>A179+1</f>
        <v>45624</v>
      </c>
      <c r="B182" s="103" t="s">
        <v>147</v>
      </c>
      <c r="C182" s="111" t="str">
        <f>A182 &amp; " " &amp;B182</f>
        <v>45624 1200H</v>
      </c>
      <c r="D182" s="112">
        <v>769.2</v>
      </c>
      <c r="E182" s="117">
        <v>49.66</v>
      </c>
      <c r="F182" s="254">
        <v>1102.8</v>
      </c>
      <c r="G182" s="255">
        <v>6.2</v>
      </c>
      <c r="H182" s="254">
        <v>73702.649999999994</v>
      </c>
      <c r="I182" s="239">
        <v>887.91</v>
      </c>
      <c r="J182" s="239">
        <v>32950.519999999997</v>
      </c>
      <c r="K182" s="255">
        <v>101.9</v>
      </c>
      <c r="L182" s="254">
        <v>5343.04</v>
      </c>
      <c r="M182" s="239">
        <v>15.77</v>
      </c>
      <c r="N182" s="239">
        <v>32670.5</v>
      </c>
      <c r="O182" s="239">
        <v>28.7</v>
      </c>
      <c r="P182" s="239">
        <v>575.9</v>
      </c>
      <c r="Q182" s="239">
        <v>640.80999999999995</v>
      </c>
      <c r="R182" s="239">
        <v>9770.86</v>
      </c>
      <c r="S182" s="239">
        <v>9.0399999999999991</v>
      </c>
      <c r="T182" s="239">
        <v>35580</v>
      </c>
      <c r="U182" s="239">
        <v>69</v>
      </c>
      <c r="V182" s="239">
        <v>234.51</v>
      </c>
      <c r="W182" s="239">
        <v>0.15</v>
      </c>
      <c r="X182" s="239">
        <v>6205.9</v>
      </c>
      <c r="Y182" s="239">
        <v>0</v>
      </c>
      <c r="Z182" s="239">
        <v>54153</v>
      </c>
      <c r="AA182" s="255">
        <v>78</v>
      </c>
      <c r="AB182" s="239"/>
      <c r="AC182" s="256"/>
      <c r="AD182" s="239"/>
      <c r="AE182" s="256"/>
    </row>
    <row r="183" spans="1:31" ht="6.95" customHeight="1" x14ac:dyDescent="0.2">
      <c r="F183" s="257"/>
      <c r="G183" s="258"/>
      <c r="H183" s="257"/>
      <c r="I183" s="259"/>
      <c r="J183" s="259"/>
      <c r="K183" s="259"/>
      <c r="L183" s="257"/>
      <c r="M183" s="259"/>
      <c r="N183" s="259"/>
      <c r="O183" s="259"/>
      <c r="P183" s="259"/>
      <c r="Q183" s="259"/>
      <c r="R183" s="259"/>
      <c r="S183" s="259"/>
      <c r="T183" s="259"/>
      <c r="U183" s="259"/>
      <c r="V183" s="259"/>
      <c r="W183" s="259"/>
      <c r="X183" s="259"/>
      <c r="Y183" s="259"/>
      <c r="Z183" s="259"/>
      <c r="AA183" s="259"/>
      <c r="AB183" s="361"/>
      <c r="AC183" s="260"/>
      <c r="AD183" s="361"/>
      <c r="AE183" s="260"/>
    </row>
    <row r="184" spans="1:31" ht="15" x14ac:dyDescent="0.2">
      <c r="A184" s="103">
        <f>A181+1</f>
        <v>45625</v>
      </c>
      <c r="B184" s="103" t="s">
        <v>319</v>
      </c>
      <c r="C184" s="111" t="str">
        <f>A184 &amp; " " &amp;B184</f>
        <v>45625 0000H</v>
      </c>
      <c r="D184" s="112">
        <v>775.11</v>
      </c>
      <c r="E184" s="117">
        <v>49.66</v>
      </c>
      <c r="F184" s="254">
        <v>1102.8</v>
      </c>
      <c r="G184" s="255">
        <v>6.2</v>
      </c>
      <c r="H184" s="254">
        <v>73712.62</v>
      </c>
      <c r="I184" s="239">
        <v>887.91</v>
      </c>
      <c r="J184" s="239">
        <v>32950.519999999997</v>
      </c>
      <c r="K184" s="255">
        <v>101.9</v>
      </c>
      <c r="L184" s="254">
        <v>5348.8</v>
      </c>
      <c r="M184" s="239">
        <v>15.77</v>
      </c>
      <c r="N184" s="239">
        <v>32678.5</v>
      </c>
      <c r="O184" s="239">
        <v>28.7</v>
      </c>
      <c r="P184" s="239">
        <v>579.26</v>
      </c>
      <c r="Q184" s="239">
        <v>640.91</v>
      </c>
      <c r="R184" s="239">
        <v>9776.36</v>
      </c>
      <c r="S184" s="239">
        <v>9.0399999999999991</v>
      </c>
      <c r="T184" s="239">
        <v>35588</v>
      </c>
      <c r="U184" s="239">
        <v>69</v>
      </c>
      <c r="V184" s="239">
        <v>234.51</v>
      </c>
      <c r="W184" s="239">
        <v>0.15</v>
      </c>
      <c r="X184" s="239">
        <v>6213.24</v>
      </c>
      <c r="Y184" s="239">
        <v>0</v>
      </c>
      <c r="Z184" s="239">
        <v>54153</v>
      </c>
      <c r="AA184" s="255">
        <v>78</v>
      </c>
      <c r="AB184" s="239"/>
      <c r="AC184" s="256"/>
      <c r="AD184" s="239"/>
      <c r="AE184" s="256"/>
    </row>
    <row r="185" spans="1:31" ht="15" x14ac:dyDescent="0.2">
      <c r="A185" s="103">
        <f>A182+1</f>
        <v>45625</v>
      </c>
      <c r="B185" s="103" t="s">
        <v>147</v>
      </c>
      <c r="C185" s="111" t="str">
        <f>A185 &amp; " " &amp;B185</f>
        <v>45625 1200H</v>
      </c>
      <c r="D185" s="112">
        <v>779.21</v>
      </c>
      <c r="E185" s="117">
        <v>49.66</v>
      </c>
      <c r="F185" s="254">
        <v>1102.8</v>
      </c>
      <c r="G185" s="255">
        <v>6.2</v>
      </c>
      <c r="H185" s="254">
        <v>73717.94</v>
      </c>
      <c r="I185" s="239">
        <v>888.11</v>
      </c>
      <c r="J185" s="239">
        <v>32950.519999999997</v>
      </c>
      <c r="K185" s="255">
        <v>101.9</v>
      </c>
      <c r="L185" s="254">
        <v>5354.6</v>
      </c>
      <c r="M185" s="239">
        <v>15.77</v>
      </c>
      <c r="N185" s="239">
        <v>32685.8</v>
      </c>
      <c r="O185" s="239">
        <v>28.7</v>
      </c>
      <c r="P185" s="239">
        <v>580.15</v>
      </c>
      <c r="Q185" s="239">
        <v>641.41</v>
      </c>
      <c r="R185" s="239">
        <v>9780</v>
      </c>
      <c r="S185" s="239">
        <v>9.0399999999999991</v>
      </c>
      <c r="T185" s="239">
        <v>35594</v>
      </c>
      <c r="U185" s="239">
        <v>69</v>
      </c>
      <c r="V185" s="239">
        <v>234.89</v>
      </c>
      <c r="W185" s="239">
        <v>0.15</v>
      </c>
      <c r="X185" s="239">
        <v>6219.27</v>
      </c>
      <c r="Y185" s="239">
        <v>0</v>
      </c>
      <c r="Z185" s="239">
        <v>54153</v>
      </c>
      <c r="AA185" s="255">
        <v>78</v>
      </c>
      <c r="AB185" s="239"/>
      <c r="AC185" s="256"/>
      <c r="AD185" s="239"/>
      <c r="AE185" s="256"/>
    </row>
    <row r="186" spans="1:31" ht="6.95" customHeight="1" x14ac:dyDescent="0.2">
      <c r="F186" s="257"/>
      <c r="G186" s="258"/>
      <c r="H186" s="257"/>
      <c r="I186" s="259"/>
      <c r="J186" s="259"/>
      <c r="K186" s="259"/>
      <c r="L186" s="257"/>
      <c r="M186" s="259"/>
      <c r="N186" s="259"/>
      <c r="O186" s="259"/>
      <c r="P186" s="259"/>
      <c r="Q186" s="259"/>
      <c r="R186" s="259"/>
      <c r="S186" s="259"/>
      <c r="T186" s="259"/>
      <c r="U186" s="259"/>
      <c r="V186" s="259"/>
      <c r="W186" s="259"/>
      <c r="X186" s="259"/>
      <c r="Y186" s="259"/>
      <c r="Z186" s="259"/>
      <c r="AA186" s="259"/>
      <c r="AB186" s="361"/>
      <c r="AC186" s="260"/>
      <c r="AD186" s="361"/>
      <c r="AE186" s="260"/>
    </row>
    <row r="187" spans="1:31" ht="15" x14ac:dyDescent="0.2">
      <c r="A187" s="103">
        <f>A184+1</f>
        <v>45626</v>
      </c>
      <c r="B187" s="103" t="s">
        <v>319</v>
      </c>
      <c r="C187" s="111" t="str">
        <f>A187 &amp; " " &amp;B187</f>
        <v>45626 0000H</v>
      </c>
      <c r="D187" s="112">
        <v>781.94</v>
      </c>
      <c r="E187" s="117">
        <v>49.66</v>
      </c>
      <c r="F187" s="254">
        <v>1102.8</v>
      </c>
      <c r="G187" s="255">
        <v>6.2</v>
      </c>
      <c r="H187" s="254">
        <v>73723.92</v>
      </c>
      <c r="I187" s="239">
        <v>888.16</v>
      </c>
      <c r="J187" s="239">
        <v>32950.519999999997</v>
      </c>
      <c r="K187" s="255">
        <v>101.9</v>
      </c>
      <c r="L187" s="254">
        <v>5358.42</v>
      </c>
      <c r="M187" s="239">
        <v>15.77</v>
      </c>
      <c r="N187" s="239">
        <v>32690.7</v>
      </c>
      <c r="O187" s="239">
        <v>28.7</v>
      </c>
      <c r="P187" s="239">
        <v>581.66</v>
      </c>
      <c r="Q187" s="239">
        <v>641.42999999999995</v>
      </c>
      <c r="R187" s="239">
        <v>9783.85</v>
      </c>
      <c r="S187" s="239">
        <v>9.0399999999999991</v>
      </c>
      <c r="T187" s="239">
        <v>35602</v>
      </c>
      <c r="U187" s="239">
        <v>69</v>
      </c>
      <c r="V187" s="239">
        <v>234.89</v>
      </c>
      <c r="W187" s="239">
        <v>0.15</v>
      </c>
      <c r="X187" s="239">
        <v>6226.38</v>
      </c>
      <c r="Y187" s="239">
        <v>0</v>
      </c>
      <c r="Z187" s="239">
        <v>54153</v>
      </c>
      <c r="AA187" s="255">
        <v>78</v>
      </c>
      <c r="AB187" s="239"/>
      <c r="AC187" s="256"/>
      <c r="AD187" s="239"/>
      <c r="AE187" s="256"/>
    </row>
    <row r="188" spans="1:31" ht="15" x14ac:dyDescent="0.2">
      <c r="A188" s="103">
        <f>A185+1</f>
        <v>45626</v>
      </c>
      <c r="B188" s="103" t="s">
        <v>147</v>
      </c>
      <c r="C188" s="111" t="str">
        <f>A188 &amp; " " &amp;B188</f>
        <v>45626 1200H</v>
      </c>
      <c r="D188" s="112">
        <v>786.01</v>
      </c>
      <c r="E188" s="117">
        <v>49.66</v>
      </c>
      <c r="F188" s="254">
        <v>1102.8</v>
      </c>
      <c r="G188" s="255">
        <v>6.2</v>
      </c>
      <c r="H188" s="254">
        <v>73730.13</v>
      </c>
      <c r="I188" s="239">
        <v>888.36</v>
      </c>
      <c r="J188" s="239">
        <v>32950.519999999997</v>
      </c>
      <c r="K188" s="255">
        <v>101.9</v>
      </c>
      <c r="L188" s="254">
        <v>5364.24</v>
      </c>
      <c r="M188" s="239">
        <v>15.77</v>
      </c>
      <c r="N188" s="239">
        <v>32695.3</v>
      </c>
      <c r="O188" s="239">
        <v>28.7</v>
      </c>
      <c r="P188" s="239">
        <v>582.25</v>
      </c>
      <c r="Q188" s="239">
        <v>641.79</v>
      </c>
      <c r="R188" s="239">
        <v>9788.23</v>
      </c>
      <c r="S188" s="239">
        <v>9.0399999999999991</v>
      </c>
      <c r="T188" s="239">
        <v>35607.07</v>
      </c>
      <c r="U188" s="239">
        <v>69</v>
      </c>
      <c r="V188" s="239">
        <v>234.89</v>
      </c>
      <c r="W188" s="239">
        <v>0.15</v>
      </c>
      <c r="X188" s="239">
        <v>6231.14</v>
      </c>
      <c r="Y188" s="239">
        <v>0</v>
      </c>
      <c r="Z188" s="239">
        <v>54153</v>
      </c>
      <c r="AA188" s="255">
        <v>78</v>
      </c>
      <c r="AB188" s="239"/>
      <c r="AC188" s="256"/>
      <c r="AD188" s="239"/>
      <c r="AE188" s="256"/>
    </row>
    <row r="189" spans="1:31" x14ac:dyDescent="0.2">
      <c r="F189" s="257"/>
      <c r="G189" s="259"/>
      <c r="H189" s="257"/>
      <c r="I189" s="259"/>
      <c r="J189" s="259"/>
      <c r="K189" s="259"/>
      <c r="L189" s="257"/>
      <c r="M189" s="259"/>
      <c r="N189" s="259"/>
      <c r="O189" s="259"/>
      <c r="P189" s="259"/>
      <c r="Q189" s="259"/>
      <c r="R189" s="259"/>
      <c r="S189" s="259"/>
      <c r="T189" s="259"/>
      <c r="U189" s="259"/>
      <c r="V189" s="259"/>
      <c r="W189" s="259"/>
      <c r="X189" s="259"/>
      <c r="Y189" s="259"/>
      <c r="Z189" s="259"/>
      <c r="AA189" s="259"/>
      <c r="AB189" s="361"/>
      <c r="AC189" s="260"/>
      <c r="AD189" s="361"/>
      <c r="AE189" s="260"/>
    </row>
    <row r="190" spans="1:31" ht="15" x14ac:dyDescent="0.2">
      <c r="A190" s="103">
        <f>A187+1</f>
        <v>45627</v>
      </c>
      <c r="B190" s="103" t="s">
        <v>319</v>
      </c>
      <c r="C190" s="111" t="str">
        <f>A190 &amp; " " &amp;B190</f>
        <v>45627 0000H</v>
      </c>
      <c r="D190" s="112">
        <v>791.35</v>
      </c>
      <c r="E190" s="117">
        <v>49.66</v>
      </c>
      <c r="F190" s="254">
        <v>1102.8</v>
      </c>
      <c r="G190" s="255">
        <v>6.2</v>
      </c>
      <c r="H190" s="254">
        <v>73740.34</v>
      </c>
      <c r="I190" s="239">
        <v>888.36</v>
      </c>
      <c r="J190" s="239">
        <v>32950.519999999997</v>
      </c>
      <c r="K190" s="255">
        <v>101.9</v>
      </c>
      <c r="L190" s="254">
        <v>5369.98</v>
      </c>
      <c r="M190" s="239">
        <v>15.77</v>
      </c>
      <c r="N190" s="239">
        <v>32702.9</v>
      </c>
      <c r="O190" s="239">
        <v>28.7</v>
      </c>
      <c r="P190" s="239">
        <v>583.12</v>
      </c>
      <c r="Q190" s="239">
        <v>642.35</v>
      </c>
      <c r="R190" s="239">
        <v>9793.51</v>
      </c>
      <c r="S190" s="239">
        <v>9.0399999999999991</v>
      </c>
      <c r="T190" s="239">
        <v>35614</v>
      </c>
      <c r="U190" s="239">
        <v>69</v>
      </c>
      <c r="V190" s="239">
        <v>234.89</v>
      </c>
      <c r="W190" s="239">
        <v>0.15</v>
      </c>
      <c r="X190" s="239">
        <v>6237.57</v>
      </c>
      <c r="Y190" s="239">
        <v>0</v>
      </c>
      <c r="Z190" s="239">
        <v>54153</v>
      </c>
      <c r="AA190" s="255">
        <v>78</v>
      </c>
      <c r="AB190" s="239"/>
      <c r="AC190" s="256"/>
      <c r="AD190" s="239"/>
      <c r="AE190" s="256"/>
    </row>
    <row r="191" spans="1:31" ht="15" x14ac:dyDescent="0.2">
      <c r="A191" s="103">
        <f>A188+1</f>
        <v>45627</v>
      </c>
      <c r="B191" s="103" t="s">
        <v>147</v>
      </c>
      <c r="C191" s="111" t="str">
        <f>A191 &amp; " " &amp;B191</f>
        <v>45627 1200H</v>
      </c>
      <c r="D191" s="112">
        <v>794.64</v>
      </c>
      <c r="E191" s="117">
        <v>49.66</v>
      </c>
      <c r="F191" s="254">
        <v>1102.8</v>
      </c>
      <c r="G191" s="255">
        <v>6.2</v>
      </c>
      <c r="H191" s="254">
        <v>73748.17</v>
      </c>
      <c r="I191" s="239">
        <v>888.48</v>
      </c>
      <c r="J191" s="239">
        <v>32950.519999999997</v>
      </c>
      <c r="K191" s="255">
        <v>101.9</v>
      </c>
      <c r="L191" s="254">
        <v>5375.66</v>
      </c>
      <c r="M191" s="239">
        <v>15.77</v>
      </c>
      <c r="N191" s="239">
        <v>32708</v>
      </c>
      <c r="O191" s="239">
        <v>28.7</v>
      </c>
      <c r="P191" s="239">
        <v>583.15</v>
      </c>
      <c r="Q191" s="239">
        <v>643.54999999999995</v>
      </c>
      <c r="R191" s="239">
        <v>9797.85</v>
      </c>
      <c r="S191" s="239">
        <v>9.0399999999999991</v>
      </c>
      <c r="T191" s="239">
        <v>35620</v>
      </c>
      <c r="U191" s="239">
        <v>69</v>
      </c>
      <c r="V191" s="239">
        <v>237.93</v>
      </c>
      <c r="W191" s="239">
        <v>0.15</v>
      </c>
      <c r="X191" s="239">
        <v>6243.22</v>
      </c>
      <c r="Y191" s="239">
        <v>0</v>
      </c>
      <c r="Z191" s="239">
        <v>54153</v>
      </c>
      <c r="AA191" s="255">
        <v>78</v>
      </c>
      <c r="AB191" s="239"/>
      <c r="AC191" s="256"/>
      <c r="AD191" s="239"/>
      <c r="AE191" s="256"/>
    </row>
    <row r="192" spans="1:31" ht="6.95" customHeight="1" x14ac:dyDescent="0.2">
      <c r="F192" s="257"/>
      <c r="G192" s="258"/>
      <c r="H192" s="257"/>
      <c r="I192" s="259"/>
      <c r="J192" s="259"/>
      <c r="K192" s="259"/>
      <c r="L192" s="257"/>
      <c r="M192" s="259"/>
      <c r="N192" s="259"/>
      <c r="O192" s="259"/>
      <c r="P192" s="259"/>
      <c r="Q192" s="259"/>
      <c r="R192" s="259"/>
      <c r="S192" s="259"/>
      <c r="T192" s="259"/>
      <c r="U192" s="259"/>
      <c r="V192" s="259"/>
      <c r="W192" s="259"/>
      <c r="X192" s="259"/>
      <c r="Y192" s="259"/>
      <c r="Z192" s="259"/>
      <c r="AA192" s="259"/>
      <c r="AB192" s="361"/>
      <c r="AC192" s="260"/>
      <c r="AD192" s="361"/>
      <c r="AE192" s="260"/>
    </row>
    <row r="193" spans="1:31" ht="15" x14ac:dyDescent="0.2">
      <c r="A193" s="103">
        <f>A190+1</f>
        <v>45628</v>
      </c>
      <c r="B193" s="103" t="s">
        <v>319</v>
      </c>
      <c r="C193" s="111" t="str">
        <f>A193 &amp; " " &amp;B193</f>
        <v>45628 0000H</v>
      </c>
      <c r="D193" s="112">
        <v>799.54</v>
      </c>
      <c r="E193" s="117">
        <v>49.66</v>
      </c>
      <c r="F193" s="254">
        <v>1102.8</v>
      </c>
      <c r="G193" s="255">
        <v>6.2</v>
      </c>
      <c r="H193" s="254">
        <v>73756.850000000006</v>
      </c>
      <c r="I193" s="239">
        <v>888.52</v>
      </c>
      <c r="J193" s="239">
        <v>32950.519999999997</v>
      </c>
      <c r="K193" s="255">
        <v>101.9</v>
      </c>
      <c r="L193" s="254">
        <v>5381.05</v>
      </c>
      <c r="M193" s="239">
        <v>15.77</v>
      </c>
      <c r="N193" s="239">
        <v>32714.799999999999</v>
      </c>
      <c r="O193" s="239">
        <v>28.7</v>
      </c>
      <c r="P193" s="239">
        <v>583.13</v>
      </c>
      <c r="Q193" s="239">
        <v>645.27</v>
      </c>
      <c r="R193" s="239">
        <v>9802.7000000000007</v>
      </c>
      <c r="S193" s="239">
        <v>9.0399999999999991</v>
      </c>
      <c r="T193" s="239">
        <v>35626</v>
      </c>
      <c r="U193" s="239">
        <v>69</v>
      </c>
      <c r="V193" s="239">
        <v>240.95</v>
      </c>
      <c r="W193" s="239">
        <v>0.15</v>
      </c>
      <c r="X193" s="239">
        <v>6250.07</v>
      </c>
      <c r="Y193" s="239">
        <v>0</v>
      </c>
      <c r="Z193" s="239">
        <v>54153</v>
      </c>
      <c r="AA193" s="255">
        <v>78</v>
      </c>
      <c r="AB193" s="239"/>
      <c r="AC193" s="256"/>
      <c r="AD193" s="239"/>
      <c r="AE193" s="256"/>
    </row>
    <row r="194" spans="1:31" ht="15" x14ac:dyDescent="0.2">
      <c r="A194" s="103">
        <f>A191+1</f>
        <v>45628</v>
      </c>
      <c r="B194" s="103" t="s">
        <v>147</v>
      </c>
      <c r="C194" s="111" t="str">
        <f>A194 &amp; " " &amp;B194</f>
        <v>45628 1200H</v>
      </c>
      <c r="D194" s="112">
        <v>803.38</v>
      </c>
      <c r="E194" s="117">
        <v>49.66</v>
      </c>
      <c r="F194" s="254">
        <v>1102.8</v>
      </c>
      <c r="G194" s="255">
        <v>6.2</v>
      </c>
      <c r="H194" s="254">
        <v>73760.39</v>
      </c>
      <c r="I194" s="239">
        <v>888.8</v>
      </c>
      <c r="J194" s="239">
        <v>32950.54</v>
      </c>
      <c r="K194" s="255">
        <v>102.51</v>
      </c>
      <c r="L194" s="254">
        <v>5386.66</v>
      </c>
      <c r="M194" s="239">
        <v>15.77</v>
      </c>
      <c r="N194" s="239">
        <v>32721.8</v>
      </c>
      <c r="O194" s="239">
        <v>28.7</v>
      </c>
      <c r="P194" s="239">
        <v>583.46</v>
      </c>
      <c r="Q194" s="239">
        <v>646.11</v>
      </c>
      <c r="R194" s="239">
        <v>9806.76</v>
      </c>
      <c r="S194" s="239">
        <v>9.0399999999999991</v>
      </c>
      <c r="T194" s="239">
        <v>35632</v>
      </c>
      <c r="U194" s="239">
        <v>69</v>
      </c>
      <c r="V194" s="239">
        <v>240.95</v>
      </c>
      <c r="W194" s="239">
        <v>0.15</v>
      </c>
      <c r="X194" s="239">
        <v>6256.06</v>
      </c>
      <c r="Y194" s="239">
        <v>0</v>
      </c>
      <c r="Z194" s="239">
        <v>54153</v>
      </c>
      <c r="AA194" s="255">
        <v>78</v>
      </c>
      <c r="AB194" s="239"/>
      <c r="AC194" s="256"/>
      <c r="AD194" s="239"/>
      <c r="AE194" s="256"/>
    </row>
    <row r="195" spans="1:31" ht="6.95" customHeight="1" x14ac:dyDescent="0.2">
      <c r="F195" s="257"/>
      <c r="G195" s="258"/>
      <c r="H195" s="257"/>
      <c r="I195" s="259"/>
      <c r="J195" s="259"/>
      <c r="K195" s="259"/>
      <c r="L195" s="257"/>
      <c r="M195" s="259"/>
      <c r="N195" s="259"/>
      <c r="O195" s="259"/>
      <c r="P195" s="259"/>
      <c r="Q195" s="259"/>
      <c r="R195" s="259"/>
      <c r="S195" s="259"/>
      <c r="T195" s="259"/>
      <c r="U195" s="259"/>
      <c r="V195" s="259"/>
      <c r="W195" s="259"/>
      <c r="X195" s="259"/>
      <c r="Y195" s="259"/>
      <c r="Z195" s="259"/>
      <c r="AA195" s="259"/>
      <c r="AB195" s="361"/>
      <c r="AC195" s="260"/>
      <c r="AD195" s="361"/>
      <c r="AE195" s="260"/>
    </row>
    <row r="196" spans="1:31" ht="15" x14ac:dyDescent="0.2">
      <c r="A196" s="103">
        <f>A193+1</f>
        <v>45629</v>
      </c>
      <c r="B196" s="103" t="s">
        <v>319</v>
      </c>
      <c r="C196" s="111" t="str">
        <f>A196 &amp; " " &amp;B196</f>
        <v>45629 0000H</v>
      </c>
      <c r="D196" s="112">
        <v>809.47</v>
      </c>
      <c r="E196" s="117">
        <v>49.66</v>
      </c>
      <c r="F196" s="254">
        <v>1102.8</v>
      </c>
      <c r="G196" s="255">
        <v>6.2</v>
      </c>
      <c r="H196" s="254">
        <v>73767.69</v>
      </c>
      <c r="I196" s="239">
        <v>888.8</v>
      </c>
      <c r="J196" s="239">
        <v>32951.730000000003</v>
      </c>
      <c r="K196" s="255">
        <v>102.56</v>
      </c>
      <c r="L196" s="254">
        <v>5391.77</v>
      </c>
      <c r="M196" s="239">
        <v>15.77</v>
      </c>
      <c r="N196" s="239">
        <v>32729.5</v>
      </c>
      <c r="O196" s="239">
        <v>28.7</v>
      </c>
      <c r="P196" s="239">
        <v>585.23</v>
      </c>
      <c r="Q196" s="239">
        <v>646.65</v>
      </c>
      <c r="R196" s="239">
        <v>9811.68</v>
      </c>
      <c r="S196" s="239">
        <v>9.0399999999999991</v>
      </c>
      <c r="T196" s="239">
        <v>35640</v>
      </c>
      <c r="U196" s="239">
        <v>69</v>
      </c>
      <c r="V196" s="239">
        <v>241.3</v>
      </c>
      <c r="W196" s="239">
        <v>0.15</v>
      </c>
      <c r="X196" s="239">
        <v>6263.6</v>
      </c>
      <c r="Y196" s="239">
        <v>0</v>
      </c>
      <c r="Z196" s="239">
        <v>54154</v>
      </c>
      <c r="AA196" s="255">
        <v>79</v>
      </c>
      <c r="AB196" s="239"/>
      <c r="AC196" s="256"/>
      <c r="AD196" s="239"/>
      <c r="AE196" s="256"/>
    </row>
    <row r="197" spans="1:31" ht="15" x14ac:dyDescent="0.2">
      <c r="A197" s="103">
        <f>A194+1</f>
        <v>45629</v>
      </c>
      <c r="B197" s="103" t="s">
        <v>147</v>
      </c>
      <c r="C197" s="111" t="str">
        <f>A197 &amp; " " &amp;B197</f>
        <v>45629 1200H</v>
      </c>
      <c r="D197" s="112"/>
      <c r="E197" s="117"/>
      <c r="F197" s="254">
        <v>1102.8</v>
      </c>
      <c r="G197" s="255">
        <v>6.2</v>
      </c>
      <c r="H197" s="254">
        <v>73771.25</v>
      </c>
      <c r="I197" s="239">
        <v>889.01</v>
      </c>
      <c r="J197" s="239">
        <v>32954.67</v>
      </c>
      <c r="K197" s="255">
        <v>102.59</v>
      </c>
      <c r="L197" s="254">
        <v>5396.93</v>
      </c>
      <c r="M197" s="239">
        <v>15.77</v>
      </c>
      <c r="N197" s="239">
        <v>32733.599999999999</v>
      </c>
      <c r="O197" s="239">
        <v>28.7</v>
      </c>
      <c r="P197" s="239">
        <v>585.44000000000005</v>
      </c>
      <c r="Q197" s="239">
        <v>647.47</v>
      </c>
      <c r="R197" s="239">
        <v>9815.25</v>
      </c>
      <c r="S197" s="239">
        <v>9.0399999999999991</v>
      </c>
      <c r="T197" s="239">
        <v>35647</v>
      </c>
      <c r="U197" s="239">
        <v>69</v>
      </c>
      <c r="V197" s="239">
        <v>241.3</v>
      </c>
      <c r="W197" s="239">
        <v>0.15</v>
      </c>
      <c r="X197" s="261">
        <v>6268.97</v>
      </c>
      <c r="Y197" s="239">
        <v>0</v>
      </c>
      <c r="Z197" s="239">
        <v>54154</v>
      </c>
      <c r="AA197" s="255">
        <v>79</v>
      </c>
      <c r="AB197" s="239"/>
      <c r="AC197" s="256"/>
      <c r="AD197" s="239"/>
      <c r="AE197" s="256"/>
    </row>
    <row r="198" spans="1:31" ht="6.95" customHeight="1" x14ac:dyDescent="0.2">
      <c r="F198" s="257"/>
      <c r="G198" s="258"/>
      <c r="H198" s="257"/>
      <c r="I198" s="259"/>
      <c r="J198" s="259"/>
      <c r="K198" s="259"/>
      <c r="L198" s="257"/>
      <c r="M198" s="259"/>
      <c r="N198" s="259"/>
      <c r="O198" s="259"/>
      <c r="P198" s="259"/>
      <c r="Q198" s="259"/>
      <c r="R198" s="259"/>
      <c r="S198" s="259"/>
      <c r="T198" s="259"/>
      <c r="U198" s="259"/>
      <c r="V198" s="259"/>
      <c r="W198" s="259"/>
      <c r="X198" s="259"/>
      <c r="Y198" s="259"/>
      <c r="Z198" s="259"/>
      <c r="AA198" s="259"/>
      <c r="AB198" s="361"/>
      <c r="AC198" s="260"/>
      <c r="AD198" s="361"/>
      <c r="AE198" s="260"/>
    </row>
    <row r="199" spans="1:31" ht="15" x14ac:dyDescent="0.2">
      <c r="A199" s="103">
        <f>A196+1</f>
        <v>45630</v>
      </c>
      <c r="B199" s="103" t="s">
        <v>319</v>
      </c>
      <c r="C199" s="111" t="str">
        <f>A199 &amp; " " &amp;B199</f>
        <v>45630 0000H</v>
      </c>
      <c r="D199" s="112">
        <v>812.68</v>
      </c>
      <c r="E199" s="117">
        <v>49.67</v>
      </c>
      <c r="F199" s="254">
        <v>1107.8900000000001</v>
      </c>
      <c r="G199" s="255">
        <v>6.2</v>
      </c>
      <c r="H199" s="254">
        <v>73780.42</v>
      </c>
      <c r="I199" s="239">
        <v>889.03</v>
      </c>
      <c r="J199" s="239">
        <v>32958.019999999997</v>
      </c>
      <c r="K199" s="255">
        <v>102.59</v>
      </c>
      <c r="L199" s="254">
        <v>5402.49</v>
      </c>
      <c r="M199" s="239">
        <v>15.77</v>
      </c>
      <c r="N199" s="239">
        <v>32741.1</v>
      </c>
      <c r="O199" s="239">
        <v>28.7</v>
      </c>
      <c r="P199" s="239">
        <v>588.55999999999995</v>
      </c>
      <c r="Q199" s="239">
        <v>647.53</v>
      </c>
      <c r="R199" s="239">
        <v>9819.7099999999991</v>
      </c>
      <c r="S199" s="239">
        <v>9.0399999999999991</v>
      </c>
      <c r="T199" s="239">
        <v>35655</v>
      </c>
      <c r="U199" s="239">
        <v>69</v>
      </c>
      <c r="V199" s="239">
        <v>241.3</v>
      </c>
      <c r="W199" s="239">
        <v>0.15</v>
      </c>
      <c r="X199" s="239">
        <v>6276.68</v>
      </c>
      <c r="Y199" s="239">
        <v>0</v>
      </c>
      <c r="Z199" s="239">
        <v>54154</v>
      </c>
      <c r="AA199" s="255">
        <v>79</v>
      </c>
      <c r="AB199" s="239"/>
      <c r="AC199" s="256"/>
      <c r="AD199" s="239"/>
      <c r="AE199" s="256"/>
    </row>
    <row r="200" spans="1:31" ht="15" x14ac:dyDescent="0.2">
      <c r="A200" s="103">
        <f>A197+1</f>
        <v>45630</v>
      </c>
      <c r="B200" s="103" t="s">
        <v>147</v>
      </c>
      <c r="C200" s="111" t="str">
        <f>A200 &amp; " " &amp;B200</f>
        <v>45630 1200H</v>
      </c>
      <c r="D200" s="112">
        <v>815.52</v>
      </c>
      <c r="E200" s="117">
        <v>49.67</v>
      </c>
      <c r="F200" s="254">
        <v>1108.67</v>
      </c>
      <c r="G200" s="255">
        <v>6.2</v>
      </c>
      <c r="H200" s="254">
        <v>73787.77</v>
      </c>
      <c r="I200" s="239">
        <v>889.13</v>
      </c>
      <c r="J200" s="239">
        <v>32960.32</v>
      </c>
      <c r="K200" s="255">
        <v>102.63</v>
      </c>
      <c r="L200" s="254">
        <v>5408.28</v>
      </c>
      <c r="M200" s="239">
        <v>15.77</v>
      </c>
      <c r="N200" s="239">
        <v>32748.1</v>
      </c>
      <c r="O200" s="239">
        <v>28.7</v>
      </c>
      <c r="P200" s="239">
        <v>589.34</v>
      </c>
      <c r="Q200" s="239">
        <v>648.16999999999996</v>
      </c>
      <c r="R200" s="239">
        <v>9823.82</v>
      </c>
      <c r="S200" s="239">
        <v>9.0399999999999991</v>
      </c>
      <c r="T200" s="239">
        <v>35662</v>
      </c>
      <c r="U200" s="239">
        <v>69</v>
      </c>
      <c r="V200" s="239">
        <v>241.3</v>
      </c>
      <c r="W200" s="239">
        <v>0.15</v>
      </c>
      <c r="X200" s="239">
        <v>6283.05</v>
      </c>
      <c r="Y200" s="239">
        <v>0</v>
      </c>
      <c r="Z200" s="239">
        <v>54154</v>
      </c>
      <c r="AA200" s="255">
        <v>79</v>
      </c>
      <c r="AB200" s="239"/>
      <c r="AC200" s="256"/>
      <c r="AD200" s="239"/>
      <c r="AE200" s="256"/>
    </row>
    <row r="201" spans="1:31" ht="6.95" customHeight="1" x14ac:dyDescent="0.2">
      <c r="F201" s="257"/>
      <c r="G201" s="258"/>
      <c r="H201" s="257"/>
      <c r="I201" s="259"/>
      <c r="J201" s="259"/>
      <c r="K201" s="259"/>
      <c r="L201" s="257"/>
      <c r="M201" s="259"/>
      <c r="N201" s="259"/>
      <c r="O201" s="259"/>
      <c r="P201" s="259"/>
      <c r="Q201" s="259"/>
      <c r="R201" s="259"/>
      <c r="S201" s="259"/>
      <c r="T201" s="259"/>
      <c r="U201" s="259"/>
      <c r="V201" s="259"/>
      <c r="W201" s="259"/>
      <c r="X201" s="259"/>
      <c r="Y201" s="259"/>
      <c r="Z201" s="259"/>
      <c r="AA201" s="259"/>
      <c r="AB201" s="361"/>
      <c r="AC201" s="260"/>
      <c r="AD201" s="361"/>
      <c r="AE201" s="260"/>
    </row>
    <row r="202" spans="1:31" ht="15" x14ac:dyDescent="0.2">
      <c r="A202" s="103">
        <f>A199+1</f>
        <v>45631</v>
      </c>
      <c r="B202" s="103" t="s">
        <v>319</v>
      </c>
      <c r="C202" s="111" t="str">
        <f>A202 &amp; " " &amp;B202</f>
        <v>45631 0000H</v>
      </c>
      <c r="D202" s="112">
        <v>821.35</v>
      </c>
      <c r="E202" s="117">
        <v>49.67</v>
      </c>
      <c r="F202" s="254">
        <v>1108.67</v>
      </c>
      <c r="G202" s="255">
        <v>6.2</v>
      </c>
      <c r="H202" s="254">
        <v>73788.759999999995</v>
      </c>
      <c r="I202" s="239">
        <v>889.61</v>
      </c>
      <c r="J202" s="239">
        <v>32963.919999999998</v>
      </c>
      <c r="K202" s="255">
        <v>102.63</v>
      </c>
      <c r="L202" s="254">
        <v>5414.06</v>
      </c>
      <c r="M202" s="239">
        <v>15.77</v>
      </c>
      <c r="N202" s="239">
        <v>32755.5</v>
      </c>
      <c r="O202" s="239">
        <v>28.7</v>
      </c>
      <c r="P202" s="239">
        <v>591.99</v>
      </c>
      <c r="Q202" s="239">
        <v>648.27</v>
      </c>
      <c r="R202" s="239">
        <v>9829.02</v>
      </c>
      <c r="S202" s="239">
        <v>9.0399999999999991</v>
      </c>
      <c r="T202" s="239">
        <v>35670</v>
      </c>
      <c r="U202" s="239">
        <v>69</v>
      </c>
      <c r="V202" s="239">
        <v>241.3</v>
      </c>
      <c r="W202" s="239">
        <v>0.15</v>
      </c>
      <c r="X202" s="239">
        <v>6290.65</v>
      </c>
      <c r="Y202" s="239">
        <v>0</v>
      </c>
      <c r="Z202" s="239">
        <v>54154</v>
      </c>
      <c r="AA202" s="255">
        <v>79</v>
      </c>
      <c r="AB202" s="239"/>
      <c r="AC202" s="256"/>
      <c r="AD202" s="239"/>
      <c r="AE202" s="256"/>
    </row>
    <row r="203" spans="1:31" ht="15" x14ac:dyDescent="0.2">
      <c r="A203" s="103">
        <f>A200+1</f>
        <v>45631</v>
      </c>
      <c r="B203" s="103" t="s">
        <v>147</v>
      </c>
      <c r="C203" s="111" t="str">
        <f>A203 &amp; " " &amp;B203</f>
        <v>45631 1200H</v>
      </c>
      <c r="D203" s="112">
        <v>825.17</v>
      </c>
      <c r="E203" s="117">
        <v>49.67</v>
      </c>
      <c r="F203" s="254">
        <v>1108.67</v>
      </c>
      <c r="G203" s="255">
        <v>6.2</v>
      </c>
      <c r="H203" s="254">
        <v>73792.850000000006</v>
      </c>
      <c r="I203" s="239">
        <v>889.82</v>
      </c>
      <c r="J203" s="239">
        <v>32967.54</v>
      </c>
      <c r="K203" s="255">
        <v>102.63</v>
      </c>
      <c r="L203" s="254">
        <v>5419.7</v>
      </c>
      <c r="M203" s="239">
        <v>15.77</v>
      </c>
      <c r="N203" s="239">
        <v>32762.7</v>
      </c>
      <c r="O203" s="239">
        <v>28.7</v>
      </c>
      <c r="P203" s="239">
        <v>592.28</v>
      </c>
      <c r="Q203" s="239">
        <v>649.09</v>
      </c>
      <c r="R203" s="239">
        <v>9833.2000000000007</v>
      </c>
      <c r="S203" s="239">
        <v>9.0399999999999991</v>
      </c>
      <c r="T203" s="239">
        <v>35677</v>
      </c>
      <c r="U203" s="239">
        <v>69</v>
      </c>
      <c r="V203" s="239">
        <v>241.3</v>
      </c>
      <c r="W203" s="239">
        <v>0.15</v>
      </c>
      <c r="X203" s="239">
        <v>6297</v>
      </c>
      <c r="Y203" s="239">
        <v>0</v>
      </c>
      <c r="Z203" s="239">
        <v>54154</v>
      </c>
      <c r="AA203" s="255">
        <v>79</v>
      </c>
      <c r="AB203" s="239"/>
      <c r="AC203" s="256"/>
      <c r="AD203" s="239"/>
      <c r="AE203" s="256"/>
    </row>
    <row r="204" spans="1:31" ht="6.95" customHeight="1" x14ac:dyDescent="0.2">
      <c r="F204" s="257"/>
      <c r="G204" s="258"/>
      <c r="H204" s="257"/>
      <c r="I204" s="259"/>
      <c r="J204" s="259"/>
      <c r="K204" s="259"/>
      <c r="L204" s="257"/>
      <c r="M204" s="259"/>
      <c r="N204" s="259"/>
      <c r="O204" s="259"/>
      <c r="P204" s="259"/>
      <c r="Q204" s="259"/>
      <c r="R204" s="259"/>
      <c r="S204" s="259"/>
      <c r="T204" s="259"/>
      <c r="U204" s="259"/>
      <c r="V204" s="259"/>
      <c r="W204" s="259"/>
      <c r="X204" s="259"/>
      <c r="Y204" s="259"/>
      <c r="Z204" s="259"/>
      <c r="AA204" s="259"/>
      <c r="AB204" s="361"/>
      <c r="AC204" s="260"/>
      <c r="AD204" s="361"/>
      <c r="AE204" s="260"/>
    </row>
    <row r="205" spans="1:31" ht="15" x14ac:dyDescent="0.2">
      <c r="A205" s="103">
        <f>A202+1</f>
        <v>45632</v>
      </c>
      <c r="B205" s="103" t="s">
        <v>319</v>
      </c>
      <c r="C205" s="111" t="str">
        <f>A205 &amp; " " &amp;B205</f>
        <v>45632 0000H</v>
      </c>
      <c r="D205" s="112">
        <v>831.04</v>
      </c>
      <c r="E205" s="117">
        <v>49.67</v>
      </c>
      <c r="F205" s="254">
        <v>1108.67</v>
      </c>
      <c r="G205" s="255">
        <v>6.2</v>
      </c>
      <c r="H205" s="254">
        <v>73803.25</v>
      </c>
      <c r="I205" s="239">
        <v>889.82</v>
      </c>
      <c r="J205" s="239">
        <v>32971.040000000001</v>
      </c>
      <c r="K205" s="255">
        <v>102.63</v>
      </c>
      <c r="L205" s="254">
        <v>5425.44</v>
      </c>
      <c r="M205" s="239">
        <v>15.77</v>
      </c>
      <c r="N205" s="239">
        <v>32770</v>
      </c>
      <c r="O205" s="239">
        <v>28.7</v>
      </c>
      <c r="P205" s="239">
        <v>592.57000000000005</v>
      </c>
      <c r="Q205" s="239">
        <v>649.91999999999996</v>
      </c>
      <c r="R205" s="239">
        <v>9838.64</v>
      </c>
      <c r="S205" s="239">
        <v>9.0399999999999991</v>
      </c>
      <c r="T205" s="239">
        <v>35684</v>
      </c>
      <c r="U205" s="239">
        <v>69</v>
      </c>
      <c r="V205" s="239">
        <v>241.3</v>
      </c>
      <c r="W205" s="239">
        <v>0.15</v>
      </c>
      <c r="X205" s="239">
        <v>6304.07</v>
      </c>
      <c r="Y205" s="239">
        <v>0</v>
      </c>
      <c r="Z205" s="239">
        <v>54154</v>
      </c>
      <c r="AA205" s="255">
        <v>79</v>
      </c>
      <c r="AB205" s="239"/>
      <c r="AC205" s="256"/>
      <c r="AD205" s="239"/>
      <c r="AE205" s="256"/>
    </row>
    <row r="206" spans="1:31" ht="15" x14ac:dyDescent="0.2">
      <c r="A206" s="103">
        <f>A203+1</f>
        <v>45632</v>
      </c>
      <c r="B206" s="103" t="s">
        <v>147</v>
      </c>
      <c r="C206" s="111" t="str">
        <f>A206 &amp; " " &amp;B206</f>
        <v>45632 1200H</v>
      </c>
      <c r="D206" s="112">
        <v>835.24</v>
      </c>
      <c r="E206" s="117">
        <v>49.67</v>
      </c>
      <c r="F206" s="254">
        <v>1108.67</v>
      </c>
      <c r="G206" s="255">
        <v>6.2</v>
      </c>
      <c r="H206" s="254">
        <v>73813.53</v>
      </c>
      <c r="I206" s="239">
        <v>889.82</v>
      </c>
      <c r="J206" s="239">
        <v>32972.129999999997</v>
      </c>
      <c r="K206" s="255">
        <v>102.69</v>
      </c>
      <c r="L206" s="254">
        <v>5430.99</v>
      </c>
      <c r="M206" s="239">
        <v>15.77</v>
      </c>
      <c r="N206" s="239">
        <v>32775.199999999997</v>
      </c>
      <c r="O206" s="239">
        <v>28.7</v>
      </c>
      <c r="P206" s="239">
        <v>592.70000000000005</v>
      </c>
      <c r="Q206" s="239">
        <v>651.07000000000005</v>
      </c>
      <c r="R206" s="239">
        <v>9842.9</v>
      </c>
      <c r="S206" s="239">
        <v>9.0399999999999991</v>
      </c>
      <c r="T206" s="239">
        <v>35691</v>
      </c>
      <c r="U206" s="239">
        <v>69</v>
      </c>
      <c r="V206" s="239">
        <v>241.3</v>
      </c>
      <c r="W206" s="239">
        <v>0.15</v>
      </c>
      <c r="X206" s="239">
        <v>6310.5</v>
      </c>
      <c r="Y206" s="239">
        <v>0</v>
      </c>
      <c r="Z206" s="239">
        <v>54154</v>
      </c>
      <c r="AA206" s="255">
        <v>79</v>
      </c>
      <c r="AB206" s="239"/>
      <c r="AC206" s="256"/>
      <c r="AD206" s="239"/>
      <c r="AE206" s="256"/>
    </row>
    <row r="207" spans="1:31" ht="6.95" customHeight="1" x14ac:dyDescent="0.2">
      <c r="F207" s="257"/>
      <c r="G207" s="258"/>
      <c r="H207" s="257"/>
      <c r="I207" s="259"/>
      <c r="J207" s="259"/>
      <c r="K207" s="259"/>
      <c r="L207" s="257"/>
      <c r="M207" s="259"/>
      <c r="N207" s="259"/>
      <c r="O207" s="259"/>
      <c r="P207" s="259"/>
      <c r="Q207" s="259"/>
      <c r="R207" s="259"/>
      <c r="S207" s="259"/>
      <c r="T207" s="259"/>
      <c r="U207" s="259"/>
      <c r="V207" s="259"/>
      <c r="W207" s="259"/>
      <c r="X207" s="259"/>
      <c r="Y207" s="259"/>
      <c r="Z207" s="259"/>
      <c r="AA207" s="259"/>
      <c r="AB207" s="361"/>
      <c r="AC207" s="260"/>
      <c r="AD207" s="361"/>
      <c r="AE207" s="260"/>
    </row>
    <row r="208" spans="1:31" ht="15" x14ac:dyDescent="0.2">
      <c r="A208" s="103">
        <f>A205+1</f>
        <v>45633</v>
      </c>
      <c r="B208" s="103" t="s">
        <v>319</v>
      </c>
      <c r="C208" s="111" t="str">
        <f>A208 &amp; " " &amp;B208</f>
        <v>45633 0000H</v>
      </c>
      <c r="D208" s="112">
        <v>841.88</v>
      </c>
      <c r="E208" s="117">
        <v>49.67</v>
      </c>
      <c r="F208" s="254">
        <v>1108.67</v>
      </c>
      <c r="G208" s="255">
        <v>6.2</v>
      </c>
      <c r="H208" s="254">
        <v>73822.55</v>
      </c>
      <c r="I208" s="239">
        <v>889.86</v>
      </c>
      <c r="J208" s="239">
        <v>32974.9</v>
      </c>
      <c r="K208" s="255">
        <v>102.71</v>
      </c>
      <c r="L208" s="254">
        <v>5436.65</v>
      </c>
      <c r="M208" s="239">
        <v>15.77</v>
      </c>
      <c r="N208" s="239">
        <v>32781.4</v>
      </c>
      <c r="O208" s="239">
        <v>28.7</v>
      </c>
      <c r="P208" s="239">
        <v>593.04999999999995</v>
      </c>
      <c r="Q208" s="239">
        <v>651.94000000000005</v>
      </c>
      <c r="R208" s="239">
        <v>9847.9699999999993</v>
      </c>
      <c r="S208" s="239">
        <v>9.0399999999999991</v>
      </c>
      <c r="T208" s="239">
        <v>35699</v>
      </c>
      <c r="U208" s="239">
        <v>69</v>
      </c>
      <c r="V208" s="239">
        <v>241.3</v>
      </c>
      <c r="W208" s="239">
        <v>0.15</v>
      </c>
      <c r="X208" s="239">
        <v>6318.06</v>
      </c>
      <c r="Y208" s="239">
        <v>0</v>
      </c>
      <c r="Z208" s="239">
        <v>54154</v>
      </c>
      <c r="AA208" s="255">
        <v>79</v>
      </c>
      <c r="AB208" s="239"/>
      <c r="AC208" s="256"/>
      <c r="AD208" s="239"/>
      <c r="AE208" s="256"/>
    </row>
    <row r="209" spans="1:31" ht="15" x14ac:dyDescent="0.2">
      <c r="A209" s="103">
        <f>A206+1</f>
        <v>45633</v>
      </c>
      <c r="B209" s="103" t="s">
        <v>147</v>
      </c>
      <c r="C209" s="111" t="str">
        <f>A209 &amp; " " &amp;B209</f>
        <v>45633 1200H</v>
      </c>
      <c r="D209" s="112">
        <v>848.48</v>
      </c>
      <c r="E209" s="117">
        <v>49.67</v>
      </c>
      <c r="F209" s="254">
        <v>1108.67</v>
      </c>
      <c r="G209" s="255">
        <v>6.2</v>
      </c>
      <c r="H209" s="254">
        <v>73822.55</v>
      </c>
      <c r="I209" s="239">
        <v>889.86</v>
      </c>
      <c r="J209" s="239">
        <v>32975.61</v>
      </c>
      <c r="K209" s="255">
        <v>102.75</v>
      </c>
      <c r="L209" s="254">
        <v>5439.65</v>
      </c>
      <c r="M209" s="239">
        <v>15.77</v>
      </c>
      <c r="N209" s="239">
        <v>32781.4</v>
      </c>
      <c r="O209" s="239">
        <v>28.7</v>
      </c>
      <c r="P209" s="239">
        <v>593.62</v>
      </c>
      <c r="Q209" s="239">
        <v>652.6</v>
      </c>
      <c r="R209" s="239">
        <v>9851.7000000000007</v>
      </c>
      <c r="S209" s="239">
        <v>9.0399999999999991</v>
      </c>
      <c r="T209" s="239">
        <v>35706</v>
      </c>
      <c r="U209" s="239">
        <v>69</v>
      </c>
      <c r="V209" s="239">
        <v>244.16</v>
      </c>
      <c r="W209" s="239">
        <v>0.18</v>
      </c>
      <c r="X209" s="239">
        <v>6324.4</v>
      </c>
      <c r="Y209" s="239">
        <v>0</v>
      </c>
      <c r="Z209" s="239">
        <v>54155</v>
      </c>
      <c r="AA209" s="255">
        <v>79</v>
      </c>
      <c r="AB209" s="239"/>
      <c r="AC209" s="256"/>
      <c r="AD209" s="239"/>
      <c r="AE209" s="256"/>
    </row>
    <row r="210" spans="1:31" ht="6.95" customHeight="1" x14ac:dyDescent="0.2">
      <c r="F210" s="257"/>
      <c r="G210" s="258"/>
      <c r="H210" s="257"/>
      <c r="I210" s="259"/>
      <c r="J210" s="259"/>
      <c r="K210" s="259"/>
      <c r="L210" s="257"/>
      <c r="M210" s="259"/>
      <c r="N210" s="259"/>
      <c r="O210" s="259"/>
      <c r="P210" s="259"/>
      <c r="Q210" s="259"/>
      <c r="R210" s="259"/>
      <c r="S210" s="259"/>
      <c r="T210" s="259"/>
      <c r="U210" s="259"/>
      <c r="V210" s="259"/>
      <c r="W210" s="259"/>
      <c r="X210" s="259"/>
      <c r="Y210" s="259"/>
      <c r="Z210" s="259"/>
      <c r="AA210" s="259"/>
      <c r="AB210" s="361"/>
      <c r="AC210" s="260"/>
      <c r="AD210" s="361"/>
      <c r="AE210" s="260"/>
    </row>
    <row r="211" spans="1:31" ht="15" x14ac:dyDescent="0.2">
      <c r="A211" s="103">
        <f>A208+1</f>
        <v>45634</v>
      </c>
      <c r="B211" s="103" t="s">
        <v>319</v>
      </c>
      <c r="C211" s="111" t="str">
        <f>A211 &amp; " " &amp;B211</f>
        <v>45634 0000H</v>
      </c>
      <c r="D211" s="112">
        <v>854.52</v>
      </c>
      <c r="E211" s="117">
        <v>49.67</v>
      </c>
      <c r="F211" s="254">
        <v>1108.67</v>
      </c>
      <c r="G211" s="255">
        <v>6.2</v>
      </c>
      <c r="H211" s="254">
        <v>73822.55</v>
      </c>
      <c r="I211" s="239">
        <v>890.42</v>
      </c>
      <c r="J211" s="239">
        <v>32975.61</v>
      </c>
      <c r="K211" s="255">
        <v>102.79</v>
      </c>
      <c r="L211" s="254">
        <v>5445.39</v>
      </c>
      <c r="M211" s="239">
        <v>15.77</v>
      </c>
      <c r="N211" s="239">
        <v>32781.4</v>
      </c>
      <c r="O211" s="239">
        <v>28.7</v>
      </c>
      <c r="P211" s="239">
        <v>595.55999999999995</v>
      </c>
      <c r="Q211" s="239">
        <v>652.64</v>
      </c>
      <c r="R211" s="239">
        <v>9856.81</v>
      </c>
      <c r="S211" s="239">
        <v>9.0399999999999991</v>
      </c>
      <c r="T211" s="239">
        <v>35713</v>
      </c>
      <c r="U211" s="239">
        <v>69</v>
      </c>
      <c r="V211" s="239">
        <v>250.46</v>
      </c>
      <c r="W211" s="239">
        <v>0.15</v>
      </c>
      <c r="X211" s="239">
        <v>6331.63</v>
      </c>
      <c r="Y211" s="239">
        <v>0</v>
      </c>
      <c r="Z211" s="239">
        <v>54158</v>
      </c>
      <c r="AA211" s="255">
        <v>79</v>
      </c>
      <c r="AB211" s="239"/>
      <c r="AC211" s="256"/>
      <c r="AD211" s="239"/>
      <c r="AE211" s="256"/>
    </row>
    <row r="212" spans="1:31" ht="15" x14ac:dyDescent="0.2">
      <c r="A212" s="103">
        <f>A209+1</f>
        <v>45634</v>
      </c>
      <c r="B212" s="103" t="s">
        <v>147</v>
      </c>
      <c r="C212" s="111" t="str">
        <f>A212 &amp; " " &amp;B212</f>
        <v>45634 1200H</v>
      </c>
      <c r="D212" s="112">
        <v>859.74</v>
      </c>
      <c r="E212" s="117">
        <v>49.67</v>
      </c>
      <c r="F212" s="254">
        <v>1108.67</v>
      </c>
      <c r="G212" s="255">
        <v>6.2</v>
      </c>
      <c r="H212" s="254">
        <v>73822.55</v>
      </c>
      <c r="I212" s="239">
        <v>890.68</v>
      </c>
      <c r="J212" s="239">
        <v>32976.43</v>
      </c>
      <c r="K212" s="255">
        <v>102.81</v>
      </c>
      <c r="L212" s="254">
        <v>5450.35</v>
      </c>
      <c r="M212" s="239">
        <v>15.78</v>
      </c>
      <c r="N212" s="239">
        <v>32785.599999999999</v>
      </c>
      <c r="O212" s="239">
        <v>28.7</v>
      </c>
      <c r="P212" s="239">
        <v>596.03</v>
      </c>
      <c r="Q212" s="239">
        <v>652.76</v>
      </c>
      <c r="R212" s="239">
        <v>9860.89</v>
      </c>
      <c r="S212" s="239">
        <v>9.0399999999999991</v>
      </c>
      <c r="T212" s="239">
        <v>35719.69</v>
      </c>
      <c r="U212" s="239">
        <v>69</v>
      </c>
      <c r="V212" s="239">
        <v>250.46</v>
      </c>
      <c r="W212" s="239">
        <v>0.15</v>
      </c>
      <c r="X212" s="261">
        <v>6337.98</v>
      </c>
      <c r="Y212" s="239">
        <v>0</v>
      </c>
      <c r="Z212" s="239">
        <v>54159</v>
      </c>
      <c r="AA212" s="255">
        <v>79</v>
      </c>
      <c r="AB212" s="239"/>
      <c r="AC212" s="256"/>
      <c r="AD212" s="239"/>
      <c r="AE212" s="256"/>
    </row>
    <row r="213" spans="1:31" ht="6.95" customHeight="1" x14ac:dyDescent="0.2">
      <c r="F213" s="257"/>
      <c r="G213" s="258"/>
      <c r="H213" s="257"/>
      <c r="I213" s="259"/>
      <c r="J213" s="259"/>
      <c r="K213" s="259"/>
      <c r="L213" s="257"/>
      <c r="M213" s="259"/>
      <c r="N213" s="259"/>
      <c r="O213" s="259"/>
      <c r="P213" s="259"/>
      <c r="Q213" s="259"/>
      <c r="R213" s="259"/>
      <c r="S213" s="259"/>
      <c r="T213" s="259"/>
      <c r="U213" s="259"/>
      <c r="V213" s="259"/>
      <c r="W213" s="259"/>
      <c r="X213" s="259"/>
      <c r="Y213" s="259"/>
      <c r="Z213" s="259"/>
      <c r="AA213" s="259"/>
      <c r="AB213" s="361"/>
      <c r="AC213" s="260"/>
      <c r="AD213" s="361"/>
      <c r="AE213" s="260"/>
    </row>
    <row r="214" spans="1:31" ht="15" x14ac:dyDescent="0.2">
      <c r="A214" s="103">
        <f>A211+1</f>
        <v>45635</v>
      </c>
      <c r="B214" s="103" t="s">
        <v>319</v>
      </c>
      <c r="C214" s="111" t="str">
        <f>A214 &amp; " " &amp;B214</f>
        <v>45635 0000H</v>
      </c>
      <c r="D214" s="112">
        <v>863.55</v>
      </c>
      <c r="E214" s="117">
        <v>49.67</v>
      </c>
      <c r="F214" s="254">
        <v>1108.67</v>
      </c>
      <c r="G214" s="255">
        <v>6.2</v>
      </c>
      <c r="H214" s="254">
        <v>73822.55</v>
      </c>
      <c r="I214" s="239">
        <v>890.93</v>
      </c>
      <c r="J214" s="239">
        <v>32979.86</v>
      </c>
      <c r="K214" s="255">
        <v>102.81</v>
      </c>
      <c r="L214" s="254">
        <v>5456.13</v>
      </c>
      <c r="M214" s="239">
        <v>15.78</v>
      </c>
      <c r="N214" s="239">
        <v>32793</v>
      </c>
      <c r="O214" s="239">
        <v>28.7</v>
      </c>
      <c r="P214" s="239">
        <v>596.65</v>
      </c>
      <c r="Q214" s="239">
        <v>653.20000000000005</v>
      </c>
      <c r="R214" s="239">
        <v>9866.02</v>
      </c>
      <c r="S214" s="239">
        <v>9.0399999999999991</v>
      </c>
      <c r="T214" s="239">
        <v>35725</v>
      </c>
      <c r="U214" s="239">
        <v>69</v>
      </c>
      <c r="V214" s="239">
        <v>250.46</v>
      </c>
      <c r="W214" s="239">
        <v>0.15</v>
      </c>
      <c r="X214" s="239">
        <v>6344.1</v>
      </c>
      <c r="Y214" s="239">
        <v>0</v>
      </c>
      <c r="Z214" s="239">
        <v>54159</v>
      </c>
      <c r="AA214" s="255">
        <v>79</v>
      </c>
      <c r="AB214" s="239"/>
      <c r="AC214" s="256"/>
      <c r="AD214" s="239"/>
      <c r="AE214" s="256"/>
    </row>
    <row r="215" spans="1:31" ht="15" x14ac:dyDescent="0.2">
      <c r="A215" s="103">
        <f>A212+1</f>
        <v>45635</v>
      </c>
      <c r="B215" s="103" t="s">
        <v>147</v>
      </c>
      <c r="C215" s="111" t="str">
        <f>A215 &amp; " " &amp;B215</f>
        <v>45635 1200H</v>
      </c>
      <c r="D215" s="112">
        <v>868.16</v>
      </c>
      <c r="E215" s="117">
        <v>49.67</v>
      </c>
      <c r="F215" s="254">
        <v>1108.67</v>
      </c>
      <c r="G215" s="255">
        <v>6.2</v>
      </c>
      <c r="H215" s="254">
        <v>73822.55</v>
      </c>
      <c r="I215" s="239">
        <v>891.2</v>
      </c>
      <c r="J215" s="239">
        <v>32983.35</v>
      </c>
      <c r="K215" s="255">
        <v>102.81</v>
      </c>
      <c r="L215" s="254">
        <v>5461.81</v>
      </c>
      <c r="M215" s="239">
        <v>15.78</v>
      </c>
      <c r="N215" s="239">
        <v>32798.400000000001</v>
      </c>
      <c r="O215" s="239">
        <v>28.7</v>
      </c>
      <c r="P215" s="239">
        <v>596.95000000000005</v>
      </c>
      <c r="Q215" s="239">
        <v>654.23</v>
      </c>
      <c r="R215" s="239">
        <v>9870.08</v>
      </c>
      <c r="S215" s="239">
        <v>9.0399999999999991</v>
      </c>
      <c r="T215" s="239">
        <v>35731</v>
      </c>
      <c r="U215" s="239">
        <v>69</v>
      </c>
      <c r="V215" s="239">
        <v>250.46</v>
      </c>
      <c r="W215" s="239">
        <v>0.15</v>
      </c>
      <c r="X215" s="239">
        <v>6350.13</v>
      </c>
      <c r="Y215" s="239">
        <v>0</v>
      </c>
      <c r="Z215" s="239">
        <v>54159</v>
      </c>
      <c r="AA215" s="255">
        <v>79</v>
      </c>
      <c r="AB215" s="239"/>
      <c r="AC215" s="256"/>
      <c r="AD215" s="239"/>
      <c r="AE215" s="256"/>
    </row>
    <row r="216" spans="1:31" ht="6.95" customHeight="1" x14ac:dyDescent="0.2">
      <c r="F216" s="257"/>
      <c r="G216" s="258"/>
      <c r="H216" s="257"/>
      <c r="I216" s="259"/>
      <c r="J216" s="259"/>
      <c r="K216" s="259"/>
      <c r="L216" s="257"/>
      <c r="M216" s="259"/>
      <c r="N216" s="259"/>
      <c r="O216" s="259"/>
      <c r="P216" s="259"/>
      <c r="Q216" s="259"/>
      <c r="R216" s="259"/>
      <c r="S216" s="259"/>
      <c r="T216" s="259"/>
      <c r="U216" s="259"/>
      <c r="V216" s="259"/>
      <c r="W216" s="259"/>
      <c r="X216" s="259"/>
      <c r="Y216" s="259"/>
      <c r="Z216" s="259"/>
      <c r="AA216" s="259"/>
      <c r="AB216" s="361"/>
      <c r="AC216" s="260"/>
      <c r="AD216" s="361"/>
      <c r="AE216" s="260"/>
    </row>
    <row r="217" spans="1:31" ht="15" x14ac:dyDescent="0.2">
      <c r="A217" s="103">
        <f>A214+1</f>
        <v>45636</v>
      </c>
      <c r="B217" s="103" t="s">
        <v>319</v>
      </c>
      <c r="C217" s="111" t="str">
        <f>A217 &amp; " " &amp;B217</f>
        <v>45636 0000H</v>
      </c>
      <c r="D217" s="112">
        <v>873.42</v>
      </c>
      <c r="E217" s="117">
        <v>49.67</v>
      </c>
      <c r="F217" s="254">
        <v>1108.67</v>
      </c>
      <c r="G217" s="255">
        <v>6.2</v>
      </c>
      <c r="H217" s="254">
        <v>73822.55</v>
      </c>
      <c r="I217" s="239">
        <v>891.45</v>
      </c>
      <c r="J217" s="239">
        <v>32986.6</v>
      </c>
      <c r="K217" s="255">
        <v>102.82</v>
      </c>
      <c r="L217" s="254">
        <v>5467.58</v>
      </c>
      <c r="M217" s="239">
        <v>15.78</v>
      </c>
      <c r="N217" s="239">
        <v>32805.800000000003</v>
      </c>
      <c r="O217" s="239">
        <v>28.7</v>
      </c>
      <c r="P217" s="239">
        <v>597.42999999999995</v>
      </c>
      <c r="Q217" s="239">
        <v>654.59</v>
      </c>
      <c r="R217" s="239">
        <v>9874.35</v>
      </c>
      <c r="S217" s="239">
        <v>9.0399999999999991</v>
      </c>
      <c r="T217" s="239">
        <v>35738</v>
      </c>
      <c r="U217" s="239">
        <v>69</v>
      </c>
      <c r="V217" s="239">
        <v>250.46</v>
      </c>
      <c r="W217" s="239">
        <v>0.15</v>
      </c>
      <c r="X217" s="239">
        <v>6356.91</v>
      </c>
      <c r="Y217" s="239">
        <v>0</v>
      </c>
      <c r="Z217" s="239">
        <v>54159</v>
      </c>
      <c r="AA217" s="255">
        <v>79</v>
      </c>
      <c r="AB217" s="239"/>
      <c r="AC217" s="256"/>
      <c r="AD217" s="239"/>
      <c r="AE217" s="256"/>
    </row>
    <row r="218" spans="1:31" ht="15" x14ac:dyDescent="0.2">
      <c r="A218" s="103">
        <f>A215+1</f>
        <v>45636</v>
      </c>
      <c r="B218" s="103" t="s">
        <v>147</v>
      </c>
      <c r="C218" s="111" t="str">
        <f>A218 &amp; " " &amp;B218</f>
        <v>45636 1200H</v>
      </c>
      <c r="D218" s="112">
        <v>878.37</v>
      </c>
      <c r="E218" s="117">
        <v>49.67</v>
      </c>
      <c r="F218" s="254">
        <v>1108.67</v>
      </c>
      <c r="G218" s="255">
        <v>6.2</v>
      </c>
      <c r="H218" s="254">
        <v>73822.55</v>
      </c>
      <c r="I218" s="239">
        <v>891.72</v>
      </c>
      <c r="J218" s="239">
        <v>32986.6</v>
      </c>
      <c r="K218" s="255">
        <v>102.88</v>
      </c>
      <c r="L218" s="254">
        <v>5469.75</v>
      </c>
      <c r="M218" s="239">
        <v>15.78</v>
      </c>
      <c r="N218" s="239">
        <v>32808.199999999997</v>
      </c>
      <c r="O218" s="239">
        <v>28.8</v>
      </c>
      <c r="P218" s="239">
        <v>598.89</v>
      </c>
      <c r="Q218" s="239">
        <v>654.72</v>
      </c>
      <c r="R218" s="239">
        <v>9877.26</v>
      </c>
      <c r="S218" s="239">
        <v>9.0399999999999991</v>
      </c>
      <c r="T218" s="239">
        <v>35744</v>
      </c>
      <c r="U218" s="239">
        <v>69</v>
      </c>
      <c r="V218" s="239">
        <v>250.46</v>
      </c>
      <c r="W218" s="239">
        <v>0.15</v>
      </c>
      <c r="X218" s="239">
        <v>6363.11</v>
      </c>
      <c r="Y218" s="239">
        <v>0</v>
      </c>
      <c r="Z218" s="239">
        <v>54159</v>
      </c>
      <c r="AA218" s="255">
        <v>79</v>
      </c>
      <c r="AB218" s="239"/>
      <c r="AC218" s="256"/>
      <c r="AD218" s="239"/>
      <c r="AE218" s="256"/>
    </row>
    <row r="219" spans="1:31" ht="6.95" customHeight="1" x14ac:dyDescent="0.2">
      <c r="F219" s="257"/>
      <c r="G219" s="258"/>
      <c r="H219" s="257"/>
      <c r="I219" s="259"/>
      <c r="J219" s="259"/>
      <c r="K219" s="259"/>
      <c r="L219" s="257"/>
      <c r="M219" s="259"/>
      <c r="N219" s="259"/>
      <c r="O219" s="259"/>
      <c r="P219" s="259"/>
      <c r="Q219" s="259"/>
      <c r="R219" s="259"/>
      <c r="S219" s="259"/>
      <c r="T219" s="259"/>
      <c r="U219" s="259"/>
      <c r="V219" s="259"/>
      <c r="W219" s="259"/>
      <c r="X219" s="259"/>
      <c r="Y219" s="259"/>
      <c r="Z219" s="259"/>
      <c r="AA219" s="259"/>
      <c r="AB219" s="361"/>
      <c r="AC219" s="260"/>
      <c r="AD219" s="361"/>
      <c r="AE219" s="260"/>
    </row>
    <row r="220" spans="1:31" ht="15" x14ac:dyDescent="0.2">
      <c r="A220" s="103">
        <f>A217+1</f>
        <v>45637</v>
      </c>
      <c r="B220" s="103" t="s">
        <v>319</v>
      </c>
      <c r="C220" s="111" t="str">
        <f>A220 &amp; " " &amp;B220</f>
        <v>45637 0000H</v>
      </c>
      <c r="D220" s="112">
        <v>884.17</v>
      </c>
      <c r="E220" s="117">
        <v>49.67</v>
      </c>
      <c r="F220" s="254">
        <v>1108.67</v>
      </c>
      <c r="G220" s="255">
        <v>6.2</v>
      </c>
      <c r="H220" s="254">
        <v>73822.55</v>
      </c>
      <c r="I220" s="239">
        <v>892.02</v>
      </c>
      <c r="J220" s="239">
        <v>32989.910000000003</v>
      </c>
      <c r="K220" s="255">
        <v>102.89</v>
      </c>
      <c r="L220" s="254">
        <v>5475.09</v>
      </c>
      <c r="M220" s="239">
        <v>15.77</v>
      </c>
      <c r="N220" s="239">
        <v>32815.599999999999</v>
      </c>
      <c r="O220" s="239">
        <v>28.8</v>
      </c>
      <c r="P220" s="239">
        <v>599.55999999999995</v>
      </c>
      <c r="Q220" s="239">
        <v>654.94000000000005</v>
      </c>
      <c r="R220" s="239">
        <v>9881.51</v>
      </c>
      <c r="S220" s="239">
        <v>9.0399999999999991</v>
      </c>
      <c r="T220" s="239">
        <v>35752</v>
      </c>
      <c r="U220" s="239">
        <v>69</v>
      </c>
      <c r="V220" s="239">
        <v>250.46</v>
      </c>
      <c r="W220" s="239">
        <v>0.15</v>
      </c>
      <c r="X220" s="239">
        <v>6370.37</v>
      </c>
      <c r="Y220" s="239">
        <v>0</v>
      </c>
      <c r="Z220" s="239">
        <v>54159</v>
      </c>
      <c r="AA220" s="255">
        <v>79</v>
      </c>
      <c r="AB220" s="239"/>
      <c r="AC220" s="256"/>
      <c r="AD220" s="239"/>
      <c r="AE220" s="256"/>
    </row>
    <row r="221" spans="1:31" ht="15" x14ac:dyDescent="0.2">
      <c r="A221" s="103">
        <f>A218+1</f>
        <v>45637</v>
      </c>
      <c r="B221" s="103" t="s">
        <v>147</v>
      </c>
      <c r="C221" s="111" t="str">
        <f>A221 &amp; " " &amp;B221</f>
        <v>45637 1200H</v>
      </c>
      <c r="D221" s="112">
        <v>888.21</v>
      </c>
      <c r="E221" s="117">
        <v>49.67</v>
      </c>
      <c r="F221" s="254">
        <v>1108.67</v>
      </c>
      <c r="G221" s="255">
        <v>6.2</v>
      </c>
      <c r="H221" s="254">
        <v>73822.55</v>
      </c>
      <c r="I221" s="239">
        <v>892.34</v>
      </c>
      <c r="J221" s="239">
        <v>32991.699999999997</v>
      </c>
      <c r="K221" s="255">
        <v>102.95</v>
      </c>
      <c r="L221" s="254">
        <v>5480.93</v>
      </c>
      <c r="M221" s="239">
        <v>15.78</v>
      </c>
      <c r="N221" s="239">
        <v>32822.9</v>
      </c>
      <c r="O221" s="239">
        <v>28.8</v>
      </c>
      <c r="P221" s="239">
        <v>600.38</v>
      </c>
      <c r="Q221" s="239">
        <v>655.65</v>
      </c>
      <c r="R221" s="239">
        <v>9885.2000000000007</v>
      </c>
      <c r="S221" s="239">
        <v>9.0399999999999991</v>
      </c>
      <c r="T221" s="239">
        <v>35758</v>
      </c>
      <c r="U221" s="239">
        <v>69</v>
      </c>
      <c r="V221" s="239">
        <v>250.46</v>
      </c>
      <c r="W221" s="239">
        <v>0.15</v>
      </c>
      <c r="X221" s="239">
        <v>6375.13</v>
      </c>
      <c r="Y221" s="239">
        <v>0</v>
      </c>
      <c r="Z221" s="239">
        <v>54159</v>
      </c>
      <c r="AA221" s="255">
        <v>79</v>
      </c>
      <c r="AB221" s="239"/>
      <c r="AC221" s="256"/>
      <c r="AD221" s="239"/>
      <c r="AE221" s="256"/>
    </row>
    <row r="222" spans="1:31" ht="6.95" customHeight="1" x14ac:dyDescent="0.2">
      <c r="F222" s="257"/>
      <c r="G222" s="258"/>
      <c r="H222" s="257"/>
      <c r="I222" s="259"/>
      <c r="J222" s="259"/>
      <c r="K222" s="259"/>
      <c r="L222" s="257"/>
      <c r="M222" s="259"/>
      <c r="N222" s="259"/>
      <c r="O222" s="259"/>
      <c r="P222" s="259"/>
      <c r="Q222" s="259"/>
      <c r="R222" s="259"/>
      <c r="S222" s="259"/>
      <c r="T222" s="259"/>
      <c r="U222" s="259"/>
      <c r="V222" s="259"/>
      <c r="W222" s="259"/>
      <c r="X222" s="259"/>
      <c r="Y222" s="259"/>
      <c r="Z222" s="259"/>
      <c r="AA222" s="259"/>
      <c r="AB222" s="361"/>
      <c r="AC222" s="260"/>
      <c r="AD222" s="361"/>
      <c r="AE222" s="260"/>
    </row>
    <row r="223" spans="1:31" ht="15" x14ac:dyDescent="0.2">
      <c r="A223" s="103">
        <f>A220+1</f>
        <v>45638</v>
      </c>
      <c r="B223" s="103" t="s">
        <v>319</v>
      </c>
      <c r="C223" s="111" t="str">
        <f>A223 &amp; " " &amp;B223</f>
        <v>45638 0000H</v>
      </c>
      <c r="D223" s="112">
        <v>894.24</v>
      </c>
      <c r="E223" s="117">
        <v>49.67</v>
      </c>
      <c r="F223" s="254">
        <v>1108.67</v>
      </c>
      <c r="G223" s="255">
        <v>6.2</v>
      </c>
      <c r="H223" s="254">
        <v>73822.55</v>
      </c>
      <c r="I223" s="239">
        <v>892.34</v>
      </c>
      <c r="J223" s="239">
        <v>32991.769999999997</v>
      </c>
      <c r="K223" s="255">
        <v>103.02</v>
      </c>
      <c r="L223" s="254">
        <v>5486.73</v>
      </c>
      <c r="M223" s="239">
        <v>15.78</v>
      </c>
      <c r="N223" s="239">
        <v>32830.5</v>
      </c>
      <c r="O223" s="239">
        <v>28.8</v>
      </c>
      <c r="P223" s="239">
        <v>602.79</v>
      </c>
      <c r="Q223" s="239">
        <v>655.71</v>
      </c>
      <c r="R223" s="239">
        <v>9889.73</v>
      </c>
      <c r="S223" s="239">
        <v>9.0399999999999991</v>
      </c>
      <c r="T223" s="239">
        <v>35766</v>
      </c>
      <c r="U223" s="239">
        <v>69</v>
      </c>
      <c r="V223" s="239">
        <v>250.46</v>
      </c>
      <c r="W223" s="239">
        <v>0.15</v>
      </c>
      <c r="X223" s="239">
        <v>6381.68</v>
      </c>
      <c r="Y223" s="239">
        <v>0</v>
      </c>
      <c r="Z223" s="239">
        <v>54159</v>
      </c>
      <c r="AA223" s="255">
        <v>79</v>
      </c>
      <c r="AB223" s="239"/>
      <c r="AC223" s="256"/>
      <c r="AD223" s="239"/>
      <c r="AE223" s="256"/>
    </row>
    <row r="224" spans="1:31" ht="15" x14ac:dyDescent="0.2">
      <c r="A224" s="103">
        <f>A221+1</f>
        <v>45638</v>
      </c>
      <c r="B224" s="103" t="s">
        <v>147</v>
      </c>
      <c r="C224" s="111" t="str">
        <f>A224 &amp; " " &amp;B224</f>
        <v>45638 1200H</v>
      </c>
      <c r="D224" s="112">
        <v>898.15</v>
      </c>
      <c r="E224" s="117">
        <v>49.67</v>
      </c>
      <c r="F224" s="254">
        <v>1108.67</v>
      </c>
      <c r="G224" s="255">
        <v>6.2</v>
      </c>
      <c r="H224" s="254">
        <v>73822.55</v>
      </c>
      <c r="I224" s="239">
        <v>892.96</v>
      </c>
      <c r="J224" s="239">
        <v>32993</v>
      </c>
      <c r="K224" s="255">
        <v>103.1</v>
      </c>
      <c r="L224" s="254">
        <v>5492.45</v>
      </c>
      <c r="M224" s="239">
        <v>15.78</v>
      </c>
      <c r="N224" s="239">
        <v>32837.800000000003</v>
      </c>
      <c r="O224" s="239">
        <v>28.8</v>
      </c>
      <c r="P224" s="239">
        <v>603.13</v>
      </c>
      <c r="Q224" s="239">
        <v>656.58</v>
      </c>
      <c r="R224" s="239">
        <v>9893.34</v>
      </c>
      <c r="S224" s="239">
        <v>9.0399999999999991</v>
      </c>
      <c r="T224" s="239">
        <v>35771</v>
      </c>
      <c r="U224" s="239">
        <v>69</v>
      </c>
      <c r="V224" s="239">
        <v>250.46</v>
      </c>
      <c r="W224" s="239">
        <v>0.15</v>
      </c>
      <c r="X224" s="239">
        <v>6387.52</v>
      </c>
      <c r="Y224" s="239">
        <v>0</v>
      </c>
      <c r="Z224" s="239">
        <v>54159</v>
      </c>
      <c r="AA224" s="255">
        <v>79</v>
      </c>
      <c r="AB224" s="239"/>
      <c r="AC224" s="256"/>
      <c r="AD224" s="239"/>
      <c r="AE224" s="256"/>
    </row>
    <row r="225" spans="1:31" ht="6.95" customHeight="1" x14ac:dyDescent="0.2">
      <c r="F225" s="257"/>
      <c r="G225" s="258"/>
      <c r="H225" s="257"/>
      <c r="I225" s="259"/>
      <c r="J225" s="259"/>
      <c r="K225" s="259"/>
      <c r="L225" s="257"/>
      <c r="M225" s="259"/>
      <c r="N225" s="259"/>
      <c r="O225" s="259"/>
      <c r="P225" s="259"/>
      <c r="Q225" s="259"/>
      <c r="R225" s="259"/>
      <c r="S225" s="259"/>
      <c r="T225" s="259"/>
      <c r="U225" s="259"/>
      <c r="V225" s="259"/>
      <c r="W225" s="259"/>
      <c r="X225" s="259"/>
      <c r="Y225" s="259"/>
      <c r="Z225" s="259"/>
      <c r="AA225" s="259"/>
      <c r="AB225" s="361"/>
      <c r="AC225" s="260"/>
      <c r="AD225" s="361"/>
      <c r="AE225" s="260"/>
    </row>
    <row r="226" spans="1:31" ht="15" x14ac:dyDescent="0.2">
      <c r="A226" s="103">
        <f>A223+1</f>
        <v>45639</v>
      </c>
      <c r="B226" s="103" t="s">
        <v>319</v>
      </c>
      <c r="C226" s="111" t="str">
        <f>A226 &amp; " " &amp;B226</f>
        <v>45639 0000H</v>
      </c>
      <c r="D226" s="112">
        <v>904.03</v>
      </c>
      <c r="E226" s="117">
        <v>49.67</v>
      </c>
      <c r="F226" s="254">
        <v>1108.67</v>
      </c>
      <c r="G226" s="255">
        <v>6.2</v>
      </c>
      <c r="H226" s="254">
        <v>73822.55</v>
      </c>
      <c r="I226" s="239">
        <v>893.27</v>
      </c>
      <c r="J226" s="239">
        <v>32995.870000000003</v>
      </c>
      <c r="K226" s="255">
        <v>105.13</v>
      </c>
      <c r="L226" s="254">
        <v>5498.28</v>
      </c>
      <c r="M226" s="239">
        <v>15.78</v>
      </c>
      <c r="N226" s="239">
        <v>32845.4</v>
      </c>
      <c r="O226" s="239">
        <v>28.8</v>
      </c>
      <c r="P226" s="239">
        <v>603.99</v>
      </c>
      <c r="Q226" s="239">
        <v>656.92</v>
      </c>
      <c r="R226" s="239">
        <v>9897.67</v>
      </c>
      <c r="S226" s="239">
        <v>9.0399999999999991</v>
      </c>
      <c r="T226" s="239">
        <v>35779</v>
      </c>
      <c r="U226" s="239">
        <v>69</v>
      </c>
      <c r="V226" s="239">
        <v>250.46</v>
      </c>
      <c r="W226" s="239">
        <v>0.15</v>
      </c>
      <c r="X226" s="239">
        <v>6394.3</v>
      </c>
      <c r="Y226" s="239">
        <v>0</v>
      </c>
      <c r="Z226" s="239">
        <v>54159</v>
      </c>
      <c r="AA226" s="255">
        <v>79</v>
      </c>
      <c r="AB226" s="239"/>
      <c r="AC226" s="256"/>
      <c r="AD226" s="239"/>
      <c r="AE226" s="256"/>
    </row>
    <row r="227" spans="1:31" ht="15" x14ac:dyDescent="0.2">
      <c r="A227" s="103">
        <f>A224+1</f>
        <v>45639</v>
      </c>
      <c r="B227" s="103" t="s">
        <v>147</v>
      </c>
      <c r="C227" s="111" t="str">
        <f>A227 &amp; " " &amp;B227</f>
        <v>45639 1200H</v>
      </c>
      <c r="D227" s="112">
        <v>908.13</v>
      </c>
      <c r="E227" s="117">
        <v>49.67</v>
      </c>
      <c r="F227" s="254">
        <v>1108.67</v>
      </c>
      <c r="G227" s="255">
        <v>6.2</v>
      </c>
      <c r="H227" s="254">
        <v>73822.55</v>
      </c>
      <c r="I227" s="239">
        <v>893.59</v>
      </c>
      <c r="J227" s="239">
        <v>32995.870000000003</v>
      </c>
      <c r="K227" s="255">
        <v>103.17</v>
      </c>
      <c r="L227" s="254">
        <v>5504.02</v>
      </c>
      <c r="M227" s="239">
        <v>15.78</v>
      </c>
      <c r="N227" s="239">
        <v>32853</v>
      </c>
      <c r="O227" s="239">
        <v>28.8</v>
      </c>
      <c r="P227" s="239">
        <v>604.84</v>
      </c>
      <c r="Q227" s="239">
        <v>657.55</v>
      </c>
      <c r="R227" s="239">
        <v>9901.2900000000009</v>
      </c>
      <c r="S227" s="239">
        <v>9.0399999999999991</v>
      </c>
      <c r="T227" s="239">
        <v>35785</v>
      </c>
      <c r="U227" s="239">
        <v>69</v>
      </c>
      <c r="V227" s="239">
        <v>250.46</v>
      </c>
      <c r="W227" s="239">
        <v>0.15</v>
      </c>
      <c r="X227" s="239">
        <v>6400.1</v>
      </c>
      <c r="Y227" s="239">
        <v>0</v>
      </c>
      <c r="Z227" s="239">
        <v>54159</v>
      </c>
      <c r="AA227" s="255">
        <v>79</v>
      </c>
      <c r="AB227" s="239"/>
      <c r="AC227" s="256"/>
      <c r="AD227" s="239"/>
      <c r="AE227" s="256"/>
    </row>
    <row r="228" spans="1:31" ht="6.95" customHeight="1" x14ac:dyDescent="0.2">
      <c r="F228" s="257"/>
      <c r="G228" s="258"/>
      <c r="H228" s="257"/>
      <c r="I228" s="259"/>
      <c r="J228" s="259"/>
      <c r="K228" s="259"/>
      <c r="L228" s="257"/>
      <c r="M228" s="259"/>
      <c r="N228" s="259"/>
      <c r="O228" s="259"/>
      <c r="P228" s="259"/>
      <c r="Q228" s="259"/>
      <c r="R228" s="259"/>
      <c r="S228" s="259"/>
      <c r="T228" s="259"/>
      <c r="U228" s="259"/>
      <c r="V228" s="259"/>
      <c r="W228" s="259"/>
      <c r="X228" s="259"/>
      <c r="Y228" s="259"/>
      <c r="Z228" s="259"/>
      <c r="AA228" s="259"/>
      <c r="AB228" s="361"/>
      <c r="AC228" s="260"/>
      <c r="AD228" s="361"/>
      <c r="AE228" s="260"/>
    </row>
    <row r="229" spans="1:31" ht="15" x14ac:dyDescent="0.2">
      <c r="A229" s="103">
        <f>A226+1</f>
        <v>45640</v>
      </c>
      <c r="B229" s="103" t="s">
        <v>319</v>
      </c>
      <c r="C229" s="111" t="str">
        <f>A229 &amp; " " &amp;B229</f>
        <v>45640 0000H</v>
      </c>
      <c r="D229" s="112">
        <v>914.26</v>
      </c>
      <c r="E229" s="117">
        <v>49.67</v>
      </c>
      <c r="F229" s="254">
        <v>1108.67</v>
      </c>
      <c r="G229" s="255">
        <v>6.2</v>
      </c>
      <c r="H229" s="254">
        <v>73822.55</v>
      </c>
      <c r="I229" s="239">
        <v>893.87</v>
      </c>
      <c r="J229" s="239">
        <v>32995.879999999997</v>
      </c>
      <c r="K229" s="255">
        <v>103.22</v>
      </c>
      <c r="L229" s="254">
        <v>5509.94</v>
      </c>
      <c r="M229" s="239">
        <v>15.78</v>
      </c>
      <c r="N229" s="239">
        <v>32860.800000000003</v>
      </c>
      <c r="O229" s="239">
        <v>28.8</v>
      </c>
      <c r="P229" s="239">
        <v>607.1</v>
      </c>
      <c r="Q229" s="239">
        <v>657.69</v>
      </c>
      <c r="R229" s="239">
        <v>9905.77</v>
      </c>
      <c r="S229" s="239">
        <v>9.0399999999999991</v>
      </c>
      <c r="T229" s="239">
        <v>35790</v>
      </c>
      <c r="U229" s="239">
        <v>69</v>
      </c>
      <c r="V229" s="239">
        <v>250.46</v>
      </c>
      <c r="W229" s="239">
        <v>0.15</v>
      </c>
      <c r="X229" s="239">
        <v>6406.4</v>
      </c>
      <c r="Y229" s="239">
        <v>0</v>
      </c>
      <c r="Z229" s="239">
        <v>54159</v>
      </c>
      <c r="AA229" s="255">
        <v>79</v>
      </c>
      <c r="AB229" s="239"/>
      <c r="AC229" s="256"/>
      <c r="AD229" s="239"/>
      <c r="AE229" s="256"/>
    </row>
    <row r="230" spans="1:31" ht="15" x14ac:dyDescent="0.2">
      <c r="A230" s="103">
        <f>A227+1</f>
        <v>45640</v>
      </c>
      <c r="B230" s="103" t="s">
        <v>147</v>
      </c>
      <c r="C230" s="111" t="str">
        <f>A230 &amp; " " &amp;B230</f>
        <v>45640 1200H</v>
      </c>
      <c r="D230" s="112">
        <v>918.06</v>
      </c>
      <c r="E230" s="117">
        <v>49.67</v>
      </c>
      <c r="F230" s="254">
        <v>1108.67</v>
      </c>
      <c r="G230" s="255">
        <v>6.2</v>
      </c>
      <c r="H230" s="254">
        <v>73822.55</v>
      </c>
      <c r="I230" s="239">
        <v>894.21</v>
      </c>
      <c r="J230" s="239">
        <v>32999.39</v>
      </c>
      <c r="K230" s="255">
        <v>103.23</v>
      </c>
      <c r="L230" s="254">
        <v>5515.82</v>
      </c>
      <c r="M230" s="239">
        <v>15.78</v>
      </c>
      <c r="N230" s="239">
        <v>32865.9</v>
      </c>
      <c r="O230" s="239">
        <v>28.8</v>
      </c>
      <c r="P230" s="239">
        <v>607.28</v>
      </c>
      <c r="Q230" s="239">
        <v>658.7</v>
      </c>
      <c r="R230" s="239">
        <v>9909.49</v>
      </c>
      <c r="S230" s="239">
        <v>9.0399999999999991</v>
      </c>
      <c r="T230" s="239">
        <v>35798</v>
      </c>
      <c r="U230" s="239">
        <v>69</v>
      </c>
      <c r="V230" s="239">
        <v>250.46</v>
      </c>
      <c r="W230" s="239">
        <v>0.15</v>
      </c>
      <c r="X230" s="239">
        <v>6411.86</v>
      </c>
      <c r="Y230" s="239">
        <v>0</v>
      </c>
      <c r="Z230" s="239">
        <v>54159</v>
      </c>
      <c r="AA230" s="255">
        <v>79</v>
      </c>
      <c r="AB230" s="239"/>
      <c r="AC230" s="256"/>
      <c r="AD230" s="239"/>
      <c r="AE230" s="256"/>
    </row>
    <row r="231" spans="1:31" ht="6.95" customHeight="1" x14ac:dyDescent="0.2">
      <c r="F231" s="257"/>
      <c r="G231" s="258"/>
      <c r="H231" s="257"/>
      <c r="I231" s="259"/>
      <c r="J231" s="259"/>
      <c r="K231" s="259"/>
      <c r="L231" s="257"/>
      <c r="M231" s="259"/>
      <c r="N231" s="259"/>
      <c r="O231" s="259"/>
      <c r="P231" s="259"/>
      <c r="Q231" s="259"/>
      <c r="R231" s="259"/>
      <c r="S231" s="259"/>
      <c r="T231" s="259"/>
      <c r="U231" s="259"/>
      <c r="V231" s="259"/>
      <c r="W231" s="259"/>
      <c r="X231" s="259"/>
      <c r="Y231" s="259"/>
      <c r="Z231" s="259"/>
      <c r="AA231" s="259"/>
      <c r="AB231" s="361"/>
      <c r="AC231" s="260"/>
      <c r="AD231" s="361"/>
      <c r="AE231" s="260"/>
    </row>
    <row r="232" spans="1:31" ht="15" x14ac:dyDescent="0.2">
      <c r="A232" s="103">
        <f>A229+1</f>
        <v>45641</v>
      </c>
      <c r="B232" s="103" t="s">
        <v>319</v>
      </c>
      <c r="C232" s="111" t="str">
        <f>A232 &amp; " " &amp;B232</f>
        <v>45641 0000H</v>
      </c>
      <c r="D232" s="112">
        <v>923.93</v>
      </c>
      <c r="E232" s="117">
        <v>49.67</v>
      </c>
      <c r="F232" s="254">
        <v>1108.67</v>
      </c>
      <c r="G232" s="255">
        <v>6.2</v>
      </c>
      <c r="H232" s="254">
        <v>73822.55</v>
      </c>
      <c r="I232" s="239">
        <v>894.56</v>
      </c>
      <c r="J232" s="239">
        <v>33003.050000000003</v>
      </c>
      <c r="K232" s="255">
        <v>103.23</v>
      </c>
      <c r="L232" s="254">
        <v>5521.71</v>
      </c>
      <c r="M232" s="239">
        <v>15.78</v>
      </c>
      <c r="N232" s="239">
        <v>32873.4</v>
      </c>
      <c r="O232" s="239">
        <v>28.8</v>
      </c>
      <c r="P232" s="239">
        <v>607.34</v>
      </c>
      <c r="Q232" s="239">
        <v>659.88</v>
      </c>
      <c r="R232" s="239">
        <v>9914.0300000000007</v>
      </c>
      <c r="S232" s="239">
        <v>9.0399999999999991</v>
      </c>
      <c r="T232" s="239">
        <v>35805</v>
      </c>
      <c r="U232" s="239">
        <v>69</v>
      </c>
      <c r="V232" s="239">
        <v>250.46</v>
      </c>
      <c r="W232" s="239">
        <v>0.15</v>
      </c>
      <c r="X232" s="239">
        <v>6417.71</v>
      </c>
      <c r="Y232" s="239">
        <v>0</v>
      </c>
      <c r="Z232" s="239">
        <v>54159</v>
      </c>
      <c r="AA232" s="255">
        <v>79</v>
      </c>
      <c r="AB232" s="239"/>
      <c r="AC232" s="256"/>
      <c r="AD232" s="239"/>
      <c r="AE232" s="256"/>
    </row>
    <row r="233" spans="1:31" ht="15" x14ac:dyDescent="0.2">
      <c r="A233" s="103">
        <f>A230+1</f>
        <v>45641</v>
      </c>
      <c r="B233" s="103" t="s">
        <v>147</v>
      </c>
      <c r="C233" s="111" t="str">
        <f>A233 &amp; " " &amp;B233</f>
        <v>45641 1200H</v>
      </c>
      <c r="D233" s="112">
        <v>927.36</v>
      </c>
      <c r="E233" s="117">
        <v>49.67</v>
      </c>
      <c r="F233" s="254">
        <v>1108.67</v>
      </c>
      <c r="G233" s="255">
        <v>6.2</v>
      </c>
      <c r="H233" s="254">
        <v>73822.55</v>
      </c>
      <c r="I233" s="239">
        <v>894.9</v>
      </c>
      <c r="J233" s="239">
        <v>33006.639999999999</v>
      </c>
      <c r="K233" s="255">
        <v>103.23</v>
      </c>
      <c r="L233" s="254">
        <v>5527.35</v>
      </c>
      <c r="M233" s="239">
        <v>15.78</v>
      </c>
      <c r="N233" s="239">
        <v>32878</v>
      </c>
      <c r="O233" s="239">
        <v>28.8</v>
      </c>
      <c r="P233" s="239">
        <v>607.44000000000005</v>
      </c>
      <c r="Q233" s="239">
        <v>660.91</v>
      </c>
      <c r="R233" s="239">
        <v>9917.61</v>
      </c>
      <c r="S233" s="239">
        <v>9.0399999999999991</v>
      </c>
      <c r="T233" s="239">
        <v>35810</v>
      </c>
      <c r="U233" s="239">
        <v>69</v>
      </c>
      <c r="V233" s="239">
        <v>250.46</v>
      </c>
      <c r="W233" s="239">
        <v>0.15</v>
      </c>
      <c r="X233" s="239">
        <v>6422.81</v>
      </c>
      <c r="Y233" s="239">
        <v>0</v>
      </c>
      <c r="Z233" s="239">
        <v>54159</v>
      </c>
      <c r="AA233" s="255">
        <v>79</v>
      </c>
      <c r="AB233" s="239"/>
      <c r="AC233" s="256"/>
      <c r="AD233" s="239"/>
      <c r="AE233" s="256"/>
    </row>
    <row r="234" spans="1:31" ht="6.95" customHeight="1" x14ac:dyDescent="0.2">
      <c r="F234" s="257"/>
      <c r="G234" s="258"/>
      <c r="H234" s="257"/>
      <c r="I234" s="259"/>
      <c r="J234" s="259"/>
      <c r="K234" s="259"/>
      <c r="L234" s="257"/>
      <c r="M234" s="259"/>
      <c r="N234" s="259"/>
      <c r="O234" s="259"/>
      <c r="P234" s="259"/>
      <c r="Q234" s="259"/>
      <c r="R234" s="259"/>
      <c r="S234" s="259"/>
      <c r="T234" s="259"/>
      <c r="U234" s="259"/>
      <c r="V234" s="259"/>
      <c r="W234" s="259"/>
      <c r="X234" s="259"/>
      <c r="Y234" s="259"/>
      <c r="Z234" s="259"/>
      <c r="AA234" s="259"/>
      <c r="AB234" s="361"/>
      <c r="AC234" s="260"/>
      <c r="AD234" s="361"/>
      <c r="AE234" s="260"/>
    </row>
    <row r="235" spans="1:31" ht="15" x14ac:dyDescent="0.2">
      <c r="A235" s="103">
        <f>A232+1</f>
        <v>45642</v>
      </c>
      <c r="B235" s="103" t="s">
        <v>319</v>
      </c>
      <c r="C235" s="111" t="str">
        <f>A235 &amp; " " &amp;B235</f>
        <v>45642 0000H</v>
      </c>
      <c r="D235" s="112">
        <v>932.33</v>
      </c>
      <c r="E235" s="117">
        <v>49.67</v>
      </c>
      <c r="F235" s="254">
        <v>1108.67</v>
      </c>
      <c r="G235" s="255">
        <v>6.2</v>
      </c>
      <c r="H235" s="254">
        <v>73822.789999999994</v>
      </c>
      <c r="I235" s="239">
        <v>895.34</v>
      </c>
      <c r="J235" s="239">
        <v>33009.99</v>
      </c>
      <c r="K235" s="255">
        <v>103.23</v>
      </c>
      <c r="L235" s="254">
        <v>5533</v>
      </c>
      <c r="M235" s="239">
        <v>15.78</v>
      </c>
      <c r="N235" s="239">
        <v>32885.199999999997</v>
      </c>
      <c r="O235" s="239">
        <v>28.8</v>
      </c>
      <c r="P235" s="239">
        <v>608.27</v>
      </c>
      <c r="Q235" s="239">
        <v>661.27</v>
      </c>
      <c r="R235" s="239">
        <v>9927.1200000000008</v>
      </c>
      <c r="S235" s="239">
        <v>9.0399999999999991</v>
      </c>
      <c r="T235" s="239">
        <v>35818</v>
      </c>
      <c r="U235" s="239">
        <v>69</v>
      </c>
      <c r="V235" s="239">
        <v>250.46</v>
      </c>
      <c r="W235" s="239">
        <v>0.15</v>
      </c>
      <c r="X235" s="239">
        <v>6429.6</v>
      </c>
      <c r="Y235" s="239">
        <v>0</v>
      </c>
      <c r="Z235" s="239">
        <v>54159</v>
      </c>
      <c r="AA235" s="255">
        <v>79</v>
      </c>
      <c r="AB235" s="239"/>
      <c r="AC235" s="256"/>
      <c r="AD235" s="239"/>
      <c r="AE235" s="256"/>
    </row>
    <row r="236" spans="1:31" ht="15" x14ac:dyDescent="0.2">
      <c r="A236" s="103">
        <f>A233+1</f>
        <v>45642</v>
      </c>
      <c r="B236" s="103" t="s">
        <v>147</v>
      </c>
      <c r="C236" s="111" t="str">
        <f>A236 &amp; " " &amp;B236</f>
        <v>45642 1200H</v>
      </c>
      <c r="D236" s="112">
        <v>936.52</v>
      </c>
      <c r="E236" s="117">
        <v>49.67</v>
      </c>
      <c r="F236" s="254">
        <v>1108.67</v>
      </c>
      <c r="G236" s="255">
        <v>6.2</v>
      </c>
      <c r="H236" s="254">
        <v>73823.13</v>
      </c>
      <c r="I236" s="239">
        <v>895.72</v>
      </c>
      <c r="J236" s="239">
        <v>33009.99</v>
      </c>
      <c r="K236" s="255">
        <v>103.26</v>
      </c>
      <c r="L236" s="254">
        <v>5538.71</v>
      </c>
      <c r="M236" s="239">
        <v>15.78</v>
      </c>
      <c r="N236" s="239">
        <v>32892.5</v>
      </c>
      <c r="O236" s="239">
        <v>28.8</v>
      </c>
      <c r="P236" s="239">
        <v>608.88</v>
      </c>
      <c r="Q236" s="239">
        <v>662.05</v>
      </c>
      <c r="R236" s="239">
        <v>9925.74</v>
      </c>
      <c r="S236" s="239">
        <v>9.0399999999999991</v>
      </c>
      <c r="T236" s="239">
        <v>35824</v>
      </c>
      <c r="U236" s="239">
        <v>69</v>
      </c>
      <c r="V236" s="239">
        <v>250.46</v>
      </c>
      <c r="W236" s="239">
        <v>0.15</v>
      </c>
      <c r="X236" s="239">
        <v>6435.43</v>
      </c>
      <c r="Y236" s="239">
        <v>0</v>
      </c>
      <c r="Z236" s="239">
        <v>54159</v>
      </c>
      <c r="AA236" s="255">
        <v>79</v>
      </c>
      <c r="AB236" s="239"/>
      <c r="AC236" s="256"/>
      <c r="AD236" s="239"/>
      <c r="AE236" s="256"/>
    </row>
    <row r="237" spans="1:31" ht="6.95" customHeight="1" x14ac:dyDescent="0.2">
      <c r="F237" s="257"/>
      <c r="G237" s="258"/>
      <c r="H237" s="257"/>
      <c r="I237" s="259"/>
      <c r="J237" s="259"/>
      <c r="K237" s="259"/>
      <c r="L237" s="257"/>
      <c r="M237" s="259"/>
      <c r="N237" s="259"/>
      <c r="O237" s="259"/>
      <c r="P237" s="259"/>
      <c r="Q237" s="259"/>
      <c r="R237" s="259"/>
      <c r="S237" s="259"/>
      <c r="T237" s="259"/>
      <c r="U237" s="259"/>
      <c r="V237" s="259"/>
      <c r="W237" s="259"/>
      <c r="X237" s="259"/>
      <c r="Y237" s="259"/>
      <c r="Z237" s="259"/>
      <c r="AA237" s="259"/>
      <c r="AB237" s="361"/>
      <c r="AC237" s="260"/>
      <c r="AD237" s="361"/>
      <c r="AE237" s="260"/>
    </row>
    <row r="238" spans="1:31" ht="15" x14ac:dyDescent="0.2">
      <c r="A238" s="103">
        <f>A235+1</f>
        <v>45643</v>
      </c>
      <c r="B238" s="103" t="s">
        <v>319</v>
      </c>
      <c r="C238" s="111" t="str">
        <f>A238 &amp; " " &amp;B238</f>
        <v>45643 0000H</v>
      </c>
      <c r="D238" s="112">
        <v>942.1</v>
      </c>
      <c r="E238" s="117">
        <v>49.67</v>
      </c>
      <c r="F238" s="254">
        <v>1108.67</v>
      </c>
      <c r="G238" s="255">
        <v>6.2</v>
      </c>
      <c r="H238" s="254">
        <v>73830.080000000002</v>
      </c>
      <c r="I238" s="239">
        <v>895.85</v>
      </c>
      <c r="J238" s="239">
        <v>33012.53</v>
      </c>
      <c r="K238" s="255">
        <v>103.3</v>
      </c>
      <c r="L238" s="254">
        <v>5544.32</v>
      </c>
      <c r="M238" s="239">
        <v>15.78</v>
      </c>
      <c r="N238" s="239">
        <v>32899.800000000003</v>
      </c>
      <c r="O238" s="239">
        <v>28.8</v>
      </c>
      <c r="P238" s="239">
        <v>610.22</v>
      </c>
      <c r="Q238" s="239">
        <v>662.86</v>
      </c>
      <c r="R238" s="239">
        <v>9930.27</v>
      </c>
      <c r="S238" s="239">
        <v>9.0399999999999991</v>
      </c>
      <c r="T238" s="239">
        <v>35832</v>
      </c>
      <c r="U238" s="239">
        <v>69</v>
      </c>
      <c r="V238" s="239">
        <v>250.46</v>
      </c>
      <c r="W238" s="239">
        <v>0.15</v>
      </c>
      <c r="X238" s="239">
        <v>6442.61</v>
      </c>
      <c r="Y238" s="239">
        <v>0</v>
      </c>
      <c r="Z238" s="239">
        <v>54159</v>
      </c>
      <c r="AA238" s="255">
        <v>79</v>
      </c>
      <c r="AB238" s="239"/>
      <c r="AC238" s="256"/>
      <c r="AD238" s="239"/>
      <c r="AE238" s="256"/>
    </row>
    <row r="239" spans="1:31" ht="15" x14ac:dyDescent="0.2">
      <c r="A239" s="103">
        <f>A236+1</f>
        <v>45643</v>
      </c>
      <c r="B239" s="103" t="s">
        <v>147</v>
      </c>
      <c r="C239" s="111" t="str">
        <f>A239 &amp; " " &amp;B239</f>
        <v>45643 1200H</v>
      </c>
      <c r="D239" s="112">
        <v>945.91</v>
      </c>
      <c r="E239" s="117">
        <v>49.67</v>
      </c>
      <c r="F239" s="254">
        <v>1108.67</v>
      </c>
      <c r="G239" s="255">
        <v>6.2</v>
      </c>
      <c r="H239" s="254">
        <v>73834.39</v>
      </c>
      <c r="I239" s="239">
        <v>896.07</v>
      </c>
      <c r="J239" s="239">
        <v>33016.32</v>
      </c>
      <c r="K239" s="255">
        <v>103.3</v>
      </c>
      <c r="L239" s="254">
        <v>5550.07</v>
      </c>
      <c r="M239" s="239">
        <v>15.78</v>
      </c>
      <c r="N239" s="239">
        <v>32905.1</v>
      </c>
      <c r="O239" s="255">
        <v>28.8</v>
      </c>
      <c r="P239" s="239">
        <v>610.28</v>
      </c>
      <c r="Q239" s="239">
        <v>663.82</v>
      </c>
      <c r="R239" s="239">
        <v>9933.92</v>
      </c>
      <c r="S239" s="239">
        <v>9.0399999999999991</v>
      </c>
      <c r="T239" s="239">
        <v>35838</v>
      </c>
      <c r="U239" s="239">
        <v>69</v>
      </c>
      <c r="V239" s="239">
        <v>250.46</v>
      </c>
      <c r="W239" s="239">
        <v>0.15</v>
      </c>
      <c r="X239" s="239">
        <v>6448.8</v>
      </c>
      <c r="Y239" s="239">
        <v>0</v>
      </c>
      <c r="Z239" s="239">
        <v>54159</v>
      </c>
      <c r="AA239" s="255">
        <v>79</v>
      </c>
      <c r="AB239" s="239"/>
      <c r="AC239" s="256"/>
      <c r="AD239" s="239"/>
      <c r="AE239" s="256"/>
    </row>
    <row r="240" spans="1:31" ht="6.95" customHeight="1" x14ac:dyDescent="0.2">
      <c r="F240" s="257"/>
      <c r="G240" s="258"/>
      <c r="H240" s="257"/>
      <c r="I240" s="259"/>
      <c r="J240" s="259"/>
      <c r="K240" s="259"/>
      <c r="L240" s="257"/>
      <c r="M240" s="259"/>
      <c r="N240" s="259"/>
      <c r="O240" s="259"/>
      <c r="P240" s="259"/>
      <c r="Q240" s="259"/>
      <c r="R240" s="259"/>
      <c r="S240" s="259"/>
      <c r="T240" s="259"/>
      <c r="U240" s="259"/>
      <c r="V240" s="259"/>
      <c r="W240" s="259"/>
      <c r="X240" s="259"/>
      <c r="Y240" s="259"/>
      <c r="Z240" s="259"/>
      <c r="AA240" s="259"/>
      <c r="AB240" s="361"/>
      <c r="AC240" s="260"/>
      <c r="AD240" s="361"/>
      <c r="AE240" s="260"/>
    </row>
    <row r="241" spans="1:31" ht="15" x14ac:dyDescent="0.2">
      <c r="A241" s="103">
        <f>A238+1</f>
        <v>45644</v>
      </c>
      <c r="B241" s="103" t="s">
        <v>319</v>
      </c>
      <c r="C241" s="111" t="str">
        <f>A241 &amp; " " &amp;B241</f>
        <v>45644 0000H</v>
      </c>
      <c r="D241" s="112">
        <v>951.8</v>
      </c>
      <c r="E241" s="117">
        <v>49.67</v>
      </c>
      <c r="F241" s="254">
        <v>1108.67</v>
      </c>
      <c r="G241" s="255">
        <v>6.2</v>
      </c>
      <c r="H241" s="254">
        <v>73842.81</v>
      </c>
      <c r="I241" s="239">
        <v>896.14</v>
      </c>
      <c r="J241" s="239">
        <v>33020.06</v>
      </c>
      <c r="K241" s="255">
        <v>103.3</v>
      </c>
      <c r="L241" s="254">
        <v>5555.82</v>
      </c>
      <c r="M241" s="239">
        <v>15.78</v>
      </c>
      <c r="N241" s="239">
        <v>32914.199999999997</v>
      </c>
      <c r="O241" s="239">
        <v>28.8</v>
      </c>
      <c r="P241" s="239">
        <v>610.63</v>
      </c>
      <c r="Q241" s="239">
        <v>664.67</v>
      </c>
      <c r="R241" s="239">
        <v>9938.42</v>
      </c>
      <c r="S241" s="239">
        <v>9.0399999999999991</v>
      </c>
      <c r="T241" s="239">
        <v>35846</v>
      </c>
      <c r="U241" s="239">
        <v>69</v>
      </c>
      <c r="V241" s="239">
        <v>250.46</v>
      </c>
      <c r="W241" s="239">
        <v>0.15</v>
      </c>
      <c r="X241" s="239">
        <v>6455.85</v>
      </c>
      <c r="Y241" s="239">
        <v>0</v>
      </c>
      <c r="Z241" s="239">
        <v>54159</v>
      </c>
      <c r="AA241" s="255">
        <v>79</v>
      </c>
      <c r="AB241" s="239"/>
      <c r="AC241" s="256"/>
      <c r="AD241" s="239"/>
      <c r="AE241" s="256"/>
    </row>
    <row r="242" spans="1:31" ht="15" x14ac:dyDescent="0.2">
      <c r="A242" s="103">
        <f>A239+1</f>
        <v>45644</v>
      </c>
      <c r="B242" s="103" t="s">
        <v>147</v>
      </c>
      <c r="C242" s="111" t="str">
        <f>A242 &amp; " " &amp;B242</f>
        <v>45644 1200H</v>
      </c>
      <c r="D242" s="112">
        <v>955.74</v>
      </c>
      <c r="E242" s="117">
        <v>49.67</v>
      </c>
      <c r="F242" s="254">
        <v>1108.67</v>
      </c>
      <c r="G242" s="255">
        <v>6.2</v>
      </c>
      <c r="H242" s="254">
        <v>73844.789999999994</v>
      </c>
      <c r="I242" s="239">
        <v>896.42</v>
      </c>
      <c r="J242" s="239">
        <v>33023.870000000003</v>
      </c>
      <c r="K242" s="255">
        <v>103.3</v>
      </c>
      <c r="L242" s="254">
        <v>5561.58</v>
      </c>
      <c r="M242" s="239">
        <v>15.78</v>
      </c>
      <c r="N242" s="239">
        <v>32918</v>
      </c>
      <c r="O242" s="239">
        <v>28.8</v>
      </c>
      <c r="P242" s="239">
        <v>610.67999999999995</v>
      </c>
      <c r="Q242" s="239">
        <v>665.65</v>
      </c>
      <c r="R242" s="239">
        <v>9943.07</v>
      </c>
      <c r="S242" s="239">
        <v>9.0399999999999991</v>
      </c>
      <c r="T242" s="239">
        <v>35852</v>
      </c>
      <c r="U242" s="239">
        <v>69</v>
      </c>
      <c r="V242" s="239">
        <v>250.46</v>
      </c>
      <c r="W242" s="239">
        <v>0.15</v>
      </c>
      <c r="X242" s="239">
        <v>6461.44</v>
      </c>
      <c r="Y242" s="239">
        <v>0</v>
      </c>
      <c r="Z242" s="239">
        <v>54159</v>
      </c>
      <c r="AA242" s="255">
        <v>79</v>
      </c>
      <c r="AB242" s="239"/>
      <c r="AC242" s="256"/>
      <c r="AD242" s="239"/>
      <c r="AE242" s="256"/>
    </row>
    <row r="243" spans="1:31" ht="6.95" customHeight="1" x14ac:dyDescent="0.2">
      <c r="F243" s="257"/>
      <c r="G243" s="258"/>
      <c r="H243" s="257"/>
      <c r="I243" s="259"/>
      <c r="J243" s="259"/>
      <c r="K243" s="259"/>
      <c r="L243" s="257"/>
      <c r="M243" s="259"/>
      <c r="N243" s="259"/>
      <c r="O243" s="259"/>
      <c r="P243" s="259"/>
      <c r="Q243" s="259"/>
      <c r="R243" s="259"/>
      <c r="S243" s="259"/>
      <c r="T243" s="259"/>
      <c r="U243" s="259"/>
      <c r="V243" s="259"/>
      <c r="W243" s="259"/>
      <c r="X243" s="259"/>
      <c r="Y243" s="259"/>
      <c r="Z243" s="259"/>
      <c r="AA243" s="259"/>
      <c r="AB243" s="361"/>
      <c r="AC243" s="260"/>
      <c r="AD243" s="361"/>
      <c r="AE243" s="260"/>
    </row>
    <row r="244" spans="1:31" ht="15" x14ac:dyDescent="0.2">
      <c r="A244" s="103">
        <f>A241+1</f>
        <v>45645</v>
      </c>
      <c r="B244" s="103" t="s">
        <v>319</v>
      </c>
      <c r="C244" s="111" t="str">
        <f>A244 &amp; " " &amp;B244</f>
        <v>45645 0000H</v>
      </c>
      <c r="D244" s="112">
        <v>961.36</v>
      </c>
      <c r="E244" s="117">
        <v>49.67</v>
      </c>
      <c r="F244" s="254">
        <v>1108.67</v>
      </c>
      <c r="G244" s="255">
        <v>6.2</v>
      </c>
      <c r="H244" s="254">
        <v>73856</v>
      </c>
      <c r="I244" s="239">
        <v>896.42</v>
      </c>
      <c r="J244" s="239">
        <v>33027.65</v>
      </c>
      <c r="K244" s="255">
        <v>103.3</v>
      </c>
      <c r="L244" s="254">
        <v>5567.5</v>
      </c>
      <c r="M244" s="239">
        <v>15.78</v>
      </c>
      <c r="N244" s="239">
        <v>32925.4</v>
      </c>
      <c r="O244" s="239">
        <v>28.8</v>
      </c>
      <c r="P244" s="239">
        <v>610.80999999999995</v>
      </c>
      <c r="Q244" s="239">
        <v>666.52</v>
      </c>
      <c r="R244" s="239">
        <v>9946.57</v>
      </c>
      <c r="S244" s="239">
        <v>9.0399999999999991</v>
      </c>
      <c r="T244" s="239">
        <v>35859</v>
      </c>
      <c r="U244" s="239">
        <v>69</v>
      </c>
      <c r="V244" s="239">
        <v>250.46</v>
      </c>
      <c r="W244" s="239">
        <v>0.15</v>
      </c>
      <c r="X244" s="239">
        <v>6468.75</v>
      </c>
      <c r="Y244" s="239">
        <v>0</v>
      </c>
      <c r="Z244" s="239">
        <v>54159</v>
      </c>
      <c r="AA244" s="255">
        <v>79</v>
      </c>
      <c r="AB244" s="239"/>
      <c r="AC244" s="256"/>
      <c r="AD244" s="239"/>
      <c r="AE244" s="256"/>
    </row>
    <row r="245" spans="1:31" ht="15" x14ac:dyDescent="0.2">
      <c r="A245" s="103">
        <f>A242+1</f>
        <v>45645</v>
      </c>
      <c r="B245" s="103" t="s">
        <v>147</v>
      </c>
      <c r="C245" s="111" t="str">
        <f>A245 &amp; " " &amp;B245</f>
        <v>45645 1200H</v>
      </c>
      <c r="D245" s="112">
        <v>963.99</v>
      </c>
      <c r="E245" s="117">
        <v>49.67</v>
      </c>
      <c r="F245" s="254">
        <v>1108.67</v>
      </c>
      <c r="G245" s="255">
        <v>6.2</v>
      </c>
      <c r="H245" s="254">
        <v>73866.73</v>
      </c>
      <c r="I245" s="239">
        <v>896.42</v>
      </c>
      <c r="J245" s="239">
        <v>33030.03</v>
      </c>
      <c r="K245" s="255">
        <v>103.34</v>
      </c>
      <c r="L245" s="254">
        <v>5573.39</v>
      </c>
      <c r="M245" s="239">
        <v>15.78</v>
      </c>
      <c r="N245" s="239">
        <v>32931.800000000003</v>
      </c>
      <c r="O245" s="239">
        <v>28.8</v>
      </c>
      <c r="P245" s="239">
        <v>611.27</v>
      </c>
      <c r="Q245" s="239">
        <v>666.84</v>
      </c>
      <c r="R245" s="239">
        <v>9950.24</v>
      </c>
      <c r="S245" s="239">
        <v>9.0399999999999991</v>
      </c>
      <c r="T245" s="239">
        <v>35863</v>
      </c>
      <c r="U245" s="239">
        <v>69</v>
      </c>
      <c r="V245" s="239">
        <v>250.46</v>
      </c>
      <c r="W245" s="239">
        <v>0.15</v>
      </c>
      <c r="X245" s="239">
        <v>6474.89</v>
      </c>
      <c r="Y245" s="239">
        <v>0</v>
      </c>
      <c r="Z245" s="239">
        <v>54159</v>
      </c>
      <c r="AA245" s="255">
        <v>79</v>
      </c>
      <c r="AB245" s="239"/>
      <c r="AC245" s="256"/>
      <c r="AD245" s="239"/>
      <c r="AE245" s="256"/>
    </row>
    <row r="246" spans="1:31" ht="6.95" customHeight="1" x14ac:dyDescent="0.2">
      <c r="F246" s="257"/>
      <c r="G246" s="258"/>
      <c r="H246" s="257"/>
      <c r="I246" s="259"/>
      <c r="J246" s="259"/>
      <c r="K246" s="259"/>
      <c r="L246" s="257"/>
      <c r="M246" s="259"/>
      <c r="N246" s="259"/>
      <c r="O246" s="259"/>
      <c r="P246" s="259"/>
      <c r="Q246" s="259"/>
      <c r="R246" s="259"/>
      <c r="S246" s="259"/>
      <c r="T246" s="259"/>
      <c r="U246" s="259"/>
      <c r="V246" s="259"/>
      <c r="W246" s="259"/>
      <c r="X246" s="259"/>
      <c r="Y246" s="259"/>
      <c r="Z246" s="259"/>
      <c r="AA246" s="259"/>
      <c r="AB246" s="361"/>
      <c r="AC246" s="260"/>
      <c r="AD246" s="361"/>
      <c r="AE246" s="260"/>
    </row>
    <row r="247" spans="1:31" ht="15" x14ac:dyDescent="0.2">
      <c r="A247" s="103">
        <f>A244+1</f>
        <v>45646</v>
      </c>
      <c r="B247" s="103" t="s">
        <v>319</v>
      </c>
      <c r="C247" s="111" t="str">
        <f>A247 &amp; " " &amp;B247</f>
        <v>45646 0000H</v>
      </c>
      <c r="D247" s="112">
        <v>970.19</v>
      </c>
      <c r="E247" s="117">
        <v>49.67</v>
      </c>
      <c r="F247" s="254">
        <v>1108.67</v>
      </c>
      <c r="G247" s="255">
        <v>6.2</v>
      </c>
      <c r="H247" s="254">
        <v>73871.66</v>
      </c>
      <c r="I247" s="239">
        <v>896.68</v>
      </c>
      <c r="J247" s="239">
        <v>33033.800000000003</v>
      </c>
      <c r="K247" s="255">
        <v>103.34</v>
      </c>
      <c r="L247" s="254">
        <v>5579.33</v>
      </c>
      <c r="M247" s="239">
        <v>15.78</v>
      </c>
      <c r="N247" s="239">
        <v>32939.199999999997</v>
      </c>
      <c r="O247" s="239">
        <v>28.8</v>
      </c>
      <c r="P247" s="239">
        <v>611.54</v>
      </c>
      <c r="Q247" s="239">
        <v>667.58</v>
      </c>
      <c r="R247" s="239">
        <v>9954.6</v>
      </c>
      <c r="S247" s="239">
        <v>9.0399999999999991</v>
      </c>
      <c r="T247" s="239">
        <v>35870</v>
      </c>
      <c r="U247" s="239">
        <v>69</v>
      </c>
      <c r="V247" s="239">
        <v>250.46</v>
      </c>
      <c r="W247" s="239">
        <v>0.15</v>
      </c>
      <c r="X247" s="239">
        <v>6482.04</v>
      </c>
      <c r="Y247" s="239">
        <v>0</v>
      </c>
      <c r="Z247" s="239">
        <v>54159</v>
      </c>
      <c r="AA247" s="255">
        <v>79</v>
      </c>
      <c r="AB247" s="239"/>
      <c r="AC247" s="256"/>
      <c r="AD247" s="239"/>
      <c r="AE247" s="256"/>
    </row>
    <row r="248" spans="1:31" ht="15" x14ac:dyDescent="0.2">
      <c r="A248" s="103">
        <f>A245+1</f>
        <v>45646</v>
      </c>
      <c r="B248" s="103" t="s">
        <v>147</v>
      </c>
      <c r="C248" s="111" t="str">
        <f>A248 &amp; " " &amp;B248</f>
        <v>45646 1200H</v>
      </c>
      <c r="D248" s="112">
        <v>974.82</v>
      </c>
      <c r="E248" s="117">
        <v>49.67</v>
      </c>
      <c r="F248" s="254">
        <v>1108.67</v>
      </c>
      <c r="G248" s="255">
        <v>6.2</v>
      </c>
      <c r="H248" s="254">
        <v>73871.66</v>
      </c>
      <c r="I248" s="239">
        <v>897.05</v>
      </c>
      <c r="J248" s="239">
        <v>33037.58</v>
      </c>
      <c r="K248" s="255">
        <v>103.34</v>
      </c>
      <c r="L248" s="254">
        <v>5585.25</v>
      </c>
      <c r="M248" s="239">
        <v>15.78</v>
      </c>
      <c r="N248" s="239">
        <v>32944.6</v>
      </c>
      <c r="O248" s="239">
        <v>28.8</v>
      </c>
      <c r="P248" s="239">
        <v>611.99</v>
      </c>
      <c r="Q248" s="239">
        <v>668.2</v>
      </c>
      <c r="R248" s="239">
        <v>9958.2999999999993</v>
      </c>
      <c r="S248" s="239">
        <v>9.0399999999999991</v>
      </c>
      <c r="T248" s="239">
        <v>35876</v>
      </c>
      <c r="U248" s="239">
        <v>69</v>
      </c>
      <c r="V248" s="239">
        <v>250.46</v>
      </c>
      <c r="W248" s="239">
        <v>0.15</v>
      </c>
      <c r="X248" s="239">
        <v>6487.28</v>
      </c>
      <c r="Y248" s="239">
        <v>0</v>
      </c>
      <c r="Z248" s="239">
        <v>54159</v>
      </c>
      <c r="AA248" s="255">
        <v>79</v>
      </c>
      <c r="AB248" s="239"/>
      <c r="AC248" s="256"/>
      <c r="AD248" s="239"/>
      <c r="AE248" s="256"/>
    </row>
    <row r="249" spans="1:31" ht="6.95" customHeight="1" x14ac:dyDescent="0.2">
      <c r="F249" s="257"/>
      <c r="G249" s="258"/>
      <c r="H249" s="257"/>
      <c r="I249" s="259"/>
      <c r="J249" s="259"/>
      <c r="K249" s="259"/>
      <c r="L249" s="257"/>
      <c r="M249" s="259"/>
      <c r="N249" s="259"/>
      <c r="O249" s="259"/>
      <c r="P249" s="259"/>
      <c r="Q249" s="259"/>
      <c r="R249" s="259"/>
      <c r="S249" s="259"/>
      <c r="T249" s="259"/>
      <c r="U249" s="259"/>
      <c r="V249" s="259"/>
      <c r="W249" s="259"/>
      <c r="X249" s="259"/>
      <c r="Y249" s="259"/>
      <c r="Z249" s="259"/>
      <c r="AA249" s="259"/>
      <c r="AB249" s="361"/>
      <c r="AC249" s="260"/>
      <c r="AD249" s="361"/>
      <c r="AE249" s="260"/>
    </row>
    <row r="250" spans="1:31" ht="15" x14ac:dyDescent="0.2">
      <c r="A250" s="103">
        <f>A247+1</f>
        <v>45647</v>
      </c>
      <c r="B250" s="103" t="s">
        <v>319</v>
      </c>
      <c r="C250" s="111" t="str">
        <f>A250 &amp; " " &amp;B250</f>
        <v>45647 0000H</v>
      </c>
      <c r="D250" s="112">
        <v>980.11</v>
      </c>
      <c r="E250" s="117">
        <v>49.67</v>
      </c>
      <c r="F250" s="254">
        <v>1108.67</v>
      </c>
      <c r="G250" s="255">
        <v>6.2</v>
      </c>
      <c r="H250" s="254">
        <v>73871.66</v>
      </c>
      <c r="I250" s="239">
        <v>897.36</v>
      </c>
      <c r="J250" s="239">
        <v>33041.26</v>
      </c>
      <c r="K250" s="255">
        <v>103.34</v>
      </c>
      <c r="L250" s="254">
        <v>5591.2</v>
      </c>
      <c r="M250" s="239">
        <v>15.78</v>
      </c>
      <c r="N250" s="239">
        <v>32952.400000000001</v>
      </c>
      <c r="O250" s="239">
        <v>28.8</v>
      </c>
      <c r="P250" s="239">
        <v>612.86</v>
      </c>
      <c r="Q250" s="239">
        <v>668.66</v>
      </c>
      <c r="R250" s="239">
        <v>9962.8799999999992</v>
      </c>
      <c r="S250" s="239">
        <v>9.0399999999999991</v>
      </c>
      <c r="T250" s="239">
        <v>35884</v>
      </c>
      <c r="U250" s="239">
        <v>69</v>
      </c>
      <c r="V250" s="239">
        <v>250.46</v>
      </c>
      <c r="W250" s="239">
        <v>0.15</v>
      </c>
      <c r="X250" s="239">
        <v>6493.55</v>
      </c>
      <c r="Y250" s="239">
        <v>0</v>
      </c>
      <c r="Z250" s="239">
        <v>54159</v>
      </c>
      <c r="AA250" s="255">
        <v>79</v>
      </c>
      <c r="AB250" s="239"/>
      <c r="AC250" s="256"/>
      <c r="AD250" s="239"/>
      <c r="AE250" s="256"/>
    </row>
    <row r="251" spans="1:31" ht="15" x14ac:dyDescent="0.2">
      <c r="A251" s="103">
        <f>A248+1</f>
        <v>45647</v>
      </c>
      <c r="B251" s="103" t="s">
        <v>147</v>
      </c>
      <c r="C251" s="111" t="str">
        <f>A251 &amp; " " &amp;B251</f>
        <v>45647 1200H</v>
      </c>
      <c r="D251" s="112">
        <v>983.76</v>
      </c>
      <c r="E251" s="117">
        <v>49.67</v>
      </c>
      <c r="F251" s="254">
        <v>1108.67</v>
      </c>
      <c r="G251" s="255">
        <v>6.2</v>
      </c>
      <c r="H251" s="254">
        <v>73871.66</v>
      </c>
      <c r="I251" s="239">
        <v>897.64</v>
      </c>
      <c r="J251" s="239">
        <v>33042.75</v>
      </c>
      <c r="K251" s="255">
        <v>103.39</v>
      </c>
      <c r="L251" s="254">
        <v>5596.61</v>
      </c>
      <c r="M251" s="239">
        <v>15.78</v>
      </c>
      <c r="N251" s="239">
        <v>32959.599999999999</v>
      </c>
      <c r="O251" s="239">
        <v>28.8</v>
      </c>
      <c r="P251" s="239">
        <v>612.9</v>
      </c>
      <c r="Q251" s="239">
        <v>669.96</v>
      </c>
      <c r="R251" s="239">
        <v>9966.81</v>
      </c>
      <c r="S251" s="239">
        <v>9.0399999999999991</v>
      </c>
      <c r="T251" s="239">
        <v>35890</v>
      </c>
      <c r="U251" s="239">
        <v>69</v>
      </c>
      <c r="V251" s="239">
        <v>256.12</v>
      </c>
      <c r="W251" s="239">
        <v>0.15</v>
      </c>
      <c r="X251" s="239">
        <v>6499.63</v>
      </c>
      <c r="Y251" s="239">
        <v>0</v>
      </c>
      <c r="Z251" s="239">
        <v>54159</v>
      </c>
      <c r="AA251" s="255">
        <v>79</v>
      </c>
      <c r="AB251" s="239"/>
      <c r="AC251" s="256"/>
      <c r="AD251" s="239"/>
      <c r="AE251" s="256"/>
    </row>
    <row r="252" spans="1:31" ht="6.95" customHeight="1" x14ac:dyDescent="0.2">
      <c r="F252" s="257"/>
      <c r="G252" s="258"/>
      <c r="H252" s="257"/>
      <c r="I252" s="259"/>
      <c r="J252" s="259"/>
      <c r="K252" s="259"/>
      <c r="L252" s="257"/>
      <c r="M252" s="259"/>
      <c r="N252" s="259"/>
      <c r="O252" s="259"/>
      <c r="P252" s="259"/>
      <c r="Q252" s="259"/>
      <c r="R252" s="259"/>
      <c r="S252" s="259"/>
      <c r="T252" s="259"/>
      <c r="U252" s="259"/>
      <c r="V252" s="259"/>
      <c r="W252" s="259"/>
      <c r="X252" s="259"/>
      <c r="Y252" s="259"/>
      <c r="Z252" s="259"/>
      <c r="AA252" s="259"/>
      <c r="AB252" s="361"/>
      <c r="AC252" s="260"/>
      <c r="AD252" s="361"/>
      <c r="AE252" s="260"/>
    </row>
    <row r="253" spans="1:31" ht="15" x14ac:dyDescent="0.2">
      <c r="A253" s="103">
        <f>A250+1</f>
        <v>45648</v>
      </c>
      <c r="B253" s="103" t="s">
        <v>319</v>
      </c>
      <c r="C253" s="111" t="str">
        <f>A253 &amp; " " &amp;B253</f>
        <v>45648 0000H</v>
      </c>
      <c r="D253" s="112">
        <v>988.88</v>
      </c>
      <c r="E253" s="117">
        <v>49.67</v>
      </c>
      <c r="F253" s="254">
        <v>1108.67</v>
      </c>
      <c r="G253" s="255">
        <v>6.2</v>
      </c>
      <c r="H253" s="254">
        <v>73871.66</v>
      </c>
      <c r="I253" s="239">
        <v>897.98</v>
      </c>
      <c r="J253" s="239">
        <v>33046.44</v>
      </c>
      <c r="K253" s="255">
        <v>103.39</v>
      </c>
      <c r="L253" s="254">
        <v>5602.27</v>
      </c>
      <c r="M253" s="239">
        <v>15.78</v>
      </c>
      <c r="N253" s="239">
        <v>32963.4</v>
      </c>
      <c r="O253" s="239">
        <v>28.8</v>
      </c>
      <c r="P253" s="239">
        <v>613.08000000000004</v>
      </c>
      <c r="Q253" s="239">
        <v>670.77</v>
      </c>
      <c r="R253" s="239">
        <v>9971</v>
      </c>
      <c r="S253" s="239">
        <v>9.0399999999999991</v>
      </c>
      <c r="T253" s="239">
        <v>35896</v>
      </c>
      <c r="U253" s="239">
        <v>69</v>
      </c>
      <c r="V253" s="239">
        <v>256.12</v>
      </c>
      <c r="W253" s="239">
        <v>0.15</v>
      </c>
      <c r="X253" s="239">
        <v>6506.14</v>
      </c>
      <c r="Y253" s="239">
        <v>0</v>
      </c>
      <c r="Z253" s="239">
        <v>54159</v>
      </c>
      <c r="AA253" s="255">
        <v>79</v>
      </c>
      <c r="AB253" s="239"/>
      <c r="AC253" s="256"/>
      <c r="AD253" s="239"/>
      <c r="AE253" s="256"/>
    </row>
    <row r="254" spans="1:31" ht="15" x14ac:dyDescent="0.2">
      <c r="A254" s="103">
        <f>A251+1</f>
        <v>45648</v>
      </c>
      <c r="B254" s="103" t="s">
        <v>147</v>
      </c>
      <c r="C254" s="111" t="str">
        <f>A254 &amp; " " &amp;B254</f>
        <v>45648 1200H</v>
      </c>
      <c r="D254" s="112">
        <v>993.81</v>
      </c>
      <c r="E254" s="117">
        <v>49.67</v>
      </c>
      <c r="F254" s="254">
        <v>1108.67</v>
      </c>
      <c r="G254" s="255">
        <v>6.2</v>
      </c>
      <c r="H254" s="254">
        <v>73871.66</v>
      </c>
      <c r="I254" s="239">
        <v>898.29</v>
      </c>
      <c r="J254" s="239">
        <v>33046.53</v>
      </c>
      <c r="K254" s="255">
        <v>103.43</v>
      </c>
      <c r="L254" s="254">
        <v>5605.11</v>
      </c>
      <c r="M254" s="239">
        <v>15.78</v>
      </c>
      <c r="N254" s="239">
        <v>32967.5</v>
      </c>
      <c r="O254" s="239">
        <v>28.8</v>
      </c>
      <c r="P254" s="239">
        <v>615</v>
      </c>
      <c r="Q254" s="239">
        <v>670.77</v>
      </c>
      <c r="R254" s="239">
        <v>9973.01</v>
      </c>
      <c r="S254" s="239">
        <v>9.0399999999999991</v>
      </c>
      <c r="T254" s="239">
        <v>35901</v>
      </c>
      <c r="U254" s="239">
        <v>69</v>
      </c>
      <c r="V254" s="239">
        <v>256.12</v>
      </c>
      <c r="W254" s="239">
        <v>0.15</v>
      </c>
      <c r="X254" s="239">
        <v>6511.33</v>
      </c>
      <c r="Y254" s="239">
        <v>0</v>
      </c>
      <c r="Z254" s="239">
        <v>54159</v>
      </c>
      <c r="AA254" s="255">
        <v>79</v>
      </c>
      <c r="AB254" s="239"/>
      <c r="AC254" s="256"/>
      <c r="AD254" s="239"/>
      <c r="AE254" s="256"/>
    </row>
    <row r="255" spans="1:31" ht="6.95" customHeight="1" x14ac:dyDescent="0.2">
      <c r="F255" s="257"/>
      <c r="G255" s="258"/>
      <c r="H255" s="257"/>
      <c r="I255" s="259"/>
      <c r="J255" s="259"/>
      <c r="K255" s="259"/>
      <c r="L255" s="257"/>
      <c r="M255" s="259"/>
      <c r="N255" s="259"/>
      <c r="O255" s="259"/>
      <c r="P255" s="259"/>
      <c r="Q255" s="259"/>
      <c r="R255" s="259"/>
      <c r="S255" s="259"/>
      <c r="T255" s="259"/>
      <c r="U255" s="259"/>
      <c r="V255" s="259"/>
      <c r="W255" s="259"/>
      <c r="X255" s="259"/>
      <c r="Y255" s="259"/>
      <c r="Z255" s="259"/>
      <c r="AA255" s="259"/>
      <c r="AB255" s="361"/>
      <c r="AC255" s="260"/>
      <c r="AD255" s="361"/>
      <c r="AE255" s="260"/>
    </row>
    <row r="256" spans="1:31" ht="15" x14ac:dyDescent="0.2">
      <c r="A256" s="103">
        <f>A253+1</f>
        <v>45649</v>
      </c>
      <c r="B256" s="103" t="s">
        <v>319</v>
      </c>
      <c r="C256" s="111" t="str">
        <f>A256 &amp; " " &amp;B256</f>
        <v>45649 0000H</v>
      </c>
      <c r="D256" s="112">
        <v>997.39</v>
      </c>
      <c r="E256" s="117">
        <v>49.67</v>
      </c>
      <c r="F256" s="254">
        <v>1108.67</v>
      </c>
      <c r="G256" s="255">
        <v>6.2</v>
      </c>
      <c r="H256" s="254">
        <v>73871.66</v>
      </c>
      <c r="I256" s="239">
        <v>898.6</v>
      </c>
      <c r="J256" s="239">
        <v>33050</v>
      </c>
      <c r="K256" s="255">
        <v>103.39</v>
      </c>
      <c r="L256" s="254">
        <v>5610.37</v>
      </c>
      <c r="M256" s="239">
        <v>15.78</v>
      </c>
      <c r="N256" s="239">
        <v>32974.699999999997</v>
      </c>
      <c r="O256" s="239">
        <v>28.8</v>
      </c>
      <c r="P256" s="239">
        <v>615.16</v>
      </c>
      <c r="Q256" s="239">
        <v>672</v>
      </c>
      <c r="R256" s="239">
        <v>9977.1</v>
      </c>
      <c r="S256" s="239">
        <v>9.0399999999999991</v>
      </c>
      <c r="T256" s="239">
        <v>35907</v>
      </c>
      <c r="U256" s="239">
        <v>69</v>
      </c>
      <c r="V256" s="239">
        <v>256.12</v>
      </c>
      <c r="W256" s="239">
        <v>0.15</v>
      </c>
      <c r="X256" s="239">
        <v>6516.81</v>
      </c>
      <c r="Y256" s="239">
        <v>0</v>
      </c>
      <c r="Z256" s="239">
        <v>54159</v>
      </c>
      <c r="AA256" s="255">
        <v>79</v>
      </c>
      <c r="AB256" s="239"/>
      <c r="AC256" s="256"/>
      <c r="AD256" s="239"/>
      <c r="AE256" s="256"/>
    </row>
    <row r="257" spans="1:31" ht="15" x14ac:dyDescent="0.2">
      <c r="A257" s="103">
        <f>A254+1</f>
        <v>45649</v>
      </c>
      <c r="B257" s="103" t="s">
        <v>147</v>
      </c>
      <c r="C257" s="111" t="str">
        <f>A257 &amp; " " &amp;B257</f>
        <v>45649 1200H</v>
      </c>
      <c r="D257" s="112">
        <v>1001.56</v>
      </c>
      <c r="E257" s="117">
        <v>49.67</v>
      </c>
      <c r="F257" s="254">
        <v>1108.67</v>
      </c>
      <c r="G257" s="255">
        <v>6.2</v>
      </c>
      <c r="H257" s="254">
        <v>73871.66</v>
      </c>
      <c r="I257" s="239">
        <v>898.91</v>
      </c>
      <c r="J257" s="239">
        <v>33053.42</v>
      </c>
      <c r="K257" s="255">
        <v>103.43</v>
      </c>
      <c r="L257" s="254">
        <v>5615.87</v>
      </c>
      <c r="M257" s="239">
        <v>15.78</v>
      </c>
      <c r="N257" s="239">
        <v>32979.1</v>
      </c>
      <c r="O257" s="239">
        <v>28.8</v>
      </c>
      <c r="P257" s="239">
        <v>615.35</v>
      </c>
      <c r="Q257" s="239">
        <v>673.02</v>
      </c>
      <c r="R257" s="239">
        <v>9980.68</v>
      </c>
      <c r="S257" s="239">
        <v>9.0399999999999991</v>
      </c>
      <c r="T257" s="239">
        <v>35913</v>
      </c>
      <c r="U257" s="239">
        <v>69</v>
      </c>
      <c r="V257" s="239">
        <v>256.12</v>
      </c>
      <c r="W257" s="239">
        <v>0.15</v>
      </c>
      <c r="X257" s="239">
        <v>6522.5</v>
      </c>
      <c r="Y257" s="239">
        <v>0</v>
      </c>
      <c r="Z257" s="239">
        <v>54159</v>
      </c>
      <c r="AA257" s="255">
        <v>79</v>
      </c>
      <c r="AB257" s="239"/>
      <c r="AC257" s="256"/>
      <c r="AD257" s="239"/>
      <c r="AE257" s="256"/>
    </row>
    <row r="258" spans="1:31" ht="6.95" customHeight="1" x14ac:dyDescent="0.2">
      <c r="F258" s="257"/>
      <c r="G258" s="258"/>
      <c r="H258" s="257"/>
      <c r="I258" s="259"/>
      <c r="J258" s="259"/>
      <c r="K258" s="259"/>
      <c r="L258" s="257"/>
      <c r="M258" s="259"/>
      <c r="N258" s="259"/>
      <c r="O258" s="259"/>
      <c r="P258" s="259"/>
      <c r="Q258" s="259"/>
      <c r="R258" s="259"/>
      <c r="S258" s="259"/>
      <c r="T258" s="259"/>
      <c r="U258" s="259"/>
      <c r="V258" s="259"/>
      <c r="W258" s="259"/>
      <c r="X258" s="259"/>
      <c r="Y258" s="259"/>
      <c r="Z258" s="259"/>
      <c r="AA258" s="259"/>
      <c r="AB258" s="361"/>
      <c r="AC258" s="260"/>
      <c r="AD258" s="361"/>
      <c r="AE258" s="260"/>
    </row>
    <row r="259" spans="1:31" ht="15" x14ac:dyDescent="0.2">
      <c r="A259" s="103">
        <f>A256+1</f>
        <v>45650</v>
      </c>
      <c r="B259" s="103" t="s">
        <v>319</v>
      </c>
      <c r="C259" s="111" t="str">
        <f>A259 &amp; " " &amp;B259</f>
        <v>45650 0000H</v>
      </c>
      <c r="D259" s="112">
        <v>1005.52</v>
      </c>
      <c r="E259" s="117">
        <v>49.67</v>
      </c>
      <c r="F259" s="254">
        <v>1108.67</v>
      </c>
      <c r="G259" s="255">
        <v>6.2</v>
      </c>
      <c r="H259" s="254">
        <v>73871.66</v>
      </c>
      <c r="I259" s="239">
        <v>899.25</v>
      </c>
      <c r="J259" s="239">
        <v>33057.199999999997</v>
      </c>
      <c r="K259" s="255">
        <v>103.43</v>
      </c>
      <c r="L259" s="254">
        <v>5621.66</v>
      </c>
      <c r="M259" s="239">
        <v>15.78</v>
      </c>
      <c r="N259" s="239">
        <v>32986.400000000001</v>
      </c>
      <c r="O259" s="239">
        <v>28.8</v>
      </c>
      <c r="P259" s="239">
        <v>615.61</v>
      </c>
      <c r="Q259" s="239">
        <v>673.6</v>
      </c>
      <c r="R259" s="239">
        <v>9984.9699999999993</v>
      </c>
      <c r="S259" s="239">
        <v>9.0399999999999991</v>
      </c>
      <c r="T259" s="239">
        <v>35920</v>
      </c>
      <c r="U259" s="239">
        <v>69</v>
      </c>
      <c r="V259" s="239">
        <v>256.12</v>
      </c>
      <c r="W259" s="239">
        <v>0.15</v>
      </c>
      <c r="X259" s="239">
        <v>6529.67</v>
      </c>
      <c r="Y259" s="239">
        <v>0</v>
      </c>
      <c r="Z259" s="239">
        <v>54159</v>
      </c>
      <c r="AA259" s="255">
        <v>79</v>
      </c>
      <c r="AB259" s="239"/>
      <c r="AC259" s="256"/>
      <c r="AD259" s="239"/>
      <c r="AE259" s="256"/>
    </row>
    <row r="260" spans="1:31" ht="15" x14ac:dyDescent="0.2">
      <c r="A260" s="103">
        <f>A257+1</f>
        <v>45650</v>
      </c>
      <c r="B260" s="103" t="s">
        <v>147</v>
      </c>
      <c r="C260" s="111" t="str">
        <f>A260 &amp; " " &amp;B260</f>
        <v>45650 1200H</v>
      </c>
      <c r="D260" s="112">
        <v>1008.8</v>
      </c>
      <c r="E260" s="117">
        <v>49.67</v>
      </c>
      <c r="F260" s="254">
        <v>1108.67</v>
      </c>
      <c r="G260" s="255">
        <v>6.2</v>
      </c>
      <c r="H260" s="254">
        <v>73872.92</v>
      </c>
      <c r="I260" s="239">
        <v>899.6</v>
      </c>
      <c r="J260" s="239">
        <v>33060.480000000003</v>
      </c>
      <c r="K260" s="255">
        <v>103.43</v>
      </c>
      <c r="L260" s="254">
        <v>5627.01</v>
      </c>
      <c r="M260" s="239">
        <v>15.78</v>
      </c>
      <c r="N260" s="239">
        <v>32990.300000000003</v>
      </c>
      <c r="O260" s="239">
        <v>28.8</v>
      </c>
      <c r="P260" s="239">
        <v>615.71</v>
      </c>
      <c r="Q260" s="239">
        <v>674.92</v>
      </c>
      <c r="R260" s="239">
        <v>9988.69</v>
      </c>
      <c r="S260" s="239">
        <v>9.0399999999999991</v>
      </c>
      <c r="T260" s="239">
        <v>35926</v>
      </c>
      <c r="U260" s="239">
        <v>69</v>
      </c>
      <c r="V260" s="239">
        <v>256.12</v>
      </c>
      <c r="W260" s="239">
        <v>0.15</v>
      </c>
      <c r="X260" s="239">
        <v>6535.59</v>
      </c>
      <c r="Y260" s="239">
        <v>0</v>
      </c>
      <c r="Z260" s="239">
        <v>54159</v>
      </c>
      <c r="AA260" s="255">
        <v>79</v>
      </c>
      <c r="AB260" s="239"/>
      <c r="AC260" s="256"/>
      <c r="AD260" s="239"/>
      <c r="AE260" s="256"/>
    </row>
    <row r="261" spans="1:31" ht="6.95" customHeight="1" x14ac:dyDescent="0.2">
      <c r="F261" s="257"/>
      <c r="G261" s="258"/>
      <c r="H261" s="257"/>
      <c r="I261" s="259"/>
      <c r="J261" s="259"/>
      <c r="K261" s="259"/>
      <c r="L261" s="257"/>
      <c r="M261" s="259"/>
      <c r="N261" s="259"/>
      <c r="O261" s="259"/>
      <c r="P261" s="259"/>
      <c r="Q261" s="259"/>
      <c r="R261" s="259"/>
      <c r="S261" s="259"/>
      <c r="T261" s="259"/>
      <c r="U261" s="259"/>
      <c r="V261" s="259"/>
      <c r="W261" s="259"/>
      <c r="X261" s="259"/>
      <c r="Y261" s="259"/>
      <c r="Z261" s="259"/>
      <c r="AA261" s="259"/>
      <c r="AB261" s="361"/>
      <c r="AC261" s="260"/>
      <c r="AD261" s="361"/>
      <c r="AE261" s="260"/>
    </row>
    <row r="262" spans="1:31" ht="15" x14ac:dyDescent="0.2">
      <c r="A262" s="103">
        <f>A259+1</f>
        <v>45651</v>
      </c>
      <c r="B262" s="103" t="s">
        <v>319</v>
      </c>
      <c r="C262" s="111" t="str">
        <f>A262 &amp; " " &amp;B262</f>
        <v>45651 0000H</v>
      </c>
      <c r="D262" s="112">
        <v>1013.08</v>
      </c>
      <c r="E262" s="117">
        <v>49.67</v>
      </c>
      <c r="F262" s="254">
        <v>1108.67</v>
      </c>
      <c r="G262" s="255">
        <v>6.2</v>
      </c>
      <c r="H262" s="254">
        <v>73883.14</v>
      </c>
      <c r="I262" s="239">
        <v>899.6</v>
      </c>
      <c r="J262" s="239">
        <v>33064.239999999998</v>
      </c>
      <c r="K262" s="255">
        <v>103.43</v>
      </c>
      <c r="L262" s="254">
        <v>5632.72</v>
      </c>
      <c r="M262" s="239">
        <v>15.78</v>
      </c>
      <c r="N262" s="239">
        <v>32997.599999999999</v>
      </c>
      <c r="O262" s="239">
        <v>28.8</v>
      </c>
      <c r="P262" s="239">
        <v>615.75</v>
      </c>
      <c r="Q262" s="239">
        <v>676.42</v>
      </c>
      <c r="R262" s="239">
        <v>9993.4</v>
      </c>
      <c r="S262" s="239">
        <v>9.0399999999999991</v>
      </c>
      <c r="T262" s="239">
        <v>35933</v>
      </c>
      <c r="U262" s="239">
        <v>69</v>
      </c>
      <c r="V262" s="239">
        <v>256.12</v>
      </c>
      <c r="W262" s="239">
        <v>0.15</v>
      </c>
      <c r="X262" s="239">
        <v>6542.92</v>
      </c>
      <c r="Y262" s="239">
        <v>0</v>
      </c>
      <c r="Z262" s="239">
        <v>54159</v>
      </c>
      <c r="AA262" s="255">
        <v>79</v>
      </c>
      <c r="AB262" s="239"/>
      <c r="AC262" s="256"/>
      <c r="AD262" s="239"/>
      <c r="AE262" s="256"/>
    </row>
    <row r="263" spans="1:31" ht="15" x14ac:dyDescent="0.2">
      <c r="A263" s="103">
        <f>A260+1</f>
        <v>45651</v>
      </c>
      <c r="B263" s="103" t="s">
        <v>147</v>
      </c>
      <c r="C263" s="111" t="str">
        <f>A263 &amp; " " &amp;B263</f>
        <v>45651 1200H</v>
      </c>
      <c r="D263" s="112">
        <v>1016.42</v>
      </c>
      <c r="E263" s="117">
        <v>49.63</v>
      </c>
      <c r="F263" s="254">
        <v>1108.67</v>
      </c>
      <c r="G263" s="255">
        <v>6.2</v>
      </c>
      <c r="H263" s="254">
        <v>73885.84</v>
      </c>
      <c r="I263" s="239">
        <v>899.96</v>
      </c>
      <c r="J263" s="239">
        <v>33067.83</v>
      </c>
      <c r="K263" s="255">
        <v>103.43</v>
      </c>
      <c r="L263" s="254">
        <v>5638.25</v>
      </c>
      <c r="M263" s="239">
        <v>15.78</v>
      </c>
      <c r="N263" s="239">
        <v>33001.4</v>
      </c>
      <c r="O263" s="239">
        <v>28.8</v>
      </c>
      <c r="P263" s="239">
        <v>615.78</v>
      </c>
      <c r="Q263" s="239">
        <v>677.7</v>
      </c>
      <c r="R263" s="239">
        <v>9997.1</v>
      </c>
      <c r="S263" s="239">
        <v>9.0399999999999991</v>
      </c>
      <c r="T263" s="239">
        <v>35939</v>
      </c>
      <c r="U263" s="239">
        <v>69</v>
      </c>
      <c r="V263" s="239">
        <v>256.12</v>
      </c>
      <c r="W263" s="239">
        <v>0.15</v>
      </c>
      <c r="X263" s="239">
        <v>6548.4</v>
      </c>
      <c r="Y263" s="239">
        <v>0</v>
      </c>
      <c r="Z263" s="239">
        <v>54159</v>
      </c>
      <c r="AA263" s="255">
        <v>79</v>
      </c>
      <c r="AB263" s="239"/>
      <c r="AC263" s="256"/>
      <c r="AD263" s="239"/>
      <c r="AE263" s="256"/>
    </row>
    <row r="264" spans="1:31" ht="6.95" customHeight="1" x14ac:dyDescent="0.2">
      <c r="F264" s="257"/>
      <c r="G264" s="258"/>
      <c r="H264" s="257"/>
      <c r="I264" s="259"/>
      <c r="J264" s="259"/>
      <c r="K264" s="259"/>
      <c r="L264" s="257"/>
      <c r="M264" s="259"/>
      <c r="N264" s="259"/>
      <c r="O264" s="259"/>
      <c r="P264" s="259"/>
      <c r="Q264" s="259"/>
      <c r="R264" s="259"/>
      <c r="S264" s="259"/>
      <c r="T264" s="259"/>
      <c r="U264" s="259"/>
      <c r="V264" s="259"/>
      <c r="W264" s="259"/>
      <c r="X264" s="259"/>
      <c r="Y264" s="259"/>
      <c r="Z264" s="259"/>
      <c r="AA264" s="259"/>
      <c r="AB264" s="361"/>
      <c r="AC264" s="260"/>
      <c r="AD264" s="361"/>
      <c r="AE264" s="260"/>
    </row>
    <row r="265" spans="1:31" ht="15" x14ac:dyDescent="0.2">
      <c r="A265" s="103">
        <f>A262+1</f>
        <v>45652</v>
      </c>
      <c r="B265" s="103" t="s">
        <v>319</v>
      </c>
      <c r="C265" s="111" t="str">
        <f>A265 &amp; " " &amp;B265</f>
        <v>45652 0000H</v>
      </c>
      <c r="D265" s="112">
        <v>1019.57</v>
      </c>
      <c r="E265" s="117">
        <v>49.63</v>
      </c>
      <c r="F265" s="254">
        <v>1108.67</v>
      </c>
      <c r="G265" s="255">
        <v>6.2</v>
      </c>
      <c r="H265" s="254">
        <v>73895.92</v>
      </c>
      <c r="I265" s="239">
        <v>899.96</v>
      </c>
      <c r="J265" s="239">
        <v>33071.17</v>
      </c>
      <c r="K265" s="255">
        <v>103.44</v>
      </c>
      <c r="L265" s="254">
        <v>5643.98</v>
      </c>
      <c r="M265" s="239">
        <v>15.78</v>
      </c>
      <c r="N265" s="239">
        <v>33008.699999999997</v>
      </c>
      <c r="O265" s="239">
        <v>28.8</v>
      </c>
      <c r="P265" s="239">
        <v>615.91999999999996</v>
      </c>
      <c r="Q265" s="239">
        <v>678.6</v>
      </c>
      <c r="R265" s="239">
        <v>10001.17</v>
      </c>
      <c r="S265" s="239">
        <v>9.0399999999999991</v>
      </c>
      <c r="T265" s="239">
        <v>35946</v>
      </c>
      <c r="U265" s="239">
        <v>69</v>
      </c>
      <c r="V265" s="239">
        <v>256.12</v>
      </c>
      <c r="W265" s="239">
        <v>0.15</v>
      </c>
      <c r="X265" s="239">
        <v>6555.54</v>
      </c>
      <c r="Y265" s="239">
        <v>0</v>
      </c>
      <c r="Z265" s="239">
        <v>54159</v>
      </c>
      <c r="AA265" s="255">
        <v>79</v>
      </c>
      <c r="AB265" s="239"/>
      <c r="AC265" s="256"/>
      <c r="AD265" s="239"/>
      <c r="AE265" s="256"/>
    </row>
    <row r="266" spans="1:31" ht="15" x14ac:dyDescent="0.2">
      <c r="A266" s="103">
        <f>A263+1</f>
        <v>45652</v>
      </c>
      <c r="B266" s="103" t="s">
        <v>147</v>
      </c>
      <c r="C266" s="111" t="str">
        <f>A266 &amp; " " &amp;B266</f>
        <v>45652 1200H</v>
      </c>
      <c r="D266" s="112">
        <v>1023.26</v>
      </c>
      <c r="E266" s="117">
        <v>49.67</v>
      </c>
      <c r="F266" s="254">
        <v>1108.67</v>
      </c>
      <c r="G266" s="255">
        <v>6.2</v>
      </c>
      <c r="H266" s="254">
        <v>73903.710000000006</v>
      </c>
      <c r="I266" s="239">
        <v>900.06</v>
      </c>
      <c r="J266" s="239">
        <v>33072.1</v>
      </c>
      <c r="K266" s="255">
        <v>103.51</v>
      </c>
      <c r="L266" s="254">
        <v>5649.67</v>
      </c>
      <c r="M266" s="239">
        <v>15.78</v>
      </c>
      <c r="N266" s="239">
        <v>33012.1</v>
      </c>
      <c r="O266" s="239">
        <v>28.8</v>
      </c>
      <c r="P266" s="239">
        <v>616.17999999999995</v>
      </c>
      <c r="Q266" s="239">
        <v>679.46</v>
      </c>
      <c r="R266" s="239">
        <v>10004.879999999999</v>
      </c>
      <c r="S266" s="239">
        <v>9.0399999999999991</v>
      </c>
      <c r="T266" s="239">
        <v>35952</v>
      </c>
      <c r="U266" s="239">
        <v>69</v>
      </c>
      <c r="V266" s="239">
        <v>256.12</v>
      </c>
      <c r="W266" s="239">
        <v>0.15</v>
      </c>
      <c r="X266" s="239">
        <v>6561.38</v>
      </c>
      <c r="Y266" s="239">
        <v>0</v>
      </c>
      <c r="Z266" s="239">
        <v>54159</v>
      </c>
      <c r="AA266" s="255">
        <v>79</v>
      </c>
      <c r="AB266" s="239"/>
      <c r="AC266" s="256"/>
      <c r="AD266" s="239"/>
      <c r="AE266" s="256"/>
    </row>
    <row r="267" spans="1:31" ht="6.95" customHeight="1" x14ac:dyDescent="0.2">
      <c r="F267" s="257"/>
      <c r="G267" s="258"/>
      <c r="H267" s="257"/>
      <c r="I267" s="259"/>
      <c r="J267" s="259"/>
      <c r="K267" s="259"/>
      <c r="L267" s="257"/>
      <c r="M267" s="259"/>
      <c r="N267" s="259"/>
      <c r="O267" s="259"/>
      <c r="P267" s="259"/>
      <c r="Q267" s="259"/>
      <c r="R267" s="259"/>
      <c r="S267" s="259"/>
      <c r="T267" s="259"/>
      <c r="U267" s="259"/>
      <c r="V267" s="259"/>
      <c r="W267" s="259"/>
      <c r="X267" s="259"/>
      <c r="Y267" s="259"/>
      <c r="Z267" s="259"/>
      <c r="AA267" s="259"/>
      <c r="AB267" s="361"/>
      <c r="AC267" s="260"/>
      <c r="AD267" s="361"/>
      <c r="AE267" s="260"/>
    </row>
    <row r="268" spans="1:31" ht="15" x14ac:dyDescent="0.2">
      <c r="A268" s="103">
        <f>A265+1</f>
        <v>45653</v>
      </c>
      <c r="B268" s="103" t="s">
        <v>319</v>
      </c>
      <c r="C268" s="111" t="str">
        <f>A268 &amp; " " &amp;B268</f>
        <v>45653 0000H</v>
      </c>
      <c r="D268" s="112">
        <v>1027.92</v>
      </c>
      <c r="E268" s="117">
        <v>49.67</v>
      </c>
      <c r="F268" s="254">
        <v>1108.67</v>
      </c>
      <c r="G268" s="255">
        <v>6.2</v>
      </c>
      <c r="H268" s="254">
        <v>73989.56</v>
      </c>
      <c r="I268" s="239">
        <v>900.24</v>
      </c>
      <c r="J268" s="239">
        <v>33074.92</v>
      </c>
      <c r="K268" s="255">
        <v>103.53</v>
      </c>
      <c r="L268" s="254">
        <v>5655.43</v>
      </c>
      <c r="M268" s="239">
        <v>15.78</v>
      </c>
      <c r="N268" s="239">
        <v>33019.599999999999</v>
      </c>
      <c r="O268" s="239">
        <v>28.8</v>
      </c>
      <c r="P268" s="239">
        <v>616.62</v>
      </c>
      <c r="Q268" s="239">
        <v>680.47</v>
      </c>
      <c r="R268" s="239">
        <v>10009.16</v>
      </c>
      <c r="S268" s="239">
        <v>9.02</v>
      </c>
      <c r="T268" s="239">
        <v>35960</v>
      </c>
      <c r="U268" s="239">
        <v>69</v>
      </c>
      <c r="V268" s="239">
        <v>256.12</v>
      </c>
      <c r="W268" s="239">
        <v>0.15</v>
      </c>
      <c r="X268" s="239">
        <v>6568.06</v>
      </c>
      <c r="Y268" s="239">
        <v>0</v>
      </c>
      <c r="Z268" s="239">
        <v>54159</v>
      </c>
      <c r="AA268" s="255">
        <v>79</v>
      </c>
      <c r="AB268" s="239"/>
      <c r="AC268" s="256"/>
      <c r="AD268" s="239"/>
      <c r="AE268" s="256"/>
    </row>
    <row r="269" spans="1:31" ht="15" x14ac:dyDescent="0.2">
      <c r="A269" s="103">
        <f>A266+1</f>
        <v>45653</v>
      </c>
      <c r="B269" s="103" t="s">
        <v>147</v>
      </c>
      <c r="C269" s="111" t="str">
        <f>A269 &amp; " " &amp;B269</f>
        <v>45653 1200H</v>
      </c>
      <c r="D269" s="112"/>
      <c r="E269" s="117"/>
      <c r="F269" s="254">
        <v>1108.67</v>
      </c>
      <c r="G269" s="255">
        <v>6.2</v>
      </c>
      <c r="H269" s="254">
        <v>73916.89</v>
      </c>
      <c r="I269" s="239">
        <v>900.34</v>
      </c>
      <c r="J269" s="239">
        <v>33075.519999999997</v>
      </c>
      <c r="K269" s="255">
        <v>103.58</v>
      </c>
      <c r="L269" s="254">
        <v>5659.33</v>
      </c>
      <c r="M269" s="239">
        <v>15.78</v>
      </c>
      <c r="N269" s="239">
        <v>33024.6</v>
      </c>
      <c r="O269" s="239">
        <v>28.8</v>
      </c>
      <c r="P269" s="239">
        <v>616.70000000000005</v>
      </c>
      <c r="Q269" s="239">
        <v>861.09</v>
      </c>
      <c r="R269" s="239">
        <v>10012.31</v>
      </c>
      <c r="S269" s="239">
        <v>9.0399999999999991</v>
      </c>
      <c r="T269" s="239">
        <v>35966</v>
      </c>
      <c r="U269" s="239">
        <v>69</v>
      </c>
      <c r="V269" s="239">
        <v>256.12</v>
      </c>
      <c r="W269" s="239">
        <v>0.15</v>
      </c>
      <c r="X269" s="239">
        <v>6573.89</v>
      </c>
      <c r="Y269" s="239">
        <v>0</v>
      </c>
      <c r="Z269" s="239">
        <v>54159</v>
      </c>
      <c r="AA269" s="255">
        <v>79</v>
      </c>
      <c r="AB269" s="239"/>
      <c r="AC269" s="256"/>
      <c r="AD269" s="239"/>
      <c r="AE269" s="256"/>
    </row>
    <row r="270" spans="1:31" ht="6.95" customHeight="1" x14ac:dyDescent="0.2">
      <c r="F270" s="257"/>
      <c r="G270" s="258"/>
      <c r="H270" s="257"/>
      <c r="I270" s="259"/>
      <c r="J270" s="259"/>
      <c r="K270" s="259"/>
      <c r="L270" s="257"/>
      <c r="M270" s="259"/>
      <c r="N270" s="259"/>
      <c r="O270" s="259"/>
      <c r="P270" s="259"/>
      <c r="Q270" s="259"/>
      <c r="R270" s="259"/>
      <c r="S270" s="259"/>
      <c r="T270" s="259"/>
      <c r="U270" s="259"/>
      <c r="V270" s="259"/>
      <c r="W270" s="259"/>
      <c r="X270" s="259"/>
      <c r="Y270" s="259"/>
      <c r="Z270" s="259"/>
      <c r="AA270" s="259"/>
      <c r="AB270" s="361"/>
      <c r="AC270" s="260"/>
      <c r="AD270" s="361"/>
      <c r="AE270" s="260"/>
    </row>
    <row r="271" spans="1:31" ht="15" x14ac:dyDescent="0.2">
      <c r="A271" s="103">
        <f>A268+1</f>
        <v>45654</v>
      </c>
      <c r="B271" s="103" t="s">
        <v>319</v>
      </c>
      <c r="C271" s="111" t="str">
        <f>A271 &amp; " " &amp;B271</f>
        <v>45654 0000H</v>
      </c>
      <c r="D271" s="112">
        <v>1035.8800000000001</v>
      </c>
      <c r="E271" s="117">
        <v>49.67</v>
      </c>
      <c r="F271" s="254">
        <v>1108.67</v>
      </c>
      <c r="G271" s="255">
        <v>6.2</v>
      </c>
      <c r="H271" s="254">
        <v>73926.94</v>
      </c>
      <c r="I271" s="239">
        <v>900.34</v>
      </c>
      <c r="J271" s="239">
        <v>33078.160000000003</v>
      </c>
      <c r="K271" s="255">
        <v>103.61</v>
      </c>
      <c r="L271" s="254">
        <v>5665.21</v>
      </c>
      <c r="M271" s="239">
        <v>15.78</v>
      </c>
      <c r="N271" s="239">
        <v>33032</v>
      </c>
      <c r="O271" s="239">
        <v>28.8</v>
      </c>
      <c r="P271" s="239">
        <v>616.76</v>
      </c>
      <c r="Q271" s="239">
        <v>682.05</v>
      </c>
      <c r="R271" s="239">
        <v>10016.540000000001</v>
      </c>
      <c r="S271" s="239">
        <v>9.0399999999999991</v>
      </c>
      <c r="T271" s="239">
        <v>35973</v>
      </c>
      <c r="U271" s="239">
        <v>69</v>
      </c>
      <c r="V271" s="239">
        <v>256.12</v>
      </c>
      <c r="W271" s="239">
        <v>0.15</v>
      </c>
      <c r="X271" s="239">
        <v>6581.05</v>
      </c>
      <c r="Y271" s="239">
        <v>0</v>
      </c>
      <c r="Z271" s="239">
        <v>54159</v>
      </c>
      <c r="AA271" s="255">
        <v>79</v>
      </c>
      <c r="AB271" s="239"/>
      <c r="AC271" s="256"/>
      <c r="AD271" s="239"/>
      <c r="AE271" s="256"/>
    </row>
    <row r="272" spans="1:31" ht="15" x14ac:dyDescent="0.2">
      <c r="A272" s="103">
        <f>A269+1</f>
        <v>45654</v>
      </c>
      <c r="B272" s="103" t="s">
        <v>147</v>
      </c>
      <c r="C272" s="111" t="str">
        <f>A272 &amp; " " &amp;B272</f>
        <v>45654 1200H</v>
      </c>
      <c r="D272" s="112">
        <v>1039.1099999999999</v>
      </c>
      <c r="E272" s="117">
        <v>49.67</v>
      </c>
      <c r="F272" s="254">
        <v>1108.67</v>
      </c>
      <c r="G272" s="255">
        <v>6.2</v>
      </c>
      <c r="H272" s="254">
        <v>73931.23</v>
      </c>
      <c r="I272" s="239">
        <v>900.57</v>
      </c>
      <c r="J272" s="239">
        <v>33078.9</v>
      </c>
      <c r="K272" s="255">
        <v>103.68</v>
      </c>
      <c r="L272" s="254">
        <v>5670.96</v>
      </c>
      <c r="M272" s="239">
        <v>15.78</v>
      </c>
      <c r="N272" s="239">
        <v>33036.400000000001</v>
      </c>
      <c r="O272" s="239">
        <v>28.8</v>
      </c>
      <c r="P272" s="239">
        <v>617.41</v>
      </c>
      <c r="Q272" s="239">
        <v>682.73</v>
      </c>
      <c r="R272" s="239">
        <v>10020.049999999999</v>
      </c>
      <c r="S272" s="239">
        <v>9.0399999999999991</v>
      </c>
      <c r="T272" s="239">
        <v>35979</v>
      </c>
      <c r="U272" s="239">
        <v>69</v>
      </c>
      <c r="V272" s="239">
        <v>256.12</v>
      </c>
      <c r="W272" s="239">
        <v>0.15</v>
      </c>
      <c r="X272" s="239">
        <v>6586.96</v>
      </c>
      <c r="Y272" s="239">
        <v>0</v>
      </c>
      <c r="Z272" s="239">
        <v>54159</v>
      </c>
      <c r="AA272" s="255">
        <v>79</v>
      </c>
      <c r="AB272" s="239"/>
      <c r="AC272" s="256"/>
      <c r="AD272" s="239"/>
      <c r="AE272" s="256"/>
    </row>
    <row r="273" spans="1:31" ht="6.95" customHeight="1" x14ac:dyDescent="0.2">
      <c r="F273" s="257"/>
      <c r="G273" s="258"/>
      <c r="H273" s="257"/>
      <c r="I273" s="259"/>
      <c r="J273" s="259"/>
      <c r="K273" s="259"/>
      <c r="L273" s="257"/>
      <c r="M273" s="259"/>
      <c r="N273" s="259"/>
      <c r="O273" s="259"/>
      <c r="P273" s="259"/>
      <c r="Q273" s="259"/>
      <c r="R273" s="259"/>
      <c r="S273" s="259"/>
      <c r="T273" s="259"/>
      <c r="U273" s="259"/>
      <c r="V273" s="259"/>
      <c r="W273" s="259"/>
      <c r="X273" s="259"/>
      <c r="Y273" s="259"/>
      <c r="Z273" s="259"/>
      <c r="AA273" s="259"/>
      <c r="AB273" s="361"/>
      <c r="AC273" s="260"/>
      <c r="AD273" s="361"/>
      <c r="AE273" s="260"/>
    </row>
    <row r="274" spans="1:31" ht="15" x14ac:dyDescent="0.2">
      <c r="A274" s="103">
        <f>A271+1</f>
        <v>45655</v>
      </c>
      <c r="B274" s="103" t="s">
        <v>319</v>
      </c>
      <c r="C274" s="111" t="str">
        <f>A274 &amp; " " &amp;B274</f>
        <v>45655 0000H</v>
      </c>
      <c r="D274" s="112">
        <v>1042.28</v>
      </c>
      <c r="E274" s="117">
        <v>49.67</v>
      </c>
      <c r="F274" s="254">
        <v>1108.67</v>
      </c>
      <c r="G274" s="255">
        <v>6.2</v>
      </c>
      <c r="H274" s="254">
        <v>73939.23</v>
      </c>
      <c r="I274" s="239">
        <v>900.68</v>
      </c>
      <c r="J274" s="239">
        <v>33082.19</v>
      </c>
      <c r="K274" s="255">
        <v>103.69</v>
      </c>
      <c r="L274" s="254">
        <v>5676.87</v>
      </c>
      <c r="M274" s="239">
        <v>15.78</v>
      </c>
      <c r="N274" s="239">
        <v>33043.9</v>
      </c>
      <c r="O274" s="239">
        <v>28.8</v>
      </c>
      <c r="P274" s="239">
        <v>617.62</v>
      </c>
      <c r="Q274" s="239">
        <v>683.62</v>
      </c>
      <c r="R274" s="239">
        <v>10024.11</v>
      </c>
      <c r="S274" s="239">
        <v>9.0399999999999991</v>
      </c>
      <c r="T274" s="239">
        <v>35985</v>
      </c>
      <c r="U274" s="239">
        <v>69</v>
      </c>
      <c r="V274" s="239">
        <v>256.12</v>
      </c>
      <c r="W274" s="239">
        <v>0.15</v>
      </c>
      <c r="X274" s="239">
        <v>6593.23</v>
      </c>
      <c r="Y274" s="239">
        <v>0</v>
      </c>
      <c r="Z274" s="239">
        <v>54159</v>
      </c>
      <c r="AA274" s="255">
        <v>79</v>
      </c>
      <c r="AB274" s="239"/>
      <c r="AC274" s="256"/>
      <c r="AD274" s="239"/>
      <c r="AE274" s="256"/>
    </row>
    <row r="275" spans="1:31" ht="15" x14ac:dyDescent="0.2">
      <c r="A275" s="103">
        <f>A272+1</f>
        <v>45655</v>
      </c>
      <c r="B275" s="103" t="s">
        <v>147</v>
      </c>
      <c r="C275" s="111" t="str">
        <f>A275 &amp; " " &amp;B275</f>
        <v>45655 1200H</v>
      </c>
      <c r="D275" s="112">
        <v>1044.8699999999999</v>
      </c>
      <c r="E275" s="117">
        <v>49.67</v>
      </c>
      <c r="F275" s="254">
        <v>1108.67</v>
      </c>
      <c r="G275" s="255">
        <v>6.2</v>
      </c>
      <c r="H275" s="254">
        <v>73947.149999999994</v>
      </c>
      <c r="I275" s="239">
        <v>900.69</v>
      </c>
      <c r="J275" s="239">
        <v>33082.58</v>
      </c>
      <c r="K275" s="255">
        <v>103.74</v>
      </c>
      <c r="L275" s="254">
        <v>5681.01</v>
      </c>
      <c r="M275" s="239">
        <v>15.78</v>
      </c>
      <c r="N275" s="239">
        <v>33045.4</v>
      </c>
      <c r="O275" s="239">
        <v>28.9</v>
      </c>
      <c r="P275" s="239">
        <v>617.65</v>
      </c>
      <c r="Q275" s="239">
        <v>684.46</v>
      </c>
      <c r="R275" s="239">
        <v>10026.620000000001</v>
      </c>
      <c r="S275" s="239">
        <v>9.0399999999999991</v>
      </c>
      <c r="T275" s="239">
        <v>35990</v>
      </c>
      <c r="U275" s="239">
        <v>69</v>
      </c>
      <c r="V275" s="239">
        <v>256.12</v>
      </c>
      <c r="W275" s="239">
        <v>0.15</v>
      </c>
      <c r="X275" s="239">
        <v>6598.6</v>
      </c>
      <c r="Y275" s="239">
        <v>0</v>
      </c>
      <c r="Z275" s="239">
        <v>54159</v>
      </c>
      <c r="AA275" s="255">
        <v>79</v>
      </c>
      <c r="AB275" s="239"/>
      <c r="AC275" s="256"/>
      <c r="AD275" s="239"/>
      <c r="AE275" s="256"/>
    </row>
    <row r="276" spans="1:31" ht="6.95" customHeight="1" x14ac:dyDescent="0.2">
      <c r="F276" s="257"/>
      <c r="G276" s="258"/>
      <c r="H276" s="257"/>
      <c r="I276" s="259"/>
      <c r="J276" s="259"/>
      <c r="K276" s="259"/>
      <c r="L276" s="257"/>
      <c r="M276" s="259"/>
      <c r="N276" s="259"/>
      <c r="O276" s="259"/>
      <c r="P276" s="259"/>
      <c r="Q276" s="259"/>
      <c r="R276" s="259"/>
      <c r="S276" s="259"/>
      <c r="T276" s="259"/>
      <c r="U276" s="259"/>
      <c r="V276" s="259"/>
      <c r="W276" s="259"/>
      <c r="X276" s="259"/>
      <c r="Y276" s="259"/>
      <c r="Z276" s="259"/>
      <c r="AA276" s="259"/>
      <c r="AB276" s="361"/>
      <c r="AC276" s="260"/>
      <c r="AD276" s="361"/>
      <c r="AE276" s="260"/>
    </row>
    <row r="277" spans="1:31" ht="15" x14ac:dyDescent="0.2">
      <c r="A277" s="103">
        <f>A274+1</f>
        <v>45656</v>
      </c>
      <c r="B277" s="103" t="s">
        <v>319</v>
      </c>
      <c r="C277" s="111" t="str">
        <f>A277 &amp; " " &amp;B277</f>
        <v>45656 0000H</v>
      </c>
      <c r="D277" s="112">
        <v>1048.21</v>
      </c>
      <c r="E277" s="117">
        <v>49.67</v>
      </c>
      <c r="F277" s="254">
        <v>1108.67</v>
      </c>
      <c r="G277" s="255">
        <v>6.2</v>
      </c>
      <c r="H277" s="254">
        <v>73957.41</v>
      </c>
      <c r="I277" s="239">
        <v>900.69</v>
      </c>
      <c r="J277" s="239">
        <v>33086.239999999998</v>
      </c>
      <c r="K277" s="255">
        <v>103.74</v>
      </c>
      <c r="L277" s="254">
        <v>5686.24</v>
      </c>
      <c r="M277" s="239">
        <v>15.78</v>
      </c>
      <c r="N277" s="239">
        <v>33086.239999999998</v>
      </c>
      <c r="O277" s="239">
        <v>28.9</v>
      </c>
      <c r="P277" s="239">
        <v>617.92999999999995</v>
      </c>
      <c r="Q277" s="239">
        <v>685.2</v>
      </c>
      <c r="R277" s="239">
        <v>10030.950000000001</v>
      </c>
      <c r="S277" s="239">
        <v>9.0399999999999991</v>
      </c>
      <c r="T277" s="239">
        <v>35997</v>
      </c>
      <c r="U277" s="239">
        <v>69</v>
      </c>
      <c r="V277" s="239">
        <v>256.12</v>
      </c>
      <c r="W277" s="239">
        <v>0.15</v>
      </c>
      <c r="X277" s="239">
        <v>6605.22</v>
      </c>
      <c r="Y277" s="239">
        <v>0</v>
      </c>
      <c r="Z277" s="239">
        <v>54159</v>
      </c>
      <c r="AA277" s="255">
        <v>79</v>
      </c>
      <c r="AB277" s="239"/>
      <c r="AC277" s="256"/>
      <c r="AD277" s="239"/>
      <c r="AE277" s="256"/>
    </row>
    <row r="278" spans="1:31" ht="15" x14ac:dyDescent="0.2">
      <c r="A278" s="103">
        <f>A275+1</f>
        <v>45656</v>
      </c>
      <c r="B278" s="103" t="s">
        <v>147</v>
      </c>
      <c r="C278" s="111" t="str">
        <f>A278 &amp; " " &amp;B278</f>
        <v>45656 1200H</v>
      </c>
      <c r="D278" s="112">
        <v>1051.29</v>
      </c>
      <c r="E278" s="117">
        <v>49.67</v>
      </c>
      <c r="F278" s="254">
        <v>1108.67</v>
      </c>
      <c r="G278" s="255">
        <v>6.2</v>
      </c>
      <c r="H278" s="254">
        <v>73962.58</v>
      </c>
      <c r="I278" s="239">
        <v>900.94</v>
      </c>
      <c r="J278" s="239">
        <v>33087</v>
      </c>
      <c r="K278" s="255">
        <v>103.78</v>
      </c>
      <c r="L278" s="254">
        <v>5692.45</v>
      </c>
      <c r="M278" s="239">
        <v>15.78</v>
      </c>
      <c r="N278" s="239">
        <v>33056.5</v>
      </c>
      <c r="O278" s="239">
        <v>28.9</v>
      </c>
      <c r="P278" s="239">
        <v>617.98</v>
      </c>
      <c r="Q278" s="239">
        <v>686.12</v>
      </c>
      <c r="R278" s="239">
        <v>10034.58</v>
      </c>
      <c r="S278" s="239">
        <v>9.0399999999999991</v>
      </c>
      <c r="T278" s="239">
        <v>36002</v>
      </c>
      <c r="U278" s="239">
        <v>69</v>
      </c>
      <c r="V278" s="239">
        <v>256.12</v>
      </c>
      <c r="W278" s="239">
        <v>0.15</v>
      </c>
      <c r="X278" s="239">
        <v>6610.74</v>
      </c>
      <c r="Y278" s="239">
        <v>0</v>
      </c>
      <c r="Z278" s="239">
        <v>54159</v>
      </c>
      <c r="AA278" s="255">
        <v>79</v>
      </c>
      <c r="AB278" s="239"/>
      <c r="AC278" s="256"/>
      <c r="AD278" s="239"/>
      <c r="AE278" s="256"/>
    </row>
    <row r="279" spans="1:31" ht="6.95" customHeight="1" x14ac:dyDescent="0.2">
      <c r="E279" s="105"/>
      <c r="G279" s="105"/>
      <c r="I279" s="105"/>
      <c r="J279" s="105"/>
      <c r="K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  <c r="Y279" s="105"/>
      <c r="Z279" s="105"/>
    </row>
    <row r="280" spans="1:31" ht="15" x14ac:dyDescent="0.2">
      <c r="A280" s="103">
        <f>A277+1</f>
        <v>45657</v>
      </c>
      <c r="B280" s="103" t="s">
        <v>319</v>
      </c>
      <c r="C280" s="111" t="str">
        <f>A280 &amp; " " &amp;B280</f>
        <v>45657 0000H</v>
      </c>
      <c r="D280" s="112">
        <v>1055.69</v>
      </c>
      <c r="E280" s="117">
        <v>49.67</v>
      </c>
      <c r="F280" s="254">
        <v>1108.67</v>
      </c>
      <c r="G280" s="255">
        <v>6.2</v>
      </c>
      <c r="H280" s="112">
        <v>73972.899999999994</v>
      </c>
      <c r="I280" s="104">
        <v>900.94</v>
      </c>
      <c r="J280" s="104">
        <v>33088.19</v>
      </c>
      <c r="K280" s="117">
        <v>103.83</v>
      </c>
      <c r="L280" s="112">
        <v>5698.17</v>
      </c>
      <c r="M280" s="104">
        <v>15.78</v>
      </c>
      <c r="N280" s="104">
        <v>33063.699999999997</v>
      </c>
      <c r="O280" s="104">
        <v>28.9</v>
      </c>
      <c r="P280" s="104">
        <v>618.36</v>
      </c>
      <c r="Q280" s="104">
        <v>686.72</v>
      </c>
      <c r="R280" s="104">
        <v>10039.040000000001</v>
      </c>
      <c r="S280" s="104">
        <v>9.0399999999999991</v>
      </c>
      <c r="T280" s="104">
        <v>36009</v>
      </c>
      <c r="U280" s="104">
        <v>69</v>
      </c>
      <c r="V280" s="239">
        <v>256.12</v>
      </c>
      <c r="W280" s="239">
        <v>0.15</v>
      </c>
      <c r="X280" s="104">
        <v>6617.69</v>
      </c>
      <c r="Y280" s="104">
        <v>0</v>
      </c>
      <c r="Z280" s="239">
        <v>54159</v>
      </c>
      <c r="AA280" s="255">
        <v>79</v>
      </c>
      <c r="AB280" s="239"/>
      <c r="AC280" s="256"/>
      <c r="AD280" s="239"/>
      <c r="AE280" s="256"/>
    </row>
    <row r="281" spans="1:31" ht="15" x14ac:dyDescent="0.2">
      <c r="A281" s="103">
        <f>A278+1</f>
        <v>45657</v>
      </c>
      <c r="B281" s="103" t="s">
        <v>147</v>
      </c>
      <c r="C281" s="111" t="str">
        <f>A281 &amp; " " &amp;B281</f>
        <v>45657 1200H</v>
      </c>
      <c r="D281" s="112">
        <v>1058.8</v>
      </c>
      <c r="E281" s="117">
        <v>49.67</v>
      </c>
      <c r="F281" s="254">
        <v>1108.67</v>
      </c>
      <c r="G281" s="255">
        <v>6.2</v>
      </c>
      <c r="H281" s="112">
        <v>73982.710000000006</v>
      </c>
      <c r="I281" s="104">
        <v>900.94</v>
      </c>
      <c r="J281" s="104">
        <v>33088.97</v>
      </c>
      <c r="K281" s="117">
        <v>103.9</v>
      </c>
      <c r="L281" s="112">
        <v>5703.68</v>
      </c>
      <c r="M281" s="104">
        <v>15.78</v>
      </c>
      <c r="N281" s="104">
        <v>33068.300000000003</v>
      </c>
      <c r="O281" s="104">
        <v>28.9</v>
      </c>
      <c r="P281" s="104">
        <v>618.37</v>
      </c>
      <c r="Q281" s="104">
        <v>687.93</v>
      </c>
      <c r="R281" s="104">
        <v>10042.790000000001</v>
      </c>
      <c r="S281" s="104">
        <v>9.0399999999999991</v>
      </c>
      <c r="T281" s="104">
        <v>36015</v>
      </c>
      <c r="U281" s="104">
        <v>69</v>
      </c>
      <c r="V281" s="239">
        <v>256.12</v>
      </c>
      <c r="W281" s="239">
        <v>0.15</v>
      </c>
      <c r="X281" s="104">
        <v>6623.6</v>
      </c>
      <c r="Y281" s="104">
        <v>0</v>
      </c>
      <c r="Z281" s="239">
        <v>54159</v>
      </c>
      <c r="AA281" s="255">
        <v>79</v>
      </c>
      <c r="AB281" s="239"/>
      <c r="AC281" s="256"/>
      <c r="AD281" s="239"/>
      <c r="AE281" s="256"/>
    </row>
    <row r="282" spans="1:31" ht="6.95" customHeight="1" x14ac:dyDescent="0.2">
      <c r="E282" s="105"/>
      <c r="G282" s="105"/>
      <c r="I282" s="105"/>
      <c r="J282" s="105"/>
      <c r="K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  <c r="Y282" s="105"/>
      <c r="Z282" s="105"/>
    </row>
    <row r="283" spans="1:31" ht="15" x14ac:dyDescent="0.2">
      <c r="A283" s="103">
        <f>A280+1</f>
        <v>45658</v>
      </c>
      <c r="B283" s="103" t="s">
        <v>319</v>
      </c>
      <c r="C283" s="111" t="str">
        <f>A283 &amp; " " &amp;B283</f>
        <v>45658 0000H</v>
      </c>
      <c r="D283" s="112">
        <v>1063.1199999999999</v>
      </c>
      <c r="E283" s="117">
        <v>49.67</v>
      </c>
      <c r="F283" s="254">
        <v>1108.67</v>
      </c>
      <c r="G283" s="255">
        <v>6.2</v>
      </c>
      <c r="H283" s="112">
        <v>73992.59</v>
      </c>
      <c r="I283" s="104">
        <v>900.94</v>
      </c>
      <c r="J283" s="104">
        <v>33090.400000000001</v>
      </c>
      <c r="K283" s="117">
        <v>103.96</v>
      </c>
      <c r="L283" s="112">
        <v>5709.37</v>
      </c>
      <c r="M283" s="104">
        <v>15.78</v>
      </c>
      <c r="N283" s="104">
        <v>33075.1</v>
      </c>
      <c r="O283" s="104">
        <v>28.9</v>
      </c>
      <c r="P283" s="104">
        <v>618.5</v>
      </c>
      <c r="Q283" s="104">
        <v>688.85</v>
      </c>
      <c r="R283" s="104">
        <v>10047.370000000001</v>
      </c>
      <c r="S283" s="104">
        <v>9.0399999999999991</v>
      </c>
      <c r="T283" s="104">
        <v>36023</v>
      </c>
      <c r="U283" s="104">
        <v>69</v>
      </c>
      <c r="V283" s="239">
        <v>256.12</v>
      </c>
      <c r="W283" s="239">
        <v>0.15</v>
      </c>
      <c r="X283" s="104">
        <v>6630.58</v>
      </c>
      <c r="Y283" s="104">
        <v>0</v>
      </c>
      <c r="Z283" s="239">
        <v>54159</v>
      </c>
      <c r="AA283" s="255">
        <v>79</v>
      </c>
      <c r="AB283" s="239"/>
      <c r="AC283" s="256"/>
      <c r="AD283" s="239"/>
      <c r="AE283" s="256"/>
    </row>
    <row r="284" spans="1:31" ht="15" x14ac:dyDescent="0.2">
      <c r="A284" s="103">
        <f>A281+1</f>
        <v>45658</v>
      </c>
      <c r="B284" s="103" t="s">
        <v>147</v>
      </c>
      <c r="C284" s="111" t="str">
        <f>A284 &amp; " " &amp;B284</f>
        <v>45658 1200H</v>
      </c>
      <c r="D284" s="112">
        <v>1066.04</v>
      </c>
      <c r="E284" s="117">
        <v>49.67</v>
      </c>
      <c r="F284" s="254">
        <v>1108.67</v>
      </c>
      <c r="G284" s="255">
        <v>6.2</v>
      </c>
      <c r="H284" s="112">
        <v>73997.59</v>
      </c>
      <c r="I284" s="104">
        <v>901.18</v>
      </c>
      <c r="J284" s="104">
        <v>33090.730000000003</v>
      </c>
      <c r="K284" s="117">
        <v>104.01</v>
      </c>
      <c r="L284" s="112">
        <v>5715.03</v>
      </c>
      <c r="M284" s="104">
        <v>15.78</v>
      </c>
      <c r="N284" s="104">
        <v>33080.6</v>
      </c>
      <c r="O284" s="104">
        <v>28.9</v>
      </c>
      <c r="P284" s="104">
        <v>618.5</v>
      </c>
      <c r="Q284" s="104">
        <v>690.33</v>
      </c>
      <c r="R284" s="104">
        <v>10051.18</v>
      </c>
      <c r="S284" s="104">
        <v>9.0399999999999991</v>
      </c>
      <c r="T284" s="104">
        <v>36029.69</v>
      </c>
      <c r="U284" s="104">
        <v>69</v>
      </c>
      <c r="V284" s="239">
        <v>256.12</v>
      </c>
      <c r="W284" s="239">
        <v>0.15</v>
      </c>
      <c r="X284" s="104">
        <v>6636.53</v>
      </c>
      <c r="Y284" s="104">
        <v>0</v>
      </c>
      <c r="Z284" s="239">
        <v>54159</v>
      </c>
      <c r="AA284" s="255">
        <v>79</v>
      </c>
      <c r="AB284" s="239"/>
      <c r="AC284" s="256"/>
      <c r="AD284" s="239"/>
      <c r="AE284" s="256"/>
    </row>
    <row r="285" spans="1:31" ht="6.95" customHeight="1" x14ac:dyDescent="0.2">
      <c r="E285" s="105"/>
      <c r="G285" s="105"/>
      <c r="I285" s="105"/>
      <c r="J285" s="105"/>
      <c r="K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  <c r="Y285" s="105"/>
      <c r="Z285" s="105"/>
    </row>
    <row r="286" spans="1:31" ht="15" x14ac:dyDescent="0.2">
      <c r="A286" s="103">
        <f>A283+1</f>
        <v>45659</v>
      </c>
      <c r="B286" s="103" t="s">
        <v>319</v>
      </c>
      <c r="C286" s="111" t="str">
        <f>A286 &amp; " " &amp;B286</f>
        <v>45659 0000H</v>
      </c>
      <c r="D286" s="112">
        <v>1069.3800000000001</v>
      </c>
      <c r="E286" s="117">
        <v>49.67</v>
      </c>
      <c r="F286" s="254">
        <v>1108.67</v>
      </c>
      <c r="G286" s="255">
        <v>6.2</v>
      </c>
      <c r="H286" s="112">
        <v>74005.149999999994</v>
      </c>
      <c r="I286" s="104">
        <v>901.26</v>
      </c>
      <c r="J286" s="104">
        <v>33091.699999999997</v>
      </c>
      <c r="K286" s="117">
        <v>104.08</v>
      </c>
      <c r="L286" s="112">
        <v>5720.05</v>
      </c>
      <c r="M286" s="104">
        <v>15.78</v>
      </c>
      <c r="N286" s="104">
        <v>33086.300000000003</v>
      </c>
      <c r="O286" s="104">
        <v>28.9</v>
      </c>
      <c r="P286" s="104">
        <v>619.14</v>
      </c>
      <c r="Q286" s="104">
        <v>691.07</v>
      </c>
      <c r="R286" s="104">
        <v>10055.459999999999</v>
      </c>
      <c r="S286" s="104">
        <v>9.0399999999999991</v>
      </c>
      <c r="T286" s="104">
        <v>36036</v>
      </c>
      <c r="U286" s="104">
        <v>69</v>
      </c>
      <c r="V286" s="239">
        <v>256.12</v>
      </c>
      <c r="W286" s="239">
        <v>0.15</v>
      </c>
      <c r="X286" s="104">
        <v>6641.62</v>
      </c>
      <c r="Y286" s="104">
        <v>0</v>
      </c>
      <c r="Z286" s="239">
        <v>54159</v>
      </c>
      <c r="AA286" s="255">
        <v>79</v>
      </c>
      <c r="AB286" s="239"/>
      <c r="AC286" s="256"/>
      <c r="AD286" s="239"/>
      <c r="AE286" s="256"/>
    </row>
    <row r="287" spans="1:31" ht="15" x14ac:dyDescent="0.2">
      <c r="A287" s="103">
        <f>A284+1</f>
        <v>45659</v>
      </c>
      <c r="B287" s="103" t="s">
        <v>147</v>
      </c>
      <c r="C287" s="111" t="str">
        <f>A287 &amp; " " &amp;B287</f>
        <v>45659 1200H</v>
      </c>
      <c r="D287" s="112">
        <v>1072.8499999999999</v>
      </c>
      <c r="E287" s="117">
        <v>49.67</v>
      </c>
      <c r="F287" s="254">
        <v>1108.67</v>
      </c>
      <c r="G287" s="255">
        <v>6.2</v>
      </c>
      <c r="H287" s="112">
        <v>74015.39</v>
      </c>
      <c r="I287" s="104">
        <v>901.26</v>
      </c>
      <c r="J287" s="104">
        <v>33093.129999999997</v>
      </c>
      <c r="K287" s="117">
        <v>104.12</v>
      </c>
      <c r="L287" s="112">
        <v>5726.6</v>
      </c>
      <c r="M287" s="104">
        <v>15.78</v>
      </c>
      <c r="N287" s="104">
        <v>33089</v>
      </c>
      <c r="O287" s="104">
        <v>29</v>
      </c>
      <c r="P287" s="104">
        <v>619.27</v>
      </c>
      <c r="Q287" s="104">
        <v>692.13</v>
      </c>
      <c r="R287" s="104">
        <v>10059.15</v>
      </c>
      <c r="S287" s="104">
        <v>9.0399999999999991</v>
      </c>
      <c r="T287" s="104">
        <v>36042</v>
      </c>
      <c r="U287" s="104">
        <v>69</v>
      </c>
      <c r="V287" s="239">
        <v>256.12</v>
      </c>
      <c r="W287" s="239">
        <v>0.15</v>
      </c>
      <c r="X287" s="104">
        <v>6646.62</v>
      </c>
      <c r="Y287" s="104">
        <v>0</v>
      </c>
      <c r="Z287" s="239">
        <v>54159</v>
      </c>
      <c r="AA287" s="255">
        <v>79</v>
      </c>
      <c r="AB287" s="239"/>
      <c r="AC287" s="256"/>
      <c r="AD287" s="239"/>
      <c r="AE287" s="256"/>
    </row>
    <row r="288" spans="1:31" ht="6.95" customHeight="1" x14ac:dyDescent="0.2">
      <c r="E288" s="105"/>
      <c r="G288" s="105"/>
      <c r="I288" s="105"/>
      <c r="J288" s="105"/>
      <c r="K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  <c r="Y288" s="105"/>
      <c r="Z288" s="105"/>
    </row>
    <row r="289" spans="1:31" ht="15" x14ac:dyDescent="0.2">
      <c r="A289" s="103">
        <f>A286+1</f>
        <v>45660</v>
      </c>
      <c r="B289" s="103" t="s">
        <v>319</v>
      </c>
      <c r="C289" s="111" t="str">
        <f>A289 &amp; " " &amp;B289</f>
        <v>45660 0000H</v>
      </c>
      <c r="D289" s="112">
        <v>1077.3699999999999</v>
      </c>
      <c r="E289" s="117">
        <v>49.67</v>
      </c>
      <c r="F289" s="254">
        <v>1108.67</v>
      </c>
      <c r="G289" s="255">
        <v>6.2</v>
      </c>
      <c r="H289" s="112">
        <v>74025.509999999995</v>
      </c>
      <c r="I289" s="104">
        <v>901.26</v>
      </c>
      <c r="J289" s="104">
        <v>33096.800000000003</v>
      </c>
      <c r="K289" s="117">
        <v>104.12</v>
      </c>
      <c r="L289" s="112">
        <v>5732.57</v>
      </c>
      <c r="M289" s="104">
        <v>15.78</v>
      </c>
      <c r="N289" s="104">
        <v>33096.1</v>
      </c>
      <c r="O289" s="104">
        <v>29</v>
      </c>
      <c r="P289" s="104">
        <v>619.37</v>
      </c>
      <c r="Q289" s="104">
        <v>693.03</v>
      </c>
      <c r="R289" s="104">
        <v>10063.75</v>
      </c>
      <c r="S289" s="104">
        <v>9.0399999999999991</v>
      </c>
      <c r="T289" s="104">
        <v>36050</v>
      </c>
      <c r="U289" s="104">
        <v>69</v>
      </c>
      <c r="V289" s="239">
        <v>256.12</v>
      </c>
      <c r="W289" s="239">
        <v>0.15</v>
      </c>
      <c r="X289" s="104">
        <v>6653.81</v>
      </c>
      <c r="Y289" s="104">
        <v>0</v>
      </c>
      <c r="Z289" s="239">
        <v>54159</v>
      </c>
      <c r="AA289" s="255">
        <v>79</v>
      </c>
      <c r="AB289" s="239"/>
      <c r="AC289" s="256"/>
      <c r="AD289" s="239"/>
      <c r="AE289" s="256"/>
    </row>
    <row r="290" spans="1:31" ht="15" x14ac:dyDescent="0.2">
      <c r="A290" s="103">
        <f>A287+1</f>
        <v>45660</v>
      </c>
      <c r="B290" s="103" t="s">
        <v>147</v>
      </c>
      <c r="C290" s="111" t="str">
        <f>A290 &amp; " " &amp;B290</f>
        <v>45660 1200H</v>
      </c>
      <c r="D290" s="112">
        <v>1080.8399999999999</v>
      </c>
      <c r="E290" s="117">
        <v>49.67</v>
      </c>
      <c r="F290" s="254">
        <v>1108.67</v>
      </c>
      <c r="G290" s="255">
        <v>6.2</v>
      </c>
      <c r="H290" s="112">
        <v>74035.539999999994</v>
      </c>
      <c r="I290" s="104">
        <v>901.26</v>
      </c>
      <c r="J290" s="104">
        <v>33097.919999999998</v>
      </c>
      <c r="K290" s="117">
        <v>104.117</v>
      </c>
      <c r="L290" s="112">
        <v>5738.25</v>
      </c>
      <c r="M290" s="104">
        <v>15.78</v>
      </c>
      <c r="N290" s="104">
        <v>33099.1</v>
      </c>
      <c r="O290" s="104">
        <v>29</v>
      </c>
      <c r="P290" s="104">
        <v>619.54999999999995</v>
      </c>
      <c r="Q290" s="104">
        <v>693.9</v>
      </c>
      <c r="R290" s="104">
        <v>10067.56</v>
      </c>
      <c r="S290" s="104">
        <v>9.0399999999999991</v>
      </c>
      <c r="T290" s="104">
        <v>36075</v>
      </c>
      <c r="U290" s="104">
        <v>69</v>
      </c>
      <c r="V290" s="239">
        <v>256.12</v>
      </c>
      <c r="W290" s="239">
        <v>0.15</v>
      </c>
      <c r="X290" s="104">
        <v>6659.09</v>
      </c>
      <c r="Y290" s="104">
        <v>0</v>
      </c>
      <c r="Z290" s="239">
        <v>54159</v>
      </c>
      <c r="AA290" s="255">
        <v>79</v>
      </c>
      <c r="AB290" s="239"/>
      <c r="AC290" s="256"/>
      <c r="AD290" s="239"/>
      <c r="AE290" s="256"/>
    </row>
    <row r="291" spans="1:31" ht="6.95" customHeight="1" x14ac:dyDescent="0.2">
      <c r="E291" s="105"/>
      <c r="G291" s="105"/>
      <c r="I291" s="105"/>
      <c r="J291" s="105"/>
      <c r="K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  <c r="Y291" s="105"/>
      <c r="Z291" s="105"/>
    </row>
    <row r="292" spans="1:31" ht="15" x14ac:dyDescent="0.2">
      <c r="A292" s="103">
        <f>A289+1</f>
        <v>45661</v>
      </c>
      <c r="B292" s="103" t="s">
        <v>319</v>
      </c>
      <c r="C292" s="111" t="str">
        <f>A292 &amp; " " &amp;B292</f>
        <v>45661 0000H</v>
      </c>
      <c r="D292" s="112">
        <v>1085.4100000000001</v>
      </c>
      <c r="E292" s="117">
        <v>49.67</v>
      </c>
      <c r="F292" s="112">
        <v>1108.67</v>
      </c>
      <c r="G292" s="117">
        <v>6.2</v>
      </c>
      <c r="H292" s="112">
        <v>74048.100000000006</v>
      </c>
      <c r="I292" s="104">
        <v>901.26</v>
      </c>
      <c r="J292" s="104">
        <v>33101.57</v>
      </c>
      <c r="K292" s="117">
        <v>104.17</v>
      </c>
      <c r="L292" s="112">
        <v>5744.04</v>
      </c>
      <c r="M292" s="104">
        <v>15.78</v>
      </c>
      <c r="N292" s="104">
        <v>33106.300000000003</v>
      </c>
      <c r="O292" s="104">
        <v>29</v>
      </c>
      <c r="P292" s="104">
        <v>620.34</v>
      </c>
      <c r="Q292" s="104">
        <v>694.46</v>
      </c>
      <c r="R292" s="104">
        <v>10072.120000000001</v>
      </c>
      <c r="S292" s="104">
        <v>9.0399999999999991</v>
      </c>
      <c r="T292" s="104">
        <v>36064</v>
      </c>
      <c r="U292" s="104">
        <v>69</v>
      </c>
      <c r="V292" s="104">
        <v>256.12</v>
      </c>
      <c r="W292" s="104">
        <v>0.15</v>
      </c>
      <c r="X292" s="104">
        <v>6667.21</v>
      </c>
      <c r="Y292" s="104">
        <v>0</v>
      </c>
      <c r="Z292" s="104">
        <v>54159</v>
      </c>
      <c r="AA292" s="117">
        <v>79</v>
      </c>
      <c r="AB292" s="104"/>
      <c r="AC292" s="113"/>
      <c r="AD292" s="104"/>
      <c r="AE292" s="113"/>
    </row>
    <row r="293" spans="1:31" ht="15" x14ac:dyDescent="0.2">
      <c r="A293" s="103">
        <f>A290+1</f>
        <v>45661</v>
      </c>
      <c r="B293" s="103" t="s">
        <v>147</v>
      </c>
      <c r="C293" s="111" t="str">
        <f>A293 &amp; " " &amp;B293</f>
        <v>45661 1200H</v>
      </c>
      <c r="D293" s="112">
        <v>1088.96</v>
      </c>
      <c r="E293" s="117">
        <v>49.67</v>
      </c>
      <c r="F293" s="112">
        <v>1108.67</v>
      </c>
      <c r="G293" s="117">
        <v>6.2</v>
      </c>
      <c r="H293" s="112">
        <v>74048.97</v>
      </c>
      <c r="I293" s="104">
        <v>901.51</v>
      </c>
      <c r="J293" s="104">
        <v>33105.33</v>
      </c>
      <c r="K293" s="117">
        <v>104.17</v>
      </c>
      <c r="L293" s="112">
        <v>5749.71</v>
      </c>
      <c r="M293" s="104">
        <v>15.78</v>
      </c>
      <c r="N293" s="104">
        <v>33109.5</v>
      </c>
      <c r="O293" s="104">
        <v>29</v>
      </c>
      <c r="P293" s="104">
        <v>620.38</v>
      </c>
      <c r="Q293" s="104">
        <v>695.3</v>
      </c>
      <c r="R293" s="104">
        <v>10075.82</v>
      </c>
      <c r="S293" s="104">
        <v>9.0399999999999991</v>
      </c>
      <c r="T293" s="104">
        <v>36071</v>
      </c>
      <c r="U293" s="104">
        <v>69</v>
      </c>
      <c r="V293" s="104">
        <v>256.12</v>
      </c>
      <c r="W293" s="104">
        <v>0.15</v>
      </c>
      <c r="X293" s="104">
        <v>6672.91</v>
      </c>
      <c r="Y293" s="104">
        <v>0</v>
      </c>
      <c r="Z293" s="104">
        <v>54159</v>
      </c>
      <c r="AA293" s="117">
        <v>79</v>
      </c>
      <c r="AB293" s="104"/>
      <c r="AC293" s="113"/>
      <c r="AD293" s="104"/>
      <c r="AE293" s="113"/>
    </row>
    <row r="294" spans="1:31" ht="6.95" customHeight="1" x14ac:dyDescent="0.2">
      <c r="E294" s="105"/>
      <c r="G294" s="105"/>
      <c r="I294" s="105"/>
      <c r="J294" s="105"/>
      <c r="K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  <c r="Y294" s="105"/>
      <c r="Z294" s="105"/>
    </row>
    <row r="295" spans="1:31" ht="15" x14ac:dyDescent="0.2">
      <c r="A295" s="103">
        <f>A292+1</f>
        <v>45662</v>
      </c>
      <c r="B295" s="103" t="s">
        <v>319</v>
      </c>
      <c r="C295" s="111" t="str">
        <f>A295 &amp; " " &amp;B295</f>
        <v>45662 0000H</v>
      </c>
      <c r="D295" s="112">
        <v>1093.46</v>
      </c>
      <c r="E295" s="117">
        <v>49.67</v>
      </c>
      <c r="F295" s="112">
        <v>1108.67</v>
      </c>
      <c r="G295" s="117">
        <v>6.2</v>
      </c>
      <c r="H295" s="112">
        <v>74059.19</v>
      </c>
      <c r="I295" s="104">
        <v>901.59</v>
      </c>
      <c r="J295" s="104">
        <v>33109.050000000003</v>
      </c>
      <c r="K295" s="117">
        <v>104.17</v>
      </c>
      <c r="L295" s="112">
        <v>5755.39</v>
      </c>
      <c r="M295" s="104">
        <v>15.78</v>
      </c>
      <c r="N295" s="104">
        <v>33116.9</v>
      </c>
      <c r="O295" s="104">
        <v>29</v>
      </c>
      <c r="P295" s="104">
        <v>620.49</v>
      </c>
      <c r="Q295" s="104">
        <v>696.15</v>
      </c>
      <c r="R295" s="104">
        <v>10080.42</v>
      </c>
      <c r="S295" s="104">
        <v>9.0399999999999991</v>
      </c>
      <c r="T295" s="104">
        <v>36078</v>
      </c>
      <c r="U295" s="104">
        <v>69</v>
      </c>
      <c r="V295" s="104">
        <v>256.12</v>
      </c>
      <c r="W295" s="104">
        <v>0.15</v>
      </c>
      <c r="X295" s="104">
        <v>6680.38</v>
      </c>
      <c r="Y295" s="104">
        <v>0</v>
      </c>
      <c r="Z295" s="104">
        <v>54159</v>
      </c>
      <c r="AA295" s="117">
        <v>79</v>
      </c>
      <c r="AB295" s="104"/>
      <c r="AC295" s="113"/>
      <c r="AD295" s="104"/>
      <c r="AE295" s="113"/>
    </row>
    <row r="296" spans="1:31" ht="15" x14ac:dyDescent="0.2">
      <c r="A296" s="103">
        <f>A293+1</f>
        <v>45662</v>
      </c>
      <c r="B296" s="103" t="s">
        <v>147</v>
      </c>
      <c r="C296" s="111" t="str">
        <f>A296 &amp; " " &amp;B296</f>
        <v>45662 1200H</v>
      </c>
      <c r="D296" s="112">
        <v>1096.8800000000001</v>
      </c>
      <c r="E296" s="117">
        <v>49.67</v>
      </c>
      <c r="F296" s="112">
        <v>1108.67</v>
      </c>
      <c r="G296" s="117">
        <v>6.2</v>
      </c>
      <c r="H296" s="112">
        <v>74061.97</v>
      </c>
      <c r="I296" s="104">
        <v>901.94</v>
      </c>
      <c r="J296" s="104">
        <v>33112.86</v>
      </c>
      <c r="K296" s="117">
        <v>104.17</v>
      </c>
      <c r="L296" s="112">
        <v>5761.05</v>
      </c>
      <c r="M296" s="104">
        <v>15.78</v>
      </c>
      <c r="N296" s="104">
        <v>33121.4</v>
      </c>
      <c r="O296" s="104">
        <v>29</v>
      </c>
      <c r="P296" s="104">
        <v>620.5</v>
      </c>
      <c r="Q296" s="104">
        <v>697.3</v>
      </c>
      <c r="R296" s="104">
        <v>10084.200000000001</v>
      </c>
      <c r="S296" s="104">
        <v>9.0399999999999991</v>
      </c>
      <c r="T296" s="104">
        <v>36083</v>
      </c>
      <c r="U296" s="104">
        <v>69</v>
      </c>
      <c r="V296" s="104">
        <v>256.12</v>
      </c>
      <c r="W296" s="104">
        <v>0.15</v>
      </c>
      <c r="X296" s="104">
        <v>6685.53</v>
      </c>
      <c r="Y296" s="104">
        <v>0</v>
      </c>
      <c r="Z296" s="104">
        <v>54159</v>
      </c>
      <c r="AA296" s="117">
        <v>79</v>
      </c>
      <c r="AB296" s="104"/>
      <c r="AC296" s="113"/>
      <c r="AD296" s="104"/>
      <c r="AE296" s="113"/>
    </row>
    <row r="297" spans="1:31" ht="6.95" customHeight="1" x14ac:dyDescent="0.2">
      <c r="E297" s="105"/>
      <c r="G297" s="105"/>
      <c r="I297" s="105"/>
      <c r="J297" s="105"/>
      <c r="K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  <c r="Y297" s="105"/>
      <c r="Z297" s="105"/>
    </row>
    <row r="298" spans="1:31" ht="15" x14ac:dyDescent="0.2">
      <c r="A298" s="103">
        <f>A295+1</f>
        <v>45663</v>
      </c>
      <c r="B298" s="103" t="s">
        <v>319</v>
      </c>
      <c r="C298" s="111" t="str">
        <f>A298 &amp; " " &amp;B298</f>
        <v>45663 0000H</v>
      </c>
      <c r="D298" s="112">
        <v>1101.2</v>
      </c>
      <c r="E298" s="117">
        <v>49.67</v>
      </c>
      <c r="F298" s="112">
        <v>1108.67</v>
      </c>
      <c r="G298" s="117">
        <v>6.2</v>
      </c>
      <c r="H298" s="112">
        <v>74066.94</v>
      </c>
      <c r="I298" s="104">
        <v>902.1</v>
      </c>
      <c r="J298" s="104">
        <v>33116.620000000003</v>
      </c>
      <c r="K298" s="117">
        <v>104.17</v>
      </c>
      <c r="L298" s="112">
        <v>5766.62</v>
      </c>
      <c r="M298" s="104">
        <v>15.78</v>
      </c>
      <c r="N298" s="104">
        <v>33128.1</v>
      </c>
      <c r="O298" s="104">
        <v>29</v>
      </c>
      <c r="P298" s="104">
        <v>620.5</v>
      </c>
      <c r="Q298" s="104">
        <v>699.02</v>
      </c>
      <c r="R298" s="104">
        <v>10088.69</v>
      </c>
      <c r="S298" s="104">
        <v>9.0399999999999991</v>
      </c>
      <c r="T298" s="104">
        <v>36090</v>
      </c>
      <c r="U298" s="104">
        <v>69</v>
      </c>
      <c r="V298" s="104">
        <v>256.12</v>
      </c>
      <c r="W298" s="104">
        <v>0.15</v>
      </c>
      <c r="X298" s="104">
        <v>6690.26</v>
      </c>
      <c r="Y298" s="104">
        <v>0</v>
      </c>
      <c r="Z298" s="104">
        <v>54159</v>
      </c>
      <c r="AA298" s="117">
        <v>79</v>
      </c>
      <c r="AB298" s="104"/>
      <c r="AC298" s="113"/>
      <c r="AD298" s="104"/>
      <c r="AE298" s="113"/>
    </row>
    <row r="299" spans="1:31" ht="15" x14ac:dyDescent="0.2">
      <c r="A299" s="103">
        <f>A296+1</f>
        <v>45663</v>
      </c>
      <c r="B299" s="103" t="s">
        <v>147</v>
      </c>
      <c r="C299" s="111" t="str">
        <f>A299 &amp; " " &amp;B299</f>
        <v>45663 1200H</v>
      </c>
      <c r="D299" s="112">
        <v>1104.8800000000001</v>
      </c>
      <c r="E299" s="117">
        <v>49.67</v>
      </c>
      <c r="F299" s="112">
        <v>1108.67</v>
      </c>
      <c r="G299" s="117">
        <v>6.2</v>
      </c>
      <c r="H299" s="112">
        <v>74070.67</v>
      </c>
      <c r="I299" s="104">
        <v>902.4</v>
      </c>
      <c r="J299" s="104">
        <v>33120.199999999997</v>
      </c>
      <c r="K299" s="117">
        <v>104.17</v>
      </c>
      <c r="L299" s="112">
        <v>5772.22</v>
      </c>
      <c r="M299" s="104">
        <v>15.78</v>
      </c>
      <c r="N299" s="104">
        <v>33132.300000000003</v>
      </c>
      <c r="O299" s="104">
        <v>29</v>
      </c>
      <c r="P299" s="104">
        <v>620.83000000000004</v>
      </c>
      <c r="Q299" s="104">
        <v>699.89</v>
      </c>
      <c r="R299" s="104">
        <v>10092.34</v>
      </c>
      <c r="S299" s="104">
        <v>9.0399999999999991</v>
      </c>
      <c r="T299" s="104">
        <v>36096</v>
      </c>
      <c r="U299" s="104">
        <v>69</v>
      </c>
      <c r="V299" s="104">
        <v>256.12</v>
      </c>
      <c r="W299" s="104">
        <v>0.15</v>
      </c>
      <c r="X299" s="104">
        <v>6696.29</v>
      </c>
      <c r="Y299" s="104">
        <v>0</v>
      </c>
      <c r="Z299" s="104">
        <v>54159</v>
      </c>
      <c r="AA299" s="117">
        <v>79</v>
      </c>
      <c r="AB299" s="104"/>
      <c r="AC299" s="113"/>
      <c r="AD299" s="104"/>
      <c r="AE299" s="113"/>
    </row>
    <row r="300" spans="1:31" ht="6.95" customHeight="1" x14ac:dyDescent="0.2">
      <c r="E300" s="105"/>
      <c r="G300" s="105"/>
      <c r="I300" s="105"/>
      <c r="J300" s="105"/>
      <c r="K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</row>
    <row r="301" spans="1:31" ht="15" x14ac:dyDescent="0.2">
      <c r="A301" s="103">
        <f>A298+1</f>
        <v>45664</v>
      </c>
      <c r="B301" s="103" t="s">
        <v>319</v>
      </c>
      <c r="C301" s="111" t="str">
        <f>A301 &amp; " " &amp;B301</f>
        <v>45664 0000H</v>
      </c>
      <c r="D301" s="112">
        <v>1110.25</v>
      </c>
      <c r="E301" s="117">
        <v>49.67</v>
      </c>
      <c r="F301" s="112">
        <v>1108.67</v>
      </c>
      <c r="G301" s="117">
        <v>6.2</v>
      </c>
      <c r="H301" s="112">
        <v>74079.929999999993</v>
      </c>
      <c r="I301" s="104">
        <v>902.4</v>
      </c>
      <c r="J301" s="104">
        <v>33123.980000000003</v>
      </c>
      <c r="K301" s="117">
        <v>104.17</v>
      </c>
      <c r="L301" s="112">
        <v>5777.9</v>
      </c>
      <c r="M301" s="104">
        <v>15.78</v>
      </c>
      <c r="N301" s="104">
        <v>33135.800000000003</v>
      </c>
      <c r="O301" s="104">
        <v>29</v>
      </c>
      <c r="P301" s="104">
        <v>620.87</v>
      </c>
      <c r="Q301" s="104">
        <v>701.16</v>
      </c>
      <c r="R301" s="104">
        <v>10096.84</v>
      </c>
      <c r="S301" s="104">
        <v>9.0399999999999991</v>
      </c>
      <c r="T301" s="104">
        <v>36103</v>
      </c>
      <c r="U301" s="104">
        <v>69</v>
      </c>
      <c r="V301" s="104">
        <v>256.12</v>
      </c>
      <c r="W301" s="104">
        <v>0.15</v>
      </c>
      <c r="X301" s="104">
        <v>6703.51</v>
      </c>
      <c r="Y301" s="104">
        <v>0</v>
      </c>
      <c r="Z301" s="104">
        <v>54159</v>
      </c>
      <c r="AA301" s="117">
        <v>79</v>
      </c>
      <c r="AB301" s="104"/>
      <c r="AC301" s="113"/>
      <c r="AD301" s="104"/>
      <c r="AE301" s="113"/>
    </row>
    <row r="302" spans="1:31" ht="15" x14ac:dyDescent="0.2">
      <c r="A302" s="103">
        <f>A299+1</f>
        <v>45664</v>
      </c>
      <c r="B302" s="103" t="s">
        <v>147</v>
      </c>
      <c r="C302" s="111" t="str">
        <f>A302 &amp; " " &amp;B302</f>
        <v>45664 1200H</v>
      </c>
      <c r="D302" s="112">
        <v>1114.02</v>
      </c>
      <c r="E302" s="117">
        <v>49.67</v>
      </c>
      <c r="F302" s="112">
        <v>1108.67</v>
      </c>
      <c r="G302" s="117">
        <v>6.2</v>
      </c>
      <c r="H302" s="112">
        <v>74089.56</v>
      </c>
      <c r="I302" s="104">
        <v>902.4</v>
      </c>
      <c r="J302" s="104">
        <v>33125.519999999997</v>
      </c>
      <c r="K302" s="117">
        <v>104.22</v>
      </c>
      <c r="L302" s="112">
        <v>5783.59</v>
      </c>
      <c r="M302" s="104">
        <v>15.78</v>
      </c>
      <c r="N302" s="104">
        <v>33143.1</v>
      </c>
      <c r="O302" s="104">
        <v>29.1</v>
      </c>
      <c r="P302" s="104">
        <v>621.29999999999995</v>
      </c>
      <c r="Q302" s="104">
        <v>702</v>
      </c>
      <c r="R302" s="104">
        <v>10100.56</v>
      </c>
      <c r="S302" s="104">
        <v>9.0399999999999991</v>
      </c>
      <c r="T302" s="104">
        <v>36109</v>
      </c>
      <c r="U302" s="104">
        <v>69</v>
      </c>
      <c r="V302" s="104">
        <v>256.12</v>
      </c>
      <c r="W302" s="104">
        <v>0.15</v>
      </c>
      <c r="X302" s="104">
        <v>6706.36</v>
      </c>
      <c r="Y302" s="104">
        <v>0</v>
      </c>
      <c r="Z302" s="104">
        <v>54159</v>
      </c>
      <c r="AA302" s="117">
        <v>79</v>
      </c>
      <c r="AB302" s="104"/>
      <c r="AC302" s="113"/>
      <c r="AD302" s="104"/>
      <c r="AE302" s="113"/>
    </row>
    <row r="303" spans="1:31" ht="6.95" customHeight="1" x14ac:dyDescent="0.2">
      <c r="E303" s="105"/>
      <c r="G303" s="105"/>
      <c r="I303" s="105"/>
      <c r="J303" s="105"/>
      <c r="K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  <c r="Y303" s="105"/>
      <c r="Z303" s="105"/>
    </row>
    <row r="304" spans="1:31" ht="15" x14ac:dyDescent="0.2">
      <c r="A304" s="103">
        <f>A301+1</f>
        <v>45665</v>
      </c>
      <c r="B304" s="103" t="s">
        <v>319</v>
      </c>
      <c r="C304" s="111" t="str">
        <f>A304 &amp; " " &amp;B304</f>
        <v>45665 0000H</v>
      </c>
      <c r="D304" s="112">
        <v>1119.8</v>
      </c>
      <c r="E304" s="117">
        <v>49.67</v>
      </c>
      <c r="F304" s="112">
        <v>1108.67</v>
      </c>
      <c r="G304" s="117">
        <v>6.2</v>
      </c>
      <c r="H304" s="112">
        <v>74099</v>
      </c>
      <c r="I304" s="104">
        <v>902.4</v>
      </c>
      <c r="J304" s="104">
        <v>33127.949999999997</v>
      </c>
      <c r="K304" s="117">
        <v>104.25</v>
      </c>
      <c r="L304" s="112">
        <v>5788.95</v>
      </c>
      <c r="M304" s="104">
        <v>15.78</v>
      </c>
      <c r="N304" s="104">
        <v>33149.199999999997</v>
      </c>
      <c r="O304" s="104">
        <v>29.1</v>
      </c>
      <c r="P304" s="104">
        <v>621.29999999999995</v>
      </c>
      <c r="Q304" s="104">
        <v>703.71</v>
      </c>
      <c r="R304" s="104">
        <v>10104.92</v>
      </c>
      <c r="S304" s="104">
        <v>9.0399999999999991</v>
      </c>
      <c r="T304" s="104">
        <v>36117</v>
      </c>
      <c r="U304" s="104">
        <v>69</v>
      </c>
      <c r="V304" s="104">
        <v>256.12</v>
      </c>
      <c r="W304" s="104">
        <v>0.15</v>
      </c>
      <c r="X304" s="104">
        <v>6714.45</v>
      </c>
      <c r="Y304" s="104">
        <v>0</v>
      </c>
      <c r="Z304" s="104">
        <v>54159</v>
      </c>
      <c r="AA304" s="117">
        <v>79</v>
      </c>
      <c r="AB304" s="104"/>
      <c r="AC304" s="113"/>
      <c r="AD304" s="104"/>
      <c r="AE304" s="113"/>
    </row>
    <row r="305" spans="1:31" ht="15" x14ac:dyDescent="0.2">
      <c r="A305" s="103">
        <f>A302+1</f>
        <v>45665</v>
      </c>
      <c r="B305" s="103" t="s">
        <v>147</v>
      </c>
      <c r="C305" s="111" t="str">
        <f>A305 &amp; " " &amp;B305</f>
        <v>45665 1200H</v>
      </c>
      <c r="D305" s="112">
        <v>1123.3699999999999</v>
      </c>
      <c r="E305" s="117">
        <v>49.67</v>
      </c>
      <c r="F305" s="112">
        <v>1108.67</v>
      </c>
      <c r="G305" s="117">
        <v>6.2</v>
      </c>
      <c r="H305" s="112">
        <v>74109.279999999999</v>
      </c>
      <c r="I305" s="104">
        <v>902.4</v>
      </c>
      <c r="J305" s="104">
        <v>33129.35</v>
      </c>
      <c r="K305" s="117">
        <v>104.3</v>
      </c>
      <c r="L305" s="112">
        <v>5794.66</v>
      </c>
      <c r="M305" s="104">
        <v>15.78</v>
      </c>
      <c r="N305" s="104">
        <v>33153</v>
      </c>
      <c r="O305" s="104">
        <v>29.1</v>
      </c>
      <c r="P305" s="104">
        <v>621.44000000000005</v>
      </c>
      <c r="Q305" s="104">
        <v>704.46</v>
      </c>
      <c r="R305" s="104">
        <v>10108.48</v>
      </c>
      <c r="S305" s="104">
        <v>9.0399999999999991</v>
      </c>
      <c r="T305" s="104">
        <v>36123</v>
      </c>
      <c r="U305" s="104">
        <v>69</v>
      </c>
      <c r="V305" s="104">
        <v>256.12</v>
      </c>
      <c r="W305" s="104">
        <v>0.15</v>
      </c>
      <c r="X305" s="104">
        <v>6719.31</v>
      </c>
      <c r="Y305" s="104">
        <v>0</v>
      </c>
      <c r="Z305" s="104">
        <v>54159</v>
      </c>
      <c r="AA305" s="117">
        <v>79</v>
      </c>
      <c r="AB305" s="104"/>
      <c r="AC305" s="113"/>
      <c r="AD305" s="104"/>
      <c r="AE305" s="113"/>
    </row>
    <row r="306" spans="1:31" ht="6.95" customHeight="1" x14ac:dyDescent="0.2">
      <c r="E306" s="105"/>
      <c r="G306" s="105"/>
      <c r="I306" s="105"/>
      <c r="J306" s="105"/>
      <c r="K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  <c r="Y306" s="105"/>
      <c r="Z306" s="105"/>
    </row>
    <row r="307" spans="1:31" ht="15" x14ac:dyDescent="0.2">
      <c r="A307" s="103">
        <f>A304+1</f>
        <v>45666</v>
      </c>
      <c r="B307" s="103" t="s">
        <v>319</v>
      </c>
      <c r="C307" s="111" t="str">
        <f>A307 &amp; " " &amp;B307</f>
        <v>45666 0000H</v>
      </c>
      <c r="D307" s="112">
        <v>1127.79</v>
      </c>
      <c r="E307" s="117">
        <v>49.67</v>
      </c>
      <c r="F307" s="112">
        <v>1108.67</v>
      </c>
      <c r="G307" s="117">
        <v>6.2</v>
      </c>
      <c r="H307" s="112">
        <v>74119.259999999995</v>
      </c>
      <c r="I307" s="104">
        <v>902.4</v>
      </c>
      <c r="J307" s="104">
        <v>33133.1</v>
      </c>
      <c r="K307" s="117">
        <v>104.3</v>
      </c>
      <c r="L307" s="112">
        <v>5800.36</v>
      </c>
      <c r="M307" s="104">
        <v>15.78</v>
      </c>
      <c r="N307" s="104">
        <v>33160.400000000001</v>
      </c>
      <c r="O307" s="104">
        <v>29.1</v>
      </c>
      <c r="P307" s="104">
        <v>621.69000000000005</v>
      </c>
      <c r="Q307" s="104">
        <v>705.1</v>
      </c>
      <c r="R307" s="104">
        <v>10112.74</v>
      </c>
      <c r="S307" s="104">
        <v>9.0399999999999991</v>
      </c>
      <c r="T307" s="104">
        <v>36130</v>
      </c>
      <c r="U307" s="104">
        <v>69</v>
      </c>
      <c r="V307" s="104">
        <v>256.12</v>
      </c>
      <c r="W307" s="104">
        <v>0.15</v>
      </c>
      <c r="X307" s="104">
        <v>6723.88</v>
      </c>
      <c r="Y307" s="104">
        <v>0</v>
      </c>
      <c r="Z307" s="104">
        <v>54159</v>
      </c>
      <c r="AA307" s="117">
        <v>79</v>
      </c>
      <c r="AB307" s="104"/>
      <c r="AC307" s="113"/>
      <c r="AD307" s="104"/>
      <c r="AE307" s="113"/>
    </row>
    <row r="308" spans="1:31" ht="15" x14ac:dyDescent="0.2">
      <c r="A308" s="103">
        <f>A305+1</f>
        <v>45666</v>
      </c>
      <c r="B308" s="103" t="s">
        <v>147</v>
      </c>
      <c r="C308" s="111" t="str">
        <f>A308 &amp; " " &amp;B308</f>
        <v>45666 1200H</v>
      </c>
      <c r="D308" s="112">
        <v>1131.3900000000001</v>
      </c>
      <c r="E308" s="117">
        <v>49.67</v>
      </c>
      <c r="F308" s="112">
        <v>1108.67</v>
      </c>
      <c r="G308" s="117">
        <v>6.2</v>
      </c>
      <c r="H308" s="112">
        <v>74129.539999999994</v>
      </c>
      <c r="I308" s="104">
        <v>902.4</v>
      </c>
      <c r="J308" s="104">
        <v>33135.1</v>
      </c>
      <c r="K308" s="117">
        <v>104.34</v>
      </c>
      <c r="L308" s="112">
        <v>5806.06</v>
      </c>
      <c r="M308" s="104">
        <v>15.78</v>
      </c>
      <c r="N308" s="104">
        <v>33165.1</v>
      </c>
      <c r="O308" s="104">
        <v>29.1</v>
      </c>
      <c r="P308" s="104">
        <v>621.73</v>
      </c>
      <c r="Q308" s="104">
        <v>706.17</v>
      </c>
      <c r="R308" s="104">
        <v>10116.52</v>
      </c>
      <c r="S308" s="104">
        <v>9.0399999999999991</v>
      </c>
      <c r="T308" s="104">
        <v>36135</v>
      </c>
      <c r="U308" s="104">
        <v>69</v>
      </c>
      <c r="V308" s="104">
        <v>256.12</v>
      </c>
      <c r="W308" s="104">
        <v>0.15</v>
      </c>
      <c r="X308" s="104">
        <v>6730.05</v>
      </c>
      <c r="Y308" s="104">
        <v>0</v>
      </c>
      <c r="Z308" s="104">
        <v>54159</v>
      </c>
      <c r="AA308" s="117">
        <v>79</v>
      </c>
      <c r="AB308" s="104"/>
      <c r="AC308" s="113"/>
      <c r="AD308" s="104"/>
      <c r="AE308" s="113"/>
    </row>
    <row r="309" spans="1:31" ht="6.95" customHeight="1" x14ac:dyDescent="0.2">
      <c r="E309" s="105"/>
      <c r="G309" s="105"/>
      <c r="I309" s="105"/>
      <c r="J309" s="105"/>
      <c r="K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  <c r="Y309" s="105"/>
      <c r="Z309" s="105"/>
    </row>
    <row r="310" spans="1:31" ht="15" x14ac:dyDescent="0.2">
      <c r="A310" s="103">
        <f>A307+1</f>
        <v>45667</v>
      </c>
      <c r="B310" s="103" t="s">
        <v>319</v>
      </c>
      <c r="C310" s="111" t="str">
        <f>A310 &amp; " " &amp;B310</f>
        <v>45667 0000H</v>
      </c>
      <c r="D310" s="112">
        <v>1136.02</v>
      </c>
      <c r="E310" s="117">
        <v>49.67</v>
      </c>
      <c r="F310" s="112">
        <v>1108.67</v>
      </c>
      <c r="G310" s="117">
        <v>6.2</v>
      </c>
      <c r="H310" s="112">
        <v>74139.740000000005</v>
      </c>
      <c r="I310" s="104">
        <v>902.4</v>
      </c>
      <c r="J310" s="104">
        <v>33138.839999999997</v>
      </c>
      <c r="K310" s="117">
        <v>104.34</v>
      </c>
      <c r="L310" s="112">
        <v>5811.83</v>
      </c>
      <c r="M310" s="104">
        <v>15.78</v>
      </c>
      <c r="N310" s="104">
        <v>33172.699999999997</v>
      </c>
      <c r="O310" s="104">
        <v>29.1</v>
      </c>
      <c r="P310" s="104">
        <v>622.23</v>
      </c>
      <c r="Q310" s="104">
        <v>706.74</v>
      </c>
      <c r="R310" s="104">
        <v>10120.81</v>
      </c>
      <c r="S310" s="104">
        <v>9.0399999999999991</v>
      </c>
      <c r="T310" s="104">
        <v>36143</v>
      </c>
      <c r="U310" s="104">
        <v>69</v>
      </c>
      <c r="V310" s="104">
        <v>256.12</v>
      </c>
      <c r="W310" s="104">
        <v>0.15</v>
      </c>
      <c r="X310" s="104">
        <v>6735.73</v>
      </c>
      <c r="Y310" s="104">
        <v>0</v>
      </c>
      <c r="Z310" s="104">
        <v>54159</v>
      </c>
      <c r="AA310" s="117">
        <v>79</v>
      </c>
      <c r="AB310" s="104"/>
      <c r="AC310" s="113"/>
      <c r="AD310" s="104"/>
      <c r="AE310" s="113"/>
    </row>
    <row r="311" spans="1:31" ht="15" x14ac:dyDescent="0.2">
      <c r="A311" s="103">
        <f>A308+1</f>
        <v>45667</v>
      </c>
      <c r="B311" s="103" t="s">
        <v>147</v>
      </c>
      <c r="C311" s="111" t="str">
        <f>A311 &amp; " " &amp;B311</f>
        <v>45667 1200H</v>
      </c>
      <c r="D311" s="112">
        <v>1139.46</v>
      </c>
      <c r="E311" s="117">
        <v>49.67</v>
      </c>
      <c r="F311" s="112">
        <v>1108.67</v>
      </c>
      <c r="G311" s="117">
        <v>6.2</v>
      </c>
      <c r="H311" s="112">
        <v>74143.899999999994</v>
      </c>
      <c r="I311" s="104">
        <v>902.61</v>
      </c>
      <c r="J311" s="104">
        <v>33142.58</v>
      </c>
      <c r="K311" s="117">
        <v>104.34</v>
      </c>
      <c r="L311" s="112">
        <v>5817.41</v>
      </c>
      <c r="M311" s="104">
        <v>15.78</v>
      </c>
      <c r="N311" s="104">
        <v>33177.800000000003</v>
      </c>
      <c r="O311" s="104">
        <v>29.1</v>
      </c>
      <c r="P311" s="104">
        <v>622.67999999999995</v>
      </c>
      <c r="Q311" s="104">
        <v>707.58</v>
      </c>
      <c r="R311" s="104">
        <v>10124.549999999999</v>
      </c>
      <c r="S311" s="104">
        <v>9.0399999999999991</v>
      </c>
      <c r="T311" s="104">
        <v>36149</v>
      </c>
      <c r="U311" s="104">
        <v>69</v>
      </c>
      <c r="V311" s="104">
        <v>256.12</v>
      </c>
      <c r="W311" s="104">
        <v>0.15</v>
      </c>
      <c r="X311" s="104">
        <v>6741.73</v>
      </c>
      <c r="Y311" s="104">
        <v>0</v>
      </c>
      <c r="Z311" s="104">
        <v>54159</v>
      </c>
      <c r="AA311" s="117">
        <v>79</v>
      </c>
      <c r="AB311" s="104"/>
      <c r="AC311" s="113"/>
      <c r="AD311" s="104"/>
      <c r="AE311" s="113"/>
    </row>
    <row r="312" spans="1:31" ht="6.95" customHeight="1" x14ac:dyDescent="0.2">
      <c r="E312" s="105"/>
      <c r="G312" s="105"/>
      <c r="I312" s="105"/>
      <c r="J312" s="105"/>
      <c r="K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  <c r="Y312" s="105"/>
      <c r="Z312" s="105"/>
    </row>
    <row r="313" spans="1:31" ht="15" x14ac:dyDescent="0.2">
      <c r="A313" s="103">
        <f>A310+1</f>
        <v>45668</v>
      </c>
      <c r="B313" s="103" t="s">
        <v>319</v>
      </c>
      <c r="C313" s="111" t="str">
        <f>A313 &amp; " " &amp;B313</f>
        <v>45668 0000H</v>
      </c>
      <c r="D313" s="112">
        <v>1144.01</v>
      </c>
      <c r="E313" s="117">
        <v>49.67</v>
      </c>
      <c r="F313" s="112">
        <v>1108.67</v>
      </c>
      <c r="G313" s="117">
        <v>6.2</v>
      </c>
      <c r="H313" s="112">
        <v>74153.919999999998</v>
      </c>
      <c r="I313" s="104">
        <v>902.61</v>
      </c>
      <c r="J313" s="104">
        <v>33146.31</v>
      </c>
      <c r="K313" s="117">
        <v>104.34</v>
      </c>
      <c r="L313" s="112">
        <v>5823.27</v>
      </c>
      <c r="M313" s="104">
        <v>15.78</v>
      </c>
      <c r="N313" s="104">
        <v>33185</v>
      </c>
      <c r="O313" s="104">
        <v>29.1</v>
      </c>
      <c r="P313" s="104">
        <v>623.25</v>
      </c>
      <c r="Q313" s="104">
        <v>708.07</v>
      </c>
      <c r="R313" s="104">
        <v>10128.77</v>
      </c>
      <c r="S313" s="104">
        <v>9.06</v>
      </c>
      <c r="T313" s="104">
        <v>36156</v>
      </c>
      <c r="U313" s="104">
        <v>69</v>
      </c>
      <c r="V313" s="104">
        <v>256.12</v>
      </c>
      <c r="W313" s="104">
        <v>0.15</v>
      </c>
      <c r="X313" s="104">
        <v>6748.62</v>
      </c>
      <c r="Y313" s="104">
        <v>0</v>
      </c>
      <c r="Z313" s="104">
        <v>54159</v>
      </c>
      <c r="AA313" s="117">
        <v>79</v>
      </c>
      <c r="AB313" s="104"/>
      <c r="AC313" s="113"/>
      <c r="AD313" s="104"/>
      <c r="AE313" s="113"/>
    </row>
    <row r="314" spans="1:31" ht="15" x14ac:dyDescent="0.2">
      <c r="A314" s="103">
        <f>A311+1</f>
        <v>45668</v>
      </c>
      <c r="B314" s="103" t="s">
        <v>147</v>
      </c>
      <c r="C314" s="111" t="str">
        <f>A314 &amp; " " &amp;B314</f>
        <v>45668 1200H</v>
      </c>
      <c r="D314" s="112">
        <v>1147.3699999999999</v>
      </c>
      <c r="E314" s="117">
        <v>49.67</v>
      </c>
      <c r="F314" s="112">
        <v>1108.67</v>
      </c>
      <c r="G314" s="117">
        <v>6.2</v>
      </c>
      <c r="H314" s="112">
        <v>74157.97</v>
      </c>
      <c r="I314" s="104">
        <v>902.86</v>
      </c>
      <c r="J314" s="104">
        <v>33147.480000000003</v>
      </c>
      <c r="K314" s="117">
        <v>104.39</v>
      </c>
      <c r="L314" s="112">
        <v>5828.92</v>
      </c>
      <c r="M314" s="104">
        <v>15.78</v>
      </c>
      <c r="N314" s="104">
        <v>33189.800000000003</v>
      </c>
      <c r="O314" s="104">
        <v>29.1</v>
      </c>
      <c r="P314" s="104">
        <v>623.52</v>
      </c>
      <c r="Q314" s="104">
        <v>709</v>
      </c>
      <c r="R314" s="104">
        <v>10132.52</v>
      </c>
      <c r="S314" s="104">
        <v>9.0399999999999991</v>
      </c>
      <c r="T314" s="104">
        <v>36161</v>
      </c>
      <c r="U314" s="104">
        <v>69</v>
      </c>
      <c r="V314" s="104">
        <v>256.12</v>
      </c>
      <c r="W314" s="104">
        <v>0.15</v>
      </c>
      <c r="X314" s="104">
        <v>6748.62</v>
      </c>
      <c r="Y314" s="104">
        <v>0</v>
      </c>
      <c r="Z314" s="104">
        <v>54159</v>
      </c>
      <c r="AA314" s="117">
        <v>79</v>
      </c>
      <c r="AB314" s="104"/>
      <c r="AC314" s="113"/>
      <c r="AD314" s="104"/>
      <c r="AE314" s="113"/>
    </row>
    <row r="315" spans="1:31" ht="6.95" customHeight="1" x14ac:dyDescent="0.2">
      <c r="E315" s="105"/>
      <c r="G315" s="105"/>
      <c r="I315" s="105"/>
      <c r="J315" s="105"/>
      <c r="K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  <c r="Y315" s="105"/>
      <c r="Z315" s="105"/>
    </row>
    <row r="316" spans="1:31" ht="15" x14ac:dyDescent="0.2">
      <c r="A316" s="103">
        <f>A313+1</f>
        <v>45669</v>
      </c>
      <c r="B316" s="103" t="s">
        <v>319</v>
      </c>
      <c r="C316" s="111" t="str">
        <f>A316 &amp; " " &amp;B316</f>
        <v>45669 0000H</v>
      </c>
      <c r="D316" s="112">
        <v>1152.05</v>
      </c>
      <c r="E316" s="117">
        <v>49.67</v>
      </c>
      <c r="F316" s="112">
        <v>1108.67</v>
      </c>
      <c r="G316" s="117">
        <v>6.2</v>
      </c>
      <c r="H316" s="112">
        <v>74168</v>
      </c>
      <c r="I316" s="104">
        <v>902.86</v>
      </c>
      <c r="J316" s="104">
        <v>33147.480000000003</v>
      </c>
      <c r="K316" s="117">
        <v>104.45</v>
      </c>
      <c r="L316" s="112">
        <v>5834.79</v>
      </c>
      <c r="M316" s="104">
        <v>15.78</v>
      </c>
      <c r="N316" s="104">
        <v>33197.300000000003</v>
      </c>
      <c r="O316" s="104">
        <v>29.1</v>
      </c>
      <c r="P316" s="104">
        <v>623.86</v>
      </c>
      <c r="Q316" s="104">
        <v>709.49</v>
      </c>
      <c r="R316" s="104">
        <v>10136.870000000001</v>
      </c>
      <c r="S316" s="104">
        <v>9.0399999999999991</v>
      </c>
      <c r="T316" s="104">
        <v>36168</v>
      </c>
      <c r="U316" s="104">
        <v>69</v>
      </c>
      <c r="V316" s="104">
        <v>256.12</v>
      </c>
      <c r="W316" s="104">
        <v>0.15</v>
      </c>
      <c r="X316" s="104">
        <v>6760.66</v>
      </c>
      <c r="Y316" s="104">
        <v>0</v>
      </c>
      <c r="Z316" s="104">
        <v>54159</v>
      </c>
      <c r="AA316" s="117">
        <v>79</v>
      </c>
      <c r="AB316" s="104"/>
      <c r="AC316" s="113"/>
      <c r="AD316" s="104"/>
      <c r="AE316" s="113"/>
    </row>
    <row r="317" spans="1:31" ht="15" x14ac:dyDescent="0.2">
      <c r="A317" s="103">
        <f>A314+1</f>
        <v>45669</v>
      </c>
      <c r="B317" s="103" t="s">
        <v>147</v>
      </c>
      <c r="C317" s="111" t="str">
        <f>A317 &amp; " " &amp;B317</f>
        <v>45669 1200H</v>
      </c>
      <c r="D317" s="112">
        <v>1155.0999999999999</v>
      </c>
      <c r="E317" s="117">
        <v>49.67</v>
      </c>
      <c r="F317" s="112">
        <v>1108.67</v>
      </c>
      <c r="G317" s="117">
        <v>6.2</v>
      </c>
      <c r="H317" s="112">
        <v>74173.149999999994</v>
      </c>
      <c r="I317" s="104">
        <v>903.08</v>
      </c>
      <c r="J317" s="104">
        <v>33147.480000000003</v>
      </c>
      <c r="K317" s="117">
        <v>104.5</v>
      </c>
      <c r="L317" s="112">
        <v>5840.53</v>
      </c>
      <c r="M317" s="104">
        <v>15.78</v>
      </c>
      <c r="N317" s="104">
        <v>33201.599999999999</v>
      </c>
      <c r="O317" s="104">
        <v>29.1</v>
      </c>
      <c r="P317" s="104">
        <v>623.92999999999995</v>
      </c>
      <c r="Q317" s="104">
        <v>710.33</v>
      </c>
      <c r="R317" s="104">
        <v>10140.32</v>
      </c>
      <c r="S317" s="104">
        <v>9.0399999999999991</v>
      </c>
      <c r="T317" s="104">
        <v>36173</v>
      </c>
      <c r="U317" s="104">
        <v>69</v>
      </c>
      <c r="V317" s="104">
        <v>256.12</v>
      </c>
      <c r="W317" s="104">
        <v>0.15</v>
      </c>
      <c r="X317" s="104">
        <v>6766.2</v>
      </c>
      <c r="Y317" s="104">
        <v>0</v>
      </c>
      <c r="Z317" s="104">
        <v>54159</v>
      </c>
      <c r="AA317" s="117">
        <v>79</v>
      </c>
      <c r="AB317" s="104"/>
      <c r="AC317" s="113"/>
      <c r="AD317" s="104"/>
      <c r="AE317" s="113"/>
    </row>
    <row r="318" spans="1:31" ht="6.95" customHeight="1" x14ac:dyDescent="0.2">
      <c r="E318" s="105"/>
      <c r="G318" s="105"/>
      <c r="I318" s="105"/>
      <c r="J318" s="105"/>
      <c r="K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  <c r="Y318" s="105"/>
      <c r="Z318" s="105"/>
    </row>
    <row r="319" spans="1:31" ht="15" x14ac:dyDescent="0.2">
      <c r="A319" s="103">
        <f>A316+1</f>
        <v>45670</v>
      </c>
      <c r="B319" s="103" t="s">
        <v>319</v>
      </c>
      <c r="C319" s="111" t="str">
        <f>A319 &amp; " " &amp;B319</f>
        <v>45670 0000H</v>
      </c>
      <c r="D319" s="112">
        <v>1158.4100000000001</v>
      </c>
      <c r="E319" s="117">
        <v>49.67</v>
      </c>
      <c r="F319" s="112">
        <v>1108.67</v>
      </c>
      <c r="G319" s="117">
        <v>6.2</v>
      </c>
      <c r="H319" s="112">
        <v>74183.039999999994</v>
      </c>
      <c r="I319" s="104">
        <v>903.08</v>
      </c>
      <c r="J319" s="104">
        <v>33150.050000000003</v>
      </c>
      <c r="K319" s="117">
        <v>104.52</v>
      </c>
      <c r="L319" s="112">
        <v>5846.32</v>
      </c>
      <c r="M319" s="104">
        <v>15.78</v>
      </c>
      <c r="N319" s="104">
        <v>33208</v>
      </c>
      <c r="O319" s="104">
        <v>29.1</v>
      </c>
      <c r="P319" s="104">
        <v>624.86</v>
      </c>
      <c r="Q319" s="104">
        <v>710.71</v>
      </c>
      <c r="R319" s="104">
        <v>10144.76</v>
      </c>
      <c r="S319" s="104">
        <v>9.0399999999999991</v>
      </c>
      <c r="T319" s="104">
        <v>36179</v>
      </c>
      <c r="U319" s="104">
        <v>69</v>
      </c>
      <c r="V319" s="104">
        <v>256.12</v>
      </c>
      <c r="W319" s="104">
        <v>0.15</v>
      </c>
      <c r="X319" s="104">
        <v>6772.59</v>
      </c>
      <c r="Y319" s="104">
        <v>0</v>
      </c>
      <c r="Z319" s="104">
        <v>54159</v>
      </c>
      <c r="AA319" s="117">
        <v>79</v>
      </c>
      <c r="AB319" s="104"/>
      <c r="AC319" s="113"/>
      <c r="AD319" s="104"/>
      <c r="AE319" s="113"/>
    </row>
    <row r="320" spans="1:31" ht="15" x14ac:dyDescent="0.2">
      <c r="A320" s="103">
        <f>A317+1</f>
        <v>45670</v>
      </c>
      <c r="B320" s="103" t="s">
        <v>147</v>
      </c>
      <c r="C320" s="111" t="str">
        <f>A320 &amp; " " &amp;B320</f>
        <v>45670 1200H</v>
      </c>
      <c r="D320" s="112">
        <v>1161.78</v>
      </c>
      <c r="E320" s="117">
        <v>49.67</v>
      </c>
      <c r="F320" s="112">
        <v>1108.67</v>
      </c>
      <c r="G320" s="117">
        <v>6.2</v>
      </c>
      <c r="H320" s="112">
        <v>74193.3</v>
      </c>
      <c r="I320" s="104">
        <v>903.08</v>
      </c>
      <c r="J320" s="104">
        <v>33152.36</v>
      </c>
      <c r="K320" s="117">
        <v>104.56</v>
      </c>
      <c r="L320" s="112">
        <v>5851.94</v>
      </c>
      <c r="M320" s="104">
        <v>15.78</v>
      </c>
      <c r="N320" s="104">
        <v>33213.300000000003</v>
      </c>
      <c r="O320" s="104">
        <v>29.1</v>
      </c>
      <c r="P320" s="104">
        <v>625.09</v>
      </c>
      <c r="Q320" s="104">
        <v>711.75</v>
      </c>
      <c r="R320" s="104">
        <v>10148.620000000001</v>
      </c>
      <c r="S320" s="104">
        <v>9.0399999999999991</v>
      </c>
      <c r="T320" s="104">
        <v>36184</v>
      </c>
      <c r="U320" s="104">
        <v>69</v>
      </c>
      <c r="V320" s="104">
        <v>256.12</v>
      </c>
      <c r="W320" s="104">
        <v>0.15</v>
      </c>
      <c r="X320" s="104">
        <v>6778.07</v>
      </c>
      <c r="Y320" s="104">
        <v>0</v>
      </c>
      <c r="Z320" s="104">
        <v>54159</v>
      </c>
      <c r="AA320" s="117">
        <v>79</v>
      </c>
      <c r="AB320" s="104"/>
      <c r="AC320" s="113"/>
      <c r="AD320" s="104"/>
      <c r="AE320" s="113"/>
    </row>
    <row r="321" spans="1:31" ht="6.95" customHeight="1" x14ac:dyDescent="0.2">
      <c r="E321" s="105"/>
      <c r="G321" s="105"/>
      <c r="I321" s="105"/>
      <c r="J321" s="105"/>
      <c r="K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  <c r="Y321" s="105"/>
      <c r="Z321" s="105"/>
    </row>
    <row r="322" spans="1:31" ht="15" x14ac:dyDescent="0.2">
      <c r="A322" s="103">
        <f>A319+1</f>
        <v>45671</v>
      </c>
      <c r="B322" s="103" t="s">
        <v>319</v>
      </c>
      <c r="C322" s="111" t="str">
        <f>A322 &amp; " " &amp;B322</f>
        <v>45671 0000H</v>
      </c>
      <c r="D322" s="112">
        <v>1167.02</v>
      </c>
      <c r="E322" s="117">
        <v>49.67</v>
      </c>
      <c r="F322" s="112">
        <v>1108.67</v>
      </c>
      <c r="G322" s="117">
        <v>6.2</v>
      </c>
      <c r="H322" s="112">
        <v>74203.28</v>
      </c>
      <c r="I322" s="104">
        <v>903.08</v>
      </c>
      <c r="J322" s="104">
        <v>33156.089999999997</v>
      </c>
      <c r="K322" s="117">
        <v>104.56</v>
      </c>
      <c r="L322" s="112">
        <v>5857.58</v>
      </c>
      <c r="M322" s="104">
        <v>15.78</v>
      </c>
      <c r="N322" s="104">
        <v>33220.199999999997</v>
      </c>
      <c r="O322" s="104">
        <v>29.1</v>
      </c>
      <c r="P322" s="104">
        <v>625.12</v>
      </c>
      <c r="Q322" s="104">
        <v>713.09</v>
      </c>
      <c r="R322" s="104">
        <v>10153.11</v>
      </c>
      <c r="S322" s="104">
        <v>9.0399999999999991</v>
      </c>
      <c r="T322" s="104">
        <v>36191</v>
      </c>
      <c r="U322" s="104">
        <v>69</v>
      </c>
      <c r="V322" s="104">
        <v>256.12</v>
      </c>
      <c r="W322" s="104">
        <v>0.15</v>
      </c>
      <c r="X322" s="104">
        <v>6784.05</v>
      </c>
      <c r="Y322" s="104">
        <v>0</v>
      </c>
      <c r="Z322" s="104">
        <v>54159</v>
      </c>
      <c r="AA322" s="117">
        <v>79</v>
      </c>
      <c r="AB322" s="104"/>
      <c r="AC322" s="113"/>
      <c r="AD322" s="104"/>
      <c r="AE322" s="113"/>
    </row>
    <row r="323" spans="1:31" ht="15" x14ac:dyDescent="0.2">
      <c r="A323" s="103">
        <f>A320+1</f>
        <v>45671</v>
      </c>
      <c r="B323" s="103" t="s">
        <v>147</v>
      </c>
      <c r="C323" s="111" t="str">
        <f>A323 &amp; " " &amp;B323</f>
        <v>45671 1200H</v>
      </c>
      <c r="D323" s="112">
        <v>1170.6099999999999</v>
      </c>
      <c r="E323" s="117">
        <v>49.67</v>
      </c>
      <c r="F323" s="112">
        <v>1108.67</v>
      </c>
      <c r="G323" s="117">
        <v>6.2</v>
      </c>
      <c r="H323" s="112">
        <v>74213.34</v>
      </c>
      <c r="I323" s="104">
        <v>903.08</v>
      </c>
      <c r="J323" s="104">
        <v>33158.400000000001</v>
      </c>
      <c r="K323" s="117">
        <v>104.59</v>
      </c>
      <c r="L323" s="112">
        <v>5863.19</v>
      </c>
      <c r="M323" s="104">
        <v>15.78</v>
      </c>
      <c r="N323" s="104">
        <v>33224.699999999997</v>
      </c>
      <c r="O323" s="104">
        <v>29.1</v>
      </c>
      <c r="P323" s="104">
        <v>625</v>
      </c>
      <c r="Q323" s="104">
        <v>714.06</v>
      </c>
      <c r="R323" s="104">
        <v>10157</v>
      </c>
      <c r="S323" s="104">
        <v>9.0399999999999991</v>
      </c>
      <c r="T323" s="104">
        <v>36196</v>
      </c>
      <c r="U323" s="104">
        <v>69</v>
      </c>
      <c r="V323" s="104">
        <v>256.12</v>
      </c>
      <c r="W323" s="104">
        <v>0.15</v>
      </c>
      <c r="X323" s="104">
        <v>6789.07</v>
      </c>
      <c r="Y323" s="104">
        <v>0</v>
      </c>
      <c r="Z323" s="104">
        <v>54159</v>
      </c>
      <c r="AA323" s="117">
        <v>79</v>
      </c>
      <c r="AB323" s="104"/>
      <c r="AC323" s="113"/>
      <c r="AD323" s="104"/>
      <c r="AE323" s="113"/>
    </row>
    <row r="324" spans="1:31" ht="6.95" customHeight="1" x14ac:dyDescent="0.2">
      <c r="E324" s="105"/>
      <c r="G324" s="105"/>
      <c r="I324" s="105"/>
      <c r="J324" s="105"/>
      <c r="K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  <c r="Y324" s="105"/>
      <c r="Z324" s="105"/>
    </row>
    <row r="325" spans="1:31" ht="15" x14ac:dyDescent="0.2">
      <c r="A325" s="103">
        <f>A322+1</f>
        <v>45672</v>
      </c>
      <c r="B325" s="103" t="s">
        <v>319</v>
      </c>
      <c r="C325" s="111" t="str">
        <f>A325 &amp; " " &amp;B325</f>
        <v>45672 0000H</v>
      </c>
      <c r="D325" s="112">
        <v>1175.1600000000001</v>
      </c>
      <c r="E325" s="117">
        <v>49.67</v>
      </c>
      <c r="F325" s="112">
        <v>1108.67</v>
      </c>
      <c r="G325" s="117">
        <v>6.2</v>
      </c>
      <c r="H325" s="112">
        <v>74223.570000000007</v>
      </c>
      <c r="I325" s="104">
        <v>903.08</v>
      </c>
      <c r="J325" s="104">
        <v>33162.15</v>
      </c>
      <c r="K325" s="117">
        <v>104.59</v>
      </c>
      <c r="L325" s="112">
        <v>5869.01</v>
      </c>
      <c r="M325" s="104">
        <v>15.78</v>
      </c>
      <c r="N325" s="104">
        <v>33231.699999999997</v>
      </c>
      <c r="O325" s="104">
        <v>29.1</v>
      </c>
      <c r="P325" s="104">
        <v>626.87</v>
      </c>
      <c r="Q325" s="104">
        <v>714.51</v>
      </c>
      <c r="R325" s="104">
        <v>10161.36</v>
      </c>
      <c r="S325" s="104">
        <v>9.0399999999999991</v>
      </c>
      <c r="T325" s="104">
        <v>36203</v>
      </c>
      <c r="U325" s="104">
        <v>69</v>
      </c>
      <c r="V325" s="104">
        <v>256.12</v>
      </c>
      <c r="W325" s="104">
        <v>0.15</v>
      </c>
      <c r="X325" s="104">
        <v>6795.54</v>
      </c>
      <c r="Y325" s="104">
        <v>0</v>
      </c>
      <c r="Z325" s="104">
        <v>54159</v>
      </c>
      <c r="AA325" s="117">
        <v>79</v>
      </c>
      <c r="AB325" s="104"/>
      <c r="AC325" s="113"/>
      <c r="AD325" s="104"/>
      <c r="AE325" s="113"/>
    </row>
    <row r="326" spans="1:31" ht="15" x14ac:dyDescent="0.2">
      <c r="A326" s="103">
        <f>A323+1</f>
        <v>45672</v>
      </c>
      <c r="B326" s="103" t="s">
        <v>147</v>
      </c>
      <c r="C326" s="111" t="str">
        <f>A326 &amp; " " &amp;B326</f>
        <v>45672 1200H</v>
      </c>
      <c r="D326" s="112">
        <v>1178.5999999999999</v>
      </c>
      <c r="E326" s="117">
        <v>49.67</v>
      </c>
      <c r="F326" s="112">
        <v>1108.67</v>
      </c>
      <c r="G326" s="117">
        <v>6.2</v>
      </c>
      <c r="H326" s="112">
        <v>74233.56</v>
      </c>
      <c r="I326" s="104">
        <v>903.08</v>
      </c>
      <c r="J326" s="104">
        <v>33164.1</v>
      </c>
      <c r="K326" s="117">
        <v>104.63</v>
      </c>
      <c r="L326" s="112">
        <v>5874.45</v>
      </c>
      <c r="M326" s="104">
        <v>15.78</v>
      </c>
      <c r="N326" s="104">
        <v>33235.800000000003</v>
      </c>
      <c r="O326" s="104">
        <v>29.1</v>
      </c>
      <c r="P326" s="104">
        <v>627.15</v>
      </c>
      <c r="Q326" s="104">
        <v>715.58</v>
      </c>
      <c r="R326" s="104">
        <v>10164.99</v>
      </c>
      <c r="S326" s="104">
        <v>9.0399999999999991</v>
      </c>
      <c r="T326" s="104">
        <v>36209</v>
      </c>
      <c r="U326" s="104">
        <v>69</v>
      </c>
      <c r="V326" s="104">
        <v>256.12</v>
      </c>
      <c r="W326" s="104">
        <v>0.15</v>
      </c>
      <c r="X326" s="104">
        <v>6801.1</v>
      </c>
      <c r="Y326" s="104">
        <v>0</v>
      </c>
      <c r="Z326" s="104">
        <v>54159</v>
      </c>
      <c r="AA326" s="117">
        <v>79</v>
      </c>
      <c r="AB326" s="104"/>
      <c r="AC326" s="113"/>
      <c r="AD326" s="104"/>
      <c r="AE326" s="113"/>
    </row>
    <row r="327" spans="1:31" ht="6.95" customHeight="1" x14ac:dyDescent="0.2">
      <c r="E327" s="105"/>
      <c r="G327" s="105"/>
      <c r="I327" s="105"/>
      <c r="J327" s="105"/>
      <c r="K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  <c r="Y327" s="105"/>
      <c r="Z327" s="105"/>
    </row>
    <row r="328" spans="1:31" ht="15" x14ac:dyDescent="0.2">
      <c r="A328" s="103">
        <f>A325+1</f>
        <v>45673</v>
      </c>
      <c r="B328" s="103" t="s">
        <v>319</v>
      </c>
      <c r="C328" s="111" t="str">
        <f>A328 &amp; " " &amp;B328</f>
        <v>45673 0000H</v>
      </c>
      <c r="D328" s="112">
        <v>1183.23</v>
      </c>
      <c r="E328" s="117">
        <v>49.67</v>
      </c>
      <c r="F328" s="112">
        <v>1108.67</v>
      </c>
      <c r="G328" s="117">
        <v>6.2</v>
      </c>
      <c r="H328" s="112">
        <v>74243.820000000007</v>
      </c>
      <c r="I328" s="104">
        <v>903.08</v>
      </c>
      <c r="J328" s="104">
        <v>33167.839999999997</v>
      </c>
      <c r="K328" s="117">
        <v>104.63</v>
      </c>
      <c r="L328" s="112">
        <v>5880.16</v>
      </c>
      <c r="M328" s="104">
        <v>15.78</v>
      </c>
      <c r="N328" s="104">
        <v>33242.800000000003</v>
      </c>
      <c r="O328" s="104">
        <v>29.1</v>
      </c>
      <c r="P328" s="104">
        <v>627.39</v>
      </c>
      <c r="Q328" s="104">
        <v>716.19</v>
      </c>
      <c r="R328" s="104">
        <v>10169.34</v>
      </c>
      <c r="S328" s="104">
        <v>9.0399999999999991</v>
      </c>
      <c r="T328" s="104">
        <v>36216</v>
      </c>
      <c r="U328" s="104">
        <v>69</v>
      </c>
      <c r="V328" s="104">
        <v>256.12</v>
      </c>
      <c r="W328" s="104">
        <v>0.15</v>
      </c>
      <c r="X328" s="104">
        <v>6807.84</v>
      </c>
      <c r="Y328" s="104">
        <v>0</v>
      </c>
      <c r="Z328" s="104">
        <v>54159</v>
      </c>
      <c r="AA328" s="117">
        <v>79</v>
      </c>
      <c r="AB328" s="104"/>
      <c r="AC328" s="113"/>
      <c r="AD328" s="104"/>
      <c r="AE328" s="113"/>
    </row>
    <row r="329" spans="1:31" ht="15" x14ac:dyDescent="0.2">
      <c r="A329" s="103">
        <f>A326+1</f>
        <v>45673</v>
      </c>
      <c r="B329" s="103" t="s">
        <v>147</v>
      </c>
      <c r="C329" s="111" t="str">
        <f>A329 &amp; " " &amp;B329</f>
        <v>45673 1200H</v>
      </c>
      <c r="D329" s="112">
        <v>1187.01</v>
      </c>
      <c r="E329" s="117">
        <v>49.67</v>
      </c>
      <c r="F329" s="112">
        <v>1108.67</v>
      </c>
      <c r="G329" s="117">
        <v>6.2</v>
      </c>
      <c r="H329" s="112">
        <v>74248.08</v>
      </c>
      <c r="I329" s="104">
        <v>903.34</v>
      </c>
      <c r="J329" s="104">
        <v>33171.620000000003</v>
      </c>
      <c r="K329" s="117">
        <v>104.63</v>
      </c>
      <c r="L329" s="112">
        <v>5885.71</v>
      </c>
      <c r="M329" s="104">
        <v>15.78</v>
      </c>
      <c r="N329" s="104">
        <v>33247.4</v>
      </c>
      <c r="O329" s="104">
        <v>29.1</v>
      </c>
      <c r="P329" s="104">
        <v>627.9</v>
      </c>
      <c r="Q329" s="104">
        <v>717.04</v>
      </c>
      <c r="R329" s="104">
        <v>10173.14</v>
      </c>
      <c r="S329" s="104">
        <v>9.0399999999999991</v>
      </c>
      <c r="T329" s="104">
        <v>36223</v>
      </c>
      <c r="U329" s="104">
        <v>69</v>
      </c>
      <c r="V329" s="104">
        <v>256.12</v>
      </c>
      <c r="W329" s="104">
        <v>0.15</v>
      </c>
      <c r="X329" s="104">
        <v>6807.84</v>
      </c>
      <c r="Y329" s="104">
        <v>0</v>
      </c>
      <c r="Z329" s="104">
        <v>54159</v>
      </c>
      <c r="AA329" s="117">
        <v>79</v>
      </c>
      <c r="AB329" s="104"/>
      <c r="AC329" s="113"/>
      <c r="AD329" s="104"/>
      <c r="AE329" s="113"/>
    </row>
    <row r="330" spans="1:31" ht="6.95" customHeight="1" x14ac:dyDescent="0.2">
      <c r="E330" s="105"/>
      <c r="G330" s="105"/>
      <c r="I330" s="105"/>
      <c r="J330" s="105"/>
      <c r="K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  <c r="Y330" s="105"/>
      <c r="Z330" s="105"/>
    </row>
    <row r="331" spans="1:31" ht="15" x14ac:dyDescent="0.2">
      <c r="A331" s="103">
        <f>A328+1</f>
        <v>45674</v>
      </c>
      <c r="B331" s="103" t="s">
        <v>319</v>
      </c>
      <c r="C331" s="111" t="str">
        <f>A331 &amp; " " &amp;B331</f>
        <v>45674 0000H</v>
      </c>
      <c r="D331" s="112">
        <v>1192.55</v>
      </c>
      <c r="E331" s="117">
        <v>49.67</v>
      </c>
      <c r="F331" s="112">
        <v>1108.67</v>
      </c>
      <c r="G331" s="117">
        <v>6.2</v>
      </c>
      <c r="H331" s="112">
        <v>74255.67</v>
      </c>
      <c r="I331" s="104">
        <v>903.42</v>
      </c>
      <c r="J331" s="104">
        <v>33175.410000000003</v>
      </c>
      <c r="K331" s="117">
        <v>104.63</v>
      </c>
      <c r="L331" s="112">
        <v>5891.42</v>
      </c>
      <c r="M331" s="104">
        <v>15.78</v>
      </c>
      <c r="N331" s="104">
        <v>33254.699999999997</v>
      </c>
      <c r="O331" s="104">
        <v>29.1</v>
      </c>
      <c r="P331" s="104">
        <v>628.26</v>
      </c>
      <c r="Q331" s="104">
        <v>717.66</v>
      </c>
      <c r="R331" s="104">
        <v>10177.629999999999</v>
      </c>
      <c r="S331" s="104">
        <v>9.0399999999999991</v>
      </c>
      <c r="T331" s="104">
        <v>36230</v>
      </c>
      <c r="U331" s="104">
        <v>69</v>
      </c>
      <c r="V331" s="104">
        <v>256.12</v>
      </c>
      <c r="W331" s="104">
        <v>0.15</v>
      </c>
      <c r="X331" s="104">
        <v>6819.75</v>
      </c>
      <c r="Y331" s="104">
        <v>0</v>
      </c>
      <c r="Z331" s="104">
        <v>54159</v>
      </c>
      <c r="AA331" s="117">
        <v>79</v>
      </c>
      <c r="AB331" s="104"/>
      <c r="AC331" s="113"/>
      <c r="AD331" s="104"/>
      <c r="AE331" s="113"/>
    </row>
    <row r="332" spans="1:31" ht="15" x14ac:dyDescent="0.2">
      <c r="A332" s="103">
        <f>A329+1</f>
        <v>45674</v>
      </c>
      <c r="B332" s="103" t="s">
        <v>147</v>
      </c>
      <c r="C332" s="111" t="str">
        <f>A332 &amp; " " &amp;B332</f>
        <v>45674 1200H</v>
      </c>
      <c r="D332" s="112">
        <v>1196.22</v>
      </c>
      <c r="E332" s="117">
        <v>49.67</v>
      </c>
      <c r="F332" s="112">
        <v>1108.67</v>
      </c>
      <c r="G332" s="117">
        <v>6.2</v>
      </c>
      <c r="H332" s="112">
        <v>74256.72</v>
      </c>
      <c r="I332" s="104">
        <v>903.83</v>
      </c>
      <c r="J332" s="104">
        <v>33179.160000000003</v>
      </c>
      <c r="K332" s="117">
        <v>104.63</v>
      </c>
      <c r="L332" s="112">
        <v>5897.16</v>
      </c>
      <c r="M332" s="104">
        <v>15.78</v>
      </c>
      <c r="N332" s="104">
        <v>33260.400000000001</v>
      </c>
      <c r="O332" s="104">
        <v>29.1</v>
      </c>
      <c r="P332" s="104">
        <v>628.79999999999995</v>
      </c>
      <c r="Q332" s="104">
        <v>718.61</v>
      </c>
      <c r="R332" s="104">
        <v>10181.280000000001</v>
      </c>
      <c r="S332" s="104">
        <v>9.0399999999999991</v>
      </c>
      <c r="T332" s="104">
        <v>36236</v>
      </c>
      <c r="U332" s="104">
        <v>69</v>
      </c>
      <c r="V332" s="104">
        <v>256.12</v>
      </c>
      <c r="W332" s="104">
        <v>0.15</v>
      </c>
      <c r="X332" s="104">
        <v>6825.73</v>
      </c>
      <c r="Y332" s="104">
        <v>0</v>
      </c>
      <c r="Z332" s="104">
        <v>54159</v>
      </c>
      <c r="AA332" s="117">
        <v>79</v>
      </c>
      <c r="AB332" s="104"/>
      <c r="AC332" s="113"/>
      <c r="AD332" s="104"/>
      <c r="AE332" s="113"/>
    </row>
    <row r="333" spans="1:31" ht="6.95" customHeight="1" x14ac:dyDescent="0.2">
      <c r="E333" s="105"/>
      <c r="G333" s="105"/>
      <c r="I333" s="105"/>
      <c r="J333" s="105"/>
      <c r="K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  <c r="Y333" s="105"/>
      <c r="Z333" s="105"/>
    </row>
    <row r="334" spans="1:31" ht="15" x14ac:dyDescent="0.2">
      <c r="A334" s="103">
        <f>A331+1</f>
        <v>45675</v>
      </c>
      <c r="B334" s="103" t="s">
        <v>319</v>
      </c>
      <c r="C334" s="111" t="str">
        <f>A334 &amp; " " &amp;B334</f>
        <v>45675 0000H</v>
      </c>
      <c r="D334" s="112">
        <v>1201.6199999999999</v>
      </c>
      <c r="E334" s="117">
        <v>49.67</v>
      </c>
      <c r="F334" s="112">
        <v>1108.67</v>
      </c>
      <c r="G334" s="117">
        <v>6.2</v>
      </c>
      <c r="H334" s="112">
        <v>74266.559999999998</v>
      </c>
      <c r="I334" s="104">
        <v>908.83</v>
      </c>
      <c r="J334" s="104">
        <v>33182.9</v>
      </c>
      <c r="K334" s="117">
        <v>104.63</v>
      </c>
      <c r="L334" s="112">
        <v>5902.96</v>
      </c>
      <c r="M334" s="104">
        <v>15.78</v>
      </c>
      <c r="N334" s="104">
        <v>33267.699999999997</v>
      </c>
      <c r="O334" s="104">
        <v>29.1</v>
      </c>
      <c r="P334" s="104">
        <v>628.98</v>
      </c>
      <c r="Q334" s="104">
        <v>719.95</v>
      </c>
      <c r="R334" s="104">
        <v>10185.82</v>
      </c>
      <c r="S334" s="104">
        <v>9.0399999999999991</v>
      </c>
      <c r="T334" s="104">
        <v>36244</v>
      </c>
      <c r="U334" s="104">
        <v>69</v>
      </c>
      <c r="V334" s="104">
        <v>256.12</v>
      </c>
      <c r="W334" s="104">
        <v>0.15</v>
      </c>
      <c r="X334" s="104">
        <v>6832.97</v>
      </c>
      <c r="Y334" s="104">
        <v>0</v>
      </c>
      <c r="Z334" s="104">
        <v>54159</v>
      </c>
      <c r="AA334" s="117">
        <v>79</v>
      </c>
      <c r="AB334" s="104"/>
      <c r="AC334" s="113"/>
      <c r="AD334" s="104"/>
      <c r="AE334" s="113"/>
    </row>
    <row r="335" spans="1:31" ht="15" x14ac:dyDescent="0.2">
      <c r="A335" s="103">
        <f>A332+1</f>
        <v>45675</v>
      </c>
      <c r="B335" s="103" t="s">
        <v>147</v>
      </c>
      <c r="C335" s="111" t="str">
        <f>A335 &amp; " " &amp;B335</f>
        <v>45675 1200H</v>
      </c>
      <c r="D335" s="112">
        <v>1204.46</v>
      </c>
      <c r="E335" s="117">
        <v>49.67</v>
      </c>
      <c r="F335" s="112">
        <v>1108.67</v>
      </c>
      <c r="G335" s="117">
        <v>6.2</v>
      </c>
      <c r="H335" s="112">
        <v>74274.05</v>
      </c>
      <c r="I335" s="104">
        <v>903.85</v>
      </c>
      <c r="J335" s="104">
        <v>33182.949999999997</v>
      </c>
      <c r="K335" s="117">
        <v>104.68</v>
      </c>
      <c r="L335" s="112">
        <v>5907.72</v>
      </c>
      <c r="M335" s="104">
        <v>15.78</v>
      </c>
      <c r="N335" s="104">
        <v>33271.599999999999</v>
      </c>
      <c r="O335" s="104">
        <v>29.1</v>
      </c>
      <c r="P335" s="104">
        <v>629</v>
      </c>
      <c r="Q335" s="104">
        <v>720.8</v>
      </c>
      <c r="R335" s="104">
        <v>10188.469999999999</v>
      </c>
      <c r="S335" s="104">
        <v>9.0399999999999991</v>
      </c>
      <c r="T335" s="104">
        <v>36250</v>
      </c>
      <c r="U335" s="104">
        <v>69</v>
      </c>
      <c r="V335" s="104">
        <v>259.31</v>
      </c>
      <c r="W335" s="104">
        <v>0.15</v>
      </c>
      <c r="X335" s="104">
        <v>6839.09</v>
      </c>
      <c r="Y335" s="104">
        <v>0</v>
      </c>
      <c r="Z335" s="104">
        <v>54159</v>
      </c>
      <c r="AA335" s="117">
        <v>79</v>
      </c>
      <c r="AB335" s="104"/>
      <c r="AC335" s="113"/>
      <c r="AD335" s="104"/>
      <c r="AE335" s="113"/>
    </row>
    <row r="336" spans="1:31" ht="6.95" customHeight="1" x14ac:dyDescent="0.2">
      <c r="E336" s="105"/>
      <c r="G336" s="105"/>
      <c r="I336" s="105"/>
      <c r="J336" s="105"/>
      <c r="K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  <c r="Y336" s="105"/>
      <c r="Z336" s="105"/>
    </row>
    <row r="337" spans="1:31" ht="15" x14ac:dyDescent="0.2">
      <c r="A337" s="103">
        <f>A334+1</f>
        <v>45676</v>
      </c>
      <c r="B337" s="103" t="s">
        <v>319</v>
      </c>
      <c r="C337" s="111" t="str">
        <f>A337 &amp; " " &amp;B337</f>
        <v>45676 0000H</v>
      </c>
      <c r="D337" s="112">
        <v>1208.67</v>
      </c>
      <c r="E337" s="117">
        <v>49.67</v>
      </c>
      <c r="F337" s="112">
        <v>1108.67</v>
      </c>
      <c r="G337" s="117">
        <v>6.2</v>
      </c>
      <c r="H337" s="112">
        <v>74284.08</v>
      </c>
      <c r="I337" s="104">
        <v>903.85</v>
      </c>
      <c r="J337" s="104">
        <v>33182.949999999997</v>
      </c>
      <c r="K337" s="117">
        <v>104.73</v>
      </c>
      <c r="L337" s="112">
        <v>5913.37</v>
      </c>
      <c r="M337" s="104">
        <v>15.78</v>
      </c>
      <c r="N337" s="104">
        <v>33278.6</v>
      </c>
      <c r="O337" s="104">
        <v>29.1</v>
      </c>
      <c r="P337" s="104">
        <v>629.11</v>
      </c>
      <c r="Q337" s="104">
        <v>721.69</v>
      </c>
      <c r="R337" s="104">
        <v>10193.120000000001</v>
      </c>
      <c r="S337" s="104">
        <v>9.0399999999999991</v>
      </c>
      <c r="T337" s="104">
        <v>36256</v>
      </c>
      <c r="U337" s="104">
        <v>69</v>
      </c>
      <c r="V337" s="104">
        <v>259.31</v>
      </c>
      <c r="W337" s="104">
        <v>0.15</v>
      </c>
      <c r="X337" s="104">
        <v>6846.3</v>
      </c>
      <c r="Y337" s="104">
        <v>0</v>
      </c>
      <c r="Z337" s="104">
        <v>54159</v>
      </c>
      <c r="AA337" s="117">
        <v>79</v>
      </c>
      <c r="AB337" s="104"/>
      <c r="AC337" s="113"/>
      <c r="AD337" s="104"/>
      <c r="AE337" s="113"/>
    </row>
    <row r="338" spans="1:31" ht="15" x14ac:dyDescent="0.2">
      <c r="A338" s="103">
        <f>A335+1</f>
        <v>45676</v>
      </c>
      <c r="B338" s="103" t="s">
        <v>147</v>
      </c>
      <c r="C338" s="111" t="str">
        <f>A338 &amp; " " &amp;B338</f>
        <v>45676 1200H</v>
      </c>
      <c r="D338" s="112">
        <v>1218.82</v>
      </c>
      <c r="E338" s="117">
        <v>49.67</v>
      </c>
      <c r="F338" s="112">
        <v>1108.67</v>
      </c>
      <c r="G338" s="117">
        <v>6.2</v>
      </c>
      <c r="H338" s="112">
        <v>74293.62</v>
      </c>
      <c r="I338" s="104">
        <v>903.85</v>
      </c>
      <c r="J338" s="104">
        <v>33182.949999999997</v>
      </c>
      <c r="K338" s="117">
        <v>104.79</v>
      </c>
      <c r="L338" s="112">
        <v>5918.87</v>
      </c>
      <c r="M338" s="104">
        <v>15.78</v>
      </c>
      <c r="N338" s="104">
        <v>33280.300000000003</v>
      </c>
      <c r="O338" s="104">
        <v>29.2</v>
      </c>
      <c r="P338" s="104">
        <v>629.12</v>
      </c>
      <c r="Q338" s="104">
        <v>722.57</v>
      </c>
      <c r="R338" s="104">
        <v>10196.85</v>
      </c>
      <c r="S338" s="104">
        <v>9.0399999999999991</v>
      </c>
      <c r="T338" s="104">
        <v>36262</v>
      </c>
      <c r="U338" s="104">
        <v>69</v>
      </c>
      <c r="V338" s="104">
        <v>263.67</v>
      </c>
      <c r="W338" s="104">
        <v>0.15</v>
      </c>
      <c r="X338" s="104">
        <v>6852.33</v>
      </c>
      <c r="Y338" s="104">
        <v>0</v>
      </c>
      <c r="Z338" s="104">
        <v>54159</v>
      </c>
      <c r="AA338" s="117">
        <v>79</v>
      </c>
      <c r="AB338" s="104"/>
      <c r="AC338" s="113"/>
      <c r="AD338" s="104"/>
      <c r="AE338" s="113"/>
    </row>
    <row r="339" spans="1:31" ht="6.95" customHeight="1" x14ac:dyDescent="0.2">
      <c r="E339" s="105"/>
      <c r="G339" s="105"/>
      <c r="I339" s="105"/>
      <c r="J339" s="105"/>
      <c r="K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  <c r="Y339" s="105"/>
      <c r="Z339" s="105"/>
    </row>
    <row r="340" spans="1:31" ht="15" x14ac:dyDescent="0.2">
      <c r="A340" s="103">
        <f>A337+1</f>
        <v>45677</v>
      </c>
      <c r="B340" s="103" t="s">
        <v>319</v>
      </c>
      <c r="C340" s="111" t="str">
        <f>A340 &amp; " " &amp;B340</f>
        <v>45677 0000H</v>
      </c>
      <c r="D340" s="112">
        <v>1216.3699999999999</v>
      </c>
      <c r="E340" s="117">
        <v>49.67</v>
      </c>
      <c r="F340" s="112">
        <v>1108.67</v>
      </c>
      <c r="G340" s="117">
        <v>6.2</v>
      </c>
      <c r="H340" s="112">
        <v>74302.81</v>
      </c>
      <c r="I340" s="104">
        <v>903.05</v>
      </c>
      <c r="J340" s="104">
        <v>33186.050000000003</v>
      </c>
      <c r="K340" s="117">
        <v>104.8</v>
      </c>
      <c r="L340" s="112">
        <v>5924.57</v>
      </c>
      <c r="M340" s="104">
        <v>15.78</v>
      </c>
      <c r="N340" s="104">
        <v>33287.699999999997</v>
      </c>
      <c r="O340" s="104">
        <v>29.2</v>
      </c>
      <c r="P340" s="104">
        <v>629.23</v>
      </c>
      <c r="Q340" s="104">
        <v>724.22</v>
      </c>
      <c r="R340" s="104">
        <v>10201.26</v>
      </c>
      <c r="S340" s="104">
        <v>9.0399999999999991</v>
      </c>
      <c r="T340" s="104">
        <v>36269</v>
      </c>
      <c r="U340" s="104">
        <v>69</v>
      </c>
      <c r="V340" s="104">
        <v>263.67</v>
      </c>
      <c r="W340" s="104">
        <v>0.15</v>
      </c>
      <c r="X340" s="104">
        <v>6854.21</v>
      </c>
      <c r="Y340" s="104">
        <v>0</v>
      </c>
      <c r="Z340" s="104">
        <v>54159</v>
      </c>
      <c r="AA340" s="117">
        <v>79</v>
      </c>
      <c r="AB340" s="104"/>
      <c r="AC340" s="113"/>
      <c r="AD340" s="104"/>
      <c r="AE340" s="113"/>
    </row>
    <row r="341" spans="1:31" ht="15" x14ac:dyDescent="0.2">
      <c r="A341" s="103">
        <f>A338+1</f>
        <v>45677</v>
      </c>
      <c r="B341" s="103" t="s">
        <v>147</v>
      </c>
      <c r="C341" s="111" t="str">
        <f>A341 &amp; " " &amp;B341</f>
        <v>45677 1200H</v>
      </c>
      <c r="D341" s="112">
        <v>1220.19</v>
      </c>
      <c r="E341" s="117">
        <v>49.67</v>
      </c>
      <c r="F341" s="112">
        <v>1108.67</v>
      </c>
      <c r="G341" s="117">
        <v>6.2</v>
      </c>
      <c r="H341" s="112">
        <v>74307.22</v>
      </c>
      <c r="I341" s="104">
        <v>904.07</v>
      </c>
      <c r="J341" s="104">
        <v>33188.31</v>
      </c>
      <c r="K341" s="117">
        <v>104.84</v>
      </c>
      <c r="L341" s="112">
        <v>5930.3</v>
      </c>
      <c r="M341" s="104">
        <v>15.78</v>
      </c>
      <c r="N341" s="104">
        <v>33291.199999999997</v>
      </c>
      <c r="O341" s="104">
        <v>29.2</v>
      </c>
      <c r="P341" s="104">
        <v>629.92999999999995</v>
      </c>
      <c r="Q341" s="104">
        <v>724.92</v>
      </c>
      <c r="R341" s="104">
        <v>10204.89</v>
      </c>
      <c r="S341" s="104">
        <v>9.0399999999999991</v>
      </c>
      <c r="T341" s="104">
        <v>36276</v>
      </c>
      <c r="U341" s="104">
        <v>69</v>
      </c>
      <c r="V341" s="104">
        <v>263.67</v>
      </c>
      <c r="W341" s="104">
        <v>0.15</v>
      </c>
      <c r="X341" s="104">
        <v>6860.43</v>
      </c>
      <c r="Y341" s="104">
        <v>0</v>
      </c>
      <c r="Z341" s="104">
        <v>54160</v>
      </c>
      <c r="AA341" s="117">
        <v>79</v>
      </c>
      <c r="AB341" s="104"/>
      <c r="AC341" s="113"/>
      <c r="AD341" s="104"/>
      <c r="AE341" s="113"/>
    </row>
    <row r="342" spans="1:31" ht="6.95" customHeight="1" x14ac:dyDescent="0.2">
      <c r="E342" s="105"/>
      <c r="G342" s="105"/>
      <c r="I342" s="105"/>
      <c r="J342" s="105"/>
      <c r="K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  <c r="Y342" s="105"/>
      <c r="Z342" s="105"/>
    </row>
    <row r="343" spans="1:31" ht="15" x14ac:dyDescent="0.2">
      <c r="A343" s="103">
        <f>A340+1</f>
        <v>45678</v>
      </c>
      <c r="B343" s="103" t="s">
        <v>319</v>
      </c>
      <c r="C343" s="111" t="str">
        <f>A343 &amp; " " &amp;B343</f>
        <v>45678 0000H</v>
      </c>
      <c r="D343" s="112">
        <v>1226.02</v>
      </c>
      <c r="E343" s="117">
        <v>49.67</v>
      </c>
      <c r="F343" s="112">
        <v>1108.67</v>
      </c>
      <c r="G343" s="117">
        <v>6.2</v>
      </c>
      <c r="H343" s="112">
        <v>74315.92</v>
      </c>
      <c r="I343" s="104">
        <v>904.12</v>
      </c>
      <c r="J343" s="104">
        <v>33192.019999999997</v>
      </c>
      <c r="K343" s="117">
        <v>104.84</v>
      </c>
      <c r="L343" s="112">
        <v>5935.96</v>
      </c>
      <c r="M343" s="104">
        <v>15.78</v>
      </c>
      <c r="N343" s="104">
        <v>33296.199999999997</v>
      </c>
      <c r="O343" s="104">
        <v>29.2</v>
      </c>
      <c r="P343" s="104">
        <v>630.62</v>
      </c>
      <c r="Q343" s="104">
        <v>725.86</v>
      </c>
      <c r="R343" s="104">
        <v>10209.43</v>
      </c>
      <c r="S343" s="104">
        <v>9.0399999999999991</v>
      </c>
      <c r="T343" s="104">
        <v>36283</v>
      </c>
      <c r="U343" s="104">
        <v>69</v>
      </c>
      <c r="V343" s="104">
        <v>263.67</v>
      </c>
      <c r="W343" s="104">
        <v>0.15</v>
      </c>
      <c r="X343" s="104">
        <v>6866.17</v>
      </c>
      <c r="Y343" s="104">
        <v>0</v>
      </c>
      <c r="Z343" s="104">
        <v>54162</v>
      </c>
      <c r="AA343" s="117">
        <v>79</v>
      </c>
      <c r="AB343" s="104"/>
      <c r="AC343" s="113"/>
      <c r="AD343" s="104"/>
      <c r="AE343" s="113"/>
    </row>
    <row r="344" spans="1:31" ht="15" x14ac:dyDescent="0.2">
      <c r="A344" s="103">
        <f>A341+1</f>
        <v>45678</v>
      </c>
      <c r="B344" s="103" t="s">
        <v>147</v>
      </c>
      <c r="C344" s="111" t="str">
        <f>A344 &amp; " " &amp;B344</f>
        <v>45678 1200H</v>
      </c>
      <c r="D344" s="112">
        <v>1229.72</v>
      </c>
      <c r="E344" s="117">
        <v>49.67</v>
      </c>
      <c r="F344" s="112">
        <v>1108.67</v>
      </c>
      <c r="G344" s="117">
        <v>6.2</v>
      </c>
      <c r="H344" s="112">
        <v>74321.39</v>
      </c>
      <c r="I344" s="104">
        <v>904.32</v>
      </c>
      <c r="J344" s="104">
        <v>33195.839999999997</v>
      </c>
      <c r="K344" s="117">
        <v>104.84</v>
      </c>
      <c r="L344" s="112">
        <v>5941.66</v>
      </c>
      <c r="M344" s="104">
        <v>15.78</v>
      </c>
      <c r="N344" s="104">
        <v>33301.1</v>
      </c>
      <c r="O344" s="104">
        <v>29.2</v>
      </c>
      <c r="P344" s="104">
        <v>630.64</v>
      </c>
      <c r="Q344" s="104">
        <v>727.13</v>
      </c>
      <c r="R344" s="104">
        <v>10213.18</v>
      </c>
      <c r="S344" s="104">
        <v>9.0399999999999991</v>
      </c>
      <c r="T344" s="104">
        <v>36289</v>
      </c>
      <c r="U344" s="104">
        <v>69</v>
      </c>
      <c r="V344" s="104">
        <v>263.67</v>
      </c>
      <c r="W344" s="104">
        <v>0.15</v>
      </c>
      <c r="X344" s="104">
        <v>6872.56</v>
      </c>
      <c r="Y344" s="104">
        <v>0</v>
      </c>
      <c r="Z344" s="104">
        <v>54162</v>
      </c>
      <c r="AA344" s="117">
        <v>79</v>
      </c>
      <c r="AB344" s="104"/>
      <c r="AC344" s="113"/>
      <c r="AD344" s="104"/>
      <c r="AE344" s="113"/>
    </row>
    <row r="345" spans="1:31" ht="6" customHeight="1" x14ac:dyDescent="0.2"/>
    <row r="346" spans="1:31" ht="15" x14ac:dyDescent="0.2">
      <c r="A346" s="103">
        <f>A343+1</f>
        <v>45679</v>
      </c>
      <c r="B346" s="103" t="s">
        <v>319</v>
      </c>
      <c r="C346" s="111" t="str">
        <f>A346 &amp; " " &amp;B346</f>
        <v>45679 0000H</v>
      </c>
      <c r="D346" s="112">
        <v>1234.06</v>
      </c>
      <c r="E346" s="117">
        <v>49.67</v>
      </c>
      <c r="F346" s="112">
        <v>1108.67</v>
      </c>
      <c r="G346" s="117">
        <v>6.2</v>
      </c>
      <c r="H346" s="112">
        <v>74331.539999999994</v>
      </c>
      <c r="I346" s="104">
        <v>904.32</v>
      </c>
      <c r="J346" s="104">
        <v>33199.550000000003</v>
      </c>
      <c r="K346" s="117">
        <v>104.84</v>
      </c>
      <c r="L346" s="112">
        <v>5947.5</v>
      </c>
      <c r="M346" s="104">
        <v>15.78</v>
      </c>
      <c r="N346" s="104">
        <v>33308.300000000003</v>
      </c>
      <c r="O346" s="104">
        <v>29.2</v>
      </c>
      <c r="P346" s="104">
        <v>631.36</v>
      </c>
      <c r="Q346" s="104">
        <v>727.53</v>
      </c>
      <c r="R346" s="104">
        <v>10217.290000000001</v>
      </c>
      <c r="S346" s="104">
        <v>9.0399999999999991</v>
      </c>
      <c r="T346" s="104">
        <v>36297</v>
      </c>
      <c r="U346" s="104">
        <v>69</v>
      </c>
      <c r="V346" s="104">
        <v>263.67</v>
      </c>
      <c r="W346" s="104">
        <v>0.15</v>
      </c>
      <c r="X346" s="104">
        <v>6879.9</v>
      </c>
      <c r="Y346" s="104">
        <v>0</v>
      </c>
      <c r="Z346" s="104">
        <v>54162</v>
      </c>
      <c r="AA346" s="117">
        <v>79</v>
      </c>
      <c r="AB346" s="104"/>
      <c r="AC346" s="113"/>
      <c r="AD346" s="104"/>
      <c r="AE346" s="113"/>
    </row>
    <row r="347" spans="1:31" ht="15" x14ac:dyDescent="0.2">
      <c r="A347" s="103">
        <f>A344+1</f>
        <v>45679</v>
      </c>
      <c r="B347" s="103" t="s">
        <v>147</v>
      </c>
      <c r="C347" s="111" t="str">
        <f>A347 &amp; " " &amp;B347</f>
        <v>45679 1200H</v>
      </c>
      <c r="D347" s="112">
        <v>1237.8900000000001</v>
      </c>
      <c r="E347" s="117">
        <v>49.67</v>
      </c>
      <c r="F347" s="112">
        <v>1108.67</v>
      </c>
      <c r="G347" s="117">
        <v>6.2</v>
      </c>
      <c r="H347" s="112">
        <v>74337.460000000006</v>
      </c>
      <c r="I347" s="104">
        <v>904.47</v>
      </c>
      <c r="J347" s="104">
        <v>33203.35</v>
      </c>
      <c r="K347" s="117">
        <v>104.84</v>
      </c>
      <c r="L347" s="112">
        <v>5953.32</v>
      </c>
      <c r="M347" s="104">
        <v>15.78</v>
      </c>
      <c r="N347" s="104">
        <v>33312.800000000003</v>
      </c>
      <c r="O347" s="104">
        <v>29.2</v>
      </c>
      <c r="P347" s="104">
        <v>632.45000000000005</v>
      </c>
      <c r="Q347" s="104">
        <v>728.38</v>
      </c>
      <c r="R347" s="104">
        <v>10221.09</v>
      </c>
      <c r="S347" s="104">
        <v>9.0399999999999991</v>
      </c>
      <c r="T347" s="104">
        <v>36303</v>
      </c>
      <c r="U347" s="104">
        <v>69</v>
      </c>
      <c r="V347" s="104">
        <v>263.67</v>
      </c>
      <c r="W347" s="104">
        <v>0.15</v>
      </c>
      <c r="X347" s="104">
        <v>6885.88</v>
      </c>
      <c r="Y347" s="104">
        <v>0</v>
      </c>
      <c r="Z347" s="104">
        <v>54163</v>
      </c>
      <c r="AA347" s="117">
        <v>79</v>
      </c>
      <c r="AB347" s="104"/>
      <c r="AC347" s="113"/>
      <c r="AD347" s="104"/>
      <c r="AE347" s="113"/>
    </row>
    <row r="348" spans="1:31" ht="6" customHeight="1" x14ac:dyDescent="0.2"/>
    <row r="349" spans="1:31" ht="15" x14ac:dyDescent="0.2">
      <c r="A349" s="103">
        <f>A346+1</f>
        <v>45680</v>
      </c>
      <c r="B349" s="103" t="s">
        <v>319</v>
      </c>
      <c r="C349" s="111" t="str">
        <f>A349 &amp; " " &amp;B349</f>
        <v>45680 0000H</v>
      </c>
      <c r="D349" s="112">
        <v>1243.76</v>
      </c>
      <c r="E349" s="117">
        <v>49.67</v>
      </c>
      <c r="F349" s="112">
        <v>1108.67</v>
      </c>
      <c r="G349" s="117">
        <v>6.2</v>
      </c>
      <c r="H349" s="112">
        <v>74347.78</v>
      </c>
      <c r="I349" s="104">
        <v>904.47</v>
      </c>
      <c r="J349" s="104">
        <v>33207.06</v>
      </c>
      <c r="K349" s="117">
        <v>104.84</v>
      </c>
      <c r="L349" s="112">
        <v>5959.15</v>
      </c>
      <c r="M349" s="104">
        <v>15.78</v>
      </c>
      <c r="N349" s="104">
        <v>33319</v>
      </c>
      <c r="O349" s="104">
        <v>29.2</v>
      </c>
      <c r="P349" s="104">
        <v>633.13</v>
      </c>
      <c r="Q349" s="104">
        <v>729.5</v>
      </c>
      <c r="R349" s="104">
        <v>10225.81</v>
      </c>
      <c r="S349" s="104">
        <v>9.0399999999999991</v>
      </c>
      <c r="T349" s="104">
        <v>36311</v>
      </c>
      <c r="U349" s="104">
        <v>69</v>
      </c>
      <c r="V349" s="104">
        <v>263.67</v>
      </c>
      <c r="W349" s="104">
        <v>0.15</v>
      </c>
      <c r="X349" s="104">
        <v>6892.93</v>
      </c>
      <c r="Y349" s="104">
        <v>0</v>
      </c>
      <c r="Z349" s="104">
        <v>54163</v>
      </c>
      <c r="AA349" s="117">
        <v>79</v>
      </c>
      <c r="AB349" s="104"/>
      <c r="AC349" s="113"/>
      <c r="AD349" s="104"/>
      <c r="AE349" s="113"/>
    </row>
    <row r="350" spans="1:31" ht="15" x14ac:dyDescent="0.2">
      <c r="A350" s="103">
        <f>A347+1</f>
        <v>45680</v>
      </c>
      <c r="B350" s="103" t="s">
        <v>147</v>
      </c>
      <c r="C350" s="111" t="str">
        <f>A350 &amp; " " &amp;B350</f>
        <v>45680 1200H</v>
      </c>
      <c r="D350" s="112">
        <v>1247.97</v>
      </c>
      <c r="E350" s="117">
        <v>49.67</v>
      </c>
      <c r="F350" s="112">
        <v>1108.67</v>
      </c>
      <c r="G350" s="117">
        <v>6.2</v>
      </c>
      <c r="H350" s="112">
        <v>74357.56</v>
      </c>
      <c r="I350" s="104">
        <v>904.47</v>
      </c>
      <c r="J350" s="104">
        <v>33210.82</v>
      </c>
      <c r="K350" s="117">
        <v>104.84</v>
      </c>
      <c r="L350" s="112">
        <v>5964.7</v>
      </c>
      <c r="M350" s="104">
        <v>15.78</v>
      </c>
      <c r="N350" s="104">
        <v>33324.199999999997</v>
      </c>
      <c r="O350" s="104">
        <v>29.2</v>
      </c>
      <c r="P350" s="104">
        <v>633.13</v>
      </c>
      <c r="Q350" s="104">
        <v>730.99</v>
      </c>
      <c r="R350" s="104">
        <v>10229.65</v>
      </c>
      <c r="S350" s="104">
        <v>9.0399999999999991</v>
      </c>
      <c r="T350" s="104">
        <v>36317</v>
      </c>
      <c r="U350" s="104">
        <v>69</v>
      </c>
      <c r="V350" s="104">
        <v>263.67</v>
      </c>
      <c r="W350" s="104">
        <v>0.15</v>
      </c>
      <c r="X350" s="104">
        <v>6899.04</v>
      </c>
      <c r="Y350" s="104">
        <v>0</v>
      </c>
      <c r="Z350" s="104">
        <v>54163</v>
      </c>
      <c r="AA350" s="117">
        <v>79</v>
      </c>
      <c r="AB350" s="104"/>
      <c r="AC350" s="113"/>
      <c r="AD350" s="104"/>
      <c r="AE350" s="113"/>
    </row>
    <row r="351" spans="1:31" ht="4.5" customHeight="1" x14ac:dyDescent="0.2"/>
    <row r="352" spans="1:31" ht="15" x14ac:dyDescent="0.2">
      <c r="A352" s="103">
        <f>A349+1</f>
        <v>45681</v>
      </c>
      <c r="B352" s="103" t="s">
        <v>319</v>
      </c>
      <c r="C352" s="111" t="str">
        <f>A352 &amp; " " &amp;B352</f>
        <v>45681 0000H</v>
      </c>
      <c r="D352" s="112">
        <v>1252.8599999999999</v>
      </c>
      <c r="E352" s="117">
        <v>49.67</v>
      </c>
      <c r="F352" s="112">
        <v>1108.67</v>
      </c>
      <c r="G352" s="117">
        <v>6.2</v>
      </c>
      <c r="H352" s="112">
        <v>74362.22</v>
      </c>
      <c r="I352" s="104">
        <v>904.76</v>
      </c>
      <c r="J352" s="104">
        <v>33213.24</v>
      </c>
      <c r="K352" s="117">
        <v>104.84</v>
      </c>
      <c r="L352" s="112">
        <v>5970.43</v>
      </c>
      <c r="M352" s="104">
        <v>15.78</v>
      </c>
      <c r="N352" s="104">
        <v>33331.5</v>
      </c>
      <c r="O352" s="104">
        <v>29.2</v>
      </c>
      <c r="P352" s="104">
        <v>633.63</v>
      </c>
      <c r="Q352" s="104">
        <v>731.58</v>
      </c>
      <c r="R352" s="104">
        <v>10234.290000000001</v>
      </c>
      <c r="S352" s="104">
        <v>9.0399999999999991</v>
      </c>
      <c r="T352" s="104">
        <v>36325</v>
      </c>
      <c r="U352" s="104">
        <v>69</v>
      </c>
      <c r="V352" s="104">
        <v>263.67</v>
      </c>
      <c r="W352" s="104">
        <v>0.15</v>
      </c>
      <c r="X352" s="104">
        <v>6904.39</v>
      </c>
      <c r="Y352" s="104">
        <v>0</v>
      </c>
      <c r="Z352" s="104">
        <v>54163</v>
      </c>
      <c r="AA352" s="117">
        <v>79</v>
      </c>
      <c r="AB352" s="104"/>
      <c r="AC352" s="113"/>
      <c r="AD352" s="104"/>
      <c r="AE352" s="113"/>
    </row>
    <row r="353" spans="1:31" ht="15" x14ac:dyDescent="0.2">
      <c r="A353" s="103">
        <f>A350+1</f>
        <v>45681</v>
      </c>
      <c r="B353" s="103" t="s">
        <v>147</v>
      </c>
      <c r="C353" s="111" t="str">
        <f>A353 &amp; " " &amp;B353</f>
        <v>45681 1200H</v>
      </c>
      <c r="D353" s="112">
        <v>1256.95</v>
      </c>
      <c r="E353" s="117">
        <v>49.67</v>
      </c>
      <c r="F353" s="112">
        <v>1108.67</v>
      </c>
      <c r="G353" s="117">
        <v>6.2</v>
      </c>
      <c r="H353" s="112">
        <v>74362.22</v>
      </c>
      <c r="I353" s="104">
        <v>905.12</v>
      </c>
      <c r="J353" s="104">
        <v>33217.07</v>
      </c>
      <c r="K353" s="117">
        <v>104.87</v>
      </c>
      <c r="L353" s="112">
        <v>5976.12</v>
      </c>
      <c r="M353" s="104">
        <v>15.78</v>
      </c>
      <c r="N353" s="104">
        <v>33338.1</v>
      </c>
      <c r="O353" s="104">
        <v>29.2</v>
      </c>
      <c r="P353" s="104">
        <v>633.94000000000005</v>
      </c>
      <c r="Q353" s="104">
        <v>732.53</v>
      </c>
      <c r="R353" s="104">
        <v>10238.15</v>
      </c>
      <c r="S353" s="104">
        <v>9.0399999999999991</v>
      </c>
      <c r="T353" s="104">
        <v>36331</v>
      </c>
      <c r="U353" s="104">
        <v>69</v>
      </c>
      <c r="V353" s="104">
        <v>263.67</v>
      </c>
      <c r="W353" s="104">
        <v>0.15</v>
      </c>
      <c r="X353" s="104">
        <v>6910</v>
      </c>
      <c r="Y353" s="104">
        <v>0</v>
      </c>
      <c r="Z353" s="104">
        <v>54163</v>
      </c>
      <c r="AA353" s="117">
        <v>79</v>
      </c>
      <c r="AB353" s="104"/>
      <c r="AC353" s="113"/>
      <c r="AD353" s="104"/>
      <c r="AE353" s="113"/>
    </row>
    <row r="354" spans="1:31" ht="6.95" customHeight="1" x14ac:dyDescent="0.2">
      <c r="E354" s="105"/>
      <c r="G354" s="105"/>
      <c r="I354" s="105"/>
      <c r="J354" s="105"/>
      <c r="K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  <c r="Y354" s="105"/>
      <c r="Z354" s="105"/>
    </row>
    <row r="355" spans="1:31" ht="15" x14ac:dyDescent="0.2">
      <c r="A355" s="103">
        <f>A352+1</f>
        <v>45682</v>
      </c>
      <c r="B355" s="103" t="s">
        <v>319</v>
      </c>
      <c r="C355" s="111" t="str">
        <f>A355 &amp; " " &amp;B355</f>
        <v>45682 0000H</v>
      </c>
      <c r="D355" s="112">
        <v>1263.3399999999999</v>
      </c>
      <c r="E355" s="117">
        <v>49.67</v>
      </c>
      <c r="F355" s="112">
        <v>1108.67</v>
      </c>
      <c r="G355" s="117">
        <v>6.2</v>
      </c>
      <c r="H355" s="112">
        <v>74362.22</v>
      </c>
      <c r="I355" s="104">
        <v>905.47</v>
      </c>
      <c r="J355" s="104">
        <v>33220.81</v>
      </c>
      <c r="K355" s="117">
        <v>104.87</v>
      </c>
      <c r="L355" s="112">
        <v>5981.9</v>
      </c>
      <c r="M355" s="104">
        <v>15.78</v>
      </c>
      <c r="N355" s="104">
        <v>33345.5</v>
      </c>
      <c r="O355" s="104">
        <v>29.2</v>
      </c>
      <c r="P355" s="104">
        <v>635</v>
      </c>
      <c r="Q355" s="104">
        <v>733.08</v>
      </c>
      <c r="R355" s="104">
        <v>10238.15</v>
      </c>
      <c r="S355" s="104">
        <v>9.0399999999999991</v>
      </c>
      <c r="T355" s="104">
        <v>36339</v>
      </c>
      <c r="U355" s="104">
        <v>69</v>
      </c>
      <c r="V355" s="104">
        <v>263.67</v>
      </c>
      <c r="W355" s="104">
        <v>0.15</v>
      </c>
      <c r="X355" s="104">
        <v>6918.15</v>
      </c>
      <c r="Y355" s="104">
        <v>0</v>
      </c>
      <c r="Z355" s="104">
        <v>54163</v>
      </c>
      <c r="AA355" s="117">
        <v>79</v>
      </c>
      <c r="AB355" s="104"/>
      <c r="AC355" s="113"/>
      <c r="AD355" s="104"/>
      <c r="AE355" s="113"/>
    </row>
    <row r="356" spans="1:31" ht="15" x14ac:dyDescent="0.2">
      <c r="A356" s="103">
        <f>A353+1</f>
        <v>45682</v>
      </c>
      <c r="B356" s="103" t="s">
        <v>147</v>
      </c>
      <c r="C356" s="111" t="str">
        <f>A356 &amp; " " &amp;B356</f>
        <v>45682 1200H</v>
      </c>
      <c r="D356" s="351">
        <v>1267.31</v>
      </c>
      <c r="E356" s="352">
        <v>49.67</v>
      </c>
      <c r="F356" s="351">
        <v>1108.67</v>
      </c>
      <c r="G356" s="352">
        <v>6.2</v>
      </c>
      <c r="H356" s="351">
        <v>74362.22</v>
      </c>
      <c r="I356" s="353">
        <v>905.79</v>
      </c>
      <c r="J356" s="353">
        <v>33224.61</v>
      </c>
      <c r="K356" s="352">
        <v>104.87</v>
      </c>
      <c r="L356" s="351">
        <v>5987.12</v>
      </c>
      <c r="M356" s="353">
        <v>15.78</v>
      </c>
      <c r="N356" s="353">
        <v>33351.300000000003</v>
      </c>
      <c r="O356" s="353">
        <v>29.2</v>
      </c>
      <c r="P356" s="353">
        <v>635.05999999999995</v>
      </c>
      <c r="Q356" s="353">
        <v>734.28</v>
      </c>
      <c r="R356" s="353">
        <v>10246.719999999999</v>
      </c>
      <c r="S356" s="353">
        <v>9.0399999999999991</v>
      </c>
      <c r="T356" s="353">
        <v>36344</v>
      </c>
      <c r="U356" s="353">
        <v>69</v>
      </c>
      <c r="V356" s="353">
        <v>263.67</v>
      </c>
      <c r="W356" s="353">
        <v>0.15</v>
      </c>
      <c r="X356" s="353">
        <v>6924.76</v>
      </c>
      <c r="Y356" s="353">
        <v>0</v>
      </c>
      <c r="Z356" s="353">
        <v>54164</v>
      </c>
      <c r="AA356" s="352">
        <v>79</v>
      </c>
      <c r="AB356" s="353"/>
      <c r="AC356" s="354"/>
      <c r="AD356" s="353"/>
      <c r="AE356" s="354"/>
    </row>
    <row r="357" spans="1:31" ht="6.95" customHeight="1" x14ac:dyDescent="0.2">
      <c r="E357" s="105"/>
      <c r="G357" s="105"/>
      <c r="I357" s="105"/>
      <c r="J357" s="105"/>
      <c r="K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  <c r="Y357" s="105"/>
      <c r="Z357" s="105"/>
    </row>
    <row r="358" spans="1:31" ht="15" x14ac:dyDescent="0.2">
      <c r="A358" s="103">
        <f>A355+1</f>
        <v>45683</v>
      </c>
      <c r="B358" s="103" t="s">
        <v>319</v>
      </c>
      <c r="C358" s="111" t="str">
        <f>A358 &amp; " " &amp;B358</f>
        <v>45683 0000H</v>
      </c>
      <c r="D358" s="112">
        <v>1273.5899999999999</v>
      </c>
      <c r="E358" s="117">
        <v>49.67</v>
      </c>
      <c r="F358" s="355">
        <v>1108.67</v>
      </c>
      <c r="G358" s="356">
        <v>6.2</v>
      </c>
      <c r="H358" s="112">
        <v>74362.22</v>
      </c>
      <c r="I358" s="104">
        <v>906.03</v>
      </c>
      <c r="J358" s="104">
        <v>33228.33</v>
      </c>
      <c r="K358" s="117">
        <v>104.87</v>
      </c>
      <c r="L358" s="112">
        <v>5991.5</v>
      </c>
      <c r="M358" s="104">
        <v>15.78</v>
      </c>
      <c r="N358" s="104">
        <v>33358.9</v>
      </c>
      <c r="O358" s="104">
        <v>29.2</v>
      </c>
      <c r="P358" s="104">
        <v>635.53</v>
      </c>
      <c r="Q358" s="104">
        <v>734.71</v>
      </c>
      <c r="R358" s="104">
        <v>10251.31</v>
      </c>
      <c r="S358" s="104">
        <v>9.0399999999999991</v>
      </c>
      <c r="T358" s="104">
        <v>36352</v>
      </c>
      <c r="U358" s="104">
        <v>69</v>
      </c>
      <c r="V358" s="104">
        <v>263.67</v>
      </c>
      <c r="W358" s="104">
        <v>0.15</v>
      </c>
      <c r="X358" s="104">
        <v>6931.8</v>
      </c>
      <c r="Y358" s="104">
        <v>0</v>
      </c>
      <c r="Z358" s="104">
        <v>54166</v>
      </c>
      <c r="AA358" s="117">
        <v>79</v>
      </c>
      <c r="AB358" s="104"/>
      <c r="AC358" s="113"/>
      <c r="AD358" s="104"/>
      <c r="AE358" s="113"/>
    </row>
    <row r="359" spans="1:31" ht="15" x14ac:dyDescent="0.2">
      <c r="A359" s="103">
        <f>A356+1</f>
        <v>45683</v>
      </c>
      <c r="B359" s="103" t="s">
        <v>147</v>
      </c>
      <c r="C359" s="111" t="str">
        <f>A359 &amp; " " &amp;B359</f>
        <v>45683 1200H</v>
      </c>
      <c r="D359" s="112">
        <v>1277.1500000000001</v>
      </c>
      <c r="E359" s="117">
        <v>49.67</v>
      </c>
      <c r="F359" s="112">
        <v>1108.67</v>
      </c>
      <c r="G359" s="117">
        <v>6.2</v>
      </c>
      <c r="H359" s="112">
        <v>74362.22</v>
      </c>
      <c r="I359" s="104">
        <v>906.23</v>
      </c>
      <c r="J359" s="104">
        <v>33232.160000000003</v>
      </c>
      <c r="K359" s="117">
        <v>104.87</v>
      </c>
      <c r="L359" s="112">
        <v>5996.19</v>
      </c>
      <c r="M359" s="104">
        <v>15.78</v>
      </c>
      <c r="N359" s="104">
        <v>33365.9</v>
      </c>
      <c r="O359" s="104">
        <v>29.2</v>
      </c>
      <c r="P359" s="104">
        <v>635.92999999999995</v>
      </c>
      <c r="Q359" s="104">
        <v>735.79</v>
      </c>
      <c r="R359" s="104">
        <v>10255.02</v>
      </c>
      <c r="S359" s="104">
        <v>9.0399999999999991</v>
      </c>
      <c r="T359" s="104">
        <v>36357</v>
      </c>
      <c r="U359" s="104">
        <v>69</v>
      </c>
      <c r="V359" s="104">
        <v>263.67</v>
      </c>
      <c r="W359" s="104">
        <v>0.15</v>
      </c>
      <c r="X359" s="104">
        <v>6928.25</v>
      </c>
      <c r="Y359" s="104">
        <v>0</v>
      </c>
      <c r="Z359" s="104">
        <v>54167</v>
      </c>
      <c r="AA359" s="117">
        <v>79</v>
      </c>
      <c r="AB359" s="104"/>
      <c r="AC359" s="113"/>
      <c r="AD359" s="104"/>
      <c r="AE359" s="113"/>
    </row>
    <row r="360" spans="1:31" ht="6" customHeight="1" x14ac:dyDescent="0.2"/>
    <row r="361" spans="1:31" ht="15" x14ac:dyDescent="0.2">
      <c r="A361" s="103">
        <f>A358+1</f>
        <v>45684</v>
      </c>
      <c r="B361" s="103" t="s">
        <v>319</v>
      </c>
      <c r="C361" s="111" t="str">
        <f>A361 &amp; " " &amp;B361</f>
        <v>45684 0000H</v>
      </c>
      <c r="D361" s="112">
        <v>1283.29</v>
      </c>
      <c r="E361" s="117">
        <v>49.67</v>
      </c>
      <c r="F361" s="112">
        <v>1108.67</v>
      </c>
      <c r="G361" s="117">
        <v>6.2</v>
      </c>
      <c r="H361" s="112">
        <v>74362.38</v>
      </c>
      <c r="I361" s="104">
        <v>906.65</v>
      </c>
      <c r="J361" s="104">
        <v>33235.800000000003</v>
      </c>
      <c r="K361" s="117">
        <v>104.87</v>
      </c>
      <c r="L361" s="112">
        <v>6000.87</v>
      </c>
      <c r="M361" s="104">
        <v>15.78</v>
      </c>
      <c r="N361" s="104">
        <v>33373</v>
      </c>
      <c r="O361" s="104">
        <v>29.2</v>
      </c>
      <c r="P361" s="104">
        <v>635.95000000000005</v>
      </c>
      <c r="Q361" s="104">
        <v>737.21</v>
      </c>
      <c r="R361" s="104">
        <v>10259.629999999999</v>
      </c>
      <c r="S361" s="104">
        <v>9.0399999999999991</v>
      </c>
      <c r="T361" s="104">
        <v>36364</v>
      </c>
      <c r="U361" s="104">
        <v>69</v>
      </c>
      <c r="V361" s="104">
        <v>263.67</v>
      </c>
      <c r="W361" s="104">
        <v>0.15</v>
      </c>
      <c r="X361" s="104">
        <v>6941.25</v>
      </c>
      <c r="Y361" s="104">
        <v>0</v>
      </c>
      <c r="Z361" s="104">
        <v>54167</v>
      </c>
      <c r="AA361" s="117">
        <v>79</v>
      </c>
      <c r="AB361" s="104"/>
      <c r="AC361" s="113"/>
      <c r="AD361" s="104"/>
      <c r="AE361" s="113"/>
    </row>
    <row r="362" spans="1:31" ht="15" x14ac:dyDescent="0.2">
      <c r="A362" s="103">
        <f>A359+1</f>
        <v>45684</v>
      </c>
      <c r="B362" s="103" t="s">
        <v>147</v>
      </c>
      <c r="C362" s="111" t="str">
        <f>A362 &amp; " " &amp;B362</f>
        <v>45684 1200H</v>
      </c>
      <c r="D362" s="112">
        <v>1286.98</v>
      </c>
      <c r="E362" s="117">
        <v>49.67</v>
      </c>
      <c r="F362" s="112">
        <v>1108.67</v>
      </c>
      <c r="G362" s="117">
        <v>6.2</v>
      </c>
      <c r="H362" s="112">
        <v>74369.56</v>
      </c>
      <c r="I362" s="104">
        <v>906.65</v>
      </c>
      <c r="J362" s="104">
        <v>33239.519999999997</v>
      </c>
      <c r="K362" s="117">
        <v>104.87</v>
      </c>
      <c r="L362" s="112">
        <v>6005.01</v>
      </c>
      <c r="M362" s="104">
        <v>15.78</v>
      </c>
      <c r="N362" s="104">
        <v>33377.800000000003</v>
      </c>
      <c r="O362" s="104">
        <v>29.2</v>
      </c>
      <c r="P362" s="104">
        <v>636.16999999999996</v>
      </c>
      <c r="Q362" s="104">
        <v>738.04</v>
      </c>
      <c r="R362" s="104">
        <v>10263.280000000001</v>
      </c>
      <c r="S362" s="104">
        <v>9.0399999999999991</v>
      </c>
      <c r="T362" s="104">
        <v>36370</v>
      </c>
      <c r="U362" s="104">
        <v>69</v>
      </c>
      <c r="V362" s="104">
        <v>263.97000000000003</v>
      </c>
      <c r="W362" s="104">
        <v>0.15</v>
      </c>
      <c r="X362" s="104">
        <v>6950.92</v>
      </c>
      <c r="Y362" s="104">
        <v>0</v>
      </c>
      <c r="Z362" s="104">
        <v>54168</v>
      </c>
      <c r="AA362" s="117">
        <v>79</v>
      </c>
      <c r="AB362" s="104"/>
      <c r="AC362" s="113"/>
      <c r="AD362" s="104"/>
      <c r="AE362" s="113"/>
    </row>
    <row r="363" spans="1:31" ht="6" customHeight="1" x14ac:dyDescent="0.2"/>
    <row r="364" spans="1:31" ht="15" x14ac:dyDescent="0.2">
      <c r="A364" s="103">
        <f>A361+1</f>
        <v>45685</v>
      </c>
      <c r="B364" s="103" t="s">
        <v>319</v>
      </c>
      <c r="C364" s="111" t="str">
        <f>A364 &amp; " " &amp;B364</f>
        <v>45685 0000H</v>
      </c>
      <c r="D364" s="112">
        <v>1292.94</v>
      </c>
      <c r="E364" s="117">
        <v>49.67</v>
      </c>
      <c r="F364" s="112">
        <v>1108.67</v>
      </c>
      <c r="G364" s="117">
        <v>6.2</v>
      </c>
      <c r="H364" s="112">
        <v>74377.740000000005</v>
      </c>
      <c r="I364" s="104">
        <v>906.65</v>
      </c>
      <c r="J364" s="104">
        <v>33243.269999999997</v>
      </c>
      <c r="K364" s="117">
        <v>104.87</v>
      </c>
      <c r="L364" s="112">
        <v>6010.13</v>
      </c>
      <c r="M364" s="104">
        <v>15.78</v>
      </c>
      <c r="N364" s="104">
        <v>33381.5</v>
      </c>
      <c r="O364" s="104">
        <v>29.2</v>
      </c>
      <c r="P364" s="104">
        <v>636.16999999999996</v>
      </c>
      <c r="Q364" s="104">
        <v>739.54</v>
      </c>
      <c r="R364" s="104">
        <v>10267.41</v>
      </c>
      <c r="S364" s="104">
        <v>9.0399999999999991</v>
      </c>
      <c r="T364" s="104">
        <v>36376</v>
      </c>
      <c r="U364" s="104">
        <v>69</v>
      </c>
      <c r="V364" s="104">
        <v>264.89</v>
      </c>
      <c r="W364" s="104">
        <v>0.16</v>
      </c>
      <c r="X364" s="104">
        <v>6956.06</v>
      </c>
      <c r="Y364" s="104">
        <v>0</v>
      </c>
      <c r="Z364" s="104">
        <v>54169</v>
      </c>
      <c r="AA364" s="117">
        <v>79</v>
      </c>
      <c r="AB364" s="104"/>
      <c r="AC364" s="113"/>
      <c r="AD364" s="104"/>
      <c r="AE364" s="113"/>
    </row>
    <row r="365" spans="1:31" ht="15" x14ac:dyDescent="0.2">
      <c r="A365" s="103">
        <f>A362+1</f>
        <v>45685</v>
      </c>
      <c r="B365" s="103" t="s">
        <v>147</v>
      </c>
      <c r="C365" s="111" t="str">
        <f>A365 &amp; " " &amp;B365</f>
        <v>45685 1200H</v>
      </c>
      <c r="D365" s="112">
        <v>1296.82</v>
      </c>
      <c r="E365" s="117">
        <v>49.67</v>
      </c>
      <c r="F365" s="112">
        <v>1108.67</v>
      </c>
      <c r="G365" s="117">
        <v>6.2</v>
      </c>
      <c r="H365" s="112">
        <v>74386.13</v>
      </c>
      <c r="I365" s="104">
        <v>906.65</v>
      </c>
      <c r="J365" s="104">
        <v>33244.080000000002</v>
      </c>
      <c r="K365" s="117">
        <v>104.95</v>
      </c>
      <c r="L365" s="112">
        <v>6014.69</v>
      </c>
      <c r="M365" s="104">
        <v>15.78</v>
      </c>
      <c r="N365" s="104">
        <v>33384.080000000002</v>
      </c>
      <c r="O365" s="104">
        <v>29.2</v>
      </c>
      <c r="P365" s="104">
        <v>636.22</v>
      </c>
      <c r="Q365" s="104">
        <v>740.55</v>
      </c>
      <c r="R365" s="104">
        <v>10270.719999999999</v>
      </c>
      <c r="S365" s="104">
        <v>9.0399999999999991</v>
      </c>
      <c r="T365" s="104">
        <v>36381</v>
      </c>
      <c r="U365" s="104">
        <v>69</v>
      </c>
      <c r="V365" s="104">
        <v>266.04000000000002</v>
      </c>
      <c r="W365" s="104">
        <v>0.16</v>
      </c>
      <c r="X365" s="104">
        <v>6962.7</v>
      </c>
      <c r="Y365" s="104">
        <v>0</v>
      </c>
      <c r="Z365" s="104">
        <v>54169</v>
      </c>
      <c r="AA365" s="117">
        <v>79</v>
      </c>
      <c r="AB365" s="104"/>
      <c r="AC365" s="113"/>
      <c r="AD365" s="104"/>
      <c r="AE365" s="113"/>
    </row>
    <row r="366" spans="1:31" ht="4.5" customHeight="1" x14ac:dyDescent="0.2"/>
    <row r="367" spans="1:31" ht="15" x14ac:dyDescent="0.2">
      <c r="A367" s="103">
        <f>A364+1</f>
        <v>45686</v>
      </c>
      <c r="B367" s="103" t="s">
        <v>319</v>
      </c>
      <c r="C367" s="111" t="str">
        <f>A367 &amp; " " &amp;B367</f>
        <v>45686 0000H</v>
      </c>
      <c r="D367" s="112">
        <v>1302.94</v>
      </c>
      <c r="E367" s="117">
        <v>49.67</v>
      </c>
      <c r="F367" s="112">
        <v>1108.67</v>
      </c>
      <c r="G367" s="117">
        <v>6.2</v>
      </c>
      <c r="H367" s="112">
        <v>74394.429999999993</v>
      </c>
      <c r="I367" s="104">
        <v>906.65</v>
      </c>
      <c r="J367" s="104">
        <v>33247.64</v>
      </c>
      <c r="K367" s="117">
        <v>104.95</v>
      </c>
      <c r="L367" s="112">
        <v>6019.25</v>
      </c>
      <c r="M367" s="104">
        <v>15.78</v>
      </c>
      <c r="N367" s="104">
        <v>33388.400000000001</v>
      </c>
      <c r="O367" s="104">
        <v>29.2</v>
      </c>
      <c r="P367" s="104">
        <v>636.26</v>
      </c>
      <c r="Q367" s="104">
        <v>741.4</v>
      </c>
      <c r="R367" s="104">
        <v>10275.030000000001</v>
      </c>
      <c r="S367" s="104">
        <v>9.0399999999999991</v>
      </c>
      <c r="T367" s="104">
        <v>36389</v>
      </c>
      <c r="U367" s="104">
        <v>69</v>
      </c>
      <c r="V367" s="104">
        <v>267.97000000000003</v>
      </c>
      <c r="W367" s="104">
        <v>0.16</v>
      </c>
      <c r="X367" s="104">
        <v>6968.67</v>
      </c>
      <c r="Y367" s="104">
        <v>0</v>
      </c>
      <c r="Z367" s="104"/>
      <c r="AA367" s="117"/>
      <c r="AB367" s="104">
        <v>1.18</v>
      </c>
      <c r="AC367" s="113">
        <v>0</v>
      </c>
      <c r="AD367" s="104"/>
      <c r="AE367" s="113"/>
    </row>
    <row r="368" spans="1:31" ht="15" x14ac:dyDescent="0.2">
      <c r="A368" s="103">
        <f>A365+1</f>
        <v>45686</v>
      </c>
      <c r="B368" s="103" t="s">
        <v>147</v>
      </c>
      <c r="C368" s="111" t="str">
        <f>A368 &amp; " " &amp;B368</f>
        <v>45686 1200H</v>
      </c>
      <c r="D368" s="112">
        <v>1306.83</v>
      </c>
      <c r="E368" s="117">
        <v>49.67</v>
      </c>
      <c r="F368" s="112">
        <v>1108.67</v>
      </c>
      <c r="G368" s="117">
        <v>6.2</v>
      </c>
      <c r="H368" s="112">
        <v>74402.990000000005</v>
      </c>
      <c r="I368" s="104">
        <v>906.65</v>
      </c>
      <c r="J368" s="104">
        <v>33248.5</v>
      </c>
      <c r="K368" s="117">
        <v>105.02</v>
      </c>
      <c r="L368" s="112">
        <v>6023.8</v>
      </c>
      <c r="M368" s="104">
        <v>15.78</v>
      </c>
      <c r="N368" s="104">
        <v>33391.800000000003</v>
      </c>
      <c r="O368" s="104">
        <v>29.2</v>
      </c>
      <c r="P368" s="104">
        <v>636.48</v>
      </c>
      <c r="Q368" s="104">
        <v>742.3</v>
      </c>
      <c r="R368" s="104">
        <v>10278.540000000001</v>
      </c>
      <c r="S368" s="104">
        <v>9.0399999999999991</v>
      </c>
      <c r="T368" s="104">
        <v>36394</v>
      </c>
      <c r="U368" s="104">
        <v>69</v>
      </c>
      <c r="V368" s="104">
        <v>268.32</v>
      </c>
      <c r="W368" s="104">
        <v>0.16</v>
      </c>
      <c r="X368" s="104">
        <v>6974.48</v>
      </c>
      <c r="Y368" s="104">
        <v>0</v>
      </c>
      <c r="Z368" s="104"/>
      <c r="AA368" s="117"/>
      <c r="AB368" s="104">
        <v>1.5</v>
      </c>
      <c r="AC368" s="113">
        <v>0</v>
      </c>
      <c r="AD368" s="104"/>
      <c r="AE368" s="113"/>
    </row>
    <row r="369" spans="1:31" ht="6.95" customHeight="1" x14ac:dyDescent="0.2">
      <c r="E369" s="105"/>
      <c r="G369" s="105"/>
      <c r="I369" s="105"/>
      <c r="J369" s="105"/>
      <c r="K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5"/>
      <c r="Z369" s="105"/>
    </row>
    <row r="370" spans="1:31" ht="15" x14ac:dyDescent="0.2">
      <c r="A370" s="103">
        <f>A367+1</f>
        <v>45687</v>
      </c>
      <c r="B370" s="103" t="s">
        <v>319</v>
      </c>
      <c r="C370" s="111" t="str">
        <f>A370 &amp; " " &amp;B370</f>
        <v>45687 0000H</v>
      </c>
      <c r="D370" s="112">
        <v>1312.79</v>
      </c>
      <c r="E370" s="117">
        <v>49.67</v>
      </c>
      <c r="F370" s="112">
        <v>1108.67</v>
      </c>
      <c r="G370" s="117">
        <v>6.2</v>
      </c>
      <c r="H370" s="112">
        <v>74411.19</v>
      </c>
      <c r="I370" s="104">
        <v>906.65</v>
      </c>
      <c r="J370" s="104">
        <v>33249.58</v>
      </c>
      <c r="K370" s="117">
        <v>105.07</v>
      </c>
      <c r="L370" s="112">
        <v>6028.13</v>
      </c>
      <c r="M370" s="104">
        <v>15.78</v>
      </c>
      <c r="N370" s="104">
        <v>33395.5</v>
      </c>
      <c r="O370" s="104">
        <v>29.2</v>
      </c>
      <c r="P370" s="104">
        <v>636.94000000000005</v>
      </c>
      <c r="Q370" s="104">
        <v>742.63</v>
      </c>
      <c r="R370" s="104">
        <v>10283.030000000001</v>
      </c>
      <c r="S370" s="104">
        <v>9.0399999999999991</v>
      </c>
      <c r="T370" s="104">
        <v>36401</v>
      </c>
      <c r="U370" s="104">
        <v>69</v>
      </c>
      <c r="V370" s="104">
        <v>268.32</v>
      </c>
      <c r="W370" s="104">
        <v>0.16</v>
      </c>
      <c r="X370" s="104">
        <v>6981.45</v>
      </c>
      <c r="Y370" s="104">
        <v>0</v>
      </c>
      <c r="Z370" s="104"/>
      <c r="AA370" s="117"/>
      <c r="AB370" s="104">
        <v>3.76</v>
      </c>
      <c r="AC370" s="113">
        <v>0</v>
      </c>
      <c r="AD370" s="104"/>
      <c r="AE370" s="113"/>
    </row>
    <row r="371" spans="1:31" ht="15" x14ac:dyDescent="0.2">
      <c r="A371" s="103">
        <f>A368+1</f>
        <v>45687</v>
      </c>
      <c r="B371" s="103" t="s">
        <v>147</v>
      </c>
      <c r="C371" s="111" t="str">
        <f>A371 &amp; " " &amp;B371</f>
        <v>45687 1200H</v>
      </c>
      <c r="D371" s="112">
        <v>1317.03</v>
      </c>
      <c r="E371" s="117">
        <v>49.67</v>
      </c>
      <c r="F371" s="112">
        <v>1108.67</v>
      </c>
      <c r="G371" s="117">
        <v>6.2</v>
      </c>
      <c r="H371" s="112">
        <v>74419.66</v>
      </c>
      <c r="I371" s="104">
        <v>906.65</v>
      </c>
      <c r="J371" s="104">
        <v>33253.379999999997</v>
      </c>
      <c r="K371" s="117">
        <v>105.07</v>
      </c>
      <c r="L371" s="112">
        <v>6028.18</v>
      </c>
      <c r="M371" s="104">
        <v>16.059999999999999</v>
      </c>
      <c r="N371" s="104">
        <v>33402.400000000001</v>
      </c>
      <c r="O371" s="104">
        <v>29.2</v>
      </c>
      <c r="P371" s="104">
        <v>639.53</v>
      </c>
      <c r="Q371" s="104">
        <v>742.63</v>
      </c>
      <c r="R371" s="104">
        <v>10286.73</v>
      </c>
      <c r="S371" s="104">
        <v>9.0399999999999991</v>
      </c>
      <c r="T371" s="104">
        <v>36407</v>
      </c>
      <c r="U371" s="104">
        <v>69</v>
      </c>
      <c r="V371" s="104">
        <v>270.64999999999998</v>
      </c>
      <c r="W371" s="104">
        <v>0.16</v>
      </c>
      <c r="X371" s="104">
        <v>6987.58</v>
      </c>
      <c r="Y371" s="104">
        <v>0</v>
      </c>
      <c r="Z371" s="104"/>
      <c r="AA371" s="117"/>
      <c r="AB371" s="104">
        <v>6.62</v>
      </c>
      <c r="AC371" s="113">
        <v>0</v>
      </c>
      <c r="AD371" s="104"/>
      <c r="AE371" s="113"/>
    </row>
    <row r="372" spans="1:31" ht="6.95" customHeight="1" x14ac:dyDescent="0.2">
      <c r="E372" s="105"/>
      <c r="G372" s="105"/>
      <c r="I372" s="105"/>
      <c r="J372" s="105"/>
      <c r="K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  <c r="Y372" s="105"/>
      <c r="Z372" s="105"/>
    </row>
    <row r="373" spans="1:31" ht="15" x14ac:dyDescent="0.2">
      <c r="A373" s="103">
        <f>A370+1</f>
        <v>45688</v>
      </c>
      <c r="B373" s="103" t="s">
        <v>319</v>
      </c>
      <c r="C373" s="111" t="str">
        <f>A373 &amp; " " &amp;B373</f>
        <v>45688 0000H</v>
      </c>
      <c r="D373" s="112">
        <v>1323.61</v>
      </c>
      <c r="E373" s="117">
        <v>49.67</v>
      </c>
      <c r="F373" s="112">
        <v>1108.67</v>
      </c>
      <c r="G373" s="117">
        <v>6.2</v>
      </c>
      <c r="H373" s="112">
        <v>74428.06</v>
      </c>
      <c r="I373" s="104">
        <v>906.65</v>
      </c>
      <c r="J373" s="104">
        <v>33257.120000000003</v>
      </c>
      <c r="K373" s="117">
        <v>105.7</v>
      </c>
      <c r="L373" s="112">
        <v>6028.18</v>
      </c>
      <c r="M373" s="104">
        <v>16.3</v>
      </c>
      <c r="N373" s="104">
        <v>33409.199999999997</v>
      </c>
      <c r="O373" s="104">
        <v>29.2</v>
      </c>
      <c r="P373" s="104">
        <v>642.91</v>
      </c>
      <c r="Q373" s="104">
        <v>742.91</v>
      </c>
      <c r="R373" s="104">
        <v>10291.120000000001</v>
      </c>
      <c r="S373" s="104">
        <v>9.0399999999999991</v>
      </c>
      <c r="T373" s="104">
        <v>36414</v>
      </c>
      <c r="U373" s="104">
        <v>69</v>
      </c>
      <c r="V373" s="104">
        <v>273.24</v>
      </c>
      <c r="W373" s="104">
        <v>0.16</v>
      </c>
      <c r="X373" s="104">
        <v>6994.59</v>
      </c>
      <c r="Y373" s="104">
        <v>0</v>
      </c>
      <c r="Z373" s="104"/>
      <c r="AA373" s="117"/>
      <c r="AB373" s="104">
        <v>7.08</v>
      </c>
      <c r="AC373" s="113">
        <v>0</v>
      </c>
      <c r="AD373" s="104"/>
      <c r="AE373" s="113"/>
    </row>
    <row r="374" spans="1:31" ht="15" x14ac:dyDescent="0.2">
      <c r="A374" s="103">
        <f>A371+1</f>
        <v>45688</v>
      </c>
      <c r="B374" s="103" t="s">
        <v>147</v>
      </c>
      <c r="C374" s="111" t="str">
        <f>A374 &amp; " " &amp;B374</f>
        <v>45688 1200H</v>
      </c>
      <c r="D374" s="112">
        <v>1328.89</v>
      </c>
      <c r="E374" s="117">
        <v>49.67</v>
      </c>
      <c r="F374" s="112">
        <v>1108.67</v>
      </c>
      <c r="G374" s="117">
        <v>6.2</v>
      </c>
      <c r="H374" s="112">
        <v>74436.47</v>
      </c>
      <c r="I374" s="104">
        <v>906.65</v>
      </c>
      <c r="J374" s="104">
        <v>33260.89</v>
      </c>
      <c r="K374" s="117">
        <v>105.07</v>
      </c>
      <c r="L374" s="112">
        <v>6028.18</v>
      </c>
      <c r="M374" s="104">
        <v>16.5</v>
      </c>
      <c r="N374" s="104">
        <v>33414.9</v>
      </c>
      <c r="O374" s="104">
        <v>29.2</v>
      </c>
      <c r="P374" s="104">
        <v>644.4</v>
      </c>
      <c r="Q374" s="104">
        <v>743.32</v>
      </c>
      <c r="R374" s="104">
        <v>10294.93</v>
      </c>
      <c r="S374" s="104">
        <v>9.0399999999999991</v>
      </c>
      <c r="T374" s="104">
        <v>36421</v>
      </c>
      <c r="U374" s="104">
        <v>69</v>
      </c>
      <c r="V374" s="104">
        <v>276.49</v>
      </c>
      <c r="W374" s="104">
        <v>0.16</v>
      </c>
      <c r="X374" s="104">
        <v>7000.82</v>
      </c>
      <c r="Y374" s="104">
        <v>0</v>
      </c>
      <c r="Z374" s="104"/>
      <c r="AA374" s="117"/>
      <c r="AB374" s="104">
        <v>7.11</v>
      </c>
      <c r="AC374" s="113">
        <v>0</v>
      </c>
      <c r="AD374" s="104"/>
      <c r="AE374" s="113"/>
    </row>
    <row r="375" spans="1:31" ht="6" customHeight="1" x14ac:dyDescent="0.2"/>
    <row r="376" spans="1:31" ht="15" x14ac:dyDescent="0.2">
      <c r="A376" s="103">
        <f>A373+1</f>
        <v>45689</v>
      </c>
      <c r="B376" s="103" t="s">
        <v>319</v>
      </c>
      <c r="C376" s="111" t="str">
        <f>A376 &amp; " " &amp;B376</f>
        <v>45689 0000H</v>
      </c>
      <c r="D376" s="112">
        <v>1335.25</v>
      </c>
      <c r="E376" s="117">
        <v>49.67</v>
      </c>
      <c r="F376" s="112">
        <v>1108.67</v>
      </c>
      <c r="G376" s="117">
        <v>6.2</v>
      </c>
      <c r="H376" s="112">
        <v>74444.91</v>
      </c>
      <c r="I376" s="104">
        <v>906.65</v>
      </c>
      <c r="J376" s="104">
        <v>33264.58</v>
      </c>
      <c r="K376" s="117">
        <v>105.07</v>
      </c>
      <c r="L376" s="112">
        <v>6028.18</v>
      </c>
      <c r="M376" s="104">
        <v>16.760000000000002</v>
      </c>
      <c r="N376" s="104">
        <v>33418.699999999997</v>
      </c>
      <c r="O376" s="104">
        <v>29.2</v>
      </c>
      <c r="P376" s="104">
        <v>649.91</v>
      </c>
      <c r="Q376" s="104">
        <v>743.32</v>
      </c>
      <c r="R376" s="104">
        <v>10299.280000000001</v>
      </c>
      <c r="S376" s="104">
        <v>9.0399999999999991</v>
      </c>
      <c r="T376" s="104">
        <v>36428</v>
      </c>
      <c r="U376" s="104">
        <v>69</v>
      </c>
      <c r="V376" s="104">
        <v>276.86</v>
      </c>
      <c r="W376" s="104">
        <v>0.16</v>
      </c>
      <c r="X376" s="104">
        <v>7007.81</v>
      </c>
      <c r="Y376" s="104">
        <v>0</v>
      </c>
      <c r="Z376" s="104"/>
      <c r="AA376" s="117"/>
      <c r="AB376" s="104">
        <v>10.06</v>
      </c>
      <c r="AC376" s="113">
        <v>0</v>
      </c>
      <c r="AD376" s="104"/>
      <c r="AE376" s="113"/>
    </row>
    <row r="377" spans="1:31" ht="15" x14ac:dyDescent="0.2">
      <c r="A377" s="103">
        <f>A374+1</f>
        <v>45689</v>
      </c>
      <c r="B377" s="103" t="s">
        <v>147</v>
      </c>
      <c r="C377" s="111" t="str">
        <f>A377 &amp; " " &amp;B377</f>
        <v>45689 1200H</v>
      </c>
      <c r="D377" s="112">
        <v>1341.54</v>
      </c>
      <c r="E377" s="117">
        <v>49.67</v>
      </c>
      <c r="F377" s="112">
        <v>1108.67</v>
      </c>
      <c r="G377" s="117">
        <v>6.2</v>
      </c>
      <c r="H377" s="112">
        <v>74453.11</v>
      </c>
      <c r="I377" s="104">
        <v>906.65</v>
      </c>
      <c r="J377" s="104">
        <v>33266.050000000003</v>
      </c>
      <c r="K377" s="117">
        <v>105.09</v>
      </c>
      <c r="L377" s="112">
        <v>6028.18</v>
      </c>
      <c r="M377" s="104">
        <v>16.86</v>
      </c>
      <c r="N377" s="104">
        <v>33421.300000000003</v>
      </c>
      <c r="O377" s="104">
        <v>29.2</v>
      </c>
      <c r="P377" s="104">
        <v>651.41</v>
      </c>
      <c r="Q377" s="104">
        <v>744.27</v>
      </c>
      <c r="R377" s="104">
        <v>10302.99</v>
      </c>
      <c r="S377" s="104">
        <v>9.0399999999999991</v>
      </c>
      <c r="T377" s="104">
        <v>36434</v>
      </c>
      <c r="U377" s="104">
        <v>69</v>
      </c>
      <c r="V377" s="104">
        <v>282.74</v>
      </c>
      <c r="W377" s="104">
        <v>0.16</v>
      </c>
      <c r="X377" s="104">
        <v>7013.17</v>
      </c>
      <c r="Y377" s="104">
        <v>0</v>
      </c>
      <c r="Z377" s="104"/>
      <c r="AA377" s="117"/>
      <c r="AB377" s="104">
        <v>10.64</v>
      </c>
      <c r="AC377" s="113">
        <v>0.03</v>
      </c>
      <c r="AD377" s="104"/>
      <c r="AE377" s="113"/>
    </row>
    <row r="378" spans="1:31" ht="6" customHeight="1" x14ac:dyDescent="0.2"/>
    <row r="379" spans="1:31" ht="15" x14ac:dyDescent="0.2">
      <c r="A379" s="103">
        <f>A376+1</f>
        <v>45690</v>
      </c>
      <c r="B379" s="103" t="s">
        <v>319</v>
      </c>
      <c r="C379" s="111" t="str">
        <f>A379 &amp; " " &amp;B379</f>
        <v>45690 0000H</v>
      </c>
      <c r="D379" s="112">
        <v>1347.9</v>
      </c>
      <c r="E379" s="117">
        <v>49.67</v>
      </c>
      <c r="F379" s="112">
        <v>1108.67</v>
      </c>
      <c r="G379" s="117">
        <v>6.2</v>
      </c>
      <c r="H379" s="112">
        <v>74461.27</v>
      </c>
      <c r="I379" s="104">
        <v>906.65</v>
      </c>
      <c r="J379" s="104">
        <v>33266.050000000003</v>
      </c>
      <c r="K379" s="117">
        <v>105.17</v>
      </c>
      <c r="L379" s="112">
        <v>6028.18</v>
      </c>
      <c r="M379" s="104">
        <v>16.93</v>
      </c>
      <c r="N379" s="104">
        <v>33424.9</v>
      </c>
      <c r="O379" s="104">
        <v>29.2</v>
      </c>
      <c r="P379" s="104">
        <v>657.66</v>
      </c>
      <c r="Q379" s="104">
        <v>744.27</v>
      </c>
      <c r="R379" s="104">
        <v>10307.24</v>
      </c>
      <c r="S379" s="104">
        <v>9.0399999999999991</v>
      </c>
      <c r="T379" s="104">
        <v>36441</v>
      </c>
      <c r="U379" s="104">
        <v>69</v>
      </c>
      <c r="V379" s="104">
        <v>287.2</v>
      </c>
      <c r="W379" s="104">
        <v>0.16</v>
      </c>
      <c r="X379" s="104">
        <v>7020.76</v>
      </c>
      <c r="Y379" s="104">
        <v>0</v>
      </c>
      <c r="Z379" s="104"/>
      <c r="AA379" s="117"/>
      <c r="AB379" s="104">
        <v>16.3</v>
      </c>
      <c r="AC379" s="113">
        <v>0.03</v>
      </c>
      <c r="AD379" s="104"/>
      <c r="AE379" s="113"/>
    </row>
    <row r="380" spans="1:31" ht="15" x14ac:dyDescent="0.2">
      <c r="A380" s="103">
        <f>A377+1</f>
        <v>45690</v>
      </c>
      <c r="B380" s="103" t="s">
        <v>147</v>
      </c>
      <c r="C380" s="111" t="str">
        <f>A380 &amp; " " &amp;B380</f>
        <v>45690 1200H</v>
      </c>
      <c r="D380" s="112">
        <v>1353.64</v>
      </c>
      <c r="E380" s="117">
        <v>49.67</v>
      </c>
      <c r="F380" s="112">
        <v>1108.67</v>
      </c>
      <c r="G380" s="117">
        <v>6.2</v>
      </c>
      <c r="H380" s="112">
        <v>74269.69</v>
      </c>
      <c r="I380" s="104">
        <v>906.35</v>
      </c>
      <c r="J380" s="104">
        <v>33266.29</v>
      </c>
      <c r="K380" s="117">
        <v>105.27</v>
      </c>
      <c r="L380" s="112">
        <v>6028.18</v>
      </c>
      <c r="M380" s="104">
        <v>16.98</v>
      </c>
      <c r="N380" s="104">
        <v>33428.6</v>
      </c>
      <c r="O380" s="104">
        <v>29.2</v>
      </c>
      <c r="P380" s="104">
        <v>659.24</v>
      </c>
      <c r="Q380" s="104">
        <v>744.68</v>
      </c>
      <c r="R380" s="104">
        <v>10311.02</v>
      </c>
      <c r="S380" s="104">
        <v>9.0399999999999991</v>
      </c>
      <c r="T380" s="104">
        <v>36446</v>
      </c>
      <c r="U380" s="104">
        <v>69</v>
      </c>
      <c r="V380" s="104">
        <v>293.08</v>
      </c>
      <c r="W380" s="104">
        <v>0.16</v>
      </c>
      <c r="X380" s="104">
        <v>7028.68</v>
      </c>
      <c r="Y380" s="104">
        <v>0</v>
      </c>
      <c r="Z380" s="104"/>
      <c r="AA380" s="117"/>
      <c r="AB380" s="104">
        <v>16.52</v>
      </c>
      <c r="AC380" s="113">
        <v>0.04</v>
      </c>
      <c r="AD380" s="104"/>
      <c r="AE380" s="113"/>
    </row>
    <row r="381" spans="1:31" ht="4.5" customHeight="1" x14ac:dyDescent="0.2"/>
    <row r="382" spans="1:31" ht="15" x14ac:dyDescent="0.2">
      <c r="A382" s="103">
        <f>A379+1</f>
        <v>45691</v>
      </c>
      <c r="B382" s="103" t="s">
        <v>319</v>
      </c>
      <c r="C382" s="111" t="str">
        <f>A382 &amp; " " &amp;B382</f>
        <v>45691 0000H</v>
      </c>
      <c r="D382" s="112">
        <v>1360.08</v>
      </c>
      <c r="E382" s="117">
        <v>49.67</v>
      </c>
      <c r="F382" s="112">
        <v>1108.67</v>
      </c>
      <c r="G382" s="117">
        <v>6.2</v>
      </c>
      <c r="H382" s="112">
        <v>74477.789999999994</v>
      </c>
      <c r="I382" s="104">
        <v>906.65</v>
      </c>
      <c r="J382" s="104">
        <v>33266.519999999997</v>
      </c>
      <c r="K382" s="117">
        <v>105.32</v>
      </c>
      <c r="L382" s="112">
        <v>6028.18</v>
      </c>
      <c r="M382" s="104">
        <v>17.04</v>
      </c>
      <c r="N382" s="104">
        <v>33433.1</v>
      </c>
      <c r="O382" s="104">
        <v>29.2</v>
      </c>
      <c r="P382" s="104">
        <v>663.25</v>
      </c>
      <c r="Q382" s="104">
        <v>744.76</v>
      </c>
      <c r="R382" s="104">
        <v>10315.48</v>
      </c>
      <c r="S382" s="104">
        <v>9.0399999999999991</v>
      </c>
      <c r="T382" s="104">
        <v>36453</v>
      </c>
      <c r="U382" s="104">
        <v>69</v>
      </c>
      <c r="V382" s="104">
        <v>299.39</v>
      </c>
      <c r="W382" s="104">
        <v>0.16</v>
      </c>
      <c r="X382" s="104">
        <v>7032.73</v>
      </c>
      <c r="Y382" s="104">
        <v>0</v>
      </c>
      <c r="Z382" s="104"/>
      <c r="AA382" s="117"/>
      <c r="AB382" s="104">
        <v>19.95</v>
      </c>
      <c r="AC382" s="113">
        <v>0.05</v>
      </c>
      <c r="AD382" s="104"/>
      <c r="AE382" s="113"/>
    </row>
    <row r="383" spans="1:31" ht="15" x14ac:dyDescent="0.2">
      <c r="A383" s="103">
        <f>A380+1</f>
        <v>45691</v>
      </c>
      <c r="B383" s="103" t="s">
        <v>147</v>
      </c>
      <c r="C383" s="111" t="str">
        <f>A383 &amp; " " &amp;B383</f>
        <v>45691 1200H</v>
      </c>
      <c r="D383" s="112">
        <v>1365.61</v>
      </c>
      <c r="E383" s="117">
        <v>49.67</v>
      </c>
      <c r="F383" s="112">
        <v>1108.67</v>
      </c>
      <c r="G383" s="117">
        <v>6.2</v>
      </c>
      <c r="H383" s="112">
        <v>74486.2</v>
      </c>
      <c r="I383" s="104">
        <v>906.65</v>
      </c>
      <c r="J383" s="104">
        <v>33266.519999999997</v>
      </c>
      <c r="K383" s="117">
        <v>105.34</v>
      </c>
      <c r="L383" s="112">
        <v>6028.18</v>
      </c>
      <c r="M383" s="104">
        <v>17.09</v>
      </c>
      <c r="N383" s="104">
        <v>33440.699999999997</v>
      </c>
      <c r="O383" s="104">
        <v>29.2</v>
      </c>
      <c r="P383" s="104">
        <v>665.17</v>
      </c>
      <c r="Q383" s="104">
        <v>745.24</v>
      </c>
      <c r="R383" s="104">
        <v>10319.19</v>
      </c>
      <c r="S383" s="104">
        <v>9.0399999999999991</v>
      </c>
      <c r="T383" s="104">
        <v>36459</v>
      </c>
      <c r="U383" s="104">
        <v>69</v>
      </c>
      <c r="V383" s="104">
        <v>303.88</v>
      </c>
      <c r="W383" s="104">
        <v>0.16</v>
      </c>
      <c r="X383" s="104">
        <v>7039.2</v>
      </c>
      <c r="Y383" s="104">
        <v>0</v>
      </c>
      <c r="Z383" s="104"/>
      <c r="AA383" s="117"/>
      <c r="AB383" s="104">
        <v>21.75</v>
      </c>
      <c r="AC383" s="113">
        <v>0.05</v>
      </c>
      <c r="AD383" s="104"/>
      <c r="AE383" s="113"/>
    </row>
    <row r="384" spans="1:31" ht="4.5" customHeight="1" x14ac:dyDescent="0.2"/>
    <row r="385" spans="1:31" ht="15" x14ac:dyDescent="0.2">
      <c r="A385" s="103">
        <f>A382+1</f>
        <v>45692</v>
      </c>
      <c r="B385" s="103" t="s">
        <v>319</v>
      </c>
      <c r="C385" s="111" t="str">
        <f>A385 &amp; " " &amp;B385</f>
        <v>45692 0000H</v>
      </c>
      <c r="D385" s="112">
        <v>1371.99</v>
      </c>
      <c r="E385" s="117">
        <v>49.67</v>
      </c>
      <c r="F385" s="112">
        <v>1108.67</v>
      </c>
      <c r="G385" s="117">
        <v>6.2</v>
      </c>
      <c r="H385" s="112">
        <v>74494.399999999994</v>
      </c>
      <c r="I385" s="104">
        <v>906.65</v>
      </c>
      <c r="J385" s="104">
        <v>33266.519999999997</v>
      </c>
      <c r="K385" s="117">
        <v>105.41</v>
      </c>
      <c r="L385" s="112">
        <v>6028.18</v>
      </c>
      <c r="M385" s="104">
        <v>17.09</v>
      </c>
      <c r="N385" s="104">
        <v>33447.699999999997</v>
      </c>
      <c r="O385" s="104">
        <v>29.2</v>
      </c>
      <c r="P385" s="104">
        <v>669.9</v>
      </c>
      <c r="Q385" s="104">
        <v>745.29</v>
      </c>
      <c r="R385" s="104">
        <v>10323.73</v>
      </c>
      <c r="S385" s="104">
        <v>9.0399999999999991</v>
      </c>
      <c r="T385" s="104">
        <v>36467</v>
      </c>
      <c r="U385" s="104">
        <v>69</v>
      </c>
      <c r="V385" s="104">
        <v>309.74</v>
      </c>
      <c r="W385" s="104">
        <v>0.16</v>
      </c>
      <c r="X385" s="104">
        <v>7046.81</v>
      </c>
      <c r="Y385" s="104">
        <v>0</v>
      </c>
      <c r="Z385" s="104"/>
      <c r="AA385" s="117"/>
      <c r="AB385" s="104">
        <v>28.57</v>
      </c>
      <c r="AC385" s="113">
        <v>0.05</v>
      </c>
      <c r="AD385" s="104"/>
      <c r="AE385" s="113"/>
    </row>
    <row r="386" spans="1:31" ht="15" x14ac:dyDescent="0.2">
      <c r="A386" s="103">
        <f>A383+1</f>
        <v>45692</v>
      </c>
      <c r="B386" s="103" t="s">
        <v>147</v>
      </c>
      <c r="C386" s="111" t="str">
        <f>A386 &amp; " " &amp;B386</f>
        <v>45692 1200H</v>
      </c>
      <c r="D386" s="112">
        <v>1377.4</v>
      </c>
      <c r="E386" s="117">
        <v>49.67</v>
      </c>
      <c r="F386" s="112">
        <v>1108.67</v>
      </c>
      <c r="G386" s="117">
        <v>6.2</v>
      </c>
      <c r="H386" s="112">
        <v>74502.267999999996</v>
      </c>
      <c r="I386" s="104">
        <v>906.65</v>
      </c>
      <c r="J386" s="104">
        <v>33267.53</v>
      </c>
      <c r="K386" s="117">
        <v>105.48</v>
      </c>
      <c r="L386" s="112">
        <v>6028.18</v>
      </c>
      <c r="M386" s="104">
        <v>17.190000000000001</v>
      </c>
      <c r="N386" s="104">
        <v>33455</v>
      </c>
      <c r="O386" s="104">
        <v>29.2</v>
      </c>
      <c r="P386" s="104">
        <v>671.08</v>
      </c>
      <c r="Q386" s="104">
        <v>745.87</v>
      </c>
      <c r="R386" s="104">
        <v>10327.41</v>
      </c>
      <c r="S386" s="104">
        <v>9.0399999999999991</v>
      </c>
      <c r="T386" s="104">
        <v>36473</v>
      </c>
      <c r="U386" s="104">
        <v>69</v>
      </c>
      <c r="V386" s="104">
        <v>315.82</v>
      </c>
      <c r="W386" s="104">
        <v>0.16</v>
      </c>
      <c r="X386" s="104">
        <v>7053.14</v>
      </c>
      <c r="Y386" s="104">
        <v>0</v>
      </c>
      <c r="Z386" s="104"/>
      <c r="AA386" s="117"/>
      <c r="AB386" s="104">
        <v>31.3</v>
      </c>
      <c r="AC386" s="113">
        <v>0.06</v>
      </c>
      <c r="AD386" s="104">
        <v>62.14</v>
      </c>
      <c r="AE386" s="113">
        <v>0.22</v>
      </c>
    </row>
    <row r="387" spans="1:31" ht="4.5" customHeight="1" x14ac:dyDescent="0.2"/>
    <row r="388" spans="1:31" ht="15" x14ac:dyDescent="0.2">
      <c r="A388" s="103">
        <f>A385+1</f>
        <v>45693</v>
      </c>
      <c r="B388" s="103" t="s">
        <v>319</v>
      </c>
      <c r="C388" s="111" t="str">
        <f>A388 &amp; " " &amp;B388</f>
        <v>45693 0000H</v>
      </c>
      <c r="D388" s="112">
        <v>1383.86</v>
      </c>
      <c r="E388" s="117">
        <v>49.67</v>
      </c>
      <c r="F388" s="112">
        <v>1108.67</v>
      </c>
      <c r="G388" s="117">
        <v>6.2</v>
      </c>
      <c r="H388" s="112">
        <v>74504.73</v>
      </c>
      <c r="I388" s="104">
        <v>906.65</v>
      </c>
      <c r="J388" s="104">
        <v>33271.360000000001</v>
      </c>
      <c r="K388" s="117">
        <v>105.48</v>
      </c>
      <c r="L388" s="112">
        <v>6028.18</v>
      </c>
      <c r="M388" s="104">
        <v>17.28</v>
      </c>
      <c r="N388" s="104">
        <v>33462.400000000001</v>
      </c>
      <c r="O388" s="104">
        <v>29.2</v>
      </c>
      <c r="P388" s="104">
        <v>674.9</v>
      </c>
      <c r="Q388" s="104">
        <v>745.97</v>
      </c>
      <c r="R388" s="104">
        <v>10331.83</v>
      </c>
      <c r="S388" s="104">
        <v>9.0399999999999991</v>
      </c>
      <c r="T388" s="104">
        <v>36481</v>
      </c>
      <c r="U388" s="104">
        <v>69</v>
      </c>
      <c r="V388" s="104">
        <v>323.60000000000002</v>
      </c>
      <c r="W388" s="104">
        <v>0.16</v>
      </c>
      <c r="X388" s="104">
        <v>7065.05</v>
      </c>
      <c r="Y388" s="104">
        <v>0</v>
      </c>
      <c r="Z388" s="104"/>
      <c r="AA388" s="117"/>
      <c r="AB388" s="104">
        <v>40.61</v>
      </c>
      <c r="AC388" s="113">
        <v>0.06</v>
      </c>
      <c r="AD388" s="104">
        <v>72.400000000000006</v>
      </c>
      <c r="AE388" s="113">
        <v>0.22</v>
      </c>
    </row>
    <row r="389" spans="1:31" ht="15" x14ac:dyDescent="0.2">
      <c r="A389" s="103">
        <f>A386+1</f>
        <v>45693</v>
      </c>
      <c r="B389" s="103" t="s">
        <v>147</v>
      </c>
      <c r="C389" s="111" t="str">
        <f>A389 &amp; " " &amp;B389</f>
        <v>45693 1200H</v>
      </c>
      <c r="D389" s="112">
        <v>1389.45</v>
      </c>
      <c r="E389" s="117">
        <v>49.67</v>
      </c>
      <c r="F389" s="112">
        <v>1108.67</v>
      </c>
      <c r="G389" s="117">
        <v>6.2</v>
      </c>
      <c r="H389" s="112">
        <v>74504.740000000005</v>
      </c>
      <c r="I389" s="104">
        <v>907.27</v>
      </c>
      <c r="J389" s="104">
        <v>33275.1</v>
      </c>
      <c r="K389" s="117">
        <v>105.48</v>
      </c>
      <c r="L389" s="112">
        <v>6028.18</v>
      </c>
      <c r="M389" s="104">
        <v>17.34</v>
      </c>
      <c r="N389" s="104">
        <v>33469</v>
      </c>
      <c r="O389" s="104">
        <v>29.2</v>
      </c>
      <c r="P389" s="104">
        <v>676.27</v>
      </c>
      <c r="Q389" s="104">
        <v>746.66</v>
      </c>
      <c r="R389" s="104">
        <v>10335.379999999999</v>
      </c>
      <c r="S389" s="104">
        <v>9.0399999999999991</v>
      </c>
      <c r="T389" s="104">
        <v>36487</v>
      </c>
      <c r="U389" s="104">
        <v>69</v>
      </c>
      <c r="V389" s="104">
        <v>330.06</v>
      </c>
      <c r="W389" s="104">
        <v>0.16</v>
      </c>
      <c r="X389" s="104">
        <v>7066.23</v>
      </c>
      <c r="Y389" s="104">
        <v>0</v>
      </c>
      <c r="Z389" s="104"/>
      <c r="AA389" s="117"/>
      <c r="AB389" s="104">
        <v>45.28</v>
      </c>
      <c r="AC389" s="113">
        <v>0.06</v>
      </c>
      <c r="AD389" s="104"/>
      <c r="AE389" s="113"/>
    </row>
    <row r="390" spans="1:31" ht="4.5" customHeight="1" x14ac:dyDescent="0.2"/>
    <row r="391" spans="1:31" ht="15" x14ac:dyDescent="0.2">
      <c r="A391" s="103">
        <f>A388+1</f>
        <v>45694</v>
      </c>
      <c r="B391" s="103" t="s">
        <v>319</v>
      </c>
      <c r="C391" s="111" t="str">
        <f>A391 &amp; " " &amp;B391</f>
        <v>45694 0000H</v>
      </c>
      <c r="D391" s="112">
        <v>1395.65</v>
      </c>
      <c r="E391" s="117">
        <v>49.67</v>
      </c>
      <c r="F391" s="112">
        <v>1108.67</v>
      </c>
      <c r="G391" s="117">
        <v>6.2</v>
      </c>
      <c r="H391" s="112">
        <v>74504.740000000005</v>
      </c>
      <c r="I391" s="104">
        <v>907.63</v>
      </c>
      <c r="J391" s="104">
        <v>33278.25</v>
      </c>
      <c r="K391" s="117">
        <v>105.51</v>
      </c>
      <c r="L391" s="112">
        <v>6028.18</v>
      </c>
      <c r="M391" s="104">
        <v>17.41</v>
      </c>
      <c r="N391" s="104">
        <v>33474.800000000003</v>
      </c>
      <c r="O391" s="104">
        <v>29.2</v>
      </c>
      <c r="P391" s="104">
        <v>681.46</v>
      </c>
      <c r="Q391" s="104">
        <v>746.66</v>
      </c>
      <c r="R391" s="104">
        <v>10339.73</v>
      </c>
      <c r="S391" s="104">
        <v>9.0399999999999991</v>
      </c>
      <c r="T391" s="104">
        <v>36494</v>
      </c>
      <c r="U391" s="104">
        <v>69</v>
      </c>
      <c r="V391" s="104">
        <v>337.55</v>
      </c>
      <c r="W391" s="104">
        <v>0.16</v>
      </c>
      <c r="X391" s="104">
        <v>7073.75</v>
      </c>
      <c r="Y391" s="104">
        <v>0</v>
      </c>
      <c r="Z391" s="104"/>
      <c r="AA391" s="117"/>
      <c r="AB391" s="104">
        <v>53.71</v>
      </c>
      <c r="AC391" s="113">
        <v>0.06</v>
      </c>
      <c r="AD391" s="104"/>
      <c r="AE391" s="113"/>
    </row>
    <row r="392" spans="1:31" ht="15" x14ac:dyDescent="0.2">
      <c r="A392" s="103">
        <f>A389+1</f>
        <v>45694</v>
      </c>
      <c r="B392" s="103" t="s">
        <v>147</v>
      </c>
      <c r="C392" s="111" t="str">
        <f>A392 &amp; " " &amp;B392</f>
        <v>45694 1200H</v>
      </c>
      <c r="D392" s="112">
        <v>1400.96</v>
      </c>
      <c r="E392" s="117">
        <v>49.67</v>
      </c>
      <c r="F392" s="112">
        <v>1108.67</v>
      </c>
      <c r="G392" s="117">
        <v>6.2</v>
      </c>
      <c r="H392" s="112">
        <v>74504.740000000005</v>
      </c>
      <c r="I392" s="104">
        <v>907.96</v>
      </c>
      <c r="J392" s="104">
        <v>33281.82</v>
      </c>
      <c r="K392" s="117">
        <v>105.51</v>
      </c>
      <c r="L392" s="112">
        <v>6028.18</v>
      </c>
      <c r="M392" s="104">
        <v>17.41</v>
      </c>
      <c r="N392" s="104">
        <v>33482.199999999997</v>
      </c>
      <c r="O392" s="104">
        <v>29.2</v>
      </c>
      <c r="P392" s="104">
        <v>683.05</v>
      </c>
      <c r="Q392" s="104">
        <v>747.07</v>
      </c>
      <c r="R392" s="104">
        <v>10343.379999999999</v>
      </c>
      <c r="S392" s="104">
        <v>9.0399999999999991</v>
      </c>
      <c r="T392" s="104">
        <v>36500</v>
      </c>
      <c r="U392" s="104">
        <v>69</v>
      </c>
      <c r="V392" s="104">
        <v>343.93</v>
      </c>
      <c r="W392" s="104">
        <v>0.16</v>
      </c>
      <c r="X392" s="104">
        <v>7079.93</v>
      </c>
      <c r="Y392" s="104">
        <v>0</v>
      </c>
      <c r="Z392" s="104"/>
      <c r="AA392" s="117"/>
      <c r="AB392" s="104">
        <v>59.77</v>
      </c>
      <c r="AC392" s="113">
        <v>0.06</v>
      </c>
      <c r="AD392" s="104"/>
      <c r="AE392" s="113"/>
    </row>
    <row r="393" spans="1:31" ht="4.5" customHeight="1" x14ac:dyDescent="0.2"/>
    <row r="394" spans="1:31" ht="15" x14ac:dyDescent="0.2">
      <c r="A394" s="103">
        <f>A391+1</f>
        <v>45695</v>
      </c>
      <c r="B394" s="103" t="s">
        <v>319</v>
      </c>
      <c r="C394" s="111" t="str">
        <f>A394 &amp; " " &amp;B394</f>
        <v>45695 0000H</v>
      </c>
      <c r="D394" s="112">
        <v>1407</v>
      </c>
      <c r="E394" s="117">
        <v>49.67</v>
      </c>
      <c r="F394" s="112">
        <v>1108.67</v>
      </c>
      <c r="G394" s="117">
        <v>6.2</v>
      </c>
      <c r="H394" s="112">
        <v>74504.740000000005</v>
      </c>
      <c r="I394" s="104">
        <v>908.34</v>
      </c>
      <c r="J394" s="104">
        <v>33285.660000000003</v>
      </c>
      <c r="K394" s="117">
        <v>105.51</v>
      </c>
      <c r="L394" s="112">
        <v>6028.18</v>
      </c>
      <c r="M394" s="104">
        <v>17.41</v>
      </c>
      <c r="N394" s="104">
        <v>33487.9</v>
      </c>
      <c r="O394" s="104">
        <v>29.2</v>
      </c>
      <c r="P394" s="104">
        <v>687.7</v>
      </c>
      <c r="Q394" s="104">
        <v>747.11</v>
      </c>
      <c r="R394" s="104">
        <v>10347.82</v>
      </c>
      <c r="S394" s="104">
        <v>9.0399999999999991</v>
      </c>
      <c r="T394" s="104">
        <v>36507</v>
      </c>
      <c r="U394" s="104">
        <v>69</v>
      </c>
      <c r="V394" s="104">
        <v>351.65</v>
      </c>
      <c r="W394" s="104">
        <v>0.16</v>
      </c>
      <c r="X394" s="104">
        <v>7087.34</v>
      </c>
      <c r="Y394" s="104">
        <v>0</v>
      </c>
      <c r="Z394" s="104"/>
      <c r="AA394" s="117"/>
      <c r="AB394" s="104">
        <v>69.23</v>
      </c>
      <c r="AC394" s="113">
        <v>0.06</v>
      </c>
      <c r="AD394" s="104">
        <v>81.319999999999993</v>
      </c>
      <c r="AE394" s="113">
        <v>0.23</v>
      </c>
    </row>
    <row r="395" spans="1:31" ht="15" x14ac:dyDescent="0.2">
      <c r="A395" s="103">
        <f>A392+1</f>
        <v>45695</v>
      </c>
      <c r="B395" s="103" t="s">
        <v>147</v>
      </c>
      <c r="C395" s="111" t="str">
        <f>A395 &amp; " " &amp;B395</f>
        <v>45695 1200H</v>
      </c>
      <c r="D395" s="112">
        <v>1412.39</v>
      </c>
      <c r="E395" s="117">
        <v>49.67</v>
      </c>
      <c r="F395" s="112">
        <v>1108.67</v>
      </c>
      <c r="G395" s="117">
        <v>6.2</v>
      </c>
      <c r="H395" s="112">
        <v>74504.740000000005</v>
      </c>
      <c r="I395" s="104">
        <v>908.67</v>
      </c>
      <c r="J395" s="104">
        <v>33289.43</v>
      </c>
      <c r="K395" s="117">
        <v>105.51</v>
      </c>
      <c r="L395" s="112">
        <v>6028.18</v>
      </c>
      <c r="M395" s="104">
        <v>17.41</v>
      </c>
      <c r="N395" s="104">
        <v>33495.800000000003</v>
      </c>
      <c r="O395" s="104">
        <v>29.2</v>
      </c>
      <c r="P395" s="104">
        <v>688.74</v>
      </c>
      <c r="Q395" s="104">
        <v>747.46</v>
      </c>
      <c r="R395" s="104">
        <v>10351.49</v>
      </c>
      <c r="S395" s="104">
        <v>9.0399999999999991</v>
      </c>
      <c r="T395" s="104">
        <v>36513</v>
      </c>
      <c r="U395" s="104">
        <v>69</v>
      </c>
      <c r="V395" s="104">
        <v>357.82</v>
      </c>
      <c r="W395" s="104">
        <v>0.16</v>
      </c>
      <c r="X395" s="104">
        <v>7093.71</v>
      </c>
      <c r="Y395" s="104">
        <v>0</v>
      </c>
      <c r="Z395" s="104"/>
      <c r="AA395" s="117"/>
      <c r="AB395" s="104">
        <v>74.59</v>
      </c>
      <c r="AC395" s="113">
        <v>7.0000000000000007E-2</v>
      </c>
      <c r="AD395" s="104">
        <v>81.319999999999993</v>
      </c>
      <c r="AE395" s="113">
        <v>0.23</v>
      </c>
    </row>
    <row r="396" spans="1:31" ht="4.5" customHeight="1" x14ac:dyDescent="0.2">
      <c r="E396" s="117"/>
      <c r="U396" s="104"/>
    </row>
    <row r="397" spans="1:31" ht="15" x14ac:dyDescent="0.2">
      <c r="A397" s="103">
        <f>A394+1</f>
        <v>45696</v>
      </c>
      <c r="B397" s="103" t="s">
        <v>319</v>
      </c>
      <c r="C397" s="111" t="str">
        <f>A397 &amp; " " &amp;B397</f>
        <v>45696 0000H</v>
      </c>
      <c r="D397" s="112">
        <v>1417.68</v>
      </c>
      <c r="E397" s="117">
        <v>49.67</v>
      </c>
      <c r="F397" s="112">
        <v>1108.67</v>
      </c>
      <c r="G397" s="117">
        <v>6.2</v>
      </c>
      <c r="H397" s="112">
        <v>74509.73</v>
      </c>
      <c r="I397" s="104">
        <v>908.86</v>
      </c>
      <c r="J397" s="104">
        <v>33293.199999999997</v>
      </c>
      <c r="K397" s="117">
        <v>105.51</v>
      </c>
      <c r="L397" s="112">
        <v>6028.18</v>
      </c>
      <c r="M397" s="104">
        <v>17.41</v>
      </c>
      <c r="N397" s="104">
        <v>33502.6</v>
      </c>
      <c r="O397" s="104">
        <v>29.2</v>
      </c>
      <c r="P397" s="104">
        <v>692.8</v>
      </c>
      <c r="Q397" s="104">
        <v>747.49</v>
      </c>
      <c r="R397" s="104">
        <v>10355.879999999999</v>
      </c>
      <c r="S397" s="104">
        <v>9.0399999999999991</v>
      </c>
      <c r="T397" s="104">
        <v>36520</v>
      </c>
      <c r="U397" s="104">
        <v>69</v>
      </c>
      <c r="V397" s="104">
        <v>364.83</v>
      </c>
      <c r="W397" s="104">
        <v>0.16</v>
      </c>
      <c r="X397" s="104">
        <v>7101</v>
      </c>
      <c r="Y397" s="104">
        <v>0</v>
      </c>
      <c r="Z397" s="104"/>
      <c r="AA397" s="117"/>
      <c r="AB397" s="104">
        <v>84.66</v>
      </c>
      <c r="AC397" s="113">
        <v>7.0000000000000007E-2</v>
      </c>
      <c r="AD397" s="104">
        <v>81.319999999999993</v>
      </c>
      <c r="AE397" s="113">
        <v>0.23</v>
      </c>
    </row>
    <row r="398" spans="1:31" ht="15" x14ac:dyDescent="0.2">
      <c r="A398" s="103">
        <f>A395+1</f>
        <v>45696</v>
      </c>
      <c r="B398" s="103" t="s">
        <v>147</v>
      </c>
      <c r="C398" s="111" t="str">
        <f>A398 &amp; " " &amp;B398</f>
        <v>45696 1200H</v>
      </c>
      <c r="D398" s="112">
        <v>1421.72</v>
      </c>
      <c r="E398" s="117">
        <v>49.67</v>
      </c>
      <c r="F398" s="112">
        <v>1108.67</v>
      </c>
      <c r="G398" s="117">
        <v>6.2</v>
      </c>
      <c r="H398" s="112">
        <v>74518.5</v>
      </c>
      <c r="I398" s="104">
        <v>908.86</v>
      </c>
      <c r="J398" s="104">
        <v>33296.949999999997</v>
      </c>
      <c r="K398" s="117">
        <v>105.51</v>
      </c>
      <c r="L398" s="112">
        <v>6028.18</v>
      </c>
      <c r="M398" s="104">
        <v>17.41</v>
      </c>
      <c r="N398" s="104">
        <v>33510</v>
      </c>
      <c r="O398" s="104">
        <v>29.2</v>
      </c>
      <c r="P398" s="104">
        <v>693.51</v>
      </c>
      <c r="Q398" s="104">
        <v>747.86</v>
      </c>
      <c r="R398" s="104">
        <v>10359.530000000001</v>
      </c>
      <c r="S398" s="104">
        <v>9.0399999999999991</v>
      </c>
      <c r="T398" s="104">
        <v>36526</v>
      </c>
      <c r="U398" s="104">
        <v>69</v>
      </c>
      <c r="V398" s="104">
        <v>371.05</v>
      </c>
      <c r="W398" s="104">
        <v>0.16</v>
      </c>
      <c r="X398" s="104">
        <v>7106.94</v>
      </c>
      <c r="Y398" s="104">
        <v>0</v>
      </c>
      <c r="Z398" s="104"/>
      <c r="AA398" s="117"/>
      <c r="AB398" s="104">
        <v>89.95</v>
      </c>
      <c r="AC398" s="113">
        <v>7.0000000000000007E-2</v>
      </c>
      <c r="AD398" s="104">
        <v>81.319999999999993</v>
      </c>
      <c r="AE398" s="113">
        <v>0.23</v>
      </c>
    </row>
    <row r="399" spans="1:31" ht="4.5" customHeight="1" x14ac:dyDescent="0.2"/>
    <row r="400" spans="1:31" ht="15" x14ac:dyDescent="0.2">
      <c r="A400" s="103">
        <f>A397+1</f>
        <v>45697</v>
      </c>
      <c r="B400" s="103" t="s">
        <v>319</v>
      </c>
      <c r="C400" s="111" t="str">
        <f>A400 &amp; " " &amp;B400</f>
        <v>45697 0000H</v>
      </c>
      <c r="D400" s="112">
        <v>1426.76</v>
      </c>
      <c r="E400" s="117">
        <v>49.67</v>
      </c>
      <c r="F400" s="112">
        <v>1108.67</v>
      </c>
      <c r="G400" s="117">
        <v>6.2</v>
      </c>
      <c r="H400" s="112">
        <v>74525.59</v>
      </c>
      <c r="I400" s="104">
        <v>908.93</v>
      </c>
      <c r="J400" s="104">
        <v>33300.699999999997</v>
      </c>
      <c r="K400" s="117">
        <v>105.51</v>
      </c>
      <c r="L400" s="112">
        <v>6028.18</v>
      </c>
      <c r="M400" s="104">
        <v>17.48</v>
      </c>
      <c r="N400" s="104">
        <v>33516.6</v>
      </c>
      <c r="O400" s="104">
        <v>29.2</v>
      </c>
      <c r="P400" s="104">
        <v>695.3</v>
      </c>
      <c r="Q400" s="104">
        <v>748.41</v>
      </c>
      <c r="R400" s="104">
        <v>10363.61</v>
      </c>
      <c r="S400" s="104">
        <v>9.0399999999999991</v>
      </c>
      <c r="T400" s="104">
        <v>36532</v>
      </c>
      <c r="U400" s="104">
        <v>69</v>
      </c>
      <c r="V400" s="104">
        <v>376.9</v>
      </c>
      <c r="W400" s="104">
        <v>0.16</v>
      </c>
      <c r="X400" s="104">
        <v>7113.52</v>
      </c>
      <c r="Y400" s="104">
        <v>0</v>
      </c>
      <c r="Z400" s="104"/>
      <c r="AA400" s="117"/>
      <c r="AB400" s="104">
        <v>96.45</v>
      </c>
      <c r="AC400" s="113">
        <v>7.0000000000000007E-2</v>
      </c>
      <c r="AD400" s="104">
        <v>81.319999999999993</v>
      </c>
      <c r="AE400" s="113">
        <v>0.23</v>
      </c>
    </row>
    <row r="401" spans="1:31" ht="15" x14ac:dyDescent="0.2">
      <c r="A401" s="103">
        <f>A398+1</f>
        <v>45697</v>
      </c>
      <c r="B401" s="103" t="s">
        <v>147</v>
      </c>
      <c r="C401" s="111" t="str">
        <f>A401 &amp; " " &amp;B401</f>
        <v>45697 1200H</v>
      </c>
      <c r="D401" s="112"/>
      <c r="E401" s="117"/>
      <c r="F401" s="112">
        <v>1108.67</v>
      </c>
      <c r="G401" s="117">
        <v>6.2</v>
      </c>
      <c r="H401" s="112">
        <v>74528.11</v>
      </c>
      <c r="I401" s="104">
        <v>909.26</v>
      </c>
      <c r="J401" s="104">
        <v>33304.49</v>
      </c>
      <c r="K401" s="117">
        <v>105.51</v>
      </c>
      <c r="L401" s="112">
        <v>6028.18</v>
      </c>
      <c r="M401" s="104">
        <v>17.52</v>
      </c>
      <c r="N401" s="104">
        <v>33523.699999999997</v>
      </c>
      <c r="O401" s="104">
        <v>29.2</v>
      </c>
      <c r="P401" s="104">
        <v>695.76</v>
      </c>
      <c r="Q401" s="104">
        <v>748.95</v>
      </c>
      <c r="R401" s="104">
        <v>10367.07</v>
      </c>
      <c r="S401" s="104">
        <v>9.0399999999999991</v>
      </c>
      <c r="T401" s="104">
        <v>36537</v>
      </c>
      <c r="U401" s="104">
        <v>69</v>
      </c>
      <c r="V401" s="104">
        <v>381.13</v>
      </c>
      <c r="W401" s="104">
        <v>0.16</v>
      </c>
      <c r="X401" s="104">
        <v>7119.15</v>
      </c>
      <c r="Y401" s="104">
        <v>0</v>
      </c>
      <c r="Z401" s="104"/>
      <c r="AA401" s="117"/>
      <c r="AB401" s="104">
        <v>100.97</v>
      </c>
      <c r="AC401" s="113">
        <v>7.0000000000000007E-2</v>
      </c>
      <c r="AD401" s="104">
        <v>81.319999999999993</v>
      </c>
      <c r="AE401" s="113">
        <v>0.23</v>
      </c>
    </row>
    <row r="402" spans="1:31" ht="4.5" customHeight="1" x14ac:dyDescent="0.2"/>
    <row r="403" spans="1:31" ht="15" x14ac:dyDescent="0.2">
      <c r="A403" s="103">
        <f>A400+1</f>
        <v>45698</v>
      </c>
      <c r="B403" s="103" t="s">
        <v>319</v>
      </c>
      <c r="C403" s="111" t="str">
        <f>A403 &amp; " " &amp;B403</f>
        <v>45698 0000H</v>
      </c>
      <c r="D403" s="112">
        <v>1434.72</v>
      </c>
      <c r="E403" s="117">
        <v>49.67</v>
      </c>
      <c r="F403" s="112">
        <v>1108.67</v>
      </c>
      <c r="G403" s="117">
        <v>6.2</v>
      </c>
      <c r="H403" s="112">
        <v>74535.05</v>
      </c>
      <c r="I403" s="104">
        <v>909.27</v>
      </c>
      <c r="J403" s="104">
        <v>33307.129999999997</v>
      </c>
      <c r="K403" s="117">
        <v>105.55</v>
      </c>
      <c r="L403" s="112">
        <v>6028.18</v>
      </c>
      <c r="M403" s="104">
        <v>17.600000000000001</v>
      </c>
      <c r="N403" s="104">
        <v>33529.5</v>
      </c>
      <c r="O403" s="104">
        <v>29.2</v>
      </c>
      <c r="P403" s="104">
        <v>696</v>
      </c>
      <c r="Q403" s="104">
        <v>749.67</v>
      </c>
      <c r="R403" s="104">
        <v>10370.19</v>
      </c>
      <c r="S403" s="104">
        <v>9.0399999999999991</v>
      </c>
      <c r="T403" s="104">
        <v>36543</v>
      </c>
      <c r="U403" s="104">
        <v>69</v>
      </c>
      <c r="V403" s="104">
        <v>385.82</v>
      </c>
      <c r="W403" s="104">
        <v>0.16</v>
      </c>
      <c r="X403" s="104">
        <v>7126.21</v>
      </c>
      <c r="Y403" s="104">
        <v>0</v>
      </c>
      <c r="Z403" s="104"/>
      <c r="AA403" s="117"/>
      <c r="AB403" s="104">
        <v>103.08</v>
      </c>
      <c r="AC403" s="113">
        <v>7.0000000000000007E-2</v>
      </c>
      <c r="AD403" s="104">
        <v>81.319999999999993</v>
      </c>
      <c r="AE403" s="113">
        <v>0.23</v>
      </c>
    </row>
    <row r="404" spans="1:31" ht="15" x14ac:dyDescent="0.2">
      <c r="A404" s="103">
        <f>A401+1</f>
        <v>45698</v>
      </c>
      <c r="B404" s="103" t="s">
        <v>147</v>
      </c>
      <c r="C404" s="111" t="str">
        <f>A404 &amp; " " &amp;B404</f>
        <v>45698 1200H</v>
      </c>
      <c r="D404" s="112">
        <v>1444.32</v>
      </c>
      <c r="E404" s="117">
        <v>49.67</v>
      </c>
      <c r="F404" s="112">
        <v>1108.67</v>
      </c>
      <c r="G404" s="117">
        <v>6.2</v>
      </c>
      <c r="H404" s="112">
        <v>74558.600000000006</v>
      </c>
      <c r="I404" s="104">
        <v>909.27</v>
      </c>
      <c r="J404" s="104">
        <v>33307.75</v>
      </c>
      <c r="K404" s="117">
        <v>105.7</v>
      </c>
      <c r="L404" s="112">
        <v>6028.18</v>
      </c>
      <c r="M404" s="104">
        <v>17.649999999999999</v>
      </c>
      <c r="N404" s="104">
        <v>33538</v>
      </c>
      <c r="O404" s="104">
        <v>29.2</v>
      </c>
      <c r="P404" s="104">
        <v>697.75</v>
      </c>
      <c r="Q404" s="104">
        <v>750.46</v>
      </c>
      <c r="R404" s="104">
        <v>10376.799999999999</v>
      </c>
      <c r="S404" s="104">
        <v>9.0399999999999991</v>
      </c>
      <c r="T404" s="104">
        <v>36554</v>
      </c>
      <c r="U404" s="104">
        <v>69</v>
      </c>
      <c r="V404" s="104">
        <v>392.35</v>
      </c>
      <c r="W404" s="104">
        <v>0.17</v>
      </c>
      <c r="X404" s="104">
        <v>7137.86</v>
      </c>
      <c r="Y404" s="104">
        <v>0</v>
      </c>
      <c r="Z404" s="104"/>
      <c r="AA404" s="117"/>
      <c r="AB404" s="104">
        <v>112.66</v>
      </c>
      <c r="AC404" s="113">
        <v>0.11</v>
      </c>
      <c r="AD404" s="104">
        <v>81.319999999999993</v>
      </c>
      <c r="AE404" s="113">
        <v>0.23</v>
      </c>
    </row>
    <row r="405" spans="1:31" ht="4.5" customHeight="1" x14ac:dyDescent="0.2"/>
    <row r="406" spans="1:31" ht="15" x14ac:dyDescent="0.2">
      <c r="A406" s="103">
        <f>A403+1</f>
        <v>45699</v>
      </c>
      <c r="B406" s="103" t="s">
        <v>319</v>
      </c>
      <c r="C406" s="111" t="str">
        <f>A406 &amp; " " &amp;B406</f>
        <v>45699 0000H</v>
      </c>
      <c r="D406" s="112">
        <v>1454.2</v>
      </c>
      <c r="E406" s="117">
        <v>49.67</v>
      </c>
      <c r="F406" s="112">
        <v>1108.67</v>
      </c>
      <c r="G406" s="117">
        <v>6.2</v>
      </c>
      <c r="H406" s="112">
        <v>74568</v>
      </c>
      <c r="I406" s="104">
        <v>909.27</v>
      </c>
      <c r="J406" s="104">
        <v>33312.370000000003</v>
      </c>
      <c r="K406" s="117">
        <v>105.75</v>
      </c>
      <c r="L406" s="112">
        <v>6028.18</v>
      </c>
      <c r="M406" s="104">
        <v>17.91</v>
      </c>
      <c r="N406" s="104">
        <v>33552.300000000003</v>
      </c>
      <c r="O406" s="104">
        <v>29.2</v>
      </c>
      <c r="P406" s="104">
        <v>698.54</v>
      </c>
      <c r="Q406" s="104">
        <v>751.51</v>
      </c>
      <c r="R406" s="104">
        <v>10384.02</v>
      </c>
      <c r="S406" s="104">
        <v>9.0399999999999991</v>
      </c>
      <c r="T406" s="104">
        <v>36565</v>
      </c>
      <c r="U406" s="104">
        <v>69</v>
      </c>
      <c r="V406" s="104">
        <v>404.22</v>
      </c>
      <c r="W406" s="104">
        <v>0.17</v>
      </c>
      <c r="X406" s="104">
        <v>7149.87</v>
      </c>
      <c r="Y406" s="104">
        <v>0</v>
      </c>
      <c r="Z406" s="104"/>
      <c r="AA406" s="117"/>
      <c r="AB406" s="104">
        <v>122.65</v>
      </c>
      <c r="AC406" s="113">
        <v>0.12</v>
      </c>
      <c r="AD406" s="104">
        <v>81.319999999999993</v>
      </c>
      <c r="AE406" s="113">
        <v>0.23</v>
      </c>
    </row>
    <row r="407" spans="1:31" ht="15" x14ac:dyDescent="0.2">
      <c r="A407" s="103">
        <f>A404+1</f>
        <v>45699</v>
      </c>
      <c r="B407" s="103" t="s">
        <v>147</v>
      </c>
      <c r="C407" s="111" t="str">
        <f>A407 &amp; " " &amp;B407</f>
        <v>45699 1200H</v>
      </c>
      <c r="D407" s="112">
        <v>1448.28</v>
      </c>
      <c r="E407" s="117">
        <v>49.67</v>
      </c>
      <c r="F407" s="112">
        <v>1108.67</v>
      </c>
      <c r="G407" s="117">
        <v>6.2</v>
      </c>
      <c r="H407" s="112">
        <v>74559.539999999994</v>
      </c>
      <c r="I407" s="104">
        <v>909.27</v>
      </c>
      <c r="J407" s="104">
        <v>33308.620000000003</v>
      </c>
      <c r="K407" s="117">
        <v>105.75</v>
      </c>
      <c r="L407" s="112">
        <v>6028.18</v>
      </c>
      <c r="M407" s="104">
        <v>17.91</v>
      </c>
      <c r="N407" s="104">
        <v>33545</v>
      </c>
      <c r="O407" s="104">
        <v>29</v>
      </c>
      <c r="P407" s="104">
        <v>698.13</v>
      </c>
      <c r="Q407" s="104">
        <v>751.01</v>
      </c>
      <c r="R407" s="104">
        <v>10379.89</v>
      </c>
      <c r="S407" s="104">
        <v>9.0399999999999991</v>
      </c>
      <c r="T407" s="104">
        <v>36559</v>
      </c>
      <c r="U407" s="104">
        <v>69</v>
      </c>
      <c r="V407" s="104">
        <v>397.53</v>
      </c>
      <c r="W407" s="104">
        <v>0.17</v>
      </c>
      <c r="X407" s="104">
        <v>7143.53</v>
      </c>
      <c r="Y407" s="104">
        <v>0</v>
      </c>
      <c r="Z407" s="104"/>
      <c r="AA407" s="117"/>
      <c r="AB407" s="104">
        <v>116.95</v>
      </c>
      <c r="AC407" s="113">
        <v>0.12</v>
      </c>
      <c r="AD407" s="104">
        <v>81.319999999999993</v>
      </c>
      <c r="AE407" s="113">
        <v>0.23</v>
      </c>
    </row>
    <row r="408" spans="1:31" ht="5.25" customHeight="1" x14ac:dyDescent="0.2"/>
    <row r="409" spans="1:31" ht="15" x14ac:dyDescent="0.2">
      <c r="A409" s="103">
        <f>A406+1</f>
        <v>45700</v>
      </c>
      <c r="B409" s="103" t="s">
        <v>319</v>
      </c>
      <c r="C409" s="111" t="str">
        <f>A409 &amp; " " &amp;B409</f>
        <v>45700 0000H</v>
      </c>
      <c r="D409" s="112">
        <v>1454.2</v>
      </c>
      <c r="E409" s="117">
        <v>49.67</v>
      </c>
      <c r="F409" s="112">
        <v>1108.67</v>
      </c>
      <c r="G409" s="117">
        <v>6.2</v>
      </c>
      <c r="H409" s="112">
        <v>74568.66</v>
      </c>
      <c r="I409" s="104">
        <v>909.27</v>
      </c>
      <c r="J409" s="104">
        <v>33312.370000000003</v>
      </c>
      <c r="K409" s="117">
        <v>105.75</v>
      </c>
      <c r="L409" s="112">
        <v>6028.18</v>
      </c>
      <c r="M409" s="104">
        <v>17.91</v>
      </c>
      <c r="N409" s="104">
        <v>33552.300000000003</v>
      </c>
      <c r="O409" s="104">
        <v>29.2</v>
      </c>
      <c r="P409" s="104">
        <v>698.54</v>
      </c>
      <c r="Q409" s="104">
        <v>751.51</v>
      </c>
      <c r="R409" s="104">
        <v>10384.02</v>
      </c>
      <c r="S409" s="104">
        <v>9.0399999999999991</v>
      </c>
      <c r="T409" s="104">
        <v>36565</v>
      </c>
      <c r="U409" s="104">
        <v>69</v>
      </c>
      <c r="V409" s="104">
        <v>404.22</v>
      </c>
      <c r="W409" s="104">
        <v>0.17</v>
      </c>
      <c r="X409" s="104">
        <v>7149.87</v>
      </c>
      <c r="Y409" s="104">
        <v>0</v>
      </c>
      <c r="Z409" s="104"/>
      <c r="AA409" s="117"/>
      <c r="AB409" s="104">
        <v>122.65</v>
      </c>
      <c r="AC409" s="113">
        <v>0.12</v>
      </c>
      <c r="AD409" s="104">
        <v>81.319999999999993</v>
      </c>
      <c r="AE409" s="113">
        <v>0.23</v>
      </c>
    </row>
    <row r="410" spans="1:31" ht="15" x14ac:dyDescent="0.2">
      <c r="A410" s="103">
        <f>A407+1</f>
        <v>45700</v>
      </c>
      <c r="B410" s="103" t="s">
        <v>147</v>
      </c>
      <c r="C410" s="111" t="str">
        <f>A410 &amp; " " &amp;B410</f>
        <v>45700 1200H</v>
      </c>
      <c r="D410" s="112">
        <v>1457.93</v>
      </c>
      <c r="E410" s="117">
        <v>49.67</v>
      </c>
      <c r="F410" s="112">
        <v>1108.67</v>
      </c>
      <c r="G410" s="117">
        <v>6.2</v>
      </c>
      <c r="H410" s="112">
        <v>74577.19</v>
      </c>
      <c r="I410" s="104">
        <v>909.27</v>
      </c>
      <c r="J410" s="104">
        <v>33316.120000000003</v>
      </c>
      <c r="K410" s="117">
        <v>105.75</v>
      </c>
      <c r="L410" s="112">
        <v>6028.18</v>
      </c>
      <c r="M410" s="104">
        <v>18.07</v>
      </c>
      <c r="N410" s="104">
        <v>33559.800000000003</v>
      </c>
      <c r="O410" s="104">
        <v>29.2</v>
      </c>
      <c r="P410" s="104">
        <v>699.97</v>
      </c>
      <c r="Q410" s="104">
        <v>752.03</v>
      </c>
      <c r="R410" s="104">
        <v>10387.709999999999</v>
      </c>
      <c r="S410" s="104">
        <v>9.0399999999999991</v>
      </c>
      <c r="T410" s="104">
        <v>36571</v>
      </c>
      <c r="U410" s="104">
        <v>69</v>
      </c>
      <c r="V410" s="104">
        <v>409.51</v>
      </c>
      <c r="W410" s="104">
        <v>0.17</v>
      </c>
      <c r="X410" s="104">
        <v>7155.71</v>
      </c>
      <c r="Y410" s="104">
        <v>0</v>
      </c>
      <c r="Z410" s="104"/>
      <c r="AA410" s="117"/>
      <c r="AB410" s="104">
        <v>127.2</v>
      </c>
      <c r="AC410" s="113">
        <v>0.14000000000000001</v>
      </c>
      <c r="AD410" s="104">
        <v>81.319999999999993</v>
      </c>
      <c r="AE410" s="113">
        <v>0.23</v>
      </c>
    </row>
    <row r="411" spans="1:31" ht="5.25" customHeight="1" x14ac:dyDescent="0.2"/>
    <row r="412" spans="1:31" ht="15" x14ac:dyDescent="0.2">
      <c r="A412" s="103">
        <f>A409+1</f>
        <v>45701</v>
      </c>
      <c r="B412" s="103" t="s">
        <v>319</v>
      </c>
      <c r="C412" s="111" t="str">
        <f>A412 &amp; " " &amp;B412</f>
        <v>45701 0000H</v>
      </c>
      <c r="D412" s="112">
        <v>1464.7</v>
      </c>
      <c r="E412" s="117">
        <v>49.67</v>
      </c>
      <c r="F412" s="112">
        <v>1108.67</v>
      </c>
      <c r="G412" s="117">
        <v>6.2</v>
      </c>
      <c r="H412" s="112">
        <v>74585.649999999994</v>
      </c>
      <c r="I412" s="104">
        <v>909.27</v>
      </c>
      <c r="J412" s="104">
        <v>33319</v>
      </c>
      <c r="K412" s="117">
        <v>105.75</v>
      </c>
      <c r="L412" s="112">
        <v>6028.18</v>
      </c>
      <c r="M412" s="104">
        <v>18.190000000000001</v>
      </c>
      <c r="N412" s="395">
        <v>33356.699999999997</v>
      </c>
      <c r="O412" s="395">
        <v>29.2</v>
      </c>
      <c r="P412" s="104">
        <v>702.4</v>
      </c>
      <c r="Q412" s="104">
        <v>752.4</v>
      </c>
      <c r="R412" s="104">
        <v>10391.959999999999</v>
      </c>
      <c r="S412" s="104">
        <v>9.0399999999999991</v>
      </c>
      <c r="T412" s="104">
        <v>36578</v>
      </c>
      <c r="U412" s="104">
        <v>69</v>
      </c>
      <c r="V412" s="104">
        <v>416.78</v>
      </c>
      <c r="W412" s="104">
        <v>0.17</v>
      </c>
      <c r="X412" s="104">
        <v>7162.44</v>
      </c>
      <c r="Y412" s="104">
        <v>0</v>
      </c>
      <c r="Z412" s="104"/>
      <c r="AA412" s="117"/>
      <c r="AB412" s="104">
        <v>134.44</v>
      </c>
      <c r="AC412" s="113">
        <v>0.14000000000000001</v>
      </c>
      <c r="AD412" s="104">
        <v>81.37</v>
      </c>
      <c r="AE412" s="113">
        <v>0.23</v>
      </c>
    </row>
    <row r="413" spans="1:31" ht="15" x14ac:dyDescent="0.2">
      <c r="A413" s="103">
        <f>A410+1</f>
        <v>45701</v>
      </c>
      <c r="B413" s="103" t="s">
        <v>147</v>
      </c>
      <c r="C413" s="111" t="str">
        <f>A413 &amp; " " &amp;B413</f>
        <v>45701 1200H</v>
      </c>
      <c r="D413" s="112">
        <v>1468.11</v>
      </c>
      <c r="E413" s="117">
        <v>49.67</v>
      </c>
      <c r="F413" s="112">
        <v>1108.67</v>
      </c>
      <c r="G413" s="117">
        <v>6.2</v>
      </c>
      <c r="H413" s="112">
        <v>74594.13</v>
      </c>
      <c r="I413" s="104">
        <v>909.27</v>
      </c>
      <c r="J413" s="104">
        <v>33322.35</v>
      </c>
      <c r="K413" s="117">
        <v>105.77</v>
      </c>
      <c r="L413" s="112">
        <v>6028.18</v>
      </c>
      <c r="M413" s="104">
        <v>18.36</v>
      </c>
      <c r="N413" s="104">
        <v>33572.199999999997</v>
      </c>
      <c r="O413" s="104">
        <v>29.2</v>
      </c>
      <c r="P413" s="104">
        <v>703.24</v>
      </c>
      <c r="Q413" s="104">
        <v>752.86</v>
      </c>
      <c r="R413" s="104">
        <v>10395.59</v>
      </c>
      <c r="S413" s="104">
        <v>9.0399999999999991</v>
      </c>
      <c r="T413" s="104">
        <v>36584</v>
      </c>
      <c r="U413" s="104">
        <v>69</v>
      </c>
      <c r="V413" s="104">
        <v>422.65</v>
      </c>
      <c r="W413" s="104">
        <v>0.17</v>
      </c>
      <c r="X413" s="104">
        <v>7168.2</v>
      </c>
      <c r="Y413" s="104">
        <v>0</v>
      </c>
      <c r="Z413" s="104"/>
      <c r="AA413" s="117"/>
      <c r="AB413" s="104">
        <v>139.19</v>
      </c>
      <c r="AC413" s="113">
        <v>0.15</v>
      </c>
      <c r="AD413" s="104"/>
      <c r="AE413" s="113"/>
    </row>
    <row r="414" spans="1:31" ht="5.25" customHeight="1" x14ac:dyDescent="0.2"/>
    <row r="415" spans="1:31" ht="15" x14ac:dyDescent="0.2">
      <c r="A415" s="103">
        <f>A412+1</f>
        <v>45702</v>
      </c>
      <c r="B415" s="103" t="s">
        <v>319</v>
      </c>
      <c r="C415" s="111" t="str">
        <f>A415 &amp; " " &amp;B415</f>
        <v>45702 0000H</v>
      </c>
      <c r="D415" s="112">
        <v>1474.33</v>
      </c>
      <c r="E415" s="117">
        <v>49.67</v>
      </c>
      <c r="F415" s="112">
        <v>1108.67</v>
      </c>
      <c r="G415" s="117">
        <v>6.2</v>
      </c>
      <c r="H415" s="112">
        <v>74602.5</v>
      </c>
      <c r="I415" s="104">
        <v>909.27</v>
      </c>
      <c r="J415" s="104">
        <v>33325.839999999997</v>
      </c>
      <c r="K415" s="117">
        <v>105.78</v>
      </c>
      <c r="L415" s="112">
        <v>6028.18</v>
      </c>
      <c r="M415" s="104">
        <v>18.59</v>
      </c>
      <c r="N415" s="104">
        <v>33579.300000000003</v>
      </c>
      <c r="O415" s="104">
        <v>29.2</v>
      </c>
      <c r="P415" s="104">
        <v>705.17</v>
      </c>
      <c r="Q415" s="104">
        <v>752.91</v>
      </c>
      <c r="R415" s="104">
        <v>10399.94</v>
      </c>
      <c r="S415" s="104">
        <v>9.0399999999999991</v>
      </c>
      <c r="T415" s="104">
        <v>36592</v>
      </c>
      <c r="U415" s="104">
        <v>69</v>
      </c>
      <c r="V415" s="104">
        <v>430.54</v>
      </c>
      <c r="W415" s="104">
        <v>0.17</v>
      </c>
      <c r="X415" s="104">
        <v>7175</v>
      </c>
      <c r="Y415" s="104">
        <v>0</v>
      </c>
      <c r="Z415" s="104"/>
      <c r="AA415" s="117"/>
      <c r="AB415" s="104">
        <v>146.1</v>
      </c>
      <c r="AC415" s="113">
        <v>0.15</v>
      </c>
      <c r="AD415" s="104"/>
      <c r="AE415" s="113"/>
    </row>
    <row r="416" spans="1:31" ht="15" x14ac:dyDescent="0.2">
      <c r="A416" s="103">
        <f>A413+1</f>
        <v>45702</v>
      </c>
      <c r="B416" s="103" t="s">
        <v>147</v>
      </c>
      <c r="C416" s="111" t="str">
        <f>A416 &amp; " " &amp;B416</f>
        <v>45702 1200H</v>
      </c>
      <c r="D416" s="112">
        <v>1479.16</v>
      </c>
      <c r="E416" s="117">
        <v>49.67</v>
      </c>
      <c r="F416" s="112">
        <v>1108.67</v>
      </c>
      <c r="G416" s="117">
        <v>6.2</v>
      </c>
      <c r="H416" s="112">
        <v>74611.259999999995</v>
      </c>
      <c r="I416" s="104">
        <v>909.27</v>
      </c>
      <c r="J416" s="104">
        <v>33326.006000000001</v>
      </c>
      <c r="K416" s="117">
        <v>105.89</v>
      </c>
      <c r="L416" s="112">
        <v>6028.24</v>
      </c>
      <c r="M416" s="104">
        <v>18.98</v>
      </c>
      <c r="N416" s="104">
        <v>33586.300000000003</v>
      </c>
      <c r="O416" s="104">
        <v>29.2</v>
      </c>
      <c r="P416" s="104">
        <v>706.27</v>
      </c>
      <c r="Q416" s="104">
        <v>753.6</v>
      </c>
      <c r="R416" s="104">
        <v>10403.39</v>
      </c>
      <c r="S416" s="104">
        <v>9.0399999999999991</v>
      </c>
      <c r="T416" s="104">
        <v>36598</v>
      </c>
      <c r="U416" s="104">
        <v>69</v>
      </c>
      <c r="V416" s="104">
        <v>436.79</v>
      </c>
      <c r="W416" s="104">
        <v>0.17</v>
      </c>
      <c r="X416" s="104">
        <v>7181.66</v>
      </c>
      <c r="Y416" s="104">
        <v>0</v>
      </c>
      <c r="Z416" s="104"/>
      <c r="AA416" s="117"/>
      <c r="AB416" s="104">
        <v>149.97999999999999</v>
      </c>
      <c r="AC416" s="113">
        <v>0.16</v>
      </c>
      <c r="AD416" s="104"/>
      <c r="AE416" s="113"/>
    </row>
    <row r="417" spans="1:31" ht="5.25" customHeight="1" x14ac:dyDescent="0.2"/>
    <row r="418" spans="1:31" ht="15" x14ac:dyDescent="0.2">
      <c r="A418" s="103">
        <f>A415+1</f>
        <v>45703</v>
      </c>
      <c r="B418" s="103" t="s">
        <v>319</v>
      </c>
      <c r="C418" s="111" t="str">
        <f>A418 &amp; " " &amp;B418</f>
        <v>45703 0000H</v>
      </c>
      <c r="D418" s="112">
        <v>1485.33</v>
      </c>
      <c r="E418" s="117">
        <v>49.67</v>
      </c>
      <c r="F418" s="112">
        <v>1108.67</v>
      </c>
      <c r="G418" s="117">
        <v>6.2</v>
      </c>
      <c r="H418" s="112">
        <v>74619.73</v>
      </c>
      <c r="I418" s="104">
        <v>909.27</v>
      </c>
      <c r="J418" s="104">
        <v>33329</v>
      </c>
      <c r="K418" s="117">
        <v>105.78</v>
      </c>
      <c r="L418" s="112">
        <v>6031.26</v>
      </c>
      <c r="M418" s="104">
        <v>18.98</v>
      </c>
      <c r="N418" s="104">
        <v>33592.199999999997</v>
      </c>
      <c r="O418" s="104">
        <v>29.2</v>
      </c>
      <c r="P418" s="104">
        <v>706.72</v>
      </c>
      <c r="Q418" s="104">
        <v>754.72</v>
      </c>
      <c r="R418" s="104">
        <v>10407.75</v>
      </c>
      <c r="S418" s="104">
        <v>9.0399999999999991</v>
      </c>
      <c r="T418" s="104">
        <v>36606</v>
      </c>
      <c r="U418" s="104">
        <v>69</v>
      </c>
      <c r="V418" s="104">
        <v>444.47</v>
      </c>
      <c r="W418" s="104">
        <v>0.17</v>
      </c>
      <c r="X418" s="104">
        <v>7189.2</v>
      </c>
      <c r="Y418" s="104">
        <v>0</v>
      </c>
      <c r="Z418" s="104"/>
      <c r="AA418" s="117"/>
      <c r="AB418" s="104">
        <v>152.68</v>
      </c>
      <c r="AC418" s="113">
        <v>0.16</v>
      </c>
      <c r="AD418" s="104"/>
      <c r="AE418" s="113"/>
    </row>
    <row r="419" spans="1:31" ht="15" x14ac:dyDescent="0.2">
      <c r="A419" s="103">
        <f>A416+1</f>
        <v>45703</v>
      </c>
      <c r="B419" s="103" t="s">
        <v>147</v>
      </c>
      <c r="C419" s="111" t="str">
        <f>A419 &amp; " " &amp;B419</f>
        <v>45703 1200H</v>
      </c>
      <c r="D419" s="112">
        <v>1488.54</v>
      </c>
      <c r="E419" s="117">
        <v>49.67</v>
      </c>
      <c r="F419" s="112">
        <v>1108.67</v>
      </c>
      <c r="G419" s="117">
        <v>6.2</v>
      </c>
      <c r="H419" s="112">
        <v>74622.080000000002</v>
      </c>
      <c r="I419" s="104">
        <v>909.58</v>
      </c>
      <c r="J419" s="104">
        <v>33333.480000000003</v>
      </c>
      <c r="K419" s="117">
        <v>105.89</v>
      </c>
      <c r="L419" s="112">
        <v>6035.83</v>
      </c>
      <c r="M419" s="104">
        <v>18.98</v>
      </c>
      <c r="N419" s="104">
        <v>33596</v>
      </c>
      <c r="O419" s="104">
        <v>29.2</v>
      </c>
      <c r="P419" s="104">
        <v>706.94</v>
      </c>
      <c r="Q419" s="104">
        <v>755.73</v>
      </c>
      <c r="R419" s="104">
        <v>10411.370000000001</v>
      </c>
      <c r="S419" s="104">
        <v>9.0399999999999991</v>
      </c>
      <c r="T419" s="104">
        <v>36612</v>
      </c>
      <c r="U419" s="104">
        <v>69</v>
      </c>
      <c r="V419" s="104">
        <v>450.22</v>
      </c>
      <c r="W419" s="104">
        <v>0.17</v>
      </c>
      <c r="X419" s="104">
        <v>7195.54</v>
      </c>
      <c r="Y419" s="104">
        <v>0</v>
      </c>
      <c r="Z419" s="104"/>
      <c r="AA419" s="117"/>
      <c r="AB419" s="104">
        <v>152.68</v>
      </c>
      <c r="AC419" s="113">
        <v>0.16</v>
      </c>
      <c r="AD419" s="104"/>
      <c r="AE419" s="113"/>
    </row>
    <row r="420" spans="1:31" ht="5.25" customHeight="1" x14ac:dyDescent="0.2"/>
    <row r="421" spans="1:31" ht="15" x14ac:dyDescent="0.2">
      <c r="A421" s="103">
        <f>A418+1</f>
        <v>45704</v>
      </c>
      <c r="B421" s="103" t="s">
        <v>319</v>
      </c>
      <c r="C421" s="111" t="str">
        <f>A421 &amp; " " &amp;B421</f>
        <v>45704 0000H</v>
      </c>
      <c r="D421" s="112">
        <v>1493.34</v>
      </c>
      <c r="E421" s="117">
        <v>49.67</v>
      </c>
      <c r="F421" s="112">
        <v>1108.67</v>
      </c>
      <c r="G421" s="117">
        <v>6.2</v>
      </c>
      <c r="H421" s="112">
        <v>74630.350000000006</v>
      </c>
      <c r="I421" s="104">
        <v>909.58</v>
      </c>
      <c r="J421" s="104">
        <v>33337.410000000003</v>
      </c>
      <c r="K421" s="117">
        <v>105.89</v>
      </c>
      <c r="L421" s="112">
        <v>6039.8</v>
      </c>
      <c r="M421" s="104">
        <v>18.98</v>
      </c>
      <c r="N421" s="104">
        <v>33600.6</v>
      </c>
      <c r="O421" s="104">
        <v>29.2</v>
      </c>
      <c r="P421" s="104">
        <v>707.2</v>
      </c>
      <c r="Q421" s="104">
        <v>757.17</v>
      </c>
      <c r="R421" s="104">
        <v>10415.85</v>
      </c>
      <c r="S421" s="104">
        <v>9.0399999999999991</v>
      </c>
      <c r="T421" s="104">
        <v>36619</v>
      </c>
      <c r="U421" s="104">
        <v>69</v>
      </c>
      <c r="V421" s="104">
        <v>457.77</v>
      </c>
      <c r="W421" s="104">
        <v>0.17</v>
      </c>
      <c r="X421" s="104">
        <v>7202.8</v>
      </c>
      <c r="Y421" s="104">
        <v>0</v>
      </c>
      <c r="Z421" s="104"/>
      <c r="AA421" s="117"/>
      <c r="AB421" s="104">
        <v>152.68</v>
      </c>
      <c r="AC421" s="113">
        <v>0.16</v>
      </c>
      <c r="AD421" s="104"/>
      <c r="AE421" s="113"/>
    </row>
    <row r="422" spans="1:31" ht="15" x14ac:dyDescent="0.2">
      <c r="A422" s="103">
        <f>A419+1</f>
        <v>45704</v>
      </c>
      <c r="B422" s="103" t="s">
        <v>147</v>
      </c>
      <c r="C422" s="111" t="str">
        <f>A422 &amp; " " &amp;B422</f>
        <v>45704 1200H</v>
      </c>
      <c r="D422" s="112">
        <v>1496.57</v>
      </c>
      <c r="E422" s="117">
        <v>49.67</v>
      </c>
      <c r="F422" s="112">
        <v>1108.67</v>
      </c>
      <c r="G422" s="117">
        <v>6.2</v>
      </c>
      <c r="H422" s="112">
        <v>74630.539999999994</v>
      </c>
      <c r="I422" s="104">
        <v>909.94</v>
      </c>
      <c r="J422" s="104">
        <v>33341.300000000003</v>
      </c>
      <c r="K422" s="117">
        <v>105.89</v>
      </c>
      <c r="L422" s="112">
        <v>6043.73</v>
      </c>
      <c r="M422" s="104">
        <v>18.98</v>
      </c>
      <c r="N422" s="104">
        <v>33602.5</v>
      </c>
      <c r="O422" s="104">
        <v>29.2</v>
      </c>
      <c r="P422" s="104">
        <v>707.49</v>
      </c>
      <c r="Q422" s="104">
        <v>758.03</v>
      </c>
      <c r="R422" s="104">
        <v>10419.5</v>
      </c>
      <c r="S422" s="104">
        <v>9.0399999999999991</v>
      </c>
      <c r="T422" s="104">
        <v>36625</v>
      </c>
      <c r="U422" s="104">
        <v>69</v>
      </c>
      <c r="V422" s="104">
        <v>462.73</v>
      </c>
      <c r="W422" s="104">
        <v>0.17</v>
      </c>
      <c r="X422" s="104">
        <v>7208</v>
      </c>
      <c r="Y422" s="104">
        <v>0</v>
      </c>
      <c r="Z422" s="104"/>
      <c r="AA422" s="117"/>
      <c r="AB422" s="104">
        <v>152.68</v>
      </c>
      <c r="AC422" s="113">
        <v>0.16</v>
      </c>
      <c r="AD422" s="104"/>
      <c r="AE422" s="113"/>
    </row>
    <row r="423" spans="1:31" ht="4.5" customHeight="1" x14ac:dyDescent="0.2"/>
    <row r="424" spans="1:31" ht="15" x14ac:dyDescent="0.2">
      <c r="A424" s="103">
        <f>A421+1</f>
        <v>45705</v>
      </c>
      <c r="B424" s="103" t="s">
        <v>319</v>
      </c>
      <c r="C424" s="111"/>
      <c r="D424" s="112">
        <v>1501</v>
      </c>
      <c r="E424" s="117">
        <v>49.67</v>
      </c>
      <c r="F424" s="112">
        <v>1108.67</v>
      </c>
      <c r="G424" s="117">
        <v>6.2</v>
      </c>
      <c r="H424" s="112">
        <v>74635.31</v>
      </c>
      <c r="I424" s="104">
        <v>910.09</v>
      </c>
      <c r="J424" s="104">
        <v>33344.57</v>
      </c>
      <c r="K424" s="117">
        <v>105.91</v>
      </c>
      <c r="L424" s="112">
        <v>6048.3</v>
      </c>
      <c r="M424" s="104">
        <v>18.920000000000002</v>
      </c>
      <c r="N424" s="104">
        <v>33607.5</v>
      </c>
      <c r="O424" s="104">
        <v>29.3</v>
      </c>
      <c r="P424" s="104">
        <v>707.6</v>
      </c>
      <c r="Q424" s="104">
        <v>759.27</v>
      </c>
      <c r="R424" s="104">
        <v>10423.969999999999</v>
      </c>
      <c r="S424" s="104">
        <v>9.0399999999999991</v>
      </c>
      <c r="T424" s="104">
        <v>36632</v>
      </c>
      <c r="U424" s="104">
        <v>69</v>
      </c>
      <c r="V424" s="104">
        <v>469.7</v>
      </c>
      <c r="W424" s="104">
        <v>0.17</v>
      </c>
      <c r="X424" s="104">
        <v>7216.31</v>
      </c>
      <c r="Y424" s="104">
        <v>0</v>
      </c>
      <c r="Z424" s="104"/>
      <c r="AA424" s="117"/>
      <c r="AB424" s="104">
        <v>152.68</v>
      </c>
      <c r="AC424" s="113">
        <v>0.16</v>
      </c>
      <c r="AD424" s="104"/>
      <c r="AE424" s="113"/>
    </row>
    <row r="425" spans="1:31" ht="15" x14ac:dyDescent="0.2">
      <c r="A425" s="103">
        <f>A422+1</f>
        <v>45705</v>
      </c>
      <c r="B425" s="103" t="s">
        <v>147</v>
      </c>
      <c r="C425" s="111"/>
      <c r="D425" s="112">
        <v>1504.32</v>
      </c>
      <c r="E425" s="117">
        <v>49.67</v>
      </c>
      <c r="F425" s="112">
        <v>1108.67</v>
      </c>
      <c r="G425" s="117">
        <v>6.2</v>
      </c>
      <c r="H425" s="112">
        <v>74642.960000000006</v>
      </c>
      <c r="I425" s="104">
        <v>910.09</v>
      </c>
      <c r="J425" s="104">
        <v>33345.72</v>
      </c>
      <c r="K425" s="117">
        <v>105.95</v>
      </c>
      <c r="L425" s="112">
        <v>6053.4</v>
      </c>
      <c r="M425" s="104">
        <v>18.98</v>
      </c>
      <c r="N425" s="104">
        <v>33610.9</v>
      </c>
      <c r="O425" s="104">
        <v>29.3</v>
      </c>
      <c r="P425" s="104">
        <v>707.6</v>
      </c>
      <c r="Q425" s="104">
        <v>760.5</v>
      </c>
      <c r="R425" s="104">
        <v>10427.459999999999</v>
      </c>
      <c r="S425" s="104">
        <v>9.0399999999999991</v>
      </c>
      <c r="T425" s="104">
        <v>36638</v>
      </c>
      <c r="U425" s="104">
        <v>69</v>
      </c>
      <c r="V425" s="104">
        <v>474.71</v>
      </c>
      <c r="W425" s="104">
        <v>0.17</v>
      </c>
      <c r="X425" s="104">
        <v>7022.49</v>
      </c>
      <c r="Y425" s="104">
        <v>0</v>
      </c>
      <c r="Z425" s="104"/>
      <c r="AA425" s="117"/>
      <c r="AB425" s="104">
        <v>152.68</v>
      </c>
      <c r="AC425" s="113">
        <v>0.16</v>
      </c>
      <c r="AD425" s="104"/>
      <c r="AE425" s="113"/>
    </row>
    <row r="427" spans="1:31" ht="15" x14ac:dyDescent="0.2">
      <c r="A427" s="103">
        <f>A424+1</f>
        <v>45706</v>
      </c>
      <c r="B427" s="103" t="s">
        <v>319</v>
      </c>
      <c r="C427" s="111"/>
      <c r="D427" s="112">
        <v>1509.6</v>
      </c>
      <c r="E427" s="117">
        <v>49.67</v>
      </c>
      <c r="F427" s="112">
        <v>1108.67</v>
      </c>
      <c r="G427" s="117">
        <v>6.2</v>
      </c>
      <c r="H427" s="112">
        <v>74652.36</v>
      </c>
      <c r="I427" s="104">
        <v>910.09</v>
      </c>
      <c r="J427" s="104">
        <v>33349.22</v>
      </c>
      <c r="K427" s="117">
        <v>105.96</v>
      </c>
      <c r="L427" s="112">
        <v>6058.77</v>
      </c>
      <c r="M427" s="104">
        <v>18.98</v>
      </c>
      <c r="N427" s="104">
        <v>33617.800000000003</v>
      </c>
      <c r="O427" s="104">
        <v>29.3</v>
      </c>
      <c r="P427" s="104">
        <v>707.69</v>
      </c>
      <c r="Q427" s="104">
        <v>761.94</v>
      </c>
      <c r="R427" s="104">
        <v>10431.86</v>
      </c>
      <c r="S427" s="104">
        <v>9.0399999999999991</v>
      </c>
      <c r="T427" s="104">
        <v>36646</v>
      </c>
      <c r="U427" s="104">
        <v>69</v>
      </c>
      <c r="V427" s="104">
        <v>479.51</v>
      </c>
      <c r="W427" s="104">
        <v>0.17</v>
      </c>
      <c r="X427" s="104">
        <v>7229.99</v>
      </c>
      <c r="Y427" s="104">
        <v>0</v>
      </c>
      <c r="Z427" s="104"/>
      <c r="AA427" s="117"/>
      <c r="AB427" s="104">
        <v>152.68</v>
      </c>
      <c r="AC427" s="113">
        <v>0.16</v>
      </c>
      <c r="AD427" s="104"/>
      <c r="AE427" s="113"/>
    </row>
    <row r="428" spans="1:31" ht="15" x14ac:dyDescent="0.2">
      <c r="A428" s="103">
        <f>A425+1</f>
        <v>45706</v>
      </c>
      <c r="B428" s="103" t="s">
        <v>147</v>
      </c>
      <c r="C428" s="111"/>
      <c r="D428" s="112">
        <v>1513.1</v>
      </c>
      <c r="E428" s="117">
        <v>49.67</v>
      </c>
      <c r="F428" s="112">
        <v>1108.67</v>
      </c>
      <c r="G428" s="117">
        <v>6.2</v>
      </c>
      <c r="H428" s="112">
        <v>74660.78</v>
      </c>
      <c r="I428" s="104">
        <v>910.09</v>
      </c>
      <c r="J428" s="104">
        <v>33350.35</v>
      </c>
      <c r="K428" s="117">
        <v>106.2</v>
      </c>
      <c r="L428" s="112">
        <v>6064.43</v>
      </c>
      <c r="M428" s="104">
        <v>18.98</v>
      </c>
      <c r="N428" s="104">
        <v>33621.599999999999</v>
      </c>
      <c r="O428" s="104">
        <v>29.3</v>
      </c>
      <c r="P428" s="104">
        <v>707.81</v>
      </c>
      <c r="Q428" s="104">
        <v>762.81</v>
      </c>
      <c r="R428" s="104">
        <v>10434.959999999999</v>
      </c>
      <c r="S428" s="104">
        <v>9.0399999999999991</v>
      </c>
      <c r="T428" s="104">
        <v>36653</v>
      </c>
      <c r="U428" s="104">
        <v>69</v>
      </c>
      <c r="V428" s="104">
        <v>486.9</v>
      </c>
      <c r="W428" s="104">
        <v>0.17</v>
      </c>
      <c r="X428" s="104">
        <v>7236.29</v>
      </c>
      <c r="Y428" s="104">
        <v>0</v>
      </c>
      <c r="Z428" s="104"/>
      <c r="AA428" s="117"/>
      <c r="AB428" s="104">
        <v>152.68</v>
      </c>
      <c r="AC428" s="113">
        <v>0.16</v>
      </c>
      <c r="AD428" s="104"/>
      <c r="AE428" s="113"/>
    </row>
    <row r="430" spans="1:31" ht="15" x14ac:dyDescent="0.2">
      <c r="A430" s="103">
        <f>A427+1</f>
        <v>45707</v>
      </c>
      <c r="B430" s="103" t="s">
        <v>319</v>
      </c>
      <c r="C430" s="111"/>
      <c r="D430" s="112">
        <v>1518.48</v>
      </c>
      <c r="E430" s="117">
        <v>49.67</v>
      </c>
      <c r="F430" s="112">
        <v>1108.67</v>
      </c>
      <c r="G430" s="117">
        <v>6.2</v>
      </c>
      <c r="H430" s="112">
        <v>74668.800000000003</v>
      </c>
      <c r="I430" s="104">
        <v>910.09</v>
      </c>
      <c r="J430" s="104">
        <v>33353.49</v>
      </c>
      <c r="K430" s="117">
        <v>106.03</v>
      </c>
      <c r="L430" s="112">
        <v>6069.46</v>
      </c>
      <c r="M430" s="104">
        <v>18.98</v>
      </c>
      <c r="N430" s="104">
        <v>33627.1</v>
      </c>
      <c r="O430" s="104">
        <v>29.3</v>
      </c>
      <c r="P430" s="104">
        <v>708.02</v>
      </c>
      <c r="Q430" s="104">
        <v>763.88</v>
      </c>
      <c r="R430" s="104">
        <v>10438.17</v>
      </c>
      <c r="S430" s="104">
        <v>9.0399999999999991</v>
      </c>
      <c r="T430" s="104">
        <v>36660</v>
      </c>
      <c r="U430" s="104">
        <v>69</v>
      </c>
      <c r="V430" s="104">
        <v>495.58100000000002</v>
      </c>
      <c r="W430" s="104">
        <v>0.17</v>
      </c>
      <c r="X430" s="104">
        <v>7243.55</v>
      </c>
      <c r="Y430" s="104">
        <v>0</v>
      </c>
      <c r="Z430" s="104"/>
      <c r="AA430" s="117"/>
      <c r="AB430" s="104">
        <v>152.68</v>
      </c>
      <c r="AC430" s="113">
        <v>0.16</v>
      </c>
      <c r="AD430" s="104"/>
      <c r="AE430" s="113"/>
    </row>
    <row r="431" spans="1:31" ht="15" x14ac:dyDescent="0.2">
      <c r="A431" s="103">
        <f>A428+1</f>
        <v>45707</v>
      </c>
      <c r="B431" s="103" t="s">
        <v>147</v>
      </c>
      <c r="C431" s="111"/>
      <c r="D431" s="112">
        <v>1521.94</v>
      </c>
      <c r="E431" s="117">
        <v>49.67</v>
      </c>
      <c r="F431" s="112">
        <v>1108.67</v>
      </c>
      <c r="G431" s="117">
        <v>6.2</v>
      </c>
      <c r="H431" s="112">
        <v>74677.3</v>
      </c>
      <c r="I431" s="104">
        <v>910.09</v>
      </c>
      <c r="J431" s="104">
        <v>33354.92</v>
      </c>
      <c r="K431" s="117">
        <v>106.07</v>
      </c>
      <c r="L431" s="112">
        <v>6074.72</v>
      </c>
      <c r="M431" s="104">
        <v>18.98</v>
      </c>
      <c r="N431" s="104">
        <v>33631.1</v>
      </c>
      <c r="O431" s="104">
        <v>29.3</v>
      </c>
      <c r="P431" s="104">
        <v>708.08</v>
      </c>
      <c r="Q431" s="104">
        <v>765.07</v>
      </c>
      <c r="R431" s="104">
        <v>10441.67</v>
      </c>
      <c r="S431" s="104">
        <v>9.0399999999999991</v>
      </c>
      <c r="T431" s="104">
        <v>36667</v>
      </c>
      <c r="U431" s="104">
        <v>69</v>
      </c>
      <c r="V431" s="104">
        <v>502.88</v>
      </c>
      <c r="W431" s="104">
        <v>0.17</v>
      </c>
      <c r="X431" s="104">
        <v>7249.6</v>
      </c>
      <c r="Y431" s="104">
        <v>0</v>
      </c>
      <c r="Z431" s="104"/>
      <c r="AA431" s="117"/>
      <c r="AB431" s="104">
        <v>152.68</v>
      </c>
      <c r="AC431" s="113">
        <v>0.16</v>
      </c>
      <c r="AD431" s="104"/>
      <c r="AE431" s="113"/>
    </row>
    <row r="433" spans="1:31" ht="15" x14ac:dyDescent="0.2">
      <c r="A433" s="103">
        <f>A430+1</f>
        <v>45708</v>
      </c>
      <c r="B433" s="103" t="s">
        <v>319</v>
      </c>
      <c r="C433" s="111"/>
      <c r="D433" s="112">
        <v>1526.4</v>
      </c>
      <c r="E433" s="117">
        <v>49.67</v>
      </c>
      <c r="F433" s="112">
        <v>1108.67</v>
      </c>
      <c r="G433" s="117">
        <v>6.2</v>
      </c>
      <c r="H433" s="112">
        <v>74684.91</v>
      </c>
      <c r="I433" s="104">
        <v>910.15</v>
      </c>
      <c r="J433" s="104">
        <v>33358.519999999997</v>
      </c>
      <c r="K433" s="117">
        <v>106.08</v>
      </c>
      <c r="L433" s="112">
        <v>6080.46</v>
      </c>
      <c r="M433" s="104">
        <v>18.98</v>
      </c>
      <c r="N433" s="104">
        <v>33368.5</v>
      </c>
      <c r="O433" s="104">
        <v>29.3</v>
      </c>
      <c r="P433" s="104">
        <v>708.08</v>
      </c>
      <c r="Q433" s="104">
        <v>766.3</v>
      </c>
      <c r="R433" s="104">
        <v>10445.83</v>
      </c>
      <c r="S433" s="104">
        <v>9.0399999999999991</v>
      </c>
      <c r="T433" s="104">
        <v>36674</v>
      </c>
      <c r="U433" s="104">
        <v>69</v>
      </c>
      <c r="V433" s="104">
        <v>509.46</v>
      </c>
      <c r="W433" s="104">
        <v>0.17</v>
      </c>
      <c r="X433" s="104">
        <v>7256.62</v>
      </c>
      <c r="Y433" s="104">
        <v>0</v>
      </c>
      <c r="Z433" s="104"/>
      <c r="AA433" s="117"/>
      <c r="AB433" s="104">
        <v>152.68</v>
      </c>
      <c r="AC433" s="113">
        <v>0.16</v>
      </c>
      <c r="AD433" s="104"/>
      <c r="AE433" s="113"/>
    </row>
    <row r="434" spans="1:31" ht="15" x14ac:dyDescent="0.2">
      <c r="A434" s="103">
        <f>A431+1</f>
        <v>45708</v>
      </c>
      <c r="B434" s="103" t="s">
        <v>147</v>
      </c>
      <c r="C434" s="111"/>
      <c r="D434" s="112">
        <v>1529.88</v>
      </c>
      <c r="E434" s="117">
        <v>49.67</v>
      </c>
      <c r="F434" s="112">
        <v>1108.67</v>
      </c>
      <c r="G434" s="117">
        <v>6.2</v>
      </c>
      <c r="H434" s="112">
        <v>74690.94</v>
      </c>
      <c r="I434" s="104">
        <v>910.15</v>
      </c>
      <c r="J434" s="104">
        <v>33358.99</v>
      </c>
      <c r="K434" s="117">
        <v>106.13</v>
      </c>
      <c r="L434" s="112">
        <v>6086.03</v>
      </c>
      <c r="M434" s="104">
        <v>18.98</v>
      </c>
      <c r="N434" s="104">
        <v>33642.6</v>
      </c>
      <c r="O434" s="104">
        <v>29.3</v>
      </c>
      <c r="P434" s="104">
        <v>708.62</v>
      </c>
      <c r="Q434" s="104">
        <v>767.24</v>
      </c>
      <c r="R434" s="104">
        <v>10449.42</v>
      </c>
      <c r="S434" s="104">
        <v>9.0399999999999991</v>
      </c>
      <c r="T434" s="104">
        <v>36880</v>
      </c>
      <c r="U434" s="104">
        <v>69</v>
      </c>
      <c r="V434" s="104">
        <v>515.48</v>
      </c>
      <c r="W434" s="104">
        <v>0.17</v>
      </c>
      <c r="X434" s="104">
        <v>7262.84</v>
      </c>
      <c r="Y434" s="104">
        <v>0</v>
      </c>
      <c r="Z434" s="104"/>
      <c r="AA434" s="117"/>
      <c r="AB434" s="104">
        <v>152.68</v>
      </c>
      <c r="AC434" s="113">
        <v>0.16</v>
      </c>
      <c r="AD434" s="104"/>
      <c r="AE434" s="113"/>
    </row>
  </sheetData>
  <mergeCells count="18">
    <mergeCell ref="Z2:AA2"/>
    <mergeCell ref="P2:Q2"/>
    <mergeCell ref="T2:U2"/>
    <mergeCell ref="AD2:AE2"/>
    <mergeCell ref="L1:AE1"/>
    <mergeCell ref="V2:W2"/>
    <mergeCell ref="X2:Y2"/>
    <mergeCell ref="R2:S2"/>
    <mergeCell ref="AB2:AC2"/>
    <mergeCell ref="L2:M2"/>
    <mergeCell ref="N2:O2"/>
    <mergeCell ref="A1:A3"/>
    <mergeCell ref="B1:B3"/>
    <mergeCell ref="H2:I2"/>
    <mergeCell ref="J2:K2"/>
    <mergeCell ref="H1:K1"/>
    <mergeCell ref="D1:E2"/>
    <mergeCell ref="F1:G2"/>
  </mergeCells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zoomScale="80" zoomScaleNormal="80" workbookViewId="0">
      <selection activeCell="V43" sqref="V43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80" customWidth="1"/>
    <col min="5" max="5" width="15.28515625" customWidth="1"/>
    <col min="6" max="6" width="14" style="80" customWidth="1"/>
    <col min="7" max="7" width="10.28515625" style="80" customWidth="1"/>
    <col min="8" max="8" width="8.28515625" style="80" customWidth="1"/>
    <col min="9" max="9" width="12.140625" style="80" customWidth="1"/>
    <col min="10" max="15" width="11.42578125" style="80" hidden="1" customWidth="1"/>
    <col min="16" max="16" width="11.7109375" style="80" bestFit="1" customWidth="1"/>
    <col min="17" max="17" width="8.7109375" style="80" bestFit="1" customWidth="1"/>
    <col min="18" max="18" width="12.28515625" style="80" customWidth="1"/>
    <col min="19" max="19" width="8.85546875" style="80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31"/>
      <c r="C2" s="131"/>
      <c r="D2" s="132"/>
      <c r="E2" s="131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</row>
    <row r="3" spans="1:37" ht="15" customHeight="1" x14ac:dyDescent="0.25">
      <c r="B3" s="131"/>
      <c r="C3" s="469" t="s">
        <v>328</v>
      </c>
      <c r="D3" s="469" t="s">
        <v>329</v>
      </c>
      <c r="E3" s="473" t="s">
        <v>330</v>
      </c>
      <c r="F3" s="470" t="s">
        <v>331</v>
      </c>
      <c r="G3" s="470" t="s">
        <v>332</v>
      </c>
      <c r="H3" s="470" t="s">
        <v>333</v>
      </c>
      <c r="I3" s="496" t="s">
        <v>334</v>
      </c>
      <c r="J3" s="496" t="s">
        <v>335</v>
      </c>
      <c r="K3" s="505"/>
      <c r="L3" s="496" t="s">
        <v>336</v>
      </c>
      <c r="M3" s="505"/>
      <c r="N3" s="469" t="s">
        <v>337</v>
      </c>
      <c r="O3" s="469"/>
      <c r="P3" s="508" t="s">
        <v>338</v>
      </c>
      <c r="Q3" s="485"/>
      <c r="R3" s="484" t="s">
        <v>339</v>
      </c>
      <c r="S3" s="485"/>
      <c r="T3" s="495" t="s">
        <v>340</v>
      </c>
      <c r="U3" s="490" t="s">
        <v>341</v>
      </c>
      <c r="V3" s="493" t="s">
        <v>342</v>
      </c>
      <c r="W3" s="490" t="s">
        <v>343</v>
      </c>
      <c r="X3" s="495" t="s">
        <v>344</v>
      </c>
      <c r="Y3" s="473" t="s">
        <v>345</v>
      </c>
      <c r="Z3" s="473" t="s">
        <v>346</v>
      </c>
      <c r="AA3" s="473" t="s">
        <v>347</v>
      </c>
      <c r="AB3" s="131"/>
      <c r="AC3" s="131"/>
      <c r="AD3" s="131"/>
      <c r="AE3" s="156"/>
      <c r="AF3" s="474" t="s">
        <v>89</v>
      </c>
      <c r="AG3" s="476">
        <f ca="1">TODAY()</f>
        <v>45708</v>
      </c>
      <c r="AH3" s="477"/>
      <c r="AI3" s="131"/>
    </row>
    <row r="4" spans="1:37" ht="15" customHeight="1" x14ac:dyDescent="0.3">
      <c r="B4" s="131"/>
      <c r="C4" s="469"/>
      <c r="D4" s="469"/>
      <c r="E4" s="469"/>
      <c r="F4" s="471"/>
      <c r="G4" s="471"/>
      <c r="H4" s="471"/>
      <c r="I4" s="497"/>
      <c r="J4" s="497"/>
      <c r="K4" s="506"/>
      <c r="L4" s="497"/>
      <c r="M4" s="506"/>
      <c r="N4" s="469"/>
      <c r="O4" s="469"/>
      <c r="P4" s="509"/>
      <c r="Q4" s="487"/>
      <c r="R4" s="486"/>
      <c r="S4" s="487"/>
      <c r="T4" s="471"/>
      <c r="U4" s="491"/>
      <c r="V4" s="494"/>
      <c r="W4" s="491"/>
      <c r="X4" s="471"/>
      <c r="Y4" s="469"/>
      <c r="Z4" s="469"/>
      <c r="AA4" s="469"/>
      <c r="AB4" s="131"/>
      <c r="AC4" s="131"/>
      <c r="AD4" s="131"/>
      <c r="AE4" s="165" t="s">
        <v>348</v>
      </c>
      <c r="AF4" s="475"/>
      <c r="AG4" s="478"/>
      <c r="AH4" s="479"/>
      <c r="AI4" s="131"/>
    </row>
    <row r="5" spans="1:37" ht="15" customHeight="1" x14ac:dyDescent="0.25">
      <c r="B5" s="131"/>
      <c r="C5" s="469"/>
      <c r="D5" s="469"/>
      <c r="E5" s="469"/>
      <c r="F5" s="471"/>
      <c r="G5" s="471"/>
      <c r="H5" s="471"/>
      <c r="I5" s="497"/>
      <c r="J5" s="498"/>
      <c r="K5" s="507"/>
      <c r="L5" s="498"/>
      <c r="M5" s="507"/>
      <c r="N5" s="469"/>
      <c r="O5" s="469"/>
      <c r="P5" s="510"/>
      <c r="Q5" s="489"/>
      <c r="R5" s="488"/>
      <c r="S5" s="489"/>
      <c r="T5" s="471"/>
      <c r="U5" s="491"/>
      <c r="V5" s="494"/>
      <c r="W5" s="491"/>
      <c r="X5" s="471"/>
      <c r="Y5" s="469"/>
      <c r="Z5" s="469"/>
      <c r="AA5" s="469"/>
      <c r="AB5" s="131"/>
      <c r="AC5" s="131"/>
      <c r="AD5" s="131"/>
      <c r="AE5" s="156"/>
      <c r="AF5" s="474" t="s">
        <v>349</v>
      </c>
      <c r="AG5" s="480" t="str">
        <f ca="1">IF(_xlfn.NUMBERVALUE(TEXT(NOW(), "H")) &lt; 12,"0000h","1200h")</f>
        <v>1200h</v>
      </c>
      <c r="AH5" s="481"/>
      <c r="AI5" s="131"/>
      <c r="AJ5" s="76"/>
    </row>
    <row r="6" spans="1:37" x14ac:dyDescent="0.25">
      <c r="B6" s="131"/>
      <c r="C6" s="469"/>
      <c r="D6" s="469"/>
      <c r="E6" s="469"/>
      <c r="F6" s="472"/>
      <c r="G6" s="472"/>
      <c r="H6" s="472"/>
      <c r="I6" s="498"/>
      <c r="J6" s="154" t="s">
        <v>350</v>
      </c>
      <c r="K6" s="154" t="s">
        <v>351</v>
      </c>
      <c r="L6" s="154" t="s">
        <v>350</v>
      </c>
      <c r="M6" s="154" t="s">
        <v>351</v>
      </c>
      <c r="N6" s="154" t="s">
        <v>350</v>
      </c>
      <c r="O6" s="154" t="s">
        <v>351</v>
      </c>
      <c r="P6" s="175" t="s">
        <v>350</v>
      </c>
      <c r="Q6" s="154" t="s">
        <v>351</v>
      </c>
      <c r="R6" s="154" t="s">
        <v>350</v>
      </c>
      <c r="S6" s="154" t="s">
        <v>351</v>
      </c>
      <c r="T6" s="472"/>
      <c r="U6" s="492"/>
      <c r="V6" s="494"/>
      <c r="W6" s="492"/>
      <c r="X6" s="472"/>
      <c r="Y6" s="469"/>
      <c r="Z6" s="469"/>
      <c r="AA6" s="469"/>
      <c r="AB6" s="131"/>
      <c r="AC6" s="131"/>
      <c r="AD6" s="131"/>
      <c r="AE6" s="131"/>
      <c r="AF6" s="475"/>
      <c r="AG6" s="482"/>
      <c r="AH6" s="483"/>
      <c r="AI6" s="131"/>
      <c r="AK6" s="172"/>
    </row>
    <row r="7" spans="1:37" ht="8.1" customHeight="1" x14ac:dyDescent="0.25">
      <c r="A7" s="119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1"/>
      <c r="AC7" s="131"/>
      <c r="AD7" s="131"/>
      <c r="AE7" s="131"/>
      <c r="AF7" s="131"/>
      <c r="AG7" s="131"/>
      <c r="AH7" s="131"/>
      <c r="AI7" s="131"/>
    </row>
    <row r="8" spans="1:37" ht="15.75" thickBot="1" x14ac:dyDescent="0.3">
      <c r="A8" s="120"/>
      <c r="B8" s="133"/>
      <c r="C8" s="134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6"/>
      <c r="AB8" s="131"/>
      <c r="AC8" s="127"/>
      <c r="AD8" s="128"/>
      <c r="AE8" s="128"/>
      <c r="AF8" s="128"/>
      <c r="AG8" s="128"/>
      <c r="AH8" s="129"/>
      <c r="AI8" s="131"/>
    </row>
    <row r="9" spans="1:37" ht="19.899999999999999" customHeight="1" x14ac:dyDescent="0.25">
      <c r="A9" s="120"/>
      <c r="B9" s="131"/>
      <c r="C9" s="150" t="s">
        <v>352</v>
      </c>
      <c r="D9" s="184">
        <f>11896</f>
        <v>11896</v>
      </c>
      <c r="E9" s="184">
        <f>D9*11+(20*24*24)</f>
        <v>142376</v>
      </c>
      <c r="F9" s="147">
        <v>45651</v>
      </c>
      <c r="G9" s="148" t="s">
        <v>147</v>
      </c>
      <c r="H9" s="185">
        <f ca="1" xml:space="preserve"> NOW() - (F9 + TIME(LEFT($G$9, 2), MID($G$9, 3, 2), 0))</f>
        <v>57.34139826388855</v>
      </c>
      <c r="I9" s="186">
        <f ca="1">((DATE(YEAR(F9),MONTH(F9)+1,25)) + TIME(LEFT("1200H", 2), MID("1200H", 3, 2), 0)) - ($AG$3 + TIME(LEFT(NOW(), 2), MID(NOW(), 3, 2), 0))</f>
        <v>-26.423611111109494</v>
      </c>
      <c r="J9" s="192"/>
      <c r="K9" s="192"/>
      <c r="L9" s="192"/>
      <c r="M9" s="192"/>
      <c r="N9" s="181"/>
      <c r="O9" s="181"/>
      <c r="P9" s="193">
        <f>INDEX(BILLING!$D:$D,MATCH($F9&amp;" "&amp;$G9,BILLING!$C:$C,0))</f>
        <v>1016.42</v>
      </c>
      <c r="Q9" s="193">
        <f>INDEX(BILLING!$E:$E,MATCH($F9&amp;" "&amp;$G9,BILLING!$C:$C,0))</f>
        <v>49.63</v>
      </c>
      <c r="R9" s="193">
        <f>INDEX(BILLING!$F:$F,MATCH($F9&amp;" "&amp;$G9,BILLING!$C:$C,0))</f>
        <v>1108.67</v>
      </c>
      <c r="S9" s="193">
        <f>INDEX(BILLING!$G:$G,MATCH($F9&amp;" "&amp;$G9,BILLING!$C:$C,0))</f>
        <v>6.2</v>
      </c>
      <c r="T9" s="187">
        <f>D9/30/24</f>
        <v>16.522222222222222</v>
      </c>
      <c r="U9" s="188" cm="1">
        <f t="array" aca="1" ref="U9" ca="1">INDIRECT(TEXT(DAY(TODAY()),"0")&amp;"!AI12")</f>
        <v>342.4</v>
      </c>
      <c r="V9" s="217" t="e">
        <f ca="1">AA9+U9</f>
        <v>#N/A</v>
      </c>
      <c r="W9" s="189" t="e">
        <f ca="1">V9/H9/24</f>
        <v>#N/A</v>
      </c>
      <c r="X9" s="190" t="e">
        <f ca="1">AA9/H9/24</f>
        <v>#N/A</v>
      </c>
      <c r="Y9" s="192"/>
      <c r="Z9" s="192"/>
      <c r="AA9" s="149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1"/>
      <c r="AC9" s="130" t="s">
        <v>353</v>
      </c>
      <c r="AD9" s="499" t="e">
        <f ca="1">$AA$9/$E$9</f>
        <v>#N/A</v>
      </c>
      <c r="AE9" s="500"/>
      <c r="AF9" s="500"/>
      <c r="AG9" s="501"/>
      <c r="AH9" s="123"/>
      <c r="AI9" s="131"/>
    </row>
    <row r="10" spans="1:37" ht="15.75" thickBot="1" x14ac:dyDescent="0.3">
      <c r="B10" s="131"/>
      <c r="C10" s="130"/>
      <c r="D10" s="137"/>
      <c r="E10" s="137"/>
      <c r="F10" s="137"/>
      <c r="G10" s="137"/>
      <c r="H10" s="137"/>
      <c r="I10" s="201"/>
      <c r="J10" s="201"/>
      <c r="K10" s="201"/>
      <c r="L10" s="201"/>
      <c r="M10" s="201"/>
      <c r="N10" s="201"/>
      <c r="O10" s="201"/>
      <c r="P10" s="184"/>
      <c r="Q10" s="184"/>
      <c r="R10" s="184"/>
      <c r="S10" s="184"/>
      <c r="T10" s="191"/>
      <c r="U10" s="137"/>
      <c r="V10" s="137"/>
      <c r="W10" s="137"/>
      <c r="X10" s="191"/>
      <c r="Y10" s="137"/>
      <c r="Z10" s="137"/>
      <c r="AA10" s="138"/>
      <c r="AB10" s="131"/>
      <c r="AC10" s="130"/>
      <c r="AD10" s="502"/>
      <c r="AE10" s="503"/>
      <c r="AF10" s="503"/>
      <c r="AG10" s="504"/>
      <c r="AH10" s="123"/>
      <c r="AI10" s="131"/>
    </row>
    <row r="11" spans="1:37" ht="8.1" customHeight="1" thickBot="1" x14ac:dyDescent="0.3">
      <c r="B11" s="131"/>
      <c r="C11" s="130"/>
      <c r="D11" s="137"/>
      <c r="E11" s="137"/>
      <c r="F11" s="137"/>
      <c r="G11" s="137"/>
      <c r="H11" s="137"/>
      <c r="I11" s="201"/>
      <c r="J11" s="201"/>
      <c r="K11" s="201"/>
      <c r="L11" s="201"/>
      <c r="M11" s="201"/>
      <c r="N11" s="201"/>
      <c r="O11" s="201"/>
      <c r="P11" s="184"/>
      <c r="Q11" s="184"/>
      <c r="R11" s="184"/>
      <c r="S11" s="184"/>
      <c r="T11" s="191"/>
      <c r="U11" s="137"/>
      <c r="V11" s="137"/>
      <c r="W11" s="137"/>
      <c r="X11" s="191"/>
      <c r="Y11" s="137"/>
      <c r="Z11" s="137"/>
      <c r="AA11" s="138"/>
      <c r="AB11" s="131"/>
      <c r="AC11" s="130"/>
      <c r="AD11" s="122"/>
      <c r="AE11" s="122"/>
      <c r="AF11" s="122"/>
      <c r="AG11" s="122"/>
      <c r="AH11" s="123"/>
      <c r="AI11" s="131"/>
    </row>
    <row r="12" spans="1:37" x14ac:dyDescent="0.25">
      <c r="B12" s="131"/>
      <c r="C12" s="130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84"/>
      <c r="S12" s="184"/>
      <c r="T12" s="191"/>
      <c r="U12" s="188"/>
      <c r="V12" s="188"/>
      <c r="W12" s="188"/>
      <c r="X12" s="191"/>
      <c r="Y12" s="182"/>
      <c r="Z12" s="182"/>
      <c r="AA12" s="182"/>
      <c r="AB12" s="131"/>
      <c r="AC12" s="130" t="s">
        <v>354</v>
      </c>
      <c r="AD12" s="499" t="e">
        <f ca="1">$AA$9/$D$9</f>
        <v>#N/A</v>
      </c>
      <c r="AE12" s="500"/>
      <c r="AF12" s="500"/>
      <c r="AG12" s="501"/>
      <c r="AH12" s="123"/>
      <c r="AI12" s="131"/>
    </row>
    <row r="13" spans="1:37" ht="15.75" thickBot="1" x14ac:dyDescent="0.3">
      <c r="B13" s="131"/>
      <c r="C13" s="130"/>
      <c r="D13" s="137"/>
      <c r="E13" s="137"/>
      <c r="F13" s="137"/>
      <c r="G13" s="137"/>
      <c r="H13" s="137"/>
      <c r="I13" s="195"/>
      <c r="J13" s="195"/>
      <c r="K13" s="195"/>
      <c r="L13" s="195"/>
      <c r="M13" s="195"/>
      <c r="N13" s="195"/>
      <c r="O13" s="195"/>
      <c r="P13" s="184"/>
      <c r="Q13" s="184"/>
      <c r="R13" s="184"/>
      <c r="S13" s="184"/>
      <c r="T13" s="191"/>
      <c r="U13" s="137"/>
      <c r="V13" s="137"/>
      <c r="W13" s="137"/>
      <c r="X13" s="191"/>
      <c r="Y13" s="137"/>
      <c r="Z13" s="137"/>
      <c r="AA13" s="138"/>
      <c r="AB13" s="131"/>
      <c r="AC13" s="121"/>
      <c r="AD13" s="502"/>
      <c r="AE13" s="503"/>
      <c r="AF13" s="503"/>
      <c r="AG13" s="504"/>
      <c r="AH13" s="123"/>
      <c r="AI13" s="131"/>
    </row>
    <row r="14" spans="1:37" x14ac:dyDescent="0.25">
      <c r="B14" s="131"/>
      <c r="C14" s="139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66"/>
      <c r="Q14" s="166"/>
      <c r="R14" s="166"/>
      <c r="S14" s="166"/>
      <c r="T14" s="161"/>
      <c r="U14" s="140"/>
      <c r="V14" s="140"/>
      <c r="W14" s="140"/>
      <c r="X14" s="161"/>
      <c r="Y14" s="140"/>
      <c r="Z14" s="140"/>
      <c r="AA14" s="141"/>
      <c r="AB14" s="131"/>
      <c r="AC14" s="124"/>
      <c r="AD14" s="125"/>
      <c r="AE14" s="125"/>
      <c r="AF14" s="125"/>
      <c r="AG14" s="125"/>
      <c r="AH14" s="126"/>
      <c r="AI14" s="131"/>
    </row>
    <row r="15" spans="1:37" ht="8.1" customHeight="1" x14ac:dyDescent="0.25">
      <c r="B15" s="131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67"/>
      <c r="Q15" s="167"/>
      <c r="R15" s="167"/>
      <c r="S15" s="167"/>
      <c r="T15" s="162"/>
      <c r="U15" s="132"/>
      <c r="V15" s="132"/>
      <c r="W15" s="132"/>
      <c r="X15" s="162"/>
      <c r="Y15" s="132"/>
      <c r="Z15" s="132"/>
      <c r="AA15" s="132"/>
      <c r="AB15" s="131"/>
      <c r="AC15" s="131"/>
      <c r="AD15" s="131"/>
      <c r="AE15" s="131"/>
      <c r="AF15" s="131"/>
      <c r="AG15" s="131"/>
      <c r="AH15" s="131"/>
      <c r="AI15" s="131"/>
    </row>
    <row r="16" spans="1:37" ht="15.75" thickBot="1" x14ac:dyDescent="0.3">
      <c r="B16" s="131"/>
      <c r="C16" s="134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68"/>
      <c r="Q16" s="168"/>
      <c r="R16" s="168"/>
      <c r="S16" s="168"/>
      <c r="T16" s="163"/>
      <c r="U16" s="142"/>
      <c r="V16" s="142"/>
      <c r="W16" s="142"/>
      <c r="X16" s="163"/>
      <c r="Y16" s="198"/>
      <c r="Z16" s="198"/>
      <c r="AA16" s="143"/>
      <c r="AB16" s="131"/>
      <c r="AC16" s="127"/>
      <c r="AD16" s="128"/>
      <c r="AE16" s="128"/>
      <c r="AF16" s="128"/>
      <c r="AG16" s="128"/>
      <c r="AH16" s="129"/>
      <c r="AI16" s="131"/>
    </row>
    <row r="17" spans="2:37" ht="19.899999999999999" customHeight="1" x14ac:dyDescent="0.25">
      <c r="B17" s="131"/>
      <c r="C17" s="150" t="s">
        <v>355</v>
      </c>
      <c r="D17" s="184">
        <f>3666666.67/1000</f>
        <v>3666.6666700000001</v>
      </c>
      <c r="E17" s="184">
        <f>D17*12</f>
        <v>44000.000039999999</v>
      </c>
      <c r="F17" s="147">
        <v>45651</v>
      </c>
      <c r="G17" s="148" t="s">
        <v>147</v>
      </c>
      <c r="H17" s="185">
        <f ca="1" xml:space="preserve"> NOW() - (F17 + TIME(LEFT($G$17, 2), MID($G$17, 3, 2), 0))</f>
        <v>57.34139826388855</v>
      </c>
      <c r="I17" s="186">
        <f ca="1">((DATE(YEAR(F17),MONTH(F17)+1,25)) + TIME(LEFT("1200H", 2), MID("1200H", 3, 2), 0)) - ($AG$3 + TIME(LEFT(NOW(), 2), MID(NOW(), 3, 2), 0))</f>
        <v>-26.423611111109494</v>
      </c>
      <c r="J17" s="158"/>
      <c r="K17" s="158"/>
      <c r="L17" s="158"/>
      <c r="M17" s="158"/>
      <c r="N17" s="158"/>
      <c r="O17" s="158"/>
      <c r="P17" s="137"/>
      <c r="Q17" s="137"/>
      <c r="R17" s="137"/>
      <c r="S17" s="137"/>
      <c r="T17" s="187">
        <f>D17/30/24</f>
        <v>5.0925925972222226</v>
      </c>
      <c r="U17" s="188">
        <f ca="1">SUM(U20:U21)</f>
        <v>63.800000000000004</v>
      </c>
      <c r="V17" s="188" t="e">
        <f ca="1">AA17+U17</f>
        <v>#N/A</v>
      </c>
      <c r="W17" s="189" t="e">
        <f ca="1">V17/H17/24</f>
        <v>#N/A</v>
      </c>
      <c r="X17" s="190" t="e">
        <f ca="1">AA17/H17/24</f>
        <v>#N/A</v>
      </c>
      <c r="Y17" s="199"/>
      <c r="Z17" s="199" t="e">
        <f ca="1">Z20+Z21</f>
        <v>#N/A</v>
      </c>
      <c r="AA17" s="149" t="e">
        <f ca="1">AA20+AA21</f>
        <v>#N/A</v>
      </c>
      <c r="AB17" s="131"/>
      <c r="AC17" s="130" t="s">
        <v>353</v>
      </c>
      <c r="AD17" s="499" t="e">
        <f ca="1">$Z$17/$E$17</f>
        <v>#N/A</v>
      </c>
      <c r="AE17" s="500"/>
      <c r="AF17" s="500"/>
      <c r="AG17" s="501"/>
      <c r="AH17" s="123"/>
      <c r="AI17" s="131"/>
    </row>
    <row r="18" spans="2:37" ht="15.75" customHeight="1" thickBot="1" x14ac:dyDescent="0.3">
      <c r="B18" s="131"/>
      <c r="C18" s="130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 t="s">
        <v>356</v>
      </c>
      <c r="P18" s="184"/>
      <c r="Q18" s="184"/>
      <c r="R18" s="184"/>
      <c r="S18" s="184"/>
      <c r="T18" s="191"/>
      <c r="U18" s="137"/>
      <c r="V18" s="137"/>
      <c r="W18" s="137"/>
      <c r="X18" s="191"/>
      <c r="Y18" s="137"/>
      <c r="Z18" s="137"/>
      <c r="AA18" s="138"/>
      <c r="AB18" s="131"/>
      <c r="AC18" s="130"/>
      <c r="AD18" s="502"/>
      <c r="AE18" s="503"/>
      <c r="AF18" s="503"/>
      <c r="AG18" s="504"/>
      <c r="AH18" s="123"/>
      <c r="AI18" s="131"/>
    </row>
    <row r="19" spans="2:37" ht="8.1" customHeight="1" thickBot="1" x14ac:dyDescent="0.3">
      <c r="B19" s="131"/>
      <c r="C19" s="130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84"/>
      <c r="Q19" s="184"/>
      <c r="R19" s="184"/>
      <c r="S19" s="184"/>
      <c r="T19" s="191"/>
      <c r="U19" s="137"/>
      <c r="V19" s="137"/>
      <c r="W19" s="137"/>
      <c r="X19" s="191"/>
      <c r="Y19" s="137"/>
      <c r="Z19" s="137"/>
      <c r="AA19" s="138"/>
      <c r="AB19" s="131"/>
      <c r="AC19" s="130"/>
      <c r="AD19" s="122"/>
      <c r="AE19" s="122"/>
      <c r="AF19" s="122"/>
      <c r="AG19" s="122"/>
      <c r="AH19" s="123"/>
      <c r="AI19" s="131"/>
    </row>
    <row r="20" spans="2:37" ht="15" customHeight="1" x14ac:dyDescent="0.25">
      <c r="B20" s="131"/>
      <c r="C20" s="130" t="s">
        <v>107</v>
      </c>
      <c r="D20" s="137"/>
      <c r="E20" s="137"/>
      <c r="F20" s="195"/>
      <c r="G20" s="196"/>
      <c r="H20" s="197"/>
      <c r="I20" s="197"/>
      <c r="J20" s="192">
        <v>68569.179999999993</v>
      </c>
      <c r="K20" s="192">
        <v>849.34</v>
      </c>
      <c r="L20" s="192">
        <v>68569.179999999993</v>
      </c>
      <c r="M20" s="192">
        <v>849.34</v>
      </c>
      <c r="N20" s="181"/>
      <c r="O20" s="181"/>
      <c r="P20" s="193"/>
      <c r="Q20" s="193"/>
      <c r="R20" s="193">
        <f>INDEX(BILLING!$H:$H,MATCH($F17&amp;" "&amp;$G17,BILLING!$C:$C,0))</f>
        <v>73885.84</v>
      </c>
      <c r="S20" s="193">
        <f>INDEX(BILLING!$I:$I,MATCH($F17&amp;" "&amp;$G17,BILLING!$C:$C,0))</f>
        <v>899.96</v>
      </c>
      <c r="T20" s="191"/>
      <c r="U20" s="188" cm="1">
        <f t="array" aca="1" ref="U20" ca="1">INDIRECT(TEXT(DAY(TODAY()),"0")&amp;"!AI18")</f>
        <v>28.1</v>
      </c>
      <c r="V20" s="188"/>
      <c r="W20" s="188"/>
      <c r="X20" s="191"/>
      <c r="Y20" s="182"/>
      <c r="Z20" s="182" t="e">
        <f ca="1">(((((INDEX(BILLING!$H:$H,MATCH($AG$3&amp;" "&amp;$AG$5,BILLING!$C:$C,0))-L20)*$D$58)-
((INDEX(BILLING!$I:$I,MATCH($AG$3&amp;" "&amp;$AG$5,BILLING!$C:$C,0))-M20)*$D$58))))/1000</f>
        <v>#N/A</v>
      </c>
      <c r="AA20" s="149" t="e">
        <f ca="1">(((((INDEX(BILLING!$H:$H,MATCH($AG$3&amp;" "&amp;$AG$5,BILLING!$C:$C,0))-R20)*$D$58)-
((INDEX(BILLING!$I:$I,MATCH($AG$3&amp;" "&amp;$AG$5,BILLING!$C:$C,0))-S20)*$D$58))))/1000</f>
        <v>#N/A</v>
      </c>
      <c r="AB20" s="131"/>
      <c r="AC20" s="130" t="s">
        <v>354</v>
      </c>
      <c r="AD20" s="499" t="e">
        <f ca="1">$AA$17/$D$17</f>
        <v>#N/A</v>
      </c>
      <c r="AE20" s="500"/>
      <c r="AF20" s="500"/>
      <c r="AG20" s="501"/>
      <c r="AH20" s="123"/>
      <c r="AI20" s="131"/>
    </row>
    <row r="21" spans="2:37" ht="15.75" customHeight="1" thickBot="1" x14ac:dyDescent="0.3">
      <c r="B21" s="131"/>
      <c r="C21" s="130" t="s">
        <v>108</v>
      </c>
      <c r="D21" s="137"/>
      <c r="E21" s="137"/>
      <c r="F21" s="195"/>
      <c r="G21" s="196"/>
      <c r="H21" s="197"/>
      <c r="I21" s="197"/>
      <c r="J21" s="192">
        <v>31088.45</v>
      </c>
      <c r="K21" s="192">
        <v>90.39</v>
      </c>
      <c r="L21" s="192">
        <v>31088.45</v>
      </c>
      <c r="M21" s="192">
        <v>90.39</v>
      </c>
      <c r="N21" s="181"/>
      <c r="O21" s="181"/>
      <c r="P21" s="193"/>
      <c r="Q21" s="193"/>
      <c r="R21" s="193">
        <f>INDEX(BILLING!$J:$J,MATCH($F17&amp;" "&amp;$G17,BILLING!$C:$C,0))</f>
        <v>33067.83</v>
      </c>
      <c r="S21" s="193">
        <f>INDEX(BILLING!$K:$K,MATCH($F17&amp;" "&amp;$G17,BILLING!$C:$C,0))</f>
        <v>103.43</v>
      </c>
      <c r="T21" s="191"/>
      <c r="U21" s="188" cm="1">
        <f t="array" aca="1" ref="U21" ca="1">INDIRECT(TEXT(DAY(TODAY()),"0")&amp;"!AI23")</f>
        <v>35.700000000000003</v>
      </c>
      <c r="V21" s="188"/>
      <c r="W21" s="188"/>
      <c r="X21" s="191"/>
      <c r="Y21" s="182"/>
      <c r="Z21" s="182" t="e">
        <f ca="1">(((((INDEX(BILLING!$J:$J,MATCH($AG$3&amp;" "&amp;$AG$5,BILLING!$C:$C,0))-L21)*$D$59)-
((INDEX(BILLING!$K:$K,MATCH($AG$3&amp;" "&amp;$AG$5,BILLING!$C:$C,0))-M21)*$D$59))))/1000</f>
        <v>#N/A</v>
      </c>
      <c r="AA21" s="149" t="e">
        <f ca="1">(((((INDEX(BILLING!$J:$J,MATCH($AG$3&amp;" "&amp;$AG$5,BILLING!$C:$C,0))-R21)*$D$59)-
((INDEX(BILLING!$K:$K,MATCH($AG$3&amp;" "&amp;$AG$5,BILLING!$C:$C,0))-S21)*$D$59))))/1000</f>
        <v>#N/A</v>
      </c>
      <c r="AB21" s="131"/>
      <c r="AC21" s="130"/>
      <c r="AD21" s="502"/>
      <c r="AE21" s="503"/>
      <c r="AF21" s="503"/>
      <c r="AG21" s="504"/>
      <c r="AH21" s="123"/>
      <c r="AI21" s="131"/>
    </row>
    <row r="22" spans="2:37" x14ac:dyDescent="0.25">
      <c r="B22" s="131"/>
      <c r="C22" s="139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66"/>
      <c r="Q22" s="166"/>
      <c r="R22" s="166"/>
      <c r="S22" s="166"/>
      <c r="T22" s="161"/>
      <c r="U22" s="140"/>
      <c r="V22" s="140"/>
      <c r="W22" s="140"/>
      <c r="X22" s="161"/>
      <c r="Y22" s="140"/>
      <c r="Z22" s="140"/>
      <c r="AA22" s="141"/>
      <c r="AB22" s="131"/>
      <c r="AC22" s="124"/>
      <c r="AD22" s="125"/>
      <c r="AE22" s="125"/>
      <c r="AF22" s="125"/>
      <c r="AG22" s="125"/>
      <c r="AH22" s="126"/>
      <c r="AI22" s="131"/>
    </row>
    <row r="23" spans="2:37" ht="8.1" customHeight="1" x14ac:dyDescent="0.25">
      <c r="B23" s="131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69"/>
      <c r="Q23" s="169"/>
      <c r="R23" s="169"/>
      <c r="S23" s="169"/>
      <c r="T23" s="164"/>
      <c r="U23" s="144"/>
      <c r="V23" s="144"/>
      <c r="W23" s="144"/>
      <c r="X23" s="164"/>
      <c r="Y23" s="144"/>
      <c r="Z23" s="144"/>
      <c r="AA23" s="144"/>
      <c r="AB23" s="131"/>
      <c r="AC23" s="131"/>
      <c r="AD23" s="131"/>
      <c r="AE23" s="131"/>
      <c r="AF23" s="131"/>
      <c r="AG23" s="131"/>
      <c r="AH23" s="131"/>
      <c r="AI23" s="131"/>
    </row>
    <row r="24" spans="2:37" ht="15.75" thickBot="1" x14ac:dyDescent="0.3">
      <c r="B24" s="131"/>
      <c r="C24" s="134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68"/>
      <c r="Q24" s="168"/>
      <c r="R24" s="168"/>
      <c r="S24" s="168"/>
      <c r="T24" s="163"/>
      <c r="U24" s="142"/>
      <c r="V24" s="142"/>
      <c r="W24" s="142"/>
      <c r="X24" s="163"/>
      <c r="Y24" s="142"/>
      <c r="Z24" s="142"/>
      <c r="AA24" s="145"/>
      <c r="AB24" s="131"/>
      <c r="AC24" s="127"/>
      <c r="AD24" s="128"/>
      <c r="AE24" s="128"/>
      <c r="AF24" s="128"/>
      <c r="AG24" s="128"/>
      <c r="AH24" s="129"/>
      <c r="AI24" s="131"/>
    </row>
    <row r="25" spans="2:37" ht="19.899999999999999" customHeight="1" x14ac:dyDescent="0.25">
      <c r="B25" s="131"/>
      <c r="C25" s="150" t="s">
        <v>357</v>
      </c>
      <c r="D25" s="194">
        <f>E25/12</f>
        <v>15000</v>
      </c>
      <c r="E25" s="184">
        <v>180000</v>
      </c>
      <c r="F25" s="147">
        <v>45651</v>
      </c>
      <c r="G25" s="148" t="s">
        <v>147</v>
      </c>
      <c r="H25" s="185">
        <f ca="1" xml:space="preserve"> NOW() - (F25 + TIME(LEFT($G$25, 2), MID($G$25, 3, 2), 0))</f>
        <v>57.34139826388855</v>
      </c>
      <c r="I25" s="186">
        <f ca="1">((DATE(YEAR(F25),MONTH(F25)+1,25)) + TIME(LEFT("1200H", 2), MID("1200H", 3, 2), 0)) - ($AG$3 + TIME(LEFT(NOW(), 2), MID(NOW(), 3, 2), 0))</f>
        <v>-26.423611111109494</v>
      </c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7">
        <f>D25/30/24</f>
        <v>20.833333333333332</v>
      </c>
      <c r="U25" s="188">
        <f ca="1">SUM(U28:U31)</f>
        <v>150.6</v>
      </c>
      <c r="V25" s="188" t="e">
        <f ca="1">AA25+U25</f>
        <v>#N/A</v>
      </c>
      <c r="W25" s="189" t="e">
        <f ca="1">V25/H25/24</f>
        <v>#N/A</v>
      </c>
      <c r="X25" s="190" t="e">
        <f ca="1">AA25/H25/24</f>
        <v>#N/A</v>
      </c>
      <c r="Y25" s="199" t="e">
        <f ca="1">SUM(Y28:Y31)</f>
        <v>#N/A</v>
      </c>
      <c r="Z25" s="199" t="e">
        <f ca="1">SUM(Z28:Z31)</f>
        <v>#N/A</v>
      </c>
      <c r="AA25" s="149" t="e">
        <f ca="1">SUM(AA28:AA31)</f>
        <v>#N/A</v>
      </c>
      <c r="AB25" s="131"/>
      <c r="AC25" s="130" t="s">
        <v>353</v>
      </c>
      <c r="AD25" s="499" t="e">
        <f ca="1">Z25/$E$25</f>
        <v>#N/A</v>
      </c>
      <c r="AE25" s="500"/>
      <c r="AF25" s="500"/>
      <c r="AG25" s="501"/>
      <c r="AH25" s="123"/>
      <c r="AI25" s="131"/>
      <c r="AK25" s="204" t="e">
        <f ca="1">(E25-Z25)/67/24</f>
        <v>#N/A</v>
      </c>
    </row>
    <row r="26" spans="2:37" ht="15.75" customHeight="1" thickBot="1" x14ac:dyDescent="0.3">
      <c r="B26" s="131"/>
      <c r="C26" s="130" t="s">
        <v>358</v>
      </c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84"/>
      <c r="Q26" s="184"/>
      <c r="R26" s="184"/>
      <c r="S26" s="184"/>
      <c r="T26" s="191"/>
      <c r="U26" s="188"/>
      <c r="V26" s="137"/>
      <c r="W26" s="137"/>
      <c r="X26" s="191"/>
      <c r="Y26" s="137"/>
      <c r="Z26" s="137"/>
      <c r="AA26" s="138"/>
      <c r="AB26" s="131"/>
      <c r="AC26" s="130"/>
      <c r="AD26" s="502"/>
      <c r="AE26" s="503"/>
      <c r="AF26" s="503"/>
      <c r="AG26" s="504"/>
      <c r="AH26" s="123"/>
      <c r="AI26" s="131"/>
    </row>
    <row r="27" spans="2:37" ht="8.1" customHeight="1" thickBot="1" x14ac:dyDescent="0.3">
      <c r="B27" s="131"/>
      <c r="C27" s="130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84"/>
      <c r="Q27" s="184"/>
      <c r="R27" s="184"/>
      <c r="S27" s="184"/>
      <c r="T27" s="191"/>
      <c r="U27" s="188"/>
      <c r="V27" s="137"/>
      <c r="W27" s="137"/>
      <c r="X27" s="191"/>
      <c r="Y27" s="137"/>
      <c r="Z27" s="137"/>
      <c r="AA27" s="138"/>
      <c r="AB27" s="131"/>
      <c r="AC27" s="130"/>
      <c r="AD27" s="122"/>
      <c r="AE27" s="122"/>
      <c r="AF27" s="122"/>
      <c r="AG27" s="122"/>
      <c r="AH27" s="123"/>
      <c r="AI27" s="131"/>
    </row>
    <row r="28" spans="2:37" ht="15" customHeight="1" x14ac:dyDescent="0.25">
      <c r="B28" s="131"/>
      <c r="C28" s="130" t="s">
        <v>92</v>
      </c>
      <c r="D28" s="137"/>
      <c r="E28" s="137"/>
      <c r="F28" s="195"/>
      <c r="G28" s="196"/>
      <c r="H28" s="197"/>
      <c r="I28" s="197"/>
      <c r="J28" s="192">
        <v>29046.5</v>
      </c>
      <c r="K28" s="192">
        <v>25.1</v>
      </c>
      <c r="L28" s="192"/>
      <c r="M28" s="192"/>
      <c r="N28" s="192">
        <v>29305.9</v>
      </c>
      <c r="O28" s="192">
        <v>25.5</v>
      </c>
      <c r="P28" s="193">
        <f>INDEX(BILLING!$N:$N,MATCH($F25&amp;" "&amp;$G25,BILLING!$C:$C,0))</f>
        <v>33001.4</v>
      </c>
      <c r="Q28" s="193">
        <f>INDEX(BILLING!$O:$O,MATCH($F25&amp;" "&amp;$G25,BILLING!$C:$C,0))</f>
        <v>28.8</v>
      </c>
      <c r="R28" s="193"/>
      <c r="S28" s="193"/>
      <c r="T28" s="191"/>
      <c r="U28" s="188" cm="1">
        <f t="array" aca="1" ref="U28" ca="1">INDIRECT(TEXT(DAY(TODAY()),"0")&amp;"!AI26")</f>
        <v>122.5</v>
      </c>
      <c r="V28" s="188"/>
      <c r="W28" s="188"/>
      <c r="X28" s="191"/>
      <c r="Y28" s="182" t="e">
        <f ca="1">(((((INDEX(BILLING!$N:$N,MATCH($AG$3&amp;" "&amp;$AG$5,BILLING!$C:$C,0))-N28)*$D$57)-
((INDEX(BILLING!$O:$O,MATCH($AG$3&amp;" "&amp;$AG$5,BILLING!$C:$C,0))-O28)*$D$57))))/1000</f>
        <v>#N/A</v>
      </c>
      <c r="Z28" s="182" t="e">
        <f ca="1">(((((INDEX(BILLING!$N:$N,MATCH($AG$3&amp;" "&amp;$AG$5,BILLING!$C:$C,0))-J28)*$D$57)-
((INDEX(BILLING!$O:$O,MATCH($AG$3&amp;" "&amp;$AG$5,BILLING!$C:$C,0))-K28)*$D$57))))/1000</f>
        <v>#N/A</v>
      </c>
      <c r="AA28" s="149" t="e">
        <f ca="1">(((((INDEX(BILLING!$N:$N,MATCH($AG$3&amp;" "&amp;$AG$5,BILLING!$C:$C,0))-P28)*$D$57)-
((INDEX(BILLING!$O:$O,MATCH($AG$3&amp;" "&amp;$AG$5,BILLING!$C:$C,0))-Q28)*$D$57))))/1000</f>
        <v>#N/A</v>
      </c>
      <c r="AB28" s="131"/>
      <c r="AC28" s="130" t="s">
        <v>354</v>
      </c>
      <c r="AD28" s="499" t="e">
        <f ca="1">$AA$25/$D$25</f>
        <v>#N/A</v>
      </c>
      <c r="AE28" s="500"/>
      <c r="AF28" s="500"/>
      <c r="AG28" s="501"/>
      <c r="AH28" s="123"/>
      <c r="AI28" s="131"/>
    </row>
    <row r="29" spans="2:37" ht="15.75" customHeight="1" thickBot="1" x14ac:dyDescent="0.3">
      <c r="B29" s="131"/>
      <c r="C29" s="130" t="s">
        <v>93</v>
      </c>
      <c r="D29" s="137"/>
      <c r="E29" s="137"/>
      <c r="F29" s="195"/>
      <c r="G29" s="196"/>
      <c r="H29" s="197"/>
      <c r="I29" s="197"/>
      <c r="J29" s="192">
        <v>1672.56</v>
      </c>
      <c r="K29" s="192">
        <v>14.34</v>
      </c>
      <c r="L29" s="192"/>
      <c r="M29" s="192"/>
      <c r="N29" s="192">
        <v>1943.35</v>
      </c>
      <c r="O29" s="192">
        <v>14.34</v>
      </c>
      <c r="P29" s="193">
        <f>INDEX(BILLING!$L:$L,MATCH($F25&amp;" "&amp;$G25,BILLING!$C:$C,0))</f>
        <v>5638.25</v>
      </c>
      <c r="Q29" s="193">
        <f>INDEX(BILLING!$M:$M,MATCH($F25&amp;" "&amp;$G25,BILLING!$C:$C,0))</f>
        <v>15.78</v>
      </c>
      <c r="R29" s="193"/>
      <c r="S29" s="193"/>
      <c r="T29" s="191"/>
      <c r="U29" s="188" cm="1">
        <f t="array" aca="1" ref="U29" ca="1">INDIRECT(TEXT(DAY(TODAY()),"0")&amp;"!AI30")</f>
        <v>0</v>
      </c>
      <c r="V29" s="188"/>
      <c r="W29" s="188"/>
      <c r="X29" s="191"/>
      <c r="Y29" s="182" t="e">
        <f ca="1">(((((INDEX(BILLING!$L:$L,MATCH($AG$3&amp;" "&amp;$AG$5,BILLING!$C:$C,0))-N29)*$D$56)-
((INDEX(BILLING!$M:$M,MATCH($AG$3&amp;" "&amp;$AG$5,BILLING!$C:$C,0))-O29)*$D$56))))/1000</f>
        <v>#N/A</v>
      </c>
      <c r="Z29" s="182" t="e">
        <f ca="1">(((((INDEX(BILLING!$L:$L,MATCH($AG$3&amp;" "&amp;$AG$5,BILLING!$C:$C,0))-J29)*$D$56)-
((INDEX(BILLING!$M:$M,MATCH($AG$3&amp;" "&amp;$AG$5,BILLING!$C:$C,0))-K29)*$D$56))))/1000</f>
        <v>#N/A</v>
      </c>
      <c r="AA29" s="149" t="e">
        <f ca="1">(((((INDEX(BILLING!$L:$L,MATCH($AG$3&amp;" "&amp;$AG$5,BILLING!$C:$C,0))-P29)*$D$56)-
((INDEX(BILLING!$M:$M,MATCH($AG$3&amp;" "&amp;$AG$5,BILLING!$C:$C,0))-Q29)*$D$56))))/1000</f>
        <v>#N/A</v>
      </c>
      <c r="AB29" s="131"/>
      <c r="AC29" s="130"/>
      <c r="AD29" s="502"/>
      <c r="AE29" s="503"/>
      <c r="AF29" s="503"/>
      <c r="AG29" s="504"/>
      <c r="AH29" s="123"/>
      <c r="AI29" s="131"/>
    </row>
    <row r="30" spans="2:37" ht="15.75" customHeight="1" x14ac:dyDescent="0.35">
      <c r="B30" s="131"/>
      <c r="C30" s="130" t="s">
        <v>359</v>
      </c>
      <c r="D30" s="137"/>
      <c r="E30" s="137"/>
      <c r="F30" s="137"/>
      <c r="G30" s="137"/>
      <c r="H30" s="137"/>
      <c r="I30" s="137"/>
      <c r="J30" s="192"/>
      <c r="K30" s="192"/>
      <c r="L30" s="192"/>
      <c r="M30" s="192"/>
      <c r="N30" s="192">
        <v>0</v>
      </c>
      <c r="O30" s="192">
        <v>0</v>
      </c>
      <c r="P30" s="193"/>
      <c r="Q30" s="193"/>
      <c r="R30" s="193">
        <f>INDEX(BILLING!$V:$V,MATCH($F25&amp;" "&amp;$G25,BILLING!$C:$C,0))</f>
        <v>256.12</v>
      </c>
      <c r="S30" s="193">
        <f>INDEX(BILLING!$W:$W,MATCH($F25&amp;" "&amp;$G25,BILLING!$C:$C,0))</f>
        <v>0.15</v>
      </c>
      <c r="T30" s="191"/>
      <c r="U30" s="188" cm="1">
        <f t="array" aca="1" ref="U30" ca="1">INDIRECT(TEXT(DAY(TODAY()),"0")&amp;"!AI64")</f>
        <v>0</v>
      </c>
      <c r="V30" s="188"/>
      <c r="W30" s="188"/>
      <c r="X30" s="191"/>
      <c r="Y30" s="182" t="e">
        <f ca="1">(((((INDEX(BILLING!$V:$V,MATCH($AG$3&amp;" "&amp;$AG$5,BILLING!$C:$C,0))-N30)*$D$60)-
((INDEX(BILLING!$W:$W,MATCH($AG$3&amp;" "&amp;$AG$5,BILLING!$C:$C,0))-O30)*$D$60))))/1000</f>
        <v>#N/A</v>
      </c>
      <c r="Z30" s="182" t="e">
        <f ca="1">(((((INDEX(BILLING!$V:$V,MATCH($AG$3&amp;" "&amp;$AG$5,BILLING!$C:$C,0))-N30)*$D$60)-
((INDEX(BILLING!$W:$W,MATCH($AG$3&amp;" "&amp;$AG$5,BILLING!$C:$C,0))-O30)*$D$60))))/1000</f>
        <v>#N/A</v>
      </c>
      <c r="AA30" s="149" t="e">
        <f ca="1">(((((INDEX(BILLING!$V:$V,MATCH($AG$3&amp;" "&amp;$AG$5,BILLING!$C:$C,0))-R30)*$D$60)-
((INDEX(BILLING!$W:$W,MATCH($AG$3&amp;" "&amp;$AG$5,BILLING!$C:$C,0))-S30)*$D$60))))/1000</f>
        <v>#N/A</v>
      </c>
      <c r="AB30" s="131"/>
      <c r="AC30" s="130"/>
      <c r="AD30" s="159"/>
      <c r="AE30" s="159"/>
      <c r="AF30" s="159"/>
      <c r="AG30" s="159"/>
      <c r="AH30" s="123"/>
      <c r="AI30" s="131"/>
    </row>
    <row r="31" spans="2:37" ht="15.75" customHeight="1" x14ac:dyDescent="0.35">
      <c r="B31" s="131"/>
      <c r="C31" s="130" t="s">
        <v>95</v>
      </c>
      <c r="D31" s="137"/>
      <c r="E31" s="137"/>
      <c r="F31" s="137"/>
      <c r="G31" s="137"/>
      <c r="H31" s="137"/>
      <c r="I31" s="137"/>
      <c r="J31" s="192"/>
      <c r="K31" s="192"/>
      <c r="L31" s="192">
        <v>30968</v>
      </c>
      <c r="M31" s="192">
        <v>69</v>
      </c>
      <c r="N31" s="192">
        <v>31295</v>
      </c>
      <c r="O31" s="192">
        <v>69</v>
      </c>
      <c r="P31" s="193"/>
      <c r="Q31" s="193"/>
      <c r="R31" s="193">
        <f>INDEX(BILLING!$T:$T,MATCH($F25&amp;" "&amp;$G25,BILLING!$C:$C,0))</f>
        <v>35939</v>
      </c>
      <c r="S31" s="193">
        <f>INDEX(BILLING!$U:$U,MATCH($F25&amp;" "&amp;$G25,BILLING!$C:$C,0))</f>
        <v>69</v>
      </c>
      <c r="T31" s="191"/>
      <c r="U31" s="188" cm="1">
        <f t="array" aca="1" ref="U31" ca="1">INDIRECT(TEXT(DAY(TODAY()),"0")&amp;"!AI18")</f>
        <v>28.1</v>
      </c>
      <c r="V31" s="188"/>
      <c r="W31" s="188"/>
      <c r="X31" s="191"/>
      <c r="Y31" s="182" t="e">
        <f ca="1">(((((INDEX(BILLING!$T:$T,MATCH($AG$3&amp;" "&amp;$AG$5,BILLING!$C:$C,0))-N31)*$D$54)-
((INDEX(BILLING!$U:$U,MATCH($AG$3&amp;" "&amp;$AG$5,BILLING!$C:$C,0))-O31)*$D$54))))/1000</f>
        <v>#N/A</v>
      </c>
      <c r="Z31" s="182" t="e">
        <f ca="1">(((((INDEX(BILLING!$T:$T,MATCH($AG$3&amp;" "&amp;$AG$5,BILLING!$C:$C,0))-L31)*$D$54)-
((INDEX(BILLING!$U:$U,MATCH($AG$3&amp;" "&amp;$AG$5,BILLING!$C:$C,0))-M31)*$D$54))))/1000</f>
        <v>#N/A</v>
      </c>
      <c r="AA31" s="149" t="e">
        <f ca="1">(((((INDEX(BILLING!$T:$T,MATCH($AG$3&amp;" "&amp;$AG$5,BILLING!$C:$C,0))-R31)*$D$54)-
((INDEX(BILLING!$U:$U,MATCH($AG$3&amp;" "&amp;$AG$5,BILLING!$C:$C,0))-S31)*$D$54))))/1000</f>
        <v>#N/A</v>
      </c>
      <c r="AB31" s="131"/>
      <c r="AC31" s="130"/>
      <c r="AD31" s="159"/>
      <c r="AE31" s="159"/>
      <c r="AF31" s="159"/>
      <c r="AG31" s="159"/>
      <c r="AH31" s="123"/>
      <c r="AI31" s="131"/>
    </row>
    <row r="32" spans="2:37" ht="15.75" customHeight="1" x14ac:dyDescent="0.35">
      <c r="B32" s="131"/>
      <c r="C32" s="130" t="s">
        <v>315</v>
      </c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84"/>
      <c r="Q32" s="184"/>
      <c r="R32" s="193">
        <f>INDEX(BILLING!$Z:$Z,MATCH($F25&amp;" "&amp;$G25,BILLING!$C:$C,0))</f>
        <v>54159</v>
      </c>
      <c r="S32" s="193">
        <f>INDEX(BILLING!$AA:$AA,MATCH($F25&amp;" "&amp;$G25,BILLING!$C:$C,0))</f>
        <v>79</v>
      </c>
      <c r="T32" s="191"/>
      <c r="U32" s="188"/>
      <c r="V32" s="188"/>
      <c r="W32" s="188"/>
      <c r="X32" s="191"/>
      <c r="Y32" s="182"/>
      <c r="Z32" s="182" t="e">
        <f ca="1">(((((INDEX(BILLING!$T:$T,MATCH($AG$3&amp;" "&amp;$AG$5,BILLING!$C:$C,0))-L32)*$D$54)-
((INDEX(BILLING!$U:$U,MATCH($AG$3&amp;" "&amp;$AG$5,BILLING!$C:$C,0))-M32)*$D$54))))/1000</f>
        <v>#N/A</v>
      </c>
      <c r="AA32" s="149" t="e">
        <f ca="1">(((((INDEX(BILLING!$Z:$Z,MATCH($AG$3&amp;" "&amp;$AG$5,BILLING!$C:$C,0))-R32)*$D$52)-
((INDEX(BILLING!$AA:$AA,MATCH($AG$3&amp;" "&amp;$AG$5,BILLING!$C:$C,0))-S32)*$D$52))))/1000</f>
        <v>#N/A</v>
      </c>
      <c r="AB32" s="131"/>
      <c r="AC32" s="130"/>
      <c r="AD32" s="159"/>
      <c r="AE32" s="159"/>
      <c r="AF32" s="159"/>
      <c r="AG32" s="159"/>
      <c r="AH32" s="123"/>
      <c r="AI32" s="131"/>
    </row>
    <row r="33" spans="2:37" x14ac:dyDescent="0.25">
      <c r="B33" s="131"/>
      <c r="C33" s="139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66"/>
      <c r="Q33" s="166"/>
      <c r="R33" s="166"/>
      <c r="S33" s="166"/>
      <c r="T33" s="161"/>
      <c r="U33" s="140"/>
      <c r="V33" s="140"/>
      <c r="W33" s="140"/>
      <c r="X33" s="161"/>
      <c r="Y33" s="140"/>
      <c r="Z33" s="140"/>
      <c r="AA33" s="141"/>
      <c r="AB33" s="131"/>
      <c r="AC33" s="124"/>
      <c r="AD33" s="125"/>
      <c r="AE33" s="125"/>
      <c r="AF33" s="125"/>
      <c r="AG33" s="125"/>
      <c r="AH33" s="126"/>
      <c r="AI33" s="131"/>
    </row>
    <row r="34" spans="2:37" ht="8.1" customHeight="1" x14ac:dyDescent="0.25">
      <c r="B34" s="131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69"/>
      <c r="Q34" s="169"/>
      <c r="R34" s="169"/>
      <c r="S34" s="169"/>
      <c r="T34" s="164"/>
      <c r="U34" s="144"/>
      <c r="V34" s="144"/>
      <c r="W34" s="144"/>
      <c r="X34" s="164"/>
      <c r="Y34" s="144"/>
      <c r="Z34" s="144"/>
      <c r="AA34" s="144"/>
      <c r="AB34" s="131"/>
      <c r="AC34" s="131"/>
      <c r="AD34" s="131"/>
      <c r="AE34" s="131"/>
      <c r="AF34" s="131"/>
      <c r="AG34" s="131"/>
      <c r="AH34" s="131"/>
      <c r="AI34" s="131"/>
    </row>
    <row r="35" spans="2:37" ht="15.75" thickBot="1" x14ac:dyDescent="0.3">
      <c r="B35" s="131"/>
      <c r="C35" s="134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68"/>
      <c r="Q35" s="168"/>
      <c r="R35" s="168"/>
      <c r="S35" s="168"/>
      <c r="T35" s="163"/>
      <c r="U35" s="142"/>
      <c r="V35" s="142"/>
      <c r="W35" s="142"/>
      <c r="X35" s="163"/>
      <c r="Y35" s="142"/>
      <c r="Z35" s="142"/>
      <c r="AA35" s="145"/>
      <c r="AB35" s="131"/>
      <c r="AC35" s="127"/>
      <c r="AD35" s="128"/>
      <c r="AE35" s="128"/>
      <c r="AF35" s="128"/>
      <c r="AG35" s="128"/>
      <c r="AH35" s="129"/>
      <c r="AI35" s="131"/>
    </row>
    <row r="36" spans="2:37" ht="19.899999999999999" customHeight="1" x14ac:dyDescent="0.25">
      <c r="B36" s="131"/>
      <c r="C36" s="150" t="s">
        <v>360</v>
      </c>
      <c r="D36" s="184">
        <f>2791666.6666667/1000</f>
        <v>2791.6666666667002</v>
      </c>
      <c r="E36" s="184">
        <f>D36*12</f>
        <v>33500.0000000004</v>
      </c>
      <c r="F36" s="147">
        <v>45651</v>
      </c>
      <c r="G36" s="148" t="s">
        <v>147</v>
      </c>
      <c r="H36" s="185">
        <f ca="1" xml:space="preserve"> NOW() - (F36 + TIME(LEFT($G$36, 2), MID($G$36, 3, 2), 0))</f>
        <v>57.34139826388855</v>
      </c>
      <c r="I36" s="186">
        <f ca="1">((DATE(YEAR(F36),MONTH(F36)+1,25)) + TIME(LEFT("1200H", 2), MID("1200H", 3, 2), 0)) - ($AG$3 + TIME(LEFT(NOW(), 2), MID(NOW(), 3, 2), 0))</f>
        <v>-26.423611111109494</v>
      </c>
      <c r="J36" s="158"/>
      <c r="K36" s="158"/>
      <c r="L36" s="158"/>
      <c r="M36" s="158"/>
      <c r="N36" s="158"/>
      <c r="O36" s="158"/>
      <c r="P36" s="184"/>
      <c r="Q36" s="184"/>
      <c r="R36" s="184"/>
      <c r="S36" s="184"/>
      <c r="T36" s="187">
        <f>D36/30/24</f>
        <v>3.8773148148148611</v>
      </c>
      <c r="U36" s="188">
        <f ca="1">SUM(U39:U40)</f>
        <v>0</v>
      </c>
      <c r="V36" s="217" t="e">
        <f ca="1">AA36+U36</f>
        <v>#N/A</v>
      </c>
      <c r="W36" s="189" t="e">
        <f ca="1">V36/H36/24</f>
        <v>#N/A</v>
      </c>
      <c r="X36" s="190" t="e">
        <f ca="1">AA36/H36/24</f>
        <v>#N/A</v>
      </c>
      <c r="Y36" s="199"/>
      <c r="Z36" s="199" t="e">
        <f ca="1">SUM(Z39:Z40)</f>
        <v>#N/A</v>
      </c>
      <c r="AA36" s="149" t="e">
        <f ca="1">SUM(AA39:AA40)</f>
        <v>#N/A</v>
      </c>
      <c r="AB36" s="131"/>
      <c r="AC36" s="130" t="s">
        <v>353</v>
      </c>
      <c r="AD36" s="499" t="e">
        <f ca="1">Z36/$E$36</f>
        <v>#N/A</v>
      </c>
      <c r="AE36" s="500"/>
      <c r="AF36" s="500"/>
      <c r="AG36" s="501"/>
      <c r="AH36" s="123"/>
      <c r="AI36" s="131"/>
      <c r="AK36" s="204" t="e">
        <f ca="1">(E36-Z36)/67/24</f>
        <v>#N/A</v>
      </c>
    </row>
    <row r="37" spans="2:37" ht="15.75" customHeight="1" thickBot="1" x14ac:dyDescent="0.3">
      <c r="B37" s="131"/>
      <c r="C37" s="130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84"/>
      <c r="Q37" s="184"/>
      <c r="R37" s="184"/>
      <c r="S37" s="184"/>
      <c r="T37" s="191"/>
      <c r="U37" s="137"/>
      <c r="V37" s="137"/>
      <c r="W37" s="137"/>
      <c r="X37" s="191"/>
      <c r="Y37" s="137"/>
      <c r="Z37" s="137"/>
      <c r="AA37" s="138"/>
      <c r="AB37" s="131"/>
      <c r="AC37" s="130"/>
      <c r="AD37" s="502"/>
      <c r="AE37" s="503"/>
      <c r="AF37" s="503"/>
      <c r="AG37" s="504"/>
      <c r="AH37" s="123"/>
      <c r="AI37" s="131"/>
    </row>
    <row r="38" spans="2:37" ht="8.1" customHeight="1" thickBot="1" x14ac:dyDescent="0.3">
      <c r="B38" s="131"/>
      <c r="C38" s="130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93"/>
      <c r="Q38" s="193"/>
      <c r="R38" s="193"/>
      <c r="S38" s="193"/>
      <c r="T38" s="191"/>
      <c r="U38" s="137"/>
      <c r="V38" s="137"/>
      <c r="W38" s="137"/>
      <c r="X38" s="191"/>
      <c r="Y38" s="137"/>
      <c r="Z38" s="137"/>
      <c r="AA38" s="138"/>
      <c r="AB38" s="131"/>
      <c r="AC38" s="130"/>
      <c r="AD38" s="122"/>
      <c r="AE38" s="122"/>
      <c r="AF38" s="122"/>
      <c r="AG38" s="122"/>
      <c r="AH38" s="123"/>
      <c r="AI38" s="131"/>
    </row>
    <row r="39" spans="2:37" ht="15" customHeight="1" x14ac:dyDescent="0.25">
      <c r="B39" s="131"/>
      <c r="C39" s="130" t="s">
        <v>94</v>
      </c>
      <c r="D39" s="137"/>
      <c r="E39" s="137"/>
      <c r="F39" s="137"/>
      <c r="G39" s="137"/>
      <c r="H39" s="137"/>
      <c r="I39" s="137"/>
      <c r="J39" s="192">
        <v>30.31</v>
      </c>
      <c r="K39" s="192">
        <v>87.38</v>
      </c>
      <c r="L39" s="192">
        <v>6873.69</v>
      </c>
      <c r="M39" s="192">
        <v>9.0399999999999991</v>
      </c>
      <c r="N39" s="192"/>
      <c r="O39" s="192"/>
      <c r="P39" s="193">
        <f>INDEX(BILLING!$P:$P,MATCH($F36&amp;" "&amp;$G36,BILLING!$C:$C,0))</f>
        <v>615.78</v>
      </c>
      <c r="Q39" s="193">
        <f>INDEX(BILLING!$Q:$Q,MATCH($F36&amp;" "&amp;$G36,BILLING!$C:$C,0))</f>
        <v>677.7</v>
      </c>
      <c r="R39" s="193">
        <f>INDEX(BILLING!$R:$R,MATCH($F36&amp;" "&amp;$G36,BILLING!$C:$C,0))</f>
        <v>9997.1</v>
      </c>
      <c r="S39" s="193">
        <f>INDEX(BILLING!$S:$S,MATCH($F36&amp;" "&amp;$G36,BILLING!$C:$C,0))</f>
        <v>9.0399999999999991</v>
      </c>
      <c r="T39" s="191"/>
      <c r="U39" s="188" cm="1">
        <f t="array" aca="1" ref="U39" ca="1">INDIRECT(TEXT(DAY(TODAY()),"0")&amp;"!AI33")</f>
        <v>0</v>
      </c>
      <c r="V39" s="188"/>
      <c r="W39" s="188"/>
      <c r="X39" s="191"/>
      <c r="Y39" s="182"/>
      <c r="Z39" s="182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49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1"/>
      <c r="AC39" s="130" t="s">
        <v>354</v>
      </c>
      <c r="AD39" s="499" t="e">
        <f ca="1">$AA$36/$D$36</f>
        <v>#N/A</v>
      </c>
      <c r="AE39" s="500"/>
      <c r="AF39" s="500"/>
      <c r="AG39" s="501"/>
      <c r="AH39" s="123"/>
      <c r="AI39" s="131"/>
    </row>
    <row r="40" spans="2:37" ht="15.75" customHeight="1" thickBot="1" x14ac:dyDescent="0.3">
      <c r="B40" s="131"/>
      <c r="C40" s="130" t="s">
        <v>96</v>
      </c>
      <c r="D40" s="137"/>
      <c r="E40" s="137"/>
      <c r="F40" s="137"/>
      <c r="G40" s="137"/>
      <c r="H40" s="137"/>
      <c r="I40" s="137"/>
      <c r="J40" s="192"/>
      <c r="K40" s="192"/>
      <c r="L40" s="192">
        <v>2260.46</v>
      </c>
      <c r="M40" s="192">
        <v>0</v>
      </c>
      <c r="N40" s="192"/>
      <c r="O40" s="192"/>
      <c r="P40" s="193"/>
      <c r="Q40" s="193"/>
      <c r="R40" s="193">
        <f>INDEX(BILLING!$X:$X,MATCH($F36&amp;" "&amp;$G36,BILLING!$C:$C,0))</f>
        <v>6548.4</v>
      </c>
      <c r="S40" s="193">
        <f>INDEX(BILLING!$Y:$Y,MATCH($F36&amp;" "&amp;$G36,BILLING!$C:$C,0))</f>
        <v>0</v>
      </c>
      <c r="T40" s="191"/>
      <c r="U40" s="188" cm="1">
        <f t="array" aca="1" ref="U40" ca="1">INDIRECT(TEXT(DAY(TODAY()),"0")&amp;"!AI75")</f>
        <v>0</v>
      </c>
      <c r="V40" s="188"/>
      <c r="W40" s="188"/>
      <c r="X40" s="191"/>
      <c r="Y40" s="183"/>
      <c r="Z40" s="240" t="e">
        <f ca="1">(((((INDEX(BILLING!$X:$X,MATCH($AG$3&amp;" "&amp;$AG$5,BILLING!$C:$C,0))-L40)*$D$55)-
((INDEX(BILLING!$Y:$Y,MATCH($AG$3&amp;" "&amp;$AG$5,BILLING!$C:$C,0))-M40)*$D$55))))/1000</f>
        <v>#N/A</v>
      </c>
      <c r="AA40" s="173" t="e">
        <f ca="1">(((((INDEX(BILLING!$X:$X,MATCH($AG$3&amp;" "&amp;$AG$5,BILLING!$C:$C,0))-R40)*$D$55)-
((INDEX(BILLING!$Y:$Y,MATCH($AG$3&amp;" "&amp;$AG$5,BILLING!$C:$C,0))-S40)*$D$55))))/1000</f>
        <v>#N/A</v>
      </c>
      <c r="AB40" s="131"/>
      <c r="AC40" s="130"/>
      <c r="AD40" s="502"/>
      <c r="AE40" s="503"/>
      <c r="AF40" s="503"/>
      <c r="AG40" s="504"/>
      <c r="AH40" s="123"/>
      <c r="AI40" s="131"/>
    </row>
    <row r="41" spans="2:37" x14ac:dyDescent="0.25">
      <c r="B41" s="131"/>
      <c r="C41" s="139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61"/>
      <c r="U41" s="140"/>
      <c r="V41" s="140"/>
      <c r="W41" s="140"/>
      <c r="X41" s="161"/>
      <c r="Y41" s="140"/>
      <c r="Z41" s="140"/>
      <c r="AA41" s="141"/>
      <c r="AB41" s="131"/>
      <c r="AC41" s="124"/>
      <c r="AD41" s="125"/>
      <c r="AE41" s="125"/>
      <c r="AF41" s="125"/>
      <c r="AG41" s="125"/>
      <c r="AH41" s="126"/>
      <c r="AI41" s="131"/>
    </row>
    <row r="42" spans="2:37" ht="8.1" customHeight="1" x14ac:dyDescent="0.25">
      <c r="B42" s="131"/>
      <c r="C42" s="131"/>
      <c r="D42" s="132"/>
      <c r="E42" s="131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</row>
    <row r="43" spans="2:37" x14ac:dyDescent="0.25">
      <c r="T43" s="80"/>
      <c r="U43" s="80"/>
      <c r="V43" s="80"/>
      <c r="W43" s="80"/>
      <c r="X43" s="80"/>
      <c r="Y43" s="80"/>
      <c r="Z43" s="80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322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72" t="s">
        <v>323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72" t="s">
        <v>324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72" t="s">
        <v>361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72" t="s">
        <v>325</v>
      </c>
      <c r="D52" s="107">
        <v>8400</v>
      </c>
      <c r="F52" s="153">
        <v>8400</v>
      </c>
      <c r="G52" s="107"/>
      <c r="H52" s="107"/>
      <c r="I52" s="107"/>
      <c r="J52" s="107"/>
      <c r="K52" s="107"/>
      <c r="L52" s="107"/>
      <c r="M52" s="107"/>
      <c r="N52" s="107"/>
      <c r="O52" s="107"/>
    </row>
    <row r="53" spans="3:19" x14ac:dyDescent="0.25">
      <c r="C53" s="72" t="s">
        <v>326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72" t="s">
        <v>50</v>
      </c>
      <c r="D54" s="152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72" t="s">
        <v>327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108" t="s">
        <v>30</v>
      </c>
      <c r="D56" s="107">
        <v>30000</v>
      </c>
      <c r="F56" s="153">
        <v>30000</v>
      </c>
      <c r="G56" s="107"/>
      <c r="H56" s="107"/>
      <c r="I56" s="107"/>
      <c r="J56" s="107"/>
      <c r="K56" s="107"/>
      <c r="L56" s="107"/>
      <c r="M56" s="107"/>
      <c r="N56" s="107"/>
      <c r="O56" s="107"/>
    </row>
    <row r="57" spans="3:19" x14ac:dyDescent="0.25">
      <c r="C57" s="108" t="s">
        <v>362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108" t="s">
        <v>363</v>
      </c>
      <c r="D58" s="146">
        <v>4200</v>
      </c>
      <c r="F58" s="151">
        <v>4200</v>
      </c>
      <c r="G58" s="146"/>
      <c r="H58" s="146"/>
      <c r="I58" s="146"/>
      <c r="J58" s="146"/>
      <c r="K58" s="146"/>
      <c r="L58" s="146"/>
      <c r="M58" s="146"/>
      <c r="N58" s="146"/>
      <c r="O58" s="146"/>
    </row>
    <row r="59" spans="3:19" x14ac:dyDescent="0.25">
      <c r="C59" s="108" t="s">
        <v>364</v>
      </c>
      <c r="D59" s="146">
        <v>11200</v>
      </c>
      <c r="F59" s="151">
        <v>11200</v>
      </c>
      <c r="G59" s="146"/>
      <c r="H59" s="146"/>
      <c r="I59" s="146"/>
      <c r="J59" s="146"/>
      <c r="K59" s="146"/>
      <c r="L59" s="146"/>
      <c r="M59" s="146"/>
      <c r="N59" s="146"/>
      <c r="O59" s="146"/>
    </row>
    <row r="60" spans="3:19" x14ac:dyDescent="0.25">
      <c r="C60" s="67" t="s">
        <v>365</v>
      </c>
      <c r="D60" s="151">
        <v>3500</v>
      </c>
      <c r="F60" s="151">
        <v>3500</v>
      </c>
      <c r="I60" s="200">
        <v>45568</v>
      </c>
      <c r="J60" s="201"/>
      <c r="K60" s="201"/>
      <c r="L60" s="201"/>
      <c r="M60" s="201"/>
      <c r="N60" s="201"/>
      <c r="O60" s="201"/>
      <c r="P60" s="193">
        <v>293.08999999999997</v>
      </c>
      <c r="Q60" s="193">
        <v>49.65</v>
      </c>
      <c r="R60" s="193">
        <v>1102.8</v>
      </c>
      <c r="S60" s="193">
        <v>6.2</v>
      </c>
    </row>
    <row r="62" spans="3:19" x14ac:dyDescent="0.25">
      <c r="C62" s="108" t="s">
        <v>366</v>
      </c>
      <c r="D62" s="147">
        <v>45560</v>
      </c>
      <c r="F62" s="148" t="s">
        <v>147</v>
      </c>
      <c r="H62" s="157"/>
    </row>
    <row r="63" spans="3:19" x14ac:dyDescent="0.25">
      <c r="C63" s="108" t="s">
        <v>367</v>
      </c>
      <c r="D63" s="15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25" x14ac:dyDescent="0.4"/>
  <cols>
    <col min="1" max="1" width="25.28515625" style="216" bestFit="1" customWidth="1"/>
    <col min="2" max="2" width="17.140625" style="213" customWidth="1"/>
    <col min="3" max="3" width="2.5703125" style="213" customWidth="1"/>
    <col min="4" max="4" width="24.42578125" style="213" bestFit="1" customWidth="1"/>
    <col min="5" max="5" width="17.140625" style="213" customWidth="1"/>
    <col min="6" max="16384" width="9.140625" style="207"/>
  </cols>
  <sheetData>
    <row r="1" spans="1:5" x14ac:dyDescent="0.4">
      <c r="A1" s="208" t="s">
        <v>89</v>
      </c>
      <c r="B1" s="209" t="s">
        <v>368</v>
      </c>
      <c r="C1" s="210"/>
      <c r="D1" s="209" t="s">
        <v>89</v>
      </c>
      <c r="E1" s="209" t="s">
        <v>368</v>
      </c>
    </row>
    <row r="2" spans="1:5" x14ac:dyDescent="0.4">
      <c r="A2" s="211">
        <v>45561</v>
      </c>
      <c r="B2" s="212">
        <v>63.67</v>
      </c>
      <c r="D2" s="211">
        <v>45576</v>
      </c>
      <c r="E2" s="212" t="e">
        <f>MAX(#REF!)</f>
        <v>#REF!</v>
      </c>
    </row>
    <row r="3" spans="1:5" x14ac:dyDescent="0.4">
      <c r="A3" s="214">
        <f t="shared" ref="A3:A16" si="0">A2+1</f>
        <v>45562</v>
      </c>
      <c r="B3" s="215">
        <v>63.769999999999996</v>
      </c>
      <c r="D3" s="214">
        <f t="shared" ref="D3:D16" si="1">D2+1</f>
        <v>45577</v>
      </c>
      <c r="E3" s="215" t="e">
        <f>MAX(#REF!)</f>
        <v>#REF!</v>
      </c>
    </row>
    <row r="4" spans="1:5" x14ac:dyDescent="0.4">
      <c r="A4" s="211">
        <f t="shared" si="0"/>
        <v>45563</v>
      </c>
      <c r="B4" s="212">
        <v>60.34</v>
      </c>
      <c r="D4" s="211">
        <f t="shared" si="1"/>
        <v>45578</v>
      </c>
      <c r="E4" s="212" t="e">
        <f>MAX(#REF!)</f>
        <v>#REF!</v>
      </c>
    </row>
    <row r="5" spans="1:5" x14ac:dyDescent="0.4">
      <c r="A5" s="214">
        <f t="shared" si="0"/>
        <v>45564</v>
      </c>
      <c r="B5" s="215">
        <v>57.95</v>
      </c>
      <c r="D5" s="214">
        <f t="shared" si="1"/>
        <v>45579</v>
      </c>
      <c r="E5" s="215" t="e">
        <f>MAX(#REF!)</f>
        <v>#REF!</v>
      </c>
    </row>
    <row r="6" spans="1:5" x14ac:dyDescent="0.4">
      <c r="A6" s="211">
        <f t="shared" si="0"/>
        <v>45565</v>
      </c>
      <c r="B6" s="212">
        <v>67.750000000000014</v>
      </c>
      <c r="D6" s="211">
        <f t="shared" si="1"/>
        <v>45580</v>
      </c>
      <c r="E6" s="212" t="e">
        <f>MAX(#REF!)</f>
        <v>#REF!</v>
      </c>
    </row>
    <row r="7" spans="1:5" x14ac:dyDescent="0.4">
      <c r="A7" s="214">
        <f t="shared" si="0"/>
        <v>45566</v>
      </c>
      <c r="B7" s="215">
        <v>62.4</v>
      </c>
      <c r="D7" s="214">
        <f t="shared" si="1"/>
        <v>45581</v>
      </c>
      <c r="E7" s="215" t="e">
        <f>MAX(#REF!)</f>
        <v>#REF!</v>
      </c>
    </row>
    <row r="8" spans="1:5" x14ac:dyDescent="0.4">
      <c r="A8" s="211">
        <f t="shared" si="0"/>
        <v>45567</v>
      </c>
      <c r="B8" s="212">
        <v>66.099999999999994</v>
      </c>
      <c r="D8" s="211">
        <f t="shared" si="1"/>
        <v>45582</v>
      </c>
      <c r="E8" s="212" t="e">
        <f>MAX(#REF!)</f>
        <v>#REF!</v>
      </c>
    </row>
    <row r="9" spans="1:5" x14ac:dyDescent="0.4">
      <c r="A9" s="214">
        <f t="shared" si="0"/>
        <v>45568</v>
      </c>
      <c r="B9" s="215">
        <v>66.099999999999994</v>
      </c>
      <c r="D9" s="214">
        <f t="shared" si="1"/>
        <v>45583</v>
      </c>
      <c r="E9" s="215" t="e">
        <f>MAX(#REF!)</f>
        <v>#REF!</v>
      </c>
    </row>
    <row r="10" spans="1:5" x14ac:dyDescent="0.4">
      <c r="A10" s="211">
        <f t="shared" si="0"/>
        <v>45569</v>
      </c>
      <c r="B10" s="212" t="e">
        <f>MAX(#REF!)</f>
        <v>#REF!</v>
      </c>
      <c r="D10" s="211">
        <f t="shared" si="1"/>
        <v>45584</v>
      </c>
      <c r="E10" s="212" t="e">
        <f>MAX(#REF!)</f>
        <v>#REF!</v>
      </c>
    </row>
    <row r="11" spans="1:5" x14ac:dyDescent="0.4">
      <c r="A11" s="214">
        <f t="shared" si="0"/>
        <v>45570</v>
      </c>
      <c r="B11" s="215" t="e">
        <f>MAX(#REF!)</f>
        <v>#REF!</v>
      </c>
      <c r="D11" s="214">
        <f t="shared" si="1"/>
        <v>45585</v>
      </c>
      <c r="E11" s="215" t="e">
        <f>MAX(#REF!)</f>
        <v>#REF!</v>
      </c>
    </row>
    <row r="12" spans="1:5" x14ac:dyDescent="0.4">
      <c r="A12" s="211">
        <f t="shared" si="0"/>
        <v>45571</v>
      </c>
      <c r="B12" s="212" t="e">
        <f>MAX(#REF!)</f>
        <v>#REF!</v>
      </c>
      <c r="D12" s="211">
        <f t="shared" si="1"/>
        <v>45586</v>
      </c>
      <c r="E12" s="212" t="e">
        <f>MAX(#REF!)</f>
        <v>#REF!</v>
      </c>
    </row>
    <row r="13" spans="1:5" x14ac:dyDescent="0.4">
      <c r="A13" s="214">
        <f t="shared" si="0"/>
        <v>45572</v>
      </c>
      <c r="B13" s="215" t="e">
        <f>MAX(#REF!)</f>
        <v>#REF!</v>
      </c>
      <c r="D13" s="214">
        <f t="shared" si="1"/>
        <v>45587</v>
      </c>
      <c r="E13" s="215" t="e">
        <f>MAX(#REF!)</f>
        <v>#REF!</v>
      </c>
    </row>
    <row r="14" spans="1:5" x14ac:dyDescent="0.4">
      <c r="A14" s="211">
        <f t="shared" si="0"/>
        <v>45573</v>
      </c>
      <c r="B14" s="212" t="e">
        <f>MAX(#REF!)</f>
        <v>#REF!</v>
      </c>
      <c r="D14" s="211">
        <f t="shared" si="1"/>
        <v>45588</v>
      </c>
      <c r="E14" s="212" t="e">
        <f>MAX(#REF!)</f>
        <v>#REF!</v>
      </c>
    </row>
    <row r="15" spans="1:5" x14ac:dyDescent="0.4">
      <c r="A15" s="214">
        <f t="shared" si="0"/>
        <v>45574</v>
      </c>
      <c r="B15" s="215" t="e">
        <f>MAX(#REF!)</f>
        <v>#REF!</v>
      </c>
      <c r="D15" s="214">
        <f t="shared" si="1"/>
        <v>45589</v>
      </c>
      <c r="E15" s="215" t="e">
        <f>MAX(#REF!)</f>
        <v>#REF!</v>
      </c>
    </row>
    <row r="16" spans="1:5" x14ac:dyDescent="0.4">
      <c r="A16" s="211">
        <f t="shared" si="0"/>
        <v>45575</v>
      </c>
      <c r="B16" s="212" t="e">
        <f>MAX(#REF!)</f>
        <v>#REF!</v>
      </c>
      <c r="D16" s="211">
        <f t="shared" si="1"/>
        <v>45590</v>
      </c>
      <c r="E16" s="212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f t="array" ref="A1">_xlfn._xlws.PY(0,1,A4:X16)</f>
        <v>#VALUE!</v>
      </c>
    </row>
    <row r="3" spans="1:24" ht="15.75" x14ac:dyDescent="0.25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6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71">
        <f t="shared" ref="A20:X20" si="0">AVERAGE(A5:X6,A12:X13)</f>
        <v>46.638381410256414</v>
      </c>
      <c r="B20" s="171">
        <f t="shared" si="0"/>
        <v>46.849506688963217</v>
      </c>
      <c r="C20" s="171">
        <f t="shared" si="0"/>
        <v>47.216416083916094</v>
      </c>
      <c r="D20" s="171">
        <f t="shared" si="0"/>
        <v>47.691364468864478</v>
      </c>
      <c r="E20" s="171">
        <f t="shared" si="0"/>
        <v>48.280057692307693</v>
      </c>
      <c r="F20" s="171">
        <f t="shared" si="0"/>
        <v>48.937494939271261</v>
      </c>
      <c r="G20" s="171">
        <f t="shared" si="0"/>
        <v>49.656591880341885</v>
      </c>
      <c r="H20" s="171">
        <f t="shared" si="0"/>
        <v>50.346832579185531</v>
      </c>
      <c r="I20" s="171">
        <f t="shared" si="0"/>
        <v>51.149603365384614</v>
      </c>
      <c r="J20" s="171">
        <f t="shared" si="0"/>
        <v>51.810910256410246</v>
      </c>
      <c r="K20" s="171">
        <f t="shared" si="0"/>
        <v>52.145796703296696</v>
      </c>
      <c r="L20" s="171">
        <f t="shared" si="0"/>
        <v>52.209319526627205</v>
      </c>
      <c r="M20" s="171">
        <f t="shared" si="0"/>
        <v>52.164679487179477</v>
      </c>
      <c r="N20" s="171">
        <f t="shared" si="0"/>
        <v>52.102604895104882</v>
      </c>
      <c r="O20" s="171">
        <f t="shared" si="0"/>
        <v>52.022557692307693</v>
      </c>
      <c r="P20" s="171">
        <f t="shared" si="0"/>
        <v>51.800341880341882</v>
      </c>
      <c r="Q20" s="171">
        <f t="shared" si="0"/>
        <v>51.613822115384622</v>
      </c>
      <c r="R20" s="171">
        <f t="shared" si="0"/>
        <v>51.438928571428569</v>
      </c>
      <c r="S20" s="171">
        <f t="shared" si="0"/>
        <v>51.348333333333336</v>
      </c>
      <c r="T20" s="171">
        <f t="shared" si="0"/>
        <v>50.845500000000008</v>
      </c>
      <c r="U20" s="171">
        <f t="shared" si="0"/>
        <v>49.436875000000008</v>
      </c>
      <c r="V20" s="171">
        <f t="shared" si="0"/>
        <v>47.915833333333332</v>
      </c>
      <c r="W20" s="171">
        <f t="shared" si="0"/>
        <v>45.956249999999997</v>
      </c>
      <c r="X20" s="171">
        <f t="shared" si="0"/>
        <v>44.5625</v>
      </c>
      <c r="Z20" t="s">
        <v>369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363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370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371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364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30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31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314</v>
      </c>
    </row>
    <row r="28" spans="1:26" x14ac:dyDescent="0.25">
      <c r="A28" s="171">
        <f>SUM(A21:A27)</f>
        <v>42.93</v>
      </c>
      <c r="B28" s="171">
        <f t="shared" ref="B28:X28" si="1">SUM(B21:B27)</f>
        <v>43.43</v>
      </c>
      <c r="C28" s="171">
        <f t="shared" si="1"/>
        <v>42.95</v>
      </c>
      <c r="D28" s="171">
        <f t="shared" si="1"/>
        <v>42.92</v>
      </c>
      <c r="E28" s="171">
        <f t="shared" si="1"/>
        <v>42.75</v>
      </c>
      <c r="F28" s="171">
        <f t="shared" si="1"/>
        <v>43.33</v>
      </c>
      <c r="G28" s="171">
        <f t="shared" si="1"/>
        <v>43.29</v>
      </c>
      <c r="H28" s="171">
        <f t="shared" si="1"/>
        <v>43.32</v>
      </c>
      <c r="I28" s="171">
        <f t="shared" si="1"/>
        <v>43.27</v>
      </c>
      <c r="J28" s="171">
        <f t="shared" si="1"/>
        <v>43.31</v>
      </c>
      <c r="K28" s="171">
        <f t="shared" si="1"/>
        <v>43.32</v>
      </c>
      <c r="L28" s="171">
        <f t="shared" si="1"/>
        <v>43.22</v>
      </c>
      <c r="M28" s="171">
        <f t="shared" si="1"/>
        <v>43.42</v>
      </c>
      <c r="N28" s="171">
        <f t="shared" si="1"/>
        <v>43.43</v>
      </c>
      <c r="O28" s="171">
        <f t="shared" si="1"/>
        <v>43.410000000000004</v>
      </c>
      <c r="P28" s="171">
        <f t="shared" si="1"/>
        <v>43.38</v>
      </c>
      <c r="Q28" s="171">
        <f t="shared" si="1"/>
        <v>43.28</v>
      </c>
      <c r="R28" s="171">
        <f t="shared" si="1"/>
        <v>43.19</v>
      </c>
      <c r="S28" s="171">
        <f t="shared" si="1"/>
        <v>43.27</v>
      </c>
      <c r="T28" s="171">
        <f t="shared" si="1"/>
        <v>43.28</v>
      </c>
      <c r="U28" s="171">
        <f t="shared" si="1"/>
        <v>43.300000000000004</v>
      </c>
      <c r="V28" s="171">
        <f t="shared" si="1"/>
        <v>43.36</v>
      </c>
      <c r="W28" s="171">
        <f t="shared" si="1"/>
        <v>43.46</v>
      </c>
      <c r="X28" s="171">
        <f t="shared" si="1"/>
        <v>43.25</v>
      </c>
      <c r="Z28" t="s">
        <v>372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>
      <selection activeCell="P9" sqref="P9"/>
    </sheetView>
  </sheetViews>
  <sheetFormatPr defaultRowHeight="15" x14ac:dyDescent="0.25"/>
  <cols>
    <col min="2" max="2" width="13.28515625" style="234" bestFit="1" customWidth="1"/>
    <col min="3" max="3" width="13.28515625" customWidth="1"/>
    <col min="4" max="4" width="10.7109375" bestFit="1" customWidth="1"/>
    <col min="5" max="5" width="13.28515625" style="234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4" bestFit="1" customWidth="1"/>
    <col min="12" max="12" width="13.28515625" customWidth="1"/>
    <col min="13" max="13" width="10.7109375" bestFit="1" customWidth="1"/>
    <col min="14" max="14" width="13.28515625" style="234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.75" thickBot="1" x14ac:dyDescent="0.3">
      <c r="A1" s="221" t="s">
        <v>373</v>
      </c>
      <c r="B1" s="233" t="s">
        <v>135</v>
      </c>
      <c r="C1" s="222" t="s">
        <v>136</v>
      </c>
      <c r="D1" s="222" t="s">
        <v>373</v>
      </c>
      <c r="E1" s="233" t="s">
        <v>137</v>
      </c>
      <c r="F1" s="223" t="s">
        <v>138</v>
      </c>
      <c r="G1" s="224" t="s">
        <v>139</v>
      </c>
      <c r="H1" s="225" t="s">
        <v>141</v>
      </c>
      <c r="J1" s="221" t="s">
        <v>373</v>
      </c>
      <c r="K1" s="233" t="s">
        <v>135</v>
      </c>
      <c r="L1" s="222" t="s">
        <v>136</v>
      </c>
      <c r="M1" s="222" t="s">
        <v>373</v>
      </c>
      <c r="N1" s="233" t="s">
        <v>137</v>
      </c>
      <c r="O1" s="223" t="s">
        <v>138</v>
      </c>
      <c r="P1" s="224" t="s">
        <v>139</v>
      </c>
      <c r="Q1" s="225" t="s">
        <v>141</v>
      </c>
    </row>
    <row r="2" spans="1:17" x14ac:dyDescent="0.25">
      <c r="A2" s="329" t="s">
        <v>23</v>
      </c>
      <c r="B2" s="330">
        <v>45663</v>
      </c>
      <c r="C2" s="331" t="s">
        <v>210</v>
      </c>
      <c r="D2" s="329" t="s">
        <v>22</v>
      </c>
      <c r="E2" s="330">
        <v>45663</v>
      </c>
      <c r="F2" s="342" t="s">
        <v>190</v>
      </c>
      <c r="G2" s="343">
        <f>(E2 + TIME(LEFT(F2, 2), MID(F2, 3, 2), 0)) - (B2 + TIME(LEFT(C2, 2), MID(C2, 3, 2), 0))</f>
        <v>0.30416666666860692</v>
      </c>
      <c r="H2" s="344" t="s">
        <v>374</v>
      </c>
      <c r="J2" s="226" t="s">
        <v>23</v>
      </c>
      <c r="K2" s="227">
        <v>45682</v>
      </c>
      <c r="L2" s="228" t="s">
        <v>147</v>
      </c>
      <c r="M2" s="226" t="s">
        <v>23</v>
      </c>
      <c r="N2" s="227">
        <v>45682</v>
      </c>
      <c r="O2" s="228" t="s">
        <v>282</v>
      </c>
      <c r="P2" s="229">
        <f t="shared" ref="P2:P7" si="0">(N2 + TIME(LEFT(O2, 2), MID(O2, 3, 2), 0)) - (K2 + TIME(LEFT(L2, 2), MID(L2, 3, 2), 0))</f>
        <v>0.46597222222044365</v>
      </c>
      <c r="Q2" s="344"/>
    </row>
    <row r="3" spans="1:17" x14ac:dyDescent="0.25">
      <c r="A3" s="325" t="s">
        <v>22</v>
      </c>
      <c r="B3" s="326">
        <v>45663</v>
      </c>
      <c r="C3" s="332" t="s">
        <v>212</v>
      </c>
      <c r="D3" s="226" t="s">
        <v>22</v>
      </c>
      <c r="E3" s="326">
        <v>45663</v>
      </c>
      <c r="F3" s="340" t="s">
        <v>213</v>
      </c>
      <c r="G3" s="229">
        <f t="shared" ref="G3:G9" si="1">(E3 + TIME(LEFT(F3, 2), MID(F3, 3, 2), 0)) - (B3 + TIME(LEFT(C3, 2), MID(C3, 3, 2), 0))</f>
        <v>6.5972222226264421E-2</v>
      </c>
      <c r="H3" s="230" t="s">
        <v>374</v>
      </c>
      <c r="J3" s="226" t="s">
        <v>23</v>
      </c>
      <c r="K3" s="227">
        <v>45683</v>
      </c>
      <c r="L3" s="335" t="s">
        <v>209</v>
      </c>
      <c r="M3" s="226" t="s">
        <v>25</v>
      </c>
      <c r="N3" s="227">
        <v>45683</v>
      </c>
      <c r="O3" s="228" t="s">
        <v>258</v>
      </c>
      <c r="P3" s="229">
        <f t="shared" si="0"/>
        <v>0.48263888888322981</v>
      </c>
      <c r="Q3" s="230"/>
    </row>
    <row r="4" spans="1:17" x14ac:dyDescent="0.25">
      <c r="A4" s="333" t="s">
        <v>23</v>
      </c>
      <c r="B4" s="328">
        <v>45664</v>
      </c>
      <c r="C4" s="334" t="s">
        <v>286</v>
      </c>
      <c r="D4" s="345" t="s">
        <v>25</v>
      </c>
      <c r="E4" s="328">
        <v>45664</v>
      </c>
      <c r="F4" s="327" t="s">
        <v>214</v>
      </c>
      <c r="G4" s="339">
        <f t="shared" si="1"/>
        <v>0.46250000000145519</v>
      </c>
      <c r="H4" s="231"/>
      <c r="J4" s="226" t="s">
        <v>23</v>
      </c>
      <c r="K4" s="227">
        <v>45684</v>
      </c>
      <c r="L4" s="335" t="s">
        <v>196</v>
      </c>
      <c r="M4" s="226" t="s">
        <v>23</v>
      </c>
      <c r="N4" s="227">
        <v>45684</v>
      </c>
      <c r="O4" s="362" t="s">
        <v>287</v>
      </c>
      <c r="P4" s="229">
        <f t="shared" si="0"/>
        <v>0.47499999999854481</v>
      </c>
      <c r="Q4" s="231"/>
    </row>
    <row r="5" spans="1:17" x14ac:dyDescent="0.25">
      <c r="A5" s="226" t="s">
        <v>22</v>
      </c>
      <c r="B5" s="227">
        <v>45670</v>
      </c>
      <c r="C5" s="335" t="s">
        <v>243</v>
      </c>
      <c r="D5" s="345" t="s">
        <v>22</v>
      </c>
      <c r="E5" s="341">
        <v>45670</v>
      </c>
      <c r="F5" s="327" t="s">
        <v>244</v>
      </c>
      <c r="G5" s="339">
        <f t="shared" si="1"/>
        <v>0.25347222222626442</v>
      </c>
      <c r="H5" s="231"/>
      <c r="J5" s="226" t="s">
        <v>23</v>
      </c>
      <c r="K5" s="227">
        <v>45685</v>
      </c>
      <c r="L5" s="335" t="s">
        <v>222</v>
      </c>
      <c r="M5" s="226" t="s">
        <v>23</v>
      </c>
      <c r="N5" s="227">
        <v>45685</v>
      </c>
      <c r="O5" s="228" t="s">
        <v>388</v>
      </c>
      <c r="P5" s="229">
        <f t="shared" si="0"/>
        <v>0.49791666666715173</v>
      </c>
      <c r="Q5" s="231"/>
    </row>
    <row r="6" spans="1:17" x14ac:dyDescent="0.25">
      <c r="A6" s="226" t="s">
        <v>23</v>
      </c>
      <c r="B6" s="227">
        <v>45673</v>
      </c>
      <c r="C6" s="335" t="s">
        <v>233</v>
      </c>
      <c r="D6" s="226" t="s">
        <v>23</v>
      </c>
      <c r="E6" s="227">
        <v>45673</v>
      </c>
      <c r="F6" s="228" t="s">
        <v>225</v>
      </c>
      <c r="G6" s="339">
        <f t="shared" si="1"/>
        <v>0.34305555556056788</v>
      </c>
      <c r="H6" s="231"/>
      <c r="J6" s="226" t="s">
        <v>24</v>
      </c>
      <c r="K6" s="227">
        <v>45686</v>
      </c>
      <c r="L6" s="335" t="s">
        <v>203</v>
      </c>
      <c r="M6" s="226" t="s">
        <v>23</v>
      </c>
      <c r="N6" s="227">
        <v>45686</v>
      </c>
      <c r="O6" s="228" t="s">
        <v>183</v>
      </c>
      <c r="P6" s="229">
        <f t="shared" si="0"/>
        <v>0.47916666667151731</v>
      </c>
      <c r="Q6" s="231"/>
    </row>
    <row r="7" spans="1:17" x14ac:dyDescent="0.25">
      <c r="A7" s="226" t="s">
        <v>24</v>
      </c>
      <c r="B7" s="227">
        <v>45674</v>
      </c>
      <c r="C7" s="335" t="s">
        <v>256</v>
      </c>
      <c r="D7" s="226" t="s">
        <v>23</v>
      </c>
      <c r="E7" s="227">
        <v>45674</v>
      </c>
      <c r="F7" s="228" t="s">
        <v>224</v>
      </c>
      <c r="G7" s="339">
        <f t="shared" si="1"/>
        <v>0.28611111111240461</v>
      </c>
      <c r="H7" s="231"/>
      <c r="J7" s="226" t="s">
        <v>23</v>
      </c>
      <c r="K7" s="227">
        <v>45687</v>
      </c>
      <c r="L7" s="335" t="s">
        <v>187</v>
      </c>
      <c r="M7" s="226" t="s">
        <v>23</v>
      </c>
      <c r="N7" s="227">
        <v>45688</v>
      </c>
      <c r="O7" s="228" t="s">
        <v>399</v>
      </c>
      <c r="P7" s="229">
        <f t="shared" si="0"/>
        <v>0.65416666666715173</v>
      </c>
      <c r="Q7" s="231"/>
    </row>
    <row r="8" spans="1:17" x14ac:dyDescent="0.25">
      <c r="A8" s="226" t="s">
        <v>23</v>
      </c>
      <c r="B8" s="227">
        <v>45677</v>
      </c>
      <c r="C8" s="335" t="s">
        <v>257</v>
      </c>
      <c r="D8" s="226" t="s">
        <v>24</v>
      </c>
      <c r="E8" s="227">
        <v>45677</v>
      </c>
      <c r="F8" s="228" t="s">
        <v>267</v>
      </c>
      <c r="G8" s="339">
        <f t="shared" si="1"/>
        <v>0.46250000000145519</v>
      </c>
      <c r="H8" s="231"/>
      <c r="J8" s="226" t="s">
        <v>23</v>
      </c>
      <c r="K8" s="227">
        <v>45688</v>
      </c>
      <c r="L8" s="335" t="s">
        <v>152</v>
      </c>
      <c r="M8" s="226" t="s">
        <v>25</v>
      </c>
      <c r="N8" s="227">
        <v>45691</v>
      </c>
      <c r="O8" s="228" t="s">
        <v>904</v>
      </c>
      <c r="P8" s="339">
        <f>(N8 + TIME(LEFT(O8, 2), MID(O8, 3, 2), 0)) - (K8 + TIME(LEFT(L8, 2), MID(L8, 3, 2), 0))</f>
        <v>2.8041666666686069</v>
      </c>
      <c r="Q8" s="231"/>
    </row>
    <row r="9" spans="1:17" x14ac:dyDescent="0.25">
      <c r="A9" s="226" t="s">
        <v>25</v>
      </c>
      <c r="B9" s="227">
        <v>45682</v>
      </c>
      <c r="C9" s="349" t="s">
        <v>196</v>
      </c>
      <c r="D9" s="226" t="s">
        <v>23</v>
      </c>
      <c r="E9" s="227">
        <v>45682</v>
      </c>
      <c r="F9" s="228" t="s">
        <v>147</v>
      </c>
      <c r="G9" s="229">
        <f t="shared" si="1"/>
        <v>0.10069444444525288</v>
      </c>
      <c r="H9" s="231"/>
      <c r="J9" s="226"/>
      <c r="K9" s="227"/>
      <c r="L9" s="349"/>
      <c r="M9" s="226"/>
      <c r="N9" s="227"/>
      <c r="O9" s="228"/>
      <c r="P9" s="229"/>
      <c r="Q9" s="231"/>
    </row>
    <row r="10" spans="1:17" x14ac:dyDescent="0.25">
      <c r="A10" s="226"/>
      <c r="B10" s="227"/>
      <c r="C10" s="349"/>
      <c r="D10" s="226"/>
      <c r="E10" s="227"/>
      <c r="F10" s="228"/>
      <c r="G10" s="229"/>
      <c r="H10" s="231"/>
      <c r="J10" s="226"/>
      <c r="K10" s="227"/>
      <c r="L10" s="349"/>
      <c r="M10" s="226"/>
      <c r="N10" s="227"/>
      <c r="O10" s="228"/>
      <c r="P10" s="229"/>
      <c r="Q10" s="231"/>
    </row>
    <row r="11" spans="1:17" x14ac:dyDescent="0.25">
      <c r="B11" s="226"/>
      <c r="C11" s="227"/>
      <c r="D11" s="335"/>
      <c r="E11" s="226"/>
      <c r="F11" s="227"/>
      <c r="G11" s="228"/>
      <c r="H11" s="229"/>
      <c r="I11" s="231"/>
      <c r="K11"/>
      <c r="N11"/>
    </row>
    <row r="12" spans="1:17" x14ac:dyDescent="0.25">
      <c r="B12" s="226"/>
      <c r="C12" s="227"/>
      <c r="D12" s="335"/>
      <c r="E12" s="226"/>
      <c r="F12" s="227"/>
      <c r="G12" s="362"/>
      <c r="H12" s="229"/>
      <c r="I12" s="231"/>
      <c r="K12"/>
      <c r="N12"/>
    </row>
    <row r="13" spans="1:17" x14ac:dyDescent="0.25">
      <c r="B13" s="226"/>
      <c r="C13" s="227"/>
      <c r="D13" s="335"/>
      <c r="E13" s="226"/>
      <c r="F13" s="227"/>
      <c r="G13" s="228"/>
      <c r="H13" s="229"/>
      <c r="I13" s="231"/>
      <c r="K13"/>
      <c r="N13"/>
    </row>
    <row r="14" spans="1:17" x14ac:dyDescent="0.25">
      <c r="B14" s="226"/>
      <c r="C14" s="227"/>
      <c r="D14" s="335"/>
      <c r="E14" s="226"/>
      <c r="F14" s="227"/>
      <c r="G14" s="228"/>
      <c r="H14" s="229"/>
      <c r="I14" s="231"/>
      <c r="K14"/>
      <c r="N14"/>
    </row>
    <row r="15" spans="1:17" x14ac:dyDescent="0.25">
      <c r="B15" s="226"/>
      <c r="C15" s="227"/>
      <c r="D15" s="335"/>
      <c r="E15" s="226"/>
      <c r="F15" s="227"/>
      <c r="G15" s="228"/>
      <c r="H15" s="229"/>
      <c r="I15" s="231"/>
      <c r="K15"/>
      <c r="N15"/>
    </row>
    <row r="16" spans="1:17" ht="15.75" thickBot="1" x14ac:dyDescent="0.3">
      <c r="B16" s="336"/>
      <c r="C16" s="337"/>
      <c r="D16" s="338"/>
      <c r="E16" s="336"/>
      <c r="F16" s="337"/>
      <c r="G16" s="346"/>
      <c r="H16" s="347"/>
      <c r="I16" s="348"/>
      <c r="K16"/>
      <c r="N16"/>
    </row>
    <row r="17" spans="2:17" x14ac:dyDescent="0.25">
      <c r="G17" s="232">
        <f>SUM(G1:G10)</f>
        <v>2.2784722222422715</v>
      </c>
      <c r="P17" s="232">
        <f>SUM(P1:P16)</f>
        <v>5.859027777776646</v>
      </c>
    </row>
    <row r="18" spans="2:17" ht="30" x14ac:dyDescent="0.25">
      <c r="F18" s="236" t="s">
        <v>375</v>
      </c>
      <c r="G18" s="232">
        <f>H18-G17</f>
        <v>0.22152777775772847</v>
      </c>
      <c r="H18" s="232">
        <v>2.5</v>
      </c>
      <c r="O18" s="236" t="s">
        <v>375</v>
      </c>
      <c r="P18" s="232">
        <f>Q18-P17</f>
        <v>-3.359027777776646</v>
      </c>
      <c r="Q18" s="232">
        <v>2.5</v>
      </c>
    </row>
    <row r="19" spans="2:17" ht="30" x14ac:dyDescent="0.25">
      <c r="E19"/>
      <c r="F19" s="236" t="s">
        <v>376</v>
      </c>
      <c r="G19" s="232">
        <f>G18/3</f>
        <v>7.3842592585909486E-2</v>
      </c>
      <c r="N19"/>
      <c r="O19" s="236" t="s">
        <v>376</v>
      </c>
      <c r="P19" s="232">
        <f>P18/3</f>
        <v>-1.1196759259255487</v>
      </c>
    </row>
    <row r="20" spans="2:17" x14ac:dyDescent="0.25">
      <c r="D20" s="237"/>
      <c r="F20" s="236"/>
      <c r="M20" s="237"/>
      <c r="O20" s="236"/>
    </row>
    <row r="24" spans="2:17" x14ac:dyDescent="0.25">
      <c r="B24" s="85">
        <v>45664</v>
      </c>
      <c r="K24" s="85">
        <v>45664</v>
      </c>
    </row>
    <row r="31" spans="2:17" x14ac:dyDescent="0.25">
      <c r="H31">
        <f>6.5+7.2+6</f>
        <v>19.7</v>
      </c>
      <c r="Q31">
        <f>6.5+7.2+6</f>
        <v>19.7</v>
      </c>
    </row>
    <row r="32" spans="2:17" x14ac:dyDescent="0.25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5" x14ac:dyDescent="0.25"/>
  <cols>
    <col min="1" max="1" width="16.140625" bestFit="1" customWidth="1"/>
  </cols>
  <sheetData>
    <row r="1" spans="1:4" ht="16.5" thickBot="1" x14ac:dyDescent="0.3">
      <c r="B1" s="242">
        <v>4.1666666666666664E-2</v>
      </c>
      <c r="C1" s="242">
        <v>8.3333333333333329E-2</v>
      </c>
      <c r="D1" s="242">
        <v>0.125</v>
      </c>
    </row>
    <row r="2" spans="1:4" x14ac:dyDescent="0.25">
      <c r="A2" s="245" t="s">
        <v>92</v>
      </c>
      <c r="B2" s="241">
        <v>8</v>
      </c>
      <c r="C2" s="241">
        <v>8</v>
      </c>
      <c r="D2" s="241">
        <v>8</v>
      </c>
    </row>
    <row r="3" spans="1:4" x14ac:dyDescent="0.25">
      <c r="A3" s="246" t="s">
        <v>377</v>
      </c>
      <c r="B3" s="241">
        <v>12.5</v>
      </c>
      <c r="C3" s="241">
        <v>12.5</v>
      </c>
      <c r="D3" s="241">
        <v>12.5</v>
      </c>
    </row>
    <row r="4" spans="1:4" x14ac:dyDescent="0.25">
      <c r="A4" s="246" t="s">
        <v>311</v>
      </c>
      <c r="B4" s="241">
        <v>15</v>
      </c>
      <c r="C4" s="241">
        <v>15</v>
      </c>
      <c r="D4" s="241">
        <v>15</v>
      </c>
    </row>
    <row r="5" spans="1:4" ht="15.75" thickBot="1" x14ac:dyDescent="0.3">
      <c r="A5" s="247" t="s">
        <v>378</v>
      </c>
      <c r="B5" s="241">
        <v>3.8</v>
      </c>
      <c r="C5" s="241">
        <v>3.8</v>
      </c>
      <c r="D5" s="241">
        <v>3.8</v>
      </c>
    </row>
    <row r="6" spans="1:4" ht="15.75" thickBot="1" x14ac:dyDescent="0.3">
      <c r="A6" s="248" t="s">
        <v>379</v>
      </c>
      <c r="B6" s="241">
        <v>3.8</v>
      </c>
      <c r="C6" s="241">
        <v>3.8</v>
      </c>
      <c r="D6" s="241">
        <v>3.8</v>
      </c>
    </row>
    <row r="7" spans="1:4" x14ac:dyDescent="0.25">
      <c r="A7" s="249"/>
      <c r="B7" s="241"/>
      <c r="C7" s="241"/>
      <c r="D7" s="241"/>
    </row>
    <row r="8" spans="1:4" x14ac:dyDescent="0.25">
      <c r="A8" s="250" t="s">
        <v>88</v>
      </c>
      <c r="B8" s="243">
        <f>SUM(B2:B6)</f>
        <v>43.099999999999994</v>
      </c>
      <c r="C8" s="243">
        <f>SUM(C2:C6)</f>
        <v>43.099999999999994</v>
      </c>
      <c r="D8" s="243">
        <f>SUM(D2:D6)</f>
        <v>43.099999999999994</v>
      </c>
    </row>
    <row r="9" spans="1:4" x14ac:dyDescent="0.25">
      <c r="A9" s="251" t="s">
        <v>380</v>
      </c>
      <c r="B9" s="244">
        <v>36.03</v>
      </c>
      <c r="C9" s="244">
        <v>34.21</v>
      </c>
      <c r="D9" s="244">
        <v>33.35</v>
      </c>
    </row>
    <row r="10" spans="1:4" ht="15.75" thickBot="1" x14ac:dyDescent="0.3">
      <c r="A10" s="252" t="s">
        <v>381</v>
      </c>
      <c r="B10" s="253">
        <f>B8-B9</f>
        <v>7.0699999999999932</v>
      </c>
      <c r="C10" s="253">
        <f>C8-C9</f>
        <v>8.8899999999999935</v>
      </c>
      <c r="D10" s="253">
        <f>D8-D9</f>
        <v>9.7499999999999929</v>
      </c>
    </row>
    <row r="12" spans="1:4" x14ac:dyDescent="0.25">
      <c r="A12" t="s">
        <v>382</v>
      </c>
      <c r="B12" t="s">
        <v>383</v>
      </c>
    </row>
    <row r="13" spans="1:4" x14ac:dyDescent="0.25">
      <c r="A13" t="s">
        <v>384</v>
      </c>
      <c r="B13" t="s">
        <v>385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694e58c8-b8ed-4da2-8854-564bd3cfaddb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52ceeaa0-4d46-4b0c-8879-3b15f92c9283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93453FA-1FF0-4F77-B9D5-BE232C89FBA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52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PARAMETERS</vt:lpstr>
      <vt:lpstr>GEN SWITCHING LOGS</vt:lpstr>
      <vt:lpstr>ACTION LOGS</vt:lpstr>
      <vt:lpstr>Running Hours</vt:lpstr>
      <vt:lpstr>BILLING</vt:lpstr>
      <vt:lpstr>EOD REPORT</vt:lpstr>
      <vt:lpstr>PEAK</vt:lpstr>
      <vt:lpstr>AGG DEMAND</vt:lpstr>
      <vt:lpstr>DPI 4th</vt:lpstr>
      <vt:lpstr>Sheet7</vt:lpstr>
      <vt:lpstr>Chart1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'17'!Print_Area</vt:lpstr>
      <vt:lpstr>'18'!Print_Area</vt:lpstr>
      <vt:lpstr>'19'!Print_Area</vt:lpstr>
      <vt:lpstr>'2'!Print_Area</vt:lpstr>
      <vt:lpstr>'20'!Print_Area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CABRERA, SHAIRA A.</cp:lastModifiedBy>
  <cp:revision/>
  <dcterms:created xsi:type="dcterms:W3CDTF">2023-03-31T14:14:01Z</dcterms:created>
  <dcterms:modified xsi:type="dcterms:W3CDTF">2025-02-20T12:11:47Z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